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23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ase de Dados" sheetId="1" r:id="rId3"/>
    <sheet state="visible" name="Resposta CSJT Contratações" sheetId="2" r:id="rId4"/>
    <sheet state="visible" name="Conciliação PROAD-SIGEO" sheetId="3" r:id="rId5"/>
    <sheet state="visible" name="Gestores" sheetId="4" r:id="rId6"/>
    <sheet state="visible" name="POP 2022 - 09112021" sheetId="5" r:id="rId7"/>
    <sheet state="visible" name="fBaseSETIC2022" sheetId="6" r:id="rId8"/>
    <sheet state="visible" name="Solicita Empenhos" sheetId="7" r:id="rId9"/>
    <sheet state="visible" name="Solicita Reforços" sheetId="8" r:id="rId10"/>
    <sheet state="visible" name="ATA PCTIC 2022" sheetId="9" r:id="rId11"/>
    <sheet state="visible" name="Evolução Orçamentária" sheetId="10" r:id="rId12"/>
    <sheet state="visible" name="fPOP2021" sheetId="11" r:id="rId13"/>
    <sheet state="visible" name="PCTIC (GND3)" sheetId="12" r:id="rId14"/>
    <sheet state="visible" name="PCTIC (GND4)" sheetId="13" r:id="rId15"/>
    <sheet state="visible" name="Orçamento" sheetId="14" r:id="rId16"/>
    <sheet state="visible" name="Dados para NE" sheetId="15" r:id="rId17"/>
    <sheet state="visible" name="Solicitação NE" sheetId="16" r:id="rId18"/>
    <sheet state="visible" name="Dados para NE (PO)" sheetId="17" r:id="rId19"/>
    <sheet state="visible" name="Solicitação NE (PO)" sheetId="18" r:id="rId20"/>
    <sheet state="visible" name="Dados para Despachos" sheetId="19" r:id="rId21"/>
    <sheet state="visible" name="Despachos" sheetId="20" r:id="rId22"/>
    <sheet state="visible" name="Transparência - Plano Orçamentá" sheetId="21" r:id="rId23"/>
    <sheet state="visible" name="Justificativas" sheetId="22" r:id="rId24"/>
    <sheet state="visible" name="Ref Colunas" sheetId="23" r:id="rId25"/>
    <sheet state="visible" name="SIGEO" sheetId="24" r:id="rId26"/>
    <sheet state="visible" name="Areas de TIC" sheetId="25" r:id="rId27"/>
    <sheet state="visible" name="Geração de Documentos" sheetId="26" r:id="rId28"/>
    <sheet state="visible" name="UG Orçamento" sheetId="27" r:id="rId29"/>
    <sheet state="visible" name="Deliberação" sheetId="28" r:id="rId30"/>
    <sheet state="visible" name="Deliberação-Modalidade" sheetId="29" r:id="rId31"/>
    <sheet state="visible" name="Modalidades" sheetId="30" r:id="rId32"/>
    <sheet state="visible" name="Prioridade" sheetId="31" r:id="rId33"/>
    <sheet state="visible" name="Situação" sheetId="32" r:id="rId34"/>
    <sheet state="visible" name="Objetivos Estratégicos" sheetId="33" r:id="rId35"/>
    <sheet state="visible" name="Critérios" sheetId="34" r:id="rId36"/>
    <sheet state="visible" name="Classificação CNJ" sheetId="35" r:id="rId37"/>
    <sheet state="visible" name="Contas de Despesa" sheetId="36" r:id="rId38"/>
    <sheet state="visible" name="Itens Orçamentários Obrigatório" sheetId="37" r:id="rId39"/>
    <sheet state="visible" name="FornecedoresPJ" sheetId="38" r:id="rId40"/>
    <sheet state="visible" name="FornecedoresPF" sheetId="39" r:id="rId41"/>
    <sheet state="visible" name="dadosParaSolicitacaoNE" sheetId="40" r:id="rId42"/>
    <sheet state="visible" name="Ptres" sheetId="41" r:id="rId43"/>
    <sheet state="visible" name="Classifica CSJT PO (Ato 71)" sheetId="42" r:id="rId44"/>
    <sheet state="visible" name="CSJT PO (Ato 71)" sheetId="43" r:id="rId45"/>
    <sheet state="visible" name="Atualização Contas de Despesa" sheetId="44" r:id="rId46"/>
    <sheet state="visible" name="Descrição Natureza" sheetId="45" r:id="rId47"/>
    <sheet state="visible" name="Descrição Subitem" sheetId="46" r:id="rId48"/>
    <sheet state="visible" name="NE SIGEO" sheetId="47" r:id="rId49"/>
    <sheet state="visible" name="fEmpenho2020" sheetId="48" r:id="rId50"/>
    <sheet state="visible" name="fNotasDeEmpenho" sheetId="49" r:id="rId51"/>
    <sheet state="visible" name="Página169" sheetId="50" r:id="rId52"/>
    <sheet state="visible" name="2004 - Coleta SEINFRA" sheetId="51" r:id="rId53"/>
    <sheet state="visible" name="Cópia de ult parc 2021" sheetId="52" r:id="rId54"/>
    <sheet state="visible" name="Cópia de Auxiliar" sheetId="53" r:id="rId55"/>
  </sheets>
  <definedNames>
    <definedName hidden="1" localSheetId="0" name="_xlnm._FilterDatabase">'Base de Dados'!$A$1:$CR$71</definedName>
    <definedName hidden="1" localSheetId="1" name="_xlnm._FilterDatabase">'Resposta CSJT Contratações'!$A$1:$R$38</definedName>
    <definedName hidden="1" localSheetId="4" name="_xlnm._FilterDatabase">'POP 2022 - 09112021'!$A$1:$AP$44</definedName>
    <definedName hidden="1" localSheetId="8" name="_xlnm._FilterDatabase">'ATA PCTIC 2022'!$B$5:$L$55</definedName>
    <definedName hidden="1" localSheetId="10" name="_xlnm._FilterDatabase">fPOP2021!$A$1:$AP$42</definedName>
    <definedName hidden="1" localSheetId="11" name="_xlnm._FilterDatabase">'PCTIC (GND3)'!$B$8:$Q$546</definedName>
    <definedName hidden="1" localSheetId="12" name="_xlnm._FilterDatabase">'PCTIC (GND4)'!$B$8:$Q$13</definedName>
    <definedName hidden="1" localSheetId="18" name="_xlnm._FilterDatabase">'Dados para Despachos'!$A$1:$K$543</definedName>
    <definedName hidden="1" localSheetId="20" name="_xlnm._FilterDatabase">'Transparência - Plano Orçamentá'!$B$4:$O$57</definedName>
    <definedName hidden="1" localSheetId="37" name="_xlnm._FilterDatabase">FornecedoresPJ!$A$1:$W$5868</definedName>
    <definedName hidden="1" localSheetId="38" name="_xlnm._FilterDatabase">FornecedoresPF!$A$1:$U$5868</definedName>
    <definedName hidden="1" localSheetId="39" name="_xlnm._FilterDatabase">dadosParaSolicitacaoNE!$A$1:$S$5850</definedName>
    <definedName hidden="1" localSheetId="43" name="_xlnm._FilterDatabase">'Atualização Contas de Despesa'!$A$19:$G$96</definedName>
    <definedName hidden="1" localSheetId="46" name="_xlnm._FilterDatabase">'NE SIGEO'!$A$1:$AB$3375</definedName>
    <definedName hidden="1" localSheetId="47" name="_xlnm._FilterDatabase">fEmpenho2020!$A$1:$Z$1057</definedName>
    <definedName hidden="1" localSheetId="51" name="_xlnm._FilterDatabase">'Cópia de ult parc 2021'!$A$1:$B$1000</definedName>
    <definedName hidden="1" localSheetId="0" name="Z_123C75A2_4E9F_4F53_A6F2_90D223DA5FFC_.wvu.FilterData">'Base de Dados'!$A$1:$CR$57</definedName>
    <definedName hidden="1" localSheetId="43" name="Z_123C75A2_4E9F_4F53_A6F2_90D223DA5FFC_.wvu.FilterData">'Atualização Contas de Despesa'!$J$30</definedName>
    <definedName hidden="1" localSheetId="0" name="Z_0A708CB3_4B10_4AF8_BE17_6FA2D25E2DBA_.wvu.FilterData">'Base de Dados'!$A$1:$BX$41</definedName>
    <definedName hidden="1" localSheetId="0" name="Z_4E0163F2_0E0F_459D_B3E9_0E458BE2F61A_.wvu.FilterData">'Base de Dados'!$A$1:$BT$71</definedName>
    <definedName hidden="1" localSheetId="0" name="Z_F2CE3790_7A1E_4A02_9883_057A93C30673_.wvu.FilterData">'Base de Dados'!$A$1:$BK$42</definedName>
    <definedName hidden="1" localSheetId="0" name="Z_54B4ABE8_D618_4D57_B72E_C5C7B5EE8270_.wvu.FilterData">'Base de Dados'!$A$1:$BK$41</definedName>
    <definedName hidden="1" localSheetId="0" name="Z_EE351DA1_3A64_4FF1_AD53_5AFC3F0D7B94_.wvu.FilterData">'Base de Dados'!$A$1:$BK$41</definedName>
    <definedName hidden="1" localSheetId="0" name="Z_D55B3626_DD5C_4A6E_AE94_53A18838D2EC_.wvu.FilterData">'Base de Dados'!$A$1:$BK$41</definedName>
    <definedName hidden="1" localSheetId="0" name="Z_62C10C73_33F3_4DBD_A25C_70A19CDCCA69_.wvu.FilterData">'Base de Dados'!$A$1:$BK$41</definedName>
    <definedName hidden="1" localSheetId="0" name="Z_D7382077_0787_438E_BC8C_C938C25A1A54_.wvu.FilterData">'Base de Dados'!$A$1:$BK$41</definedName>
    <definedName hidden="1" localSheetId="0" name="Z_6BC680F7_E50A_4EB7_A8D9_5A16FAE59160_.wvu.FilterData">'Base de Dados'!$A$1:$BK$22</definedName>
    <definedName hidden="1" localSheetId="0" name="Z_B4CCDA4B_77AC_4539_858F_49F62978A719_.wvu.FilterData">'Base de Dados'!$A$1:$AR$59</definedName>
  </definedNames>
  <calcPr/>
  <customWorkbookViews>
    <customWorkbookView activeSheetId="0" maximized="1" windowHeight="0" windowWidth="0" guid="{54B4ABE8-D618-4D57-B72E-C5C7B5EE8270}" name="Estão fora de 2020"/>
    <customWorkbookView activeSheetId="0" maximized="1" windowHeight="0" windowWidth="0" guid="{F2CE3790-7A1E-4A02-9883-057A93C30673}" name="Sobrestados na 666"/>
    <customWorkbookView activeSheetId="0" maximized="1" windowHeight="0" windowWidth="0" guid="{D55B3626-DD5C-4A6E-AE94-53A18838D2EC}" name="Aumentaram o Valor"/>
    <customWorkbookView activeSheetId="0" maximized="1" windowHeight="0" windowWidth="0" guid="{B4CCDA4B-77AC-4539-858F-49F62978A719}" name="ACME"/>
    <customWorkbookView activeSheetId="0" maximized="1" windowHeight="0" windowWidth="0" guid="{0A708CB3-4B10-4AF8-BE17-6FA2D25E2DBA}" name="Dairon"/>
    <customWorkbookView activeSheetId="0" maximized="1" windowHeight="0" windowWidth="0" guid="{4E0163F2-0E0F-459D-B3E9-0E458BE2F61A}" name="JET"/>
    <customWorkbookView activeSheetId="0" maximized="1" windowHeight="0" windowWidth="0" guid="{D7382077-0787-438E-BC8C-C938C25A1A54}" name="Levantamento Indicador"/>
    <customWorkbookView activeSheetId="0" maximized="1" windowHeight="0" windowWidth="0" guid="{6BC680F7-E50A-4EB7-A8D9-5A16FAE59160}" name="Filtro 7"/>
    <customWorkbookView activeSheetId="0" maximized="1" windowHeight="0" windowWidth="0" guid="{EE351DA1-3A64-4FF1-AD53-5AFC3F0D7B94}" name="Reduziram o Valor"/>
    <customWorkbookView activeSheetId="0" maximized="1" windowHeight="0" windowWidth="0" guid="{62C10C73-33F3-4DBD-A25C-70A19CDCCA69}" name="Novos ou que Retornaram"/>
    <customWorkbookView activeSheetId="0" maximized="1" windowHeight="0" windowWidth="0" guid="{123C75A2-4E9F-4F53-A6F2-90D223DA5FFC}" name="Filtro 1"/>
  </customWorkbookViews>
  <pivotCaches>
    <pivotCache cacheId="0" r:id="rId56"/>
  </pivotCaches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S1">
      <text>
        <t xml:space="preserve">Estimativa mais antiga: POP, DOD, PCTIC, nesta ordem. Por último, o valor projetado para o exercício.</t>
      </text>
    </comment>
    <comment authorId="0" ref="AE24">
      <text>
        <t xml:space="preserve">a renovação da subscrição atual está válida até junho/2022 (PROAD 12122/2019). Portanto, a data para entrega do objeto é junho/2022
	-Pedro Duarte</t>
      </text>
    </comment>
    <comment authorId="0" ref="A1">
      <text>
        <t xml:space="preserve">Colocar NE:
15369
	-José Eduardo Teixeira</t>
      </text>
    </comment>
    <comment authorId="0" ref="V56">
      <text>
        <t xml:space="preserve">Verificar se será o mesmo DOD da 15382, que cancelada e fundida neta.
	-José Eduardo Teixeira</t>
      </text>
    </comment>
    <comment authorId="0" ref="Q63">
      <text>
        <t xml:space="preserve">Se ficar para 2023, será Imprescindível
	-José Eduardo Teixeira</t>
      </text>
    </comment>
    <comment authorId="0" ref="AU36">
      <text>
        <t xml:space="preserve">Foi reajustado para 310,07. Verificar quantidade e cálculo
	-José Eduardo Teixeira</t>
      </text>
    </comment>
    <comment authorId="0" ref="AE9">
      <text>
        <t xml:space="preserve">Nova vigência 27-8-2024
	-José Eduardo Teixeira</t>
      </text>
    </comment>
    <comment authorId="0" ref="AQ26">
      <text>
        <t xml:space="preserve">Esse valor não foi pedido na POP 2022, no SIGEO. Verificar, tanto no SIGEO.
	-José Eduardo Teixeira</t>
      </text>
    </comment>
    <comment authorId="0" ref="AS2">
      <text>
        <t xml:space="preserve">=VLOOKUP(A2;'Cópia de ult parc 2021'!A:B;2;0)
	-José Eduardo Teixeira</t>
      </text>
    </comment>
    <comment authorId="0" ref="AK2">
      <text>
        <t xml:space="preserve">Atualizado em 10/12/2021
	-José Eduardo Teixeira</t>
      </text>
    </comment>
    <comment authorId="0" ref="AO1">
      <text>
        <t xml:space="preserve">Linha de base salva em 30/11/2021, logo após a aprovação do PCTIC pela Presidência. R$10.175.183,08
	-José Eduardo Teixeira</t>
      </text>
    </comment>
    <comment authorId="0" ref="AT26">
      <text>
        <t xml:space="preserve">Atenção CGesTIC 12/11/2021
	-José Eduardo Teixeira</t>
      </text>
    </comment>
    <comment authorId="0" ref="AQ1">
      <text>
        <t xml:space="preserve">Fórmula atualizada em 09/08/2021, com base nos dados do SIGEO, durante a elaboração do PCTIC 2022. R$10.196.100,00.
	-José Eduardo Teixeira</t>
      </text>
    </comment>
    <comment authorId="0" ref="W34">
      <text>
        <t xml:space="preserve">inserir contrato de 2021
	-José Eduardo Teixeira</t>
      </text>
    </comment>
    <comment authorId="0" ref="W38">
      <text>
        <t xml:space="preserve">Incluir contrato celebrado em 2021
	-José Eduardo Teixeira</t>
      </text>
    </comment>
    <comment authorId="0" ref="U11">
      <text>
        <t xml:space="preserve">Vai fazer novo contrato? Cria-se uma nova linha de PRE?
	-José Eduardo Teixeira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P1">
      <text>
        <t xml:space="preserve">É importante incluir justificativas bem sintéticas, pois as que estão no DOD não são adequadas para uma planilha.
	-José Eduardo Teixeira</t>
      </text>
    </comment>
    <comment authorId="0" ref="R1">
      <text>
        <t xml:space="preserve">Os que não estavam na POP não estão no SIGEO
	-José Eduardo Teixeira</t>
      </text>
    </comment>
    <comment authorId="0" ref="J1">
      <text>
        <t xml:space="preserve">Não tinha prorrogação, nem adesão a atas
	-José Eduardo Teixeira
É importante a validação pois há alguma variação
	-José Eduardo Teixeira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As linhas vermelhas foram inseridas após a importação para contemplar os casos em que o contrato não pode ser prorrogado e, portanto, uma nova linha foi criada. Serão perdidas em caso de nova importação do SIGEO, o que não será necessário, dado que não há possibilidade de alteração no SIGEO.
	-José Eduardo Teixeira</t>
      </text>
    </comment>
    <comment authorId="0" ref="M39">
      <text>
        <t xml:space="preserve">Alterado o ID em relação ao SIGEO; verificar a possibilidade de alterar no SIGEO.
	-José Eduardo Teixeira</t>
      </text>
    </comment>
    <comment authorId="0" ref="M8">
      <text>
        <t xml:space="preserve">Alterado ID em relação ao SIGEO; verificar a possibilidade de alterar no SIGEO.
	-José Eduardo Teixeira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">
      <text>
        <t xml:space="preserve">Em amarelo foram alteradas em 2022
	-José Eduardo Teixeira</t>
      </text>
    </comment>
  </commentList>
</comments>
</file>

<file path=xl/sharedStrings.xml><?xml version="1.0" encoding="utf-8"?>
<sst xmlns="http://schemas.openxmlformats.org/spreadsheetml/2006/main" count="29571" uniqueCount="12887">
  <si>
    <t>Id</t>
  </si>
  <si>
    <t>Grupo</t>
  </si>
  <si>
    <t>Descrição</t>
  </si>
  <si>
    <t xml:space="preserve">Justificativa </t>
  </si>
  <si>
    <t xml:space="preserve">Objetivo Estratégico </t>
  </si>
  <si>
    <t>Classificação CNJ</t>
  </si>
  <si>
    <t>Denominação Ampliada</t>
  </si>
  <si>
    <t>Natureza</t>
  </si>
  <si>
    <t>Demandante</t>
  </si>
  <si>
    <t>UGO</t>
  </si>
  <si>
    <t>Despesa</t>
  </si>
  <si>
    <t>Código de Despesa</t>
  </si>
  <si>
    <t>Sub de Despesa</t>
  </si>
  <si>
    <t>Reduzido do Empenho</t>
  </si>
  <si>
    <t>Reduzido Previsto</t>
  </si>
  <si>
    <t>CSJT</t>
  </si>
  <si>
    <t>Prioridade</t>
  </si>
  <si>
    <t>Deliberação</t>
  </si>
  <si>
    <t>Anotações SETIC</t>
  </si>
  <si>
    <t xml:space="preserve">Observação </t>
  </si>
  <si>
    <t>Situação (Fase)</t>
  </si>
  <si>
    <t>DOD</t>
  </si>
  <si>
    <t>Contrato</t>
  </si>
  <si>
    <t>Área de TIC</t>
  </si>
  <si>
    <t>Modalidade (prazo)</t>
  </si>
  <si>
    <t>Modalidade (contrato)</t>
  </si>
  <si>
    <t>Processo Adm</t>
  </si>
  <si>
    <t>CNPJ/CPF Fornec</t>
  </si>
  <si>
    <t>Razão Social</t>
  </si>
  <si>
    <t>Data para Adm</t>
  </si>
  <si>
    <t>Data para objeto</t>
  </si>
  <si>
    <t>Responsável</t>
  </si>
  <si>
    <t>Qtd Inicial</t>
  </si>
  <si>
    <t>Valor Unitário Inicial</t>
  </si>
  <si>
    <t>Compartilhado</t>
  </si>
  <si>
    <t>Valor DOD</t>
  </si>
  <si>
    <t>Gestor do Contrato</t>
  </si>
  <si>
    <t>5a Linha de Base</t>
  </si>
  <si>
    <t>4a Linha de Base</t>
  </si>
  <si>
    <t>3a Linha de Base</t>
  </si>
  <si>
    <t>2a Linha de Base - PCTIC 2022</t>
  </si>
  <si>
    <t>Empenho</t>
  </si>
  <si>
    <t>1a Linha de Base - POP 2022</t>
  </si>
  <si>
    <t>Valor Projetado Preliminar</t>
  </si>
  <si>
    <t>Última Parcela 2021</t>
  </si>
  <si>
    <t>Valor Projetado</t>
  </si>
  <si>
    <t>Última Parcela</t>
  </si>
  <si>
    <t>Parcelas para pedido de empenho</t>
  </si>
  <si>
    <t>Projetado por qtd parcelas</t>
  </si>
  <si>
    <t>Valor para pedido</t>
  </si>
  <si>
    <t>Empenhado</t>
  </si>
  <si>
    <t>Liquidado</t>
  </si>
  <si>
    <t>Saldo Empenhado</t>
  </si>
  <si>
    <t>teste_1</t>
  </si>
  <si>
    <t>ID SIGEO</t>
  </si>
  <si>
    <t>Planilha Contratações CSJT</t>
  </si>
  <si>
    <t>Prorroga</t>
  </si>
  <si>
    <t>Emergencial Complemento</t>
  </si>
  <si>
    <t>teste_3</t>
  </si>
  <si>
    <t>PAAC Pontuação</t>
  </si>
  <si>
    <t>PAAC Prioridade</t>
  </si>
  <si>
    <t>teste_4</t>
  </si>
  <si>
    <t>Unidade</t>
  </si>
  <si>
    <t>Modalidade Final</t>
  </si>
  <si>
    <t>PAAC Modalidade</t>
  </si>
  <si>
    <t>PAAC Data do DOD</t>
  </si>
  <si>
    <t>PAAC Data do PB</t>
  </si>
  <si>
    <t>PAAC Valor do ETP</t>
  </si>
  <si>
    <t>PAAC Valor Final</t>
  </si>
  <si>
    <t xml:space="preserve">PAAC Valor Final TCU
</t>
  </si>
  <si>
    <t>PAAC Valor Inicial</t>
  </si>
  <si>
    <t>PAAC Valor Inicial TCU</t>
  </si>
  <si>
    <t>Descrição do Grupo de Despesa</t>
  </si>
  <si>
    <t>Item do Planejamento PO (CSJT ATO 71)</t>
  </si>
  <si>
    <t>Denominação PO do CSJT de 2018</t>
  </si>
  <si>
    <t>teste_5</t>
  </si>
  <si>
    <t>Denominação CSJT (Ato 71)</t>
  </si>
  <si>
    <t>Despacho no PROAD</t>
  </si>
  <si>
    <t>Solicitação NE no PROAD</t>
  </si>
  <si>
    <t>DS_CONTA</t>
  </si>
  <si>
    <t>Denominação para Solicitação de NE</t>
  </si>
  <si>
    <t>DS_NATUREZA</t>
  </si>
  <si>
    <t>teste_6</t>
  </si>
  <si>
    <t>DS_SUBITEM</t>
  </si>
  <si>
    <t>2020
Data limite para envio à Administração</t>
  </si>
  <si>
    <t>2020
Data limite para disponibilização do objeto (próxima vigência/ entrega)</t>
  </si>
  <si>
    <t>2020
Modalidade para Prazo de Envio do PB</t>
  </si>
  <si>
    <t>Valor para POP 2022</t>
  </si>
  <si>
    <t>Data Almejada para o Objeto em 2022</t>
  </si>
  <si>
    <t>Modadlidade prevista para 2022</t>
  </si>
  <si>
    <t>Iniciativa Nacional</t>
  </si>
  <si>
    <t>Link do PROAD</t>
  </si>
  <si>
    <t>teste_7</t>
  </si>
  <si>
    <t>teste_8</t>
  </si>
  <si>
    <t>teste_9</t>
  </si>
  <si>
    <t>Grupo de Despesa Lançado na POP 2021</t>
  </si>
  <si>
    <t xml:space="preserve"> </t>
  </si>
  <si>
    <t>Liquidado como RP</t>
  </si>
  <si>
    <t>Saldo</t>
  </si>
  <si>
    <t>Emissão da Nota de Empenho</t>
  </si>
  <si>
    <t>Bimestre da Nota de Empenho</t>
  </si>
  <si>
    <t>Tipo de Objeto</t>
  </si>
  <si>
    <t>Natureza do Objeto</t>
  </si>
  <si>
    <t>Categoria de Despesa</t>
  </si>
  <si>
    <t>Modalidade</t>
  </si>
  <si>
    <t>Adesão à ata de 
registro de preços?</t>
  </si>
  <si>
    <t>Tipo de evento</t>
  </si>
  <si>
    <t>Relacionados</t>
  </si>
  <si>
    <t>NÃO APAGAR. Linha de fórmulas e parâmetros</t>
  </si>
  <si>
    <t>Informar</t>
  </si>
  <si>
    <t>Sim</t>
  </si>
  <si>
    <t xml:space="preserve">NOBREAKS SURT - Suporte e manutenção dos nobreaks SURT 8kVA das Varas e Foros do interior </t>
  </si>
  <si>
    <t>Contratação/prorrogação de contrato de prestação de serviço continuado de tecnologia da informação e telecomunicações que objetiva evitar interrupções na prestação jurisdicional, inclusive as previstas no Plano Continuidade de Negócios (PCN).</t>
  </si>
  <si>
    <t>EJ08 - PROMOVER SERVIÇOS DE INFRAESTRUTURA E SOLUÇÕES CORPORATIVAS</t>
  </si>
  <si>
    <t>Contratação de serviços para o suporte à infraestrutura tecnológica</t>
  </si>
  <si>
    <t>Continuado</t>
  </si>
  <si>
    <t>SETIC</t>
  </si>
  <si>
    <t>GND3</t>
  </si>
  <si>
    <t>Não</t>
  </si>
  <si>
    <t>1 - Imprescindível</t>
  </si>
  <si>
    <t>4 - Cancelado</t>
  </si>
  <si>
    <t>há indicativo preliminar de que a aquisição de novos equipamentos pode ser mais vantajosa para o TRT, o que será definido pelo planejamento da contratação</t>
  </si>
  <si>
    <t>01 - Não oficializado</t>
  </si>
  <si>
    <t>5424/2017</t>
  </si>
  <si>
    <t>SESUP</t>
  </si>
  <si>
    <t>PRE</t>
  </si>
  <si>
    <t>PRE-5424/2017</t>
  </si>
  <si>
    <t>Márcio César Jacinto
Diretor do SESUP - Substituto</t>
  </si>
  <si>
    <t>Pedro Paulo da Silva</t>
  </si>
  <si>
    <t>Alta</t>
  </si>
  <si>
    <t>ano</t>
  </si>
  <si>
    <t>P. Eletrônico</t>
  </si>
  <si>
    <t>CANCELADO</t>
  </si>
  <si>
    <t>Manutenção e conservação de equipamentos de TIC</t>
  </si>
  <si>
    <t>Apreciação de Causas na Justiça do Trabalho</t>
  </si>
  <si>
    <t xml:space="preserve"> - </t>
  </si>
  <si>
    <t>SERVIÇOS DE TECNOLOGIA DA INFORMAÇÃO E COMUNICAÇÃO - TIC</t>
  </si>
  <si>
    <t>MANUTENÇÃO E CONSERVAÇÃO DE EQUIPAMENTOS DE TIC</t>
  </si>
  <si>
    <t>PROR</t>
  </si>
  <si>
    <t>x</t>
  </si>
  <si>
    <t>ASSYST - Contratação de suporte e atualização de licenças da solução de gerenciamento de serviços e registro de chamadas de TIC.</t>
  </si>
  <si>
    <t xml:space="preserve"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t>
  </si>
  <si>
    <t>EJ05 - APERFEIÇOAR A GOVERNANÇA E A GESTÃO</t>
  </si>
  <si>
    <t>2 - Importante</t>
  </si>
  <si>
    <t>1 - Selecionado</t>
  </si>
  <si>
    <t>99 - Orçamentário</t>
  </si>
  <si>
    <t>3891/2017</t>
  </si>
  <si>
    <t>ORÇAMENTO</t>
  </si>
  <si>
    <t>RP</t>
  </si>
  <si>
    <t>RP-3891/2017</t>
  </si>
  <si>
    <t>ACTIVE - TECNOLOGIA SERVICOS E CONSULTORIA EM INFORMATI</t>
  </si>
  <si>
    <t>Cláudio Zamparetti</t>
  </si>
  <si>
    <t>2022NE000120</t>
  </si>
  <si>
    <t>Média</t>
  </si>
  <si>
    <t>ARP Participante</t>
  </si>
  <si>
    <t>Manutenção corretiva/adaptativa e sustentação softwares</t>
  </si>
  <si>
    <t>INFRA - Solução Integrada de Gerenciamento de Serviços (Suporte)</t>
  </si>
  <si>
    <t>11 - ASSYST - SOLUÇÃO DE GERENCIAMENTO DE SERVIÇOS</t>
  </si>
  <si>
    <t>Solução Integrada de Gerenciamento de Serviços (Suporte)</t>
  </si>
  <si>
    <t>Manutenção e Gestão dos Serviços de Tecnologia da Informação</t>
  </si>
  <si>
    <t>INFRA - Solução Integrada de Gerenciamento de Serviços (Suporte) - Solução Integrada de Gerenciamento de Serviços (Suporte)</t>
  </si>
  <si>
    <t>MANUTENÇÃO CORRETIVA/ADAPTATIVA E SUSTENTAÇÃO SOFTWARES</t>
  </si>
  <si>
    <t>ARP_PARTICIPACAO</t>
  </si>
  <si>
    <t>https://www.trt12.jus.br/proad/pages/fichadoprocesso.xhtml?numeroProtocolo=3891&amp;numeroAno=2017&amp;tab=tabFichaDocumento</t>
  </si>
  <si>
    <t>NOBREAKS SUVT 2016 - Suporte e manutenção dos nobreaks SUVT 40kVA do Datacenter e dos foros da Capital, de São José e da sede (prorrogação emergencial em 2021)</t>
  </si>
  <si>
    <t>Prorrogação Emergencial</t>
  </si>
  <si>
    <t>12216/2016</t>
  </si>
  <si>
    <t>CD</t>
  </si>
  <si>
    <t>CD-12216/2016</t>
  </si>
  <si>
    <t>SCHNEIDER ELECTRIC IT BRASIL INDUSTRIA E COMERCIO DE E</t>
  </si>
  <si>
    <t>2022NE000099</t>
  </si>
  <si>
    <t>CELESC - Contratação de uso de postes (passagem da fibra óptica - locação CELESC) para conexão redundante entre o datacenter principal e auxiliar (Sede/Utrillo)</t>
  </si>
  <si>
    <t>1674/2021</t>
  </si>
  <si>
    <t>SEINFRA</t>
  </si>
  <si>
    <t>CD-1674/2021</t>
  </si>
  <si>
    <t>CELESC DISTRIBUICAO S.A</t>
  </si>
  <si>
    <t/>
  </si>
  <si>
    <t>Anderson Bastos
Diretor do SEINFRA</t>
  </si>
  <si>
    <t>Anderson Bastos</t>
  </si>
  <si>
    <t>2022NE000093</t>
  </si>
  <si>
    <t>Inexigibilidade</t>
  </si>
  <si>
    <t>Suporte de infraestrutura de TIC</t>
  </si>
  <si>
    <t>SUPORTE DE INFRAESTRUTURA DE TIC</t>
  </si>
  <si>
    <t>REDE JT - Ciasc - Contratação de links de alto desempenho para as conexões de dados entre as unidades do TRT</t>
  </si>
  <si>
    <t>5907/2017</t>
  </si>
  <si>
    <t>CD-5907/2017</t>
  </si>
  <si>
    <t>CENTRO DE INFORMATICA E AUTOMACAO DO ESTADO DE SC S/A</t>
  </si>
  <si>
    <t>2022NE000121</t>
  </si>
  <si>
    <t>Dispensa</t>
  </si>
  <si>
    <t>Comunicação de dados e redes em geral</t>
  </si>
  <si>
    <t>INFRA - Serviços de Telecomunicação de Dados e Voz - Rede-JT</t>
  </si>
  <si>
    <t>01 - REDE JT</t>
  </si>
  <si>
    <t>Serviços de Telecomunicação de Dados e Voz - Rede-JT</t>
  </si>
  <si>
    <t>INFRA - Serviços de Telecomunicação de Dados e Voz - Rede-JT - Serviços de Telecomunicação de Dados e Voz - Rede-JT</t>
  </si>
  <si>
    <t>COMUNICAÇÃO DE DADOS E REDES EM GERAL</t>
  </si>
  <si>
    <t>DISP_INEX</t>
  </si>
  <si>
    <t>https://www.trt12.jus.br/proad/pages/fichadoprocesso.xhtml?numeroProtocolo=5907&amp;numeroAno=2017&amp;tab=tabFichaDocumento</t>
  </si>
  <si>
    <t>INTERNET LINK 2 - Contratação de acesso corporativo à internet</t>
  </si>
  <si>
    <t>280/2020</t>
  </si>
  <si>
    <t>PRE-280/2020</t>
  </si>
  <si>
    <t>ACESSOLINE TELECOMUNICACOES LTDA</t>
  </si>
  <si>
    <t>2022NE000110</t>
  </si>
  <si>
    <t>CENTRAL DE SERVIÇOS - Contratação de serviços de suporte de TIC em 1º e 2º níveis - 2019, para fornecimento de técnicos terceirizados para atendimento aos chamados de TIC, no Estado.</t>
  </si>
  <si>
    <t>Contratação de serviços de suporte à microinformática</t>
  </si>
  <si>
    <t>07 - Concluída</t>
  </si>
  <si>
    <t>1293/2021</t>
  </si>
  <si>
    <t>3995/2019</t>
  </si>
  <si>
    <t>PRE-3995/2019</t>
  </si>
  <si>
    <t>C GALATI EIRELI</t>
  </si>
  <si>
    <t>2022NE000128</t>
  </si>
  <si>
    <t>Suporte a usuários de TIC</t>
  </si>
  <si>
    <t>SUPORTE A USUÁRIOS DE TIC</t>
  </si>
  <si>
    <t>https://www.trt12.jus.br/proad/pages/fichadoprocesso.xhtml?numeroProtocolo=3995&amp;numeroAno=2019&amp;tab=tabFichaDocumento</t>
  </si>
  <si>
    <t>Serviço de Central de Atendimento</t>
  </si>
  <si>
    <t>Serviço</t>
  </si>
  <si>
    <t>Custeio</t>
  </si>
  <si>
    <t>Pregão eletrônico</t>
  </si>
  <si>
    <t>Prorrogação contratual</t>
  </si>
  <si>
    <t>INTERNET MOVEL - Contratação de linhas de internet móvel. O quantitativo atual é de 151 e deve ser confirmado pelos estudos da contração (Ato CSJT 43/2013).</t>
  </si>
  <si>
    <t>EJ04 - BUSCAR A INOVAÇÃO DE FORMA COLABORATIVA</t>
  </si>
  <si>
    <t>1287/2021</t>
  </si>
  <si>
    <t>8560/2018</t>
  </si>
  <si>
    <t>PRE-8560/2018</t>
  </si>
  <si>
    <t>CLARO S.A.</t>
  </si>
  <si>
    <t>2022NE000098</t>
  </si>
  <si>
    <t>Telefonia fixa e móvel - pacote de comunicação de dados</t>
  </si>
  <si>
    <t>TELEFONIA FIXA E MÓVEL - PACOTE DE COMUNICAÇÃO DE DADOS</t>
  </si>
  <si>
    <t>Link de dados</t>
  </si>
  <si>
    <t>REDE JT - Alt - Contratação de links para conexão da sede com as unidades do interior do estado.</t>
  </si>
  <si>
    <t>5910/2017</t>
  </si>
  <si>
    <t>PRE-5910/2017</t>
  </si>
  <si>
    <t>2022NE000122</t>
  </si>
  <si>
    <t>https://www.trt12.jus.br/proad/pages/fichadoprocesso.xhtml?numeroProtocolo=5910&amp;numeroAno=2017&amp;tab=tabFichaDocumento</t>
  </si>
  <si>
    <t>NUVEM GOOGLE 1 - Contratação de licença de uso de serviço de nuvem de comunicação e colaboração</t>
  </si>
  <si>
    <t>11741/2017</t>
  </si>
  <si>
    <t>RP-11741/2017</t>
  </si>
  <si>
    <t>RJR SERVICOS DE INFORMATICA LTDA</t>
  </si>
  <si>
    <t>Gustavo Bestetti Ibarra</t>
  </si>
  <si>
    <t>2022NE000127</t>
  </si>
  <si>
    <t>Computação em nuvem - software como serviço (SAAS)</t>
  </si>
  <si>
    <t>COMPUTAÇÃO EM NUVEM - SOFTWARE COMO SERVIÇO (SAAS)</t>
  </si>
  <si>
    <t>https://www.trt12.jus.br/proad/pages/fichadoprocesso.xhtml?numeroProtocolo=11741&amp;numeroAno=2017&amp;tab=tabFichaDocumento</t>
  </si>
  <si>
    <t>RESERVA - Fundo de reserva e materiais diversos, para despesas imprevisíveis e reserva para capacitação a ser transferida tempestivamente à SEDUC</t>
  </si>
  <si>
    <t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t>
  </si>
  <si>
    <t>PEI - APRIMORAR A GOVERNANÇA DE TIC E A PROTEÇÃO DE DADOS</t>
  </si>
  <si>
    <t>Imediato</t>
  </si>
  <si>
    <t>DISPENSA_PELO_VALOR</t>
  </si>
  <si>
    <t>unidade</t>
  </si>
  <si>
    <t>Material de TIC (consumo)</t>
  </si>
  <si>
    <t>MATERIAL DE CONSUMO</t>
  </si>
  <si>
    <t>MATERIAL DE TIC (CONSUMO)</t>
  </si>
  <si>
    <t>SCANNER MANUTENÇÃO - Contratação de manutenção dos scanneres para remessa de processo ao TST - SECART (Kodak i4600 e Fujitsu fi-6800)</t>
  </si>
  <si>
    <t>SECAP</t>
  </si>
  <si>
    <t>7373/2017</t>
  </si>
  <si>
    <t>PRE-7373/2017</t>
  </si>
  <si>
    <t>VANTUTA PRESTACAO DE SERVICOS LTDA</t>
  </si>
  <si>
    <t>Laís Helena Vieira da Luz</t>
  </si>
  <si>
    <t>2022NE000097</t>
  </si>
  <si>
    <t>Serviço de Suporte de Hardware</t>
  </si>
  <si>
    <t>BANCO DE DADOS - Contratação de monitoramento remoto e suporte técnico para os bancos de dados Oracle, PostgreSQL e MySQL, contratado como item obrigatório do CSJT</t>
  </si>
  <si>
    <t>9447/2017</t>
  </si>
  <si>
    <t>PRE-9447/2017</t>
  </si>
  <si>
    <t>BERTINI DO BRASIL LTDA.</t>
  </si>
  <si>
    <t>2022NE000123</t>
  </si>
  <si>
    <t>INFRA-PJe - Servidor de Banco de Dados Postgres (Suporte)</t>
  </si>
  <si>
    <t>06 - POSTGRESQL - Suporte ao Banco de Dados para Pje</t>
  </si>
  <si>
    <t>Servidor de Banco de Dados Postgres (Suporte)</t>
  </si>
  <si>
    <t>INFRA-PJe - Servidor de Banco de Dados Postgres (Suporte) - Servidor de Banco de Dados Postgres (Suporte)</t>
  </si>
  <si>
    <t>https://www.trt12.jus.br/proad/pages/fichadoprocesso.xhtml?numeroProtocolo=9447&amp;numeroAno=2017&amp;tab=tabFichaDocumento</t>
  </si>
  <si>
    <t>ADOBE LICENÇAS - Manutenção da LICENÇA DE SOFTWARE PACOTE ADOBE - EJUD e SECOM (para 3 anos)</t>
  </si>
  <si>
    <t>EJUD SECOM</t>
  </si>
  <si>
    <t>10620/2020</t>
  </si>
  <si>
    <t>447/2022</t>
  </si>
  <si>
    <t>RP-447/2022</t>
  </si>
  <si>
    <t>MCR SISTEMAS E CONSULTORIA LTDA</t>
  </si>
  <si>
    <t>2022NE000191</t>
  </si>
  <si>
    <t>Locação de softwares</t>
  </si>
  <si>
    <t>LOCAÇÃO DE SOFTWARES</t>
  </si>
  <si>
    <t>Outro</t>
  </si>
  <si>
    <t>Nova contratação</t>
  </si>
  <si>
    <t>NOBREAKS BATERIAS CANCELADA - Aquisição de conjunto de baterias seladas para nobreaks (quantitativo será alvo de estudo no planejamento da contratação)</t>
  </si>
  <si>
    <t>NOBREAKS SURT - Suporte e manutenção dos nobreaks de varas e foros (SURT 15kVA)</t>
  </si>
  <si>
    <t>7005/2020</t>
  </si>
  <si>
    <t>PRE-7005/2020</t>
  </si>
  <si>
    <t>EFL SILVA MANUTENCAO DE NO-BREAKS E GERADORES</t>
  </si>
  <si>
    <t>2022NE000095</t>
  </si>
  <si>
    <t>SERPRO - Contratação de serviço web de acesso a dados</t>
  </si>
  <si>
    <t>SECAJ</t>
  </si>
  <si>
    <t>14060/2018</t>
  </si>
  <si>
    <t>SESUS</t>
  </si>
  <si>
    <t>CD-14060/2018</t>
  </si>
  <si>
    <t>SERPRO - SEDE - BRASILIA</t>
  </si>
  <si>
    <t>Alexandre de Lemos Dias
Diretor do SESUS - Substituto</t>
  </si>
  <si>
    <t>Letícia Fernandes Furtado</t>
  </si>
  <si>
    <t>2022NE000104</t>
  </si>
  <si>
    <t>CERTIFICADOS PJ - Aquisição Certificados Digitais SSL (PJe, domínio trt12.jus.br e siscondj), obrigatório para estabelecer autenticação de confiança entre sistemas de informação. Exigido pela instituição bancária (CERTISIGN).</t>
  </si>
  <si>
    <t>1891/2022</t>
  </si>
  <si>
    <t>2832/2022</t>
  </si>
  <si>
    <t>CD-2832/2022</t>
  </si>
  <si>
    <t>CERTISIGN CERTIFICADORA DIGITAL S.A</t>
  </si>
  <si>
    <t>2022NE000266</t>
  </si>
  <si>
    <t>Emissão de Certificados Digitais</t>
  </si>
  <si>
    <t>EMISSÃO DE CERTIFICADOS DIGITAIS</t>
  </si>
  <si>
    <t>Certificado Digital</t>
  </si>
  <si>
    <t>Dispensa de licitação</t>
  </si>
  <si>
    <t>INTERNET LINK 1 - Contratação de acesso corporativo à internet</t>
  </si>
  <si>
    <t>8016/2019</t>
  </si>
  <si>
    <t>PRE-8016/2019</t>
  </si>
  <si>
    <t>UNIFIQUE TELECOMUNICACOES S/A</t>
  </si>
  <si>
    <t>2022NE000096</t>
  </si>
  <si>
    <t>BACKUP EQUIPAMENTOS - Aquisição de um novo equipamento para atualizar o sistema de backup do datacenter auxiliar.</t>
  </si>
  <si>
    <t>EJ07 - APRIMORAR A SEGURANÇA DA INFORMAÇÃO E A GESTÃO DE DADOS</t>
  </si>
  <si>
    <t>Aquisição de bens de infraestrutura tecnológica</t>
  </si>
  <si>
    <t>GND4</t>
  </si>
  <si>
    <t>Transferido de 2021 para 2022</t>
  </si>
  <si>
    <t>05 - PB enviado</t>
  </si>
  <si>
    <t>8147/2021</t>
  </si>
  <si>
    <t>10394/2021</t>
  </si>
  <si>
    <t>PRE-10394/2021</t>
  </si>
  <si>
    <t>Backup</t>
  </si>
  <si>
    <t>Bem</t>
  </si>
  <si>
    <t>Investimento</t>
  </si>
  <si>
    <t>AUTOCAD LICENÇAS - Contratação/prorrogação de licanças de Autodesk AutoCAD Revit Suite</t>
  </si>
  <si>
    <t xml:space="preserve">Aquisição de produto, peça de reposição, material de consumo e/ou de serviço não continuado de tecnologia da informação e telecomunicações desejável para a melhoria na prestação de serviços.
</t>
  </si>
  <si>
    <t>SPO</t>
  </si>
  <si>
    <t>3 - Desejável</t>
  </si>
  <si>
    <t>02 - DOD emitido</t>
  </si>
  <si>
    <t>1964/2022</t>
  </si>
  <si>
    <t>Baixa</t>
  </si>
  <si>
    <t>SKETCHUP PRO - Licença SketchUp Pro - Trimble (12 meses)</t>
  </si>
  <si>
    <t xml:space="preserve">Contratação/prorrogação de contrato de prestação de serviço continuado de tecnologia da informação e telecomunicações desejável para a melhoria na prestação de serviços.
</t>
  </si>
  <si>
    <t>2265/2022</t>
  </si>
  <si>
    <t>SEGURANÇA SUPORTE - Continuidade do serviço de suporte técnico do Sistema de Softwares de Segurança em uso nas unidades do TRT/SC (SENIOR)</t>
  </si>
  <si>
    <t>CPJUD</t>
  </si>
  <si>
    <t>7825/2020</t>
  </si>
  <si>
    <t>CD-7825/2020</t>
  </si>
  <si>
    <t>SENIOR SISTEMAS S/A</t>
  </si>
  <si>
    <t>Claudionor da Silva</t>
  </si>
  <si>
    <t>2022NE000129</t>
  </si>
  <si>
    <t>https://www.trt12.jus.br/proad/pages/fichadoprocesso.xhtml?numeroProtocolo=7825&amp;numeroAno=2020&amp;tab=tabFichaDocumento</t>
  </si>
  <si>
    <t>Serviço de Suporte de Software</t>
  </si>
  <si>
    <t>SEGURANÇA - Aquisição de câmeras de CFTV e licenças de software para monitoramento de imagens</t>
  </si>
  <si>
    <t xml:space="preserve">Aquisição de produto, peça de reposição, material de consumo e/ou de serviço não continuado de tecnologia da informação e telecomunicações que atende a projeto estratégico, garante a prestação jurisdicional, evita a interrupção da prestação administrativa e/ou atende a normativo.
</t>
  </si>
  <si>
    <t>SSI</t>
  </si>
  <si>
    <t>10812/2020</t>
  </si>
  <si>
    <t>BACKUP FITAS - Aquisição de fitas com capacidade de 12TB (272 unidades) e de limpeza (20 unidades).</t>
  </si>
  <si>
    <t>Material de Consumo</t>
  </si>
  <si>
    <t>NOBREAKS SYMMETRA - Suporte e manutenção de nobreaks do datacenter - SYMMETRA</t>
  </si>
  <si>
    <t>3731/2021</t>
  </si>
  <si>
    <t>5228/2020</t>
  </si>
  <si>
    <t>CD-5228/2020</t>
  </si>
  <si>
    <t>2022NE000229</t>
  </si>
  <si>
    <t>https://www.trt12.jus.br/proad/pages/fichadoprocesso.xhtml?numeroProtocolo=5228&amp;numeroAno=2020&amp;tab=tabFichaDocumento</t>
  </si>
  <si>
    <t>CERTIFICADOS PF - Aquisição de certificados digitais (tokens) para pessoa física, para todo o Estado</t>
  </si>
  <si>
    <t>2836/2022</t>
  </si>
  <si>
    <t>4057/2020</t>
  </si>
  <si>
    <t>PRE-4057/2020</t>
  </si>
  <si>
    <t>Lis Pavin Nemmen
Assistente Chefe de Setor</t>
  </si>
  <si>
    <t>2022NE000237</t>
  </si>
  <si>
    <t>SWITCHES EQUIPAMENTOS - Ampliação da capacidade da rede SAN, que conecta os equipamentos servidores e sistema de backup às unidades de armazenamento.</t>
  </si>
  <si>
    <t>9109/2021</t>
  </si>
  <si>
    <t>Equipamentos de TIC - telefonia</t>
  </si>
  <si>
    <t>EQUIPAMENTOS E MATERIAL PERMANENTE</t>
  </si>
  <si>
    <t>EQUIPAMENTOS DE TIC - TELEFONIA</t>
  </si>
  <si>
    <t>Ativo de Rede</t>
  </si>
  <si>
    <t>DRUPAL SUPORTE - Suporte técnico para o portal de internet e intranet do TRT12, em tecnologia DRUPAL 8</t>
  </si>
  <si>
    <t>Contratação de serviços para o desenvolvimento e a sustentação de software</t>
  </si>
  <si>
    <t>12196/2021</t>
  </si>
  <si>
    <t>SEDES</t>
  </si>
  <si>
    <t>Carlos Eduardo Mazzi
Diretor do SEDES</t>
  </si>
  <si>
    <t>Carlos Eduardo Mazzi</t>
  </si>
  <si>
    <t>Consultoria em tecnologia da informação e comunicação</t>
  </si>
  <si>
    <t>SERVIÇOS DE CONSULTORIA</t>
  </si>
  <si>
    <t>CONSULTORIA EM TECNOLOGIA DA INFORMAÇÃO E COMUNICAÇÃO</t>
  </si>
  <si>
    <t>JT-FONE - Serviço de envio de mensagens SMS (JT-fone)</t>
  </si>
  <si>
    <t>5595/2020</t>
  </si>
  <si>
    <t>FÁBRICA - Contratação de fábrica de software para plataforma JEE</t>
  </si>
  <si>
    <t>EJ02 - PROMOVER A TRANSFORMAÇÃO DIGITAL</t>
  </si>
  <si>
    <t>Desenvolvimento de software</t>
  </si>
  <si>
    <t>DESENVOLVIMENTO DE SOFTWARE</t>
  </si>
  <si>
    <t>SEGURANÇA MANUTENÇÃO - Contratação de serviços de manutenção preventiva e corretiva, com eventual fornecimento de peças de reposição, para as câmeras IP e outros equipamentos que compõem o sistema de imagens de segurança.</t>
  </si>
  <si>
    <t>BI SOFTWARE - Contratação de uso de software em nuvem, para gerar relatórios e informações gerenciais para apoio à decisão e à gestão</t>
  </si>
  <si>
    <t>Contratação de softwares para o desenvolvimento e a sustentação de software</t>
  </si>
  <si>
    <t>Valores das linhas de base iniciais transferidos do ID 2020 15187</t>
  </si>
  <si>
    <t>12010/2020</t>
  </si>
  <si>
    <t>RP-12010/2020</t>
  </si>
  <si>
    <t>LANLINK INFORMATICA LTDA</t>
  </si>
  <si>
    <t>2022NE000105</t>
  </si>
  <si>
    <t>AUDIÊNCIAS ZOOM - Viabilizar a continuidade de audiências, sessões e reuniões por meio de videoconferências (Zoom)</t>
  </si>
  <si>
    <t>150/2022</t>
  </si>
  <si>
    <t>1038/2021</t>
  </si>
  <si>
    <t>RP-1038/2021</t>
  </si>
  <si>
    <t>XP ON CONSULTORIA LTDA</t>
  </si>
  <si>
    <t>Roberto Masami Nakajo</t>
  </si>
  <si>
    <t>2022NE000108</t>
  </si>
  <si>
    <t>BANCO DE DADOS ORACLE - Contratação de suporte e atualização de licenças Oracle, para os sistemas PROAD, SIGEP</t>
  </si>
  <si>
    <t>9758/2021</t>
  </si>
  <si>
    <t>CD-9758/2021</t>
  </si>
  <si>
    <t>ORACLE DO BRASIL SISTEMAS LTDA</t>
  </si>
  <si>
    <t>2022NE000124</t>
  </si>
  <si>
    <t>INFRA - Plataforma de Banco de Dados Oracle (Suporte)</t>
  </si>
  <si>
    <t>Plataforma de Banco de Dados Oracle (Suporte)</t>
  </si>
  <si>
    <t>INFRA - Plataforma de Banco de Dados Oracle (Suporte) - Plataforma de Banco de Dados Oracle (Suporte)</t>
  </si>
  <si>
    <t>https://www.trt12.jus.br/proad/pages/fichadoprocesso.xhtml?numeroProtocolo=9758&amp;numeroAno=2021&amp;tab=tabFichaDocumento</t>
  </si>
  <si>
    <t>Licenças de Banco de Dados</t>
  </si>
  <si>
    <t>ANTIVÍRUS - Aquisição de licenças de solução de antivírus com suporte e atualização, para proteção contra ameaças externas (continua o 1366/2017, ID 15004)</t>
  </si>
  <si>
    <t>2021 ok SIGEO ok</t>
  </si>
  <si>
    <t>9019/2021</t>
  </si>
  <si>
    <t>RP-9019/2021</t>
  </si>
  <si>
    <t>ISH TECNOLOGIA S/A</t>
  </si>
  <si>
    <t>2022NE000125</t>
  </si>
  <si>
    <t>SEGURANÇA - Solução de Antivírus (Suporte)</t>
  </si>
  <si>
    <t>Solução de Antivírus (Suporte)</t>
  </si>
  <si>
    <t>SEGURANÇA - Solução de Antivírus (Suporte) - Solução de Antivírus (Suporte)</t>
  </si>
  <si>
    <t>https://www.trt12.jus.br/proad/pages/fichadoprocesso.xhtml?numeroProtocolo=9019&amp;numeroAno=2021&amp;tab=tabFichaDocumento</t>
  </si>
  <si>
    <t>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t>
  </si>
  <si>
    <t>3551/2021</t>
  </si>
  <si>
    <t>148/2022</t>
  </si>
  <si>
    <t>INEXIGIBILIDADE</t>
  </si>
  <si>
    <t>CD-148/2022</t>
  </si>
  <si>
    <t>SCHNEIDER ELECTRIC BRASIL LTDA</t>
  </si>
  <si>
    <t>2022NE000190</t>
  </si>
  <si>
    <t>SIABI - Contratação de suporte técnico e atualização de licenças do software de gerenciamento de bibliotecas</t>
  </si>
  <si>
    <t>SEJUP</t>
  </si>
  <si>
    <t>532/2022</t>
  </si>
  <si>
    <t>2689/2021</t>
  </si>
  <si>
    <t>CD-2689/2021</t>
  </si>
  <si>
    <t>W J SERVICOS DE INFORMATICA LTDA</t>
  </si>
  <si>
    <t>Kátia Alberto Jeremias Monticelli</t>
  </si>
  <si>
    <t>2022NE000094</t>
  </si>
  <si>
    <t>MICROCOMPUTADORES - Aquisição de microcomputadores modelo mini desktop tipo 2 com wi-fi</t>
  </si>
  <si>
    <t>Aquisição de bens de microinformática</t>
  </si>
  <si>
    <t>9944/2021</t>
  </si>
  <si>
    <t>Equipamentos de TIC - computadores</t>
  </si>
  <si>
    <t>EQUIPAMENTOS DE TIC – COMPUTADORES</t>
  </si>
  <si>
    <t>Infraestrutura para usuários 
(estações de trabalho, impressoras, monitores, webcam, etc.)</t>
  </si>
  <si>
    <t>IMPRESSORAS - Aquisição de impressoras de pequeno porte convencionais</t>
  </si>
  <si>
    <t>Equipamentos de TIC - impressoras</t>
  </si>
  <si>
    <t>EQUIPAMENTOS DE TIC - IMPRESSORAS</t>
  </si>
  <si>
    <t xml:space="preserve">SALA COFRE 2017 - Contratação de manutenção de sala cofre, que abriga o Datacenter principal, onde são armazenados todos os dados e os equipamentos de processamento de dados corporativos </t>
  </si>
  <si>
    <t>6133/2017</t>
  </si>
  <si>
    <t>PRE-6133/2017</t>
  </si>
  <si>
    <t>GREEN4T SOLUCOES TI LTDA.</t>
  </si>
  <si>
    <t>2022NE000126</t>
  </si>
  <si>
    <t>INFRA - Serviços de Manutenção e Suporte das Soluções de Segurança Física dos Datacenters da Justiça do Trabalho (Salas-Cofre)</t>
  </si>
  <si>
    <t>04 - SALA-COFRE Suporte e Manutenção</t>
  </si>
  <si>
    <t>Serviços de Manutenção e Suporte das Soluções de Segurança Física dos Datacenters da Justiça do Trabalho (Salas-Cofre)</t>
  </si>
  <si>
    <t>INFRA - Serviços de Manutenção e Suporte das Soluções de Segurança Física dos Datacenters da Justiça do Trabalho (Salas-Cofre) - Serviços de Manutenção e Suporte das Soluções de Segurança Física dos Datacenters da Justiça do Trabalho (Salas-Cofre)</t>
  </si>
  <si>
    <t>https://www.trt12.jus.br/proad/pages/fichadoprocesso.xhtml?numeroProtocolo=6133&amp;numeroAno=2017&amp;tab=tabFichaDocumento</t>
  </si>
  <si>
    <t>MÍDIAS SERVIÇO - Contratação de serviço/espaço de armazenamento para mídias</t>
  </si>
  <si>
    <t>Armazenamento</t>
  </si>
  <si>
    <t>MICROCOMPUTADORES - Aquisição de lote câmeras tipo webcam para uso em monitores convencionais</t>
  </si>
  <si>
    <t>ARP_ADESAO</t>
  </si>
  <si>
    <t xml:space="preserve">AUDIÊNCIAS - Solução para indexação e marcação de videoconferências das audiências </t>
  </si>
  <si>
    <t>INTERNET LINK 3 - Contratação de acesso corporativo à internet (substitui LINK 1)</t>
  </si>
  <si>
    <t>1358/2022</t>
  </si>
  <si>
    <t>2049/2022</t>
  </si>
  <si>
    <t>PRE-2049/2022</t>
  </si>
  <si>
    <t>PRODENT - Contratação de suporte e atualização para licenças de software odontológico</t>
  </si>
  <si>
    <t>SAÚDE</t>
  </si>
  <si>
    <t>2407/2022</t>
  </si>
  <si>
    <t>5707/2021</t>
  </si>
  <si>
    <t>CD-5707/2021</t>
  </si>
  <si>
    <t>HARTSYSTEM SISTEMAS LTDA</t>
  </si>
  <si>
    <t>Dolores Cunha de Amorim Santos</t>
  </si>
  <si>
    <t>2022NE000103</t>
  </si>
  <si>
    <t>SO SUPORTE - Contratação de suporte e operação de infraestrutura de TIC/PJe - PO CSJT, inclui suporte Linux, contrato obrigatório dedicado ao PJe</t>
  </si>
  <si>
    <t>6789/2021</t>
  </si>
  <si>
    <t>PRE-6789/2021</t>
  </si>
  <si>
    <t>TELTEC SOLUTIONS LTDA</t>
  </si>
  <si>
    <t>2022NE000107</t>
  </si>
  <si>
    <t>INFRA-PJe - Sistema Operacional (Suporte)</t>
  </si>
  <si>
    <t>08 - LINUX - Suporte para o Sistema Operacional para o Pje</t>
  </si>
  <si>
    <t>Sistema Operacional (Suporte)</t>
  </si>
  <si>
    <t>INFRA-PJe - Sistema Operacional (Suporte) - Sistema Operacional (Suporte)</t>
  </si>
  <si>
    <t>VIDEOCONFERÊNCIAS EQUIPAMENTOS - Aquisição de câmeras com microfone</t>
  </si>
  <si>
    <t>8623/2021</t>
  </si>
  <si>
    <t>NOBREAKS EQUIPAMENTOS - Aquisição de equipamentos de 8 e 10 kVA</t>
  </si>
  <si>
    <t>3569/2021</t>
  </si>
  <si>
    <t>9240/2021</t>
  </si>
  <si>
    <t>PRE-9240/2021</t>
  </si>
  <si>
    <t>Material de TIC (permanente)</t>
  </si>
  <si>
    <t>MATERIAL DE TIC (PERMANENTE)</t>
  </si>
  <si>
    <t>NOBREAKS BATERIAS - Aquisição baterias dos Nobreaks de 40kVA (SUVT)</t>
  </si>
  <si>
    <t>IMPRESSORAS MANUTENÇÃO - Contatação de manutenção de impressoras multifuncionais Lexmark MX722</t>
  </si>
  <si>
    <t>INTERNET LINK 4 - Contratação de acesso corporativo à internet (substitui LINK 2)</t>
  </si>
  <si>
    <t>9016/2021</t>
  </si>
  <si>
    <t>PRE-9016/2021</t>
  </si>
  <si>
    <t>2022NE000273</t>
  </si>
  <si>
    <t>NUVEM GOOGLE 2 - Contratação de licença de uso de serviço de nuvem de comunicação e colaboração (varas), com ampliação do serviço de armazenamento em nuvem, dado que várias contas têm extrapolado o limite de 30GB estabelecido no contrato 11741/2017.</t>
  </si>
  <si>
    <t>1175/2022</t>
  </si>
  <si>
    <t>Licença de Google Workspace</t>
  </si>
  <si>
    <t>NUVEM GOOGLE - Contratação de licença de uso de serviço de nuvem de comunicação e colaboração (substitui 15072 e 15382)</t>
  </si>
  <si>
    <t>Juntada com o item 15382, cancelado, que será adiado para contrtação conjunta</t>
  </si>
  <si>
    <t xml:space="preserve">SALA COFRE 2022 - Contratação de manutenção de sala cofre, que abriga o Datacenter principal, onde são armazenados todos os dados e os equipamentos de processamento de dados corporativos. </t>
  </si>
  <si>
    <t>substitui o 15364, que substituiu o 15059, após alteração na razão social e CNPJ em 2021</t>
  </si>
  <si>
    <t>2207/2022</t>
  </si>
  <si>
    <t>Infraestrutura de Data Center</t>
  </si>
  <si>
    <t>Manutenção das Licenças do Software ADOBE Photoshop, usados pela SECOM. As referidas licenças possuem prazo de vigência de 12 meses.</t>
  </si>
  <si>
    <t>SECOM</t>
  </si>
  <si>
    <t>12180/2021</t>
  </si>
  <si>
    <t>VMWARE LICENÇA - Licença perpétua do VS7-EPL-C com suporte e subscrição Basic por 5 anos (item 2 do DOD)</t>
  </si>
  <si>
    <t>Não entrou na POP 2022; verificar se haverá orçamento descentralizado (168107) ou se usará orçamento próprio (169105)</t>
  </si>
  <si>
    <t>12634/2021</t>
  </si>
  <si>
    <t>Aquisição de software pronto</t>
  </si>
  <si>
    <t>SERVIÇOS DE TECNOLOGIA DA INFORMAÇÃO E COMUNICAÇÃO – PJ</t>
  </si>
  <si>
    <t>AQUISIÇÃO DE SOFTWARE PRONTO</t>
  </si>
  <si>
    <t>Licença para Softwares de Ambiente Virtual</t>
  </si>
  <si>
    <t>VMWARE SUPORTE - Suporte e Subscrição Production e Basic, para o VMware vCenter Server 7 Standard for vSphere 7, por 5 anos (itens 1 e 3 do DOD)</t>
  </si>
  <si>
    <t>ASSYST - Contratação de suporte e atualização de licenças da solução de gerenciamento de serviços e registro de chamadas de TIC (2022)</t>
  </si>
  <si>
    <t>1353/2022</t>
  </si>
  <si>
    <t>REDE JT CIASC - Contratação de links de alto desempenho para as conexões de dados entre as unidades do TRT - 2022</t>
  </si>
  <si>
    <t>DISPENSA_DEMAIS_CASOS</t>
  </si>
  <si>
    <t>BACKUP SOFTWARE - Licença para software de backup</t>
  </si>
  <si>
    <t>5 - Próximo PCTIC</t>
  </si>
  <si>
    <t>PRÓXIMO PAAC</t>
  </si>
  <si>
    <t>CENTRAL DE SERVIÇOS - Contratação de serviços de suporte de TIC em 1º e 2º níveis - 2019, para fornecimento de técnicos terceirizados para atendimento aos chamados de TIC, no Estado. (Reconhecimento de dívida de exercício anterior)</t>
  </si>
  <si>
    <t>2022NE000117</t>
  </si>
  <si>
    <t>Complemento</t>
  </si>
  <si>
    <t>AUDIÊNCIAS - Viabilizar a continuidade de audiências, sessões e reuniões por meio de videoconferências (Zoom) (Reconhecimento de dívida de exercício anterior)</t>
  </si>
  <si>
    <t>2022NE000250</t>
  </si>
  <si>
    <t>ASSYST - Contratação de suporte e atualização de licenças da solução de gerenciamento de serviços e registro de chamadas de TIC. (Reconhecimento de dívida de exercício anterior)</t>
  </si>
  <si>
    <t>2022NE000100</t>
  </si>
  <si>
    <t>SO - Contratação de suporte e operação de infraestrutura de TIC/PJe - PO CSJT, inclui suporte Linux, contrato obrigatório dedicado ao PJe (Reconhecimento de dívida de exercício anterior)</t>
  </si>
  <si>
    <t>2022NE000116</t>
  </si>
  <si>
    <t>CERTIFICADOS PJ - Aquisição Certificados Digitais SSL (PJe, domínio trt12.jus.br e siscondj), obrigatório para estabelecer autenticação de confiança entre sistemas de informação. Exigido pela instituição bancária (HZ PORTAIS).</t>
  </si>
  <si>
    <t>HZ PORTAIS DE INTERNET LTDA</t>
  </si>
  <si>
    <t>2022NE000267</t>
  </si>
  <si>
    <t>SIABI MEMORIAL - Licenças e serviços de suporte técnico e manutenção para o SIABI (Sistema de software
Automação de Bibliotecas, Arquivos, museus e Memoriais) com direito a versões
atualizadas.</t>
  </si>
  <si>
    <t>2754/2022</t>
  </si>
  <si>
    <t>NOBREAK EQUIPAMENTOS - Fornecimento de energia elétrica estabilizada e ininterrupta ao data center principal (equipamentos de 40 e 80 kVA)</t>
  </si>
  <si>
    <t>2760/2022</t>
  </si>
  <si>
    <t>NOBREAKS SYMMETRA - Suporte e manutenção de nobreaks do datacenter - SYMMETRA (complemento por mudança de CNPJ da contratada)</t>
  </si>
  <si>
    <t>2022NE000289</t>
  </si>
  <si>
    <t>Tribunal</t>
  </si>
  <si>
    <t>Área Demandante</t>
  </si>
  <si>
    <t>Nome do Objeto</t>
  </si>
  <si>
    <t>Descrição do Objeto</t>
  </si>
  <si>
    <t>Tipo de objeto</t>
  </si>
  <si>
    <t>Natureza do objeto</t>
  </si>
  <si>
    <t>Quantidade</t>
  </si>
  <si>
    <t>Identificador</t>
  </si>
  <si>
    <t>Modalidade de contratação</t>
  </si>
  <si>
    <t>Data estimada para 
contratação/renovação</t>
  </si>
  <si>
    <t>Estimativa de 
custos totais</t>
  </si>
  <si>
    <t>Valor estimado 
para o exercício</t>
  </si>
  <si>
    <t>Justificativa</t>
  </si>
  <si>
    <t>Correlacionado com outras contratações ou objetos</t>
  </si>
  <si>
    <t>Identificador SIGEO</t>
  </si>
  <si>
    <t>Liq NE 2022</t>
  </si>
  <si>
    <t>Liq Total 2022</t>
  </si>
  <si>
    <t>Liq RP</t>
  </si>
  <si>
    <t>B+D (SIGEO)</t>
  </si>
  <si>
    <t>C (PROAD)</t>
  </si>
  <si>
    <t>Dif</t>
  </si>
  <si>
    <t>PROAD</t>
  </si>
  <si>
    <t>Total geral</t>
  </si>
  <si>
    <t>PORTAL - Suporte técnico para o portal de internet e intranet do TRT12, em tecnologia DRUPAL 8</t>
  </si>
  <si>
    <t>7285/2020</t>
  </si>
  <si>
    <t>NUVEM Google 1 - Contratação de licença de uso de serviço de nuvem de comunicação e colaboração</t>
  </si>
  <si>
    <t>SEGURANÇA - Continuidade do serviço de suporte técnico do Sistema de Softwares de Segurança em uso nas unidades do TRT/SC (SENIOR)</t>
  </si>
  <si>
    <t>AUDIÊNCIAS - Viabilizar a continuidade de audiências, sessões e reuniões por meio de videoconferências (Zoom)</t>
  </si>
  <si>
    <t>BANCO DE DADOS - Contratação de suporte e atualização de licenças Oracle, para os sistemas PROAD, SIGEP</t>
  </si>
  <si>
    <t>SO - Contratação de suporte e operação de infraestrutura de TIC/PJe - PO CSJT, inclui suporte Linux, contrato obrigatório dedicado ao PJe</t>
  </si>
  <si>
    <t xml:space="preserve">NOBREAKS SURT - Suporte e manutenção dos nobreaks SURT 8kVA das Varas e Foros do interior (há indicativo preliminar de que a aquisição de novos equipamentos pode ser mais vantajosa para o TRT, o que será definido pelo planejamento da contratação) </t>
  </si>
  <si>
    <t>SCANNER - Contratação de manutenção dos scanneres para remessa de processo ao TST - SECART (Kodak i4600 e Fujitsu fi-6800)</t>
  </si>
  <si>
    <t>NOBREAKS SYMMETRA - Suporte e manutenção de nobreaks do datacenter (SYMMETRA)</t>
  </si>
  <si>
    <t>BI - Contratação de uso de software em nuvem, para gerar relatórios e informações gerenciais para apoio à decisão e à gestão</t>
  </si>
  <si>
    <t>Unidade Orçamentária</t>
  </si>
  <si>
    <t>Exercício</t>
  </si>
  <si>
    <t>Nome Planejamento</t>
  </si>
  <si>
    <t>Tipo de Planejamento</t>
  </si>
  <si>
    <t>Código do Item</t>
  </si>
  <si>
    <t>Código do Programa de Trabalho</t>
  </si>
  <si>
    <t>Programa de Trabalho</t>
  </si>
  <si>
    <t>Código do Plano Orçamentário</t>
  </si>
  <si>
    <t>Plano Orçamentário</t>
  </si>
  <si>
    <t>Fonte</t>
  </si>
  <si>
    <t>Elemento de Despesa</t>
  </si>
  <si>
    <t>Sigla do Setor</t>
  </si>
  <si>
    <t>Tipo Item</t>
  </si>
  <si>
    <t>Planejamento Estratégico Institucional</t>
  </si>
  <si>
    <t>Área Temática</t>
  </si>
  <si>
    <t>Sub Elemento de Despesa</t>
  </si>
  <si>
    <t>Valor Anterior</t>
  </si>
  <si>
    <t>Exercício Referência</t>
  </si>
  <si>
    <t>Unidade de Medida</t>
  </si>
  <si>
    <t>Valor Unitário Médio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</si>
  <si>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</si>
  <si>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</si>
  <si>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</si>
  <si>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</si>
  <si>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</si>
  <si>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</si>
  <si>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</si>
  <si>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</si>
  <si>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</si>
  <si>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</si>
  <si>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</si>
  <si>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</si>
  <si>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Valor Planejado</t>
  </si>
  <si>
    <t>Memória de Cálculo</t>
  </si>
  <si>
    <t>Essencialidade</t>
  </si>
  <si>
    <t>ID</t>
  </si>
  <si>
    <t>Valor</t>
  </si>
  <si>
    <t>TRIBUNAL REGIONAL DO TRABALHO DA 12A. REGIAO</t>
  </si>
  <si>
    <t>Proposta 2022 - II</t>
  </si>
  <si>
    <t>Proposta Orçamentária</t>
  </si>
  <si>
    <t>02122003342560042</t>
  </si>
  <si>
    <t>Apreciação de Causas na Justiça do Trabalho - No Estado de Santa Catarina</t>
  </si>
  <si>
    <t>Apreciação de Causas na Justiça do Trabalho - Despesas Diversas</t>
  </si>
  <si>
    <t>3.3.90.30 - MATERIAL DE CONSUMO</t>
  </si>
  <si>
    <t>(ID PAAC 15201) NOBREAKS BATERIAS - Aquisição de conjunto de baterias seladas para nobreaks (quantitativo será alvo de estudo no planejamento da contratação)</t>
  </si>
  <si>
    <t>Informática</t>
  </si>
  <si>
    <t>(ID PAAC 15310) SEGURANÇA - Aquisição de câmeras de CFTV e licenças de software para monitoramento de imagens</t>
  </si>
  <si>
    <t>(ID PAAC 15367) MICROCOMPUTADORES - Aquisição de lote câmeras tipo webcam para uso em monitores convencionais</t>
  </si>
  <si>
    <t>3.3.90.35 - SERVICOS DE CONSULTORIA</t>
  </si>
  <si>
    <t>(ID PAAC 15329) Suporte técnico para o portal de internet e intranet do TRT12, em tecnologia DRUPAL 8</t>
  </si>
  <si>
    <t>3.3.90.36 - OUTROS SERVICOS DE TERCEIROS - PESSOA FISICA</t>
  </si>
  <si>
    <t>(ID PAAC 15314) NOBREAKS SYMMETRA - Suporte e manutenção de nobreaks do datacenter (SYMMETRA) - 2020</t>
  </si>
  <si>
    <t>3.3.90.40 - SERVIÇOS DE TECNOLOGIA DA INFORMAÇÃO E COMUNICAÇÃO - PJ</t>
  </si>
  <si>
    <t xml:space="preserve">(ID PAAC 15017) NOBREAKS SURT - Suporte e manutenção dos nobreaks SURT 8kVA das Varas e Foros do interior (há indicativo preliminar de que a aquisição de novos equipamentos pode ser mais vantajosa para o TRT, o que será definido pelo planejamento da contratação) </t>
  </si>
  <si>
    <t>(ID PAAC 15371) PRODENT - Contratação de suporte e atualização para licenças de software odontológico</t>
  </si>
  <si>
    <t>(ID PAAC 15055) CELESC - Contratação de uso de postes (passagem da fibra óptica - locação CELESC) para conexão redundante entre o datacenter principal e auxiliar (Sede/Utrillo)</t>
  </si>
  <si>
    <t>(ID PAAC 15057) INTERNET - Contratação de acesso corporativo à internet - Link 2, como redundância em relação ao acesso principal</t>
  </si>
  <si>
    <t>(ID PAAC 15060) CENTRAL DE SERVIÇOS - Contratação de serviços de suporte de TIC em 1º e 2º níveis - 2019, para fornecimento de técnicos terceirizados para atendimento aos chamados de TIC, no Estado.</t>
  </si>
  <si>
    <t>(ID PAAC 15066) INTERNET - Contratação de linhas de internet móvel conforme Ato CSJT 43/2013. O quantitativo deve ser confirmado pelos estudos da contração.</t>
  </si>
  <si>
    <t>(ID PAAC 15072) NUVEM - Contratação de licença de uso de serviço de nuvem de comunicação e colaboração (Google)</t>
  </si>
  <si>
    <t>(ID PAAC 15099) RESERVA - Fundo de reserva e materiais diversos, para despesas imprevisíveis e reserva para capacitação a ser transferida tempestivamente à SEDUC</t>
  </si>
  <si>
    <t>(ID PAAC 15107) SCANNER - Contratação de manutenção dos scanneres para remessa de processo ao TST - SECART (Kodak i4600 e Fujitsu fi-6800)</t>
  </si>
  <si>
    <t>(ID PAAC 15166) LICENÇAS - Manutenção da LICENÇA DE SOFTWARE PACOTE ADOBE - EJUD e SECOM (para 3 anos)</t>
  </si>
  <si>
    <t>(ID PAAC 15220) NOBREAKS SURT - Suporte e manutenção dos nobreaks de varas e foros (SURT 15kVA)</t>
  </si>
  <si>
    <t>(ID PAAC 15244) SERPRO - Contratação de serviço web de acesso a dados</t>
  </si>
  <si>
    <t>(ID PAAC 15254) CERTIFICADOS PJ - Aquisição Certificados Digitais SSL (PJe, domínio trt12.jus.br e siscondj), obrigatório para estabelecer autenticação de confiança entre sistemas de informação. Exigido pela instituição bancária (BB).</t>
  </si>
  <si>
    <t>(ID PAAC 15259) INTERNET - Contratação de acesso principal corporativo à internet - LINK 1</t>
  </si>
  <si>
    <t>(ID PAAC 15306) AUTOCAD - Contratação/prorrogação de licanças de Autodesk AutoCAD Revit LT Suite 2019</t>
  </si>
  <si>
    <t>(ID PAAC 15308) SEGURANÇA - Continuidade do serviço de suporte técnico do Sistema de Softwares de Segurança em uso nas unidades do TRT/SC (SENIOR) - 2021</t>
  </si>
  <si>
    <t>(ID PAAC 15315) CERTIFICADOS PF - Aquisição de certificados digitais (tokens) para pessoa física, para todo o Estado - 2022</t>
  </si>
  <si>
    <t>(ID PAAC 15332) FÁBRICA - Contratação de fábrica de software para plataforma JEE - 2021</t>
  </si>
  <si>
    <t>(ID PAAC 15347) SEGURANÇA - Contratação de serviços de manutenção preventiva e corretiva, com eventual fornecimento de peças de reposição, para as câmeras IP e outros equipamentos que compõem o sistema de imagens de segurança.</t>
  </si>
  <si>
    <t>(ID PAAC 15349) BI - Contratação de uso de software em nuvem, para gerar relatórios e informações gerenciais para apoio à decisão e à gestão - 2020</t>
  </si>
  <si>
    <t>(ID PAAC 15357) NOBREAKS SUVT - Suporte e manutenção dos nobreaks do Datacenter e circuitos essenciais do Foro de Florianópolis e para a SEDE SUVT 40kVA (há indicativo preliminar de que a aquisição de novos equipamentos pode ser mais vantajosa para o TRT, o que será definido pelo planejamento da contratação)</t>
  </si>
  <si>
    <t>(ID PAAC 15360) SIABI - Contratação de suporte técnico e atualização de licenças do software de gerenciamento de bibliotecas</t>
  </si>
  <si>
    <t>(ID PAAC 15366) NUVEM - Contratação de serviço/espaço de armazenamento para mídias</t>
  </si>
  <si>
    <t xml:space="preserve">(ID PAAC 15368) AUDIÊNCIAS - Solução para indexação e marcação de videoconferências das audiências </t>
  </si>
  <si>
    <t>4.4.90.52 - EQUIPAMENTOS E MATERIAL PERMANENTE</t>
  </si>
  <si>
    <t>(ID PAAC 15361) MICROCOMPUTADORES - Aquisição de um lote microcomputadores modelo mini desktop tipo 2 com wi-fi</t>
  </si>
  <si>
    <t>(ID PAAC 15362) IMPRESSORAS - Aquisição de um lote  impressoras multifuncionais, convencionais e coloridas</t>
  </si>
  <si>
    <t>Manutenção e Gestão dos Serviços e Sistemas de Tecnologia da Informação</t>
  </si>
  <si>
    <t>(ID PAAC 15018) ASSYST - Contratação de suporte e atualização de licenças da solução de gerenciamento de serviços e registro de chamadas de TIC.</t>
  </si>
  <si>
    <t>(ID PAAC 15389) ASSYST - Contratação de suporte e atualização de licenças da solução de gerenciamento de serviços e registro de chamadas de TIC (2022)</t>
  </si>
  <si>
    <t>(ID PAAC 15056) REDE JT - Ciasc - Contratação de links de alto desempenho para as conexões de dados entre as unidades do TRT</t>
  </si>
  <si>
    <t>(ID PAAC 15390) REDE JT CIASC - Contratação de links de alto desempenho para as conexões de dados entre as unidades do TRT - 2022</t>
  </si>
  <si>
    <t>(ID PAAC 15070) REDE JT - Alt - Contratação de links para conexão da sede com as unidades do interior do estado.</t>
  </si>
  <si>
    <t>(ID PAAC 15151) BANCO DE DADOS - Contratação de monitoramento remoto e suporte técnico para os bancos de dados Oracle, PostgreSQL e MySQL, contratado como item obrigatório do CSJT</t>
  </si>
  <si>
    <t>(ID PAAC 15373) SO - Contratação de suporte e operação de infraestrutura de TIC/PJe - PO CSJT, inclui suporte Linux, contrato obrigatório dedicado ao PJe</t>
  </si>
  <si>
    <t>(ID PAAC 15353) AUDIÊNCIAS - Viabilizar a continuidade de audiências, sessões e reuniões por meio de videoconferências (Zoom) - 2021</t>
  </si>
  <si>
    <t>(ID PAAC 15355) BANCO DE DADOS - Contratação de suporte e atualização de licenças Oracle, para os sistemas PROAD, SIGEP - 2021</t>
  </si>
  <si>
    <t>(ID PAAC 15356) ANTIVÍRUS - Aquisição de licenças de solução de antivírus com suporte e atualização, para proteção contra ameaças externas (continua o 1366/2017, ID 15004) - 2021</t>
  </si>
  <si>
    <t>(ID PAAC 15364) SALA COFRE - Contratação de manutenção de sala cofre, que abriga o Datacenter principal, onde são armazenados todos os dados e os equipamentos de processamento de dados corporativos.</t>
  </si>
  <si>
    <t xml:space="preserve">(ID PAAC 15384) SALA COFRE 2022 - Contratação de manutenção de sala cofre, que abriga o Datacenter principal, onde são armazenados todos os dados e os equipamentos de processamento de dados corporativos (substitui o 15364, que substituiu o 15059, após alteração na razão social e CNPJ em 2021). </t>
  </si>
  <si>
    <t>PROAD 5228/2020 (PAAC ID 15899)
De: SESUP 
Para: SEOF
Assunto: SETIC - Solicitação de emissão de Nota de Empenho
Sr. Diretor da SEOF,
Solicitamos a emissão de Nota de Empenho para o exercício de 2022, conforme dados a seguir:
Processo: CD-5228/2020 
Valor Estimado: R$ 44.431,85  
Descrição: (ID PAAC 15899) NOBREAKS SYMMETRA - Suporte e manutenção de nobreaks do datacenter - SYMMETRA (complemento por mudança de CNPJ da contratada) 
CNPJ/Código Favorecido: #N/A 
Razão Social: #N/A 
Ptres: 168105 
Apreciação de Causas na Justiça do Trabalho 
Natureza da Despesa: 33904012 
SERVIÇOS DE TECNOLOGIA DA INFORMAÇÃO E COMUNICAÇÃO - TIC 
MANUTENÇÃO E CONSERVAÇÃO DE EQUIPAMENTOS DE TIC  
Em 12/04/2022,
Atenciosamente,
Márcio César Jacinto
Diretor do SESUP - Substituto 
José Eduardo Amaral de Oliveira Teixeira 
Assistente-Chefe do EACTIC
Proceda-se ao solicitado,
Alécio José Riffel
Diretor da SEOF</t>
  </si>
  <si>
    <t>PROAD 5228/2020 (PAAC ID 15314)
De: SESUP 
Para: SEOF
Assunto: Solicitação de ajuste no valor empenhado para o contrato
Sr. Diretor da SEOF,
Solicitamos reforço de Nota de Empenho, conforme dados a seguir:
Processo: CD-5228/2020 
Nota de Empenho: 2022NE000229 
Valor a reforçar: R$ 44.431,85 (estimado para 6 parcela(s), além do valor de R$ 53.318,22 já empenhado na referida nota) 
Descrição: (ID PAAC 15314) NOBREAKS SYMMETRA - Suporte e manutenção de nobreaks do datacenter - SYMMETRA 
Em 12/04/2022,
Atenciosamente,
Márcio César Jacinto
Diretor do SESUP - Substituto 
José Eduardo Amaral de Oliveira Teixeira 
Assistente-Chefe do EACTIC
Proceda-se ao solicitado,
Alécio José Riffel
Diretor da SEOF</t>
  </si>
  <si>
    <t>PCTIC 2022 - Relação de Itens Selecionados</t>
  </si>
  <si>
    <t>Total</t>
  </si>
  <si>
    <t>PCTIC 2021 - Evolução Orçamentária</t>
  </si>
  <si>
    <t>POP 2021</t>
  </si>
  <si>
    <t>PCTIC 2021</t>
  </si>
  <si>
    <t>Projetado</t>
  </si>
  <si>
    <t>Id SETIC</t>
  </si>
  <si>
    <t>Proposta LOA 2021</t>
  </si>
  <si>
    <t>(ID PAAC 15099) Fundo de reserva e materiais diversos</t>
  </si>
  <si>
    <t>(ID PAAC 15233) NOBREAKS - Aquisição de baterias seladas (12V/5Ah) para utilização nos nobreaks SURT8000XLI/SURT15KRMXLI, para o interior do Estado</t>
  </si>
  <si>
    <t>(ID PAAC 15314) NOBREAKS - Suporte e manutenção de nobreaks do datacenter (APC SYMMETRA)</t>
  </si>
  <si>
    <t>(ID PAAC 15017) NOBREAKS - Suporte e manutenção de nobreaks nas Varas e Foros Trabalhistas do interior do estado (APC SURT8000XLI)</t>
  </si>
  <si>
    <t>(ID PAAC 15019) NOBREAKS - Suporte e manutenção de nobreaks no Datacenter e circuitos essenciais do Foro Trabalhista de Florianópolis, e para os prédios SEDE (APC SUVT 40KVA)</t>
  </si>
  <si>
    <t>(ID PAAC 15038) PRODENTE - Contratação de suporte e atualização para licenças de software odontológico</t>
  </si>
  <si>
    <t>(ID PAAC 15039) FÁBRICA - Contratação de fábrica de software para plataforma JEE</t>
  </si>
  <si>
    <t>(ID PAAC 15055) Contratação de uso de postes para conexão redundante entre o datacenter principal e auxiliar (Sede/Utrillo)</t>
  </si>
  <si>
    <t>(ID PAAC 15057) LINKS - Contratação de acesso corporativo à internet - Link 2 (com ampliação de 50%)</t>
  </si>
  <si>
    <t>(ID PAAC 15060) CENTRAL DE SERVIÇOS - Contratação de serviços de suporte de TIC em 1º e 2º níveis</t>
  </si>
  <si>
    <t>(ID PAAC 15066) INTERNET - Contratação de 151 linhas para acesso móvel à internet - 2018</t>
  </si>
  <si>
    <t>(ID PAAC 15067) Contratação de suporte técnico e atualização de licenças do software de gerenciamento de bibliotecas (SIABI)</t>
  </si>
  <si>
    <t>(ID PAAC 15072) Nuvem - Contratação de licença de uso de serviço de nuvem de comunicação e colaboração (Google)</t>
  </si>
  <si>
    <t>(ID PAAC 15107) Contratação de manutenção de equipamentos de digitalização (scanner) de alta capacidade para remessa de processo ao TST (Kodak i4600 e Fujitsu fi-6800)</t>
  </si>
  <si>
    <t>(ID PAAC 15166) Contratação de licenças de uso para tratamento de mídia e editoração (3 Adobe Creative Cloud, 2 Photoshop)</t>
  </si>
  <si>
    <t>(ID PAAC 15187) BI - Contratação de uso de software em nuvem</t>
  </si>
  <si>
    <t>(ID PAAC 15220) NOBREAKS - Suporte e manutenção de nobreaks nas Varas e Foros Trabalhistas do interior do estado (APC SURT15KRMXLI)</t>
  </si>
  <si>
    <t>(ID PAAC 15244) SERPRO - Contratação de licença de uso de serviço web de acesso a dados</t>
  </si>
  <si>
    <t>(ID PAAC 15301) Contratação de serviços para elaboração de projeto de Data Managment</t>
  </si>
  <si>
    <t>(ID PAAC 15302) Projeto de Gravação de Audiências e Sessões (PJe Midias)</t>
  </si>
  <si>
    <t>(ID PAAC 15308) SEGURANÇA - Contratação de serviço de atualização e suporte técnico ao Sistema de Softwares de Segurança</t>
  </si>
  <si>
    <t>(ID PAAC 15315) CERTIFICADOS PF - Aquisição de 500 certificados digitais (tokens) para pessoa física, para todo o Estado - 2020</t>
  </si>
  <si>
    <t>(ID PAAC 15322) CERTIFICADOS PJ - Aquisição de certificado digital ICP-Brasil para pessoa jurídica do Tribunal (e-CNPJ), do tipo A3 (token), com validade de 2 anos e validação presencial</t>
  </si>
  <si>
    <t>4.4.90.40 - SERVIÇOS DE TECNOLOGIA DA INFORMAÇÃO E COMUNICAÇÃO - PJ</t>
  </si>
  <si>
    <t>(ID PAAC 15285) LICENÇAS - Microsoft Office 2013 ou superior (duas unidades)</t>
  </si>
  <si>
    <t>(ID PAAC 15101) IMPRESSORAS - Aquisição de impressoras ou terceirização (outsourcing) do serviço de impressão</t>
  </si>
  <si>
    <t>(ID PAAC 15300) Aquisição de servidores para Inteligência Artificial</t>
  </si>
  <si>
    <t>(ID PAAC 15303) MONITORES - Criação do sistema Plenário Virtual para ser implantado no PJe. O valor foi estabelecido como reserva orçamantária para aquisição de monitores, sem considerar o custo de mobiliário. Os estudos preliminares do projeto devem especificar os requisitos e apresentar um orçamento refinado, para deliberação definitiva.</t>
  </si>
  <si>
    <t>(ID PAAC 15326) VOIP - Telefones IP - Aquisição de 330 telefones Tipo 1 e 73 telefones Tipo 2, conforme necessidade e valores presentes no estudo do PROAD 11339/2019, para completar o projeto devido a atual relevância da infraestrutura VoIP no TRT12 .</t>
  </si>
  <si>
    <t>(ID PAAC 15327) Switches para atualização do Parque - 80 unidades com valor estimado em R$ 4.600,00 cada, valor da última estimativa de compra para o equipamento levantada pelo TRT em 2018.</t>
  </si>
  <si>
    <t>(ID PAAC 15328) Armazenamento pra Vídeo - Valor para aquisição 150TB líquidos de Storage, estimado pela ata vigente do TRT18, capacidade de disco suficiente para um ano de gravações de audiências de 60VTS mais 3 turmas, tribunal pleno e escola judicial.  Porém, estudo deve considerar outras opções de armazenamento e o valor pode variar muito com a evolução dos estudos técnicos.</t>
  </si>
  <si>
    <t>(ID PAAC 15002) Banco de Dados - Contratação de suporte e atualização de licenças Oracle</t>
  </si>
  <si>
    <t>(ID PAAC 15004) Antivírus - Aquisição de licenças de solução de antivírus com suporte e atualização</t>
  </si>
  <si>
    <t>(ID PAAC 15018) Contratação de suporte e atualização de licenças da solução de gerenciamento de serviços de Tecnologia da Informação e Comunicação (Assyst)</t>
  </si>
  <si>
    <t>(ID PAAC 15056) Rede JT - Ciasc - Contratação de 23 links de alto desempenho para conexão da SEDE com unidades</t>
  </si>
  <si>
    <t>(ID PAAC 15059) SALA COFRE - Contratação de manutenção de sala cofre</t>
  </si>
  <si>
    <t>(ID PAAC 15061) BACKUP - Contratação de suporte e atualização de licenças de software de backup (Spectrum - TSM)</t>
  </si>
  <si>
    <t>(ID PAAC 15226) SO - Contratação de suporte e operação de infraestrutura de TIC/PJe - PO CSJT (substitui suporte Linux)</t>
  </si>
  <si>
    <t>(ID PAAC 15304) BACKUP - Serviço de suporte do robô do datacenter auxiliar, que gerencia e executa as cópias de segurança dos dados do TRT.</t>
  </si>
  <si>
    <t>PCTIC 2020 - Enquadramento para custeio (GND3)</t>
  </si>
  <si>
    <t>Orçamento disponível GND3:</t>
  </si>
  <si>
    <t>Imprescindíveis</t>
  </si>
  <si>
    <t>Orçamento necessário GND3:</t>
  </si>
  <si>
    <t>Importantes</t>
  </si>
  <si>
    <t>Diferença orçamentária GND3:</t>
  </si>
  <si>
    <t>Desejáveis</t>
  </si>
  <si>
    <t>Projeção da Execução Orçamentária</t>
  </si>
  <si>
    <t>Diferença com Relação a Aprovação</t>
  </si>
  <si>
    <t>OK</t>
  </si>
  <si>
    <t>AG</t>
  </si>
  <si>
    <t>PCTIC 2020 - Enquadramento para investimentos (GND4)</t>
  </si>
  <si>
    <t>Orçamento disponível GND4:</t>
  </si>
  <si>
    <t>Orçamento necessário GND4:</t>
  </si>
  <si>
    <t>Diferença orçamentária GND4:</t>
  </si>
  <si>
    <t>PCTIC 2020
Orçamento SETIC 2020</t>
  </si>
  <si>
    <t>Orçamento Próprio
(168105)</t>
  </si>
  <si>
    <t>Projetos Nacionais 
(168107)</t>
  </si>
  <si>
    <t>Descentralizações</t>
  </si>
  <si>
    <t>Limite 666/2020</t>
  </si>
  <si>
    <t>Contratado</t>
  </si>
  <si>
    <t>A contratar</t>
  </si>
  <si>
    <t>Projetado Total</t>
  </si>
  <si>
    <t>Diferença</t>
  </si>
  <si>
    <t xml:space="preserve"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22/01/2020,
Atenciosamente,
José Eduardo Amaral de Oliveira Teixeira
Assistente-Chefe do EACTIC
Proceda-se ao solicitado,
Alécio José Riffel
Coordenador da COF
</t>
  </si>
  <si>
    <t>Texto para despacho de acordo com disponibilidade orçamentária</t>
  </si>
  <si>
    <t>Inserido no PROAD</t>
  </si>
  <si>
    <t>Observação</t>
  </si>
  <si>
    <t>SELECIONOU, em caso de futura disponibilidade orçamentária,</t>
  </si>
  <si>
    <t>Plano de Contratações de Soluções de TIC 2022</t>
  </si>
  <si>
    <t>Publicação e Monitoramento</t>
  </si>
  <si>
    <t xml:space="preserve"> que objetiva evitar interrupções na prestação jurisdicional, inclusive as previstas no Plano Continuidade de Negócios (PCN).</t>
  </si>
  <si>
    <t xml:space="preserve"> que atende a projeto estratégico, garante a prestação jurisdicional, evita a interrupção da prestação administrativa e/ou atende a normativo.
</t>
  </si>
  <si>
    <t xml:space="preserve"> desejável para a melhoria na prestação de serviços.
</t>
  </si>
  <si>
    <t>Contratação/prorrogação de contrato de prestação de serviço continuado de tecnologia da informação e telecomunicações</t>
  </si>
  <si>
    <t>Aquisição de produto, peça de reposição, material de consumo e/ou de serviço não continuado de tecnologia da informação e telecomunicações</t>
  </si>
  <si>
    <t xml:space="preserve">Reserva orçamentária para aquisição/contratação </t>
  </si>
  <si>
    <t>Sigla</t>
  </si>
  <si>
    <t>Título</t>
  </si>
  <si>
    <t>Substituto</t>
  </si>
  <si>
    <t>Título - Substituto</t>
  </si>
  <si>
    <t>Diretor do SEINFRA</t>
  </si>
  <si>
    <t>Alexandre de Lemos Dias</t>
  </si>
  <si>
    <t>Diretor do SESUS - Substituto</t>
  </si>
  <si>
    <t>Márcio César Jacinto</t>
  </si>
  <si>
    <t>Diretor do SESUP - Substituto</t>
  </si>
  <si>
    <t>Diretor do SESUP</t>
  </si>
  <si>
    <t>SAGTIC</t>
  </si>
  <si>
    <t>Carlos Mario Eastman</t>
  </si>
  <si>
    <t>Diretor do SAGTIC</t>
  </si>
  <si>
    <t>Diretor do SEDES</t>
  </si>
  <si>
    <t xml:space="preserve">Amandio Delpizzo Neto  </t>
  </si>
  <si>
    <t>Diretor do SEDES - Substituto</t>
  </si>
  <si>
    <t>Lis Pavin Nemmen</t>
  </si>
  <si>
    <t>Assistente Chefe de Setor</t>
  </si>
  <si>
    <t>Valdir Luiz da Cunha</t>
  </si>
  <si>
    <t>Diretor da SETIC</t>
  </si>
  <si>
    <t>Campo</t>
  </si>
  <si>
    <t>Conteúdo/coluna</t>
  </si>
  <si>
    <t>Preâmbulo para solicitação de NE</t>
  </si>
  <si>
    <t xml:space="preserve">Do: EACTIC
Para: COF
Assunto: Solicitação de emissão de Nota de Empenho para 2017
               Sr. Coordenador da COF,
               Solicitamos a emissão de Nota de Empenho para o exercício de 2017, conforme dados a seguir: 
</t>
  </si>
  <si>
    <t>Fecho para solicitação de NE</t>
  </si>
  <si>
    <t xml:space="preserve">
               Atenciosamente,
               José Eduardo Amaral de Oliveira Teixeira 
               Assistente-Chefe do EACTIC
               Empenhe-se,
               Alécio José Riffel
               Coordenador da COF</t>
  </si>
  <si>
    <t>Preâmbulo para solicitação de anulação/reforço parcial de NE</t>
  </si>
  <si>
    <t xml:space="preserve">Do: EACTIC
Para: COF
Assunto: Solicitação de ajuste de Nota de Empenho
               Sr. Coordenador da COF,
               Solicitamos ajuste de nota de empenho, conforme dados a seguir: 
</t>
  </si>
  <si>
    <t>Fecho para solicitação de anulação parcial de NE</t>
  </si>
  <si>
    <t xml:space="preserve">
               Atenciosamente,
               José Eduardo Amaral de Oliveira Teixeira 
               Assistente-Chefe do EACTIC
               Execute-se,
               Alécio José Riffel
               Coordenador da COF</t>
  </si>
  <si>
    <t>Preâmbulo para solicitação de ajuste contábil para descentrelização</t>
  </si>
  <si>
    <t xml:space="preserve">Do: EACTIC
Para: COF
Assunto: Solicitação de reforço de Nota de Empenho em virtude de descentralização
               Sr. Coordenador da COF,
               Em virtude da descentralização de recursos orçamentários por parte do CSJT/TST, conforme nota de crédito caracterizada a seguir:
</t>
  </si>
  <si>
    <t>Fecho para solicitação de ajuste contábil para descentrelização</t>
  </si>
  <si>
    <t xml:space="preserve">
               Atenciosamente,
               José Eduardo Amaral de Oliveira Teixeira 
               Assistente-Chefe do EACTIC
               Proceda-se ao reforço da nota de empenho.
               Alécio José Riffel
               Coordenador da COF</t>
  </si>
  <si>
    <t>SELAD</t>
  </si>
  <si>
    <t>EJUD12</t>
  </si>
  <si>
    <t>SEDJUR</t>
  </si>
  <si>
    <t>ASCON</t>
  </si>
  <si>
    <t>SEGEST</t>
  </si>
  <si>
    <t>SECAD</t>
  </si>
  <si>
    <t>SEDUC</t>
  </si>
  <si>
    <t>3 - Não selecionado</t>
  </si>
  <si>
    <t>Prazo</t>
  </si>
  <si>
    <t>ARP_GERENCIADOR</t>
  </si>
  <si>
    <t>CONCOR</t>
  </si>
  <si>
    <t>CONCOR_TEC</t>
  </si>
  <si>
    <t>CONCURSO</t>
  </si>
  <si>
    <t>CONVITE</t>
  </si>
  <si>
    <t>PRE_RP</t>
  </si>
  <si>
    <t>PROR_SUCESSIVA</t>
  </si>
  <si>
    <t>TP</t>
  </si>
  <si>
    <t>TP_TEC</t>
  </si>
  <si>
    <t>AG_ORÇAMENTO</t>
  </si>
  <si>
    <t>Dispensa, inclusive pelo valor, e inexigibilidade</t>
  </si>
  <si>
    <t>Convite e pregão</t>
  </si>
  <si>
    <t>Adesão a Ata de Registro de Preço</t>
  </si>
  <si>
    <t>Nível de Prioridade</t>
  </si>
  <si>
    <t>Descrição da Aplicação</t>
  </si>
  <si>
    <t xml:space="preserve">Todas as contratações que precisam ser realizadas para garantir a continuidade dos serviços críticos ao negócio ou para mitigar riscos de alto impacto associados. </t>
  </si>
  <si>
    <t xml:space="preserve">Todas as ações que visam garantir a continuidade de serviços ou suportam iniciativas estratégicas. </t>
  </si>
  <si>
    <t xml:space="preserve">Todas as ações que visam o aprimoramento dos serviços. </t>
  </si>
  <si>
    <t>4 - Não definida</t>
  </si>
  <si>
    <t>Sem prioridade definida</t>
  </si>
  <si>
    <t>03 - TAEP emitido</t>
  </si>
  <si>
    <t>06 - Devolvido</t>
  </si>
  <si>
    <t>EJ01 - AUMENTAR A SATISFAÇÃO DOS USUÁRIOS DO SISTEMA JUDICIÁRIO</t>
  </si>
  <si>
    <t>EJ03 - RECONHECER E DESENVOLVER AS COMPETÊNCIAS DOS COLABORADORES</t>
  </si>
  <si>
    <t>EJ06 - APRIMORAR AS AQUISIÇÕES E CONTRATAÇÕES</t>
  </si>
  <si>
    <t>Código</t>
  </si>
  <si>
    <t>Dimensão</t>
  </si>
  <si>
    <t>Critério</t>
  </si>
  <si>
    <t>Pontuação</t>
  </si>
  <si>
    <t>Mapeamento/
Origem/Item do DOD</t>
  </si>
  <si>
    <t>Benefícios</t>
  </si>
  <si>
    <t>Abrangência dos Resultados (Áreas Atendidas)
Baixo: uma área
Médio: duas áreas
Alto: mais de duas áreas</t>
  </si>
  <si>
    <t>Importância Estratégica
Baixo: projeto subsidiário a um objetivo estratégico
Médio: projeto fortemente vinculado a um objetivo estratégico
Alto: iniciativa estratégica explicita no PEI/PETIC</t>
  </si>
  <si>
    <t>Relevância
Baixo: Áreas, exceto as especificadas a seguir
Médio: Áreas Judiciárias
Alto: Presidência, DIGER, CSJT, CNJ, TCU</t>
  </si>
  <si>
    <t>1 e 6</t>
  </si>
  <si>
    <t>Obrigatoriedade
Baixo: não é obrigatório
Médio: não é obrigatório, mas é prudente/conveniente que se faça
Alto: é determinação</t>
  </si>
  <si>
    <t>Recursos</t>
  </si>
  <si>
    <t>Custo
Baixo: C&lt;=80.000
Médio: 80.000&lt;C&lt;=650
Alto: C&gt;650</t>
  </si>
  <si>
    <t>Duração
Baixo: até seis meses
Médio: mais de seis meses, até um ano
Alto: mais de um ano</t>
  </si>
  <si>
    <t>SETIC e áreas de TIC responsáveis</t>
  </si>
  <si>
    <t>Riscos</t>
  </si>
  <si>
    <t>Áreas Envolvidas na STIC (áreas de negócio e de TIC)
Baixo: até duas
Médio: três a quatro áreas
Alto: cinco ou mais áreas</t>
  </si>
  <si>
    <t xml:space="preserve">7 (áreas de negócio) e SETIC (áreas de TIC) </t>
  </si>
  <si>
    <t>Conhecimento da Equipe (Técnico e/ou Negocial)
Baixo: a maior parte da equipe conhece o suficiente para o projeto
Médio: pelo menos um membro da equipe conhece o suficiente para dar suporte para os demais
Alto: não é possível executar sem ação de qualificação</t>
  </si>
  <si>
    <t>8 (áreas de negócio) e SETIC (áreas de TIC)</t>
  </si>
  <si>
    <t>Criticidade
Baixo (Desejável): Colabora de forma assessória para serviços de TIC
Médio (Importante): Essencial a serviços de TIC NÃO críticos 
Alto (Imprescindível): Essencial a serviços de TIC críticos</t>
  </si>
  <si>
    <t>Análise do CGes-TIC</t>
  </si>
  <si>
    <t>Aquisição de softwares de microinformática</t>
  </si>
  <si>
    <t>Contratação de softwares para o suporte à infraestrutura tecnológica</t>
  </si>
  <si>
    <t>Não classificado</t>
  </si>
  <si>
    <t>SERVIÇOS DE TECNOLOGIA DA INFORMAÇÃO E COMUNICAÇÃO - PJ</t>
  </si>
  <si>
    <t>LOCACAO DE EQUIPAMENTOS DE TIC - ATIVOS DE REDE</t>
  </si>
  <si>
    <t>LOCACAO DE EQUIPAMENTOS DE TIC - COMPUTADORES</t>
  </si>
  <si>
    <t>LOCACAO DE EQUIPAMENTOS DE TIC - SERVIDORES/STORAGE</t>
  </si>
  <si>
    <t>LOCACAO DE EQUIPAMENTOS DE TIC - IMPRESSORAS</t>
  </si>
  <si>
    <t>LOCACAO DE EQUIPAMENTOS DE TIC - TELEFONIA</t>
  </si>
  <si>
    <t>LOCACAO DE SOFTWARE</t>
  </si>
  <si>
    <t>MANUTENCAO CORRETIVA/ADAPTATIVA E SUSTENTACAO SOFTWARES</t>
  </si>
  <si>
    <t>HOSPEDAGENS DE SISTEMAS</t>
  </si>
  <si>
    <t>SUPORTE A USUARIOS DE TIC</t>
  </si>
  <si>
    <t>SUPORTE DE INFRAESTRUTURA DE TI</t>
  </si>
  <si>
    <t>MANUTENCAO E CONSERVACAO DE EQUIPAMENTOS DE TIC</t>
  </si>
  <si>
    <t>COMUNICACAO DE DADOS</t>
  </si>
  <si>
    <t>TELEFONIA FIXA E MOVEL - PACOTE DE COMUNICACAO DE DADOS</t>
  </si>
  <si>
    <t>DIGITALIZACAO/INDEXACAO DE DOCUMENTOS</t>
  </si>
  <si>
    <t>OUTSOURCING DE IMPRESSAO</t>
  </si>
  <si>
    <t>COMPUTACAO DE NUVEM - INFRAESTRUTURA COMO SERVICO/IAAS</t>
  </si>
  <si>
    <t>COMPUTACAO DE NUVEM - PLATAFORMA COMO SERVICO (PAAS)</t>
  </si>
  <si>
    <t>COMPUTACAO DE NUVEM - SOFTWARE COMO SERVICO (SAAS)</t>
  </si>
  <si>
    <t>TREINAMENTO/CAPACITACAO EM TIC</t>
  </si>
  <si>
    <t>OUTROS SERVICOS TECNICOS PROFISSIONAIS DE TI</t>
  </si>
  <si>
    <t>SUBVENCOES ECONOMICAS</t>
  </si>
  <si>
    <t>CORRECAO MONETARIA</t>
  </si>
  <si>
    <t>DIFERENCIAL DE JUROS</t>
  </si>
  <si>
    <t>PROGRAMA ESPECIAL DE SANEAMENTO ATIVOS - PESA</t>
  </si>
  <si>
    <t>PROGRAMA DE INVESTIMENTO RURAL AGROINDUSTRIAL</t>
  </si>
  <si>
    <t>JUROS - EXPORTACOES DE BENS E SERVICOS</t>
  </si>
  <si>
    <t>ITEM  DO PLANEJAMENTO</t>
  </si>
  <si>
    <t>OBJETO DA CONfTRATAÇÃO</t>
  </si>
  <si>
    <t>INFRA, INFRA—PJe ou
INFRA-GAe*</t>
  </si>
  <si>
    <t>Solução Integrada de Gerenciainento de Servipos (suporte)</t>
  </si>
  <si>
    <t>Solução de Backup (Suporte)</t>
  </si>
  <si>
    <t>Plataforma de Banco de Dados (suporte)</t>
  </si>
  <si>
    <t>Serviços de Manutenção e Suporte das Soluções de Segurança Fisica
 dos Datacenters da Justiça do Trabalho (Salas—Cofre)</t>
  </si>
  <si>
    <t>Serviços de Telecomunição de Dados e Voz- Rede-JT</t>
  </si>
  <si>
    <t>Solução de Armazenamento de Dados (Suporte)</t>
  </si>
  <si>
    <t>Servidores de Processamento de Dados (Suporte)</t>
  </si>
  <si>
    <t>Servldor de Aplicacão JBoss (Suporte)</t>
  </si>
  <si>
    <t>Solução de Virtualização (Suporte)</t>
  </si>
  <si>
    <t>Solução de Monitoramento do PJe</t>
  </si>
  <si>
    <t>SEGURANÇA</t>
  </si>
  <si>
    <t>Solução de Antivirus (Suporte)</t>
  </si>
  <si>
    <t>Solução de Filtragem de Conteúdo Web (Suporte)</t>
  </si>
  <si>
    <t>Solução de Filtragem de Correio Eletrônico (Suporte)</t>
  </si>
  <si>
    <t>Soluçãoo de Firewall e Proteção de Intrusão (Suporte)</t>
  </si>
  <si>
    <t>GOVERNANÇA</t>
  </si>
  <si>
    <t>Solução de Gerenciamento de Riscos (Suporte)</t>
  </si>
  <si>
    <t>CNPJ</t>
  </si>
  <si>
    <t>RAZAO_SOCIAL</t>
  </si>
  <si>
    <t>SAN MATHIAS AUTO CENTER LTDA</t>
  </si>
  <si>
    <t>ARTLUMA ARTEFATOS E SERVIÇOS LTDA</t>
  </si>
  <si>
    <t>M COMÉRCIO DE LIVROS LTDA</t>
  </si>
  <si>
    <t>FISCHER INDÚSTRIA DE PERSIANAS LTDA - ME</t>
  </si>
  <si>
    <t>EXCLUSIVA COMÉRCIO DE EQUIPAMENTOS ELETRÔNICOS LTDA</t>
  </si>
  <si>
    <t>DENTÁRIA E DISTRIBUIDORA HOSPITALAR PORTO ALEGRENSE LTDA</t>
  </si>
  <si>
    <t>BALFAR S/A</t>
  </si>
  <si>
    <t>SOUSA MACHADO EQUIPAMENTOS LTDA</t>
  </si>
  <si>
    <t>ALDO BORTOLINI &amp; CIA LTDA</t>
  </si>
  <si>
    <t>CASA DO VIDRO LTDA ME</t>
  </si>
  <si>
    <t>CERTISIGN CERTIFICADORA DIGITAL S/A</t>
  </si>
  <si>
    <t>FLORIMAQ - COMERCIAL LTDA - E.P.P.</t>
  </si>
  <si>
    <t>SIGMA COMÉRCIO E SERVIÇOS LTDA ME</t>
  </si>
  <si>
    <t>ACERVO COMÉRCIO E SERVIÇOS LTDA EPP</t>
  </si>
  <si>
    <t>SD FLORIANÓPOLIS DISTRIBUIDORA PRODUTOS ELETRÔNICOS LTDA</t>
  </si>
  <si>
    <t>LEXUS EMPREITEIRA DE MÃO DE OBRA LTDA</t>
  </si>
  <si>
    <t>PELKOTE INDÚSTRIA E COMÉRCIO DE PAPEIS LTDA</t>
  </si>
  <si>
    <t>JOÃO LINZMEIER &amp; CIA LTDA</t>
  </si>
  <si>
    <t>MESTRA - CONSULTORIA E ASSESSORIA S/C LTDA</t>
  </si>
  <si>
    <t>TELESC CELULAR S.A</t>
  </si>
  <si>
    <t>VIGILANCIA TRIANGULO LTDA</t>
  </si>
  <si>
    <t>STARMED ARTIGOS MÉDICOS E HOSPITALARES LTDA</t>
  </si>
  <si>
    <t>CASA DA PINTURA COMÉRCIO DE TINTAS LTDA</t>
  </si>
  <si>
    <t>JOAO MANNE E CIA LTDA</t>
  </si>
  <si>
    <t>telepar celular s/a</t>
  </si>
  <si>
    <t>ACAO INFORMATICA PARANA LTDA</t>
  </si>
  <si>
    <t>Brightpoint do Brasil LTDA</t>
  </si>
  <si>
    <t>NETSUL INFORMATICA LTDA</t>
  </si>
  <si>
    <t>CARDIOSUL COMERCIAL LTDA</t>
  </si>
  <si>
    <t>FLORINFO - COMERCIO E SERVIÃOS LTDA</t>
  </si>
  <si>
    <t>ZULMAR QUADROS - ME</t>
  </si>
  <si>
    <t>ECAFIX DISTRIBUIDORA LTDA</t>
  </si>
  <si>
    <t>LINHA MEDICA COMERCIO DE REPRESENTACAO E IMP. LTDA</t>
  </si>
  <si>
    <t>SOLUCAO TECNICA ENGENHARIA E ASSESSORIA SOC.CIVIL LTDA</t>
  </si>
  <si>
    <t>MIC-COMERCIO DE OXIGENIO LTDA</t>
  </si>
  <si>
    <t>FABRICAD - COMERCIO DE PAPEIS LTDA</t>
  </si>
  <si>
    <t>RR - INDUSTRIA, COMERCIO E SERVIÃOS LTDA</t>
  </si>
  <si>
    <t>TEEL TELECOMUNICACOES E ELETROELETRONICA LTDA</t>
  </si>
  <si>
    <t>MANOEL JOSE DE ARAUJO-ME</t>
  </si>
  <si>
    <t>IGOR COM DE SUP PARA INFORMATICA LTDA - ME</t>
  </si>
  <si>
    <t>JAN COMERCIO DE BEBIDAS LTDA</t>
  </si>
  <si>
    <t>SLONGO, KLIENMANN &amp; CIA LTDA</t>
  </si>
  <si>
    <t>SOFTCONSULT INFORMATICA LTDA</t>
  </si>
  <si>
    <t>OSCAR MARTARELLO</t>
  </si>
  <si>
    <t>SAVAS &amp; CIA LTDA</t>
  </si>
  <si>
    <t>JAMES NICOLAU MATOS - ME</t>
  </si>
  <si>
    <t>ELESSE - INDUSTRIA E COMERCIO LTDA</t>
  </si>
  <si>
    <t>COMERCIAL DE TINTAS BARREIROS LTDA</t>
  </si>
  <si>
    <t>DIST. NORTE CAT. LTDA</t>
  </si>
  <si>
    <t>PRINTFORM FORMULARIOS LTDA</t>
  </si>
  <si>
    <t>POLIMOVEIS INDUSTRIA E COMERCIO LTDA</t>
  </si>
  <si>
    <t>POFFO SCHEFFER CONSULTORIA TEC. E REP. COMERCIAIS LTDA</t>
  </si>
  <si>
    <t>CENTRAL DE EQUIPAMENTOS INDUSTRIAIS LTDA - ME</t>
  </si>
  <si>
    <t>DI SPORT COMERCIO DE MATERIAL ESPORTIVO LTDA</t>
  </si>
  <si>
    <t>LEOBERTO MANOEL DE MIRANDA COMERCIANTE</t>
  </si>
  <si>
    <t>BAIA SUL VIAGENS E TURISMO LTDA</t>
  </si>
  <si>
    <t>JAIME LUIZ FONTANA - ME</t>
  </si>
  <si>
    <t>CAMILO MANOEL DAMAZIO - ME</t>
  </si>
  <si>
    <t>RECOUVREUX COMERCIO E REPRESENTACOES LTDA - ME</t>
  </si>
  <si>
    <t>MESKO  COMERCIAL ELETRONICA LTDA</t>
  </si>
  <si>
    <t>DIMAS DE MELO PIMENTA INDUSTRIA E COMERCIO LTDA</t>
  </si>
  <si>
    <t>EDSON GOMES DA SILVA DECORACOES</t>
  </si>
  <si>
    <t>IMCOSUL S/A</t>
  </si>
  <si>
    <t>ZERO HORA EDITORA JORNALISTICA S/A</t>
  </si>
  <si>
    <t>DIMED DISTRIBUIDORA DE MEDICAMENTOS LTDA</t>
  </si>
  <si>
    <t>SEDAPRO SERVIÇO DE DESENVOLVIMENTO E APERFEIÇOAMENTO PROFISSIONAL LTDA</t>
  </si>
  <si>
    <t>EDILSON MENEZES ME</t>
  </si>
  <si>
    <t>COMPANHIA DE SEGUROS GRALHA AZUL</t>
  </si>
  <si>
    <t>MÁRCIO LAURO DE SOUZA ME</t>
  </si>
  <si>
    <t>FERNANDA SOUZA DE ANDRADE ME</t>
  </si>
  <si>
    <t>COMPANHIA DE SEGUROS ALIANÇA DO BRASIL</t>
  </si>
  <si>
    <t>WHB DO BRASIL LTDA</t>
  </si>
  <si>
    <t>FLAGSUL DISTRIBUIDORA DE PRODUTOS CÍVICOS LTDA</t>
  </si>
  <si>
    <t>KUERTEN DISTRIBUIDORA DE PRODUTOS DE LIMPEZA LTDA</t>
  </si>
  <si>
    <t>APF INFORMÁTICA LTDA</t>
  </si>
  <si>
    <t>BASE INFORMÁTICA LTDA</t>
  </si>
  <si>
    <t>POSITIVO INFORMÁTICA S/A</t>
  </si>
  <si>
    <t>GAZETA MERCANTIL PARTICIPAÇÕES LTDA</t>
  </si>
  <si>
    <t>PAPYTECK COMÉRCIO DE MATERIAIS TÉCNICOS LTDA</t>
  </si>
  <si>
    <t>RESENDE COMERCIAL E IMPORTADORA LTDA</t>
  </si>
  <si>
    <t>J.A HOFF LTDA ME</t>
  </si>
  <si>
    <t>MACROFONE TELECOMUNICAÇÕES LTDA</t>
  </si>
  <si>
    <t>MARCON SONDAGENS LTDA</t>
  </si>
  <si>
    <t>ROSANA TERESINHA VALIM DE LIMA ME.FECHOU!</t>
  </si>
  <si>
    <t>BOTEGA MONTAGENS ELÉTRICAS LTDA</t>
  </si>
  <si>
    <t>LABORATÓRIO FOTOGRÁFICO REALCOLOR LTDA</t>
  </si>
  <si>
    <t>BLUMATEL BLUMENAU MATERIAIS CONSTRUÇÕES E INCORPORAÇÕES LTDA</t>
  </si>
  <si>
    <t>SERGIO JOSE CANCIANI-ME</t>
  </si>
  <si>
    <t>DATASIST EQUIPAMENTOS E SISTEMAS LTDA</t>
  </si>
  <si>
    <t>FABRICA DE MOVEIS E ESQUADRIAS ALGEL LTDA - ME</t>
  </si>
  <si>
    <t>N.V. COM. E BENEFICIAMENTOS DE MADEIRAS LTDA</t>
  </si>
  <si>
    <t>VIANEI JOSE STAHELIN - ME</t>
  </si>
  <si>
    <t>OFICINA MECANICA VALENTIM LTDA. - ME</t>
  </si>
  <si>
    <t>ELETRONICA CONTINENTE LTDA</t>
  </si>
  <si>
    <t>G.L. REITZ E CIA LTDA</t>
  </si>
  <si>
    <t>RACHADEL REFRIGERACAO LTDA</t>
  </si>
  <si>
    <t>VIDRACARIA E MOLDURAS ALTO VALE LTDA - ME</t>
  </si>
  <si>
    <t>GENESIO A. MENDES &amp; CIA LTDA</t>
  </si>
  <si>
    <t>PERSIANAS CONTINENTE LTDA</t>
  </si>
  <si>
    <t>FLEMINGRAF INDUSTRIA GRAFICA LTDA</t>
  </si>
  <si>
    <t>SODISA COMPUTADORES LTDA</t>
  </si>
  <si>
    <t>LOIRACI LOPES BARBOSA - ME</t>
  </si>
  <si>
    <t>SPONCHIADO EQUIPAMENTOS P. ESCRITORIO LT</t>
  </si>
  <si>
    <t>ANZANELLO &amp; MENEGATTI LTDA</t>
  </si>
  <si>
    <t>PREFEITURA MUNICIPAL DE FRAIBURGO</t>
  </si>
  <si>
    <t>REFRIGERACAO HIDRO-ELETRICA CASTRO LTDA</t>
  </si>
  <si>
    <t>ONDREPSB - SERVICOS DE GUARDA E VIGILANCIA LTDA</t>
  </si>
  <si>
    <t>SCOPUS TECNOLOGIA S/A</t>
  </si>
  <si>
    <t>SIND. IND. FIACAO TECELAGEM E DO VESTUARIO DE BLUMENAU</t>
  </si>
  <si>
    <t>SIND. COM. VAREGISTA DE BLUMENAU</t>
  </si>
  <si>
    <t>SIND. DOS EMP. NO COMERCIO DE BLUMENAU</t>
  </si>
  <si>
    <t>PERSIANAS BLUMENAU LTDA</t>
  </si>
  <si>
    <t>J G S REFRIGERACAO LTDA - ME</t>
  </si>
  <si>
    <t>ALMEIDA &amp; CIA LTDA</t>
  </si>
  <si>
    <t>HOSPITAL DO FOGAO CONSERTO E COMERCIO DE PECAS LTDA - ME</t>
  </si>
  <si>
    <t>SIND. IND. ALIM. DE JARAGUA</t>
  </si>
  <si>
    <t>AR CONDICIONADO GERAL PECAS E SERVICOS LTDA</t>
  </si>
  <si>
    <t>INTECA TELECOMUNICACOES LTDA</t>
  </si>
  <si>
    <t>AUDIO COMPANY COMERCIO E IMPORTADOS LTDA</t>
  </si>
  <si>
    <t>NEREU FOGOLARI - ME</t>
  </si>
  <si>
    <t>TUBARÃO PREFEITURA</t>
  </si>
  <si>
    <t>INPREMOL - INDUSTRIA DE PREMOLDADOS LTDA</t>
  </si>
  <si>
    <t>TATICA COMPUTADORES LTDA</t>
  </si>
  <si>
    <t>DATAREGISTER EQUIPAMENTOS DE CONTROLE LTDA</t>
  </si>
  <si>
    <t>SEPROL ASSITENCIA TECNICA LTDA</t>
  </si>
  <si>
    <t>CONTRA FOGO-COMERCIO E REPRESENTACOES DE SEGURANCA LTDA</t>
  </si>
  <si>
    <t>GASCENTER COMERCIO E INSTALACAO DE GAS CENTRAL LTDA</t>
  </si>
  <si>
    <t>INSTRUMENTAL S.C. CONS. E COM. DE APARELHOS DE PRECISAO LTDA -ME</t>
  </si>
  <si>
    <t>COMERCIO E REPRES. NILO LTDA</t>
  </si>
  <si>
    <t>DELTA CABLE TELEINFORMÁTICA COM. REP. COMERCIAIS LTDA</t>
  </si>
  <si>
    <t>EMPRESA DE TRANSPORTE COLETIVO ITAJAI LTDA</t>
  </si>
  <si>
    <t>DIRECTREDE LEGISLAÇÃO BRASILEIRA INFORMATIZADA S/A</t>
  </si>
  <si>
    <t>SH BANTS INFORMÁTICA LTDA.</t>
  </si>
  <si>
    <t>CABOSUL COM. DE CABOS PARA TELEMÁTICA LTDA.</t>
  </si>
  <si>
    <t>INVIOSAT SEGURANÇA LTDA.</t>
  </si>
  <si>
    <t>NETWORK ASSOCIATES DO BRASIL LTDA</t>
  </si>
  <si>
    <t>BRAND MARKETING EM INFORMÁTICA S/C LTDA</t>
  </si>
  <si>
    <t>ZEUS DO BRASIL LTDA</t>
  </si>
  <si>
    <t>EN - SOF CONSULTORIA E INFORMÁTICA LTDA.</t>
  </si>
  <si>
    <t>EXPRESSO COLETIVO IÇARENSE LTDA</t>
  </si>
  <si>
    <t>STÁBILE ASSESSORIA, CONSULTORIA E PROJETOS DE ESTRUTURAS LTDA</t>
  </si>
  <si>
    <t>EOCAPLAN INDUSTRIA E COMÉRCIO LTDA</t>
  </si>
  <si>
    <t>GENNARI &amp; PEARTREE PROJETOS E SISTEMAS S/C LTDA</t>
  </si>
  <si>
    <t>MARMORARIA NOSSA SENHORA DE LOURDES LTDA - ME</t>
  </si>
  <si>
    <t>CCR COMERCIAL E IMPORTADORA LTDA</t>
  </si>
  <si>
    <t>INDÚSTRIAS ALIMENTÍCIAS COMETA LTDA</t>
  </si>
  <si>
    <t>HIDROSANE ENGENHARIA S/C LTDA</t>
  </si>
  <si>
    <t>MUNIZ MOREIRA ENGENHARIA DE PROJETOS ADM. E CONSTRUÇÕES LTDA</t>
  </si>
  <si>
    <t>NICOLAZZI &amp; MORCH LTDA</t>
  </si>
  <si>
    <t>EGK ESQUADRIAS INDÚSTRIA E COMÉRCIO LTDA</t>
  </si>
  <si>
    <t>EXTINTORES CABRAL LTDA</t>
  </si>
  <si>
    <t>PROMICRO INFORMÁTICA LTDA</t>
  </si>
  <si>
    <t>WILSON TADEU EMERIM ME</t>
  </si>
  <si>
    <t>THYSSENKRUPP ELEVADORES S/A</t>
  </si>
  <si>
    <t>ARTUR FREDERICO KREMER</t>
  </si>
  <si>
    <t>OLIVEIRA &amp; SILVEIRA CIA LTDA</t>
  </si>
  <si>
    <t>MEDIA TOOLS COMÉRCIO E IMPORTAÇÃO LTDA</t>
  </si>
  <si>
    <t>PORTICO COPIAS LTDA ME</t>
  </si>
  <si>
    <t>CIBREL COMERCIAL BRASILEIRA DE REFRIGERAÇÃO LTDA</t>
  </si>
  <si>
    <t>FLEXOPEL COMÉRCIO DE PAPÉIS LTDA</t>
  </si>
  <si>
    <t>RESMAPEL CONVERSÃO E COMÉRCIO DE PAPEL LTDA</t>
  </si>
  <si>
    <t>GRÁFICA PIRÂMIDE LTDA</t>
  </si>
  <si>
    <t>MÁRCIA MARTINS SERVIÇOS - ME</t>
  </si>
  <si>
    <t>PRO RAD CONSULTORES EM RADIOPROTEÇÃO LTDA</t>
  </si>
  <si>
    <t>VELOZ COMÉRCIO DE FILTROS LTDA ME</t>
  </si>
  <si>
    <t>LEANDRO FORNECEDORA DE MATERIAIS LTDA</t>
  </si>
  <si>
    <t>TRANSPORTE E DISTRIBUIÇÃO DE GÁS F. L. LTDA</t>
  </si>
  <si>
    <t>EQUISUL EQUIPAMENTOS ELETRONICOS LTDA</t>
  </si>
  <si>
    <t>ORCALI SERVIÇOS DE SEGURANÇA LTDA</t>
  </si>
  <si>
    <t>PROLÍNEA INFORMÁTICA LTDA ME</t>
  </si>
  <si>
    <t>ILHATUR TURISMO E CÂMBIO LTDA</t>
  </si>
  <si>
    <t>COMGRAPHICS JOINVILLE LTDA</t>
  </si>
  <si>
    <t>J V C A COMUNICAÇÕES LTDA</t>
  </si>
  <si>
    <t>COMÉRCIO DE GÊNEROS ALIMENTÍCIOS KUHNEN LTDA</t>
  </si>
  <si>
    <t>MEPAS REPRESENTAÇÃO E COMÉRCIO DE MATERIAIS PARA ESCRITÓRIO LTDA</t>
  </si>
  <si>
    <t>CASAS DA AGUA MATERIAIS PARA CONSTRUÇAO LTDA</t>
  </si>
  <si>
    <t>MONTATTE SERVIÇOS E MONTAGENS SC LTDA</t>
  </si>
  <si>
    <t>ZANATTO &amp; SCHUPP LTDA</t>
  </si>
  <si>
    <t>DENTÁRIA  E CIRÚRGICA MERCOSUL LTDA</t>
  </si>
  <si>
    <t>COBRAPOLIS COMÉRCIO LTDA - EPP</t>
  </si>
  <si>
    <t>TELAFORT INDÚSTRIA METALÚRGICA LTDA ME</t>
  </si>
  <si>
    <t>SERCOMPE COMPUTADORES LTDA</t>
  </si>
  <si>
    <t>DIGICELL TELECOMUNICAÇÕES LTDA ME</t>
  </si>
  <si>
    <t>CASCAES ENGENHARIA LTDA</t>
  </si>
  <si>
    <t>PEDRO LUIZ MODOLON MACHADO ME</t>
  </si>
  <si>
    <t>ARQUIFLEX COMÉRCIO E RECUPERAÇÃO DE MÓVEIS DE ESCRITÓRIO LTDA ME</t>
  </si>
  <si>
    <t>HENRIQUE E CENSI LTDA ME</t>
  </si>
  <si>
    <t>STANDARD AUDIO VISUAIS PARA EVENTOS LTDA ME</t>
  </si>
  <si>
    <t>COMPDATA COMÉRCIO E IMPORTAÇÃO LTDA</t>
  </si>
  <si>
    <t>J. NOEN ALIMENTOS LTDA ME</t>
  </si>
  <si>
    <t>OBREMET OBRAS EM ESTRUTURAS MET. IND. E COMERCIO LTDA ME</t>
  </si>
  <si>
    <t>COMERCIAL DE EXTINTORES PALHOÇA LTDA - ME</t>
  </si>
  <si>
    <t>KHRONOS INDUSTRIA COMÉRCIO E SERVIÇOS EM ELETRÔNICA LTDA</t>
  </si>
  <si>
    <t>ORGANIZAÇÕES EL SHADDAI LTDA ME</t>
  </si>
  <si>
    <t>EDITORA NDJ LTDA</t>
  </si>
  <si>
    <t>PROESA PRODUTOS DE HIGIENE E LIMPEZA LTDA</t>
  </si>
  <si>
    <t>P&amp;S TRADING  COMPANY LTDA</t>
  </si>
  <si>
    <t>BAUMGARTEN GRÁFICA LTDA</t>
  </si>
  <si>
    <t>FUTURA COMÉRCIO DE VEÍCULOS S/A</t>
  </si>
  <si>
    <t>LAFRIZARTE SERVIÇOS DE REFRIGERAÇÃO LTDA ME</t>
  </si>
  <si>
    <t>SAQUETTI CONSERTOS DE RELÓGIOS LTDA - ME</t>
  </si>
  <si>
    <t>FISIOBRAS IND. E COM. MAT. ESP. E FISIOTERAPEUTICO LTDA - ME</t>
  </si>
  <si>
    <t>CESTA BÁSICA CATARINENSE LTDA</t>
  </si>
  <si>
    <t>CONDOMINIO COMERCIAL SANTOS SARAIVA</t>
  </si>
  <si>
    <t>FUNDAÇÃO DE ENSINO E ENGENHARIA DE SANTA CATARINA</t>
  </si>
  <si>
    <t>W &amp; L   ENGENHARIA LTDA</t>
  </si>
  <si>
    <t>OFFICER DISTRIBUIDORA DE PRODUTOS DE INFORMÁTICA S/A</t>
  </si>
  <si>
    <t>PRO-ERGO PRODUTOS ERGONÔMICOS LTDA</t>
  </si>
  <si>
    <t>CISNE DECORAÇÕES LTDA</t>
  </si>
  <si>
    <t>TELSUL TELECOMUNICAÇÕES S/A</t>
  </si>
  <si>
    <t>ARLETE TERESINHA HEYDT - ME</t>
  </si>
  <si>
    <t>INFO COMÉRCIO E REPRESENTAÇÕES LTDA</t>
  </si>
  <si>
    <t>BARNI COMERCIO DE CIMENTO LTDA</t>
  </si>
  <si>
    <t>TEMA LIMPEZA E CONSERVAÇÃO LTDA</t>
  </si>
  <si>
    <t>RELATIVA SOLUCOES EM INFORMATICA LTDA.</t>
  </si>
  <si>
    <t>LIDERANÇA LIMPEZA E CONSERVAÇÃO LTDA</t>
  </si>
  <si>
    <t>VIGNES COMERCIO E REPRESENTACOES LTDA</t>
  </si>
  <si>
    <t>AMPLESTUR EMPRESA DE TURISMO LTDA</t>
  </si>
  <si>
    <t>C &amp; G COMERCIO REPRESENTACOES LTDA</t>
  </si>
  <si>
    <t>JAL ARTE E METAL ARTESANATO LTDA - ME</t>
  </si>
  <si>
    <t>INDUSTRIA E COMERCIO DE ARMARIOS EMBUTIDOS XAVIER LTDA. - ME</t>
  </si>
  <si>
    <t>MULLER TECIDOS E CONFECCOES LTDA.</t>
  </si>
  <si>
    <t>ATLANTICA INFORMACAO COMERCIO E REPRESENTACAO LTDA</t>
  </si>
  <si>
    <t>MADEIREIRA DAIANE LTDA</t>
  </si>
  <si>
    <t>REITZ E CARNEIRO E CIA LTDA</t>
  </si>
  <si>
    <t>ELETRO PECAS REAL LTDA - ME</t>
  </si>
  <si>
    <t>ELOI MAXIMO WOLOSZIN</t>
  </si>
  <si>
    <t>DATACHRIS INFORMATICA LTDA</t>
  </si>
  <si>
    <t>JOSE ANTONIO DA SILVEIRA - ME</t>
  </si>
  <si>
    <t>CEZAR DE MATTOS - ME</t>
  </si>
  <si>
    <t>COPIADORA A VARGAS LTDA</t>
  </si>
  <si>
    <t>RCT REPRESENTACAO COMERCIO INFORMATICA E TREINAMENTO LTDA - ME</t>
  </si>
  <si>
    <t>ESTRUTURAL ENGENHARIA SC LTDA</t>
  </si>
  <si>
    <t>JADNA VIEIRA - ME</t>
  </si>
  <si>
    <t>COMPUTEL EQUIPAMENTOS ELETRONICOS LTDA</t>
  </si>
  <si>
    <t>GERSON FERNANDO REICHERT - ME</t>
  </si>
  <si>
    <t>KOERICH ENGENHARIA LTDA</t>
  </si>
  <si>
    <t>JSC EDITORA JORNAL DE SANTA CATARINA LTD</t>
  </si>
  <si>
    <t>MEIO AMBIENTE COM. E REPRES. DE PLANTAS LTDA</t>
  </si>
  <si>
    <t>SEPROL SISTEMAS LTDA</t>
  </si>
  <si>
    <t>FELIPETTO REPRESENTACOES E COMERCIO LTDA</t>
  </si>
  <si>
    <t>CASA DO COMPRESSOR EQUIPAMENTOS PNEUMATICOS LTDA</t>
  </si>
  <si>
    <t>ROSA MARIA QUADROS CORREA</t>
  </si>
  <si>
    <t>AURINO MEDEIROS O COMERCIANTE - ME</t>
  </si>
  <si>
    <t>SERRALHERIA PARANA ME</t>
  </si>
  <si>
    <t>ESQUADRIAS M. G. LTDA.</t>
  </si>
  <si>
    <t>UNIFLEX INFORMATICA LTDA</t>
  </si>
  <si>
    <t>A.J. IMOVEIS LTDA</t>
  </si>
  <si>
    <t>TORTELLI FERRAGENS LTDA</t>
  </si>
  <si>
    <t>DILER INFORMATICA ME</t>
  </si>
  <si>
    <t>LABTEC - COMERCIO E REPRESENTACOES LTDA</t>
  </si>
  <si>
    <t>GRAFITHE PAPELARIA E PRESENTES LTDA ME</t>
  </si>
  <si>
    <t>F.R. SCHMIDT ESTOFARIA COMERCIO E VENDAS LTDA - ME</t>
  </si>
  <si>
    <t>SIG - SISTEMAS PARA GERENCIAMENTO DA IMAGEM E INFORMACAO LTDA</t>
  </si>
  <si>
    <t>RECHETEC ENGENHARIA ELETRICA E ASSIST. TECNICA LTDA</t>
  </si>
  <si>
    <t>METALURGICA BENICIO</t>
  </si>
  <si>
    <t>DIVIMOVEIS COMERCIO INDUSTRIA E REPRESENTACOES LTDA</t>
  </si>
  <si>
    <t>A.B.A MOVEIS PARA ESCRITORIO LTDA</t>
  </si>
  <si>
    <t>PREVENÇÃO SUL LTDA - ME</t>
  </si>
  <si>
    <t>LS ASSESSORIA E CONSULTORIA FONOAUDIOLÓGICA LTDA</t>
  </si>
  <si>
    <t>SUL AMÉRICA COMPANHIA NACIONAL DE SEGUROS</t>
  </si>
  <si>
    <t>FREDERICO PEREIRA ME</t>
  </si>
  <si>
    <t>SUL AMÉRICA AETNA SEGUROS E PREVIDÊNCIA S.A</t>
  </si>
  <si>
    <t>NONUS DO BRASIL LTDA.</t>
  </si>
  <si>
    <t>CONSTRUTORA STEIN LTDA</t>
  </si>
  <si>
    <t>SANITEC SERVIÇOS E PRODUTOS DE LIMPEZA LTDA</t>
  </si>
  <si>
    <t>MINISTÉRIO DA FAZENDA</t>
  </si>
  <si>
    <t>RECOSTARE INDÚSTRIA DE CADEIRAS LTDA</t>
  </si>
  <si>
    <t>ESPINDOLA COMERCIO E INSTALAÇÃO DE PRODUTOS</t>
  </si>
  <si>
    <t>ALLIANZ SEGUROS S/A</t>
  </si>
  <si>
    <t>RECOPEÇAS REPRESENTAÇÕES E COMÉRCIO DE PEÇAS E EQUIPAMENTOS LTDA</t>
  </si>
  <si>
    <t>CASA DOS FOGÕES COMÉRCIO DE PEÇAS LTDA ME</t>
  </si>
  <si>
    <t>FUNDAÇÃO CODESC DE SEGURIDADE SOCIAL - FUSESC</t>
  </si>
  <si>
    <t>TEREZINHA B DE MATOS SCHEUER PRODUTOS ALIMENTÍCIOS</t>
  </si>
  <si>
    <t>IMUNIZADORA RIBEIRO LTDA</t>
  </si>
  <si>
    <t>CINESOM SANTOS COMERCIAL LTDA</t>
  </si>
  <si>
    <t>CAIXA ECONÔMICA FEDERAL</t>
  </si>
  <si>
    <t>IBM BRASIL - INDÚSTRIA, MÁQUINAS E SERVIÇOS LTDA.</t>
  </si>
  <si>
    <t>AM ELETRONICS DO BRASIL LTDA</t>
  </si>
  <si>
    <t>AJL CLIMATIZAÇÃO LTDA</t>
  </si>
  <si>
    <t>COMERCIAL EMEGE - DE MARILISE KOZOROSKI GIORGETTA</t>
  </si>
  <si>
    <t>MARCHETTI &amp; MARCHETTI LTDA</t>
  </si>
  <si>
    <t>S.A. O ESTADO DE SÃO PAULO</t>
  </si>
  <si>
    <t>LTR EDITORA LTDA</t>
  </si>
  <si>
    <t>ENGEWIK ENGENHARIA E CONSTRUÇÃO LTDA</t>
  </si>
  <si>
    <t>CARIMBOS NUNES INDUSTRIA E COMERCIO LTDA ME</t>
  </si>
  <si>
    <t>VAREJÃO DO COMPENSADO LTDA</t>
  </si>
  <si>
    <t>UNISYS BRASIL LTDA</t>
  </si>
  <si>
    <t>CATARINA  BELLETTI  FRANCISCO  ME</t>
  </si>
  <si>
    <t>SERRALHERIA GUIMARÃES LTDA ME</t>
  </si>
  <si>
    <t>EMPRESA FOLHA DA MANHÃ S/A</t>
  </si>
  <si>
    <t>BLOCOPISO PRÉ-MOLDADOS INCORPORAÇÕES E CONSTRUÇÕES LTDA</t>
  </si>
  <si>
    <t>CMC - COMÉRCIO E SERVIÇOS DE PURIFICADORES E SAUNAS LTDA - ME</t>
  </si>
  <si>
    <t>INDÚSTRIA DE MÓVEIS ORMAGEU LTDA ME</t>
  </si>
  <si>
    <t>RILISA TRADING S/A</t>
  </si>
  <si>
    <t>ASLI COMERCIAL LTDA</t>
  </si>
  <si>
    <t>PREVENÇÃO EXTINTORES LTDA</t>
  </si>
  <si>
    <t>EMPRESA  BRASILEIRA DE TELECOMUNICAÇÕES S/A - EMBRATEL</t>
  </si>
  <si>
    <t>PAUTA EQUIPAMENTOS E SERVIÇOS LTDA</t>
  </si>
  <si>
    <t>EXPRESSO COLETIVO FORQUILHINHA LTDA</t>
  </si>
  <si>
    <t>EXTINTEC TECNOLOGIA CONTRA INCENDIO LTDA  -  ME</t>
  </si>
  <si>
    <t>R.E. DESENTUPIDORA LTDA</t>
  </si>
  <si>
    <t>MIRANTE'S RESTAURANTES LTDA</t>
  </si>
  <si>
    <t>LABCCOM TELECOMUNICAÇÕES LTDA</t>
  </si>
  <si>
    <t>DIMED S/A - DISTRIBUIDORA DE MEDICAMENTOS</t>
  </si>
  <si>
    <t>DIGITEX MATERIAIS E SERVIÇOS PARA ESCRITÓRIO LTDA</t>
  </si>
  <si>
    <t>ENGETEL SISTEMAS ELETRONICOS E TELECOMUNICAÇÕES LTDA - EPP</t>
  </si>
  <si>
    <t>SIOM INFORMÁTICA LTDA</t>
  </si>
  <si>
    <t>ACITAL ISOLAMENTOS TERMICOS E ACUSTICOS IMPORT E EXPORT LTDA</t>
  </si>
  <si>
    <t>VANIA LUZIA DE OLIVEIRA &amp; CIA LTDA</t>
  </si>
  <si>
    <t>KILAR MOVEIS E DECORAÇÕES LTDA</t>
  </si>
  <si>
    <t>PAPELARIA KOBRASOL LTDA</t>
  </si>
  <si>
    <t>PERSIANAS CHARM LTDA</t>
  </si>
  <si>
    <t>VOLKSWAGEN DO BRASIL LTDA. IND. DE VEÍCULOS AUTOMOTORES</t>
  </si>
  <si>
    <t>EDITORA CONSULEX LTDA</t>
  </si>
  <si>
    <t>EDITORA DECISORIO TRABALHISTA LTDA</t>
  </si>
  <si>
    <t>KHRONOS INDUSTRIA COMERCIO E SERVIÇOS EM ELETRONICA LTDA</t>
  </si>
  <si>
    <t>ENG COMERCIO DE COMPUTADORES LTDA</t>
  </si>
  <si>
    <t>ALPHACOMP INFORMATICA LTDA</t>
  </si>
  <si>
    <t>TRICOP IMPORTADORA LTDA</t>
  </si>
  <si>
    <t>NIEHUES &amp; NIEHUES LTDA ME</t>
  </si>
  <si>
    <t>CONSTRUTORA HAHNE LTDA</t>
  </si>
  <si>
    <t>TÉCNICA JOSS ELEVADORES LTDA</t>
  </si>
  <si>
    <t>LAPHA E OMEGA CONSULT. COM. REPR, INST. DE EQUIP. E SUPR. INF. LT</t>
  </si>
  <si>
    <t>BERRY SEARA &amp; CIA LTDA</t>
  </si>
  <si>
    <t>NHECCO COMERCIO E SERVICOS LTDA</t>
  </si>
  <si>
    <t>MARMORARIA BARREIROS LTDA</t>
  </si>
  <si>
    <t>FLAVIO JOSE ARMANINI - ME</t>
  </si>
  <si>
    <t>LAURO ROGERIO FERREIRA</t>
  </si>
  <si>
    <t>CIRO COMERCIO E REPRESENTACOES</t>
  </si>
  <si>
    <t>ARMAZEM DA INFORMATICA - COMERCIO E REPRESENTACOES LTDA - ME</t>
  </si>
  <si>
    <t>TECNOFONIA EQUIPAMENTOS E TELECOMUNICACOES LTDA.</t>
  </si>
  <si>
    <t>ESCRIL - ESQUADRIAS CRICIUMA LTDA</t>
  </si>
  <si>
    <t>SERGIO MURILO DE ANDRADE - ME</t>
  </si>
  <si>
    <t>IVAN GNECCO - FI</t>
  </si>
  <si>
    <t>IVAN GUECCO</t>
  </si>
  <si>
    <t>BECKER LUIZ PAISAGISMO LTDA</t>
  </si>
  <si>
    <t>JIP EDITORA E DISTRIBUIDORA DE PAPEIS LTDA</t>
  </si>
  <si>
    <t>KLIFT REFRIGERACAO E AR CONDICIONADO LTDA ME</t>
  </si>
  <si>
    <t>CAMPITEC SERVICO E MANUT. EM ELETRODOMESTICOS LTDA</t>
  </si>
  <si>
    <t>ROBERTO DUARTE - ME</t>
  </si>
  <si>
    <t>GERMON INDUSTRIA E COMERCIO DE MOVEIS LTDA</t>
  </si>
  <si>
    <t>ELETRO MECANICA MULLER LTDA</t>
  </si>
  <si>
    <t>TRANSPORT. PRESID. LTDA</t>
  </si>
  <si>
    <t>ALVORADA LTDA INDUSTRIA E COM. DE MOVEIS E ESTOFADOS</t>
  </si>
  <si>
    <t>LOJAS N.M. COML. E INDL. LTDA.</t>
  </si>
  <si>
    <t>SIND. TRAB. FIACAO</t>
  </si>
  <si>
    <t>ROMEU GEORG COMERCIO E REPRESENTACOES LTDA</t>
  </si>
  <si>
    <t>ENOIR PAIXAO DA CRUZ - ME</t>
  </si>
  <si>
    <t>DECISAO SOLUCOES EM INFORMATICA LTDA</t>
  </si>
  <si>
    <t>VEHMAPEL MAQUINAS E EQUIPAMETNOS LTDA</t>
  </si>
  <si>
    <t>INFOSHOPPING MICROCOMPUTADORES LTDA</t>
  </si>
  <si>
    <t>FELIPE PEREIRA DOS ANJOS - ME</t>
  </si>
  <si>
    <t>PENISOLA COM.DE EQUIP.P/ESCRIT.LTDA.</t>
  </si>
  <si>
    <t>ARIES REPRESENTACOES COMERCIAIS LTDA</t>
  </si>
  <si>
    <t>PINHEIRAL COM. ATAC. MAT. ESC. LTDA.</t>
  </si>
  <si>
    <t>APEX CONTROL INSTRUMENTOS E SIST. PARA CONTROLE DE QUALIDADE LTDA</t>
  </si>
  <si>
    <t>BIOSYSTEMS COML.IMP.EXP.EQUIP.LABOR.LTDA</t>
  </si>
  <si>
    <t>PERFORMANCE INFORMATICA COM. DE PRODUTOS P/ INF. ESCRITORIO LTDA</t>
  </si>
  <si>
    <t>RUDIMAR ANTONIO FIORINI - ME</t>
  </si>
  <si>
    <t>JOSE HONORIO MACHADO - ME</t>
  </si>
  <si>
    <t>ROGEL - SAT TELECOMUNICACOES LTDA</t>
  </si>
  <si>
    <t>RZ INFORMATICA E SERVICOS DE ROSINHA DA SILVEIRA ZULIAN - ME</t>
  </si>
  <si>
    <t>CATARINENSE CARGAS E ENCOMENDAS LTDA.</t>
  </si>
  <si>
    <t>CATARINENSE CARGAS E ENCOMENDAS LTDA</t>
  </si>
  <si>
    <t>DONATO DOMINGUES ME</t>
  </si>
  <si>
    <t>MARISTELA TURATI COSTA - ME</t>
  </si>
  <si>
    <t>POWER HOUSE SERVIÇOS DE MICROINFORMÁTICA LTDA</t>
  </si>
  <si>
    <t>JUNCKES ESQUADRIAS E SERRALHERIA LTDA</t>
  </si>
  <si>
    <t>RH EMPREITEIRA DE MÃO DE OBRA LTDA - ME</t>
  </si>
  <si>
    <t>VALTEMIR ANDRETT - ME</t>
  </si>
  <si>
    <t>ICO COMERCIAL S/A FERRAMENTAS E EQUIPAMENTOS</t>
  </si>
  <si>
    <t>COELZE ELETRIFICAÇÃO LTDA</t>
  </si>
  <si>
    <t>CIVIAM COMERCIO IMPORTAÇAO E EXPORTAÇAO LTDA</t>
  </si>
  <si>
    <t>A.J.GERBER INDUSTRIA E COMERCIO LTDA</t>
  </si>
  <si>
    <t>REALTIME COMÉRCIO E SERVIÇOS DE RELÓGIOS LTDA</t>
  </si>
  <si>
    <t>RACHADEL SISTEMAS DE SEGURANÇA LTDA EPP</t>
  </si>
  <si>
    <t>ACTION COMÉRCIO DE EQUIPAMENTOS E SERVIÇOS LTDA - ME</t>
  </si>
  <si>
    <t>NETWAK EQUIPAMENTOS &amp; SYSTEMS LTDA</t>
  </si>
  <si>
    <t>TAPETES E DECORAÇOES PEDROSO LTDA</t>
  </si>
  <si>
    <t>XEROX DO BRASIL LTDA . CONSULTAR XEROX INDÚSTRIA E COMÉRCIO LTDA</t>
  </si>
  <si>
    <t>FUNDIÇÃO ARTÍSTICA BRUVAL LTDA</t>
  </si>
  <si>
    <t>OFFICE MOVEIS PARA ESCRITORIO LTDA</t>
  </si>
  <si>
    <t>KHRONOS INDÚSTRIA COMÉRCIO E SERVIÇOS EM ELETRÔNICA LTDA</t>
  </si>
  <si>
    <t>ARTMOLDURA LTDA</t>
  </si>
  <si>
    <t>FIRST CLASS COMÉRCIO DE REFRIGERANTES LTDA   ME</t>
  </si>
  <si>
    <t>RBS - ZERO HORA EDITORA JORNALISTICA S.A</t>
  </si>
  <si>
    <t>BEGROW ENGENHARIA E CONSTRUÇÕES LTDA</t>
  </si>
  <si>
    <t>ARTHUR ANTONIO VASQUEZ - ME</t>
  </si>
  <si>
    <t>REFRIGERACAO A. M. LTDA.</t>
  </si>
  <si>
    <t>AUTO INSTALADORA RIO LTDA</t>
  </si>
  <si>
    <t>ASTECA CONSTRUÇÃO E COMÉRCIO LTDA</t>
  </si>
  <si>
    <t>DEDETIZADORA CHAPECO LTDA</t>
  </si>
  <si>
    <t>COMPUSERV MANUTENCAO DE COMPUTADORES LTDA</t>
  </si>
  <si>
    <t>MÍDIA INDÚSTRIA E COMÉRCIO DE MONTAGENS E EXPOSITORES LTDA ME</t>
  </si>
  <si>
    <t>SALVER EMPREITEIRA DE MÃO DE OBRA LTDA</t>
  </si>
  <si>
    <t>DOMUS INFORMÁTICA LTDA</t>
  </si>
  <si>
    <t>EXTINCRIL EXTINTORES CRICIÚMA LTDA ME</t>
  </si>
  <si>
    <t>CAMPOSDIAS COMÉRCIO DE EXTINTORES LTDA ME</t>
  </si>
  <si>
    <t>CIRÚRGICA JAW COMÉRCIO DE MATERIAL MÉDICO HOSPITALAR LTDA</t>
  </si>
  <si>
    <t>DENTALTÉCNICA PEÇAS E SERVIÇOS LTDA ME</t>
  </si>
  <si>
    <t>AUTOPLACAS INDÚSTRIA E COMÉRCIO DE PLACAS LTDA</t>
  </si>
  <si>
    <t>DIVIBLU SERVIÇOS AUXILIARES CONSTRUÇÃO CIVIL LTDA ME</t>
  </si>
  <si>
    <t>INDAIARA FLORES E PLANTAS LTDA</t>
  </si>
  <si>
    <t>ILHA SERVICE SERVIÇOS DE INFORMÁTICA LTDA</t>
  </si>
  <si>
    <t>MALHARIA CARICIA LTDA ME</t>
  </si>
  <si>
    <t>LEX EDITORA S.A</t>
  </si>
  <si>
    <t>ZENITE INFORMAÇÃO E CONSULTORIA S/A</t>
  </si>
  <si>
    <t>EMERSON MENOLLI SALOMÃO ME</t>
  </si>
  <si>
    <t>CARLOS FREDERICO LEAL DE SOUZA @ CIA LTDA - ME</t>
  </si>
  <si>
    <t>ÁGUIA BRANCA CARGAS LTDA</t>
  </si>
  <si>
    <t>CICOPAL S/A</t>
  </si>
  <si>
    <t>HELENA MÁRCIA NECKEL - ME</t>
  </si>
  <si>
    <t>IGUAÇU DISTRIBUIDORA DE ENERGIA ELÉTRICA LTDA.</t>
  </si>
  <si>
    <t>ONDREPSB LIMPEZA E SERVIÇOS ESPECIAIS LTDA</t>
  </si>
  <si>
    <t>INDÚSTRIA DE MÓVEIS CEQUIPEL PARANA LTDA</t>
  </si>
  <si>
    <t>ENCLIMAR ENGENHARIA DE CLIMATIZAÇÃO LTDA</t>
  </si>
  <si>
    <t>RGD ENGENHARIA BIOMEDICA LTDA</t>
  </si>
  <si>
    <t>DROGARIA E FARMÁCIA SÃO JORGE LTDA</t>
  </si>
  <si>
    <t>SINDICATO DAS EMPRESAS DE TRANSPORTES URBANOS DE PASSAGEIROS DA G. FPO</t>
  </si>
  <si>
    <t>SIEMENS LTDA</t>
  </si>
  <si>
    <t>DATASUPRI SUPRIMENTOS PARA INFORMÁTICA LTDA</t>
  </si>
  <si>
    <t>CARDOSO SERVIÇO DE MANUTENÇÃO EM ESQUADRIAS LTDA</t>
  </si>
  <si>
    <t>MARCELO RUI GIESE</t>
  </si>
  <si>
    <t>C.M.S. BUENO MÓVEIS E DECORAÇÕES</t>
  </si>
  <si>
    <t>MONICA ANDREA ANTUNES BATISTA DA SILVA ME</t>
  </si>
  <si>
    <t>JEANFIORE INTERIOR EXTERIOR LTDA - ME</t>
  </si>
  <si>
    <t>CSE EQUIPAMENTOS E SERVIÇOS LTDA - ME</t>
  </si>
  <si>
    <t>GLOBAL INDUSTRIA METALURGICA LTDA</t>
  </si>
  <si>
    <t>ASSOCIAÇÃO BRASILEIRA DE OUVIDORES</t>
  </si>
  <si>
    <t>ODELIR DECORAÇÕES LTDA ME</t>
  </si>
  <si>
    <t>REIS RAMOS &amp; CIA LTDA EPP</t>
  </si>
  <si>
    <t>VIDRAÇARIA SANTO ANTONIO LTDA</t>
  </si>
  <si>
    <t>DURALUX COMERCIAL E DECORADORA LTDA</t>
  </si>
  <si>
    <t>CASA DENTAL ESTRELA DALVA DE VOLTA REDONDA LTDA</t>
  </si>
  <si>
    <t>FARMALAB - COMÉRCIO DE MATERIAIS MÉDICO-HOSPITALARES LTDA</t>
  </si>
  <si>
    <t>BATESTAL ESTAQUEAMENTO CATARINENSE LTDA</t>
  </si>
  <si>
    <t>LOJAS HERING S/A</t>
  </si>
  <si>
    <t>43 S/A GRAFICA E EDITORA</t>
  </si>
  <si>
    <t>ILHA FORTE DEDETIZACOES COMERCIO REPRESENTACOES LTDA</t>
  </si>
  <si>
    <t>BIGTINTAS DISTRIBUIDORA DE PECAS E TINTAS LTDA.</t>
  </si>
  <si>
    <t>A J DE MARCO &amp; CIA LTDA</t>
  </si>
  <si>
    <t>ELETRONICA DIGITAL LTDA</t>
  </si>
  <si>
    <t>JOHMAR - COMERCIO E REPRESENTACOES LTDA</t>
  </si>
  <si>
    <t>MAFISA S.A.</t>
  </si>
  <si>
    <t>LITORAL REPRESENTACOES COMERCIAIS LTDA</t>
  </si>
  <si>
    <t>HELENA FLAVIA NASPOLINI COELHO</t>
  </si>
  <si>
    <t>SAN MARINO GRÁFICA E EDITORA LTDA. ME.</t>
  </si>
  <si>
    <t>IVAN MILLER BORRAZ ME GESTO D ARBORE.</t>
  </si>
  <si>
    <t>VIDA IMPORTACAO COMERCIO E REPRESENTACOES LTDA</t>
  </si>
  <si>
    <t>DEALER INFORMATICA LTDA</t>
  </si>
  <si>
    <t>REFRIGERACAO SERRANA LTDA - ME</t>
  </si>
  <si>
    <t>CASTEL - COMERCIO E ASSISTENCIA DE TELECOMUNICACOES LTDA</t>
  </si>
  <si>
    <t>BRETANHA VIAGENS TURISMO E CAMBIO LTDA</t>
  </si>
  <si>
    <t>VIDRACARIA VIDROSLAR LTDA</t>
  </si>
  <si>
    <t>REFRI - BERANGER - INDUSTRIA COMERCIO LTDA</t>
  </si>
  <si>
    <t>REPRESENTACOES E COMERCIO FCS LTDA - ME</t>
  </si>
  <si>
    <t>RELEVO INDUSTRIA GRAFICA EDITORA LTDA</t>
  </si>
  <si>
    <t>SINDITHERME</t>
  </si>
  <si>
    <t>COMSISTEMAQ COM. DE MAQ. E EQUIPAMENTOS PARA ESCRITORIO LTDA</t>
  </si>
  <si>
    <t>REFRI-JAL CONSERTOS DE REFRIGERADORES E ELETRODOMEST. LTDA - ME</t>
  </si>
  <si>
    <t>REFRIGERACAO CHAPECOENSE LTDA</t>
  </si>
  <si>
    <t>ESTOFARIA SAO LUIZ - DE LUIZ CARLOS SILVA</t>
  </si>
  <si>
    <t>WAB SERVICOS GERAIS DE SANEAMENTO LTDA</t>
  </si>
  <si>
    <t>SERVICO DE JATO DE AREIA MACHADO LTDA</t>
  </si>
  <si>
    <t>METALURGICA TS LTDA - ME</t>
  </si>
  <si>
    <t>M.C.R. COMERCIO E REPRESENTACOES LTDA</t>
  </si>
  <si>
    <t>ISOLDA PAHL - ME</t>
  </si>
  <si>
    <t>JOAO CARLOS CAMPOS - ME</t>
  </si>
  <si>
    <t>CASA DA LIMPEZA COMERCIO E REPRESENTACOES LTDA</t>
  </si>
  <si>
    <t>EVERESTE COMERCIO E REPRESENTACOES LTDA</t>
  </si>
  <si>
    <t>ROVY ENGENHARIA E CONSTRUCOES LTDA</t>
  </si>
  <si>
    <t>COPYFLO COMERCIO E REPRESENTACOES LTDA</t>
  </si>
  <si>
    <t>ORESTES VIDAL</t>
  </si>
  <si>
    <t>MULTIMOVEIS COMERCIO LTDA</t>
  </si>
  <si>
    <t>JOSE LUIZ DE COSTA - ME</t>
  </si>
  <si>
    <t>AMARILDO JOSE STAHELIN - ME</t>
  </si>
  <si>
    <t>DINAMICA DISTRIBUIDORA DE AUTO PECAS LTDA</t>
  </si>
  <si>
    <t>COPY CENTER - REPRODUCOES GRAFICAS LTDA</t>
  </si>
  <si>
    <t>CATARINENSE AR CONDICIONADO LTDA - EPP</t>
  </si>
  <si>
    <t>PARTS COMERCIAL DE EQUIPAMENTOS LTDA</t>
  </si>
  <si>
    <t>PRODOCTOR COMÉRCIO DE EQUIPAMENTOS ODONTOLÓGICOS E SERVIÇOS LTDA</t>
  </si>
  <si>
    <t>CAMILO &amp; GHISI LTDA</t>
  </si>
  <si>
    <t>FUNDAÇÃO DE ESTUDOS E PESQUISAS SOCIO ECONOMICAS</t>
  </si>
  <si>
    <t>REALMAC MÁQUINAS E EQUIPAMENTOS PARA ESCRITÓRIO LTDA</t>
  </si>
  <si>
    <t>CLW ESTRUTURAS METÁLICAS LTDA</t>
  </si>
  <si>
    <t>CENTRO MÉDICO COMÉRCIO PRODUTOS MÉDICOS E ODONTOLÓGICOS LTDA</t>
  </si>
  <si>
    <t>ENGELIX ENGENHARIA E SERVIÇOS LTDA</t>
  </si>
  <si>
    <t>HESS TRANSPORTES RODOVIARIOS E SERVICOS LTDA</t>
  </si>
  <si>
    <t>SOFT XPRESS INFORMATICA LTDA</t>
  </si>
  <si>
    <t>RODINEI MORAES DA ROSA - ME</t>
  </si>
  <si>
    <t>GUERREIRO IMOVEIS LTDA</t>
  </si>
  <si>
    <t>GALVAO COM. DE MATERIAIS GRAFICOS LTDA</t>
  </si>
  <si>
    <t>KONRAD COM. E REPRES. LTDA - ME</t>
  </si>
  <si>
    <t>ASA INFORMATICA LTDA - ME</t>
  </si>
  <si>
    <t>METALURGICA ACACIO LTDA</t>
  </si>
  <si>
    <t>EMBRACOPIA EMPRESA BRASILEIRA DE MATERIAIS PARA COPIADORAS LTDA</t>
  </si>
  <si>
    <t>TISCOSKI COM. E ASSIST. TEC. EM MAQ. P/</t>
  </si>
  <si>
    <t>JAIR QUADRA E SILVA - ME</t>
  </si>
  <si>
    <t>COMERCIAL PERBONI DE PRODUTOS MEDICO HOSPITALAR LTDA</t>
  </si>
  <si>
    <t>TOOLS INFORMATICA LTDA</t>
  </si>
  <si>
    <t>JEP SERVICOS ESPECIALIZADOS EM SOFTWARE</t>
  </si>
  <si>
    <t>COPY COPIAS COMERCIO E REPRESENTACOES LTDA</t>
  </si>
  <si>
    <t>RUBENHUR ANTONIO AMARO BARROS - ME</t>
  </si>
  <si>
    <t>WEICKERT COMERCIO DE UNIFORMES PROFISSIONAIS LTDA</t>
  </si>
  <si>
    <t>INFORMµTICA POINT LTDA - ME</t>
  </si>
  <si>
    <t>LOW POWER INFORMATICA LTDA - ME</t>
  </si>
  <si>
    <t>C &amp; R COMERCIO E CONSTRUCOES LTDA</t>
  </si>
  <si>
    <t>ABELARDO BANDEIRA - ME</t>
  </si>
  <si>
    <t>CONPEAR CONSERTO DE PERSIANAS E AR CONDICIONADO LTDA</t>
  </si>
  <si>
    <t>PARADIGM INFORMÁTICA LTDA - ME</t>
  </si>
  <si>
    <t>PERSIANAS VERTILUX LTDA - ME</t>
  </si>
  <si>
    <t>MARIA TEREZINHA SEBASTIAO - ME</t>
  </si>
  <si>
    <t>NOVADATA SISTEMAS E COMPUTADORES S/A</t>
  </si>
  <si>
    <t>SATEMAQ - SERVICO DE ASSISTENCIA TECNICA DE MAQUINAS LTDA - ME</t>
  </si>
  <si>
    <t>LIVRARIA DOS ACORES LTDA</t>
  </si>
  <si>
    <t>DAROS - INFORMATICA E AUTOMACAO LTDA</t>
  </si>
  <si>
    <t>CETCE - CENTRO TECNICO DE ASSITENCIA LTDA - ME</t>
  </si>
  <si>
    <t>REPRESENTACOES COMERCIAIS TROPICAL LTDA - ME</t>
  </si>
  <si>
    <t>ABELARDO RAMOS  - ME</t>
  </si>
  <si>
    <t>FERRO-PLAST IND. COM LTDA</t>
  </si>
  <si>
    <t>COOPER DISC DISTRIBUICAO E REPRESENTACOES LTDA</t>
  </si>
  <si>
    <t>AUTO ELETRICO TECNICA INNOCENTE LTDA</t>
  </si>
  <si>
    <t>N.R. MALLON PROC. DADOS LTDA</t>
  </si>
  <si>
    <t>ARLINDO JOSE SCHAEFER - ME</t>
  </si>
  <si>
    <t>ODONTOCENTER - REPRESENTACOES E SERVICOS LTDA - ME</t>
  </si>
  <si>
    <t>DISTRIBUIDORA CURITIBA DE PAPEIS E LIVROS LTDA</t>
  </si>
  <si>
    <t>JOAO ESEQUIEL HUNHOFF</t>
  </si>
  <si>
    <t>CENTRALTEC - ASSISTE. DE EQUIPAMENTOS DE ESCRITORIO LTDA</t>
  </si>
  <si>
    <t>DELTATEL - COMERCIO E REPRESENTACOES E SERVICOS LTDA</t>
  </si>
  <si>
    <t>CONMOTOR OFICINA E COMERCIO DE PECAS LTDA - ME</t>
  </si>
  <si>
    <t>LUAL COMERCIO DE ESQUADRIAS E PERSIANAS LTDA</t>
  </si>
  <si>
    <t>WINCHES HOUSE INFORMATICA COMERCIO E ASSISTENCIA LTDA</t>
  </si>
  <si>
    <t>DALVA MACHADO DE MELO - ME</t>
  </si>
  <si>
    <t>CONFECCOES EWER LTDA</t>
  </si>
  <si>
    <t>FRIGELAR - SERVICOS E PECAS P/ REFRIGERACAO LTDA</t>
  </si>
  <si>
    <t>MARK VIAGENS E TURISMO LTDA</t>
  </si>
  <si>
    <t>INDUSTRIA E COMERCIO DE ESQUADRIAS DE ALUMINIO ALECIO LTDA - ME</t>
  </si>
  <si>
    <t>ARLETE PRAZERES - ME</t>
  </si>
  <si>
    <t>VISUAL PERSIANAS DE LUIZ VILMAR DEMBOSKI</t>
  </si>
  <si>
    <t>CONECTA CONSTRUCAO ENGENHARIA LTDA.</t>
  </si>
  <si>
    <t>AGENOR RUBAS - ME</t>
  </si>
  <si>
    <t>COMPUSIS INFORMATICA LTDA</t>
  </si>
  <si>
    <t>CARIMBOS E CLICHÊS V.R.P. LTDA.</t>
  </si>
  <si>
    <t>G. HOFFMANN REPRESENTACOES E COMERCIO LTDA</t>
  </si>
  <si>
    <t>VIVA FLOR - FLORES E JARDINS DE EDNA KRUEGER</t>
  </si>
  <si>
    <t>MULLER DECORACOES LTDA</t>
  </si>
  <si>
    <t>NEIDE DE QUEIROZ</t>
  </si>
  <si>
    <t>A. MIRANDA M.E. DISTRIBUIDORA DE LIVROS TECNICOS</t>
  </si>
  <si>
    <t>PROCEL INFORMATICA LTDA</t>
  </si>
  <si>
    <t>COMFRIO INDUSTRIA E COMERCIO DE MAQUINAS E PRODUTOS DE REFRI LTDA</t>
  </si>
  <si>
    <t>DANIEL BAIXO</t>
  </si>
  <si>
    <t>PERSIANAS VERTISUL INDÚSTRIA E COMÉRCIO LTDA - ME</t>
  </si>
  <si>
    <t>ADIVAL INOCENCIO ME</t>
  </si>
  <si>
    <t>SCHINELA  TRANSPORTES LTDA</t>
  </si>
  <si>
    <t>ROBISON ROSA DA SILVA - ME</t>
  </si>
  <si>
    <t>ODONTOSUL EQUIPAMENTOS ODONTOLÓGICOS LTDA</t>
  </si>
  <si>
    <t>CONDOMINIO EDIFICIO PRINCIPE DE JOINVILLE</t>
  </si>
  <si>
    <t>DENTAL CENTER COMÉRCIO DE MATERIAIS ODONTOLÓGICOS MÉD CIRÚRGICOS LTDA</t>
  </si>
  <si>
    <t>DH E S ARTE DIGITAL LTDA</t>
  </si>
  <si>
    <t>EMPRESA BRASILEIRA DE CORREIOS E TELEGRAFOS - ECT</t>
  </si>
  <si>
    <t>EDITOGRAF INDÚSTRIA GRÁFICA LTDA</t>
  </si>
  <si>
    <t>ELETRO MARI COMERCIAL ÁUDIO VÍDEO LTDA</t>
  </si>
  <si>
    <t>BUCAM COMÉRCIO MATERIAIS CONTRA INCÊNDIO LTDA</t>
  </si>
  <si>
    <t>DALBOSCO CONSTRUÇÕES E INCORPORAÇÕES LTDA</t>
  </si>
  <si>
    <t>AUTOMATRON COM. E SERVIÇOS EM ELETRO-ELETRÔNICA LTDA</t>
  </si>
  <si>
    <t>BANCO DO BRASIL S/A</t>
  </si>
  <si>
    <t>GOTAS PERSIANAS COMERCIO E REPRESENTAÇOES LTDA ME</t>
  </si>
  <si>
    <t>T&amp;D EDITORA E EMPREENDIMENTOS CULTURAIS LTDA</t>
  </si>
  <si>
    <t>ANA MARIA REIS DA SILVA ME</t>
  </si>
  <si>
    <t>SUPRA INFORMÁTICA LTDA</t>
  </si>
  <si>
    <t>FURTADO &amp; LUCHTEMBERG LTDA</t>
  </si>
  <si>
    <t>D.D.SERV DESINSETIZAÇÃO DESINFECÇÃO &amp; SERVIÇOS LTDA</t>
  </si>
  <si>
    <t>AMBIENTAL LIMPEZA URBANA E SANEAMENTO LTDA</t>
  </si>
  <si>
    <t>AMBARTEL TELECOMUNICACOES LTDA</t>
  </si>
  <si>
    <t>TRIRRADIAL VEICULOS E PECAS LTDA</t>
  </si>
  <si>
    <t>SIND. EMPR.TRANSP. DE CRICIUMA</t>
  </si>
  <si>
    <t>SIND. DOS TRAB. NAS INDUSTRIAS CARNE DERIV. FRANGOS,RACOES A</t>
  </si>
  <si>
    <t>BRINCOPEL ATACADOS DE BRINQUEDOS E PAPELARIA LTDA</t>
  </si>
  <si>
    <t>MAURO LUIZ NARDINI E CIA LTDA</t>
  </si>
  <si>
    <t>ASSISTEC ASSISTENCIA E COMERCIO LTDA - ME</t>
  </si>
  <si>
    <t>MARCOS CEZAR NASCIMENTO - ME</t>
  </si>
  <si>
    <t>INPUT COM. EQUIP. E SERVICOS LTDA</t>
  </si>
  <si>
    <t>SIND. IND.CERAM.OLARIAS DE CRICIUMA</t>
  </si>
  <si>
    <t>DULAR LTDA</t>
  </si>
  <si>
    <t>MIROMAQ EQUIPAMENTOS PARA ESCRITORIO LTDA</t>
  </si>
  <si>
    <t>REMACO - REPRES.,MAQ. COM.LTDA</t>
  </si>
  <si>
    <t>ELETRO ALTIMAS LTDA</t>
  </si>
  <si>
    <t>SEBASTIAO VIEIRA DA SILVA -FI</t>
  </si>
  <si>
    <t>CONSTRUTORA SELEME LTDA</t>
  </si>
  <si>
    <t>METALURGICA HAMMES LTDA</t>
  </si>
  <si>
    <t>DUPA COMERCIAL DE PECAS LTDA</t>
  </si>
  <si>
    <t>MILIUM LTDA</t>
  </si>
  <si>
    <t>COMERCIAL DE FERRAGENS MILIUM LTDA</t>
  </si>
  <si>
    <t>FLORITUR FLORIANOPOLIS TURISMO LTDA</t>
  </si>
  <si>
    <t>GRAFICA E PAPELARIA ORIENTE LTDA</t>
  </si>
  <si>
    <t>AURELIO CAMPO DE MELLO - ME</t>
  </si>
  <si>
    <t>CARPEI COMERCIO DE FLORES LTDA - ME</t>
  </si>
  <si>
    <t>KRUGER E CIA LTDA</t>
  </si>
  <si>
    <t>DIMAES - DISTRIBUIDORA DE MATERIAIS ESCOLARES LTDA</t>
  </si>
  <si>
    <t>FRANCISCO MARTINS ME</t>
  </si>
  <si>
    <t>MAINA COMERCIO E REPRESENTACOES LTDA</t>
  </si>
  <si>
    <t>MEDIKA COMERCIO E REPRESENTACOES DE PRODUTOS MEDICOS HOSP. LTDA</t>
  </si>
  <si>
    <t>DEDETIZADORA LIDER LTDA</t>
  </si>
  <si>
    <t>RT RESENDE E TOSE LTDA - ME</t>
  </si>
  <si>
    <t>LANG EQUIPAMENTOS ELETRONICOS PARA ESCRITORIO</t>
  </si>
  <si>
    <t>GERSON COIMBRA FIGUEIREDO FILHO - ME</t>
  </si>
  <si>
    <t>ELETROMECANICA CACADOR LTDA</t>
  </si>
  <si>
    <t>LOCAL CONSTRUCOES COMERCIO E INDUSTRIA LTDA</t>
  </si>
  <si>
    <t>INDUSTRIA MOVEIS COMETA LTDA</t>
  </si>
  <si>
    <t>FOCO FOTOLITO E COMUNICACAO LTDA - ME</t>
  </si>
  <si>
    <t>IENG CONSTRUCOES LTDA</t>
  </si>
  <si>
    <t>ALMACRIK COM E REPRESENTACOES LTDA</t>
  </si>
  <si>
    <t>ELETRO ITALMOTOR LTDA - ME.</t>
  </si>
  <si>
    <t>MARCELO PLACIDO CAMILO-ME</t>
  </si>
  <si>
    <t>MAQUINAS DELKORT - IND E COMERCIO LTDA</t>
  </si>
  <si>
    <t>DOMINIUM INFORMATICA EMPRESARIAL LTDA</t>
  </si>
  <si>
    <t>VALDIR SOARES &amp; CIA LTDA</t>
  </si>
  <si>
    <t>DUAL LINE TELEMATICA E ENGENHARIA LTDA.</t>
  </si>
  <si>
    <t>KRACIK E CARMONA LTDA - ME</t>
  </si>
  <si>
    <t>NETWAY INFORMATICA COMERCIO IMPORTACAO E EXPORTACAO LTDA</t>
  </si>
  <si>
    <t>LI-ELC LIMPEZA CONSERVACAO LTDA.</t>
  </si>
  <si>
    <t>QUALITEXTO QUALIDADE TECNICA EM EQUIP. P/ ESCRIT. LTDA - ME</t>
  </si>
  <si>
    <t>CPS - COMERCIO DE PRODUTOS OTICOS LTDA</t>
  </si>
  <si>
    <t>FEIRAO DAS TINTAS LTDA</t>
  </si>
  <si>
    <t>CARBOTEK COMERCIAL E EQUIPAMENTOS LTDA - ME</t>
  </si>
  <si>
    <t>CARLOS ALBERTO FRAGA SARAIVA</t>
  </si>
  <si>
    <t>ESCRIPEL COMERCIO E REPRESENTACOES LTDA</t>
  </si>
  <si>
    <t>EDISA INFORMATICA S/A</t>
  </si>
  <si>
    <t>PERDIGAO AGRO INDUSTRIAL S\A.</t>
  </si>
  <si>
    <t>UNETRAL S/A.</t>
  </si>
  <si>
    <t>SPONCHIADO VEICULOS E MAQUINAS LTDA.</t>
  </si>
  <si>
    <t>LOJAS COLOMBO S/A COMÉRCIO DE UTILIDADES DOMESTICAS</t>
  </si>
  <si>
    <t>FABRICA DE MOVEIS FLORENSE LTDA</t>
  </si>
  <si>
    <t>FORMATO COMERCIO E SERVICOS GRAFICOS LTDA</t>
  </si>
  <si>
    <t>MORGANTE S/A INDUSTRIA E COMERCIO</t>
  </si>
  <si>
    <t>FEDER COMERCIO E REPRESENTACOES LTDA</t>
  </si>
  <si>
    <t>CARBOPAL - COMERCIO, IMPORT. EXPORT. DE MAT. DE ESCRITORIO LTDA</t>
  </si>
  <si>
    <t>LITO SOM COMERCIO E IMPORTACAO DE INSTRUMENTOS MUSICAIS LTDA</t>
  </si>
  <si>
    <t>HABITASUL- IND. COM. MAD.MOVEIS E RES LT</t>
  </si>
  <si>
    <t>PORTOBELO AGROPECUARIA S/A.</t>
  </si>
  <si>
    <t>INTEROP INFORMATICA LTDA</t>
  </si>
  <si>
    <t>PAPELARIA CAPRICHOSA LTDA - ME</t>
  </si>
  <si>
    <t>PORTAL DISTRIBUIDORA LTDA</t>
  </si>
  <si>
    <t>OFFICIO INFORM.PAPEL.E LIVROS LTDA-ME</t>
  </si>
  <si>
    <t>CENTRO DE TREINAMENTO MEGATOP INFORMATICA LTDA</t>
  </si>
  <si>
    <t>CELULAR SHOPPING LTDA</t>
  </si>
  <si>
    <t>CP ELETRONICA S.A.</t>
  </si>
  <si>
    <t>MECANICA ATLAS LTDA</t>
  </si>
  <si>
    <t>CEQUIPEL IND. E COM. DE MOVEIS LTDA.</t>
  </si>
  <si>
    <t>CEQUIPEL IND. E COM. DE MOVEIS LTDA</t>
  </si>
  <si>
    <t>LOJAS ARNO PALAVRO LTDA</t>
  </si>
  <si>
    <t>OTTMAR B. SCHULTZ S/A - TRANSPORTE RODOVIARIOS</t>
  </si>
  <si>
    <t>COMERCIO DE LIVROS CLAUDIA LTDA</t>
  </si>
  <si>
    <t>ENGENHARIA GRANDE SUL LTDA</t>
  </si>
  <si>
    <t>WORLD LAN TELEMATICA LTDA</t>
  </si>
  <si>
    <t>COOPENGE - COOPERATIVA DE SERV. DE ENGª, ARQUIT. AGRON. DA REG DE JLLE</t>
  </si>
  <si>
    <t>GONÇALO NUNO'S ENGENHARIA LTDA</t>
  </si>
  <si>
    <t>LABOREQ COMÉRCIO DE EQUIPAMENTOS LTDA</t>
  </si>
  <si>
    <t>DROGARIA E FARMÁCIA CATARINENSE S/A</t>
  </si>
  <si>
    <t>GOTA D'ÁGUA COMERCIO DE ÁGUA E PAPÉIS LTDA</t>
  </si>
  <si>
    <t>ESGOBLU LIMPEZA DE FOSSAS E DEDETIZAÇÕES LTDA - ME</t>
  </si>
  <si>
    <t>DEDETIZAÇÕES BLUMENSUL COMÉRCIO E REPRESENTAÇÕES LTDA - ME</t>
  </si>
  <si>
    <t>OTTE INDÚSTRIA ELETRÔNICA LTDA</t>
  </si>
  <si>
    <t>MARIA ELIANE ESPÍNDOLA ME</t>
  </si>
  <si>
    <t>REPECON VEÍCULOS LTDA</t>
  </si>
  <si>
    <t>ROSÉLIA JOCHEN ME</t>
  </si>
  <si>
    <t>INVESTMOV COMÉRCIO E REPRESENTAÇÃO DE MÓVEIS LTDA</t>
  </si>
  <si>
    <t>SEPROL COMPUTADORES E SISTEMAS LTDA</t>
  </si>
  <si>
    <t>TOMAZ COMERCIO DE MAQUINAS PARA REFRIGERAÇAO LTDA</t>
  </si>
  <si>
    <t>AGÊNCIA DE VIAGENS E TURISMO AÇORIANA LTDA</t>
  </si>
  <si>
    <t>IMOVILE EMPREENDIMENTOS IMOBILIÁRIOS LTDA</t>
  </si>
  <si>
    <t>PAPELARIA NOSSA SENHORA DAS MERCÊS LTDA</t>
  </si>
  <si>
    <t>AS MANUTENÇÃO DE AR CONDICIONADO LTDA - ME</t>
  </si>
  <si>
    <t>ADR CONSTRUÇÕES LTDA</t>
  </si>
  <si>
    <t>ATÔMICA DESENTUPIDORA E DEDETIZADORA LTDA ME</t>
  </si>
  <si>
    <t>MUDANÇAS SANTA CATARINA LTDA ME</t>
  </si>
  <si>
    <t>LIDERES COMERCIO E REPRESENTAÇOES LTDA</t>
  </si>
  <si>
    <t>FUFAMED COMERCIO E IMPORTAÇÃO MEDICO HOSPITALAR LTDA</t>
  </si>
  <si>
    <t>COMERCIAL DIVELLAS LTDA - ME</t>
  </si>
  <si>
    <t>ALLTOOLS TECNOLOGIA E COMUNICAÇÃO LTDA</t>
  </si>
  <si>
    <t>CONECT CORP COMERCIAL LTDA</t>
  </si>
  <si>
    <t>ECONET INFORMÁTICA LTDA</t>
  </si>
  <si>
    <t>COMÉRCIO E REPRESENTAÇÃO HIERATHEL LTDA - ME</t>
  </si>
  <si>
    <t>ASSOCIAÇÃO BRASILEIRA DE TERAPIA FAMILIAR ABRATEF</t>
  </si>
  <si>
    <t>GJ - IMPERMEABILIZAÇÕES E ENGENHARIA LTDA</t>
  </si>
  <si>
    <t>SIHERGUI ENGENHARIA CIVIL LTDA</t>
  </si>
  <si>
    <t>M.G. COMERCIO E ARTIGOS ESPORTIVOS LTDA ME</t>
  </si>
  <si>
    <t>SCHEFFER S/A</t>
  </si>
  <si>
    <t>COMERCIAL VITÓRIA DE ARMARINHOS LTDA</t>
  </si>
  <si>
    <t>WL HULSE COMÉRCIO E REPRESENTAÇÃO LTDA</t>
  </si>
  <si>
    <t>DESEJO COMÉRCIO DE CONFECÇÕES LTDA</t>
  </si>
  <si>
    <t>OLSEN INDÚSTRIA E COMÉRCIO S/A</t>
  </si>
  <si>
    <t>DESTERRO EQUIPAMENTOS PARA ESCRITÓRIO LTDA</t>
  </si>
  <si>
    <t>COMPENSADOS FERNANDES LTDA</t>
  </si>
  <si>
    <t>RG PROVENZI COM. E REP. LTDA ME</t>
  </si>
  <si>
    <t>SOLEFLEX COMÉRCIO E REPRESENTAÇÕES LTDA</t>
  </si>
  <si>
    <t>JAIME LUIZ ZILIOTTO</t>
  </si>
  <si>
    <t>PELEFILM COMÉRCIO DE PELÍCULAS DE CONTROLE SOLAR LTDA</t>
  </si>
  <si>
    <t>MADEIREIRA BAÍA SUL LTDA</t>
  </si>
  <si>
    <t>EMPREITEIRA DE MAO DE OBRA RG LTDA</t>
  </si>
  <si>
    <t>ANSELMO PEREIRA NAZARIO - ME</t>
  </si>
  <si>
    <t>NADIOMAR MANOEL MARCILIO - ME</t>
  </si>
  <si>
    <t>ELCA - MATERIAIS DE ESCRITORIO LTDA - ME</t>
  </si>
  <si>
    <t>TRANSP REPRESENTACOES CARVALHO LTDA</t>
  </si>
  <si>
    <t>EMPREITEIRA DE MAO DE OBRA CONSTRUTEC LTDA ME</t>
  </si>
  <si>
    <t>A.S. JUNIOR ENGENHARIA E MONTAGEM INDUSTRIAL LTDA</t>
  </si>
  <si>
    <t>CARDIODIX IMPLEMENTOS MEDICOS HOSPITALARES LTDA</t>
  </si>
  <si>
    <t>SILVANO BARGELLINI</t>
  </si>
  <si>
    <t>INTELTRON INSTALACOES ELETRO ELETRONICAS LTDA</t>
  </si>
  <si>
    <t>SATES - SERVICOS E COMERCIO DE MAQUINAS LTDA.</t>
  </si>
  <si>
    <t>CECILIO SEBASTIAO FRUTUOSO - ME</t>
  </si>
  <si>
    <t>REFRIGERACAO SCAINI E BARNI LTDA</t>
  </si>
  <si>
    <t>ROSENO DA SILVA - ME</t>
  </si>
  <si>
    <t>FEIRAO DO COMPENSADO COMERCIO DE MADEIRAS LTDA</t>
  </si>
  <si>
    <t>COMPSUL INFORMATICA COMPUTADORES E SERVICOS LTDA</t>
  </si>
  <si>
    <t>HUMAITA S/A</t>
  </si>
  <si>
    <t>TEEL - TECNICA E EQUIPAMENTOS PARA ESCRITORIO LTDA</t>
  </si>
  <si>
    <t>DE BONA &amp; ZABOT LTDA ME</t>
  </si>
  <si>
    <t>ELETROCENTER ENGENHARIA LTDA</t>
  </si>
  <si>
    <t>GONCALVES SILVA COMERCIO E REPRESENTACOES LTDA - ME</t>
  </si>
  <si>
    <t>RPP ENGENHARIA E CONSTRUCAO LTDA</t>
  </si>
  <si>
    <t>VIDRACARIA RIGONI LTDA</t>
  </si>
  <si>
    <t>EXCLUSIVA COMERCIO DE EQUIPAMENTOS ELETRONICOS LTDA.</t>
  </si>
  <si>
    <t>INDUSTRIA E COMERCIO DE MATERIAIS DE CONSTRUCAO ARANHAO LTDA</t>
  </si>
  <si>
    <t>EXTINVILLE COMERCIO DE EXTINTORES LTDA</t>
  </si>
  <si>
    <t>DISTRIBUIDORA CRISTALINA COM. REPRESENTACOES LTDA</t>
  </si>
  <si>
    <t>CONDEC LTDA</t>
  </si>
  <si>
    <t>DECOSUL - REPRESENTACOES COMERCIAIS DO SUL LTDA</t>
  </si>
  <si>
    <t>LICOBLU - LIMPEZA E CONSERVACAO BLUMENAU LTDA</t>
  </si>
  <si>
    <t>COMERCIAL DE FERRAGENS S. L LTDA</t>
  </si>
  <si>
    <t>EMPCOM INFORMATICA EMPRESARIAL LTDA</t>
  </si>
  <si>
    <t>INSTALADORA DUARTE LTDA - ME</t>
  </si>
  <si>
    <t>ILHATEC - COM. MAQ. E EQUIP. PARA ESCRITORIO LTDA</t>
  </si>
  <si>
    <t>LUIZ ROBERTO FEUBAK - ME</t>
  </si>
  <si>
    <t>CASA DA PINTURA - COMERCIO DE TINTAS LTDA</t>
  </si>
  <si>
    <t>CASA DA PINTURA COM DE TINTAS LTDA</t>
  </si>
  <si>
    <t>FASC - COMERCIO DE MAQUINAS E COMPONENTES PARA ESCRITORIO LTDA</t>
  </si>
  <si>
    <t>OLHAR DE VIDRO - VIDEO PRODUCOES LTDA - ME</t>
  </si>
  <si>
    <t>MARMORARIA BIGUACU LTDA</t>
  </si>
  <si>
    <t>SIND. TRAB. IND. CARNES E DERIV. FRANGOS RACÕES ALIMEN. CRICIÚMA</t>
  </si>
  <si>
    <t>SIND. IND. EXTRACAO DE CARVAO</t>
  </si>
  <si>
    <t>DENTAL VIPIS COMERCIO MEDICO ODONTOLOGICO LTDA</t>
  </si>
  <si>
    <t>DEDETIZADORA O EXTERMINADOR DO FUTURO LTDA</t>
  </si>
  <si>
    <t>COMERCIAL ELETRICA ARNOLDO LTDA</t>
  </si>
  <si>
    <t>OPCAO ASSISTENCIA TECNICA LTDA</t>
  </si>
  <si>
    <t>ALTERNATIVA INFORMATICA LTDA</t>
  </si>
  <si>
    <t>MARFRIO REFRIGERACAO LTDA</t>
  </si>
  <si>
    <t>SETUP ASSISTENCIA TECNICA LTDA - ME</t>
  </si>
  <si>
    <t>B. R. IMOVEIS LTDA</t>
  </si>
  <si>
    <t>ORGANIZACOES RODRIGUES COMERCIO E REPRESENTACOES LTDA</t>
  </si>
  <si>
    <t>CHAPECO INFORMATICA LTDA - ME</t>
  </si>
  <si>
    <t>COMERCIAL ELETRICA CENTRAL LTDA</t>
  </si>
  <si>
    <t>SANDRO DOMINGOS DA SILVA- ME</t>
  </si>
  <si>
    <t>LUIZ NELSON &amp; CIA LTDA</t>
  </si>
  <si>
    <t>AUTO VIACAO IMPERATRIZ LTDA</t>
  </si>
  <si>
    <t>ASSOC. IND. COM. DE SBS/SC</t>
  </si>
  <si>
    <t>REPRESENTANTES SINDICATO S.B.S</t>
  </si>
  <si>
    <t>SAMAE - SERVIÇO AUT. MUNIC. DE AGUA E ESGOTO DE SÃO BENTO DO SUL</t>
  </si>
  <si>
    <t>JOSE MARTINS</t>
  </si>
  <si>
    <t>CIRURGICA BALNEARIO DISTRIBUIDORA DE MEDICAMENTOS LTDA</t>
  </si>
  <si>
    <t>MERCADO ENGENHARIA E COMERCIO LTDA.</t>
  </si>
  <si>
    <t>REIS E FERRAZ LTDA</t>
  </si>
  <si>
    <t>MAKER PRINT IND. E COM. DE PLASTICOS LTDA</t>
  </si>
  <si>
    <t>RODOVIARIA SANTA TEREZINHA LTDA</t>
  </si>
  <si>
    <t>EUGENIO RAULINO KOERICH S.A.-COM. E IND.</t>
  </si>
  <si>
    <t>RUDY OSVALDO REGERT</t>
  </si>
  <si>
    <t>COMERCIO DE MAQUINAS OESTE LTDA</t>
  </si>
  <si>
    <t>ALTO ELETRO-TECNICA DE FRANCISCO INNOCENTE</t>
  </si>
  <si>
    <t>ELETRO COMERCIAL SANTA RITA</t>
  </si>
  <si>
    <t>FRETTA &amp; CIA LTDA</t>
  </si>
  <si>
    <t>TRANSPORTES ALVORADA LTDA.</t>
  </si>
  <si>
    <t>BOTEGA &amp; CIA LTDA</t>
  </si>
  <si>
    <t>EMPRESA SANTO ANJO DA GUARDA LTDA</t>
  </si>
  <si>
    <t>ICAL - INDUSTRIA E COMERCIO AUXILIADORA LTDA</t>
  </si>
  <si>
    <t>LUMINAR COMERCIO E INDUSTRIA LTDA</t>
  </si>
  <si>
    <t>PERDIGÃO AGROINDUSTRIAL S/A</t>
  </si>
  <si>
    <t>MAXIMILIANO GAIDZINSKI S/A</t>
  </si>
  <si>
    <t>COQUEIROS PAPELARIA E PRESENTES LTDA</t>
  </si>
  <si>
    <t>CIRO FERNANDO DOMINGUES - ME</t>
  </si>
  <si>
    <t>INDUSLANI INDUSTRIA E COMERCIO MOVEIS LTDA</t>
  </si>
  <si>
    <t>COMERCIAL ELETRICA ROCHA LTDA</t>
  </si>
  <si>
    <t>EINLOFT &amp; CIA LTDA</t>
  </si>
  <si>
    <t>FAYRE-JET - COMERCIO E REP. DE EQUIP. DE SEGURANCA LTDA</t>
  </si>
  <si>
    <t>FCA MANUTENÇÃO DE EQUIPAMENTOS ELETRONICOS LTDA ME</t>
  </si>
  <si>
    <t>CONSTRUTORA ENGECADI LTDA</t>
  </si>
  <si>
    <t>CLASSROOM TREINAMENTO AUTORIZADO LTDA</t>
  </si>
  <si>
    <t>LICENSE COMPANY INFORMÁTICA LTDA.</t>
  </si>
  <si>
    <t>RAK INFORMÁTICA LTDA</t>
  </si>
  <si>
    <t>METALFRIZZO INDÚSTRIA METALÚRGICA LTDA</t>
  </si>
  <si>
    <t>IDEMP - INSTITUTO DE DESENVOLVIMENTO EMPRESARIAL LTDA</t>
  </si>
  <si>
    <t>MB VISTORIADORA DE EXTINTORES LTDA ME</t>
  </si>
  <si>
    <t>FRANARIN &amp; CIA LTDA</t>
  </si>
  <si>
    <t>VIANNA &amp; CONSULTORES ASSOCIADOS LTDA</t>
  </si>
  <si>
    <t>RECICLE COMÉRCIO DE SUPRIMENTOS PARA ESCRITÓRIO LTDA</t>
  </si>
  <si>
    <t>CONTATTI COMÉRCIO E REPRESENTAÇÕES LTDA</t>
  </si>
  <si>
    <t>OJPR PRESTADORA DE SERVIÇOS LTDA</t>
  </si>
  <si>
    <t>BCA COMÉRCIO E SERVIÇOS DE INFORMÁTICA LTDA  ME</t>
  </si>
  <si>
    <t>VINICIUS E ROBERTO LTDA</t>
  </si>
  <si>
    <t>CASS COMÉRCIO E REPRESENTAÇÕES LTDA</t>
  </si>
  <si>
    <t>CONFECÇÕES E PRODUTOS MÉDICOS E HOSPITALARES SUPER CLEAN LTDA - ME</t>
  </si>
  <si>
    <t>HOEPCKE VEICULOS LTDA</t>
  </si>
  <si>
    <t>EXTINTORES SOTILLI LTDA - ME</t>
  </si>
  <si>
    <t>BAÍA NORTE PRODUTOS PARA RESTAURANTE LTDA</t>
  </si>
  <si>
    <t>AROMA COMÉRCIO DE PRODUTOS DE LIMPEZA LTDA</t>
  </si>
  <si>
    <t>ARAÚJO E PAGNONCELLI LTDA</t>
  </si>
  <si>
    <t>MAURILIO BERTOLDO CORREA - ME</t>
  </si>
  <si>
    <t>JORNAL DE SANTA CATARINA S/A</t>
  </si>
  <si>
    <t>LUZIA JULIA MASCELANI SILVERIO ME</t>
  </si>
  <si>
    <t>EDITORA SINTESE LTDA</t>
  </si>
  <si>
    <t>TAF DISTRIBUIDORA LTDA</t>
  </si>
  <si>
    <t>FRANCE DECORAÇOES LTDA</t>
  </si>
  <si>
    <t>GIANI VIDAL - ME / FECHOU.</t>
  </si>
  <si>
    <t>RS GRAPHICS COMERCIAL LTDA  - EMPRESA FECHOU</t>
  </si>
  <si>
    <t>ATUALIZAÇÃO PROFISSIONAL COAD LTDA</t>
  </si>
  <si>
    <t>FUNDIÇÃO SANTA BÁRBARA LTDA</t>
  </si>
  <si>
    <t>MARCENARIA VOLPE DESIGNER LTDA  ME</t>
  </si>
  <si>
    <t>CIVILLE INDUSTRIA E COMERCIO DE MOVEIS LTDA</t>
  </si>
  <si>
    <t>LIVRARIA E DISTRIBUIDORA MENTE SANA LTDA</t>
  </si>
  <si>
    <t>ALOISIO SILVA FUNILEIRO ME</t>
  </si>
  <si>
    <t>N. F. GRANDE &amp; CIA LTDA</t>
  </si>
  <si>
    <t>BAGETTI &amp; CIA LTDA</t>
  </si>
  <si>
    <t>AUTO POSTO NIENKOTTER LTDA</t>
  </si>
  <si>
    <t>SENAT SERVIÇO NACIONAL DE APRENDIZAGEM DO TRANSPORTE</t>
  </si>
  <si>
    <t>UP TO DATE EVENTOS LTDA</t>
  </si>
  <si>
    <t>MARIO DE SOUZA &amp; CIA LTDA</t>
  </si>
  <si>
    <t>DORACI DE BARROS NUNES - ME</t>
  </si>
  <si>
    <t>COMPANHIA PARANAENSE DE ENERGIA - COPEL</t>
  </si>
  <si>
    <t>GOEDERT LTDA</t>
  </si>
  <si>
    <t>ADIRSON ATAIDE DIAS</t>
  </si>
  <si>
    <t>CEMAX COMERCIO E REPRESENTACAO DE PROD. MEDICOS HOSPIT. LTDA</t>
  </si>
  <si>
    <t>CLUBE DE DIR. LOG. DE CRICIUMA</t>
  </si>
  <si>
    <t>SKR COMERCIO DE MANUFATURADOS LTDA.</t>
  </si>
  <si>
    <t>JURUA VIAGENS E TURISMO LTDA</t>
  </si>
  <si>
    <t>FLAMAX COMERCIO DE MANUFATURADOS LTDA</t>
  </si>
  <si>
    <t>CONTINENTAL LTDA</t>
  </si>
  <si>
    <t>MARIA DO ROCIO RODRIGUES RUTHES PEREIRA</t>
  </si>
  <si>
    <t>CONSPAK PROJETOS E OBRAS LTDA</t>
  </si>
  <si>
    <t>OLADIZA ESQUADRIA DE ALUMINIO LTDA ME</t>
  </si>
  <si>
    <t>TBA INFORMÁTICA LTDA</t>
  </si>
  <si>
    <t>GPG SISTEMAS DE INFORMÁTICA LTDA</t>
  </si>
  <si>
    <t>POSTO CARQUEJA LTDA</t>
  </si>
  <si>
    <t>ESSÊNCIA COMÉRCIO DE ALIMENTOS LTDA ME</t>
  </si>
  <si>
    <t>MAXXIM  INFORMÁTICA LTDA</t>
  </si>
  <si>
    <t>OFICINA MECANICA SILVEIRA LTDA ME</t>
  </si>
  <si>
    <t>OFICINA E COMERCIO DE PEÇAS ANDRADE LTDA - ME</t>
  </si>
  <si>
    <t>BRITTORRES COMÉRCIO E REPRESENTAÇÕES LTDA</t>
  </si>
  <si>
    <t>EDISON FERREIRA FONTOURA</t>
  </si>
  <si>
    <t>ELEVADORES ATLAS SCHINDLER S/A</t>
  </si>
  <si>
    <t>CONECTIVA S/A</t>
  </si>
  <si>
    <t>A.Z. INFORMÁTICA LTDA</t>
  </si>
  <si>
    <t>EXTINTORES JOINVILLE LTDA ME</t>
  </si>
  <si>
    <t>ZHT COMÉRCIO DE CONFECÇÕES LTDA</t>
  </si>
  <si>
    <t>GRAFICA CONTINENTE LTDA - EPP</t>
  </si>
  <si>
    <t>TRIANGULO LIMPEZA E CONSERVAÇAO LTDA</t>
  </si>
  <si>
    <t>DIGIDATA CONSULTORIA E SERVIÇOS DE PROCESSAMENTO DE DADOS LTDA</t>
  </si>
  <si>
    <t>VMB INFORMATICA E REPRESENTACOES LTDA.</t>
  </si>
  <si>
    <t>HOTUIL HOTEIS DE TURISMO INTERNACIONAL S/A</t>
  </si>
  <si>
    <t>PAULO CALDEO</t>
  </si>
  <si>
    <t>EDEVALDO SILVA - ME</t>
  </si>
  <si>
    <t>HIDROMAT - COMERCIO DE MATERIAIS DE CONSTRUCAO LTDA</t>
  </si>
  <si>
    <t>SISSULL SISTEMAS SUL DE COMPUTACAO LTDA</t>
  </si>
  <si>
    <t>LOVETUR AGENCIA DE VIAGENS LTDA</t>
  </si>
  <si>
    <t>OKEANOS CONFECÇÕES  LTDA - ME</t>
  </si>
  <si>
    <t>SOMA EQUIPAMENTOS LTDA</t>
  </si>
  <si>
    <t>SOMAR-SOC.MAQ.E REPRES. LTDA.</t>
  </si>
  <si>
    <t>NOVAPEL DISTRIBUIDORA DE MATERIAIS LTDA</t>
  </si>
  <si>
    <t>LEPAR PAPEIS LTDA</t>
  </si>
  <si>
    <t>ELOSOFT INFORMÁTICA LTDA</t>
  </si>
  <si>
    <t>RAMOFORM ARTES GRAFICAS LTDA</t>
  </si>
  <si>
    <t>MARIJAR REPRESENTACOES LTDA</t>
  </si>
  <si>
    <t>MIGUEL ANTONIO ANIDIO FAGUNDES</t>
  </si>
  <si>
    <t>ASSOCIACAO BRASILEIRA DE RECURSOS HUMANOS - ABRH-RS</t>
  </si>
  <si>
    <t>COMPANHIA DE MOVEIS TRES S</t>
  </si>
  <si>
    <t>MASSUL - MAT DE ESCRITORIO LTDA</t>
  </si>
  <si>
    <t>A. LARSEN &amp; CIA LTDA</t>
  </si>
  <si>
    <t>FEIZ ENGENHARIA DE SISTEMAS LTDA</t>
  </si>
  <si>
    <t>COMERCIAL DE PERSIANAS VERTICALIA LTDA.</t>
  </si>
  <si>
    <t>CONTAREGIS EQUIPAMENTOS DE CONTROLE S/A</t>
  </si>
  <si>
    <t>LINCK S.A - EQUIPAMENTOS RODOVIARIOS E INDUSTRIAIS</t>
  </si>
  <si>
    <t>VARIG - VIACAO AEREA  RIOGRANDENSE S.A</t>
  </si>
  <si>
    <t>DISMED-DISTRIBUIDORA DE MEDICAMENTOS LTD</t>
  </si>
  <si>
    <t>EDICOMP - EDICOES PROFISSIONAIS INFORMATIZADAS LTDA</t>
  </si>
  <si>
    <t>KLIFT AR CONDICIONADO CENTRAL LTDA</t>
  </si>
  <si>
    <t>CONTROL CENTER COMERCIO EQUIPAMENTOS PARA INFORMATICA LTDA</t>
  </si>
  <si>
    <t>COMPUTER LIFE CONSULTORIA LTDA</t>
  </si>
  <si>
    <t>TEMPO BOM COMERCIO E REPRESENTACOES LTDA</t>
  </si>
  <si>
    <t>FLAVIO VINICIOS SAUER - ME</t>
  </si>
  <si>
    <t>SERRALHARIA MOSIMANN LTDA</t>
  </si>
  <si>
    <t>SEMECAL - COM. DE AUTO PEÇAS E SERV. AUTOMOTIVOS LTDA - EPP</t>
  </si>
  <si>
    <t>SÓ IMPRESSORAS SERVIÇOS LTDA - ME</t>
  </si>
  <si>
    <t>TONER PRINT COMERCIO E MAN. DE EQUIP. E PROD. DE INFORMÁTICA LTDA</t>
  </si>
  <si>
    <t>LUIZ ANTONIO ZANDOMENICO</t>
  </si>
  <si>
    <t>CENTRO DE ESTUDOS E COMUNICAÇÃO EM SEXUALIDADE E REPRODUÇÃO HUMANA</t>
  </si>
  <si>
    <t>A ABRICAR CHAVES E SERVIÇOS LTDA ME</t>
  </si>
  <si>
    <t>KÁTIA IVANA DA SILVA MENGARDA ME</t>
  </si>
  <si>
    <t>JOSÉ DE ALENCAR SANTOS DA FONSECA ME</t>
  </si>
  <si>
    <t>MP COMÉRCIO E REPRESENTAÇÕES LTDA</t>
  </si>
  <si>
    <t>ENI ANA MARTINS ME</t>
  </si>
  <si>
    <t>EQUILÍBRIOS INDÚSTRIA  E COMÉRCIO DE CONFECÇÕES LTDA EPP</t>
  </si>
  <si>
    <t>SERVIÇO SOCIAL DA INDÚSTRIA</t>
  </si>
  <si>
    <t>ILLO IMOVEIS LTDA</t>
  </si>
  <si>
    <t>FE INDUSTRIA E COMÉRCIO DE CARIMBOS LTDA</t>
  </si>
  <si>
    <t>MARTE EQUIPAMENTOS PARA LABORATÓRIOS LTDA</t>
  </si>
  <si>
    <t>SEC ENGENHARIA E ARQUITETURA LTDA</t>
  </si>
  <si>
    <t>MILI DISTRIBUIDORA DE PAPEIS S/A</t>
  </si>
  <si>
    <t>TELEATIVA TELECOMUNICAÇÕES LTDA</t>
  </si>
  <si>
    <t>VOTORANTIM CELULOSE E PAPEL S/A</t>
  </si>
  <si>
    <t>LOGIC IMPORTAÇÃO COMÉRCIO REPRESENTAÇÕES LTDA</t>
  </si>
  <si>
    <t>MERCADÃO COMÉRCIO DE MÓVEIS PARA ESCRITÓRIO LTDA</t>
  </si>
  <si>
    <t>FUJITSU DO BRASIL LTDA</t>
  </si>
  <si>
    <t>INTERCORP PROVEDOR DE INTERNET LTDA - ME</t>
  </si>
  <si>
    <t>FRETTALAR COMÉRCIO DE DECORAÇÕES LTDA</t>
  </si>
  <si>
    <t>KHRONOS SERVIÇOS ESPECIALIZADOS LTDA.</t>
  </si>
  <si>
    <t>BRUTHAN COMERCIAL LTDA</t>
  </si>
  <si>
    <t>ALPHATEC ENGENHARIA LTDA</t>
  </si>
  <si>
    <t>ELETRONICA ELTEC - SOM LTDA - ME</t>
  </si>
  <si>
    <t>CONSERTEL TELEFONIA LTDA</t>
  </si>
  <si>
    <t>WALMIDO GUSTAVO FUCKNER - ME</t>
  </si>
  <si>
    <t>FATIMA ARTIGOS ESPORTIVOS LT.</t>
  </si>
  <si>
    <t>JOSE BORGES &amp; CIA</t>
  </si>
  <si>
    <t>PROSDOCIMO S/A IMPORT. E COMER</t>
  </si>
  <si>
    <t>CLANGRAF INDUSTRIA E COMERCIO DE MATERIAIS GRAFICOS</t>
  </si>
  <si>
    <t>EXPOMIRO COMERCIAL DE EQUIPAMENTOS P/ REFRIGERACAO</t>
  </si>
  <si>
    <t>SERRALHERIA BARBOSA LTDA - ME</t>
  </si>
  <si>
    <t>TECAR - EQUIPAMENTOS PARA ESCRITORIO LTDA</t>
  </si>
  <si>
    <t>QUINT COMUNICACOES LTDA</t>
  </si>
  <si>
    <t>NAKAZIMA ENGENHARIA LTDA</t>
  </si>
  <si>
    <t>UNIAO COMERCIAL E IMPORT. DE VIDROS LTDA</t>
  </si>
  <si>
    <t>ASSIST. TECNICA E COM. DE  EQUIP. PARA ESCRITORIO JARDIM LTDA</t>
  </si>
  <si>
    <t>ASSISTENCIA TEC. E COM. DE MAQ. E EQUIP. PARA JARDIM LTDA</t>
  </si>
  <si>
    <t>COMERCIAL FRANCA - MAQUINAS PARA ESCRITORIO LTDA</t>
  </si>
  <si>
    <t>DAPI MOVEIS LTDA</t>
  </si>
  <si>
    <t>POLLIMED EQUIPAMENTOS CARDIOLOGICOS LTDA</t>
  </si>
  <si>
    <t>CASA CRUZEIRO LTDA</t>
  </si>
  <si>
    <t>CASTRO COMERCIO DE COMPUTADORES E MAQUINAS LTDA</t>
  </si>
  <si>
    <t>DEDETIZACOES START E LAVANDERIA START LTDA ME</t>
  </si>
  <si>
    <t>INDUSTRIA E COMERCIO DE CARIMBOS CENTER LTDA</t>
  </si>
  <si>
    <t>HERMES MACEDO S/A</t>
  </si>
  <si>
    <t>LIVRARIA E DISTRIBUIDORA CURITIBA LTDA.</t>
  </si>
  <si>
    <t>ICO COMERCIAL S/A FERR.E EQUIPAMENTOS.</t>
  </si>
  <si>
    <t>ORBRAM ORGANIZACOES E. BRAMBILLA LTDA</t>
  </si>
  <si>
    <t>FEDATO SPORTS LTDA</t>
  </si>
  <si>
    <t>R.V. ANDRADE &amp; CIA LTDA</t>
  </si>
  <si>
    <t>TRANSFORMADRES MEGA LTDA</t>
  </si>
  <si>
    <t>ARTEFACAS IND. DE FACAS PARA CORTE E VINCO LTDA</t>
  </si>
  <si>
    <t>LETERUN - INDUSTRIA E COMERCIO DE LETREIROS LTDA</t>
  </si>
  <si>
    <t>LIMPALAR - COMERCIO E REPRESENTACOES</t>
  </si>
  <si>
    <t>COM. MAT. C-INCENDIO LTDA</t>
  </si>
  <si>
    <t>OFICINA DE MECANOGRAFIA ARARANGUA LTDA</t>
  </si>
  <si>
    <t>COMERCIAL ELETRO SANTOS LTDA</t>
  </si>
  <si>
    <t>REFRIGERACAO SEBBEN LTDA</t>
  </si>
  <si>
    <t>FARMACIA ALAMANDAS LTDA</t>
  </si>
  <si>
    <t>BOM AR ENGENHARIA DE AR CONDICIONADO LTDA</t>
  </si>
  <si>
    <t>IMOBILIARIA MORESCO LTDA</t>
  </si>
  <si>
    <t>ELETROCENTER ELETRICA CENTRAL LTDA</t>
  </si>
  <si>
    <t>INSTALADORA ELETRICA A.S. JUNIOR LTDA</t>
  </si>
  <si>
    <t>ELETRO SOUZA LTDA</t>
  </si>
  <si>
    <t>DIMAS COMERCIO DE AUTOMOVEIS LTDA</t>
  </si>
  <si>
    <t>EUCLIDES HUGO BAYS &amp; CIA LTDA</t>
  </si>
  <si>
    <t>FORMAC FORNECEDORA DE MATERIAIS DE CONSTRUCAO LTDA</t>
  </si>
  <si>
    <t>NEON TAMA LUMINOSOS LTDA - ME</t>
  </si>
  <si>
    <t>MODELAR MODAS E CONFECCOES LTDA</t>
  </si>
  <si>
    <t>ELETRO REFRIGERACAO BLUMENAU LTDA</t>
  </si>
  <si>
    <t>SIND. EMPRE. COM. DE CANOINHAS</t>
  </si>
  <si>
    <t>SIND. TRAB. IND. DE FIAÇÃO, TECELAGEM E DO VEST. DE RODEIO</t>
  </si>
  <si>
    <t>VIDRACARIA SAO MIGUEL LTDA</t>
  </si>
  <si>
    <t>ELETROTECNICA ZF COMERCIO LTDA</t>
  </si>
  <si>
    <t>CROMAGEM JAHN LTDA</t>
  </si>
  <si>
    <t>ENROLATEX ENROLAGEM DE MOTORES BOMBAS LTDA - ME</t>
  </si>
  <si>
    <t>CARIMBARIA MODELO INDUSTRIA E COMERCIO LTDA</t>
  </si>
  <si>
    <t>LUMINEL COMERCIAL E INDUSTRIAL DE ACRILICOS LTDA</t>
  </si>
  <si>
    <t>ANASA ASSISTENCIA TECNICA MECANOGRAFICA LTDA</t>
  </si>
  <si>
    <t>CIDASC - COMPANHIA INTEGRADA DE DESENVOLVIMENTO AGRICOLA DE S.C</t>
  </si>
  <si>
    <t>GLOBERAMA LIVRARIA E PAPELARIA LTDA</t>
  </si>
  <si>
    <t>DISTRIBUIDORA DE BATERIAIS DUTRA LTDA</t>
  </si>
  <si>
    <t>ORBRAM SEGURANCA E TRANSPORTE DE VALORES CAT. LTDA</t>
  </si>
  <si>
    <t>FRAGOMA COM. E IND. DE MATERIAIS DE CONSTRUCAO LTDA</t>
  </si>
  <si>
    <t>VIDRACARIA SANTA LUCIA LTDA</t>
  </si>
  <si>
    <t>SIND. TRAB.TRANSP. ROD. ITAJAI SC</t>
  </si>
  <si>
    <t>MADRIL - MADEIRAS E ESQUADRIAS LTDA</t>
  </si>
  <si>
    <t>SULIMAC COM. SULINA DE MAQUINAS LTDA</t>
  </si>
  <si>
    <t>BLUBEL CONFECCOES E TECIDOS LTDA</t>
  </si>
  <si>
    <t>JOAO CARLOS CE - ME</t>
  </si>
  <si>
    <t>COMERCIAL DE MAQUINAS BITENCOURT LTDA</t>
  </si>
  <si>
    <t>LIVRARIA E PAPELARIA RECORDE LTDA</t>
  </si>
  <si>
    <t>PHILIPPI S/A</t>
  </si>
  <si>
    <t>LOJA A SEDUTORA COMERCIO DE CALCADOS LTDA</t>
  </si>
  <si>
    <t>COMERCIAL PEREIRA OLIVEIRA LTD</t>
  </si>
  <si>
    <t>CLIGIUS - CLINICA DE RELOGIOS LTDA</t>
  </si>
  <si>
    <t>VIDRACARIA LINDE LTDA</t>
  </si>
  <si>
    <t>CESACA CERAMICA SANTA CATARINA S/A</t>
  </si>
  <si>
    <t>A. ANGELONI &amp; CIA LTDA</t>
  </si>
  <si>
    <t>CECRISA CERAMICA CRICIUMA S/A</t>
  </si>
  <si>
    <t>TIPO ARTE FORMULARIOS CONTINUOS LTDA</t>
  </si>
  <si>
    <t>AUTO VIACAO CRITUR LTDA</t>
  </si>
  <si>
    <t>CARBONIFERA CRICIUMA S/A</t>
  </si>
  <si>
    <t>GIASSI &amp; CIA. LTDA.</t>
  </si>
  <si>
    <t>A.L. BERTOLLO &amp; CIA LTDA</t>
  </si>
  <si>
    <t>SUCESU - SOCIEDADE DE USUÁRIOS DE INFORMÁTICA E TELECOMUNICAÇÕES</t>
  </si>
  <si>
    <t>DELL SOUTN TELEINFORMÁTICA LTDA - ME</t>
  </si>
  <si>
    <t>INSTITUTO DE ARQUITETOS DO BRASIL - SC</t>
  </si>
  <si>
    <t>SPP AGAPRINT INDUSTRIAL COMERCIAL LTDA</t>
  </si>
  <si>
    <t>PHILIPS DO BRASIL LTDA</t>
  </si>
  <si>
    <t>CRD REPRESENTACOES DE PAINEIS ELETRICOS LTDA</t>
  </si>
  <si>
    <t>COMERCIO DE MATERIAIS DE CONSTRUCAO BELA VISTA LTDA</t>
  </si>
  <si>
    <t>SERRALHERIA VILSON LTDA. - ME</t>
  </si>
  <si>
    <t>PIM PAO INDUSTRIA E COMERCIO LTDA.</t>
  </si>
  <si>
    <t>ESTOFADOS DALPONTE DE NELSON DALPONTE ESTOFADOR - ME</t>
  </si>
  <si>
    <t>EDVALDO ALVES ME</t>
  </si>
  <si>
    <t>MARTIN'S CORTINAS/ALZIRA MARTINS - ME</t>
  </si>
  <si>
    <t>ARUERA AFICINA DE FOTOGRAFIA LTDA ME</t>
  </si>
  <si>
    <t>CASA DO TIJOLO LTDA - ME</t>
  </si>
  <si>
    <t>TELEMARTE - COMERCIO E REPRESENTACOES LTDA</t>
  </si>
  <si>
    <t>CIRURGICA FLORIANOPOLIS REPRESENTACOES E COMERCIO LTDA</t>
  </si>
  <si>
    <t>ELETRONICA LUNAR DE FERMINO DE LIZ VELHO</t>
  </si>
  <si>
    <t>JORGE LUIZ ORLANDI - ME</t>
  </si>
  <si>
    <t>MULTICOM- COM. E SERV. DE MAT. TELEC. LT</t>
  </si>
  <si>
    <t>PEREIRA &amp; ROCHA LTDA  - ME</t>
  </si>
  <si>
    <t>CEAGE CONTRUCOES CIVIS LTDA</t>
  </si>
  <si>
    <t>VANDELINO GREGORIO ADRIANO INDUSTRIA E COMERCIO DE MADEIRAS LTDA</t>
  </si>
  <si>
    <t>ROSANE WALTRICK REIS - ME</t>
  </si>
  <si>
    <t>REPRESENTACOES ELMO LTDA</t>
  </si>
  <si>
    <t>ARTEC-COMERCIO E IMPORTACAO DE MATERIAIS DE DESENH. E ENG. LTDA</t>
  </si>
  <si>
    <t>CORDEIRO ENGENHARIA E CONSTRUCAO LTDA</t>
  </si>
  <si>
    <t>OLIVECENTER EQUIPAMENTOS PARA ESCRITORIO LTDA</t>
  </si>
  <si>
    <t>DENTAL BRASIL SUL LTDA</t>
  </si>
  <si>
    <t>AUDI PLAZA TURISMO LTDA</t>
  </si>
  <si>
    <t>ARLETE MARQUES VIERIA - ME</t>
  </si>
  <si>
    <t>SIND. DOS BANCARIOS DE BRUSQUE</t>
  </si>
  <si>
    <t>JOAO BATISTA ROSSATTI - ME</t>
  </si>
  <si>
    <t>ERRECE - MATERIAIS E EQUIPAMENTOS PARA ESCRITORIO LTDA</t>
  </si>
  <si>
    <t>ORLY SILVA MARTINS - ME</t>
  </si>
  <si>
    <t>MATERIAIS DE CONSTRUCAO LINEAR LTDA</t>
  </si>
  <si>
    <t>FERNANDES MATERIAIS PARA PINTURA LTDA</t>
  </si>
  <si>
    <t>SANTA FE VEICULOS LTDA</t>
  </si>
  <si>
    <t>FRANCISCA CORREIA HENRIQUE - ME</t>
  </si>
  <si>
    <t>EMPREITEIRA DE MAO DE OBRA BUENO LTDA ME</t>
  </si>
  <si>
    <t>FLORESTA COMERCIO E REPRESENTACOES LTDA</t>
  </si>
  <si>
    <t>REINALDO CANAL E CIA LTDA</t>
  </si>
  <si>
    <t>ADMINISTRADORA DE IMOVEIS ILHEUS LTDA</t>
  </si>
  <si>
    <t>AGUA MINERAL SANTA CATARINA</t>
  </si>
  <si>
    <t>SIND. IND. VESTUARIO DE CRICIUMA</t>
  </si>
  <si>
    <t>JAM EMPREND. IMOBILIARIOS IND. COM. REPRES. LTDA</t>
  </si>
  <si>
    <t>LUXPOLI - COMERCIO DE TINTAS LTDA</t>
  </si>
  <si>
    <t>CASARAO EMPREENDIMENTOS IMOBILIARIOS LTDA</t>
  </si>
  <si>
    <t>CONFECCOES DIMAR LTDA</t>
  </si>
  <si>
    <t>EMPREITEIRA DE MAO DE OBRA FUCHS LTDA</t>
  </si>
  <si>
    <t>SADIA CONCORDIA S.A. INDUSTRIA E COMERCI</t>
  </si>
  <si>
    <t>CATEMAL - COMERCIO E ASSISTENCIA TECNICA DE MAQ. LTDA</t>
  </si>
  <si>
    <t>HERON INDUSTRIA E COMERCIO DE MOVEIS LTDA</t>
  </si>
  <si>
    <t>JACQUELINE TECIDOS E TAPETES LTDA</t>
  </si>
  <si>
    <t>LAVANDERIA CATARINENSE LTDA</t>
  </si>
  <si>
    <t>ZANETTI - LIVRARIA E PAPELARIA LTDA</t>
  </si>
  <si>
    <t>FERRAMENTAL - FERRAGENS E FERRAMENTAS LTDA</t>
  </si>
  <si>
    <t>REFRISC REFRIGERACAO SANTA CATARINA LTDA</t>
  </si>
  <si>
    <t>GUARDA PATRIMONIAL CACADORENSE LTDA.</t>
  </si>
  <si>
    <t>GUARDA PATRIMONIAL CACADORENSE LTDA</t>
  </si>
  <si>
    <t>LEOMAQ REFRIGERACAO LTDA - ME</t>
  </si>
  <si>
    <t>INDUSTRIA GRAFICA E EDITORA CANARINHO LTDA</t>
  </si>
  <si>
    <t>RESTAURANTE PONTA E BAIXO LTDA3</t>
  </si>
  <si>
    <t>RIBEIRO LUCIANO LTDA</t>
  </si>
  <si>
    <t>IVO MARQUES DOS SANTOS - ME</t>
  </si>
  <si>
    <t>HIDROSUL COM. E CONSTRUCOES LTDA</t>
  </si>
  <si>
    <t>REUNIDAS S.A. INDUSTRIA R COMERCIO.</t>
  </si>
  <si>
    <t>ALBERTO JOSE SONZA</t>
  </si>
  <si>
    <t>LIVRARIA E PAPELARIA REAL LTDA</t>
  </si>
  <si>
    <t>CASA DO POVO TECIDOS E CONFECCAO LTDA</t>
  </si>
  <si>
    <t>JOAO BATISTA CLAUDINO - ME</t>
  </si>
  <si>
    <t>SULMAQ COM. DE MAQUINAS LTDA.</t>
  </si>
  <si>
    <t>CONDAR REFRIGERACAO LTDA</t>
  </si>
  <si>
    <t>SIND. EMPR. COM. DE JARAGUA</t>
  </si>
  <si>
    <t>DEKORVALE CONSTRUTORA E INCORPORADORA COM. E REPRESENTACOES LTDA</t>
  </si>
  <si>
    <t>OLIOTA</t>
  </si>
  <si>
    <t>AUGUSTINHO JOAO MONTEIRO</t>
  </si>
  <si>
    <t>REBOLFER COMERCIO E REPRESENTACOES LTDA</t>
  </si>
  <si>
    <t>E.J. DE MARCO &amp; CIA LTDA</t>
  </si>
  <si>
    <t>COPLAN - COMERCIAL PLANALTO LTDA</t>
  </si>
  <si>
    <t>ANGONESE &amp; CIA LTDA</t>
  </si>
  <si>
    <t>SIND. IND. CONST. MOB. JARAGUA</t>
  </si>
  <si>
    <t>CHAVEIRO ARAUJO DE ANTONIO PAULO VIEIRA DE ARAUJO</t>
  </si>
  <si>
    <t>BERNIMAQ - COMERCIO E REPRESENTACOES DE MAQUINAS LTDA</t>
  </si>
  <si>
    <t>LUMIFORT - ELETRO COMERCIAL SILVESTRE LTDA</t>
  </si>
  <si>
    <t>FLAMAGÁS COMÉRCIO E REPRESENTAÇÕES LTDA</t>
  </si>
  <si>
    <t>EDISA HEWLETT-PACKARD S.A</t>
  </si>
  <si>
    <t>MEL COMERCIO DE TINTAS LTDA</t>
  </si>
  <si>
    <t>PINTURAMA CONSTR. &amp; INC. LTDA</t>
  </si>
  <si>
    <t>COMASUL - PRODUTOS E SERVICOS PARA AUTOMACAO COMERCIAL LTDA</t>
  </si>
  <si>
    <t>INDUSTRIAL MADEIREIRA S/A.</t>
  </si>
  <si>
    <t>VINICULA FRAIBURGO S/A.</t>
  </si>
  <si>
    <t>COMERCIAL QUALITY LTDA.</t>
  </si>
  <si>
    <t>OSMAR FIRMINO CARDOSO FILHO ME</t>
  </si>
  <si>
    <t>PLACAS DE ACRILICO PLACRIM LTDA</t>
  </si>
  <si>
    <t>RASSO BOMBAS HIDRAULICAS LTDA</t>
  </si>
  <si>
    <t>E.C. FRANCESCHI &amp; CIA LTDA</t>
  </si>
  <si>
    <t>METALURGICA PERUCHI LTDA</t>
  </si>
  <si>
    <t>INDUSTRIA E COMERCIO DE ARTEFATOS DE CIMENTO A.M.M</t>
  </si>
  <si>
    <t>IRMAOS ABAGE &amp; CIA LTDA</t>
  </si>
  <si>
    <t>CASA DO LAR CONSERTOS DE APARELHOS DOMESTICOS LTDA</t>
  </si>
  <si>
    <t>JOSE VALDONIR CORREA - ME</t>
  </si>
  <si>
    <t>ZULMAR NORBERTO KLOPPEL</t>
  </si>
  <si>
    <t>LIBRA CONSTRUCAO CIVIL LTDA</t>
  </si>
  <si>
    <t>VISUL MAO-DE-OBRA ESPECIALIZADA E ASSESSORIA LTDA</t>
  </si>
  <si>
    <t>ORGANIZACAO DE VIGILANCIA OESTE LTDA</t>
  </si>
  <si>
    <t>EXTINSUL - COMERCIO DE EXTINTORES DO SUL LTDA</t>
  </si>
  <si>
    <t>ARTGRAF - ARTES GRAFICAS LTDA</t>
  </si>
  <si>
    <t>ALVES IND. E COM. DE ALUM. LTDA</t>
  </si>
  <si>
    <t>MICROSENS LTDA</t>
  </si>
  <si>
    <t>EQUITEL S/A EQUIP. E SISTEMAS DE TELECOM</t>
  </si>
  <si>
    <t>EQUITEL S. A. - EQUIPAMENTOS E SISTEMAS DE TELECOMUNICACOES</t>
  </si>
  <si>
    <t>EQUITEL S/A EQUIPAMENTOS E SISTEMAS DE TELECOMUNICACOES</t>
  </si>
  <si>
    <t>CONSTRUTORA SULBRASIL LTDA</t>
  </si>
  <si>
    <t>INCEMA - INDUSTRIA E COMERCIO DE MADEIRAS LTDA</t>
  </si>
  <si>
    <t>DALMO VERAS E CIA LTDA</t>
  </si>
  <si>
    <t>VESPASIANO FIORAVANTE &amp; CIA LTDA</t>
  </si>
  <si>
    <t>COMERCIO DE FERRAGENS SANTOS LTDA</t>
  </si>
  <si>
    <t>FABIGLAU - PAPELARIA LIVRARIA E BAZAR LTDA</t>
  </si>
  <si>
    <t>WOLNEI LUIZ PACHECO</t>
  </si>
  <si>
    <t>NATALICIO DE JESUS GERALDO - ME</t>
  </si>
  <si>
    <t>DEPOSITO ANDORINHA MATERIAIS DE CONSTRUCAO LTDA</t>
  </si>
  <si>
    <t>CYNTHEL - COMERCIO E REPRESENTACOES IMPORTACAO E EXPORTACAO LTDA</t>
  </si>
  <si>
    <t>LAGOATUR - LAGOA DA CONCEICAO VIAGENS E TURISMO LTDA</t>
  </si>
  <si>
    <t>BUSCH &amp; CIA LTDA</t>
  </si>
  <si>
    <t>FUNDICAO SAPE LTDA - ME</t>
  </si>
  <si>
    <t>LINEAR MOVEIS LTDA</t>
  </si>
  <si>
    <t>JOAO VIEIRA &amp; CIA LTDA</t>
  </si>
  <si>
    <t>DEDETIZACAO OSVALDIR - DE O SOARES - ME</t>
  </si>
  <si>
    <t>INCORPEL INDUSTRIA COMERCIOE REPRESENTACAO DE PAPEIS LTDA</t>
  </si>
  <si>
    <t>FEDERACAO INDUSTRIA DE S.C.</t>
  </si>
  <si>
    <t>VIDRACARIA STA EFIGENIA LTDA</t>
  </si>
  <si>
    <t>VIDRACARIA SANTA EFIGENIA LTDA</t>
  </si>
  <si>
    <t>CASTRO &amp; CIA LTDA</t>
  </si>
  <si>
    <t>INDUSTRIA GRAFICA ZANETTI LTDA</t>
  </si>
  <si>
    <t>RESTAURANTE LINDACAP TURISMO LTDA</t>
  </si>
  <si>
    <t>ANDRE MAYKOT COMERCIAL LTDA</t>
  </si>
  <si>
    <t>ELPIDIO MENEGHELLI</t>
  </si>
  <si>
    <t>IVO TREVISAN &amp; IRMAOS LTDA</t>
  </si>
  <si>
    <t>EUCLIDES RODRIGUES ESTUARTE</t>
  </si>
  <si>
    <t>INDUSMED - COM. REPRESENT. IMP. EXP. DE PROD. MEDICOS LTDA</t>
  </si>
  <si>
    <t>BOOKSTORE LIVRARIA LTDA</t>
  </si>
  <si>
    <t>COMERCIO E REPRESENTACAO MEINHART LTDA</t>
  </si>
  <si>
    <t>ESCRITOLANDIA EQ.P/ ESCR. E LA</t>
  </si>
  <si>
    <t>ENTEL TELECOMUNICACOES E TELEMATICA LTDA</t>
  </si>
  <si>
    <t>IMUNIZADORA LIGUE PARA MATAR</t>
  </si>
  <si>
    <t>REPRYS COMERCIO E REPRESENTACOES LTDA - ME</t>
  </si>
  <si>
    <t>VITENGE COMERCIO E REPRESENTACOES LTDA</t>
  </si>
  <si>
    <t>DL - INDUSTRIA E COMERCIO DE ALUMINIO LTDA - ME</t>
  </si>
  <si>
    <t>TRAFOSERVICE SERVICOS ELETRICOS LTDA</t>
  </si>
  <si>
    <t>PROMOM METODO TELEMON</t>
  </si>
  <si>
    <t>TOCANTINS COMERCIO E REPRESENTACOES DE MATERIAIS PARA HOTEIS LTDA</t>
  </si>
  <si>
    <t>IRMAOS VERAS &amp; CIA LTDA</t>
  </si>
  <si>
    <t>EDEME - INDUSTRIA GRAFICA E COMUNICACAO S.A.</t>
  </si>
  <si>
    <t>FARMACIA MEDICAL LTDA - ME</t>
  </si>
  <si>
    <t>AUTO LOCADORA COELHO LTDA</t>
  </si>
  <si>
    <t>CLEMAR AR CONDICIONADO LTDA</t>
  </si>
  <si>
    <t>BOCK &amp; CIA LTDA.</t>
  </si>
  <si>
    <t>BERTOS EQUIPAMENTOS PARA ESCRITORIO LTDA ME</t>
  </si>
  <si>
    <t>CUREAU &amp; CIA LTDA</t>
  </si>
  <si>
    <t>VIDRACARIA 15 LTDA</t>
  </si>
  <si>
    <t>INSTITUTO SUPERIOR TUPY - SOCIESC JOINVILLE</t>
  </si>
  <si>
    <t>TACOLINDNER INDUSTRIAL LTDA</t>
  </si>
  <si>
    <t>ALVA ARTEFATOS DE ARAMES LTDA</t>
  </si>
  <si>
    <t>HAAS PRODUTOS E TECNOLOGIA LTDA</t>
  </si>
  <si>
    <t>ESCRILAR COM. ATAC. DE MÓVEIS E ARTIGOS DE DECORAÇÃO LTDA</t>
  </si>
  <si>
    <t>PROCONST PROJETOS E CONSTRUÇÕES LTDA</t>
  </si>
  <si>
    <t>CENTRO DE APRENDIZAGEM VIVENCIAL LTDA - ME</t>
  </si>
  <si>
    <t>TROPIPA INDUSTRIA E COMERCIO DE CONFECÇOES LTDA</t>
  </si>
  <si>
    <t>CRIMON PRODUTOS PROMOCIONAIS LTDA</t>
  </si>
  <si>
    <t>PAULO RENATO PEREIRA PLENTZ - ME</t>
  </si>
  <si>
    <t>QUALITEC COMERCIAL LTDA</t>
  </si>
  <si>
    <t>DZL DISTRIBUIDORA ZANATA LTDA</t>
  </si>
  <si>
    <t>HEPACOM TELECOMUNICAÇOES LTDA</t>
  </si>
  <si>
    <t>SENASP - SERVIÇO NACIONAL DE SELEÇÃO PÚBLICA S/C LTDA</t>
  </si>
  <si>
    <t>KILAR MÓVEIS E DECORAÇÕES LTDA</t>
  </si>
  <si>
    <t>HIDRAU MECANICA HIDROPNEUMATICA LTDA</t>
  </si>
  <si>
    <t>CIRÚRGICA CLIMAZA COMÉRCIO REPRESENTAÇÃO E ASSIST. TÉCNICA LTDA</t>
  </si>
  <si>
    <t>SERVIÇO NACIONAL DE APRENDIZAGEM INDUSTRIAL</t>
  </si>
  <si>
    <t>DENTAL SANTA CLARA LTDA          EMPRESA FECHOU.</t>
  </si>
  <si>
    <t>KR INDÚSTRIA E COMÉRCIO LTDA</t>
  </si>
  <si>
    <t>DAMOVO DO BRASIL S/A</t>
  </si>
  <si>
    <t>ELETRO ZONTA LTDA ME</t>
  </si>
  <si>
    <t>IOB - INFORMAÇÕES OBJETIVAS E PUBLICAÇÕES JURIDICAS LTDA</t>
  </si>
  <si>
    <t>LUCA COMÉRCIO DE SISTEMAS AUDIOVISUAIS LTDA</t>
  </si>
  <si>
    <t>LUMIBOX INDÚSTRIA E COMÉRCIO DE LUMINOSOS LTDA ME</t>
  </si>
  <si>
    <t>FLORMAQ EQUIPAMENTOS PARA ESCRITÓRIO LTDA</t>
  </si>
  <si>
    <t>SERLIMCOL SERVIÇOS DE LIMPEZA E CONSERVAÇAO LTDA</t>
  </si>
  <si>
    <t>MUNICIPIO DE TIMBO - PREFEITURA MUNICIPAL</t>
  </si>
  <si>
    <t>BERGON DECORAÇÕES LTDA ME</t>
  </si>
  <si>
    <t>RIPEL COMÉRCIO DE PAPEIS E MATERIAL DE ESCRITÓRIO LTDA</t>
  </si>
  <si>
    <t>G&amp;S INFORMÁTICA LTDA ME  / FECHOU.</t>
  </si>
  <si>
    <t>RISOSUL COMÉRCIO E ASSISTENCIA TÉCNICA DE EQUIP. GRÁF. VISUAIS LTDA ME</t>
  </si>
  <si>
    <t>TRANSPORTES RÁPIDO OURO PRETO LTDA</t>
  </si>
  <si>
    <t>ANIBAL DACOREGIO &amp; FILHO LTDA  - ME</t>
  </si>
  <si>
    <t>COMPANHIA PAULISTA DE SEGUROS</t>
  </si>
  <si>
    <t>PULSO ENGENHARIA E TELECOMUNICAÇÕES LTDA</t>
  </si>
  <si>
    <t>AZZ ADMINISTRADORA DE BENS LTDA</t>
  </si>
  <si>
    <t>SANTA CATARINA AUTOMAÇÃO INDUSTRIAL E SISTEMAS LTDA</t>
  </si>
  <si>
    <t>ROCHA GRAFICA E EDITORA LTDA</t>
  </si>
  <si>
    <t>PÓDIO ARTES VISUAIS LTDA</t>
  </si>
  <si>
    <t>GIACOMELLI EMPREENDIMENTOS IMOBILIARIOS LTDA</t>
  </si>
  <si>
    <t>GELOTEC REFRIGERAÇÃO LTDA ME</t>
  </si>
  <si>
    <t>ARACI FIDELIS RESENDE - ME</t>
  </si>
  <si>
    <t>WABERNARDINI ENGENHARIA E CONSTRUÇÕES LTDA</t>
  </si>
  <si>
    <t>CENTRAL DE COMUNICAÇÃO SC LT DA</t>
  </si>
  <si>
    <t>XEROX COMÉRCIO E INDÚSTRIA LTDA</t>
  </si>
  <si>
    <t>NCR MATERIAIS E EQUIPAMENTOS LTDA</t>
  </si>
  <si>
    <t>SERVILAR SERVICO E COMERCIO DE ELETRODOMESTICOS LTDA</t>
  </si>
  <si>
    <t>ASTRO - INDUSTRIA E COMERCIO DE MOVEIS LTDA</t>
  </si>
  <si>
    <t>SCHUERMENN S/A</t>
  </si>
  <si>
    <t>J.C.R. REPRESENTACOES E COMERCIO LTDA</t>
  </si>
  <si>
    <t>AGUAPURA-DISTRIBUIDORA DE AGUA MINERAL LTDA</t>
  </si>
  <si>
    <t>DI - FLORES COMERCIO DE FLORES LTDA</t>
  </si>
  <si>
    <t>ELETRONICA BAGE DE VALTER FILHER DA SILVA</t>
  </si>
  <si>
    <t>COMERCIAL ELETRICA FAROS LTDA</t>
  </si>
  <si>
    <t>FRANCELINO &amp; CIA LTDA</t>
  </si>
  <si>
    <t>CASA ESCAR DOS PARAFUSOS LTDA</t>
  </si>
  <si>
    <t>ARMADEL - ARMARIOS E DECORACOES LTDA</t>
  </si>
  <si>
    <t>NERY ANGELO DALASEN ME</t>
  </si>
  <si>
    <t>C.G.S. MODATUAL COMERCIO DE CONFECCOES LTDA</t>
  </si>
  <si>
    <t>COTIL COMERCIO DE TINTAS LTDA</t>
  </si>
  <si>
    <t>DENTARIA TONINHO LTDA</t>
  </si>
  <si>
    <t>ALUCOL ALUMINIOS CORAL LTDA</t>
  </si>
  <si>
    <t>SERTA PAPELARIA E PRESENTES LTDA</t>
  </si>
  <si>
    <t>IMARTEL INDUSTRIA DE MUROS E ARTEFATOS DE CIMENTO LTDA</t>
  </si>
  <si>
    <t>ARTES GRAFICAS RIOSUL LTDA</t>
  </si>
  <si>
    <t>SCALA DECORACOES LTDA</t>
  </si>
  <si>
    <t>ADEGRAPHE - INDUSTRIA GRAFICA LTDA</t>
  </si>
  <si>
    <t>MACGRI ENGENHARIA COMERCIO E REPRESENTACOES LTDA</t>
  </si>
  <si>
    <t>HP CASA DO VIDRO LTDA</t>
  </si>
  <si>
    <t>BLUFORRO SERVICOS AUXILIARES A CONSTRUCAO CIVIL LTDA</t>
  </si>
  <si>
    <t>HONORINO BORTOLUZZI &amp; CIA LTDA</t>
  </si>
  <si>
    <t>HEZ - ADMINISTRACAO SERVICOS E PARTICIPACOES LTDA</t>
  </si>
  <si>
    <t>CASA DAS FLORES ARTE E SERVICOS</t>
  </si>
  <si>
    <t>RODOPAN - PAINEIS RODOVIARIOS LTDA</t>
  </si>
  <si>
    <t>LOJAS DO PEDRO LTDA</t>
  </si>
  <si>
    <t>OBV FOTO OPTICA LTDA</t>
  </si>
  <si>
    <t>LAVANDERIA SOL LTDA</t>
  </si>
  <si>
    <t>TAPETES E DECORACOES PEDROSO LTDA.</t>
  </si>
  <si>
    <t>RARELI COMERCIO E REPRESENTACAO LTDA</t>
  </si>
  <si>
    <t>COMASUL COM. MAQ. E SUPR. DE ESCRIT.LTDA</t>
  </si>
  <si>
    <t>COMERCIAL ELETRICA CASALUX</t>
  </si>
  <si>
    <t>COMERCIAL ELETRICA CASA LUX LTDA</t>
  </si>
  <si>
    <t>NELSON MATOS DA SILVA ME</t>
  </si>
  <si>
    <t>CSG - SOCORRO DO LAR</t>
  </si>
  <si>
    <t>A INSTALADORA RIOMAFRENSE LTDA</t>
  </si>
  <si>
    <t>CALINCO CATARINENSE DE LIMPEZA E TRANSPORTE LTDA</t>
  </si>
  <si>
    <t>DISAPEL ELETRODOMESTICOS LTDA</t>
  </si>
  <si>
    <t>ELETRONICA MODELO - COMERCIO DE PECAS LTDA</t>
  </si>
  <si>
    <t>A. CUSTODIO &amp; CIA LTDA</t>
  </si>
  <si>
    <t>MOVEIS SPEZIA LTDA</t>
  </si>
  <si>
    <t>ARTE LAJE JARAGUA LTDA</t>
  </si>
  <si>
    <t>ALGEMIRO MANIQUE BARRETO E CIA LTDA</t>
  </si>
  <si>
    <t>ZAPEL INDUSTRIA DE ARTEFATOS DE PAPEL LTDA</t>
  </si>
  <si>
    <t>EXPRESSO RIO MAINA LTDA</t>
  </si>
  <si>
    <t>SIND. COM. VAREJISTA DE CRICIUMA</t>
  </si>
  <si>
    <t>SIND. DOS TRAB. IND. CONST. MOB. CERAMICA DE CRICIUMA</t>
  </si>
  <si>
    <t>LOCAL EMPREENDIMENTOS IMOBILIARIOS LTDA</t>
  </si>
  <si>
    <t>LEONI REFRIGERANTE LTDA</t>
  </si>
  <si>
    <t>RICEL ROSA INDUSTRIA E COMERCIO DE ESQUADRIAS LTDA ME</t>
  </si>
  <si>
    <t>JOAO ESTEFANO KOTZIAS &amp; CIA</t>
  </si>
  <si>
    <t>J.F. ALEXANDRE COMERCIO E REPRESENTACOES DE MAQUINAS</t>
  </si>
  <si>
    <t>DENTAL SANTA APOLONIA LTDA</t>
  </si>
  <si>
    <t>BACH E BACH LTDA - ME</t>
  </si>
  <si>
    <t>REPECON AUTOMÓVEIS LTDA</t>
  </si>
  <si>
    <t>LUIZA TRIDAPALLI DUARTE LTDA</t>
  </si>
  <si>
    <t>RETIFICA DE MOTORES MARTINELLO LTDA</t>
  </si>
  <si>
    <t>REITZ VIANA &amp; CIA LTDA</t>
  </si>
  <si>
    <t>CATARINENSE DE REFRIGERANTES LTDA</t>
  </si>
  <si>
    <t>INDUSTRIA CARBOQUIMICA CATARINENSE S/A</t>
  </si>
  <si>
    <t>MADESC MADEIRAS E COMPENSADOS LTDA</t>
  </si>
  <si>
    <t>MADEIREIRA CAPISTRANO LTDA</t>
  </si>
  <si>
    <t>CASAS SANTA MARIA</t>
  </si>
  <si>
    <t>FED.DO COM.DO ESTADO DE SANTA CATARINA.</t>
  </si>
  <si>
    <t>EMPRESA EDITORA JORNAL O ESTADO LTDA</t>
  </si>
  <si>
    <t>DER DO ESTADO DE SANTA CATARINA</t>
  </si>
  <si>
    <t>HOSPITALIA CIR. CATARIN. LTDA</t>
  </si>
  <si>
    <t>RECOMAQ REPRESENTACOES E COMERCIO DE MAQUINAS LTDA</t>
  </si>
  <si>
    <t>SIND. IND. MET.MEC.MAT.JARAGUA</t>
  </si>
  <si>
    <t>SIND. TRAB. ALIM. DE JARAGUA</t>
  </si>
  <si>
    <t>SIND. IND. VEST. DE JARAGUA</t>
  </si>
  <si>
    <t>IRMAOS VIEIRA LTDA</t>
  </si>
  <si>
    <t>FED. TRAB.IND. CONST.MOB.\S.C.</t>
  </si>
  <si>
    <t>GRAFICA 66 DE L FLEMING &amp; CIA LTDA</t>
  </si>
  <si>
    <t>EDITORA E LIVRARIAS LUNARDELLI LTDA</t>
  </si>
  <si>
    <t>JOIA POSTO LTDA</t>
  </si>
  <si>
    <t>TELECOMUNICACOES DE SANTA CATARINA S/A</t>
  </si>
  <si>
    <t>BIT ELETRONICA LTDA</t>
  </si>
  <si>
    <t>DISTRIBUIDORA DE BEBIDAS VILAIN LTDA</t>
  </si>
  <si>
    <t>LUX NEON - IND. E COM. DE ACRILICOS LTDA3</t>
  </si>
  <si>
    <t>COMERCIAL DE TINTAS SPECK LTDA</t>
  </si>
  <si>
    <t>VIDALAR COMÉRCIO E REPRESENTAÇÕES LTDA</t>
  </si>
  <si>
    <t>LEISTER MOVEIS E DECORAÇÕES LTDA</t>
  </si>
  <si>
    <t>CASA SHOPPING LTDA</t>
  </si>
  <si>
    <t>COMERCIAL STECANELA DE MATERIAIS ELÉTRICOS LTDA ME</t>
  </si>
  <si>
    <t>MD MEDIÇOES E PROJETOS LTDA</t>
  </si>
  <si>
    <t>MERCO INFORMÁTICA LTDA</t>
  </si>
  <si>
    <t>VTC SOLUÇÕES EM TURISMO LTDA.</t>
  </si>
  <si>
    <t>AMBIENTE SUL AR CONDICIONADO LTDA ME</t>
  </si>
  <si>
    <t>CENTRO BRASILEIRO DE SEGURANÇA E SAÚDE INDUSTRIAL LTDA</t>
  </si>
  <si>
    <t>GENSNET INFORMÁTICA LTDA</t>
  </si>
  <si>
    <t>ILHA CÓPIAS LTDA ME</t>
  </si>
  <si>
    <t>COOPERATIVA RIOGRANDENSE DE ELETRICIDADE LTDA</t>
  </si>
  <si>
    <t>MICHELLE LOPES CARDOSO ME</t>
  </si>
  <si>
    <t>ARCOBAN MOVEIS SOB MEDIDA LTDA</t>
  </si>
  <si>
    <t>ELBERT INDUSTRIA GRAFICA LTDA</t>
  </si>
  <si>
    <t>CONSELHO REGIONAL DE ADMINISTRAÇÃO 12 REGIÃO</t>
  </si>
  <si>
    <t>ZACCHI COMÉRCIO REPRESENTAÇÕES E SERVIÇOS LTDA</t>
  </si>
  <si>
    <t>MUDANÇAS CORBANI LTDA</t>
  </si>
  <si>
    <t>ENGEPREV ENGENHARIA E PREVENÇAO LTDA</t>
  </si>
  <si>
    <t>CASSOL MATERIAIS DE CONSTRUÇÃO LTDA</t>
  </si>
  <si>
    <t>INFORMATIZ COMERCIAL LTDA</t>
  </si>
  <si>
    <t>OFICINA ELIANE COM. E MANUT. DE MÁQUINAS DE ESCRITÓRIO LTDA ME</t>
  </si>
  <si>
    <t>VILMA MARIA RACHADEL ME</t>
  </si>
  <si>
    <t>ORIUM COMÉRCIO DE MATERIAL DE CONSTRUÇÃO LTDA</t>
  </si>
  <si>
    <t>POLITEL - POLO DA INFORMÁTICA E TELEFONIA LTDA</t>
  </si>
  <si>
    <t>PAPEIS E PAPEIS MATERIAIS P/ INFORM.LTDA . FECHOU</t>
  </si>
  <si>
    <t>CREARE ENGENHARIA ELÉTRICA LTDA</t>
  </si>
  <si>
    <t>LIVRARIAS CURITIBA LTDA</t>
  </si>
  <si>
    <t>ACJ INFORMÁTICA LTDA</t>
  </si>
  <si>
    <t>HOMIS CONTROLE E INSTRUMENTAÇÃO LTDA</t>
  </si>
  <si>
    <t>J. M. INDÚSTRIA E COMÉRCIO DE CARIMBOS LTDA. ME</t>
  </si>
  <si>
    <t>HELIOPRINT LOCADORA DE EQUIPAMENTOS LTDA</t>
  </si>
  <si>
    <t>SOSEBAN - VIGILÂNCIA  BANCÁRIA, INDUSTRIAL E COMERCIAL LTDA</t>
  </si>
  <si>
    <t>J C F COMÉRCIO INDÚSTRIA E EXPORTAÇÃO LTDA</t>
  </si>
  <si>
    <t>CONSTRUTORA J. B. LTDA</t>
  </si>
  <si>
    <t>LUIZ HENRIQUE DE OLIVEIRA DECORAÇOES ME</t>
  </si>
  <si>
    <t>OLIVEIRA TELECOMUNICAÇÕES E INFORMÁTICA LTDA</t>
  </si>
  <si>
    <t>PAG FOGO COMÉRCIO E REPRESENTAÇÕES LTDA. FECHOU!</t>
  </si>
  <si>
    <t>ESQUADRIAS CATARINENSE LTDA</t>
  </si>
  <si>
    <t>LIVRARIA LIVROS &amp; LIVROS LTDA</t>
  </si>
  <si>
    <t>ENIGMA COMERCIAL LTDA</t>
  </si>
  <si>
    <t>IMPAR COMÉRCIO DE MATERIAIS PARA CONSTRUÇÃO LTDA</t>
  </si>
  <si>
    <t>COSMOPOLITA OFFICE LTDA</t>
  </si>
  <si>
    <t>VIVENDA ENGENHARIA E COMERCIO LTDA.</t>
  </si>
  <si>
    <t>VISUL VIGILANCIA DO SUL LTDA</t>
  </si>
  <si>
    <t>AFICINA DUARTE DE EDISON MACARIO DUARTE</t>
  </si>
  <si>
    <t>ESFERA  MAQUINAS LTDA</t>
  </si>
  <si>
    <t>IMPAR COMERCIAL E DECORADORA LTDA</t>
  </si>
  <si>
    <t>ELETRICA PIPA - COMERCIO E INDUSTRIA DE MATERIAL ELETRICO LTDA</t>
  </si>
  <si>
    <t>ILHAFOTO LTDA</t>
  </si>
  <si>
    <t>ATEMAQ - ASSISTENCIA TECNICA DE MAQUINAS LTDA</t>
  </si>
  <si>
    <t>ELETROMATE ENGENHARIA LTDA</t>
  </si>
  <si>
    <t>IMUNIZADORA S.T.S DE SAMIR TOMAZ SCHLICHTING</t>
  </si>
  <si>
    <t>A. KATECIPIS COM. E REPRESENTACOES LTDA</t>
  </si>
  <si>
    <t>FERNANDO TEIXEIRA ME</t>
  </si>
  <si>
    <t>EDITORA REVISTA DOS TRIBUNAIS LTDA</t>
  </si>
  <si>
    <t>PERSIANAS CRIATIVA LTDA ME</t>
  </si>
  <si>
    <t>MICROLAB COMÉRCIO DE PRODUTOS PARA LABORATÓRIO LTDA</t>
  </si>
  <si>
    <t>IMAGEM FOTOLITOS LTDA</t>
  </si>
  <si>
    <t>FUNDAÇÃO DE AMPARO À PESQUISA E EXTENSÃO UNIVERSITÁRIA</t>
  </si>
  <si>
    <t>FUNDAÇÃO DO ENSINO TÉCNICO DE SANTA CATARINA</t>
  </si>
  <si>
    <t>ASSOCIAÇÃO ODONTOLÓGICA DO NORTE DO PARANÁ</t>
  </si>
  <si>
    <t>UNIVERSIDADE DO VALE DO ITAJAI</t>
  </si>
  <si>
    <t>VIGILANCIA PEDROZO  LTDA</t>
  </si>
  <si>
    <t>GEOTEC GEOMETRIA TÉCNICA LTDA ME</t>
  </si>
  <si>
    <t>ALBERTO SCHUTZ NETO</t>
  </si>
  <si>
    <t>PAPEL MAR LTDA</t>
  </si>
  <si>
    <t>QUICK SOFT SISTEMAS DE INFORMAÇÕES LTDA</t>
  </si>
  <si>
    <t>CÉLIO CÉSAR DE SOUZA &amp; CIA LTDA</t>
  </si>
  <si>
    <t>BERTON &amp; COSMO LTDA</t>
  </si>
  <si>
    <t>MAYER &amp; ROSA LTDA</t>
  </si>
  <si>
    <t>ALGA MÓVEIS INDÚSTRIA E COMÉRCIO LTDA - ME</t>
  </si>
  <si>
    <t>SUPREMA - ENGENHARIA ELÉTRICA LTDA</t>
  </si>
  <si>
    <t>VIA TOTAL COMÉRCIO DE EQUIPAMENTOS ELETRO ELETRÔNICOS LTDA.</t>
  </si>
  <si>
    <t>PERSILEX INDÚSTRIA E COMÉRCIO LTDA - ME</t>
  </si>
  <si>
    <t>COMPANHIA DOCAS DE IMBITUBA</t>
  </si>
  <si>
    <t>LOJA INSTALADORA LTDA</t>
  </si>
  <si>
    <t>IRMAOS PINTO &amp; CIA LTDA</t>
  </si>
  <si>
    <t>TRANSP. DALCOQUIO S/A</t>
  </si>
  <si>
    <t>SIND. COM. VAREJISTA DE ITAJAI</t>
  </si>
  <si>
    <t>SIND. TRAB. IND. VEST. JARAGUA</t>
  </si>
  <si>
    <t>GRAFICA AVENIDA LTDA</t>
  </si>
  <si>
    <t>EXATEC - ASSESSORAMENTO E SISTEMAS TECNOLOGICOS LTDA</t>
  </si>
  <si>
    <t>TOSHISAN - MAQUINAS E SISTEMAS DE ESCRITORIO LTDA</t>
  </si>
  <si>
    <t>EVERTON BATISTA DA ROCHA</t>
  </si>
  <si>
    <t>PB - ASSISTENCIA TECNICA DE AR CONDICIONADO LTDA - ME</t>
  </si>
  <si>
    <t>N.D. - COMERCIO DE FLORES LTDA</t>
  </si>
  <si>
    <t>K V A COMERCIO DE EQUIPAMENTOS PARA INFORMATICA LTDA</t>
  </si>
  <si>
    <t>LAURINDA NATALIA FERREIRA - ME</t>
  </si>
  <si>
    <t>INSUL-FILM CATARINENSE SERVICOS DE IMPER. E CONTROLE SOLAR LTDA</t>
  </si>
  <si>
    <t>WALTER WESTPHAL ALUMINIOS - ME</t>
  </si>
  <si>
    <t>CECHET CONSTRUCOES LTDA</t>
  </si>
  <si>
    <t>INFOTRONICA IMPORTACAO E COMERCIO LTDA</t>
  </si>
  <si>
    <t>WANDERLEI ERNESTO FAGUNDES - ME</t>
  </si>
  <si>
    <t>FISON TELECOMUNICACOES E ELETRONICA LTDA</t>
  </si>
  <si>
    <t>CAPITAL EQUIPAMENTOS LTDA</t>
  </si>
  <si>
    <t>TRANSPORTADORA RODOLAGES LTDA</t>
  </si>
  <si>
    <t>ESMECHAL - ESQUADRIAS METALICAS CHAPECO LTDA</t>
  </si>
  <si>
    <t>CLORINDO ECCO LTDA.</t>
  </si>
  <si>
    <t>SIND. TRAB. RUR. DE FRAIBURGO</t>
  </si>
  <si>
    <t>RENAR MOVEIS LTDA</t>
  </si>
  <si>
    <t>CELI &amp; CIA LTDA</t>
  </si>
  <si>
    <t>CIRTEL - COMERCIO DE MATERIAIS ELETRICOS LTDA</t>
  </si>
  <si>
    <t>WALGRÁFICA INDUSTRIA E COMÉRCIO LTDA</t>
  </si>
  <si>
    <t>SANTA CATARINA INTERNET E EVENTOS LTDA</t>
  </si>
  <si>
    <t>IRMÃOS WASSEN LTDA - ME</t>
  </si>
  <si>
    <t>SINGULAR ENGENHARIA LTDA</t>
  </si>
  <si>
    <t>MACORE EQUIPAMENTOS E SISTEMAS DE AUTOMAÇÃO LTDA</t>
  </si>
  <si>
    <t>ASSOCIAÇÃO NACIONAL DE MEDICINA DO TRABALHO</t>
  </si>
  <si>
    <t>ALEXANDRE THOMAZ ME</t>
  </si>
  <si>
    <t>SERVIÇO NACIONAL DE APRENDIZAGEM INDUSTRIAL - CTAI</t>
  </si>
  <si>
    <t>JRG COMÉRCIO DE MATERIAIS DE CONSTRUÇÃO LTDA</t>
  </si>
  <si>
    <t>AMAURI PEÇAS E VEICULOS LTDA</t>
  </si>
  <si>
    <t>CAIXA DE ASSISTENCIA DOS ADVOGADOS DE SANTA CATARINA</t>
  </si>
  <si>
    <t>VIDRAÇARIA FLORIANÓPOLIS LTDA</t>
  </si>
  <si>
    <t>INFOPOLIS INFORMÁTICA LTDA</t>
  </si>
  <si>
    <t>TRANSUL COMÉRCIO MÓVEIS LTDA</t>
  </si>
  <si>
    <t>VIDRAÇARIA ALEMÃ LTDA ME</t>
  </si>
  <si>
    <t>REFRIMOTOR REFRIGERAÇÃO LTDA</t>
  </si>
  <si>
    <t>MOSER INDUSTRIA E COMÉRCIO DE DIVISÓRIAS E FORROS LTDA</t>
  </si>
  <si>
    <t>CENTRAIS ELETRICAS DE SANTA CATARINA S/A</t>
  </si>
  <si>
    <t>MEPAS DISTRIBUIDORA DE MAT ESCRIT E SUPRIM INFORMÁTICA LTDA</t>
  </si>
  <si>
    <t>LIBERTY PAULISTA SEGUROS</t>
  </si>
  <si>
    <t>COSEVAL CORRETORA E ADMINISTRADORA DE IMÓVEIS LTDA</t>
  </si>
  <si>
    <t>ELETRO RCR LTDA</t>
  </si>
  <si>
    <t>NEGÓCIOS DE INFORMÁTICA RW LTDA</t>
  </si>
  <si>
    <t>STAR DO BRASIL INFORMATICA LTDA</t>
  </si>
  <si>
    <t>FRESCAR COMÉRCIO E SERVIÇO DE AR CONDICIONADO LTDA</t>
  </si>
  <si>
    <t>AIR TOP COMERCIAL LTDA</t>
  </si>
  <si>
    <t>COLOR SYSTEM LABORATÓRIO FOTOGRÁFICO LTDA</t>
  </si>
  <si>
    <t>EMILIANO ROCHA ENGENHARIA LTDA - EPP</t>
  </si>
  <si>
    <t>DAKOTA COMERCIO DE EQUIPAMENTOS ELETRO-ELETRONICOS LTDA</t>
  </si>
  <si>
    <t>COFIPEL COMÉRCIO  E ATACADISTA LTDA EPP</t>
  </si>
  <si>
    <t>CRECHE E ORFANATO VINDE A MIM AS CRIANCINHAS. FECHOU!</t>
  </si>
  <si>
    <t>REIFASA COMERCIAL LTDA</t>
  </si>
  <si>
    <t>JOSE CARLOS SOARES</t>
  </si>
  <si>
    <t>GRANDES MARCAS COMERCIO LTDA</t>
  </si>
  <si>
    <t>TELETEX COMPUTADORES E SISTEMAS LTDA</t>
  </si>
  <si>
    <t>NEW WAVE SUPRIMENTOS PARA INFORMÁTICA LTDA</t>
  </si>
  <si>
    <t>M.M. DISTRIBUIDORA DE LIVROS E REVISTAS LTDA</t>
  </si>
  <si>
    <t>AQUILINO JACOB SUZIN &amp; CIA LTDA</t>
  </si>
  <si>
    <t>L. F. FREITAS BASTOS</t>
  </si>
  <si>
    <t>ACISTOP CONSTRUÇÃO CIVIL LTDA</t>
  </si>
  <si>
    <t>MARIA DIAS MACHADO - ME</t>
  </si>
  <si>
    <t>VIDRACARIA VIDROMAR DE JOSE CARLOS FERNANDES - ME</t>
  </si>
  <si>
    <t>INFORMAQ COMERCIO E ASSITENCIA TECNICA LTDA</t>
  </si>
  <si>
    <t>GRAFICA SAO MARCOS LTDA</t>
  </si>
  <si>
    <t>ELOMAQ - MAQUINAS E EQUIPAMENTOS LTDA</t>
  </si>
  <si>
    <t>PRESTEC PRESTACAO DE SERVICOS TECNICOS LTDA - ME</t>
  </si>
  <si>
    <t>CABANAS DA PRAIA MOLE - EMPRENDIMENTOS TURISTICOS S/A</t>
  </si>
  <si>
    <t>CLIMA AR CONDICIONADO LTDA</t>
  </si>
  <si>
    <t>WALCAN PAPEIS LTDA</t>
  </si>
  <si>
    <t>SIMIGRA SUPRIMENTOS E EQUIPAMENTOS PARA</t>
  </si>
  <si>
    <t>A. MARQUES E FILHO</t>
  </si>
  <si>
    <t>ADCON - ADMINISTRACAO E CONDOMINIO LTDA</t>
  </si>
  <si>
    <t>ADOLFO LOPES - ME</t>
  </si>
  <si>
    <t>AGASERV - COMERCIO DE ASSISTENCIA TECNICA LTDA</t>
  </si>
  <si>
    <t>HORIZONTE REPRESENTACOES E TRANSPORTES LTDA</t>
  </si>
  <si>
    <t>CALLI REPRES. E COM. DE MATERIAIS PARA ESCRITORIO LTDA</t>
  </si>
  <si>
    <t>BEIRA RIO DECORACOES LTDA</t>
  </si>
  <si>
    <t>ADMINISTRADORA NELSON LTDA</t>
  </si>
  <si>
    <t>A.F. COMERCIAL S.A</t>
  </si>
  <si>
    <t>CASA CASTOR MATERIAIS DE CONSTRUCOES LTDA</t>
  </si>
  <si>
    <t>BTC INFORMACOES TRIBUTARIAS LTDA</t>
  </si>
  <si>
    <t>BTC INFORMACOES TRIBUTARIAS LTDA.</t>
  </si>
  <si>
    <t>COLINA LTDA</t>
  </si>
  <si>
    <t>EMPREITEIRA DE MAO-DE-OBRA ESTRUTURAL LTDA</t>
  </si>
  <si>
    <t>GAZIN COMÉRCIO DE MÓVEIS E ELETRODOMÉSTICOS LTDA.</t>
  </si>
  <si>
    <t>PROMARC EQUIP. E MATERIAIS LTDA</t>
  </si>
  <si>
    <t>ELETRONICA WADT LTDA</t>
  </si>
  <si>
    <t>SZ EQUIPAMENTOS DE GER. E REPR.LTDA.</t>
  </si>
  <si>
    <t>ADELIA MUSSI MAIA</t>
  </si>
  <si>
    <t>FAIBERPLAS INDUSTRIA E COMERCIO DE FIBRAS DE VIDRO LTDA</t>
  </si>
  <si>
    <t>LOBO ACESSORIOS LTDA</t>
  </si>
  <si>
    <t>RICOL- IND. COM. MAT. GRAFICOS LTDA</t>
  </si>
  <si>
    <t>N MEDEIROS DISTRIBUIDORA DE LIVROS TECNICOS - ME</t>
  </si>
  <si>
    <t>SHOPMAR LTDA</t>
  </si>
  <si>
    <t>CASA DAS BALANCAS DE NICOLAU JOSE MULLER - ME</t>
  </si>
  <si>
    <t>INDUCAF - INDUSTRIA E COMERCIO DE CAFE LTDA</t>
  </si>
  <si>
    <t>CARVALHO MARTINS E CIA LTDA</t>
  </si>
  <si>
    <t>DISSUL - DISTRIBUIDORA SULINA DE PRODUTOS LTDA</t>
  </si>
  <si>
    <t>FERRAO MATERIAIS DE CONSTRUCAO LTDA</t>
  </si>
  <si>
    <t>CONFECCOES RAQUEL LTDA</t>
  </si>
  <si>
    <t>ATM PRODUTOS DE INFORMATICA E SERVICOS LTDA</t>
  </si>
  <si>
    <t>ALUMPLAST - INDUSTRIA E COMERCIO DE EQUADRIAS LTDA</t>
  </si>
  <si>
    <t>BLUMATEL BLUMENAU MAT. DE CONSTRUCOES E INCORPORACOES LTDA</t>
  </si>
  <si>
    <t>CREPEL COMERCIO REPRESENTACAO DE PAPEL LTDA</t>
  </si>
  <si>
    <t>SUPERMERCADOS IDEAL LTDA.</t>
  </si>
  <si>
    <t>PERSIANAS SUPERIOR DO BRASIL LTDA</t>
  </si>
  <si>
    <t>SCA - EQUIPAMENTOS P/ ESCRITORIO LTDA</t>
  </si>
  <si>
    <t>INFOTEL CONSULTORIA E ASSITENCIA TECNICA LTDA</t>
  </si>
  <si>
    <t>ALPHATEC SISTEMAS LTDA</t>
  </si>
  <si>
    <t>IMPERIO DAS CHAVES COMERCIO DE FERRAGENS LTDA</t>
  </si>
  <si>
    <t>ROSA E CIA LTDA</t>
  </si>
  <si>
    <t>JOAO CARLOS MARTINS</t>
  </si>
  <si>
    <t>EMPRESA UNIAO DE TRANSPORTE LTDA</t>
  </si>
  <si>
    <t>QUERINO MAZZUCO</t>
  </si>
  <si>
    <t>MAQ. ESCRIT. OLYMPIA BRAS. S/A</t>
  </si>
  <si>
    <t>BORGES COMERCIO E REPRESENTACOES LTDA</t>
  </si>
  <si>
    <t>MARCA LIVRARIA E DISTRIBUIDORA LTDA</t>
  </si>
  <si>
    <t>ARTE MOBILIAR MOSKOROZ LTDA - ME</t>
  </si>
  <si>
    <t>CAMILLI &amp; CIA LTDA</t>
  </si>
  <si>
    <t>MICROS E PEÇAS COMÉRCIO DE MATERIAIS DE INFORMÁTICA LTDA ME</t>
  </si>
  <si>
    <t>ALICE TEREZINHA DOS SANTOS - ME</t>
  </si>
  <si>
    <t>ELISANGELA MARCIA  REISCHARDT - ME</t>
  </si>
  <si>
    <t>SEMINA PRODUTOS EDUCATIVOS E SERVIÇOS LTDA - EPP</t>
  </si>
  <si>
    <t>PERSIANAS MACIESKI LTDA - ME</t>
  </si>
  <si>
    <t>R. I. FOSSATTI COMERCIAL</t>
  </si>
  <si>
    <t>AURÉLIA DECORAÇÕES LTDA</t>
  </si>
  <si>
    <t>GILDO MANOEL BENTO - ME</t>
  </si>
  <si>
    <t>TECNOURB TECNICAS URBANAS LTDA</t>
  </si>
  <si>
    <t>PAPER SPORT COMÉRCIO E DISTRIBUIÇÃO LTDA - ME</t>
  </si>
  <si>
    <t>ELEVADORES SCHINDLER DO BRASIL S/A       -      EMPRESA  FECHOU</t>
  </si>
  <si>
    <t>BACK SERVIÇOS DE VIGILANCIA E SEGURANÇA LTDA</t>
  </si>
  <si>
    <t>ALMAQ EQUIPAMENTOS PARA ESCRITÓRIO LTDA</t>
  </si>
  <si>
    <t>HIGI SERV LIMPEZA E CONSERVACAO LTDA</t>
  </si>
  <si>
    <t>GRAFICA IPE LTDA</t>
  </si>
  <si>
    <t>GILBERTO SOARES DE OLIVEIRA - ME</t>
  </si>
  <si>
    <t>VILHENA MAQUINAS DE ESCRITORIO LTDA</t>
  </si>
  <si>
    <t>OTIMA EQUIPAMENTOS E MATERIAIS GRAFICOS LTDA</t>
  </si>
  <si>
    <t>INSTALADORA HENCHESKI LTDA</t>
  </si>
  <si>
    <t>INSTALADORA MANCHESTER</t>
  </si>
  <si>
    <t>NERI ANTONIO COELHO - ME</t>
  </si>
  <si>
    <t>ENGELTRON ELETRICIDADE E EQUIPAMENTOS ELETRONICOS LTDA</t>
  </si>
  <si>
    <t>GERALDO LUCIANO &amp; CIA LTDA</t>
  </si>
  <si>
    <t>AGROMOTO COMERCIAL DE MOTOSSERRAS LTDA</t>
  </si>
  <si>
    <t>JORGE DOS SANTOS SILVA &amp; CIA LTDA</t>
  </si>
  <si>
    <t>FICHER FRAIBURGO AGRICOLA LTDA</t>
  </si>
  <si>
    <t>MADEIREIRA RIO TAVARES LTDA</t>
  </si>
  <si>
    <t>ARTAM - INDUSTRIA E COM. DE MOVEIS E ESQUADRIAS LTDA</t>
  </si>
  <si>
    <t>WALDEMAR ANTONIO VASEL</t>
  </si>
  <si>
    <t>COPEX - MAT.DE ENGENHARIA LTDA</t>
  </si>
  <si>
    <t>ELETROMAQUINAS COMERCIO DE REFRIGERACAO LTDA</t>
  </si>
  <si>
    <t>CASTELMAR SERVICOS HOTELEIROS LTDA</t>
  </si>
  <si>
    <t>EMERIM COMERCIO E REPRESENTACOES LTDA</t>
  </si>
  <si>
    <t>FERRAGENS SILVESTRINI LTDA</t>
  </si>
  <si>
    <t>A. DA SILVA COMERCIAL DE VIDROS LTDA</t>
  </si>
  <si>
    <t>INSTRUMENTAL COMERCIO CONSERTO DE INSTRUMENTOS MUSICAIS LTDA</t>
  </si>
  <si>
    <t>OTTO &amp; ZOMER LTDA - ME</t>
  </si>
  <si>
    <t>CARGA E RECARGA DE EXTINTORES BERTOTTI LTDA</t>
  </si>
  <si>
    <t>COPREL COMERCIO  E REPRESENTACAO LTDA</t>
  </si>
  <si>
    <t>FARMACIA PRAIA DO MEIO LTDA - ME</t>
  </si>
  <si>
    <t>HB INFORMATICA LTDA</t>
  </si>
  <si>
    <t>BAR E BAR CONSULTORIA</t>
  </si>
  <si>
    <t>DATABYTE INFORMATICA LTDA</t>
  </si>
  <si>
    <t>CHAVEIRAO DA XV LTDA - ME</t>
  </si>
  <si>
    <t>RECOM - REPRESENTACAO COMERCIO DE RENATO C. G. DOS SANTOS - ME</t>
  </si>
  <si>
    <t>LIBRA CENTRAL DE IMPERMEABILIZACOES LTDA - ME</t>
  </si>
  <si>
    <t>COMERCIO E REPRESENTACOES DECOR CENTER LTDA</t>
  </si>
  <si>
    <t>JARBAS DE MIRANDA - ME</t>
  </si>
  <si>
    <t>PROMATEX- EQUIPAMENTOS CONTRA INCENDIO LTDA.</t>
  </si>
  <si>
    <t>COMERCIO DE PEDRAS KATIA LTDA</t>
  </si>
  <si>
    <t>COMERCIO E REPRESENTACOES EDSON LTDA.</t>
  </si>
  <si>
    <t>COMERCIAL ASA BRANCA DE ARMARINHOS LTDA</t>
  </si>
  <si>
    <t>TELETEL SERVICOS COMERCIO E REPRESENTACOES LTDA</t>
  </si>
  <si>
    <t>ALFAMICRO TECNOLOGIA LTDA</t>
  </si>
  <si>
    <t>RODINEI MARTINS - ME</t>
  </si>
  <si>
    <t>EUGENIO BACHTHOLD &amp; CIA</t>
  </si>
  <si>
    <t>OELO LOCADORA DE EQUIPAMENTOS ELETRONICOS LTDA</t>
  </si>
  <si>
    <t>CORREIO LAGEANO LTDA</t>
  </si>
  <si>
    <t>MULLER COMERCIO DO VESTUARIO LTDA</t>
  </si>
  <si>
    <t>AUTO PECAS ESTRELA LTDA</t>
  </si>
  <si>
    <t>ASSOCIACAO ATLETICA BANCO DO BRASIL</t>
  </si>
  <si>
    <t>RUBENS RICARDO BRUNETTI</t>
  </si>
  <si>
    <t>A ESPORTIVA COMERCIO DE MATERIAIS ESPORTIVOS LTDA</t>
  </si>
  <si>
    <t>CASA DONA ADELIA LTDA</t>
  </si>
  <si>
    <t>DURIEUX MATERIAL E CONSTRUCOES LTDA</t>
  </si>
  <si>
    <t>MARIO MAGAGNIN</t>
  </si>
  <si>
    <t>CONSTRUTORA E IMOBILIARIA IRMAOS MAIA LTDA</t>
  </si>
  <si>
    <t>INSTALADORA GASPARENSE LTDA.</t>
  </si>
  <si>
    <t>JORGE MURILO ZENFT FRAGA ME</t>
  </si>
  <si>
    <t>DM COMÉRCIO DE EQUIPAMENTOS ELETRÔNICOS LTDA</t>
  </si>
  <si>
    <t>ACECO TI LTDA</t>
  </si>
  <si>
    <t>SPY INFORMÁTICA LTDA</t>
  </si>
  <si>
    <t>ALIANÇA MUSICAL LTDA</t>
  </si>
  <si>
    <t>INTERMIX COMÉRCIO E REPRESENTAÇÕES LTDA</t>
  </si>
  <si>
    <t>ELLEN &amp; ANDREA ADMINISTRAÇAO DE BENS LTDA</t>
  </si>
  <si>
    <t>NIFLEX MÓVEIS PARA ESCRITÓRIOS LTDA</t>
  </si>
  <si>
    <t>BIANCHINI &amp; CIA LTDA.</t>
  </si>
  <si>
    <t>LIMGER EMPRESA DE LIMPEZAS GERAIS E SERVIÇOS LTDA</t>
  </si>
  <si>
    <t>DESIGN HOUSE PROJETOS E SOLUÇÕES ARQUITETÔNICOS LTDA</t>
  </si>
  <si>
    <t>BADOTTI SEGURANÇA INVIOLÁVEL LTDA ME</t>
  </si>
  <si>
    <t>VIDRAÇARIA SETE DE SETEMBRO LTDA ME</t>
  </si>
  <si>
    <t>DIMAS DE MELO PIMENTA S/A . INDÚSTRIA DE RELÓGIOS</t>
  </si>
  <si>
    <t>WRTELECOMUNICACOES LTDA</t>
  </si>
  <si>
    <t>CONSTRUTORA EXATA LTDA</t>
  </si>
  <si>
    <t>ALBENIO FLORENCIO DE ABREU JUNIOR ME</t>
  </si>
  <si>
    <t>GABRIEL COMERCIO E ASSISTENCIA TECNICA DE AQUIPAMENTOS GRAFICOS L</t>
  </si>
  <si>
    <t>PANAFAX COM. IMP. E EXPORTACAO</t>
  </si>
  <si>
    <t>SPN DE HOTEIS</t>
  </si>
  <si>
    <t>SHALON FILM IMPORTACAO E COM. DE PELICULAS DE CONTROLE SOLAR LTDA</t>
  </si>
  <si>
    <t>ARIVAN SAMPAIO ZANLUCA - ME</t>
  </si>
  <si>
    <t>OESTE ENGENHARIA DE CONSTRUCOES LTDA.</t>
  </si>
  <si>
    <t>COMERCIO E REPRESENTACOES SAO MIGUEL LTDA</t>
  </si>
  <si>
    <t>FORNESUL - FORNECEDORA E REPRESENTACAO DE MATERIAIS DO SUL LTDA</t>
  </si>
  <si>
    <t>ACAO SUPRIMENTOS DE INFORMATICA LTDA</t>
  </si>
  <si>
    <t>TROFORM - FORMULARIO CONTINUO LTDA</t>
  </si>
  <si>
    <t>CONDOMINIO EDIFICIO DONA ZAIR</t>
  </si>
  <si>
    <t>TAPECARIA REALCE COMERCIO LTDA</t>
  </si>
  <si>
    <t>CLEANSUL COMERCIO REPRESENTACOES DE MATERIAIS DE LIMPEZA LTDA</t>
  </si>
  <si>
    <t>RONALDO BARROZO - ME</t>
  </si>
  <si>
    <t>BKR ESQUADRIAS E ESTRUTURAS METALICAS LTDA</t>
  </si>
  <si>
    <t>HUBI COMERCIAL AGRICOLA LTDA</t>
  </si>
  <si>
    <t>FRANCISCO ADELSON GOMES - ME</t>
  </si>
  <si>
    <t>FLAVIO CESAR RODRIGUES RIBEIRO - ME</t>
  </si>
  <si>
    <t>CLIMACO REFRIGERACAO LTDA</t>
  </si>
  <si>
    <t>NILSON NOCETTI ME</t>
  </si>
  <si>
    <t>GRAFICA SAO JOSE COMERCIO E INDUSTRIA DE ARTES GRAFICAS LTDA</t>
  </si>
  <si>
    <t>M.T.S. ASSISTENCIA TECNICA LTDA.</t>
  </si>
  <si>
    <t>ARTE VERDE CASA E JARDIM LTDA</t>
  </si>
  <si>
    <t>INTEGRA INFORMATICA LTDA.</t>
  </si>
  <si>
    <t>ELENITA PEREIRA ZACCA ME</t>
  </si>
  <si>
    <t>VIDRACARIA SUL LTDA - ME</t>
  </si>
  <si>
    <t>TELELMO TELECOMUNICACOES LTDA - ME</t>
  </si>
  <si>
    <t>INFOTECNICA TECNOLOGIA LTDA</t>
  </si>
  <si>
    <t>CALTECH TELECOMUNICACOES LTDA</t>
  </si>
  <si>
    <t>WEG TRANSFORMADORES</t>
  </si>
  <si>
    <t>RADAN - COM. E REP. DE PAPEIS E EMBALAGE</t>
  </si>
  <si>
    <t>RASERA &amp; CIA LTDA</t>
  </si>
  <si>
    <t>MASTERFAX TELEINFORMATICA LTDA</t>
  </si>
  <si>
    <t>RBI -DISTRIBUIDORA E COMERCIO DE EQUIP. DE INFORMATICA LTDA</t>
  </si>
  <si>
    <t>AUTO PECAS GEMEOS LTDA</t>
  </si>
  <si>
    <t>COMPANHIA MELHORAMENTOS DA CAPITAL - COMCAP</t>
  </si>
  <si>
    <t>CORINGA LIMPEZA E CONSERVACAO LTDA</t>
  </si>
  <si>
    <t>VADEL MATERIAIS FOTOGRAFICOS LTDA</t>
  </si>
  <si>
    <t>FORMACCO CONTRUCOES E COMERCIO LTDA</t>
  </si>
  <si>
    <t>FORMACCO CONSTRUCOES E COMERCIO LTDA</t>
  </si>
  <si>
    <t>LIVRARIA E EDITORA ACADEMICA LTDA</t>
  </si>
  <si>
    <t>ELETRONICA RADAR LTDA</t>
  </si>
  <si>
    <t>LUGATTI COMERCIO DE EQUIPAMENTOS DE ESCRITORIO LTDA.</t>
  </si>
  <si>
    <t>MOBIARTH INDUSTRIA E COMERCIO DE MOVEIS LTDA</t>
  </si>
  <si>
    <t>REI DO FOGAO LTDA ME</t>
  </si>
  <si>
    <t>REFRIGERACAO CALZA LTDA ME</t>
  </si>
  <si>
    <t>KENNEX DO BRASIL INDUSTRIAS QUIMICAS LTDA</t>
  </si>
  <si>
    <t>NUTEC INFORMATICA LTDA</t>
  </si>
  <si>
    <t>SALERNO DESIGN REPRESENTACOES LTDA ME</t>
  </si>
  <si>
    <t>DEMARCO ARGENTA S/A IND.</t>
  </si>
  <si>
    <t>METALPLAC -  INDUSTRIA DE PLACAS LTDA</t>
  </si>
  <si>
    <t>GRAZZIOTIN S.A.</t>
  </si>
  <si>
    <t>DENTARIA GUAIBA LTDA</t>
  </si>
  <si>
    <t>CASA DO DESENHO REPRESENTACAO E COMERCIO LTDA</t>
  </si>
  <si>
    <t>KLIFT COMERCIO E REPRESENTACOES LTDA</t>
  </si>
  <si>
    <t>LIVRARIA UNIVERSITARIA LTDA</t>
  </si>
  <si>
    <t>PREFEITURA MUNICIPAL DE SCHROEDER</t>
  </si>
  <si>
    <t>VIDAL PROCOPIO LOHN &amp; FILHOS LTDA</t>
  </si>
  <si>
    <t>COMERCIO DE MADEIRAS HELAURY DE SOUZA E SILVA</t>
  </si>
  <si>
    <t>ILHABEL - DISTRIBUIDORA DE LIVROS, JORNAIS E REVISTAS LTDA</t>
  </si>
  <si>
    <t>LIVRARIA E DISTRIBUIDORA CATARINENSE LTDA</t>
  </si>
  <si>
    <t>SERVCOL SERV. DE CONSERV. E LIMPEZA LTDA</t>
  </si>
  <si>
    <t>NATURA MOVEIS LTDA ME</t>
  </si>
  <si>
    <t>CENTRAL VISTORIADORA DE EXTINTORES LTDA</t>
  </si>
  <si>
    <t>R.G.S. IMPORTACAO E EXPORTACAO COMERCIO E REPRESENTACAO LTDA</t>
  </si>
  <si>
    <t>MARMORART COMERCIO DE PEDRAS LTDA.</t>
  </si>
  <si>
    <t>FLORICULTURA TALISMA LTDA - ME</t>
  </si>
  <si>
    <t>FLORIPEL - COMERCIO E REPRESENTACAO DE MATERIAL DE LIMPEZA LTDA</t>
  </si>
  <si>
    <t>COCAR - CIA CATARINENSE DE ARMAZENAMENTO</t>
  </si>
  <si>
    <t>HENRIQUE DIOGO DA SILVA COMERCIO E REPRESENTACOES</t>
  </si>
  <si>
    <t>RCS INFORMATICA LTDA - ME</t>
  </si>
  <si>
    <t>EQUIPE - COMERCIO E REPRESENTACOES DE MAQUINAS LTDA</t>
  </si>
  <si>
    <t>BUETTNER S/A IND. E COMERCIO</t>
  </si>
  <si>
    <t>VALMIR RAMOS</t>
  </si>
  <si>
    <t>OLIMEC DE ERVINO MERKLE</t>
  </si>
  <si>
    <t>REFRIGERACAO AMAZONAS LTDA</t>
  </si>
  <si>
    <t>PREFEITURA MUNICIPAL DE BALNEARIO CAMBORIU</t>
  </si>
  <si>
    <t>PREFEITURA MUNICIPAL DE BRUSQUE</t>
  </si>
  <si>
    <t>PREFEITURA MUNICIPAL DE JARAGUÁ DO SUL</t>
  </si>
  <si>
    <t>PREFEITURA MUNICIPAL DE CORUPÁ</t>
  </si>
  <si>
    <t>DISTRIBUIDORA KRETZER LTDA</t>
  </si>
  <si>
    <t>COMÉRCIO E INDÚSTRIA MULTIFORMAS LTDA</t>
  </si>
  <si>
    <t>AGÊNCIA NACIONAL DE TELECOMUNICAÇÕES - ANATEL</t>
  </si>
  <si>
    <t>JURANDIR RECKERS ME</t>
  </si>
  <si>
    <t>CONTRA CHAMA COMÉRCIO MAT. CONTRA INCENDIO LTDA</t>
  </si>
  <si>
    <t>DUETO'S LIMPEZA E CONSERVAÇÃO LTDA</t>
  </si>
  <si>
    <t>PAULA CRISTINA TEIXEIRA COLLEONE - ME</t>
  </si>
  <si>
    <t>FLAME COMÉRCIO DE GÁS LTDA</t>
  </si>
  <si>
    <t>ABRAHÃO &amp; CIA LTDA</t>
  </si>
  <si>
    <t>FEDERAÇÃO NACIONAL DAS EMPRESAS DE SEGUROS PRIVADOS E CAPITALIZAÇÃO</t>
  </si>
  <si>
    <t>CAIXA ECONOMICA FEDERAL</t>
  </si>
  <si>
    <t>CENTRO INTEGRADO DE PROFISSIONAIS LIBERAIS DE JARAGUÁ DO SUL</t>
  </si>
  <si>
    <t>EXTIMPAG COMÉRCIO E PROTEÇÃO CONTRA INCÊNDIO LTDA</t>
  </si>
  <si>
    <t>SERVIÇO AUTONOMO MUNICIPAL DE AGUA E ESGOTO DE BLUMENAU - SAMAE</t>
  </si>
  <si>
    <t>QUERENCIA CORRETORA DE IMOVEIS LTDA</t>
  </si>
  <si>
    <t>COMPANHIA CATARINENSE DE AGUAS E SANEAMENTO - CASAN</t>
  </si>
  <si>
    <t>CLÍNICA PSICOTERAPEUTICA DE ESTUDOS E ATEND. A DEPEND. QUIMICAS LTDA</t>
  </si>
  <si>
    <t>METALCOURO COMERCIAL LTDA</t>
  </si>
  <si>
    <t>OI S/A</t>
  </si>
  <si>
    <t>BRASIL TELECOM S/A</t>
  </si>
  <si>
    <t>DISTRIBUIDORA DE GÁS ALTO ARIRIÚ LTDA - ME</t>
  </si>
  <si>
    <t>EDSON EVALDO DA SILVA - ME</t>
  </si>
  <si>
    <t>CARLOS AUGUSTO DOS PASSOS</t>
  </si>
  <si>
    <t>D'BORBA IMPORTAÇÃO COMÉRCIO E REPRESENTAÇÕES LTDA</t>
  </si>
  <si>
    <t>DIAFILME REPRESENTAÇÕES COMERCIAIS LTDA</t>
  </si>
  <si>
    <t>ANDRE WILLIANS LOBO - ME</t>
  </si>
  <si>
    <t>PERSONAL MOVEIS &amp; ESCRITORIOS LTDA EPP</t>
  </si>
  <si>
    <t>LOJA DOMINIK LTDA</t>
  </si>
  <si>
    <t>JEH TÉCNICA REFRIGERAÇÃO LTDA</t>
  </si>
  <si>
    <t>FUNDAÇÃO AÇORIANA PARA O CONTROLE DA AIDS</t>
  </si>
  <si>
    <t>HARTSYSTEM INFORMÁTICA LTDA</t>
  </si>
  <si>
    <t>PEDRO ZITKOSKI - ME</t>
  </si>
  <si>
    <t>CONTRA FOGO JUNG LTDA - ME</t>
  </si>
  <si>
    <t>LIVRARIA DO ADVOGADO EDITORA LTDA</t>
  </si>
  <si>
    <t>DENTÁRIA SULINA LTDA</t>
  </si>
  <si>
    <t>VALCIR DOMINGOS DA SILVA - EPP</t>
  </si>
  <si>
    <t>PELSUL INDÚSTRIA E COMÉRCIO DE PAPÉIS LTDA</t>
  </si>
  <si>
    <t>FÁBRICA DE MÓVEIS FLORENSE LTDA</t>
  </si>
  <si>
    <t>ELETRONICA WADT INDÚSTRIA E COMÉRCIO LTDA</t>
  </si>
  <si>
    <t>A NOTÍCIA S.A. EMPRESA JORNALÍSTICA</t>
  </si>
  <si>
    <t>ACÚSTICA COMERCIAL LTDA</t>
  </si>
  <si>
    <t>LUMINAR COMÉRCIO E INDÚSTRIA LTDA</t>
  </si>
  <si>
    <t>ARTMIL COMÉRCIO E REPRESENTAÇÕES LTDA</t>
  </si>
  <si>
    <t>ELC PRODUTOS DE SEGURANÇA INDÚSTRIA E COMÉRCIO LTDA</t>
  </si>
  <si>
    <t>LUNARDELLI SUPRIMENTOS LTDA - EPP</t>
  </si>
  <si>
    <t>HILARIO LUIZ BITTENCOURT</t>
  </si>
  <si>
    <t>ALALC - COMERCIO E REPRESENTACOES LTDA</t>
  </si>
  <si>
    <t>HIBERMAQ - COMERCIO E REPRESENTACOES - ME</t>
  </si>
  <si>
    <t>DYNAMICRON SISTEMAS ELETRONICOS LTDA</t>
  </si>
  <si>
    <t>ELETRO REFRIGERACAO TROPICAL LTDA - ME</t>
  </si>
  <si>
    <t>DANIEL MAYER</t>
  </si>
  <si>
    <t>TELMO LAGO QUIQUIO - ME</t>
  </si>
  <si>
    <t>LAJANARA COMERCIO E REPRESENTACOES LTDA</t>
  </si>
  <si>
    <t>SUL AR E AGUA EQUIPAMENTOS LTDA</t>
  </si>
  <si>
    <t>MARCOS SEBASTIAO - ME</t>
  </si>
  <si>
    <t>DEDETIZADORA UNIAO LTDA</t>
  </si>
  <si>
    <t>ALMIR SENEN CARDOSO - ME</t>
  </si>
  <si>
    <t>MODELO IMOBILIARIA LTDA.</t>
  </si>
  <si>
    <t>SERRALHERIA SANTA MARIA LTDA - ME</t>
  </si>
  <si>
    <t>EVL EMPREITEIRA DE MAO-DE-OBRA LTDA - ME</t>
  </si>
  <si>
    <t>ESCRIVENS COMERCIO E REPRESENTACOES LTDA - ME</t>
  </si>
  <si>
    <t>COMERCIO DE EMBALAGENS MARCIANITA LTDA - ME</t>
  </si>
  <si>
    <t>STEEL USINAGEM E FUNDICAO LTDA</t>
  </si>
  <si>
    <t>ELIZEO CASSOL - ME</t>
  </si>
  <si>
    <t>EDSON BARBOSA ME</t>
  </si>
  <si>
    <t>COPITEC- COPIADORA TEC. COM. E REPR. LTD</t>
  </si>
  <si>
    <t>PARK MOVEIS E DECORACOES LTDA</t>
  </si>
  <si>
    <t>VERTIKAL CONSTRUCAO E INCORPORACAO LTDA</t>
  </si>
  <si>
    <t>COMERCIO REPRESENTACOES E EXPORTACOES DAYAN LTDA</t>
  </si>
  <si>
    <t>DALVA BURATTO - ME</t>
  </si>
  <si>
    <t>WGE TELECOMUNICAÇÕES LTDA.</t>
  </si>
  <si>
    <t>ELETRONICA GIBA LTDA - ME</t>
  </si>
  <si>
    <t>JACKSON BAZZI - ME</t>
  </si>
  <si>
    <t>ELETRO REFRIGERACAO CHAPECO DE JAIR BOCCA ME</t>
  </si>
  <si>
    <t>VIACAO SANTA CLARA LTDA</t>
  </si>
  <si>
    <t>RAFAEL DIONISIO PEREIRA &amp; CIA LTDA</t>
  </si>
  <si>
    <t>RAFAEL DIONISIO PEREIRA E CIA LTDA</t>
  </si>
  <si>
    <t>CONDIS DISTRIBUIDORA MATERIAIS DIDATICOS LTDA</t>
  </si>
  <si>
    <t>RODOBRAS GUINCHOS E GUINDASTRES LTDA</t>
  </si>
  <si>
    <t>MARCELO MACHADO &amp; CIA LTDA</t>
  </si>
  <si>
    <t>S.R.P. COM. MOVEIS E EQUIP. LT</t>
  </si>
  <si>
    <t>CENTRAL VIDROS LTDA - ME</t>
  </si>
  <si>
    <t>CARLOS ADEMAR CORDEIRO - ME</t>
  </si>
  <si>
    <t>M.DARWIN - EDITOR GRAFICO LTDA</t>
  </si>
  <si>
    <t>RENON PINTO DE LIMA - ME</t>
  </si>
  <si>
    <t>BECKER E MORETTO LTDA ME</t>
  </si>
  <si>
    <t>SEGAL SERVICOS DE VIGILANCIA LTDA</t>
  </si>
  <si>
    <t>ARQUIFLEX DE LUIZ CARLOS DE ABREU - ME</t>
  </si>
  <si>
    <t>ANTONIO CARLOS FERREIRA SE SOUZA LEAL</t>
  </si>
  <si>
    <t>PREFEITURA MUNICIPAL DE GUARAMIRIM</t>
  </si>
  <si>
    <t>PREFEITURA MUNICIPAL DE MASSARANDUBA</t>
  </si>
  <si>
    <t>GRAFICA MERCURIO LTDA</t>
  </si>
  <si>
    <t>DATACONSULT COMERCIO REPRESENTACOES LTDA</t>
  </si>
  <si>
    <t>VGM - COMERCIO E SERVICOS DE SOFTWARE LTDA</t>
  </si>
  <si>
    <t>REFRIGERACAO TIEPPO LTDA</t>
  </si>
  <si>
    <t>INSTALADORA DE MATERIAIS ELETRICOS BARELLA LTDA</t>
  </si>
  <si>
    <t>CONDOMINIO COMERCIAL E RESIDENCIAL SANTOS SARAIVA</t>
  </si>
  <si>
    <t>ELETRONICA TELE GARCIA LTDA - ME</t>
  </si>
  <si>
    <t>A.G.M CLIMATECNICA LTDA</t>
  </si>
  <si>
    <t>PREFEITURA MUNICIPAL DE FLORIANOPOLIS</t>
  </si>
  <si>
    <t>SIDERMAC COMERCIO DE MAQUINAS E MOVEIS PARA ESCRITORIO LTDA</t>
  </si>
  <si>
    <t>ARPLASA ARTIGOS PARA SAPATEIROS E ESTOFADORES LTDA</t>
  </si>
  <si>
    <t>PREFEITURA MUNICIPAL DE ARARANGUÁ</t>
  </si>
  <si>
    <t>GOEDERT COMERCIO E REPAROS DE VEICULOS LTDA</t>
  </si>
  <si>
    <t>PREFEITURA MUNICIPAL DE CRICIUMA</t>
  </si>
  <si>
    <t>COMERCIAL MODAS VIDAL LTDA.</t>
  </si>
  <si>
    <t>ZF ASSISTÊNCIA COMÉRCIO E SERVIÇOS LTDA.</t>
  </si>
  <si>
    <t>COMERCIAL MODELAR LTDA</t>
  </si>
  <si>
    <t>ESTACAO DA LUZ ELETRO COMERCIAL LTDA</t>
  </si>
  <si>
    <t>TEMPERADOS FLORIBOX COMERCIAL DE VIDROS LTDA</t>
  </si>
  <si>
    <t>IPUF - INSTITUTO DE PLANEJAMENTO URBANO DE FLORIANàPOLIS</t>
  </si>
  <si>
    <t>VALCIR MOVEIS</t>
  </si>
  <si>
    <t>TECNOFRIO MANUTENCAO E MONTAGENS FRIGORIFICAS DE DARCISIO VENTURI</t>
  </si>
  <si>
    <t>PREFEITURA MUNICIPAL DE BLUMENAU</t>
  </si>
  <si>
    <t>OFICINA TECNICA BLUMENAU DE RUBENS PEDRO SIMAS</t>
  </si>
  <si>
    <t>COINSTEL COMERCIO E INSTALACAO ELETRICA LTDA</t>
  </si>
  <si>
    <t>J R METALURGICA E SERRALHERIA LTDA</t>
  </si>
  <si>
    <t>GERALDO M. GUNTHER</t>
  </si>
  <si>
    <t>ARCOPEL - ARTIFON COMERCIO DE PAPEIS LTDA</t>
  </si>
  <si>
    <t>GRUPO DE ASSESSORIA E PLANEJAMENTO LTDA</t>
  </si>
  <si>
    <t>JOSE GRACZCHI - ME</t>
  </si>
  <si>
    <t>SIVALDO COM. E REPRES. LTDA</t>
  </si>
  <si>
    <t>FABRICA DE MOVEIS RUEDIGER LT</t>
  </si>
  <si>
    <t>JOAO OLIMPIO DE SOUZA E SILVA - ME</t>
  </si>
  <si>
    <t>PREFEITURA MUNICIPAL DE INDAIAL</t>
  </si>
  <si>
    <t>DIPRONAL-DIST.DE PROD.NAC.LTDA</t>
  </si>
  <si>
    <t>RACY'S  LTDA</t>
  </si>
  <si>
    <t>NEWTEC CONSULTORIA E INOV. TEC. S/C LTDA</t>
  </si>
  <si>
    <t>M.S.INFORMATICA LTDA</t>
  </si>
  <si>
    <t>CLINICA DE RELOGIOS JOINVILLE MARTINS HEHLS</t>
  </si>
  <si>
    <t>MARISTELA SILVA - ME</t>
  </si>
  <si>
    <t>FERNANDES COMÉRCIO DE MÁQUINAS LTDA - ME</t>
  </si>
  <si>
    <t>HANDICOM SERVIÇOS EM ELETRONICA LTDA ME</t>
  </si>
  <si>
    <t>DISTRIBUIDORA DE BEBIDAS CAMBIRELA LTDA  ME</t>
  </si>
  <si>
    <t>L2  ENGENHARIA S/C LTDA .FECHOU!</t>
  </si>
  <si>
    <t>FLORA MARIVA COMERCIO DE PLANTAS LTDA</t>
  </si>
  <si>
    <t>PAPELARIA PROGRESSO LTDA</t>
  </si>
  <si>
    <t>RETROPAR COMERCIO REPRES. E IMPORTAÇÃO LTDA</t>
  </si>
  <si>
    <t>AP CONSULT CONSULTORES ASSOCIADOS LTDA</t>
  </si>
  <si>
    <t>AUDIPLAN - MÚSICA AMBIENTE E SISTEMAS LTDA</t>
  </si>
  <si>
    <t>PHIDELLIS INDÚSTRIA E COMÉRCIO DE PRODUTOS ELETRÔNICOS LTDA</t>
  </si>
  <si>
    <t>CORTES COMERCIO E SERVIÇOS LTDA</t>
  </si>
  <si>
    <t>SANTA RITA - COMÉRCIO E INSTALAÇÕES LTDA.</t>
  </si>
  <si>
    <t>AVISA MATERIAL MEDICO HOSPITALAR E ASSIST. TEC. LTDA</t>
  </si>
  <si>
    <t>PH COMÉRCIO DE PEÇAS E ACESSÓRIOS LTDA</t>
  </si>
  <si>
    <t>BIDDING CONSULTORIA E TREINAMENTOS LTDA</t>
  </si>
  <si>
    <t>FLEX COMERCIAL LTDA</t>
  </si>
  <si>
    <t>JOÃO BATISTA COELHO - ME</t>
  </si>
  <si>
    <t>BRADESCO SEGUROS S/A</t>
  </si>
  <si>
    <t>JAIME COMERCIO DE PNEUS LTDA</t>
  </si>
  <si>
    <t>CONSTRUTORA CUNHA GOMES LTDA</t>
  </si>
  <si>
    <t>MARTINS COM. E R. DE EQUIP. E MAT. GRÁF. E RAD. -  EMPRESA FECHOU</t>
  </si>
  <si>
    <t>DESINFECT LTDA ME</t>
  </si>
  <si>
    <t>NIEHUES COMÉRCIO E REPRESENTAÇÕES LTDA</t>
  </si>
  <si>
    <t>EXEMPLO CAR MECÂNICA CHAPEAÇÃO E PINTURA LTDA</t>
  </si>
  <si>
    <t>DVA VEICULOS S/A</t>
  </si>
  <si>
    <t>EDUCADORA COMÉRCIO DE MATERIAIS LTDA</t>
  </si>
  <si>
    <t>SEMINA INDÚSTRIA E COMÉRCIO LTDA</t>
  </si>
  <si>
    <t>CONTROCOPIAS DUPLICACOES E MICROFILME LTDA</t>
  </si>
  <si>
    <t>LAURO JOSE DE AZEVEDO &amp; CIA LTDA</t>
  </si>
  <si>
    <t>ARSEGO ENGENHARIA LTDA</t>
  </si>
  <si>
    <t>A. REIS - CTA'S CENTRO TEC. ADMINISTRACAO SUL</t>
  </si>
  <si>
    <t>RCM INFORMATICA LTDA</t>
  </si>
  <si>
    <t>JOHANN GRITSCH S/A IND. IMP. E EXP. DE MOVEIS</t>
  </si>
  <si>
    <t>DECOREOLAR - DECORACOES DE INTERIORES LTDA</t>
  </si>
  <si>
    <t>RECOMEX - REPRESENTACOES  E COMERCIO EXTERIOR LTDA</t>
  </si>
  <si>
    <t>RAULINI COMERCIO E REPRESENTACOES LTDA</t>
  </si>
  <si>
    <t>SIAL - SISTEMAS DE INTEL. ARTIF. LTDA</t>
  </si>
  <si>
    <t>BELGRAF INDUSTRIAL IMPRESSORA LTDA</t>
  </si>
  <si>
    <t>PARKS INFORMµTICA S/A</t>
  </si>
  <si>
    <t>ALFRED S.A - COMERCIO DO VESTUARIO</t>
  </si>
  <si>
    <t>DOHMS, BRODA &amp; CIA LTDA</t>
  </si>
  <si>
    <t>ORGANIZACAO SULINA DE REPRESENTACOES S.A</t>
  </si>
  <si>
    <t>A.F. KOPCZYNSKI &amp; CIA LTDA</t>
  </si>
  <si>
    <t>MJF-REPRES. E COMERCIO LTDA</t>
  </si>
  <si>
    <t>LIVRARIA DO GLOBO S/A</t>
  </si>
  <si>
    <t>LIVRARIA DO GLOBO S.A.</t>
  </si>
  <si>
    <t>DISTRIBUIDORA COMERCIAL DE MATERIAL FOTOGRAFICO LTDA</t>
  </si>
  <si>
    <t>FAB. DE CELULOSE E PAPEL S/A.</t>
  </si>
  <si>
    <t>INDUSTRIA DE TELAS CANELENSE LTDA</t>
  </si>
  <si>
    <t>OFFICELINK COMERCIAL E IMPORTADORA LTDA</t>
  </si>
  <si>
    <t>KFK TELECOMUNICA?OES LTDA - ME</t>
  </si>
  <si>
    <t>BEATRIZ BARRETO BARBOSA TRIVELLA - ME</t>
  </si>
  <si>
    <t>LIDER FORMULARIOS CONTINUOS LTDA</t>
  </si>
  <si>
    <t>SERVIGRAF MATERIAIS GRÁFICOS LTDA</t>
  </si>
  <si>
    <t>BENATTO &amp; GRISON LTDA ME</t>
  </si>
  <si>
    <t>PARADIGMA TECNOLOGIA E ORIENTAÇÃO DE NEGÓCIOS S/A</t>
  </si>
  <si>
    <t>MARMORARIA SÃO PEDRO LTDA - ME</t>
  </si>
  <si>
    <t>ALTERNATIVA GRÁFICA LTDA</t>
  </si>
  <si>
    <t>SOMCASE FABRICAÇÃO E COMÉRCIO DE CASE LTDA ME</t>
  </si>
  <si>
    <t>BS CONTROLE DE PRAGAS URBANAS LTDA - ME</t>
  </si>
  <si>
    <t>MOVELOM PARTICIPAÇÕES LTDA</t>
  </si>
  <si>
    <t>DH ESPORTE SAUDE E LAZER LTDA</t>
  </si>
  <si>
    <t>L M SUPRIMENTOS ODONTOLOGICOS LTDA - EPP</t>
  </si>
  <si>
    <t>RIO MEIER COMÉRICO DE MATERIAIS ODONTO-HOSPITALARES LTDA</t>
  </si>
  <si>
    <t>SALETE MARGARETE PICOLLI - ME</t>
  </si>
  <si>
    <t>KADOCHE COMERCIO E REPRESENTAÇÃO LTDA - ME</t>
  </si>
  <si>
    <t>CRONOMED COMERCIAL LTDA</t>
  </si>
  <si>
    <t>GRANMEYER MOVEIS E EQUIPAMENTOS PARA ESCRITORIO LTDA - ME</t>
  </si>
  <si>
    <t>MAX-FER COMERCIAL LTDA</t>
  </si>
  <si>
    <t>MARGEM COMERCIO E REPRESENTAÇÕES LTDA</t>
  </si>
  <si>
    <t>FAVERO CORTINAS E DECORAÇÕES LTDA ME</t>
  </si>
  <si>
    <t>FARGON ENGENHARIA E INDUSTRIA LTDA</t>
  </si>
  <si>
    <t>SANDRA OSVALDINA BITENCOURT ME</t>
  </si>
  <si>
    <t>SUMMATECH CONSULTORIA EM SOFTWARE LTDA</t>
  </si>
  <si>
    <t>ANJO DEDETIZADORA LTDA ME</t>
  </si>
  <si>
    <t>GGL - INDUSTRIA DE MOVEIS DE AÇO LTDA</t>
  </si>
  <si>
    <t>DOTTI &amp; SILVA LTDA</t>
  </si>
  <si>
    <t>MILSUL COMÉRCIO IMPORTAÇÃO E EXPORTAÇÃO LTDA</t>
  </si>
  <si>
    <t>INTELECTRON SERVIÇOS DE INFORMÁTICA LTDA</t>
  </si>
  <si>
    <t>TRANSPORTADORA LINS LTDA</t>
  </si>
  <si>
    <t>SEBALD INDÚSTRIA DE CADEIRAS  PARA ESCRITÓRIO LTDA</t>
  </si>
  <si>
    <t>INSTITUTO DE ESTUDOS AVANÇADOS - IEA</t>
  </si>
  <si>
    <t>ADRIANO BORGES DE SOUZA - ME</t>
  </si>
  <si>
    <t>WOLNI FRANCISCO DA ROSA FILHO ME</t>
  </si>
  <si>
    <t>BRASLIMP PRODUTOS DE LIMPEZA E EQUIPAMENTOS LTDA</t>
  </si>
  <si>
    <t>JERONIMO SERVIÇOS DE HIGIENIZAÇÃO, LAVAÇÃO E DEDETIZAÇÃO LTDA</t>
  </si>
  <si>
    <t>J DOIS M LTDA</t>
  </si>
  <si>
    <t>ORTEP ORGANIZAÇÃO TÉCNICA DE PRECISÃO LTDA</t>
  </si>
  <si>
    <t>TORTELLI INFORMÁTICA LTDA</t>
  </si>
  <si>
    <t>CENTRO BRASILEIRO DE ENGENHARIA E SISTEMAS LTDA</t>
  </si>
  <si>
    <t>TIRADENTES PRODUTOS E SERVICOS LTDA</t>
  </si>
  <si>
    <t>DENTÁRIA KLYMUS LTDA</t>
  </si>
  <si>
    <t>INFORLINE INDÚSTRIA E COMÉRCIO DE MÓVEIS LTDA</t>
  </si>
  <si>
    <t>JCTEL - COMÉRCIO E DISTRIBUIÇÃO LTDA</t>
  </si>
  <si>
    <t>BRY TECNOLOGIA S/A</t>
  </si>
  <si>
    <t>ESCOLA SENAI THEOBALDO DE NIGRIS</t>
  </si>
  <si>
    <t>ELLETRAL COMÉRCIO E SERVIÇOS LTDA</t>
  </si>
  <si>
    <t>BLU-CHAMA EXTINTORES LTDA. ME</t>
  </si>
  <si>
    <t>BECKER &amp; PERUZZO LTDA</t>
  </si>
  <si>
    <t>PHOTO SHOP COLOR LABORATÓRIO FOTOGRÁFICO LTDA - ME</t>
  </si>
  <si>
    <t>PERFILISA INDUSTRIA DE PLÁSTICOS DE ENGENHARIA LTDA</t>
  </si>
  <si>
    <t>CELACADE CENTRO LATATINO  AMERICANO DE CAPACITACION Y DESARROLLO DE EMPRESAS SC LTDA M</t>
  </si>
  <si>
    <t>VTC - TOUR OPERATOR LTDA</t>
  </si>
  <si>
    <t>TOP PEL LTDA - ME</t>
  </si>
  <si>
    <t>INDÚSTRIA DE DISTINTIVOS RANDAL LTDA.</t>
  </si>
  <si>
    <t>ELEVACON ELEVADORES CONSERVAÇÃO E MANUTENÇÃO LTDA</t>
  </si>
  <si>
    <t>PLONGEZ NUCLEO DE INFORMATICA LTDA</t>
  </si>
  <si>
    <t>KAPERSUL INDÚSTRIA E COMÉRCIO DE PAPÉIS LTDA.</t>
  </si>
  <si>
    <t>RICARDO  MURILO DA SILVA ME</t>
  </si>
  <si>
    <t>FABRIM INDÚSTRIA E COMÉRCIO DE MÓVEIS E DECORAÇÕES LTDA</t>
  </si>
  <si>
    <t>EQUIPOSERV COMERCIO E ASSISTENCIA TECNICA MED. E ODONT. LTDA ME</t>
  </si>
  <si>
    <t>PRONET ELETRONICA LTDA</t>
  </si>
  <si>
    <t>EVANDRO SOARES ME.</t>
  </si>
  <si>
    <t>LM - MARINHO COMERCIO REPRESENTACAO IMPORTACAO E EXPORTACAO LTDA</t>
  </si>
  <si>
    <t>LOURIVAL DOS SANTOS ME O COMERCIANTE ME</t>
  </si>
  <si>
    <t>SR EMPREITEIRA DE MAO DE OBRA LIMPEZAS E CONSERVA?OES LTDA - ME</t>
  </si>
  <si>
    <t>LUCARTO MOVEIS E MAT. DE CONSTRUCAO LTDA</t>
  </si>
  <si>
    <t>HENRIQUE MARTINS ESQUADRIAS ME</t>
  </si>
  <si>
    <t>FACCIATA - PROJETOS E EMPREENDIMENTOS LTDA</t>
  </si>
  <si>
    <t>GECAT - GRUPO EDITORIAL CATARINENSE LTDA.</t>
  </si>
  <si>
    <t>VIP CELULAR COMERCIO E REPRESENTACOES LTDA</t>
  </si>
  <si>
    <t>J.J. COMERCIO E EMPREITEIRA DE SERVI?OS ELETRICOS LTDA - ME</t>
  </si>
  <si>
    <t>GIOVANIA BAGGIO - ME</t>
  </si>
  <si>
    <t>CONDOMINIO CENTRO EXECUTIVO DONA NITA</t>
  </si>
  <si>
    <t>HAND SHOP SUPRIMENTOS MÉDICOS E TERAPÊUTICOS LTDA.</t>
  </si>
  <si>
    <t>JEP ASSISTENCIA TECNICA LTDA</t>
  </si>
  <si>
    <t>QUASAR TECNOLOGIA E INFORMATICA LTDA</t>
  </si>
  <si>
    <t>COREVAL COMÉRCIO REPRESENTAÇÕES LTDA - ME</t>
  </si>
  <si>
    <t>ANDAR INFORMÁTICA LTDA - EPP</t>
  </si>
  <si>
    <t>VERA CRUZ VIDA E PREVIDENCIA S/A</t>
  </si>
  <si>
    <t>DOMINIK COMÉRCIO INDÚSTRIA E REPRESENTAÇÕES LTDA</t>
  </si>
  <si>
    <t>PROACTIVA MEIO AMBIENTE BRASIL S/A</t>
  </si>
  <si>
    <t>INSTITUTO CATARINENSE DE OTORRINOLARINGOLOGIA LTDA</t>
  </si>
  <si>
    <t>GOLDEN DISTRIBUIDORA LTDA</t>
  </si>
  <si>
    <t>DISTRIBUIDORA CATARINENSE DE ACUMULADORES LTDA</t>
  </si>
  <si>
    <t>CONIP PLANEJAMENTO E ASSESSORIA EM GESTÃO DA INFORMAÇÃO LTDA</t>
  </si>
  <si>
    <t>SIQUEIRA NETO - ADVOGADOS ASSOCIADOS</t>
  </si>
  <si>
    <t>HOSPITALAR GAUCHA LTDA</t>
  </si>
  <si>
    <t>PRIMAVERA GARDEN CENTER LTDA</t>
  </si>
  <si>
    <t>APÊ TOLDOS LTDA. - ME</t>
  </si>
  <si>
    <t>COMERCIAL AUTOMOTIVA LTDA.</t>
  </si>
  <si>
    <t>TEES BRAZIL LTDA.</t>
  </si>
  <si>
    <t>BACK RECURSOS HUMANOS LTDA.</t>
  </si>
  <si>
    <t>IMPACTO WEB LTDA - EPP.</t>
  </si>
  <si>
    <t>DO-SUL DISTRIBUIDORA DE PRODUTOS DOMESTICOS LTDA.</t>
  </si>
  <si>
    <t>M. F. MACHADO SOARES</t>
  </si>
  <si>
    <t>CONTART TECNOLOGIA E GESTAO EM INFORMATICA LTDA.</t>
  </si>
  <si>
    <t>VISAO COMERCIO DE PAPAELARIA E INFORMATICA LTDA.</t>
  </si>
  <si>
    <t>UNIBANC0 AIG SEGUROS S.A.</t>
  </si>
  <si>
    <t>FUNDAÇÃO UNIVERSIDADE DO OESTE DE SANTA CATARINA - UNOESC</t>
  </si>
  <si>
    <t>REKODALI SUL LTDA</t>
  </si>
  <si>
    <t>COMERCIAL DE VIDROS SAO PEDRO LTDA</t>
  </si>
  <si>
    <t>IRINEU FURLAN ME</t>
  </si>
  <si>
    <t>RENATO MAIA ROCHA ME</t>
  </si>
  <si>
    <t>SELUMA SERVIÇOS DE LIMPEZA URBANA DE MAFRA LTDA</t>
  </si>
  <si>
    <t>RBS ADMINISTRAÇÃO E COBRANÇAS LTDA</t>
  </si>
  <si>
    <t>LOHN ESQUADRIAS DE ALUMÍNIO E VIDRAÇARIA LTDA -ME</t>
  </si>
  <si>
    <t>APARECIDA ROSA DE CAMPOS - ME</t>
  </si>
  <si>
    <t>MOORE BRASIL LTDA</t>
  </si>
  <si>
    <t>COMÉRCIO DE MATERIAIS MÉDICOS HOSPITALARES MACROSUL LTDA</t>
  </si>
  <si>
    <t>COSME COMÉRCIO LTDA</t>
  </si>
  <si>
    <t>MAKO INDÚSTRIA E COMÉRCIO DE EQUIPAMENTOS FOTOGRÁFICOS LTDA</t>
  </si>
  <si>
    <t>BRASLÍMPUR - LIMPEZA URBANIZACAO E SERVIÇOS LTDA</t>
  </si>
  <si>
    <t>VANTUTA PRESTAÇÃO DE SERVIÇOS LTDA</t>
  </si>
  <si>
    <t>SOLARCONTROL - COMÉRCIO DE PELÍCULAS DE CONTROLE SOLAR LTDA.</t>
  </si>
  <si>
    <t>REALSERVICE REPRESENTAÇÃO COMERCIAL LTDA</t>
  </si>
  <si>
    <t>DENTAL SOLIDENT LTDA</t>
  </si>
  <si>
    <t>DENTAL AGUIAR COM. DE PRODUTOS ODONTOLOGICOS LTDA - ME</t>
  </si>
  <si>
    <t>DENTAL SP LTDA ME</t>
  </si>
  <si>
    <t>KAMPO SUPRIMENTOS MÉDICO ODONTOLÓGICOS LTDA</t>
  </si>
  <si>
    <t>LUKET COMERCIAL - LM MADEIRA &amp; CIA LTDA</t>
  </si>
  <si>
    <t>M.A.ZANELATO &amp; CIA LTDA</t>
  </si>
  <si>
    <t>MICHEL DAVID KATINA</t>
  </si>
  <si>
    <t>KROMOSERV EMPREENDIMENTOS LTDA.</t>
  </si>
  <si>
    <t>PETASO DISTRIBUIDORA DE PRODUTOS PARA INFORMATICA LTDA</t>
  </si>
  <si>
    <t>VIGILANCIA RADAR LTDA</t>
  </si>
  <si>
    <t>FOGACA MATERIAIS ELETRICOS E INSTALACOES LTDA - ME</t>
  </si>
  <si>
    <t>FLORABEL - ARTES FLORAL E SERVICOS LTDA - ME</t>
  </si>
  <si>
    <t>DELTA PRODUTOS REPROGRAFICOS LTDA</t>
  </si>
  <si>
    <t>TEMPERADOS VIDROMAR LTDA</t>
  </si>
  <si>
    <t>GUNTHER COMERCIO DE TECIDOS LTDA</t>
  </si>
  <si>
    <t>A T S EQUIPAMENTOS PARA ESCRITORIO LTDA</t>
  </si>
  <si>
    <t>IND. E COM. DE PRODUTOS QUIMICOS CAROL LTDA</t>
  </si>
  <si>
    <t>JOLIVETI COMERCIO E ASSISTENCIA TECNICA DE EQUIP. PARA ESC. LTDA</t>
  </si>
  <si>
    <t>OFICINA ELETRICA CONTINENTE DE MAURINO SCHAPPO</t>
  </si>
  <si>
    <t>NEREDE COMERCIO DE MATERIAL MEDICO HOSPITALAR LTDA</t>
  </si>
  <si>
    <t>WEILER E CIA LTDA</t>
  </si>
  <si>
    <t>CASAS DA AGUA MATERIAIS PARA CONSTRUCAO LTDA</t>
  </si>
  <si>
    <t>ADRUIR L. SANSON &amp; CIA LTDA</t>
  </si>
  <si>
    <t>ARISTOTELES GOUDEL</t>
  </si>
  <si>
    <t>MACHADO COM.MAQ.MOV.ESC.LTDA</t>
  </si>
  <si>
    <t>ELETRO RAPIDO DE VAIR ROCHA DA SILVA</t>
  </si>
  <si>
    <t>QUIMAGRAF IND. COM. MAT. GRÁFICO LTDA</t>
  </si>
  <si>
    <t>NDJ SIMPÓSIOS  E TREINAMENTO LTDA</t>
  </si>
  <si>
    <t>FARMÁCIA KOBRAFARMA LTDA - ME</t>
  </si>
  <si>
    <t>INDÚSTRIA E COMÉRCIO DE MÓVEIS BENTO B. DA SILVA LTDA</t>
  </si>
  <si>
    <t>MINISTÉRIO PÚBLICO DA UNIÃO</t>
  </si>
  <si>
    <t>BRASIL SUL COMÉRCIO E MANUT. DE EQUIP. ODONTOLÓGICOS, MÉDICO-HOSPITALAR LTDA ME.</t>
  </si>
  <si>
    <t>HOFFMANN SERRALHERIA LTDA ME</t>
  </si>
  <si>
    <t>FGH EQUIPAMENTOS LTDA</t>
  </si>
  <si>
    <t>DISOFTWARE COM. E DIST. DE SOFTWARES</t>
  </si>
  <si>
    <t>SONS PRODUTOS ELETRÕNICOS LTDA</t>
  </si>
  <si>
    <t>ABQV - ASSOCIAÇÃO BRASILEIRA DE QUALIDADE DE VIDA</t>
  </si>
  <si>
    <t>JOSE ALFREDO DA SILVA ZÉ GRANDE - ME</t>
  </si>
  <si>
    <t>AMG CONSTRUTORA DE OBRAS LTDA</t>
  </si>
  <si>
    <t>CPH TECNOLOGIA EM SAUDE LTDA</t>
  </si>
  <si>
    <t>ROTH CONSTRUÇÕES LTDA</t>
  </si>
  <si>
    <t>PRÓ FISIOMED COMÉRCIO DE EQUIPAMENTOS</t>
  </si>
  <si>
    <t>CENTHAURO SEGURANÇA ELETRÔNICA LTDA - ME</t>
  </si>
  <si>
    <t>SCHEFFER LOGÍSTICA E AUTOMAÇÃO LTDA</t>
  </si>
  <si>
    <t>CLÍNICA DE STRESS E BIOFEEDBACK SS LTDA</t>
  </si>
  <si>
    <t>INVESTIGARE - ASSESSORIA EM PESQUISA CLINICA, EPIDEMIOLOGICA E SAUDE AMBIENTAL LTDA</t>
  </si>
  <si>
    <t>AQUINPEL SUPRIMENTOS PARA INFORMATICA E ESCRITORIO E REPRESENTACAO COMERCIAL LTDA.</t>
  </si>
  <si>
    <t>OFICINA DA INFORMÁTICA LTDA</t>
  </si>
  <si>
    <t>ASSERT - CONSULTORIA EMPRESARIAL LTDA</t>
  </si>
  <si>
    <t>ALTAIR HOPPE ME</t>
  </si>
  <si>
    <t>VERDE GARDEN CENTER COMERCIO DE FLORES E PLANTAS LTDA ME</t>
  </si>
  <si>
    <t>J MAC INDUSTRIA E COMERCIO LTDA - EPP</t>
  </si>
  <si>
    <t>ON LINE EQUIPAMENTOS E DISTRIBUIDORA DE INFORMATICA LTDA ME</t>
  </si>
  <si>
    <t>MENDES &amp; LOPES PESQUISA, TREINAMENTO E EVENTOS LTDA.</t>
  </si>
  <si>
    <t>PROTEÇÃO EVENTOS LTDA.</t>
  </si>
  <si>
    <t>MONTREAL INDÚSTRIA DE MÓVEIS LTDA.</t>
  </si>
  <si>
    <t>SOMPO SEGUROS S.A.</t>
  </si>
  <si>
    <t>AMBIENTALIS ANÁLISES DE AMBIENTES</t>
  </si>
  <si>
    <t>A BAROSSI TECNOLOGIA DE SOLOS E CONCRETO LTDA</t>
  </si>
  <si>
    <t>KARINA GOSH WIESBAUER</t>
  </si>
  <si>
    <t>TRANSPORTES MAUA LTDA.</t>
  </si>
  <si>
    <t>ALTERNATIVA CARTUCHOS COMERCIO DE SUPRIMENTOS DE INFORMÁTICA LTDA</t>
  </si>
  <si>
    <t>R. S. BRASIL COMERCIAL LTDA.</t>
  </si>
  <si>
    <t>VS DATA COMERCIAL DE INFORMATICA LTDA.</t>
  </si>
  <si>
    <t>INTERCEF - INSTITUTO DE TERAPIA E CENTRO DE ESTUDOS DA FAMILIA LTDA</t>
  </si>
  <si>
    <t>CENTRAL FLORIPA DE IMPRESSÃO DIGITAL LTDA.</t>
  </si>
  <si>
    <t>GAUCHA PRESTAÇÃO DE SERVIÇOS DE DEDETIZAÇÃO LTDA ME</t>
  </si>
  <si>
    <t>UNIVERSIDADE FEDERAL DE SANTA CATARINA</t>
  </si>
  <si>
    <t>CENTRAL GS INDÚSTRIA E COMÉRCIO DE MÓVEIS LTDA</t>
  </si>
  <si>
    <t>MADEVI MADEIREIRA VIEIRA LTDA</t>
  </si>
  <si>
    <t>HEIMOVISKI &amp; CIA LTDA</t>
  </si>
  <si>
    <t>MULTIPLA TERCEIRIZAÇÃO LTDA</t>
  </si>
  <si>
    <t>FERNANDO PERBONI EPP</t>
  </si>
  <si>
    <t>LAURINDO MOVEIS LTDA</t>
  </si>
  <si>
    <t>CONSENSO EDITORA GRÁFICA LTDA - ME</t>
  </si>
  <si>
    <t>ELETROMERIS BURATTO AUTOPEÇAS E SERVIÇOS LTDA</t>
  </si>
  <si>
    <t>GR COMÉRCIO DE PEÇAS LTDA - ME</t>
  </si>
  <si>
    <t>FERRAZ &amp; CORTELLA CONSULTORIA LTDA</t>
  </si>
  <si>
    <t>COMERCIAL WG IMPORT - EQUIP. DE SEGURANÇA E INCÊNDIO LTDA</t>
  </si>
  <si>
    <t>NOVA ERA INFORMATICA LTDA ME</t>
  </si>
  <si>
    <t>CRIATIVA TINTAS LTDA - ME</t>
  </si>
  <si>
    <t>PULSO BRASIL DIGITAL LTDA</t>
  </si>
  <si>
    <t>TREINAMENTO OBJETIVO LTDA</t>
  </si>
  <si>
    <t>ZINCA RAPIDO E COMERCIO DE FERRO LTDA</t>
  </si>
  <si>
    <t>PJ INDUSTRIA E COMERCIO DE MOVEIS LTDA - ME</t>
  </si>
  <si>
    <t>EXTINTORES XANXERÊ LTDA</t>
  </si>
  <si>
    <t>ESCRIMATE COMÉRCIO DE MATERIAIS DE ESCRITÓRIO E INFORMÁTICA LTDA.-ME</t>
  </si>
  <si>
    <t>ACRIL INDÚSTRIA E COMÉRCIO DE ACRÍLICOS LTDA.</t>
  </si>
  <si>
    <t>METROPOLITANA CATARINENSE DE SEGURANÇA LTDA</t>
  </si>
  <si>
    <t>INIPLASA  IND. NIENKOTTER DE PLASTICOS LTDA</t>
  </si>
  <si>
    <t>ROSIANE MARIA PIRES PATRICIO - ME</t>
  </si>
  <si>
    <t>FORNECEDOR NÃO CADASTRADO</t>
  </si>
  <si>
    <t>BANCO DO BRASIL S.A.</t>
  </si>
  <si>
    <t>ADOPRINT EQUIPAMENTOS E SIST. GRAFICOS LTDA</t>
  </si>
  <si>
    <t>LABORATORIO CINEMATOGRAFICO HELICON LTDA</t>
  </si>
  <si>
    <t>OLIVETTI DO BRASIL S/A</t>
  </si>
  <si>
    <t>EDITORA CAMINHO SUAVE</t>
  </si>
  <si>
    <t>ALBERFLEX INDUSTRIA DE MOVEIS LTDA</t>
  </si>
  <si>
    <t>VASP - VIACAO AEREA SAO PAULO S/A</t>
  </si>
  <si>
    <t>BANDEIRART INDUSTRIA TEXTIL LTDA</t>
  </si>
  <si>
    <t>BANCO BRASILEIRO DE DESCONTOS S/A</t>
  </si>
  <si>
    <t>TRANSBRASIL S/A LINHAS AEREAS.</t>
  </si>
  <si>
    <t>AGIP LIQUIGAS S/A</t>
  </si>
  <si>
    <t>DIMAS DE MELO PIMENTA S/A- IND. DE REL.</t>
  </si>
  <si>
    <t>PIRELLI CABOS S/A</t>
  </si>
  <si>
    <t>IMPORGRAF COMERCIAL E IMPORTADORA LTDA</t>
  </si>
  <si>
    <t>COMPAF - COM. e REPRES. LTDA</t>
  </si>
  <si>
    <t>KARTRO S/A IMPORTADORA E DISTRIBUIDORA</t>
  </si>
  <si>
    <t>PIA SOCIEDADE DE SAO PAULO</t>
  </si>
  <si>
    <t>J.S. IND. DE ARTEFATOS DE ACRILICO LTDA.</t>
  </si>
  <si>
    <t>MERCANTIL COMERCIO DE VIDEO FOTO E SOM LTDA</t>
  </si>
  <si>
    <t>WAPTEL TELECOMUNICACOES E COMERCIO DE SISTEMAS LTDA</t>
  </si>
  <si>
    <t>DARTEL REPRES. TELECOMUNICACAO E COM LTDA.</t>
  </si>
  <si>
    <t>AGM - COMERCIO DE PROD. E SERV. DE LIMPEZA LTDA.</t>
  </si>
  <si>
    <t>HAMILUTZER COM. DE PERSIANAS LTDA -ME</t>
  </si>
  <si>
    <t>PRINCIPE COMERCIO E SERVICO DE BALANCAS ELETRONICAS LTDA - ME</t>
  </si>
  <si>
    <t>HOFFMANN - ZARO PERSIANAS E DECORACOES LTDA</t>
  </si>
  <si>
    <t>DEMEKPROS COMERCIO DE EQUIPAMENTOS DE SEGURANCA LTDA</t>
  </si>
  <si>
    <t>DELFREE DISTRIBUIDORA DE AUTOPECAS LTDA.</t>
  </si>
  <si>
    <t>PROVECTO SOLUCOES EM INFORMATICA LTDA</t>
  </si>
  <si>
    <t>DNC DISTRIBUIDORA NORTE CATARINENSE LTDA</t>
  </si>
  <si>
    <t>MACESSOR COM.DE MAT. E ACES.P/MOVEIS LT.</t>
  </si>
  <si>
    <t>DMS INFORMATICA LTDA</t>
  </si>
  <si>
    <t>TECNOLÓGICA  - CONFORTO AMBIENTAL LTDA.</t>
  </si>
  <si>
    <t>AZ INDUSTRIA E COMERCIO DE PASTAS LTDA</t>
  </si>
  <si>
    <t>NAVY ROLEBA COMERCIO DE FLORES ARTISTICAS LTDA - ME</t>
  </si>
  <si>
    <t>VIERBAJ COMERCIAL LTDA</t>
  </si>
  <si>
    <t>MACESSOR COMERCIO DE MATERIAIS E ACESSORIOS PARA MOVEIS LTDA</t>
  </si>
  <si>
    <t>ILHA SUL - MADEIRAS E MAT. PARA CONNTRUCAO LTDA</t>
  </si>
  <si>
    <t>MARCOS DANIEL PEREIRA &amp; CIA LTDA - ME</t>
  </si>
  <si>
    <t>COMERCIAL ESTEVES RIBEIRÃO PRETO LTDA - EPP</t>
  </si>
  <si>
    <t>ANDREY ROBERTO ERTAL - ME</t>
  </si>
  <si>
    <t>LV ALIMENTOS E SERVIÇOS LTDA</t>
  </si>
  <si>
    <t>BASE FORTE CONSTRUTORA E INCORPORADORA LTDA</t>
  </si>
  <si>
    <t>ELFEZ EDIÇÕES COMERCOO E SERVIÇOS LTDA</t>
  </si>
  <si>
    <t>FRANCISCA MIGUELINA DA SILVA - ME</t>
  </si>
  <si>
    <t>CÓDICE COMÉRCIO DISTRIBUIÇÃO E CASA EDITORIAL LTDA</t>
  </si>
  <si>
    <t>INTERNATIONAL STRESS MANAGEMENT ASSOCIATION, SEÇÃO BRASIL</t>
  </si>
  <si>
    <t>NELSI TEREZINHA PEREIRA BAR ME</t>
  </si>
  <si>
    <t>EMYO COMÉRCIO REPRESENTAÇÃO E PROPAGANDA LTDA</t>
  </si>
  <si>
    <t>ANGELITA DA SILVA COMÉRCIO - ME</t>
  </si>
  <si>
    <t>CASTILHO EQUIPAMENTOS CIENTÍFICOS LTDA</t>
  </si>
  <si>
    <t>ASSOCIAÇÃO BRASILEIRA DE EMISSORAS DE RADIO E TV</t>
  </si>
  <si>
    <t>CURIFORM GRÁFICA LTDA</t>
  </si>
  <si>
    <t>MARCOS AURÉLIO COLLAÇO ME</t>
  </si>
  <si>
    <t>SPEED LABEL COMÉRCIO DE SUPRIMENTO PARA COMPUTADORES LTDA - EPP</t>
  </si>
  <si>
    <t>EQUIPEL COMERCIO DE EQUIPAMENTOS LTDA</t>
  </si>
  <si>
    <t>VILA MOBILLE INDUSTRIA E COMERCIO DE MOVEIS LTDA - ME</t>
  </si>
  <si>
    <t>COLDEBELLA &amp; DELATORRE LTDA</t>
  </si>
  <si>
    <t>TREVO NEWS COMERCIO DE PAPEL LTDA</t>
  </si>
  <si>
    <t>FORMA E ARTE MÓVEIS LTDA - ME</t>
  </si>
  <si>
    <t>LENOVO TECNOLOGIA (BRASIL) LTDA</t>
  </si>
  <si>
    <t>MJ COMÉRCIO DE EQUIPAMENTOS E PEÇAS LTDA  ME</t>
  </si>
  <si>
    <t>FEDERACAO BRASILEIRA DE ASSOCIACOES DE BIBLIOTECARIOS</t>
  </si>
  <si>
    <t>ORTOPED - CLINICA DE ORTOPEDIA E PEDIATRIA SC LTDA</t>
  </si>
  <si>
    <t>INFORWAP EDITORA DE PUBLICACOES PERIODICAS LTDA</t>
  </si>
  <si>
    <t>ADD ASSOCIACAO DESPORTIVA PARA DEFICIENTES</t>
  </si>
  <si>
    <t>LICIKON COMERCIAL LTDA. ME</t>
  </si>
  <si>
    <t>CATALIST DISTRIBUIDORA LTDA.</t>
  </si>
  <si>
    <t>ARTE ÚTIL COMÉRCIO DE DESCARTÁVEIS LTDA.</t>
  </si>
  <si>
    <t>FUNDAÇÃO CULTURAL E EDUCACIONAL DE ITAJAÍ</t>
  </si>
  <si>
    <t>WDF SERVIÇOS LTDA</t>
  </si>
  <si>
    <t>CTP - BUREAU DIGITAL SERVIÇOS DE EDITORACÃO LTDA.  ME</t>
  </si>
  <si>
    <t>M.S INFORMATICA - COMERCIO, IMPORTACAO, EXPORTACAO, SERVICOS E REPRESENTACAO COMERCIAL LTDA ME</t>
  </si>
  <si>
    <t>DATACRAFT COMÉRCIO E SERVIÇOS DE TELECOMUNICAÇÕES LTDA.</t>
  </si>
  <si>
    <t>EDIFICIO COMERCIAL ILHA DOS VENTOS</t>
  </si>
  <si>
    <t>ITAUTEC INFORMÁTICA S.A.</t>
  </si>
  <si>
    <t>LTA-RH INFORMÁTICA, COMÉRCIO, REPRESENTAÇÕES LTDA.</t>
  </si>
  <si>
    <t>IMPACT SERVIÇOS AUTOMOTIVOS LTDA ME</t>
  </si>
  <si>
    <t>COMERCIO E INDUSTRIA DE CALHAS CAMILO LTDA ME</t>
  </si>
  <si>
    <t>GEORGEA FILETI STEDILE DE OLIVEIRA ME</t>
  </si>
  <si>
    <t>SAKBER INFORMATICA LTDA ME</t>
  </si>
  <si>
    <t>INSTITUTO ENEAGRAMA TREINAMENTOS LTDA.ME</t>
  </si>
  <si>
    <t>CASA DAS CAPOTAS COMÉRCIO DE ACESSÓRIOS LTDA</t>
  </si>
  <si>
    <t>ASSOCIAÇÃO DE BIBLIOTECÁRIOS DO CEARÁ</t>
  </si>
  <si>
    <t>ATO - ASSISTÊNCIA TÉCNICA ODONTOLÓGICA LTDA - ME</t>
  </si>
  <si>
    <t>EMPREITEIRA DE MÃO DE OBRA SANDRA LTDA</t>
  </si>
  <si>
    <t>IBF INDÚSTRIA BRASILEIRA DE FILMES LTDA</t>
  </si>
  <si>
    <t>HDL INSTITUTO NACIONALDE DESENVOLVIMENTO PROFISSIONAL E CULTURAL LTDA.</t>
  </si>
  <si>
    <t>PRECISÃO AUDIOLOGIA S/C LTDA</t>
  </si>
  <si>
    <t>EDSON SILVEIRA  MAQUINAS E SUPRIMENTOS PARA ESCRITÓRIO LTDA ME</t>
  </si>
  <si>
    <t>GLOBAL SOLUTION LTDA</t>
  </si>
  <si>
    <t>APOLO INVESTIMENTOS E SERVIÇOS S/C LTDA</t>
  </si>
  <si>
    <t>JOSÉ VANILDO SPERANDIO - ME</t>
  </si>
  <si>
    <t>BLUMEN DESINSETIZAÇÕES E SERVIÇOS LTDA</t>
  </si>
  <si>
    <t>BIG CAR FILM'S LTDA</t>
  </si>
  <si>
    <t>CURE LTDA</t>
  </si>
  <si>
    <t>COPAPEL COMÉRCIO E REPRESENTAÇÕES DE PAPEL LTDA</t>
  </si>
  <si>
    <t>INSTITUTO TEBAR FOMENTO, DESENVOLVIMENTO, ESPEC. E MOD. DA ADM. PUB. S/S LTDA</t>
  </si>
  <si>
    <t>WJC COMÉRCIO E REPRESENTAÇÃO LTDA.</t>
  </si>
  <si>
    <t>TECNOGERAL INDÚSTRIA E COMÉRCIO LTDA</t>
  </si>
  <si>
    <t>EGIPOL EXTINTORES LTDA</t>
  </si>
  <si>
    <t>DELTA EQUIPAMENTOS CONTRA INCÊNDIO LTDA.</t>
  </si>
  <si>
    <t>MARIA DAS DORES RODRIGUES ME</t>
  </si>
  <si>
    <t>SULFITAS COM. E REBOB. DE FITAS IMPRES. LTDA</t>
  </si>
  <si>
    <t>COTEZE - INDUSTRIA METALURGICA LTDA.- ME</t>
  </si>
  <si>
    <t>MARCOS ABREU COM. DE CALCADOS LTDA</t>
  </si>
  <si>
    <t>ADEMIR CARLOS DA SILVEIRA</t>
  </si>
  <si>
    <t>SILVA MOREIRA - ASSISTENCIA TECNICA DE MAQUINAS LTDA</t>
  </si>
  <si>
    <t>FORNEMAQ - FORNECEDORA E REPRESENTACOES COMERCIAIS LTDA</t>
  </si>
  <si>
    <t>IMPORTEC COMERCIO E REPRESENTACOES LTDA</t>
  </si>
  <si>
    <t>APP INFORMATICA COMERCIAL IMPORTADORA E EXPORTADORA LTDA</t>
  </si>
  <si>
    <t>SOLARIS S/A</t>
  </si>
  <si>
    <t>TC &amp; A COMERCIAL E REPRESENTACOES LTDA.</t>
  </si>
  <si>
    <t>SPECIALTECH INSTRUMENTOS DE MEDICAO LTDA</t>
  </si>
  <si>
    <t>NILSA CATARINA S.C.</t>
  </si>
  <si>
    <t>COMERCIAL NANDA LTDA</t>
  </si>
  <si>
    <t>M.Z.L. EQUIPAMENTOS INDUSTRIAIS LTDA</t>
  </si>
  <si>
    <t>PRIMO &amp; GUEDES COMERCIO REPRESENTACOES LTDA</t>
  </si>
  <si>
    <t>MEDIMPEX COMERCIAL E IMPORTADORA LTDA</t>
  </si>
  <si>
    <t>PRIMA INFORMÁTICA S/S LTDA.</t>
  </si>
  <si>
    <t>SAPIENS SAPIENS DESENVOLVIMENTO INTEGRAL LTDA.</t>
  </si>
  <si>
    <t>MANOEL ANTONIO TEIXEIRA FILHO &amp; ADVOGADOS ASSOCIADOS</t>
  </si>
  <si>
    <t>EMBRASP EMPRESA BRASILEIRA DE SEGURANÇA PATRIMONIAL</t>
  </si>
  <si>
    <t>SECRETARIA DE ESTADO DA FAZENDA</t>
  </si>
  <si>
    <t>APOIO RADIO TECNICO ELETRONICO LTDA.</t>
  </si>
  <si>
    <t>E MAIS E TECNOLOGIA LTDA. ME</t>
  </si>
  <si>
    <t>BANCO DO BRASIL S. A.</t>
  </si>
  <si>
    <t>NOTADEZ INFORMAÇÃO LTDA.</t>
  </si>
  <si>
    <t>SAMAIKAL COMÉRCIO E TRANSPORTES LTDA - EPP</t>
  </si>
  <si>
    <t>ELAINE DE ASSIS CARDOSO</t>
  </si>
  <si>
    <t>COMERCIAL MAZZUCO LTDA</t>
  </si>
  <si>
    <t>FERRAMENTAS GERAIS COMERCIO IMPORTAÇÃO S/A</t>
  </si>
  <si>
    <t>DESIGN MÓVEIS E DECORAÇÕES LTDA - ME</t>
  </si>
  <si>
    <t>COPAZA DESCARTÁVEIS PLÁSTICOS LTDA</t>
  </si>
  <si>
    <t>UNILABOR COMÉRCIO E SERVIÇOS LTDA</t>
  </si>
  <si>
    <t>ALTERNATIVA TECNOLOGIA LTDA</t>
  </si>
  <si>
    <t>SERVISC SERVIÇOS TERCERIZADOS  LTDA.</t>
  </si>
  <si>
    <t>LIVRARIA ATLAS LTDA.</t>
  </si>
  <si>
    <t>RAFAEL MOSIMANN INFORMATICA LTDA</t>
  </si>
  <si>
    <t>NOVA MERCANTE DE PAPÉIS LTDA.</t>
  </si>
  <si>
    <t>CESAR REIS OFFICE PRODUCTS LTDA</t>
  </si>
  <si>
    <t>ABC EQUIPAMENTOS LTDA</t>
  </si>
  <si>
    <t>PARANA TOLDOS LTDA - ME</t>
  </si>
  <si>
    <t>SALVA PRESTADORA DE SERVIÇOS LTDA ME</t>
  </si>
  <si>
    <t>AC/DC INDUSTRIAL LTDA ME</t>
  </si>
  <si>
    <t>BAC - PESQUISA TREINAMENTOS E EVENTOS LTDA</t>
  </si>
  <si>
    <t>GERAIS COMERCIO DE LACRES LTDA</t>
  </si>
  <si>
    <t>CONEXÃO DESENVOLVIMENTO ORGANIZACIONAL LTDA</t>
  </si>
  <si>
    <t>ASSOCIAÇÃO BRASILEIRA DE RECURSOS HUMANOS</t>
  </si>
  <si>
    <t>POSITHIVA ASSESSORIA E TREINAMENTO LTDA</t>
  </si>
  <si>
    <t>SERVIÇO FEDERAL DE PROCESSAMENTO DE DADOS</t>
  </si>
  <si>
    <t>CONSTRUTORA EXPANSÃO LTDA.</t>
  </si>
  <si>
    <t>TUDO TEM COMERCIO DE EMBALAGENS LTDA ME</t>
  </si>
  <si>
    <t>SERGIO DIAS COMERCIAL ME</t>
  </si>
  <si>
    <t>MORE SINALIZAÇÃO E CONSTRUÇÃO LTDA.</t>
  </si>
  <si>
    <t>HISEG COMÉRCIO E ASSISTÊNCIA TÉCNICA DE INSTRUMENTOS DE MEDIÇÃO LTDA.</t>
  </si>
  <si>
    <t>PRODIGITAL PROJETOS ELETRONICOS LTDA ME</t>
  </si>
  <si>
    <t>CONSTRUTORA YAPÓ LTDA</t>
  </si>
  <si>
    <t>EDITORA ATLAS S.A.</t>
  </si>
  <si>
    <t>LARAMARA ASSOCIAÇÃO BRASILEIRA DE ASSISTÊNCIA AO DIFICIENTE VISUAL</t>
  </si>
  <si>
    <t>KAZZI DECORAÇÕES LTDA.</t>
  </si>
  <si>
    <t>SAGA COMERCIO DE MOVEIS E DECORACOES LTDA</t>
  </si>
  <si>
    <t>CELESC DISTRIBUIÇÃO S.A.</t>
  </si>
  <si>
    <t>FUNDO DE  IMPRENSA NACIONAL</t>
  </si>
  <si>
    <t>P H B TECNOLOGIA LTDA</t>
  </si>
  <si>
    <t>PROTOMED PROJETOS E MEDICOES TOPOGRAFICAS LTDA</t>
  </si>
  <si>
    <t>PREFEITURA MUNICIPAL DE RIO DO SUL</t>
  </si>
  <si>
    <t>HERIBERTO DA SILVA FILHO ME</t>
  </si>
  <si>
    <t>RONALDO GEHRCKE</t>
  </si>
  <si>
    <t>WOC TECNOLOGIA DA INFORMACAO LTDA</t>
  </si>
  <si>
    <t>MARCIRIO SERRALHERIA LTDA ME</t>
  </si>
  <si>
    <t>DIRECTDATA TECNOLOGIA &amp; CONHECIMENTO S/A</t>
  </si>
  <si>
    <t>EXPRESSÃO COMERCIO E SERVIÇOS LTDA</t>
  </si>
  <si>
    <t>FUNDAÇÃO GETULIO VARGAS</t>
  </si>
  <si>
    <t>LAVANDERIA SANTA CATARINA LTDA ME</t>
  </si>
  <si>
    <t>VIAÇAO PRAIANA LTDA</t>
  </si>
  <si>
    <t>COMERCIAL AUTOMOTIVA LTDA</t>
  </si>
  <si>
    <t>LUPAC COMÉRCIO E REPRESENTAÇÕES LTDA</t>
  </si>
  <si>
    <t>VIG - VANGUARDA INDÚSTRIA GRÁFICA LTDA - ME</t>
  </si>
  <si>
    <t>SANTO ANDRE INDUSTRIA E COMÉRCIO LTDA</t>
  </si>
  <si>
    <t>LIBERATO CARIONI CIA LTDA</t>
  </si>
  <si>
    <t>EWALDO RICARDO SAUER NETO - ME</t>
  </si>
  <si>
    <t>ALPES TECNOLOGIA INFORMÁTICA E SERVIÇOS LTDA</t>
  </si>
  <si>
    <t>BKS CENTER BRAS LTDA</t>
  </si>
  <si>
    <t>FORMACCO TRANSAMBIENTAL LTDA</t>
  </si>
  <si>
    <t>LIVRARIA E EDITORA RENOVAR LTDA</t>
  </si>
  <si>
    <t>ACTION TECHNOLOGY - TECNOLOGIA SOLUÇÕES E SERVIÇOS DE INFORMÁTICA LTDA</t>
  </si>
  <si>
    <t>SERVICO NACIONAL DE APRENDIZAGEM COMERCIAL - SENAC</t>
  </si>
  <si>
    <t>BRZEZINSKI INFORMAÇÕES LTDA - ME</t>
  </si>
  <si>
    <t>GNECCO COMERCIO E REPRESENTAÇOES LTDA</t>
  </si>
  <si>
    <t>TIRLONI &amp; CIA LTDA ME</t>
  </si>
  <si>
    <t>COMITE NACIONAL DO CERIMONIAL PUBLICO</t>
  </si>
  <si>
    <t>LUDWIG &amp; ASSOCIADOS LTDA</t>
  </si>
  <si>
    <t>P S 3 COMERCIAL E DISTRIBUIDORA LTDA.</t>
  </si>
  <si>
    <t>MOREIRA SERVIÇOS LTDA</t>
  </si>
  <si>
    <t>SIMETRICA ENGENHARIA DE OBRAS LTDA</t>
  </si>
  <si>
    <t>PAULO ROBERTO PIMENTEL - ME</t>
  </si>
  <si>
    <t>INFO OFFICE SHOP LTDA</t>
  </si>
  <si>
    <t>INAC - INSTITUTO NACIONAL DE CAPACITAÇÃO PESSOAL LTDA</t>
  </si>
  <si>
    <t>HARMONIA INDUSTRIA E COMERCIO DE MOVEIS LTDA</t>
  </si>
  <si>
    <t>JOBEMA INDUSTRIA E COMERCIO DE MOVEIS LTDA</t>
  </si>
  <si>
    <t>W3 INDUSTRIA METALURGICA LTDA</t>
  </si>
  <si>
    <t>DDM INDUSTRIA DE MOVEIS LTDA</t>
  </si>
  <si>
    <t>MS VIDROS LTDA</t>
  </si>
  <si>
    <t>BIANCO &amp; FILHO LTDA</t>
  </si>
  <si>
    <t>KOHLER JOALHERIA E PRESENTES LTDA</t>
  </si>
  <si>
    <t>LATOFER INDUSTRIA E COMÉRCIO DE FERRO ESQUADRIAS LTDA - ME</t>
  </si>
  <si>
    <t>PLAST PARK INDUSTRIA E COMÉRCIO LTDA</t>
  </si>
  <si>
    <t>MTGIOSA COMÉRCIO DE MATERIAIS PARA ESCRITÓRIO LTDA</t>
  </si>
  <si>
    <t>VIDEOMART BROADCAST LTDA</t>
  </si>
  <si>
    <t>ANTONINI INVENÇÕES LTDA</t>
  </si>
  <si>
    <t>DELMO LEAL DA SILVA - ME</t>
  </si>
  <si>
    <t>COMMIT COMUNICAÇÃO E MARKETING LTDA</t>
  </si>
  <si>
    <t>AMABILE DOCES LTDA - ME</t>
  </si>
  <si>
    <t>GLOBEX UTILIDADES S/A</t>
  </si>
  <si>
    <t>FORTALEZA DIVINA RESTAURANTE E LANCHONETE LTDA - EPP</t>
  </si>
  <si>
    <t>IBROWSE CONSULTORIA E INFORMÁTICA LTDA</t>
  </si>
  <si>
    <t>ASSOCIAÇÃO PARANAENSE DE MEDICINA DO TRABALHO</t>
  </si>
  <si>
    <t>E EBERT MOVEIS</t>
  </si>
  <si>
    <t>CASA NENA TECIDOS E CONFECÇÕES LTDA</t>
  </si>
  <si>
    <t>SEKURA EQUIPAMENTOS LTDA</t>
  </si>
  <si>
    <t>HOTEL EXPRESS LTDA</t>
  </si>
  <si>
    <t>CAJOMAR COMERCIO E MATERIAIS DE CONSTRUÇÃO LTDA ME</t>
  </si>
  <si>
    <t>COMÉRCIO DE CONFECÇÕES GUERREIRO LTDA EPP</t>
  </si>
  <si>
    <t>PERSIANAS ITAJAÍ LTDA ME</t>
  </si>
  <si>
    <t>STAFETTA ESPORTE, LAZER &amp; EVENTOS LTDA ME</t>
  </si>
  <si>
    <t>IMTEP - INSTITUTO DE MEDICINA E SEGURANÇA DO TRABALHO DO EST. DO PARANÁ LTDA</t>
  </si>
  <si>
    <t>SINDUSCON - SINDICATO DA IND. DA CONSTRUÇÃO CIVIL DA GRANDE FLORIANOPOLIS</t>
  </si>
  <si>
    <t>DISBEL DISTRIBUIDORA DE PRODUTOS LTDA ME</t>
  </si>
  <si>
    <t>GUILHERMO CHERAIM CHEDID - ME</t>
  </si>
  <si>
    <t>ALVES &amp; MARQUES LTDA - ME</t>
  </si>
  <si>
    <t>SERCOPEL IMPORTAÇAO E COMERCIO DE PAPEIS LTDA</t>
  </si>
  <si>
    <t>CAB IMÓVEIS LTDA</t>
  </si>
  <si>
    <t>ADELBRAS INDUSTRIA E COMÉRCIO DE ADESIVOS LTDA</t>
  </si>
  <si>
    <t>CIA DO ESCRITÓRIO INDÚSTRIA E COMÉRCIO DE MÓVEIS LTDA</t>
  </si>
  <si>
    <t>CORINGA COM. E REP. DE EQUIPAMENTOS ELETRÔNICOS DE SEGURANÇA LTDA</t>
  </si>
  <si>
    <t>ABSOLUTO DIVISÓRIAS E PISOS LTDA</t>
  </si>
  <si>
    <t>CENTAURO SERVIÇOS GRÁFICOS LTDA</t>
  </si>
  <si>
    <t>RADAR SERVIÇOS LTDA</t>
  </si>
  <si>
    <t>CASSOL MATERIAIS DE CONSTRUCAO LTDA</t>
  </si>
  <si>
    <t>REFRIGERACAO GARCIA - COM E ASSIST. TECNICA LTDA</t>
  </si>
  <si>
    <t>FUNDICAO ARTESANAL LADEWIG LTDA</t>
  </si>
  <si>
    <t>JAIME DOMINGOS BONISSONI - ME</t>
  </si>
  <si>
    <t>DELTA CONSTRUCOES CIVIS LTDA</t>
  </si>
  <si>
    <t>RAUBER REPRESENTACOES LTDA</t>
  </si>
  <si>
    <t>FERNANDO GENOVEZ FILHO - IND. E COMERCIO LTDA</t>
  </si>
  <si>
    <t>COMENDADOR REPRESENTACOES COMERCIAIS LTD</t>
  </si>
  <si>
    <t>GRAFICA E EDITORA POSIGRAF S/A</t>
  </si>
  <si>
    <t>CORREA MATERIAIS DE CONSTRUCOES LTDA</t>
  </si>
  <si>
    <t>LOJAO DA PRACA COMERCIO DE MOVEIS E ELETRO. LTDA</t>
  </si>
  <si>
    <t>CASA DAS MOLDURAS COMERCIO E INDUSTRIA LTDA</t>
  </si>
  <si>
    <t>AJL - COMERCIO DE EQUIPAMENTOS ELETRO ELETRONICOS LTDA</t>
  </si>
  <si>
    <t>GREATER COMERCIO DE MANUFATUADOS LTDA.</t>
  </si>
  <si>
    <t>ENVISION SUPRIMENTOS PARA INFORMATICA LTDA</t>
  </si>
  <si>
    <t>LEDA SAVI FERNANDES-ME</t>
  </si>
  <si>
    <t>CASA DO COMPRESSOR LTDA</t>
  </si>
  <si>
    <t>BEIRAMAR INFORMATICA LTDA.</t>
  </si>
  <si>
    <t>NHK - PRODUTOS E SERVI?OS DE REFRIGERA?ÇO LTDA</t>
  </si>
  <si>
    <t>CLINILAR - M.H.K. PROD.SERV.REFRIG.LTDA.</t>
  </si>
  <si>
    <t>EFICENTER COMERCIO E ASSISTENCIA TECNICA LTDA</t>
  </si>
  <si>
    <t>ALMIR BALVEDI MEDEIROS - ME</t>
  </si>
  <si>
    <t>MELO &amp; SCHMIDT - COMERCIO IMPORTACAO E SERVICOS LTDA</t>
  </si>
  <si>
    <t>KATIA PEREIRA RODRIGUES - ME</t>
  </si>
  <si>
    <t>MONICA A.A.B. DA SILVA - ME</t>
  </si>
  <si>
    <t>WISCHRAL COMERCIO E REPRESENTACOES LTDA - ME</t>
  </si>
  <si>
    <t>U.S. MEDICAL LINE MERCANTIL LTDA.</t>
  </si>
  <si>
    <t>EVOLUCAO FORMULARIOS CONTINUOS LTDA</t>
  </si>
  <si>
    <t>DERMAC COMERCIO REPRESENTACAO E IMPORTACAO LTDA</t>
  </si>
  <si>
    <t>CARDOSO E SILVA - COMERCIO E REPRESENT.</t>
  </si>
  <si>
    <t>INDICA ME</t>
  </si>
  <si>
    <t>ARTUR LINDEMBERG FRITZ ROESENER - ME</t>
  </si>
  <si>
    <t>SALÉZIO COSTA - ME</t>
  </si>
  <si>
    <t>MS SOUZA COMÉRCIO DE ARTIGOS E EQUIPAMENTOS ESPORTIVOS LTDA. ME</t>
  </si>
  <si>
    <t>ARMAZEM FUNDAMENTAL LTDA</t>
  </si>
  <si>
    <t>SENAC - SERVIÇO NACIONAL DE APRENDIZAGEM COMERCIAL</t>
  </si>
  <si>
    <t>COM. ORG. DO 27 INTERN. CONGRESS ON OCCUPATIONAL HEALTH</t>
  </si>
  <si>
    <t>SUZANA MANGANELLI VIEIRA - ME</t>
  </si>
  <si>
    <t>FUFA SC DISTRIBUIDORA HOSPITALAR LTDA</t>
  </si>
  <si>
    <t>RODOLFO FREDERICO ESKELSEN ME</t>
  </si>
  <si>
    <t>MARILEI DE OLIVEIRA DISTRIBUIDORA DE MATERIAIS DE INFORMÁTICA</t>
  </si>
  <si>
    <t>EDITORA NEGOCIOS PUBLICOS DO BRASIL LTDA</t>
  </si>
  <si>
    <t>14 BRASIL TELECOM CELULAR S/A</t>
  </si>
  <si>
    <t>MARCELO ANTONIO DALLE MULLE - ME</t>
  </si>
  <si>
    <t>FUNDAÇÃO INSTITUTO DE ADMINISTRAÇÃO</t>
  </si>
  <si>
    <t>S.T.F. COMERCIAL LTDA</t>
  </si>
  <si>
    <t>CONEXÃO BHZ COMÉRCIO DE CONFECÇÕES LTDA</t>
  </si>
  <si>
    <t>PRIMOMONDO INDUSTRIA DE MÓVEIS LTDA</t>
  </si>
  <si>
    <t>ESTAÇÃO TRINTA E TRES INDUSTRIA E COMERCIO LTDA</t>
  </si>
  <si>
    <t>LA BELLA ROSA FLORICULTURA LTDA - ME</t>
  </si>
  <si>
    <t>CASA DAS LAMPADAS ELETRO COMERCIAL LTDA.</t>
  </si>
  <si>
    <t>GEOCLIMA AR CONDICIONADO LTDA</t>
  </si>
  <si>
    <t>CGK SISTEMAS DE INFORMAÇÃO LTDA</t>
  </si>
  <si>
    <t>NEUSA ROSANA PACHECO - ME</t>
  </si>
  <si>
    <t>BONIMACHI MAT. P/ ESCRIT. E INFORMÁTICA LTDA - ME</t>
  </si>
  <si>
    <t>JAIME DOMINGOS BONISSONI  &amp; CIA LTDA</t>
  </si>
  <si>
    <t>TRANSPORTES NOSSA SENHORA APARECIDA LTDA</t>
  </si>
  <si>
    <t>AMBIENTAL COMÉRCIO E SERVIÇOS LTDA</t>
  </si>
  <si>
    <t>FLORÊNCIO &amp;  FLORÊNCIO COM DE PROD. FARMACEUTICOS E PERFUMARIA LTDAEPP</t>
  </si>
  <si>
    <t>PROHARD COMÉRCIO DE COMPUTADORES LTDA</t>
  </si>
  <si>
    <t>ALINE CONSTRUÇÕES E INCORPORAÇÕES LTDA</t>
  </si>
  <si>
    <t>EDITORA EXPRESSAO E CULTURA  EXPED LTDA</t>
  </si>
  <si>
    <t>SERRALHERIA BRASIL LTDA</t>
  </si>
  <si>
    <t>EMBAZZA ENGENHARIA LTDA</t>
  </si>
  <si>
    <t>CONSERVADORA DE ELEVADORES NACIONAL LTDA - ME</t>
  </si>
  <si>
    <t>NILSON JORGE DA SILVA - ME</t>
  </si>
  <si>
    <t>FUNDAÇÃO UNIVERSIDADE DO OESTE DE SANTA CATARINA</t>
  </si>
  <si>
    <t>AVILA E MULLER LTDA</t>
  </si>
  <si>
    <t>FACIT S/A MAQUINA DE ESCRITORIO.</t>
  </si>
  <si>
    <t>SENAI SERVICO NACIONAL DE APRENDIZAGEM INDUSTRIAL DEPTO REG. SC</t>
  </si>
  <si>
    <t>SERVICO NACIONAL DE APRENDIZAGEM INDUSTRIAL-SENAI</t>
  </si>
  <si>
    <t>COAD - CENTRO DE ORIENTACAO ATUALIZACAO E DESENV. PROF. LTDA</t>
  </si>
  <si>
    <t>COAD - CENTRO DE ORIENTACAO ATUALIZACAO E DESENVOLV. PROF. LTDA</t>
  </si>
  <si>
    <t>SISCO SISTEMAS E COMPUTADORES S.A</t>
  </si>
  <si>
    <t>GLOBERAMA - LIVRARIA E PAPELARIA LTDA</t>
  </si>
  <si>
    <t>R.S.A. COMERCIO INDUSTRIA DE PAPEIS LTDA</t>
  </si>
  <si>
    <t>FARMEX - FARMACIA DE MANIPULACAO LTDA</t>
  </si>
  <si>
    <t>CIAMAR LTDA</t>
  </si>
  <si>
    <t>5589 OABSC</t>
  </si>
  <si>
    <t>VALDECIR JOSE MASCARELLO</t>
  </si>
  <si>
    <t>ELETRO RIO LTDA.</t>
  </si>
  <si>
    <t>SISTRONICS INSTRUMENTACAO E SISTEMAS LTD</t>
  </si>
  <si>
    <t>INSTRUTHERM INSTRUMENTOS DE MEDICAO LTDA</t>
  </si>
  <si>
    <t>KENFRIO COMERCIAL LTDA.</t>
  </si>
  <si>
    <t>STARLUX EQUIPAMENTOS INDUSTRIAIS LTDA</t>
  </si>
  <si>
    <t>SUPERMICRO SHOW LTDA</t>
  </si>
  <si>
    <t>INAF - INDUSTRIA NACIONAL DE FITAS LTDA</t>
  </si>
  <si>
    <t>ALABAMA COMÉRCIO DE CAPACHOS LTDA</t>
  </si>
  <si>
    <t>TELEUNIÃO TELECOMUNICAÇÕES LTDA</t>
  </si>
  <si>
    <t>LEANDRO DOS SANTOS COSTA - ME</t>
  </si>
  <si>
    <t>VOX LEGIS - INSTITUTO DE CONSULTORIA CURSOS E EVENTOS LTDA</t>
  </si>
  <si>
    <t>BLASIUS E SILVA METALURGICA LTDA - ME</t>
  </si>
  <si>
    <t>NELSON MUSICAL CENTER  LTDA</t>
  </si>
  <si>
    <t>CSBM PRODUTOS MEDICOS LTDA</t>
  </si>
  <si>
    <t>QST QUALIDADE EM SERVIÇOS TEMPORÁRIOS LTDA</t>
  </si>
  <si>
    <t>ICPG INSTITUTO CATARINENSE DE PÓS GRADUAÇÃO</t>
  </si>
  <si>
    <t>FUSÃO PRE-IMPRESSAO LTDA ME</t>
  </si>
  <si>
    <t>JANE DUARTE CAMPOS</t>
  </si>
  <si>
    <t>INTEGRAÇÃO TREINAMENTO E MARKETING LTDA</t>
  </si>
  <si>
    <t>IMOBILIARIA RUMO LTDA</t>
  </si>
  <si>
    <t>MARSCHALL COPIADORAS LTDA - ME</t>
  </si>
  <si>
    <t>WINNER INDÚSTRIA E COMÉRCIO DE INFORMÁTICA LTDA</t>
  </si>
  <si>
    <t>WEB SITE INFORMÁTICA LTDA</t>
  </si>
  <si>
    <t>H.F. COMERCIAL LTDA</t>
  </si>
  <si>
    <t>INSTITUTO BRASILEIRO DE ENGENHARIA - IBE</t>
  </si>
  <si>
    <t>CELTA CONSTRUÇÕES LTDA</t>
  </si>
  <si>
    <t>MICRO MÓVEIS E DECORAÇÕES LTDA</t>
  </si>
  <si>
    <t>C.L. TONET &amp; CIA LTDA</t>
  </si>
  <si>
    <t>SULFITAS COM. E REPRES. DE FITAS ADESIVAS E ABRASIV. LTDA</t>
  </si>
  <si>
    <t>MUNICIPIO DE SÃO JOSÉ - PREFEITURA MUNICIPAL</t>
  </si>
  <si>
    <t>CONSTRUBASE CONSTRUÇÃO CIVIL LTDA.</t>
  </si>
  <si>
    <t>FORPRINT COMÉRCIO E SERVIÇOS DE INFORMÁTICA LTDA.</t>
  </si>
  <si>
    <t>FABIANI SOM E ACESSÓRIOS AUTOMOTIVOS LTDA. ME</t>
  </si>
  <si>
    <t>PAR - CURSOS, CONSULTORIA &amp; ASSESSORIA EMPRESARIAL S/S LTDA.</t>
  </si>
  <si>
    <t>CLC DISTRIBUIDORA DE LIVROS LTDA.</t>
  </si>
  <si>
    <t>KONTOS DISTRIBUIDORA DE LIVROS LTDA.</t>
  </si>
  <si>
    <t>ARCHICAD ARQUITETURA EMGEMHARIA E SERVIÇOS LTDA.</t>
  </si>
  <si>
    <t>ÂNCORA INFORMÁTICA LTDA.</t>
  </si>
  <si>
    <t>INTERDESIGN ARQUITETURA E ENGENHARIA S/C LTDA.</t>
  </si>
  <si>
    <t>LITHOS ENGENHARIA LTDA.</t>
  </si>
  <si>
    <t>SOCHA &amp; FILHOS LTDA.</t>
  </si>
  <si>
    <t>OCEÂNICA ENGENHARIA ARQUITETURA E OCEANOGRAFIA LTDA</t>
  </si>
  <si>
    <t>YOLANDA CARPES - ME</t>
  </si>
  <si>
    <t>EXTINTORES SUL LTDA</t>
  </si>
  <si>
    <t>MECANOGRAFICA &amp; LASER LTDA.</t>
  </si>
  <si>
    <t>POSTO GALO LTDA</t>
  </si>
  <si>
    <t>AUTO SOM FERNANDES LTDA ME</t>
  </si>
  <si>
    <t>CASA DOS TROFÉUS LTDA</t>
  </si>
  <si>
    <t>TECNIMA  IMAGEM E AUTOMAÇÃO LTDA</t>
  </si>
  <si>
    <t>ASSOCIAÇÃO DE USUÁRIOS DE INFORMÁTICA E TELECOMUNICAÇÕES DE SANTA CATARINA</t>
  </si>
  <si>
    <t>BYTELL EQUIPAMENTOS DE TELECOMUNICAÇÕES LTDA</t>
  </si>
  <si>
    <t>BOLFE ENGENHARIA E CONSTRUÇÕES LTDA</t>
  </si>
  <si>
    <t>EDITORA PINI LTDA</t>
  </si>
  <si>
    <t>POLICLINICA DE REABILITAÇÃO ADELIA CURI CHEREM</t>
  </si>
  <si>
    <t>MENDES SOM IMAGEM AUTOMAÇÃO</t>
  </si>
  <si>
    <t>LCS - INSTALAÇÕES ELÉTRICAS E SOLDAS LTDA</t>
  </si>
  <si>
    <t>DISTRIBUIDORA HZ DE LIVROS TECNICOS E CULTURAIS LTDA</t>
  </si>
  <si>
    <t>A C J COMÉRCIO DE PEÇAS E SERVIÇOS EM INFORMÁTICA LTDA - ME</t>
  </si>
  <si>
    <t>PORTO SEGURO CIA DE SEGUROS GERAIS</t>
  </si>
  <si>
    <t>VIRTUAL OFFICE COMÉRCIO E REPRESENTAÇÕES LTDA</t>
  </si>
  <si>
    <t>COMERCIAL LOBO LTDA</t>
  </si>
  <si>
    <t>NIPROMED COMÉRCIO E REPRESENTAÇÕES LTDA</t>
  </si>
  <si>
    <t>GPG ASSESSORIA &amp; CONSULTORIA S/C LTDA</t>
  </si>
  <si>
    <t>EXTINTORES SÃO BENTO LTDA</t>
  </si>
  <si>
    <t>ORBENK ADMINISTRAÇÃO E SERVIÇOS LTDA</t>
  </si>
  <si>
    <t>COPICENTER FOTOCOPIADORA LTDA ME</t>
  </si>
  <si>
    <t>COMERCIO DE UTILIDADES BLUMENAU LTDA</t>
  </si>
  <si>
    <t>SERMAFRIO  SERVIÇOS DE REFRIGERAÇÃO LTDA</t>
  </si>
  <si>
    <t>ESCOLA DE INFORMÁTICA PERFORM SYSTEM LTDA - ME</t>
  </si>
  <si>
    <t>SILAS - SOLUÇÕES EMPRESARIAIS LTDA</t>
  </si>
  <si>
    <t>ABNT-ASSOCIAÇÃO BRAS. DE TREINAMENTO E DESENVOLVI. DO  RIO GRANDE DO N</t>
  </si>
  <si>
    <t>HAGA REPRESENTAÇÕES ENGENHARIA E COMÉRCIO LTDA</t>
  </si>
  <si>
    <t>GENS S/A.</t>
  </si>
  <si>
    <t>ODONTO TCHÊ COMÉRCIO DE EQUIPAMENTOS ODONTOLÓGICOS LTDA.</t>
  </si>
  <si>
    <t>XBRAMAR SOLUÇÕES E TECNOLOGIA LTDA</t>
  </si>
  <si>
    <t>CENTRO DE JARDINAGEM JUNKES LTDA. - EPP</t>
  </si>
  <si>
    <t>NELSON MUSICAL CENTER LTDA</t>
  </si>
  <si>
    <t>WINNER MOVEIS E INFORMATICA LTDA</t>
  </si>
  <si>
    <t>IVANOR JOSÉ SPEGIORIN - ME</t>
  </si>
  <si>
    <t>ANTONIO MARTINEZ POMPEU DE CAMARGO - EPP</t>
  </si>
  <si>
    <t>CHAVECO COMÉRCIO DE CHAVES LTDA</t>
  </si>
  <si>
    <t>CORTINAS AVILA LTDA - EPP</t>
  </si>
  <si>
    <t>REFRIGERAÇÃO CRUZEIRO LTDA - ME</t>
  </si>
  <si>
    <t>ORTOPEDIA WIESBAUER LTDA</t>
  </si>
  <si>
    <t>ALL MEDWORLD LTDA - ME</t>
  </si>
  <si>
    <t>TECNO CÓPIAS FOTOCOPIADORA LTDA - ME</t>
  </si>
  <si>
    <t>ODONTO SERVICE SERVIÇOS TÉCNICOS LTDA</t>
  </si>
  <si>
    <t>COPEL DISTRIBUIÇÃO S/A</t>
  </si>
  <si>
    <t>SUL IMAGEM PRODUTOS PARA DIAGNÓSTICOS LTDA</t>
  </si>
  <si>
    <t>L.R. COMÉRCIO DE MATERIAIS PARA ESCRITÓRIO LTDA - ME</t>
  </si>
  <si>
    <t>UNIDROG COMÉRCIO E SERVIÇOS LTDA</t>
  </si>
  <si>
    <t>INSTITUTO DE GOVERNO ELETRONICO INTELIGENCIA JURIDICA E SISTEMAS</t>
  </si>
  <si>
    <t>AVERY DENNISON DO BRASIL LTDA</t>
  </si>
  <si>
    <t>CARONI &amp; SCAVONE-COM. DE MATERIAIS DE ESCRITORIOS E INF. LTDA</t>
  </si>
  <si>
    <t>NORWELL ATACADO LTDA</t>
  </si>
  <si>
    <t>STAR BKS LTDA.</t>
  </si>
  <si>
    <t>PAULINHO LAIRTO GHENO - ME</t>
  </si>
  <si>
    <t>SOCIEDADE BRASILEIRA DE DINÂMICA DOS GRUPOS</t>
  </si>
  <si>
    <t>TOPSERV EQUIPAMENTOS ELETRO-ELETRONICOS LTDA - ME</t>
  </si>
  <si>
    <t>CIZESKI INCORP. ADMIN. E EMPREENDIMENTOS IMOBILIÁRIOS LTDA</t>
  </si>
  <si>
    <t>FIRST TRADE COMPANY LTDA</t>
  </si>
  <si>
    <t>ASSOCIAÇÃO BRASILEIRA DE CRIMINALISTICA</t>
  </si>
  <si>
    <t>IBM - INDÚSTRIA, MÁQUINAS E SERVIÇOS LTDA</t>
  </si>
  <si>
    <t>ELETRO VOLT COMÉRCIO E INSTALAÇÕES LTDA</t>
  </si>
  <si>
    <t>SCALA ENGENHARIA E CONSTRUÇÃO LTDA</t>
  </si>
  <si>
    <t>AGROCAP CONSULTORIA E ASSESSORIA LTDA</t>
  </si>
  <si>
    <t>ANTONINI - INDÚSTRIA DO PISO LTDA. - ME</t>
  </si>
  <si>
    <t>MUNICIPIO DE IMBITUBA - PREFEITURA MUNICIPAL</t>
  </si>
  <si>
    <t>PLOTAGENS CABREIRA RODRIGUES LTDA.</t>
  </si>
  <si>
    <t>ROSINEIA LEWIN GUERREIRO - ME</t>
  </si>
  <si>
    <t>M. J. R. TELECOM - TELECOMUNICAÇÕES INFORMÁTICA E COMÉRCIO DE SISTEMAS LTDA.</t>
  </si>
  <si>
    <t>INSTITUTO MOTIVACIONAL DE CRIATIVIDADE E EXPRESSÃO VERBAL LTDA.</t>
  </si>
  <si>
    <t>ASSOCIAÇÃO BRASILEIRA DE NORMAS TÉCNICAS - ABNT</t>
  </si>
  <si>
    <t>EDITORA NOTÍCIAS DO DIA LTDA.</t>
  </si>
  <si>
    <t>REINALDO MODESTO DE SOUZA - ME</t>
  </si>
  <si>
    <t>LABORSYS PRODUTOS DIAGNOSTICOS E HOSPITALARES LTDA.</t>
  </si>
  <si>
    <t>ALTERMED MATERIAL MÉDICO HOSPITALAR LTDA.</t>
  </si>
  <si>
    <t>DENTAL PLUS LTDA. - ME</t>
  </si>
  <si>
    <t>POWERLOGIC CONSULTORIA E SISTEMAS S.A.</t>
  </si>
  <si>
    <t>TECNBRAS INDÚSTRIA E COMÉRCIO DE EQUIPAMENTOS ELETRÔNICOS LTDA.</t>
  </si>
  <si>
    <t>TRANSPORTES MAUÁ LTDA.</t>
  </si>
  <si>
    <t>B B C COMÉRCIO DE EXTENTORES LTDA. - ME</t>
  </si>
  <si>
    <t>CETEM CENTRO DE ESTUDOS TEMÁTICOS DE ADMINISTRAÇÃO PÚBLICA LTDA.</t>
  </si>
  <si>
    <t>COMÉRCIO E INDÚSTRIA SCHADECK S. A.</t>
  </si>
  <si>
    <t>RADIOPRO SISTEMAS LTDA. ME</t>
  </si>
  <si>
    <t>UNITRAUMA - CLINICA DE ORTOPEDIA E TRAUMATOLOGIA LTDA.</t>
  </si>
  <si>
    <t>REQUIPAL EQUIPAMENTOS CIENTÍFICOS LTDA</t>
  </si>
  <si>
    <t>ORCALI SERVIÇOS TEMPORÁRIOS LTDA</t>
  </si>
  <si>
    <t>ASSOCIAÇÃO CATARINENSE DE BIBLIOTECÁRIOS</t>
  </si>
  <si>
    <t>N. S. CUBAS &amp; M. F. CUBAS BRAND LTDA</t>
  </si>
  <si>
    <t>LORIGRAF LESTE TINTAS ESPECIAIS LTDA.</t>
  </si>
  <si>
    <t>SILVERIO INSTALAÇÕES ELÉTRICAS LTDA - ME</t>
  </si>
  <si>
    <t>FRD MICROFILMAGEM E INFORMÁTICA LTDA - ME</t>
  </si>
  <si>
    <t>NADIA ZIMMERMANN DE SOUZA - EPP</t>
  </si>
  <si>
    <t>INC - INSTITUTO NACIONAL DE CAPACITAÇÃO LTDA</t>
  </si>
  <si>
    <t>GENERAL MOTORS DO BRASIL LTDA</t>
  </si>
  <si>
    <t>CPNET - CONSULTORIA E PESQUISA NA INTERNET LTDA</t>
  </si>
  <si>
    <t>RENATO FIGUEIREDO DOS SANTOS INFORMÁTICA - ME</t>
  </si>
  <si>
    <t>COMERCIAL SIRACUSE LTDA</t>
  </si>
  <si>
    <t>INFOCENTRO COMÉRCIO DE PRODUTOS PARA INFORMÁTICA E PAPELARIA LTDA</t>
  </si>
  <si>
    <t>AREN - ADMINISTRADORA DE BENS LTDA</t>
  </si>
  <si>
    <t>LICIDATA EVENTOS E SERVIÇOS LTDA</t>
  </si>
  <si>
    <t>LINCOLN TAKESHI YAMAMURA REGISTRO ME</t>
  </si>
  <si>
    <t>GUARANI PRESTAÇÃO DE SERVIÇOS LTDA - ME</t>
  </si>
  <si>
    <t>INSTITUTO PROFESSOR RAINOLDO UESSLER S/C LTDA</t>
  </si>
  <si>
    <t>INVIOESTE EQUIPAMENTOS ELETRONICOS LTDA - ME</t>
  </si>
  <si>
    <t>MARA MARQUES DA COSTA - ME</t>
  </si>
  <si>
    <t>VASQUES E ARRUDA LTDA.</t>
  </si>
  <si>
    <t>C.R. MOREIRA  ME</t>
  </si>
  <si>
    <t>ORCALI SERVIÇOS DE LIMPEZA LTDA.</t>
  </si>
  <si>
    <t>VIDRAÇARIA SANTA RITA LTDA</t>
  </si>
  <si>
    <t>GUAREZI MATERIAIS DE CONSTRUÇÃO LTDA</t>
  </si>
  <si>
    <t>EQUISUL INDÚSTRIA E COMÉRCIO LTDA</t>
  </si>
  <si>
    <t>MARFIPOLIS COMÉRCIO E REPRESENTAÇÕES LTDA</t>
  </si>
  <si>
    <t>CHROMMA INDÚSTRIA E COMÉRCIO DE MÓVEIS PARA ESCRITÓRIO LTDA</t>
  </si>
  <si>
    <t>CASTRO TEC COMÉRCIO E SERVIÇOS LTDA</t>
  </si>
  <si>
    <t>ACÁCIO &amp; CIA LTDA</t>
  </si>
  <si>
    <t>BACK SERVIÇOS ESPECIALIZADOS LTDA</t>
  </si>
  <si>
    <t>BRONZE COMÉRCIO DE PRODUTOS FARMACEUTICOS, PERFUMARIAS E COSM. LTDA</t>
  </si>
  <si>
    <t>CORTILAGES DECORAÇÕES LTDA</t>
  </si>
  <si>
    <t>GRO COMÉRCIO DE MATERIAIS DE CONSTRUÇÃO LTDA</t>
  </si>
  <si>
    <t>MARTE COMÉRCIO E REPRESENTAÇÕES LTDA</t>
  </si>
  <si>
    <t>SIAMAR LTDA</t>
  </si>
  <si>
    <t>MICROTEC SISTEMAS INDÚSTRIA E COMÉRCIO S/A</t>
  </si>
  <si>
    <t>MULTILIGHT LTDA</t>
  </si>
  <si>
    <t>VILA PRUDENTE ATACADO IMPORTACAO E EXPORTACAO LTDA</t>
  </si>
  <si>
    <t>SPP NEMO SA COMERCIAL EXPORTADORA</t>
  </si>
  <si>
    <t>PANROTAS EDITORA LTDA</t>
  </si>
  <si>
    <t>IBF - INDUSTRIA BRASILEIRA E FORMULARIOS LTDA</t>
  </si>
  <si>
    <t>INDUSTRIAS VILLARES S. A.</t>
  </si>
  <si>
    <t>INDUSTRIA VILLARES S/A</t>
  </si>
  <si>
    <t>FERGO S/A INDUSTRIA MOBILIARIA</t>
  </si>
  <si>
    <t>CARCI IND COM APARELHOS CIRURGICOS E ORTOPEDICOS LTDA</t>
  </si>
  <si>
    <t>ALL GOODS COMERCIAL EXPORTADORA E IMPORTADORA LTDA</t>
  </si>
  <si>
    <t>IDENTIBRAS SISTEMAS DE IDENTIFICACAO BRASILEIRA LTDA</t>
  </si>
  <si>
    <t>TREIDE APOIO EMPRESARIAL LTDA</t>
  </si>
  <si>
    <t>VIERO TRANSPORTES E COMÉRCIO LTDA</t>
  </si>
  <si>
    <t>KOBRAMAX EMPREITEIRA DE MÃO DE OBRA LTDA</t>
  </si>
  <si>
    <t>ADSERVI - ADMINISTRADORA DE SERVIÇOS LTDA</t>
  </si>
  <si>
    <t>MENDES COMÉRCIO E DECORAÇÕES LTDA</t>
  </si>
  <si>
    <t>INSTITUTO BRASILEIRO DE RELAÇÕES COM O CLIENTE LTDA</t>
  </si>
  <si>
    <t>KING LIMP COMÉRCIO DE PRODUTOS DE LIMPEZA</t>
  </si>
  <si>
    <t>MAS EMBALAGENS ALIMENTAÇÃO E LOGISTICA LTDA</t>
  </si>
  <si>
    <t>GRÁFICA CAPITAL LTDA</t>
  </si>
  <si>
    <t>LOCEPY 31 COMÉRCIO DE ENVELOPES E ARTIGOS DE PAPELARIA LTDA</t>
  </si>
  <si>
    <t>PRELO GRÁFICA E EDITORA LTDA - ME</t>
  </si>
  <si>
    <t>PRESTES COMÉRCIO DE MATERIAIS PARA ESCRITÓRIO LTDA</t>
  </si>
  <si>
    <t>PROMOARTE COMUNICAÇÃO GRÁFICA LTDA - ME</t>
  </si>
  <si>
    <t>ASSOCIAÇÃO DOS MAGISTRADOS DO TRABALHO DA 9ª REGIÃO</t>
  </si>
  <si>
    <t>DO-GI INDUSTRIA E COMERCIO DE ARTIGOS ESPORTIVOS LTDA</t>
  </si>
  <si>
    <t>LUMAR COMERCIO DE PRODUTOS FARMACEUTICOS LTDA</t>
  </si>
  <si>
    <t>VITAL DISTRIBUIDORA HOSPITALAR LTDA</t>
  </si>
  <si>
    <t>ZERBINI MEDICAL COMÉRCIO DE PRODUTOS MÉDICOS LTDA</t>
  </si>
  <si>
    <t>CENADEM CENTRO NACIONAL DE DESENVOLV. DO GERENC. DA INFORMAÇÃO LTDA</t>
  </si>
  <si>
    <t>JOSE RIGO SUL FILM</t>
  </si>
  <si>
    <t>CABRAL AUTO CENTER COMÉRCIO DE ACESSÓRIOS LTDA  EPP</t>
  </si>
  <si>
    <t>MULTINFOC INFORMÁTICA LTDA ME</t>
  </si>
  <si>
    <t>ANA DA CUNHA PEREIRA</t>
  </si>
  <si>
    <t>DIVIART DIVISÓRIAS E ACABAMENTOS LTDA</t>
  </si>
  <si>
    <t>MARCELO DA SILVA UP ME</t>
  </si>
  <si>
    <t>FLORINFO COMÉRCIO E SERVIÇOS LTDA</t>
  </si>
  <si>
    <t>P J C   TÉCNICA E COMERCIAL LTDA  ME</t>
  </si>
  <si>
    <t>LIVRARIA SABER JURÍDICO LTDA - ME</t>
  </si>
  <si>
    <t>ZENITE EVENTOS S.A.</t>
  </si>
  <si>
    <t>FERRO ESQUADRIAS ROYAL LTDA</t>
  </si>
  <si>
    <t>CENTRAL DE MÁQUINAS FOTOCOPIADORAS LTDA</t>
  </si>
  <si>
    <t>MARMORARIA FLORIANÓPOLIS LTDA</t>
  </si>
  <si>
    <t>SHW INFORMATICA LTDA</t>
  </si>
  <si>
    <t>ACRIL COMUNICAÇÃO VISUAL E SINALIZAÇÃO LTDA</t>
  </si>
  <si>
    <t>DIVISÃO FORROS E CARPETES LTDA ME</t>
  </si>
  <si>
    <t>CONEVILLE SERVIÇOS E CONSTRUÇÕES LTDA</t>
  </si>
  <si>
    <t>DEDETIZADORA BRASIL LTDA ME</t>
  </si>
  <si>
    <t>BIOFARMA MEDICAMENTOS LTDA</t>
  </si>
  <si>
    <t>METALPLAKE FÁBRICA DE PLACAS LTDA</t>
  </si>
  <si>
    <t>SETOR 1 MATERIAIS DE ESCRITÓRIO LTDA   - ME</t>
  </si>
  <si>
    <t>XIBA DISTRIBUIDORA DE PRODUTOS LTDA</t>
  </si>
  <si>
    <t>CONCRETA ENGENHARIA E CONSTRUÇÕES LTDA</t>
  </si>
  <si>
    <t>INDÚSTRIA E COMÉRCIO DE ESQUADRIAS EBENEZER LTDA</t>
  </si>
  <si>
    <t>ALL IDIOM INSTITUTE LTDA</t>
  </si>
  <si>
    <t>A.ANGELONI &amp; CIA LTDA</t>
  </si>
  <si>
    <t>DVA AUTOMÓVEIS LTDA</t>
  </si>
  <si>
    <t>ATUALIZE INFORMÁTICA E SERVIÇOS LTDA</t>
  </si>
  <si>
    <t>PAREDEC DIVISÓRIAS ECONOMICAS LTDA</t>
  </si>
  <si>
    <t>EMPRESA DE ASSESSORIA E CONSULTORIA S/C LTDA</t>
  </si>
  <si>
    <t>CONSTRUTORA PROJETO NOVO LTDA</t>
  </si>
  <si>
    <t>SIRLENE MARA HENRIQUE CASTILHO - ME</t>
  </si>
  <si>
    <t>SILVEIRA DE SOUZA CONSTRUÇÕES E INCORPORAÇÕES LTDA</t>
  </si>
  <si>
    <t>ESAD - TREINAMENTO, APERFEIÇOAMENTO E ESPECIALIZAÇÃO LTDA</t>
  </si>
  <si>
    <t>CONTROL CONSULTORIA EM INFORMAÇÃO E DOCUMENTAÇÃO LTDA</t>
  </si>
  <si>
    <t>PREDIALL SUL ENGENHARIA E CONSTRUÇÕES LTDA</t>
  </si>
  <si>
    <t>ASSOCIAÇÃO PAULISTA DE CIRURGIÕES DENTISTAS</t>
  </si>
  <si>
    <t>CONDOMÍNIO EDIFÍCIO COMERCIAL E RESIDENCIAL NILDA MATHILDE</t>
  </si>
  <si>
    <t>BIBLIOSHOP COMÉRCIO E SERVIÇOS DE INFORMÁTICA LTDA - ME</t>
  </si>
  <si>
    <t>SERVIÇO NACIONAL DE APRENDIZAGEM COMERCIAL</t>
  </si>
  <si>
    <t>BMW DISTRIBUIDORA DE SUPRIMENTOS P/ ESCRITÓRIO E INFORMÁTICA LTDA</t>
  </si>
  <si>
    <t>ESTADO DA ARTE INFORMÁTICA E TECNOLOGIA LTDA</t>
  </si>
  <si>
    <t>MARIO JOÃO LEITE</t>
  </si>
  <si>
    <t>ELI TREINAMENTO EM INFORMÁTICA LTDA</t>
  </si>
  <si>
    <t>TOP AR SISTEMAS DE VENTILAÇÃO LTDA</t>
  </si>
  <si>
    <t>DRP - DISTRIBUIDORA REGIONAL DE PAPEIS LTDA</t>
  </si>
  <si>
    <t>SYNCROTAPE SISTEMAS ELETRÔNICOS LTDA</t>
  </si>
  <si>
    <t>ALCATEIA ENGENHARIA DE SISTEMAS LTDA</t>
  </si>
  <si>
    <t>POLIELETRONICA COMPONENTES LTDA</t>
  </si>
  <si>
    <t>KW INDÚSTRIA NACIONAL DE TECNOLOGIA ELETRÔNICA LTDA.</t>
  </si>
  <si>
    <t>RATIONALE INFORMÁTICA LTDA</t>
  </si>
  <si>
    <t>BUREAU PROFISSIONAL DE TURISMO</t>
  </si>
  <si>
    <t>TARABAY ALUMINIO LTDA</t>
  </si>
  <si>
    <t>PROFORM INDUSTRIA E COMERCIO LTDA</t>
  </si>
  <si>
    <t>TECNOLOGIA INFORMATICA LTDA.</t>
  </si>
  <si>
    <t>RIGHT TRACK INFORMATICA LTDA</t>
  </si>
  <si>
    <t>ELEBRA COMUNICACOES DE DADOS LTDA</t>
  </si>
  <si>
    <t>VOLKSWAGEN DO BRASIL LTDA</t>
  </si>
  <si>
    <t>FORD DO BRASIL S/A</t>
  </si>
  <si>
    <t>CONSUL S/A</t>
  </si>
  <si>
    <t>PETRODATA COMERCIAL E INFORMATICA LTDA</t>
  </si>
  <si>
    <t>AEROPLAS - MAT. DE FIBRAS LTDA</t>
  </si>
  <si>
    <t>HOBJETO IND. E COM. DE MOVEIS S/A</t>
  </si>
  <si>
    <t>J. HEGER &amp; CIA LTDA</t>
  </si>
  <si>
    <t>RPS INFORMATICA LTDA</t>
  </si>
  <si>
    <t>GESTO D'ARBORE</t>
  </si>
  <si>
    <t>DEIZE REGINA ROCHA JUNCKLAUS</t>
  </si>
  <si>
    <t>PRISMA CONSTRUÇÃO, INCORPORAÇÃO E COMÉRCIO DE IMÓVEIS LTDA</t>
  </si>
  <si>
    <t>NILSO PIAZZA - ME</t>
  </si>
  <si>
    <t>DIVIPISO DIVISÓRIAS E PISOS LTDA</t>
  </si>
  <si>
    <t>NEXT MILLENIUM LTDA</t>
  </si>
  <si>
    <t>HIDROLUNA MATERIAIS PARA SANEAMENTO LTDA</t>
  </si>
  <si>
    <t>HINKEL'S ATELIER LTDA</t>
  </si>
  <si>
    <t>ORGANIZAÇÃO SERV. SEGURANÇA PRINCESA DA SERRA LTDA</t>
  </si>
  <si>
    <t>DR ENGENHARIA LTDA</t>
  </si>
  <si>
    <t>TRANSPORTES E SERVIÇOS SELBACH LTDA</t>
  </si>
  <si>
    <t>ISOPREV INSTITUTO DE SAÚDE OPERACIONAL E MEDICINA PREVENTIVA</t>
  </si>
  <si>
    <t>JOSE CESAR COMERCIO DE FERRAMENTAS LTDA</t>
  </si>
  <si>
    <t>AR CONDICIONADO FRIGEL LTDA - ME</t>
  </si>
  <si>
    <t>IMPACTA TECNOLOGIA ELETRÔNICA LTDA</t>
  </si>
  <si>
    <t>MARCENARIA KUCHARSKI LTDA</t>
  </si>
  <si>
    <t>SATI INFORMÁTICA LTDA</t>
  </si>
  <si>
    <t>COMAPE MÁQUINAS PARA ESCRITÓRIO LTDA</t>
  </si>
  <si>
    <t>MILA INFORMÁTICA, INDUSTRIA, COMÉRCIO E IMPORTAÇÃO LTDA</t>
  </si>
  <si>
    <t>CONSTRUTORA GUILHERME LTDA</t>
  </si>
  <si>
    <t>SOFHAR TECNOLOGIA EM TELEMÁTICA LTDA</t>
  </si>
  <si>
    <t>SCHMIDT HAUS INDÚSTRIA E COMÉRCIO LTDA - ME</t>
  </si>
  <si>
    <t>COMP4 INFORMÁTICA LTDA</t>
  </si>
  <si>
    <t>RAÍZES CONSTRUÇÕES LTDA</t>
  </si>
  <si>
    <t>PAPELARIA KOALA LTDA - ME</t>
  </si>
  <si>
    <t>MASTERPROM EVENTOS E MARKETING LTDA</t>
  </si>
  <si>
    <t>ROVER E MAYKOT BAR E RESTAURANTE LTDA - ME</t>
  </si>
  <si>
    <t>EDUCANDARIO IMACULADA CONCEIÇÃO</t>
  </si>
  <si>
    <t>PLOT ART COMPUTAÇAO GRAFICA LTDA ME</t>
  </si>
  <si>
    <t>LOJAS VOLPATO LTDA</t>
  </si>
  <si>
    <t>CENTRO DE INFORMÁTICA E AUTOMAÇÃO DO ESTADO DE SANTA CATARINA</t>
  </si>
  <si>
    <t>J. ZILIOTTO COMÉRCIO DE MÓVEIS PARA ESCRITÓRIO LTDA</t>
  </si>
  <si>
    <t>JEANETE ANA CARDOSO - ME</t>
  </si>
  <si>
    <t>PPN CONSTRUÇÕES LTDA</t>
  </si>
  <si>
    <t>CONTROLLER BRASILEIRA PECAS EQUIPAMENTOS LTDA</t>
  </si>
  <si>
    <t>GAZETA MERCANTIL S/A</t>
  </si>
  <si>
    <t>DYNACOM ELETRONICA LTDA</t>
  </si>
  <si>
    <t>510211 57202</t>
  </si>
  <si>
    <t>UNID. ADMINISTRACAO LOCAL INSS EM CURITI</t>
  </si>
  <si>
    <t>CAVTEC COM. E REPRES. LTDA</t>
  </si>
  <si>
    <t>COMERCIAL A. DE MEDEIROS</t>
  </si>
  <si>
    <t>NOVADATA SISTEMAS E COMPUTADORES S.A.</t>
  </si>
  <si>
    <t>BLUE CARDS REFEICOES CONVENIO S/C LTDA</t>
  </si>
  <si>
    <t>ITAUTEC INFORMATICA S/A</t>
  </si>
  <si>
    <t>COMERCIO E REPR. FLORIANOPOLIS</t>
  </si>
  <si>
    <t>SUNSET COMERC .E REPRESENTACOES</t>
  </si>
  <si>
    <t>COFRES E MOVEIS DE A?O MOJIANO LTDA.</t>
  </si>
  <si>
    <t>DATAVIEW DESENVOLVIMENTO DE SISTEMAS LTDA</t>
  </si>
  <si>
    <t>TICKET SERVICOS E ADMINISTRACAO LTDA</t>
  </si>
  <si>
    <t>CIRURGICA UNIVERSAL LTDA</t>
  </si>
  <si>
    <t>PLEXPEL COM E IND PAPEL LTDA</t>
  </si>
  <si>
    <t>CIPA PUBLICAÇÕES, PRODUTOS E SERVIÇOS LTDA</t>
  </si>
  <si>
    <t>A. DIAS COM.&amp; SERV.AR COND LD.</t>
  </si>
  <si>
    <t>INCOMAL IND. E COMERCIO LTDA.</t>
  </si>
  <si>
    <t>FIMICARBON - MATERIAIS PARA ESCRITORIO LTDA</t>
  </si>
  <si>
    <t>KSR - COMERCIO E INDUSTRIA DE PAPEL S/A</t>
  </si>
  <si>
    <t>INSTITUTO FACHIN - PIANOVSKI S/C</t>
  </si>
  <si>
    <t>SOCIEDADE BRASILEIRA DE CLINICA MEDICA</t>
  </si>
  <si>
    <t>PROLINCON EMPREITEIRA DE MÃO DE OBRA LTDA</t>
  </si>
  <si>
    <t>CONDOMINIO EDIFICIO GIACOMO MAZZUCO</t>
  </si>
  <si>
    <t>EXTINGUE FOGO COMÉRCIO DE EXTINTORES LTDA - EPP</t>
  </si>
  <si>
    <t>ALFA TRANSPORTES ESPECIAIS LTDA</t>
  </si>
  <si>
    <t>TIM SUL S/A</t>
  </si>
  <si>
    <t>CARLOS ANGELO COSTA FILHO - ME</t>
  </si>
  <si>
    <t>ALTAMIR NAZARIO DA SILVA ME</t>
  </si>
  <si>
    <t>ASD JR INFORMATICA LTDA</t>
  </si>
  <si>
    <t>RECEITA FEDERAL</t>
  </si>
  <si>
    <t>DELEG. DA REC. FED. DE JOACABA</t>
  </si>
  <si>
    <t>COMPASSO COMERCIAL LTDA</t>
  </si>
  <si>
    <t>RTA REDE DE TECNOLOGIA AVANCADA LTDA.</t>
  </si>
  <si>
    <t>CENTRO TECNICO DE ADMINISTRACAO LTDA</t>
  </si>
  <si>
    <t>OFICINA MECANICA VALENTIN LTDA - ME</t>
  </si>
  <si>
    <t>UNITY - COMERCIO E REPRESENTACOES LTDA</t>
  </si>
  <si>
    <t>ROSENETE CUNHA - ME</t>
  </si>
  <si>
    <t>ABSOLUTA PRESTADORA DE SERVICOS LTDA.</t>
  </si>
  <si>
    <t>MEIOS COMERCIO E REPRESENTACOES LTDA</t>
  </si>
  <si>
    <t>TRIBUNAL REGIONAL ELEITORAL - SC</t>
  </si>
  <si>
    <t>SUPRISERV SUPRIMENTOS E PERIF. P/COMPUT. LTDA</t>
  </si>
  <si>
    <t>TRIBUNAL SUPERIOR DO TRABALHO</t>
  </si>
  <si>
    <t>TRIBUNAL REGIONAL DO TRABALHO DA 2a REGIAO</t>
  </si>
  <si>
    <t>TRIBUNAL REGIONAL DO TRABALHO DA 9a REGIAO</t>
  </si>
  <si>
    <t>EDUARDO ALEXANDRE DA SILVA - ME</t>
  </si>
  <si>
    <t>JAB MATERIAIS ELETRICOS LTDA</t>
  </si>
  <si>
    <t>M M MARTINS COMERCIAL LTDA ME</t>
  </si>
  <si>
    <t>KAPPA ENGENHARIA E CONSTRUCOES LTDA</t>
  </si>
  <si>
    <t>CASA DO UNIFORME COMERCIO DE ROUPAS PROFISSIONAIS LTDA - ME</t>
  </si>
  <si>
    <t>TECMÓVEL INDÚSTRIA E COMÉRCIO DE MÓVEIS LTDA</t>
  </si>
  <si>
    <t>EMPREITEIRA DE MAO DE OBRA BECO LTDA.</t>
  </si>
  <si>
    <t>UNIAO DISTRIBUIDORA DE MATERIAIS PARA ESCRITORIO LTDA</t>
  </si>
  <si>
    <t>OLITEL SUL TELECOMUNICACOES LTDA</t>
  </si>
  <si>
    <t>TOP AR SISTEMAS DE VENTILIÇÃO LTDA. - ME</t>
  </si>
  <si>
    <t>HOSPSUL COMÉRCIO E REPRESENTAÇÕES LTDA.</t>
  </si>
  <si>
    <t>ACJ COMERCIO DE PECAS E SERVICOS EM INFORMATICA</t>
  </si>
  <si>
    <t>FLAUTA MÁGICA COM. DE INSTRUMENTOS MUSICAIS LTDA.</t>
  </si>
  <si>
    <t>REFRIGERACAO PAULISTA COMERCIO IMPORTACAO E EXPORTACAO LTDA</t>
  </si>
  <si>
    <t>M &amp; N INFORMÁTICA LTDA</t>
  </si>
  <si>
    <t>MOVELEIRA ITAQUA LTDA..</t>
  </si>
  <si>
    <t>LIFE MEDICAL COMERCIAL LTDA-EPP I</t>
  </si>
  <si>
    <t>TOTALIT INDÚSTRIA COMÉRCIO DE MÓVEIS LTDA</t>
  </si>
  <si>
    <t>SCHEFFER DO ITUXI INDUSTRIA E COMERCIO S/A</t>
  </si>
  <si>
    <t>ADV ADMINISTRAÇÃO DE VENDAS LTDA.</t>
  </si>
  <si>
    <t>INNO INFORMÁTICA LTDA.</t>
  </si>
  <si>
    <t>CENTRO DE FORMAÇÃO DE CONDUTORES LITORAL LTDA</t>
  </si>
  <si>
    <t>BRASEXPRESS COMÉRCIO DE EMBALAGENS DESCARTÁVEIS LTDA - ME</t>
  </si>
  <si>
    <t>MARCAM INDUSTRIAL LTDA</t>
  </si>
  <si>
    <t>ENGDTP &amp; MULTIMIDIA COM. E PREST. DE SERVIÇOS DE INFOMATICA LTDA</t>
  </si>
  <si>
    <t>MILENIUM SERVIÇOS AUTOMOTIVOS LTDA</t>
  </si>
  <si>
    <t>PLENITUDE SOLUÇÕES EMPRESARIAIS LTDA</t>
  </si>
  <si>
    <t>ADJUVARE EVENTOS E SERVIÇOS LTDA</t>
  </si>
  <si>
    <t>RESTAURANTE BADEN BADEN LTDA</t>
  </si>
  <si>
    <t>METALÚRGICA WEISS LTDA</t>
  </si>
  <si>
    <t>ECOGAS OFICINA MECANICA E COMERCIO LTDA</t>
  </si>
  <si>
    <t>ASSOCIAÇÃO DOS OFICIAIS DE JUSTIÇA AVALIADORES FEDERAIS</t>
  </si>
  <si>
    <t>CAMPOS &amp; APOLINÁRIO LTDA - ME</t>
  </si>
  <si>
    <t>REAL TIME INFORMÁTICA LTDA</t>
  </si>
  <si>
    <t>JOHNSON &amp; JOHNSON PRODUTOS PROFISSIONAIS LTDA</t>
  </si>
  <si>
    <t>JOHNSON &amp; JOHNSON PRODUTOS PROF. LTDA.</t>
  </si>
  <si>
    <t>ITAUTEC PHILCO S/A - GRUPO ITAUTEC PHILCO</t>
  </si>
  <si>
    <t>ITAUTEC S.A. - GRUPO ITAUTEC</t>
  </si>
  <si>
    <t>SHARP OPERACOES COM. E IND. LTDA</t>
  </si>
  <si>
    <t>GIMBA COMERCIO DE PAPEIS LTDA</t>
  </si>
  <si>
    <t>A CLIMAFRIO COMERCIAL LTDA</t>
  </si>
  <si>
    <t>LINEA INFORMµTICA LTDA.</t>
  </si>
  <si>
    <t>TILIFORM INFORMATICA LTDA</t>
  </si>
  <si>
    <t>BMK - INDUSTRIA GRAFICA MICROFILMAGEM ELETR. LTDA</t>
  </si>
  <si>
    <t>LIVRARIA JURIDICA STEIDLER E TESTONI LTDA</t>
  </si>
  <si>
    <t>LIVRARIA JURIDICA STEIDLER E TESTONI LTD</t>
  </si>
  <si>
    <t>COMERCIAL DINCOS E SERVICOS LTDA</t>
  </si>
  <si>
    <t>CONSULTRE CONSULTORIA E TREINAMENTO LTDA</t>
  </si>
  <si>
    <t>VIDRAÇARIA ARTE E REFLEXO - ME</t>
  </si>
  <si>
    <t>EARCOM DO BRASIL COMERCIO IMPORTAÇÃO E EXPORTAÇÃO LTDA</t>
  </si>
  <si>
    <t>COMÉRCIO DE TINTAS E AUTO PEÇAS RENATO LTDA</t>
  </si>
  <si>
    <t>ALICE IBAGY COMÉRCIO E REPRESENTAÇÃO LTDA</t>
  </si>
  <si>
    <t>ESTORIL MAGAZINE LTDA</t>
  </si>
  <si>
    <t>GENERALI DO BRASIL CIA. NACIONAL DE SEGUROS</t>
  </si>
  <si>
    <t>POLICAB - TECNOLOGIA DE REDES LTDA</t>
  </si>
  <si>
    <t>LOJÃO DAS TINTAS LTDA -ME</t>
  </si>
  <si>
    <t>STAR BKS LTDA</t>
  </si>
  <si>
    <t>FUNDAÇÃO PADRE LEONEL FRANCA</t>
  </si>
  <si>
    <t>COMPRABEM COMÉRCIO E SERVIÇOS DE INFORMÁTICA LTDA - ME</t>
  </si>
  <si>
    <t>J.C. DISTRIBUIÇÃO LOGISTICAS E EXPORT. DE PROD. INDUSTRIALIZADOS S.A.</t>
  </si>
  <si>
    <t>PULSO BRASIL TELEMÁTICA LTDA</t>
  </si>
  <si>
    <t>ASSOCIAÇÃO BRASILEIRA DE ODONTOLOGIA REGIONAL DE JOINVILLE</t>
  </si>
  <si>
    <t>CORDEIRO FIOS E CABOS ELÉTRICOS LTDA</t>
  </si>
  <si>
    <t>NAVAJO VEICULOS LTDA</t>
  </si>
  <si>
    <t>MARIA GORETI BONDAN ME</t>
  </si>
  <si>
    <t>ITAGUAÇU ENGENHARIA E MANUTENÇÃO LTDA</t>
  </si>
  <si>
    <t>NZN ENGENHARIA GRAFICA S/C</t>
  </si>
  <si>
    <t>MS COMÉRCIO E REPRESENTAÇOES DE FERRAGENS LTDA ME</t>
  </si>
  <si>
    <t>MARMORARIA SPERANDIO LTDA ME</t>
  </si>
  <si>
    <t>ROSEMARI &amp; SILVA LTDA ME</t>
  </si>
  <si>
    <t>FARMÁCIA CONTROLE LTDA</t>
  </si>
  <si>
    <t>EKSET INDÚSTRIA E COMÉRCIO LTDA. EPP</t>
  </si>
  <si>
    <t>GABARITO INFORMÁTICA LTDA</t>
  </si>
  <si>
    <t>MAGICS VÍDEO COMÉRCIO E REPRESENTAÇÕES LTDA</t>
  </si>
  <si>
    <t>ARCLIMA PRODUTOS E SERVIÇOS LTDA - ME</t>
  </si>
  <si>
    <t>COLETIVO SANTA CRUZ LTDA</t>
  </si>
  <si>
    <t>BEZLAZI COMÉRCIO LTDA</t>
  </si>
  <si>
    <t>SERRALHERIA E FUNILARIA HEGEN LTDA - ME</t>
  </si>
  <si>
    <t>JURISBRAS EDIÇÕES JURIDICAS LTDA</t>
  </si>
  <si>
    <t>INSTAFIX INDÚSTRIA E COMÉRCIO LTDA</t>
  </si>
  <si>
    <t>GERALDO STRECK GERENCIAMENTO DE IMAGEM E INFORMAÇÃO LTDA</t>
  </si>
  <si>
    <t>FLORENCIO E LUZ LTDA</t>
  </si>
  <si>
    <t>LOPES &amp; AMARAL LTDA</t>
  </si>
  <si>
    <t>COMERCIAL BANDEIRANTE LTDA</t>
  </si>
  <si>
    <t>Q-ISO CONSULTORIA E TREINAMENTO LTDA</t>
  </si>
  <si>
    <t>CATARINENSE EQUIPAMENTOS INDUSTRIAIS LTDA</t>
  </si>
  <si>
    <t>SOUZA ALVES EMBALAGENS LTDA - ME</t>
  </si>
  <si>
    <t>G.J.S. INDUSTRIA E COMERCIO DE PLACAS LTDA - ME</t>
  </si>
  <si>
    <t>TELWECK INDÚSTRIA METALÚRGICA E COMÉRCIO LTDA - EPP</t>
  </si>
  <si>
    <t>GTC BY JET FILL INDUSTRIA COMÉRCIO IMPORTAÇÃO E EXPORTAÇÃO LTDA</t>
  </si>
  <si>
    <t>INFRA ENGENHARIA LTDA</t>
  </si>
  <si>
    <t>SERRALHERIA NOSSA SENHORA DO CARMO LTDA - ME</t>
  </si>
  <si>
    <t>MASTER SYSTEM  COMPUTADORES LTDA - ME</t>
  </si>
  <si>
    <t>AÇÃO ARTEFATOS DE AÇO LTDA</t>
  </si>
  <si>
    <t>PAULO DE ALMEIDA &amp; CIA LTDA - ME</t>
  </si>
  <si>
    <t>COMÉRCIO E SERVIÇOS IDM LTDA - ME</t>
  </si>
  <si>
    <t>INFOTEC EQUIPAMENTOS VISUAIS LTDA</t>
  </si>
  <si>
    <t>TROPVILLE COMERCIAL LTDA.</t>
  </si>
  <si>
    <t>CAPOTAS CABRAL COM. DE AUTOMOVEIS, CAPOTAS E ACESSORIOS LTDA</t>
  </si>
  <si>
    <t>MAZZA ACABAMENTOS LTDA</t>
  </si>
  <si>
    <t>GADOTTI MARTINS CACAMBAS E CARRINHOS INDUSTRIAIS LTDA.</t>
  </si>
  <si>
    <t>ESFERA MAQUINAS E SERVICOS DE ELVIO GOETZ - ME</t>
  </si>
  <si>
    <t>SOUTO MAIOR COMERCIAL LTDA - ME</t>
  </si>
  <si>
    <t>POSTO 610 COMERCIO DE EQUIPAMENTOS PARA CONDOMINIOS LTDA</t>
  </si>
  <si>
    <t>FLORIANOPOLIS BUSINESS BUREAU, FBB COM. IMP. EXP. LIMITADA</t>
  </si>
  <si>
    <t>SISTEMA - ÁUDIO E IMAGEM LTDA.</t>
  </si>
  <si>
    <t>SEGMED SEGURANCA E MEDICINA DO TRABALHO LTDA</t>
  </si>
  <si>
    <t>CASTRO &amp; FERNANDES LTDA.</t>
  </si>
  <si>
    <t>ROSGUETTI COM. E ASSITENCIA TECNICA EQUIP. ESCRITORIO LTDA</t>
  </si>
  <si>
    <t>BILBOARD SISTEMAS AVANCADOS LTDA</t>
  </si>
  <si>
    <t>HOSPITAL LAR COM. LOCAC. IMPORT. E EXPORT LTDA</t>
  </si>
  <si>
    <t>LUCIETTO &amp; OLTRAMARI LTDA</t>
  </si>
  <si>
    <t>QUALITYGRAF STUDIO GRAFICO LTDA</t>
  </si>
  <si>
    <t>CDC - INDÚSTRIA E COMÉRCIO LTDA.</t>
  </si>
  <si>
    <t>PRIMUZ COMERCIO E REPRESENTACOES LTDA</t>
  </si>
  <si>
    <t>AUDIOVISUAL COMERCIO DE EQUIPAMENTOS VISUAIS LTDA</t>
  </si>
  <si>
    <t>ORGACON COMERCIO E REPRESENTACOES LTDA - ME</t>
  </si>
  <si>
    <t>ARTELUX PERSIANAS LTDA</t>
  </si>
  <si>
    <t>S. O. S. RESIDENCIA LTDA.</t>
  </si>
  <si>
    <t>WORLD TELECOM TREINAMENTO E CONSULTORIA S/C LTDA</t>
  </si>
  <si>
    <t>VILLAGE ENGENHARIA LTDA</t>
  </si>
  <si>
    <t>GHP COMPUTADORES LTDA.</t>
  </si>
  <si>
    <t>GENESIS CONGRESSOS E EVENTOS LTDA</t>
  </si>
  <si>
    <t>ALBANY DO BRASIL</t>
  </si>
  <si>
    <t>SECURIT S/A</t>
  </si>
  <si>
    <t>MOORE FORMULARIOS LTDA</t>
  </si>
  <si>
    <t>EDITORA ESPLANADA LTDA</t>
  </si>
  <si>
    <t>TELEXPEL PAPEIS TELEINFORMATICA LTDA</t>
  </si>
  <si>
    <t>ECAFIX INDéSTRIA E COM?RCIO LTDA</t>
  </si>
  <si>
    <t>FOCO INFORMATICA LTDA</t>
  </si>
  <si>
    <t>ALDIR BATTISTON E LEO SC.</t>
  </si>
  <si>
    <t>SUPERPEL COMERCIO DE PAPEIS LTDA</t>
  </si>
  <si>
    <t>CALIMA COMERCIO DE PAPEIS LTDA</t>
  </si>
  <si>
    <t>LIVRARIA CULTURA EDITORA LTDA.</t>
  </si>
  <si>
    <t>AMC INFORMATICA LTDA.</t>
  </si>
  <si>
    <t>TEK MASTER INFORMATICA LTDA</t>
  </si>
  <si>
    <t>RIVERS - IND. E COM. DE MATERIAIS PARA ESCRITORIO LTDA</t>
  </si>
  <si>
    <t>COLUMBIA INDUSTRIA DE METAIS LTDA.</t>
  </si>
  <si>
    <t>COMPUSUL CONSULTORIA E COMERCIO DE INFORMATICA LTDA</t>
  </si>
  <si>
    <t>DIMOPLAC DIVISORIAS MODULADAS LTDA</t>
  </si>
  <si>
    <t>QUART COMERCIAL E INDUSTRIAL LTDA</t>
  </si>
  <si>
    <t>CATAVENTO DISTRIBUIDORA DE LIVROS S.A.</t>
  </si>
  <si>
    <t>DATASEG ENGENHARIA COMERCIO IMPORT. EXPORT. LTDA</t>
  </si>
  <si>
    <t>CIA ULTRAGAZ S/A</t>
  </si>
  <si>
    <t>ESPECTRO LUZ LTDA</t>
  </si>
  <si>
    <t>FERCOM COMERCIAL FERNANDO LTDA - ME</t>
  </si>
  <si>
    <t>JMC JUNKES MATERIAIS DE CONSTRUÇÃO LTDA - ME</t>
  </si>
  <si>
    <t>SAUDE E TRABALHO ASSESSORIA CLINICA E ERGONOMIA LTDA</t>
  </si>
  <si>
    <t>EVILASIO GOMES NASCIMENTO - ME</t>
  </si>
  <si>
    <t>AIMAR ROSA &amp; CIA LTDA - ME</t>
  </si>
  <si>
    <t>FENIX COMERCIO DE MATERIAIS ELÉTRICOS LTDA - ME</t>
  </si>
  <si>
    <t>KOERICH MATERIAIS E SERVIÇOS ELÉTRICOS LTDA - EPP</t>
  </si>
  <si>
    <t>PRINT SERVICE LTDA ME</t>
  </si>
  <si>
    <t>JCV - INDUSTRIA COMERCIO E MANUTENÇÃO DE EQUIPAMENTOS LTDA EPP</t>
  </si>
  <si>
    <t>NUNES OLIVEIRA MAQUINAS E FERRAMENTAS LTDA</t>
  </si>
  <si>
    <t>NUCLEO PIRATININGA DE COMUNICAÇÃO - NPC</t>
  </si>
  <si>
    <t>EDITORA FORUM LTDA</t>
  </si>
  <si>
    <t>VERTIPLUS PERSIANAS E CORTINAS LTDA</t>
  </si>
  <si>
    <t>DIRECTINFO - TECNOLOGIA EM INFORMAÇÃO E TELECOMUNICAÇÕES LTDA</t>
  </si>
  <si>
    <t>MULTISUPRIMENTOS SUPRIMENTOS E EQUIP. P/ESCRIT. E INFORMÁTICA LTDA</t>
  </si>
  <si>
    <t>GRUPPOS ATENDIMENTO, ENSINO CONSULTORIA PROJETOS PESQUISAS S/C LTDA.</t>
  </si>
  <si>
    <t>SERVIÇO NACIONAL DE APRENDIZAGEM COMERCIAL - SENAC</t>
  </si>
  <si>
    <t>GLAUCIA DA SILVA DE OLIVEIRA ME</t>
  </si>
  <si>
    <t>ITALO ROBERTO MENEZES DIAS ME</t>
  </si>
  <si>
    <t>EDITORA PLENUM LTDA</t>
  </si>
  <si>
    <t>ADVB ASSOCIAÇÃO DOS DIRIGENTES DE VENDAS E MARKETING DE S/C</t>
  </si>
  <si>
    <t>EUAX CONSULTORIA EM PROJETOS E PROCESSOS LTDA</t>
  </si>
  <si>
    <t>INSTITUTO UNIEMP</t>
  </si>
  <si>
    <t>ACADEMIA BRASILEIRA DE DIREITO CONSTITUCIONAL</t>
  </si>
  <si>
    <t>REVISTA FORENSE S/A</t>
  </si>
  <si>
    <t>ELLIEL DISTRIBUIDORA DE MERCADORIAS LTDA ME</t>
  </si>
  <si>
    <t>ASSOCIAÇÃO BRASILEIRA DE ODONTOLOGIA SECÇÃO SANTA CATARINA</t>
  </si>
  <si>
    <t>COMERCIAL ODONTOMÉDICA LTDA</t>
  </si>
  <si>
    <t>TELEMIL COMÉRCIO DE SERVIÇOS EM ELETRO-ELETRONICA LTDA</t>
  </si>
  <si>
    <t>FETTON - COMÉRCIO DE MATERIAIS E EQUIPAMENTOS PARA ESCRITÓRIO LTDA</t>
  </si>
  <si>
    <t>NIEHUES PERSIANAS LTDA - ME</t>
  </si>
  <si>
    <t>CAMARA DE ARQUITETOS E CONSULTORES S/C LTDA</t>
  </si>
  <si>
    <t>JURERE PRAIA HOTEL - JBV LTDA</t>
  </si>
  <si>
    <t>PROWAY INFORMATICA LTDA</t>
  </si>
  <si>
    <t>PROESA - PROGRAMA DE EXERCÍCIO E SAÚDE LTDA</t>
  </si>
  <si>
    <t>DIGICLIMA INDUSTRIA E COMERCIO LTDA</t>
  </si>
  <si>
    <t>DENTAL COMPRESSORES DO BRASIL LTDA</t>
  </si>
  <si>
    <t>AMSW BRASIL INFORMÁTICA LTDA</t>
  </si>
  <si>
    <t>FUNDAÇÃO INSTITUTO DE PESQUISAS FARMACÊUTICAS - FIPFARMA</t>
  </si>
  <si>
    <t>CELULAR CASA DO BARÃO COMERCIO LTDA - EPP</t>
  </si>
  <si>
    <t>DIRETA DISTRIBUIDORA LTDA</t>
  </si>
  <si>
    <t>ENGENET INFORMÁTICA LTDA</t>
  </si>
  <si>
    <t>SUPERHAÇÃO DESENVOLVENDO TALENTOS LTDA</t>
  </si>
  <si>
    <t>LIMPBEM LIMPEZA E CONSERVAÇÃO LTDA</t>
  </si>
  <si>
    <t>J K PNEUS LTDA</t>
  </si>
  <si>
    <t>DESENVOLVIMENTO E TECNOLOGIA MENTORTEC LTDA</t>
  </si>
  <si>
    <t>FORUM NACIONAL DE COMUNICAÇÃO E JUSTIÇA</t>
  </si>
  <si>
    <t>COMERCIO DE TECIDOS COELHO LTDA</t>
  </si>
  <si>
    <t>MAIA CONSTRUÇÃO CIVIL LTDA</t>
  </si>
  <si>
    <t>CIANET INDÚSTRIA E COMÉRCIO LTDA.</t>
  </si>
  <si>
    <t>AUTARQUIA MUNICIPAL DE SANEAMENTO DE FRAIBURGO - SANEFRAI</t>
  </si>
  <si>
    <t>HOTEL SÃO SEBASTIÃO DA PRAIA LTDA</t>
  </si>
  <si>
    <t>JL DECORAÇÕES LTDA. ME</t>
  </si>
  <si>
    <t>PMK DISTRIBUIDORA DE LIVROS LTDA ME</t>
  </si>
  <si>
    <t>DEDETIZADORA SOL E LAR LTDA - ME</t>
  </si>
  <si>
    <t>ADOLFO LAMARQUE</t>
  </si>
  <si>
    <t>ASSINE DISTRIBUIDORA DE JORNAIS, REVISTAS E REPRESENTACOES LTDA</t>
  </si>
  <si>
    <t>APOIO - MARKETING E EDITORA LTDA</t>
  </si>
  <si>
    <t>R2V2 - INFORMATICA LTDA</t>
  </si>
  <si>
    <t>MOBILE INDÚSTRIA E COMÉRCIO DE MÓVEIS LTDA</t>
  </si>
  <si>
    <t>A.D.O. PAINÉIS ELÉTRICOS LTDA</t>
  </si>
  <si>
    <t>SOL E MAR FERNANDES TOLDOS E SIMILARES LTDA</t>
  </si>
  <si>
    <t>ORTOFISIOTERAPIA CLINICA DE REABILITAÇÃO LTDA</t>
  </si>
  <si>
    <t>KIKO FORNECEDORA COMERCIAL LTDA</t>
  </si>
  <si>
    <t>EMPREITEIRA DE MÃO DE OBRA SERRA MAR LTDA</t>
  </si>
  <si>
    <t>DORRIS RINA KONING THIELE ME</t>
  </si>
  <si>
    <t>LUIS FELIPE PERBONI - ME</t>
  </si>
  <si>
    <t>VETORIAL CONSTRUÇÕES LTDA</t>
  </si>
  <si>
    <t>POLYKRON COMÉRCIO DE PRODUTOS GRÁFICOS LTDA</t>
  </si>
  <si>
    <t>A. A. MATTEDI USINAGEM LTDA - ME</t>
  </si>
  <si>
    <t>MDR COMERCIAL LTDA</t>
  </si>
  <si>
    <t>RICHARDSON ELECTRONICS DO BRASIL LTDA</t>
  </si>
  <si>
    <t>MULTIPAPER DISTRIBUIDORA DE PAPÉIS LTDA</t>
  </si>
  <si>
    <t>BORGES &amp; BORGES INDÚSTRIA E COMÉRCIO DE PLACAS LTDA - ME</t>
  </si>
  <si>
    <t>EDSON KENDI ITIOKA - ME</t>
  </si>
  <si>
    <t>ORION COMERCIAL LTDA</t>
  </si>
  <si>
    <t>COLORMAR COMÉRCIO DE MATERIAIS FOTOGRÁFICOS LTDA</t>
  </si>
  <si>
    <t>PERSIANAS CRISDAN LTDA EPP</t>
  </si>
  <si>
    <t>SELETIVA SERVIÇOS LTDA</t>
  </si>
  <si>
    <t>PRIMAVERA INCORPORAÇÃO E CONSTRUÇÃO LTDA</t>
  </si>
  <si>
    <t>PERSIANAS REQUINTE LTDA - ME</t>
  </si>
  <si>
    <t>SANTA CLARA COMERCIO DE VEICULOS LTDA</t>
  </si>
  <si>
    <t>LM2 CONSULTING INFORMATICA LTDA</t>
  </si>
  <si>
    <t>JOB IT CONSULTORIA E ASSESSORIA EM SISTEMAS DE INFORMÁTICA LTDA</t>
  </si>
  <si>
    <t>SERVICE COMERCIAL LTDA</t>
  </si>
  <si>
    <t>A. ALEMAX ASSISTÊNCIA TÉCNICA LTDA</t>
  </si>
  <si>
    <t>LESTE OESTE SERVIÇOS DE LIMPEZA LTDA</t>
  </si>
  <si>
    <t>SUL BRASIL SEGURANÇA PRIVADA LTDA</t>
  </si>
  <si>
    <t>SERIBRAS - SERVIÇOS DE SERIGRAFIA LTDA - ME</t>
  </si>
  <si>
    <t>FAZ CONSTRUÇÕES LTDA</t>
  </si>
  <si>
    <t>KARINE DE SOUSA - ME</t>
  </si>
  <si>
    <t>CESCON PRODUTOS MEDICOS E CIENTIFICOS LTDA</t>
  </si>
  <si>
    <t>LIVRARIA ATUAL LTDA</t>
  </si>
  <si>
    <t>AÇÃO INFORMÁTICA LTDA</t>
  </si>
  <si>
    <t>COAN INDÚSTRIA GRÁFICA LTDA</t>
  </si>
  <si>
    <t>SYSMATEC INFORMÁTICA LTDA</t>
  </si>
  <si>
    <t>DSD ENGENHARIA LTDA.</t>
  </si>
  <si>
    <t>FERRARI &amp; FERRARI COMÉRCIO E REPRESENTAÇÕES DE ARTIGOS FOTOGRÁFICOS E DE INFORMÁTICA LTDA.</t>
  </si>
  <si>
    <t>DOMITEK COMÉRCIO E ASSISTÊNCIA TÉCNICA LTDA. -  ME</t>
  </si>
  <si>
    <t>SERVIÇO MUNICIPAL DE AGUA, SANEAMENTO BÁSICO E INFRA-ESTRUTURA DE ITAJAÍ - SEMASA</t>
  </si>
  <si>
    <t>MULTICANAL FLORIANÓPOLIS S/A</t>
  </si>
  <si>
    <t>PRODIET FARMACÊUTICA LTDA.</t>
  </si>
  <si>
    <t>COMERCIAL HOSPITALAR SALLES LTDA</t>
  </si>
  <si>
    <t>PREVENIR SAUDE OCUPACIONAL S/C LTDA</t>
  </si>
  <si>
    <t>AR INDÚSTRIA COMÉRCIO E SERVIÇOS DE INSTALAÇÕES ELÉTRICAS LTDA-ME</t>
  </si>
  <si>
    <t>ENERJET COMÉRCIO E MONTAGEM LTDA.</t>
  </si>
  <si>
    <t>TANIA MARA ANTONUNCIO GUIMARÃES ME</t>
  </si>
  <si>
    <t>FUNDAÇÃO ESCOLA NACIONAL DE ADMINISTRAÇÃO PUBLICA</t>
  </si>
  <si>
    <t>ROSSONI REFRIGERAÇÃO E AR CONDICIONADO LTDA  ME</t>
  </si>
  <si>
    <t>LTR DESENVOLVIMENTO PROFISSIONAL LTDA</t>
  </si>
  <si>
    <t>SANTOS &amp; ALVES ASSESSORIA EMPRESARIAL LTDA</t>
  </si>
  <si>
    <t>ADELCIO ANTONIO DA SILVA ME</t>
  </si>
  <si>
    <t>INSIGHT CONSULTORIA E DESENVOLVIMENTO EMPRESARIAL LTDA</t>
  </si>
  <si>
    <t>NEXUS TREINAMENTO &amp; CAPACITAÇÃO LTDA</t>
  </si>
  <si>
    <t>ABNT - ASSOCIAÇÃO BRASILEIRA DE NORMAS TÉCNICAS</t>
  </si>
  <si>
    <t>KOBRASERV ADMINISTRAÇÃO E SERVIÇOS LTDA</t>
  </si>
  <si>
    <t>ELETRÔNICA FERNANDES LTDA - ME</t>
  </si>
  <si>
    <t>MICROPOWER COMÉRCIO E DESENVOLVIMENTO DE SOFTWARE LTDA</t>
  </si>
  <si>
    <t>IOB - INFORMAÇÕES OBJETIVAS E PUBLICAÇÕES JURIDICAS LTDA.</t>
  </si>
  <si>
    <t>CENTRAL DO COMPRESSOR LTDA - ME</t>
  </si>
  <si>
    <t>AURUS LTDA.</t>
  </si>
  <si>
    <t>DUALLINE CENTRO DE TREINAMENTO LTDA</t>
  </si>
  <si>
    <t>LEGISBANCOS EDITORA LTDA</t>
  </si>
  <si>
    <t>TPS EDITORA LTDA</t>
  </si>
  <si>
    <t>LUNDGREN IRMAOS TECIDOS S/A CASAS PERNAMBUCANAS</t>
  </si>
  <si>
    <t>ALCOA ALUMINIO DO NORDESTE S/A</t>
  </si>
  <si>
    <t>FGL DA AMAZONIA ELETRONICA INDUSTRIA E COMERCIO LTDA</t>
  </si>
  <si>
    <t>LOJAS ORLANDO LTDA.</t>
  </si>
  <si>
    <t>BANCO REAL S/A</t>
  </si>
  <si>
    <t>KATINA &amp; CIA. LTDA.</t>
  </si>
  <si>
    <t>BBC CONSTRUTORA LTDA.</t>
  </si>
  <si>
    <t>CONT ELETROELETRONICOS E AR CONDICIONADO LTDA.</t>
  </si>
  <si>
    <t>AIR COMPANY DO BRASIL LTDA</t>
  </si>
  <si>
    <t>T / DECHICHI PROJETOS EM COMUNICAÇÃO LTDA</t>
  </si>
  <si>
    <t>HTC SOM &amp; VIDEO LTDA</t>
  </si>
  <si>
    <t>RUDNICK VEÍCULOS S.A.</t>
  </si>
  <si>
    <t>BORGES DECORAÇÕES LTDA</t>
  </si>
  <si>
    <t>IMORG - INSTITUTO PARA A MODERNIZAÇÃO E APERF. DAS ORGANIZAÇÕES LTDA</t>
  </si>
  <si>
    <t>TECNOPORT TECNOLOGIA EM PORTAS E PORTÕES AUTOMÁTICOS LTDA</t>
  </si>
  <si>
    <t>SINDICATO DOS JORNALISTAS PROFISSIONAIS DE SANTA CATARINA</t>
  </si>
  <si>
    <t>ASSOCIAÇÃO BRASILEIRA DE ODONTOLOGIA SECÇÃO DO PARANA</t>
  </si>
  <si>
    <t>CASA DAS PELÍCULAS LTDA -ME</t>
  </si>
  <si>
    <t>ABC VIDEO DIGITAL LTDA - EPP</t>
  </si>
  <si>
    <t>BELLINEA INDÚSTRIA E COMÉRCIO DE MÓVEIS LTDA</t>
  </si>
  <si>
    <t>INFOSTORE INFORMATICA LTDA</t>
  </si>
  <si>
    <t>IBAGY IMÓVEIS LTDA</t>
  </si>
  <si>
    <t>INTERACTION SOLUÇÕES CORPORATIVAS DE TECNOLOGIA LTDA</t>
  </si>
  <si>
    <t>VERBOS - IDEIAS &amp; OFICIOS LTDA</t>
  </si>
  <si>
    <t>ENGEPOOL PRODUTOS E PROJETOS DE ENGENHARIA LTDA</t>
  </si>
  <si>
    <t>LOCKNET CONSULTORIA E SOLUÇÕES EM SEGURANÇA LTDA</t>
  </si>
  <si>
    <t>M2INFO COMÉRCIO E SERVIÇO DE INFORMÁTICA LTDA</t>
  </si>
  <si>
    <t>DEDETIZADORA SANTANA LTDA - ME</t>
  </si>
  <si>
    <t>ASSOCIAÇÃO DE AMIGOS DO ARQUIVO PÚBLICO DO ESTADO DE SANTA CATARINA</t>
  </si>
  <si>
    <t>OGG TRANSPORTES E SERVIÇOS LTDA.</t>
  </si>
  <si>
    <t>RUDNICK EMPREENDIMENTOS LTDA</t>
  </si>
  <si>
    <t>DINÂMICA TECNOLOGIA EM SEGURANÇA LTDA</t>
  </si>
  <si>
    <t>MOVARTE INDÚSTRIA DE  MÓVEIS E DECORAÇÕES LTDA - ME</t>
  </si>
  <si>
    <t>METALÚRGICA UNIVERSAL LTDA. EPP</t>
  </si>
  <si>
    <t>FIPEL COMERCIAL DE FITAS E PAPÉIS LTDA</t>
  </si>
  <si>
    <t>INTER COMPUTER IMPORTAÇÃO E EXPORTAÇÃO LTDA</t>
  </si>
  <si>
    <t>AGNUS COM. IMPORTACAO E EXPORTACAO</t>
  </si>
  <si>
    <t>ALVES LTDA.</t>
  </si>
  <si>
    <t>TOWER COMPUTADORES LTDA.</t>
  </si>
  <si>
    <t>LAURA CAROLINA CALDEIRA DE CASTRO - ME</t>
  </si>
  <si>
    <t>TECNOPOINT INFORMATICA, ASSESSORIA E SISTEMAS LTDA</t>
  </si>
  <si>
    <t>VIDLIVROS COMERCIAL LTDA.</t>
  </si>
  <si>
    <t>INSTITUTO DE ORTOPEDIA E FISIOTERAPIA SÃO PAULO LTDA.</t>
  </si>
  <si>
    <t>NEUCI SUZIN &amp; CIA LTDA</t>
  </si>
  <si>
    <t>CENTRO DE ASSESSORIA TRABALHISTA LTDA</t>
  </si>
  <si>
    <t>UNITEK IMAGE SYSTEMS LTDA</t>
  </si>
  <si>
    <t>LINCERAL SERVIÇOS COMERCIO E REPRESENTAÇÃO LTDA - ME</t>
  </si>
  <si>
    <t>INFORMATICA DIRSCHNABEL</t>
  </si>
  <si>
    <t>DI MOVEIS COMERCIO REPRESENTACOES E SERVICOS LTDA - ME.</t>
  </si>
  <si>
    <t>NOEMI ZANGRANDE - ME</t>
  </si>
  <si>
    <t>MOVELSHOP EQUIPAMENTOS PARA ESCRITORIOS LTDA - ME</t>
  </si>
  <si>
    <t>IONAJ COMERCIO DE DISCOS</t>
  </si>
  <si>
    <t>ANTONIO CARLOS RIBEIRO PERSIANAS - ME</t>
  </si>
  <si>
    <t>BONETTI COMERCIO DE MOVEIS LTDA ME.</t>
  </si>
  <si>
    <t>SENADO FEDERAL</t>
  </si>
  <si>
    <t>PRODASEN - CENTRO DE INFORMATICA E PROC. DADOS DO SENADO FEDERAL</t>
  </si>
  <si>
    <t>CENTRO GRAFICO DO SENADO FEDERAL</t>
  </si>
  <si>
    <t>SUPREMO TRIBUNAL FEDERAL</t>
  </si>
  <si>
    <t>TRANSP. RODOV. CRICIUMENSE</t>
  </si>
  <si>
    <t>COM REP DE MOVEIS VIMAK LTDA</t>
  </si>
  <si>
    <t>DOMINGOS RODRIGUES PINTURA0-ME</t>
  </si>
  <si>
    <t>JOSE IROZE MENDES DE MOURA JUNIOR E CIA LTDA</t>
  </si>
  <si>
    <t>CARLESSI ENGENHARIA COMÉRCIO E CONSTRUÇÕES LTDA</t>
  </si>
  <si>
    <t>IDETI - EVENTOS EM TECNOLOGIA DA INFORMAÇÃO</t>
  </si>
  <si>
    <t>CENTAURUS CONSTRUÇÕES E SERVIÇOS LTDA</t>
  </si>
  <si>
    <t>ROGECOR REPRESENTAÇÕES LTDA</t>
  </si>
  <si>
    <t>VIBHUTI COMÉRCIO LTDA</t>
  </si>
  <si>
    <t>EQUITRON EQUIPAMENTOS ELETRÔNICOS LTDA - ME</t>
  </si>
  <si>
    <t>INFOSHOP INFORMATICA LTDA</t>
  </si>
  <si>
    <t>IRINEU GERÔNIMO &amp; CIA LTDA - ME</t>
  </si>
  <si>
    <t>AUTO GIRO PEÇAS E ACESSÓRIOS LTDA.</t>
  </si>
  <si>
    <t>FREDERICO JOSÉ DE SOUZA FILHO - ME</t>
  </si>
  <si>
    <t>FRIMARCO REFRIGERAÇÃO LTDA - ME</t>
  </si>
  <si>
    <t>STEMAC S/A GRUPOS GERADORES</t>
  </si>
  <si>
    <t>LUCIANO ROSA ALUMITEC</t>
  </si>
  <si>
    <t>TECNOCOOP INFORM.COOP DE TRAB.DE ASSIST.TÉC. A EQUIP.PROC.DE DADOS LTD</t>
  </si>
  <si>
    <t>VIDROBOX COMÉRCIO DE VIDROS LTDA ME</t>
  </si>
  <si>
    <t>ELETRICA ASG LTDA - ME</t>
  </si>
  <si>
    <t>BRINDEMUS INDUSTRIA E COMERCIO LTDA</t>
  </si>
  <si>
    <t>TREINET - CURSOS E TREINAMENTOS LTDA</t>
  </si>
  <si>
    <t>ARAUJO &amp; VEIGA ARQUITETOS ASSOCIADOS LTDA</t>
  </si>
  <si>
    <t>MISAEL MACHADO - ME</t>
  </si>
  <si>
    <t>PDF BRASIL LTDA</t>
  </si>
  <si>
    <t>ASSOCIAÇÃO DOS MAGISTRADOS  DA JUSTIÇA DO TRABALHO DA 12ª REGIÃO</t>
  </si>
  <si>
    <t>GLOBAL EVENTOS LTDA</t>
  </si>
  <si>
    <t>FILCRIL COMERCIO DE ELETRONICA IMP. E EXP. LTDA</t>
  </si>
  <si>
    <t>KALUNGA COMERCIO E INDUSTRIA GRAFICA LTDA.</t>
  </si>
  <si>
    <t>CENTRO QUIMICO CAMPINAS IMPORTADORA LTDA</t>
  </si>
  <si>
    <t>CIA.BRAS. DISTRIB.(PAO ACUCAR)</t>
  </si>
  <si>
    <t>TICKET SERVICOS COMERCIO E ADMINISTRACAO S. A.</t>
  </si>
  <si>
    <t>N.G. RISSO E CIA LTDA</t>
  </si>
  <si>
    <t>MARIA TEREZA MENEGOTTO ME</t>
  </si>
  <si>
    <t>A &amp; C INFOR LTDA.</t>
  </si>
  <si>
    <t>DISTRIBUIDOR DE PRODUTOS NACIONAIS LTDA</t>
  </si>
  <si>
    <t>COBRA - COMPUTADORES E SISTEMAS BRASILEIROS S.A.</t>
  </si>
  <si>
    <t>COBRA COMPUTADORES S/A</t>
  </si>
  <si>
    <t>AMBIENT AIR AR CONDICINADO LTDA.</t>
  </si>
  <si>
    <t>COMPUTERWORLD DO BRASIL - SERV E PUBLICACOES LTDA</t>
  </si>
  <si>
    <t>HALEN-ELLIOT DO BRASIL IND. E COM. DE EQUIP. DE PRECISAO LTDA.</t>
  </si>
  <si>
    <t>IOB INFORMACOES OBJETIVAS PUBLICACOES JURIDICAS LTDA</t>
  </si>
  <si>
    <t>IOB -INFORMACOES OBJ. PUB. JURIDICAS LTD</t>
  </si>
  <si>
    <t>IPT  - INSTITUTO DE PESQUISAS TECNICAS PARLAMENTARES</t>
  </si>
  <si>
    <t>CATARINA QUADROS CORREA - ME.</t>
  </si>
  <si>
    <t>CORTINAS &amp; DECORACOES XENXERE LTDA ME</t>
  </si>
  <si>
    <t>TRIBUNAL REGIONAL DO TRABALHO DA 12ª REGIÃO</t>
  </si>
  <si>
    <t>ELAINE CRISTINA DE SOUZA</t>
  </si>
  <si>
    <t>CENTURY 21 COMERCIO E ASSESSORIA LTDA - ME</t>
  </si>
  <si>
    <t>DIARIOS OFICIAIS TRANS DIARIOS LTDA</t>
  </si>
  <si>
    <t>BELISKA-COMERCIO DE MAQ. LTDA</t>
  </si>
  <si>
    <t>GRUPO PELA VIDA</t>
  </si>
  <si>
    <t>WHITE MARTINS GASES INDUSTRIAIS S/A</t>
  </si>
  <si>
    <t>ISAIAS HUTTEL ME</t>
  </si>
  <si>
    <t>WEBBER WEBBER  &amp; CIA LTDA</t>
  </si>
  <si>
    <t>COMPUSOFTWERE INFORMATICA LTDA</t>
  </si>
  <si>
    <t>RIGORAN LACRES COMÉRCIO LTDA</t>
  </si>
  <si>
    <t>GRÁFICA E EDITORA SUL LTDA - ME</t>
  </si>
  <si>
    <t>ESCRITOLANDIA COMERCIO DE MOVEIS E EQUIPAMENTOS PARA ESCRITORIO LTDA</t>
  </si>
  <si>
    <t>INDUSTRIA DE ARTEFATOS DE PAPEL ANHANGUERA LTDA</t>
  </si>
  <si>
    <t>SUPRIPEL COMERCIAL LTDA</t>
  </si>
  <si>
    <t>TOP EVENTOS LTDA</t>
  </si>
  <si>
    <t>LUIZ FERNANDO BRINHOSA</t>
  </si>
  <si>
    <t>L.J. COMÉRCIO DE CONFECÇÕES E CALÇADOS LTDA-ME</t>
  </si>
  <si>
    <t>TELEMÚSICA CATARINENSE LTDA</t>
  </si>
  <si>
    <t>TEMPSUL ENGENHARIA LTDA - ME</t>
  </si>
  <si>
    <t>JACQUELINE KENER DOS SANTOS CIA LTDA-ME</t>
  </si>
  <si>
    <t>MECÂNICA BRUNS LTDA ME</t>
  </si>
  <si>
    <t>PONTO ELETRONICO COMERCIO DE COMPONENTES ELETRONICOS LTDA</t>
  </si>
  <si>
    <t>PREQUIP - COMERCIAL DE EQUIPAMENTOS EIRELI - EPP</t>
  </si>
  <si>
    <t>RADAELLI E CAUS LTDA</t>
  </si>
  <si>
    <t>JORNAL A NOTICIA LTDA</t>
  </si>
  <si>
    <t>INTERHOTEIS ADMINISTRADORA LTDA</t>
  </si>
  <si>
    <t>PERCONSUL PERSIANAS LTDA - ME</t>
  </si>
  <si>
    <t>MARLENE CRISTINA SOUTHIER GONÇALVES</t>
  </si>
  <si>
    <t>CONSTRUTORA NORTE VELHO LTDA.</t>
  </si>
  <si>
    <t>BOMPROJECT PROJETORES E SOM COMERCIAL LTDA.</t>
  </si>
  <si>
    <t>SECRETARIA MUNICIPAL DE AGUAS E SANEAMENTO DE LAGES - SEMASA</t>
  </si>
  <si>
    <t>CBES - COLEGIO BRASILEIRO DE ESTUDOS SISTEMICOS LTDA</t>
  </si>
  <si>
    <t>ALMEIDA E PEREIRA S/C LTDA</t>
  </si>
  <si>
    <t>VERA CRUZ VIDA E PREVIDÊNCIA S/A</t>
  </si>
  <si>
    <t>PREFEITURA MUNICIPAL DE CHAPECÓ</t>
  </si>
  <si>
    <t>SERVIÇO NACIONAL DE PRENDIZAGEM COMERCIAL - SENAC</t>
  </si>
  <si>
    <t>TAO - TALENTOS E ORGANIZAÇÕES DE CURSOS LTDA.</t>
  </si>
  <si>
    <t>DELTAMICRO COMPUTADORES E SISTEMAS LTDA. ME</t>
  </si>
  <si>
    <t>SECRETARIA DE ESTADO DA ADMINISTRAÇÃO</t>
  </si>
  <si>
    <t>ENGENSEG ENGENHARIA E SEGURANÇA DO TRABALHO LTDA.</t>
  </si>
  <si>
    <t>AM COMÉRCIO E SERVIÇOS DE INFORMÁTICA LTDA.</t>
  </si>
  <si>
    <t>LAVANDERIA SUL BRASIL LTDA.ME</t>
  </si>
  <si>
    <t>DORFMANN &amp; CAMINO ADVOGADOS ASSOCIADOS</t>
  </si>
  <si>
    <t>JOAQUIM DE SOUZA NETO ME</t>
  </si>
  <si>
    <t>INFORPAPER COMERCIAL DE FITAS E PAPÉIS LTDA</t>
  </si>
  <si>
    <t>ASSOCIAÇÃO DOS MAGISTRADOS DA JUSTIÇA DO TRABALHO DA 19ª REGIÃO</t>
  </si>
  <si>
    <t>INTERSUL S C LTDA</t>
  </si>
  <si>
    <t>MASIF ARTIGOS MÉDICOS E HOSPITALARES LTDA</t>
  </si>
  <si>
    <t>PRHODENT COMÉRCIO E REPRES. DE PRODUTOS HOSPITALAR E DENTÁRIOS LTDA</t>
  </si>
  <si>
    <t>INFOTRIZ SUPRIMENTOS E SERVIÇOS DE INFORMÁTICA LTDA</t>
  </si>
  <si>
    <t>ROGER PIRES PEREIRA - ME</t>
  </si>
  <si>
    <t>MARCELO LUIZ SPRICIGO - ME</t>
  </si>
  <si>
    <t>AMAPLAST COMERCIAL E REPRESENTACOES LTDA</t>
  </si>
  <si>
    <t>IMPRENSA OFICIAL DO ESTADO DE SANTA CATARINA</t>
  </si>
  <si>
    <t>PISEBEM COMÉRCIO E REPRESENTAÇÃO DE MATERIAISNDE CONSTRUÇÃO LTDA.</t>
  </si>
  <si>
    <t>HAAS SISTEMAS E TECNOLOGIA LTDA</t>
  </si>
  <si>
    <t>SERGIO BAROUKH - ME</t>
  </si>
  <si>
    <t>KOENTOPP  VEÍCULOS LTDA.</t>
  </si>
  <si>
    <t>BRASERVI CONSTRUÇÕES E MONTAGENS LTDA</t>
  </si>
  <si>
    <t>DIMENSÃO RECURSOS HUMANOS LTDA</t>
  </si>
  <si>
    <t>CARVIDROS VIDROS E ACESSORIOS LTDA</t>
  </si>
  <si>
    <t>DICARFLEX INDÚSTRIA E COMÉRCIO DE MÓVEIS PARA ESCRITÓRIO LTDA</t>
  </si>
  <si>
    <t>REUNIDAS TRANSPORTADORA RODOVIARIA DE CARGAS S/A</t>
  </si>
  <si>
    <t>DELTA CABLE TELEINFORMÁTICA COM. E REP. COMERCIAIS LTDA</t>
  </si>
  <si>
    <t>MJ IMPRENSA NACIONAL</t>
  </si>
  <si>
    <t>CASA DA SEGURANÇA LTDA</t>
  </si>
  <si>
    <t>NN ASSESSORIA DE EVENTOS S/C LTDA</t>
  </si>
  <si>
    <t>DISK DADOS COMERCIO LTDA</t>
  </si>
  <si>
    <t>GUARUJA ATACADISTA COMERCIO E REPRESENTACOES LTDA</t>
  </si>
  <si>
    <t>SUPERMERCADO LUZA LTDA</t>
  </si>
  <si>
    <t>JORNAL DO BRASIL S/A</t>
  </si>
  <si>
    <t>IBM DO BRASIL S/A</t>
  </si>
  <si>
    <t>ASSOCIACAO BRASILEIRA DE NORMAS TECNICAS</t>
  </si>
  <si>
    <t>SERRALHERIA ENI LTDA</t>
  </si>
  <si>
    <t>INDUSTRIA DE ARTEFATOS DE PAPEL IMPERIAL LTDA</t>
  </si>
  <si>
    <t>ABIA- ASSOC. BRASIL INTERDISC. DE AIDS</t>
  </si>
  <si>
    <t>PHILIPS TELECOMUNICACOES S/A</t>
  </si>
  <si>
    <t>SISTEMAS AVANCADOS DE TELEINFORMATICA S/A</t>
  </si>
  <si>
    <t>ABS EMPREENDIMENTOS IMOBILIARIOS, PARTICIP. E SERVICOS</t>
  </si>
  <si>
    <t>EDITORA TAMA LTDA</t>
  </si>
  <si>
    <t>APM - EDITORA LIVROS JURIDICOS LTDA</t>
  </si>
  <si>
    <t>INSTITUTO NACIONAL DO SEGURO SOCIAL</t>
  </si>
  <si>
    <t>TELEFITAS MATERIAIS DE ESCRITORIO LTDA.</t>
  </si>
  <si>
    <t>NEWCO DO BRASIL EQUIP. E SERVICOS LTDA</t>
  </si>
  <si>
    <t>KIWI INFORMATICA S/A</t>
  </si>
  <si>
    <t>RUF S.A. INFORMATICA E ORGANIZACAO</t>
  </si>
  <si>
    <t>INDUSTRIA DE DISTINTIVOS RANDAL LTDA</t>
  </si>
  <si>
    <t>IBF IND.BRASILEIRA DE FILMES S/A</t>
  </si>
  <si>
    <t>IBF - INDUSTRIA BRASILEIRA DE FILMES LTDA</t>
  </si>
  <si>
    <t>LIVRARIA KOSMOS EDITORA LTDA</t>
  </si>
  <si>
    <t>CONSTRUTEL PROJETOS E CONSERVACOES LTDA</t>
  </si>
  <si>
    <t>DATEC COMERCIO E INDUSTRIA LTDA</t>
  </si>
  <si>
    <t>FUNDACAO DOM CABRAL</t>
  </si>
  <si>
    <t>MINASGAS S/A DISTRIBUIDORA DE GAS E COMBUSTIVEIS</t>
  </si>
  <si>
    <t>BANDEBRAS IND. E COMERCIO LTDA</t>
  </si>
  <si>
    <t>ELETRO COMERCIAL SANTA RITA LTDA</t>
  </si>
  <si>
    <t>COMMUNIC ATUALIZAÇÃO EMPRESARIAL LTDA - ME</t>
  </si>
  <si>
    <t>POWER IMAGING PROCESSAMENTO DE DADOS E IMAGENS LTDA</t>
  </si>
  <si>
    <t>SUPRIMENTOS BLUMENAU LTDA ME</t>
  </si>
  <si>
    <t>PAPEIS CARTUM LTDA</t>
  </si>
  <si>
    <t>PONTO UM COMÉRCIO DE VEÍCULOS LTDA.</t>
  </si>
  <si>
    <t>METAL INDÚSTRIA E COMÉRCIO DE ALUMÍNIO LTDA.</t>
  </si>
  <si>
    <t>RSH COMÉRCIO E REPRESENTAÇÕES LTDA - ME</t>
  </si>
  <si>
    <t>PORTOZELO ATACADISTA LTDA</t>
  </si>
  <si>
    <t>ENTHEUSIASMOS CONSULTORIA EM TALENTOS HUMANOS  LTDA</t>
  </si>
  <si>
    <t>CETRA - CENTRO DE ESTUDOS DO TRABALHO LTDA</t>
  </si>
  <si>
    <t>SOCIEDADE BRASILEIRA DE PERICIAS MÉDICAS</t>
  </si>
  <si>
    <t>ASSOCIAÇÃO MÉDICA DO RIO GRANDE DO SUL</t>
  </si>
  <si>
    <t>SERRALHERIA DL LTDA - ME</t>
  </si>
  <si>
    <t>C.A. JULIO CONSULTORIA EMPRESARIAL S/C LTDA</t>
  </si>
  <si>
    <t>JOÃO BATISTA FRANCISCO &amp; CIA LTDA</t>
  </si>
  <si>
    <t>SERV MAX SERVIÇOS E REPRESENTAÇÕES LTDA</t>
  </si>
  <si>
    <t>ARTCORES COMERCIO E CONSTRUÇÃO LTDA</t>
  </si>
  <si>
    <t>CMC COMERCIO DE EXTINTORES DE INCENDIO LTDA</t>
  </si>
  <si>
    <t>SOCIEDADE EDUCACIONAL DE SANTA CATARINA</t>
  </si>
  <si>
    <t>FUNDAÇÃO INSTITUTO TÉCNICO DE EDUCAÇÃO FÍSICA</t>
  </si>
  <si>
    <t>ULTRAPISO INDÚSTRIA, COMÉRCIO, IMPORTAÇÃO EXPORTAÇÃO DE PISOS E REVESTIMENTOS LTDA.</t>
  </si>
  <si>
    <t>CHTEL TELECOMUNICAÇÕES LTDA.</t>
  </si>
  <si>
    <t>LABORATÓRIO MÉDICO SANTA LUZIA S/S</t>
  </si>
  <si>
    <t>SHV GAS BRASIL LTDA.</t>
  </si>
  <si>
    <t>TREINE TREINAMENTOS E NEGÓCIOS LTDA. - EPP</t>
  </si>
  <si>
    <t>CIÊNCIA - LABORATÓRIO MÉDICO S/S LTDA.</t>
  </si>
  <si>
    <t>CICLO ESPORTE MANIA LTDA. EPP</t>
  </si>
  <si>
    <t>AGÊNCIA NACIONAL DE TELECOMUNICAÇÕES</t>
  </si>
  <si>
    <t>ANLUPLAST COMÉRCIO ATACADISTA DE RESÍDUOS LTDA. ME</t>
  </si>
  <si>
    <t>ASSOCIAÇÃO SOFTWARE LIVRE.ORG</t>
  </si>
  <si>
    <t>RACIONAL CONSULTORIA E PLANEJAMENTO DE PESSOAL LTDA.</t>
  </si>
  <si>
    <t>BMS EDITORA LTDA. EPP</t>
  </si>
  <si>
    <t>ROSA MASSOTI TURISMO E INTERCÂMBIO LTDA.</t>
  </si>
  <si>
    <t>BP S/A</t>
  </si>
  <si>
    <t>LEADERCOMP PAPEIS GRAFICOS LTDA</t>
  </si>
  <si>
    <t>AUDIOPREV - AUDIOMETRIA E CONSERVACAO AUDITIVA S/S</t>
  </si>
  <si>
    <t>HOTELARIA ACCOR BRASIL S.A.</t>
  </si>
  <si>
    <t>PD CASE INFORMÁTICA LTDA.</t>
  </si>
  <si>
    <t>VALDECIR LUIZ GASPERIN - ME</t>
  </si>
  <si>
    <t>OURO PRETO MINERAÇÃO LTDA</t>
  </si>
  <si>
    <t>STYLE SERVIÇOS ESPECIALIZADOS LTDA</t>
  </si>
  <si>
    <t>MÓDULO SERVIÇOS DE INFORMÁTICA LTDA.</t>
  </si>
  <si>
    <t>CIAPEL COMPANHIA INDUSTRIAL E COMERCIAL DE ARTEFATOS DE PAPEL LTDA.</t>
  </si>
  <si>
    <t>MARIA DO MAR HOTEL E IND. DE ALIMENTOS LTDA.</t>
  </si>
  <si>
    <t>PRODIMAGE TECNOLOGIA EM DOCUMENTAÇÃO DIGITAL LTDA. EPP</t>
  </si>
  <si>
    <t>TRANSPORTADORA BINOTTO S.A.</t>
  </si>
  <si>
    <t>SADENCO SUL-AMERICANA DE ENGENHARIA E COMERCIO LTDA.</t>
  </si>
  <si>
    <t>CLIMA PEÇAS CLIMATIZAÇÃO LTDA</t>
  </si>
  <si>
    <t>MAURO JOSÉ SOLIGO - ME</t>
  </si>
  <si>
    <t>DATAVOX TELEINFORMATICA LTDA.</t>
  </si>
  <si>
    <t>LUIZ HONÓRIO DE CASTRO COLVARA - ME</t>
  </si>
  <si>
    <t>EDIÇÕES CIÊNCIA JURÍDICA LTDA.</t>
  </si>
  <si>
    <t>NOSSA LOJA COMÉRCIO E REPRESENTAÇÃO LTDA.</t>
  </si>
  <si>
    <t>FORMATTO ENGENHARIA LTDA.</t>
  </si>
  <si>
    <t>PRIME LASER INFORMÁTICA LTDA.</t>
  </si>
  <si>
    <t>CONCRETIL CONSTRUÇÕES LTDA.</t>
  </si>
  <si>
    <t>ASSOCIAÇÃO DE CRIMINALISTICA DO RIO GRANDE DO SUL</t>
  </si>
  <si>
    <t>ORLEANS INFORMÁTICA LTDA. - EPP</t>
  </si>
  <si>
    <t>PSI TECNOLOGIA LTDA</t>
  </si>
  <si>
    <t>TERRÃO COMÉRCIO E REPRESENTAÇÕES LTDA.</t>
  </si>
  <si>
    <t>DISTRIBUIDORA ACTUAL LTDA. ME</t>
  </si>
  <si>
    <t>RUDINEIA MORAES DA ROSA ME</t>
  </si>
  <si>
    <t>ROUSSENQ &amp; AMARAL LTDA.</t>
  </si>
  <si>
    <t>SANEPAR - COMPANHIA DE SANEAMENTO DO PARANÁ</t>
  </si>
  <si>
    <t>REFRIGERAÇÃO GRACZCKI LTDA EPP</t>
  </si>
  <si>
    <t>G.BIM COMERCIO E DISTRIBUICAO DE MOVEIS PARA ESCRITORIO LTDA EPP</t>
  </si>
  <si>
    <t>RIBEIRO S A COMERCIO DE PNEUS</t>
  </si>
  <si>
    <t>SOCIEDADE BRASILEIRA DE CIRURGIA DE CABECA E PESCOCO</t>
  </si>
  <si>
    <t>SAO BENTO DO SUL 1º OFICIO DO REGISTRO DE IMOVEIS</t>
  </si>
  <si>
    <t>TELEWORLD EQUIPAMENTOS E SERVIÇOS LTDA</t>
  </si>
  <si>
    <t>DIMENSÃO ENGENHARIA LTDA.</t>
  </si>
  <si>
    <t>INSTITUTO NACIONAL DE EDUCAÇÃO CETRO - INEC</t>
  </si>
  <si>
    <t>QUADRISOM COMERCIO DE EQUIPAMENTOS FOTOGRAFICOS LTDA.</t>
  </si>
  <si>
    <t>VM CONTROLE DE PRAGAS LTDA</t>
  </si>
  <si>
    <t>MÓVEIS BALTHAZAR LTDA.</t>
  </si>
  <si>
    <t>APAG PRODUTOS E SERVICOS LTDA</t>
  </si>
  <si>
    <t>FABIO KAHL COMÉRCIO E ASSISTÊNCIA TÉCNICA DE EQUIP. ODONTOLÓGICOS LTDA-ME</t>
  </si>
  <si>
    <t>BRASFISIO COM. DE EQUIPAMENTOS FISIOTERAPUTICO LTDA</t>
  </si>
  <si>
    <t>ILHA MAIS INFORMATICA LTDA - EPP</t>
  </si>
  <si>
    <t>REITZ COMÉRCIO DE EQUIPAMENTOS CONTRA INCÊNDIO LTDA ME</t>
  </si>
  <si>
    <t>JORGE &amp; GARCIA ENGENHARIA LTDA.</t>
  </si>
  <si>
    <t>RBS - ZERO HORA EDITORA JORNALÍSTICA S.A.</t>
  </si>
  <si>
    <t>ZIM TECHNOLOGIES DO BRASIL LTDA.</t>
  </si>
  <si>
    <t>GRBS -  COMERCIO E ASSESSORIA EM INFORMÁTICA</t>
  </si>
  <si>
    <t>G. T. M. COMERCIO DE EQUIPAMENTOS E SUPRIMENTOS LTDA ME</t>
  </si>
  <si>
    <t>ARTEPASTA INDUSTRIA E COMERCIO LTDA</t>
  </si>
  <si>
    <t>GIMBA SUPRIMENTOS DE ESCRITÓRIO E INFORMÁTICA LTDA</t>
  </si>
  <si>
    <t>PERFAB ALUMINIO LTDA EPP</t>
  </si>
  <si>
    <t>COMERCIAL DE  DERIVADOS  DE PETRÓLEO HUMAITÁ LTDA</t>
  </si>
  <si>
    <t>AAC AR CONDICIONADO LTDA.</t>
  </si>
  <si>
    <t>C.S.L COMERCIAL LTDA</t>
  </si>
  <si>
    <t>TECTEL INDÚSTRIA E COMÉRCIO LTDA.</t>
  </si>
  <si>
    <t>DELTACOMP COMÉRCIO E SERVIÇO DE INFORMÁTICA LTDA. ME</t>
  </si>
  <si>
    <t>AUTO POSTO IGUAÇU LTDA.</t>
  </si>
  <si>
    <t>TEREZINHA MARIA PAVEI ZANETTE ME</t>
  </si>
  <si>
    <t>EDITORA CONCEITO EDITORIAL LTDA - ME</t>
  </si>
  <si>
    <t>OSVALDO DECORAÇÕES LTDA ME</t>
  </si>
  <si>
    <t>ENVELOPRINT INDUSTRIA DE ENVELOPES LTDA</t>
  </si>
  <si>
    <t>DE PAULA &amp; DE PAULA COM. DE EQUIP. E SERVIÇOS GRÁFICOS LTDA - ME</t>
  </si>
  <si>
    <t>SCHARNOVEBER PERSIANAS LTDA ME</t>
  </si>
  <si>
    <t>PEEK M´DIA LTDA ME</t>
  </si>
  <si>
    <t>ADELVO BASQUERA</t>
  </si>
  <si>
    <t>SPEED VÍDEO PRODUÇÕES LTDA</t>
  </si>
  <si>
    <t>CIALUX - DISTRIBUIDORA E COMERCIO DE MATERIAIS ELETRICO E HIDRAULICO LTDA.</t>
  </si>
  <si>
    <t>CESTA IMPERIAL COMÉRCIO DE ALIMENTOS LTDA.</t>
  </si>
  <si>
    <t>PRIMUS ENGENHARIA LTDA.</t>
  </si>
  <si>
    <t>CASA DAS CHAVES KOBRASOL LTDA</t>
  </si>
  <si>
    <t>IDEAL MÓVEIS E ALUMÍNIO LTDA EPP</t>
  </si>
  <si>
    <t>ENGEDIX SOLUÇÕES DE ENHENHARIA LTDA.</t>
  </si>
  <si>
    <t>ACADEMIA DE DESENVOLVIMENTO PROFISSIONAL E ORGANIZACIONAL LTDA.</t>
  </si>
  <si>
    <t>PONTUAL COMERCIO E DISTRIBUICAO DE ACESSORIOS PARA AUTOMOVEIS LTDA ME</t>
  </si>
  <si>
    <t>G. Z. EDITORA E PROMOTORA DE EVENTOS LTDA</t>
  </si>
  <si>
    <t>MUNDUS NOVUS INDÚSTRIA E COMÉRCIO DE MÓVEIS LTDA.</t>
  </si>
  <si>
    <t>EDITORA MAGISTER S.A.</t>
  </si>
  <si>
    <t>CORPO DE BOMBEIROS MILITAR DO ESTADO DE SANTA CATARINA</t>
  </si>
  <si>
    <t>MAX PAPER COMERCIAL E DISTRIBUIDORA LTDA.</t>
  </si>
  <si>
    <t>TRIÂNGULO EQUIPAMENTOS DE SEGURANÇA LTDA.</t>
  </si>
  <si>
    <t>CLAIR PIAZZA DA ROSA</t>
  </si>
  <si>
    <t>MASTERMIX - ATACADO DE PRODUTOS PARA PAPELARIA, ESCRITÓRIO E INFORMÁTICA LTDA. - ME</t>
  </si>
  <si>
    <t>CASA DAS TRADICOES ODORIZZI LTDA ME</t>
  </si>
  <si>
    <t>VOX COMERCIO DE AUTOMOVEIS LTDA</t>
  </si>
  <si>
    <t>FAMOVESC INDÚSTRIA E COMÉRCIO DE MÓVEIS E ESTOFADOS LTDA. ME</t>
  </si>
  <si>
    <t>IMPERCOM IMPERMEABILIZAÇÕES LTDA.</t>
  </si>
  <si>
    <t>CASA DAS TORTAS LTDA</t>
  </si>
  <si>
    <t>AUTO LOCADORA DE VEICULOS ANTIGOS E COLCHOARIA GONZAGA LTDA ME</t>
  </si>
  <si>
    <t>ILSON PFLEGER &amp; CIA LTDA</t>
  </si>
  <si>
    <t>ONLY-SHOP - COMÉRCIO DE MATERIAIS LTDA</t>
  </si>
  <si>
    <t>CONSTRUTORA CB LTDA</t>
  </si>
  <si>
    <t>CRISTAL SERVIÇOS DE CONSERVAÇÃO E LIMPEZA LTDA.</t>
  </si>
  <si>
    <t>TINTAS ROCHA LTDA</t>
  </si>
  <si>
    <t>MABONI - PROMOÇÕES EVENTOS E TURISMO LTDA</t>
  </si>
  <si>
    <t>VERA LUCIA REIS STEIN - ME</t>
  </si>
  <si>
    <t>FUNDAÇÃO UNIVERSA</t>
  </si>
  <si>
    <t>BYP-CLEAN, COMERCIO, EXPORTACAO, IMPORTACAO LTDA</t>
  </si>
  <si>
    <t>MICROSENS LTDA.</t>
  </si>
  <si>
    <t>KOBRASOL FOTOGRAFIAS LTDA ME</t>
  </si>
  <si>
    <t>SANEPLAN SANEAMENTO PLANALTO LTDA.</t>
  </si>
  <si>
    <t>VINYLICA IMPORTAÇÃO E EXPORTAÇÃO DE PRODUTOS LTDA.</t>
  </si>
  <si>
    <t>RIVIERA CONSTRUTORA E INCORPORADORA LTDA</t>
  </si>
  <si>
    <t>PAPELARIA PROGRESSO LTDA.</t>
  </si>
  <si>
    <t>JOSE SERRA COM. FERRAG LTDA</t>
  </si>
  <si>
    <t>CONPANHIA DE SEGUROS MONARCA</t>
  </si>
  <si>
    <t>FORMULARIOS CONTINUOS CONTINAC S/A</t>
  </si>
  <si>
    <t>VEREDA CONFECÇÕES LTDA - ME</t>
  </si>
  <si>
    <t>MARIA INEZ DE AZAMBUJA BUBA</t>
  </si>
  <si>
    <t>CLÍNICA CARDIOSPORT DE PREVENÇÃO E REABILITAÇÃO S/C LTDA</t>
  </si>
  <si>
    <t>COPAPEL COMERCIO E REPRESENTAÇÕES DE PAPEL LTDA</t>
  </si>
  <si>
    <t>INSTITUTO NACIONAL DE QUALIDADE JUDICIÁRIA</t>
  </si>
  <si>
    <t>NEW ECONOMY CONHECIMENTO E INFORMAÇÃO LTDA</t>
  </si>
  <si>
    <t>SUN FILM PELICULAS LTDA ME</t>
  </si>
  <si>
    <t>SPLIT SUL E REPARAÇÃO MANUT. DE MÁQ. E DE APARELHOS ELET. LTDA ME</t>
  </si>
  <si>
    <t>ASSOCIAÇÃO BRASILEIRA DE TREINAMENTO E DESENVOLVIMENTO DO ESTADO DE SP</t>
  </si>
  <si>
    <t>FUNDAÇÃO DE APOIO À EDUCAÇÃO, PESQUISA E EXTENSÃO DA UNISUL</t>
  </si>
  <si>
    <t>INTEGRAÇÃO CONSULTORIA E TREINAMENTO LTDA</t>
  </si>
  <si>
    <t>OMEGA EVENTOS E PROMOÇÕES LTDA</t>
  </si>
  <si>
    <t>FAX POINT INDUSTRIA IMPORTAÇÃO EXPORTAÇÃO LTDA</t>
  </si>
  <si>
    <t>VIABILIZAÇÃO DE TALENTOS HUMANOS S/C LTDA</t>
  </si>
  <si>
    <t>ORIGINAL INTERNET DESIGN PUBLICIDADE E PROPAGANDA LTDA</t>
  </si>
  <si>
    <t>LABATE PAPEIS MÁQUINAS E SUPRIMENTOS LTDA.</t>
  </si>
  <si>
    <t>LCP IMPRESSORAS E SUPRIMENTOS LTDA. ME</t>
  </si>
  <si>
    <t>MECANOGRÁFICA &amp; LASER LTDA</t>
  </si>
  <si>
    <t>PLANETA COMERCIAL LTDA.</t>
  </si>
  <si>
    <t>COMPANHIA DE SEGUROS MINAS BRASIL</t>
  </si>
  <si>
    <t>EDIO HOFFMANN ME</t>
  </si>
  <si>
    <t>CONSTRUTORA NEVES E GOULART LTDA.</t>
  </si>
  <si>
    <t>AJL CLIMATIZAÇÃO LTDA.</t>
  </si>
  <si>
    <t>REGLY &amp; REGLY COMERCIO DE PRODUTOS DE LIMPEZA E ALIMENTICIOS LTDA- EPP</t>
  </si>
  <si>
    <t>SEPAT MULTI SERVICE LTDA</t>
  </si>
  <si>
    <t>DIVITEX COMERCIO DE DIVISORIAS E FORROS LTDA - ME</t>
  </si>
  <si>
    <t>MULTDENTAL COMÉRCIO E ASSIST. DE EQUIP. MÉDICOS E ODONTOLOGICOS LTDA</t>
  </si>
  <si>
    <t>FUNCIONAL FISIOTERAPIA REABILITAÇÃO E CONDICIONAMENTO FÍSICO LTDA</t>
  </si>
  <si>
    <t>FELLETI CAR COMÉRCIO E COLOCAÇÃO DE PELÍCULAS DE CONTR. SOLAR LTDA ME</t>
  </si>
  <si>
    <t>GNATUS EQUIPAMENTOS MÉDICO-ODONTOLÓGICOS LTDA</t>
  </si>
  <si>
    <t>COMPANHIA AGUAS DE JOINVILLE</t>
  </si>
  <si>
    <t>OLIMED MATERIAL HOSPITALAR LTDA</t>
  </si>
  <si>
    <t>SAMIR GOMES ELIAS</t>
  </si>
  <si>
    <t>DISTRIBUIDORA PADRÃO LTDA - EPP</t>
  </si>
  <si>
    <t>TWISTER COMÉRCIO DE EQUIPAMENTOS LTDA</t>
  </si>
  <si>
    <t>FUNDAÇÃO UNIVERSIDADE DE CAXIAS DO SUL</t>
  </si>
  <si>
    <t>TAFFAREL &amp; PEDRINI LTDA</t>
  </si>
  <si>
    <t>GUSTAVO BUZZATTI PACHECO</t>
  </si>
  <si>
    <t>CENTRO DE INFORMATICA BARRIGA VERDE LTDA</t>
  </si>
  <si>
    <t>FUNDAÇÃO PARA A PESQUISA AMBIENTAL</t>
  </si>
  <si>
    <t>LAYOUT CENTER LTDA</t>
  </si>
  <si>
    <t>MRG RECRUTAMENTO E SELEÇÃO LTDA</t>
  </si>
  <si>
    <t>CENTRO DAS INDÚSTRIAS DO ESTADO DE SANTA CATARINA</t>
  </si>
  <si>
    <t>CEOF CENTRO ONCOLOGICO DE FLORIANOPOLIS SC LTDA</t>
  </si>
  <si>
    <t>WOLNEY ANDERSON ISIDORO</t>
  </si>
  <si>
    <t>RBS ZERO HORA EDITORA JORNALÍSTICA S. A.</t>
  </si>
  <si>
    <t>L.L. BERLANDA LTDA.</t>
  </si>
  <si>
    <t>MARTINI &amp; SILVA SERVIÇOS LTDA</t>
  </si>
  <si>
    <t>EDGARD CAMARGO FILHO ME</t>
  </si>
  <si>
    <t>TRADE MEDICAL COMERCIO DE MATERIAIS HOSPITALARES LTDA ME</t>
  </si>
  <si>
    <t>TOPOSOLO ENGENHARIA E TOPOGRAFIA S/S</t>
  </si>
  <si>
    <t>LUIS ROBERTO BARROSO E ASSOCIADOS- ESCRITORIO DE ADVOCACIA</t>
  </si>
  <si>
    <t>PH MIDIA INFORMATICA LTDA ME</t>
  </si>
  <si>
    <t>ART&amp;STAMPA FOTO CERAMICA LTDA</t>
  </si>
  <si>
    <t>ARPA COMERCIO DE LOUÇAS LTDA - ME</t>
  </si>
  <si>
    <t>PICOLLO INDUSTRIA E COMERCIO DE CORTINAS LTDA - ME</t>
  </si>
  <si>
    <t>BRUSBOX COM E INSTALAÇÃO DE VIDROS CRISTAIS TEMPERADOS</t>
  </si>
  <si>
    <t>VIGA NETSTORE LTDA. EPP</t>
  </si>
  <si>
    <t>MD ENGENHARIA LTDA.</t>
  </si>
  <si>
    <t>BARROS FABRICAÇÃO E MANUTENÇÃO DE MAQUINAS LTDA</t>
  </si>
  <si>
    <t>RECICLEIDE PRODUÇÕES ARTISTICAS LTDA</t>
  </si>
  <si>
    <t>DANISART MÓVEIS PARA ESCRITÓRIO LTDA</t>
  </si>
  <si>
    <t>ASSOCIAÇÃO BRASILEIRA DE EDUCAÇÃO A DISTANCIA  ABED</t>
  </si>
  <si>
    <t>MARIO MÓVEIS LTDA EPP</t>
  </si>
  <si>
    <t>NATIONWIDE MARÍTIMA VIDA PREVIDÊNCIA S/A</t>
  </si>
  <si>
    <t>PAULO DA SILVA DUARTE EXTINTORES ME</t>
  </si>
  <si>
    <t>RBS ZERO HORA EDITORA JORNALÍSTICA SA</t>
  </si>
  <si>
    <t>SENAC SERVIÇO NACIONAL DE APRENDIZAGEM  COMERCIAL</t>
  </si>
  <si>
    <t>HERBERT MATERIAIS PARA CONSTRUÇÃO LTDA</t>
  </si>
  <si>
    <t>COMPWIRE INFORMÁTICA LTDA</t>
  </si>
  <si>
    <t>IDELFONSO PEDRO PINTO - ME</t>
  </si>
  <si>
    <t>PIZOLATTO - BRUSTOLIN MADEIRAS LTDA - ME</t>
  </si>
  <si>
    <t>MCR SERVIÇOS TÉCNICOS ESPECIALIZADOS LTDA - ME</t>
  </si>
  <si>
    <t>MADEIRAS LEMONJE LTDA - ME</t>
  </si>
  <si>
    <t>IRMÃOS CANDEMIL</t>
  </si>
  <si>
    <t>IRAMA MATERIAIS PARA CONSTRUÇÃO LTDA</t>
  </si>
  <si>
    <t>EMPRESA AUTO VIACAO PAULO LOPES LTDA</t>
  </si>
  <si>
    <t>DISKPAR LOGÍSTICA E AUTOMAÇÃO LTDA</t>
  </si>
  <si>
    <t>ELMO PAPELARIA LTDA - ME</t>
  </si>
  <si>
    <t>SPUR COMÉRCIO IMPORTAÇÃO E EXPORTAÇÃO LTDA</t>
  </si>
  <si>
    <t>JEAN PIERRE FOZ - FI</t>
  </si>
  <si>
    <t>JS &amp; FILHOS LTDA</t>
  </si>
  <si>
    <t>CARLOS ALBERTO MARQUES MACHADO EPP</t>
  </si>
  <si>
    <t>KOERICH INFORMATICA LTDA</t>
  </si>
  <si>
    <t>W J SERVIÇOS DE INFORMÁTICA LTDA</t>
  </si>
  <si>
    <t>ODETE CONRAT</t>
  </si>
  <si>
    <t>FLAMA CONSTRUÇÕES E SERVIÇOS LTDA.</t>
  </si>
  <si>
    <t>ZIG FILMES LTDA.</t>
  </si>
  <si>
    <t>ALUSUL ESQUADRIAS LTDA ME</t>
  </si>
  <si>
    <t>OTT CONSTRUÇÕES E INCORPORAÇÕES LTDA.</t>
  </si>
  <si>
    <t>ADRIANA COMELLI ALVES ME</t>
  </si>
  <si>
    <t>HITACHI AR CONDICIONADO DO BRASIL LTDA.</t>
  </si>
  <si>
    <t>M.G.M. CONSTRUÇÕES LTDA</t>
  </si>
  <si>
    <t>UNIVERSAL INFORMATICA LTDA</t>
  </si>
  <si>
    <t>Z.ZANETTI  &amp; CIA. LTDA</t>
  </si>
  <si>
    <t>UNIÃO SUL BRASILEIRA DA IGREJAADVENTISTA DO 7 DIA</t>
  </si>
  <si>
    <t>MARUMBI TECNOLOGIA LTDA ME</t>
  </si>
  <si>
    <t>LUIZ FERNANDES ACHAR-ME</t>
  </si>
  <si>
    <t>PAFER COMERCIAL LTDA</t>
  </si>
  <si>
    <t>REPATRI COMÉRCIO DE FERRAMENTAS LTDA</t>
  </si>
  <si>
    <t>BRASIL FASHION COMÉRCIO E LOCAÇÃO LTDA.</t>
  </si>
  <si>
    <t>AQUARIO COMERCIO DE EQUIPAMENTOS LTDA ME</t>
  </si>
  <si>
    <t>ATACADO FLORIPA LTDA EPP</t>
  </si>
  <si>
    <t>UNIÃO SUL BRASILEIRA DA IGREJA ADVENTISTA DO 7 DIA</t>
  </si>
  <si>
    <t>GEAP - FUNDAÇÃO DE SEGURIDADE SOCIAL</t>
  </si>
  <si>
    <t>ATAKA BRASIL PAPELARIA LTDA</t>
  </si>
  <si>
    <t>DICAPEL PAPÉIS E EMBALAGENS LTDA</t>
  </si>
  <si>
    <t>ESTOQUE COMERCIAL LTDA - EPP</t>
  </si>
  <si>
    <t>PAULO ROBERTO NHOATO - ME</t>
  </si>
  <si>
    <t>ESCOLA DE ADMINISTRAÇÃO FAZENDÁRIA</t>
  </si>
  <si>
    <t>NOSSAEQUIPE ORGANIZAÇÃO DE CONGRESSOS LTDA</t>
  </si>
  <si>
    <t>ODONTO PRÓTESE COMERCIAL LTDA</t>
  </si>
  <si>
    <t>FABRICA DE MOVEIS BENEDET LTDA ME</t>
  </si>
  <si>
    <t>ILHA DA MAGIA SOLUÇÕES DE INTERNET LTDA</t>
  </si>
  <si>
    <t>VÊNETO COMÉRCIO E REPRESENTAÇÕES LTDA.</t>
  </si>
  <si>
    <t>NUMBER ONE IMPERMEABILIZAÇÃO E LAVANDERIAS LTDA ME</t>
  </si>
  <si>
    <t>CONTROLLER COMÉRCIO E SERVIÇOS LTDA.</t>
  </si>
  <si>
    <t>ARTE MÁXIMA INDÚSTRIA E COMÉRCIO LTDA-ME</t>
  </si>
  <si>
    <t>MIKLOS MODAS LTDA</t>
  </si>
  <si>
    <t>M. B. EVENTOS LTDA</t>
  </si>
  <si>
    <t>RACINE COMERCIAL LTDA.</t>
  </si>
  <si>
    <t>ROSA E FILHOS LTDA - ME</t>
  </si>
  <si>
    <t>DICEL INDUSTRIA DE ESQUADRIAS LTDA - ME</t>
  </si>
  <si>
    <t>LÚCIO FLÁVIO NIESPODJINSKI - ME</t>
  </si>
  <si>
    <t>COMPUTER ASSOCIATES DO BRASIL LTDA</t>
  </si>
  <si>
    <t>LIGHTVIEW SERVIÇOS E LOCAÇÕES S/C LTDA</t>
  </si>
  <si>
    <t>INSTITUTO BRASILIENSE DE ENSINO E PESQUISA S/C</t>
  </si>
  <si>
    <t>WEROLLI INDÚSTRIA E COMÉRCIO DE MÓVEIS LTDA</t>
  </si>
  <si>
    <t>IESE - INSTITUTO DE ESTUDOS EMPRESARIAIS LTDA</t>
  </si>
  <si>
    <t>SUPERPEÇAS COMÉRCIO DE PEÇAS LTDA ME.</t>
  </si>
  <si>
    <t>VENDRAME CONSULTORES ASSOCIADAOS LTDA.</t>
  </si>
  <si>
    <t>SEGUR SERVIÇOS LTDA.</t>
  </si>
  <si>
    <t>SEGURIDADE SERVIÇOS DE SEGURANÇA LTDA.</t>
  </si>
  <si>
    <t>REFRIGERAÇÃO MANCHESTER LTDA.</t>
  </si>
  <si>
    <t>DECAR PEÇAS E ACESSORIOS LTDA.</t>
  </si>
  <si>
    <t>CLIMA SERVICE REFRIGERAÇÃO LTDA ME</t>
  </si>
  <si>
    <t>TEEK EQUIPAMENTOS E SERVIÇOS LTDA.</t>
  </si>
  <si>
    <t>PEDRO MANOEL FILHO COMÉRCIO ME</t>
  </si>
  <si>
    <t>ARG COMÉRCIO DE PNEUS LTDA.  - ME</t>
  </si>
  <si>
    <t>COMERCIAL DE TINTAS MARTINS LTDA.</t>
  </si>
  <si>
    <t>ALEX PATO HOFFMANN</t>
  </si>
  <si>
    <t>MARILÉLIA FELISBINO - ME</t>
  </si>
  <si>
    <t>COMÉRCIO DE EXTINTORES SANTA FÉ LDTA. - ME</t>
  </si>
  <si>
    <t>LAITANO COMERCIO DE PAPELARIA LTDA.</t>
  </si>
  <si>
    <t>OSMILDA MOREIRA TABOAS ME</t>
  </si>
  <si>
    <t>G.H.S. INFORMÁTICA LTDA.</t>
  </si>
  <si>
    <t>PROTEÇÃO PUBLICAÇÕES LTDA.</t>
  </si>
  <si>
    <t>COPROPEL PAPELARIA E GRÁFICA LTDA. - ME</t>
  </si>
  <si>
    <t>ELIANA FARINA BEIRA ME</t>
  </si>
  <si>
    <t>UNICÓPIAS LIVROS E PAPÉIS LTDA.</t>
  </si>
  <si>
    <t>LACERDA SISTEMAS DE ENERGIA LTDA</t>
  </si>
  <si>
    <t>DEVELOPMENT CONSULTORIA E NEGÓCIOS LTDA.</t>
  </si>
  <si>
    <t>ASSOCIAÇÃO DOS PERITOS EM CRIMINALÍSTICA DE GOIÁS</t>
  </si>
  <si>
    <t>DIS BRASIL CONSULTORIA E PROJETOS LTDA.</t>
  </si>
  <si>
    <t>EFICAZ CONTROLE AMBIENTAL DE PRAGAS LTDA ME</t>
  </si>
  <si>
    <t>ÊXODO COMÉRCIO DE INSTRUMENTOS MUSICAIS LTDA. ME</t>
  </si>
  <si>
    <t>WINPARTS COMÉRCIO, INDÚSTRIA, IMPORTAÇÃO E  EXPORTAÇÃO LTDA</t>
  </si>
  <si>
    <t>CANADENSE LIMPEZA E CONSERVAÇÃO LTDA</t>
  </si>
  <si>
    <t>TECNET TELEINFORMATICA LTDA</t>
  </si>
  <si>
    <t>FORMULÁRIOS PILOTO LTDA</t>
  </si>
  <si>
    <t>A.C.L. TELECOMUNICAÇÕES LTDA - ME</t>
  </si>
  <si>
    <t>ANTINSECT DESINSETIZADORA LTDA</t>
  </si>
  <si>
    <t>CONFORTOMED COM. DE EQUIPAMENTOS MEDICOS E ORTOPEDICOS LTDA - ME</t>
  </si>
  <si>
    <t>OTHÍLIA ROSSETI DE BITENCOURT - ME</t>
  </si>
  <si>
    <t>DISLAB PRODUTOS HOSPITALARES E DIAGNOSTICOS LTDA</t>
  </si>
  <si>
    <t>FACIL INFORMATICA LTDA</t>
  </si>
  <si>
    <t>SAUBERTAG DO BRASIL LTDA</t>
  </si>
  <si>
    <t>SUPRISTAR COMERCIAL LTDA</t>
  </si>
  <si>
    <t>DOC FILM SERVIÇOS S/C LTDA</t>
  </si>
  <si>
    <t>IOB - INFORMAÇÕES OBJETIVAS E PUBLICAÇÕES JURÍDICAS LTDA</t>
  </si>
  <si>
    <t>HELENA BECKE MACHADO FRETTA GALERIA DE ARTE LTDA-ME</t>
  </si>
  <si>
    <t>MAXIMILLIAN HERBERT FRANKE - ME</t>
  </si>
  <si>
    <t>AEA ACADEMIA DE ENGENHARIA E ARQUITETURA LTDA ME</t>
  </si>
  <si>
    <t>AMG COMERCIO E CONFECÇOES LTDA ME</t>
  </si>
  <si>
    <t>ADRENAILHA COMERCIO E SERVICOS EM AVENTURAS LTDA ME</t>
  </si>
  <si>
    <t>POSITIVO INFORMÁTICA S.A.</t>
  </si>
  <si>
    <t>HEWLETT PACKARD BRASIL LTDA.</t>
  </si>
  <si>
    <t>EVERTON DIEHL AZAMBUJA &amp; CIA. LTDA.</t>
  </si>
  <si>
    <t>TRIPLICE TECNOLOGIA E SISTEMAS LTDA</t>
  </si>
  <si>
    <t>A3 COMERCIAL LTDA ME</t>
  </si>
  <si>
    <t>CVI - CURSOS E TREINAMENTOS EMPRESARIAIS LTDA</t>
  </si>
  <si>
    <t>WARDEL JOLLEY NORA ME</t>
  </si>
  <si>
    <t>ENGENHARIA DE EVENT0S LTDA.</t>
  </si>
  <si>
    <t>JEVERSON JENIEL REGLY COMÉRCIO DE PRODUTOS ALIMENTÍCIOS E DE LIMPEZA</t>
  </si>
  <si>
    <t>SURVEILLANCE SYSTEM SOLUTIONS COMERCIO DE EQUIPAMENTOS DE SEGURANCA ELETRONICA LTDA ME</t>
  </si>
  <si>
    <t>ESPINDOLA E VALGAS ADVOGADOS ASSOCIADOS</t>
  </si>
  <si>
    <t>PROLINK TECNOLOGIA LTDA.</t>
  </si>
  <si>
    <t>OPENS TECNOLOGIA E PROCESSAMENTO DE DADOS LTDA. ME</t>
  </si>
  <si>
    <t>LIVRARIAS CURITIBA LTDA.</t>
  </si>
  <si>
    <t>JOSÉ ROBERTO DE SOUZA VEÍCULO ME.</t>
  </si>
  <si>
    <t>A. M. G. MENDONÇA ME</t>
  </si>
  <si>
    <t>PROLINK PUBLICAÇÕES LTDA.</t>
  </si>
  <si>
    <t>JURERÊ PRAIA HOTEL</t>
  </si>
  <si>
    <t>ECOLUX ENGENHARIA E ILUMINAÇÃO LTDA</t>
  </si>
  <si>
    <t>C.S.M. DE SOUZA LEÃO</t>
  </si>
  <si>
    <t>ANA LUCIA DE MOURA WEBER - ME</t>
  </si>
  <si>
    <t>ADSERVI SERVIÇOS ESPECIAS LTDA. - ME</t>
  </si>
  <si>
    <t>SERVIÇOS E INSTALAÇÕES ALVES LTDA.</t>
  </si>
  <si>
    <t>TRANSPORTADORA DE BENS SANTA CATARINA LTDA.</t>
  </si>
  <si>
    <t>PRIME BRASIL PUBLICIDADE LTDA</t>
  </si>
  <si>
    <t>ALÉCIO HOFFMANN - ME</t>
  </si>
  <si>
    <t>PREFEITURA MUNICIPAL DE PALHOÇA</t>
  </si>
  <si>
    <t>ONE CURSOS TREINAMENTO DESENVOLVIMENTO CAPACITAÇÃO LTDA</t>
  </si>
  <si>
    <t>BEM ESTAR CLIMATIZAÇÃO LTDA</t>
  </si>
  <si>
    <t>DUFLEX COMÉRCIO E REPRESENTAÇÕES LTDA</t>
  </si>
  <si>
    <t>PIMENTA DO REINO PRODUÇÕES LTDA</t>
  </si>
  <si>
    <t>GAZIN INDÚSTRIA E COMÉRCIO DE MÓVEIS E ELETRODOMÉSTICOS LTDA.</t>
  </si>
  <si>
    <t>ELETRO COMERCIAL NESKE LTDA.</t>
  </si>
  <si>
    <t>PRO ENGENHARIA LTDA.</t>
  </si>
  <si>
    <t>24 HORAS CHAVES DA ILHA LTDA. ME</t>
  </si>
  <si>
    <t>ERNEI JOSE SCHIMTT - ME</t>
  </si>
  <si>
    <t>ATIVA BSB INFORMÁTICA, ELETRÔNICA E PAPELARIA LTDA. EPP</t>
  </si>
  <si>
    <t>EMERSON LUIZ LENTZ ME</t>
  </si>
  <si>
    <t>R &amp; A COMERCIO DE EQUIPAMENTOS TELEFONICOS LTDA</t>
  </si>
  <si>
    <t>IDDEIA SERVIÇOS E MARKETING LTDA.</t>
  </si>
  <si>
    <t>POWERSOLUTIONS INFORMÁTICA LTDA</t>
  </si>
  <si>
    <t>MS COMÉRCIO E SERVIÇOS DE INFORMÁTICA LTDA.</t>
  </si>
  <si>
    <t>GEODÉSIA ESTUDOS PROJETOS E ASSESSORIA LTDA</t>
  </si>
  <si>
    <t>ANTONIO PERETTI</t>
  </si>
  <si>
    <t>CONSELHO REGIONAL DE CONTABILIDADE DO DISTRITO FEDERAL</t>
  </si>
  <si>
    <t>SCHMITT, SILVEIRA &amp; VIEIRA LTDA.-ME</t>
  </si>
  <si>
    <t>LUZAK COMÉRCIO E REPRESENTAÇÕES LTDA ME</t>
  </si>
  <si>
    <t>OAT SOLUÇOES EM TECNOLOGIA DA INFORMACÃO LTDA.</t>
  </si>
  <si>
    <t>FUTURA COMÉRCIO DE MATERIAIS DE INFORMÁTICA E ESCRITÓRIO LTDA.</t>
  </si>
  <si>
    <t>SEÇÃO RIO GRANDE DO SUL, BRASIL, DO PROJECT MANAGEMENT INSTITUTE</t>
  </si>
  <si>
    <t>OFFICEFLEX MOBILIÁRIO CORPORATIVO LTDA ME</t>
  </si>
  <si>
    <t>DIGINOVE EQUIPAMENTOS GRÁFICOS LTDA.</t>
  </si>
  <si>
    <t>SENAI SC - SERVIÇO NACIONAL DE APRENDIZAGEM INDUSTRIAL</t>
  </si>
  <si>
    <t>SISTRONIC COMERCIO DE EQUIPAMENTOS DE SEGURANÇA</t>
  </si>
  <si>
    <t>SOCIEDADE EDUCACIONAL DR. BLUMENAU LTDA</t>
  </si>
  <si>
    <t>ARD COMERCIO E SERVIÇO DE REFRIGERAÇÃO LTDA.</t>
  </si>
  <si>
    <t>DISTRIBUIDORA DE PEÇAS ELÉTRICAS SOL LTDA.</t>
  </si>
  <si>
    <t>ASSOCIAÇÃO CATARINENSE DE MEDICINA</t>
  </si>
  <si>
    <t>ELETRON SHOP LTDA ME</t>
  </si>
  <si>
    <t>COMERCIAL QUADRANTE ARTIGOS E PAPÉIS LTDA.</t>
  </si>
  <si>
    <t>PAEMI COMERCIAL E DISTRIBUIDORA LTDA.-EPP</t>
  </si>
  <si>
    <t>SEBOLD COMERCIAL ATAC. DE PROD., ALIM. E EQUIP. LTDA</t>
  </si>
  <si>
    <t>AX COMÉRCIO E REPRESENTAÇÕES LTDA.</t>
  </si>
  <si>
    <t>PLANECON PLANEJAMENTO E CONSTRUÇÕES LTDA</t>
  </si>
  <si>
    <t>TIM CELULAR S. A.</t>
  </si>
  <si>
    <t>CONSTRUHAB CONSTRUTORA LTDA.</t>
  </si>
  <si>
    <t>NOBRE COMÉRCIO DE SERVIÇOS LTDA. - ME</t>
  </si>
  <si>
    <t>TOCA DO SOM LTDA. - ME</t>
  </si>
  <si>
    <t>SEEL SISTEMAS ELETRO ELETRÔNICOS LTDA. EPP</t>
  </si>
  <si>
    <t>CENNYN AR CONDICIONADO LTDA ME</t>
  </si>
  <si>
    <t>LOJAS COLOMBO S. A. COMERCIO DE UTILIDADES DOMÉSTICAS</t>
  </si>
  <si>
    <t>AÇORES DISTRIBUIDORA LTDA.</t>
  </si>
  <si>
    <t>FEMAG IND. E COM. DE PASTAS P/ ARQUIVAMENTO LTDA</t>
  </si>
  <si>
    <t>TRIBUNAL REGIONAL DO TRABALHO DA 18ª REGIÃO</t>
  </si>
  <si>
    <t>CAPEMISA SEGURADORA DE VIDA E PREVIDÊNCIA S/A.</t>
  </si>
  <si>
    <t>BI SERVIÇOS EM TECNOLOGIA DE INFORMAÇÃO LTDA.</t>
  </si>
  <si>
    <t>MUNICIPIO DE CONCORDIA</t>
  </si>
  <si>
    <t>IEDUCORP - INSTITUTO DE EDUCAÇÃO E CONSULTORIA CORPORATIVA LTDA.</t>
  </si>
  <si>
    <t>SOCIEDADE LAGEANA EDUCACIONAL LTDA.</t>
  </si>
  <si>
    <t>UNIVERSIDADE DO EXTREMO SUL CATARINENSE - UNESC</t>
  </si>
  <si>
    <t>INSTITUTO FORMAÇÃO PARA A EDUCAÇÃO - POSEAD</t>
  </si>
  <si>
    <t>FACULDADE ENERGIA DE ADMINISTRAÇÃO E NEGÓCIOS - FEAN</t>
  </si>
  <si>
    <t>SERVICOS DE INSTALAÇAO ELETRICA PADRAO LTDA</t>
  </si>
  <si>
    <t>GERBRAN COMERCIO E REPRESENTAÇOES LTDA</t>
  </si>
  <si>
    <t>ASSOCIAÇÃO CATARINENSE DE ENGENHARIA DE SEGURANÇA DO TRABALHO</t>
  </si>
  <si>
    <t>ASSOCIAÇÃO NACIONAL DOS AGENTES DE SEGURANÇA DO PODER JUDICIÁRIO DA UNIÃO</t>
  </si>
  <si>
    <t>TRANSCALL TRANSPORTADORA DE CARGAS LTDA</t>
  </si>
  <si>
    <t>DSLNET COMÉRCIO LTDA.</t>
  </si>
  <si>
    <t>ELIZANGELA MACIEL DA SILVA - EPP</t>
  </si>
  <si>
    <t>ILUMTEC COMERCIAL LTDA ME</t>
  </si>
  <si>
    <t>ASSOCIAÇÃO DOS BIBLIOTECÁRIOS DE MINAS GERAIS</t>
  </si>
  <si>
    <t>CENTRO DE FORMAÇÃO DE CONDUTORES GERAÇÃO LTDA</t>
  </si>
  <si>
    <t>BLU-CHAMA EXTINTORES LTDA</t>
  </si>
  <si>
    <t>SARAIVA S/A LIVREIROS EDITORES</t>
  </si>
  <si>
    <t>HNCA COMPUTADORES E SISTEMAS LTDA - ME</t>
  </si>
  <si>
    <t>ISADE MUSICAL LTDA - ME</t>
  </si>
  <si>
    <t>COMERCIAL PESCACA LTDA</t>
  </si>
  <si>
    <t>FOTO GRAVURA CATARINENSE LTDA</t>
  </si>
  <si>
    <t>MARCIO CORREA ROCHA</t>
  </si>
  <si>
    <t>AÇÃO INFORMÁTICA BRASIL LTDA.</t>
  </si>
  <si>
    <t>NICOLASI REPRESENTACOES E COMERCIO LTDA</t>
  </si>
  <si>
    <t>DOHLER S/A COM. E IND.</t>
  </si>
  <si>
    <t>REBESQUINI S/A TRANSPORTES</t>
  </si>
  <si>
    <t>ZANOELLO IND. E COM. DE MÓVEIS LTDA</t>
  </si>
  <si>
    <t>DARB - COMERCIO DE EXTINTORES LTDA</t>
  </si>
  <si>
    <t>GELRE - TRABALHO TEMPORARIO S/A</t>
  </si>
  <si>
    <t>INFOPAPER SUPRIMENTOS P/ INF. E ESCRI.LTDA</t>
  </si>
  <si>
    <t>BONAMIGO ESQUADRIAS LTDA</t>
  </si>
  <si>
    <t>INFOTRIZ SUPRIMENTOS E SERVIÇOS DE INFORMA</t>
  </si>
  <si>
    <t>CARLOS ALEXANDER VENANCIO ME</t>
  </si>
  <si>
    <t>ACT IMP. EXP. DIST. E COMERCIO DE PRODUTOS LTDA</t>
  </si>
  <si>
    <t>PASINATO &amp; PASINATO LTDA</t>
  </si>
  <si>
    <t>VALMIRA FERREIRA DOS SANTOS REGLY</t>
  </si>
  <si>
    <t>CONTRATEBEM SERVIÇOS DE LIMPEZA E CONSERVAÇÃO LTDA</t>
  </si>
  <si>
    <t>ALTERNATIVA MUSICAL INSTRUMENTOS LTDA ME</t>
  </si>
  <si>
    <t>SUPRIMOVEIS LTDA.</t>
  </si>
  <si>
    <t>VALE TECNOLOGIA LTDA.</t>
  </si>
  <si>
    <t>DALLASIL FAB. ESQ. MET. LTDA</t>
  </si>
  <si>
    <t>PLANALTO ENGENHARIA LTDA</t>
  </si>
  <si>
    <t>SINDICATO DOS TRABALHADORES NO PODER JUDICIÁRIO FEDERAL NO ESTADO DE SANTA CATARINA - SINTRAJUSC</t>
  </si>
  <si>
    <t>NELTON RUBENS EDUARDO</t>
  </si>
  <si>
    <t>8ª SUPERINTENDÊNCIA REGIONAL DA POLICIA RODOVIARIA FEDERAL</t>
  </si>
  <si>
    <t>AP SERVIÇOS DE LIMPEZA, ASSEIO E CONSERVAÇÃO LTDA.</t>
  </si>
  <si>
    <t>FLORICULTURA CALIANDRA SUL LTDA</t>
  </si>
  <si>
    <t>COLEGIO CRUZ E SOUSA</t>
  </si>
  <si>
    <t>COOP. ECON. CRED. MUTUO DOS MAGIST. MEMB. DO MIN. PUB. E PROF. DO DIREITO CAT. LTDA - COOMARCA</t>
  </si>
  <si>
    <t>CIMAPEL COMERCIO DE MATERIAL DE ESCRITORIO LTDA.</t>
  </si>
  <si>
    <t>FUNDO DE FISCALIZAÇÃO DAS TELECOMUNICAÇÕES - FISTE</t>
  </si>
  <si>
    <t>IBM BRASIL - INDÚSTRIA, MÁQUINAS E SERVIÇOS LTDA</t>
  </si>
  <si>
    <t>ASSOCIAÇÃO DOS JUÍZES FEDERAIS DO ESTADO DE SANTA CATARINA - AJUFESC</t>
  </si>
  <si>
    <t>BANCO CRUZEIRO DO SUL S/A</t>
  </si>
  <si>
    <t>PEREIRA COMÉRCIO DE ARTIGOS DESCARTÁVEIS E MATERIAIS DE LIMPEZA LTDA - ME</t>
  </si>
  <si>
    <t>L. H. GONÇALVES COMPONENTES ELETRÔNICOS - EPP</t>
  </si>
  <si>
    <t>IDEMP INSTITUTO DE DESENVOLVIMENTO EMPRESARIAL LTDA.</t>
  </si>
  <si>
    <t>ASTRO MANUTENÇÃO DE OBRAS HIDRÁULICAS E COMÉRCIO LTDA - EPP</t>
  </si>
  <si>
    <t>DUCOPRINT DUPLICADORES COPIADORAS E IMPRESSORAS LTDA-EPP</t>
  </si>
  <si>
    <t>SUPRIVIX SUPRIMENTOS DE INFORMATICA LTDA</t>
  </si>
  <si>
    <t>UNIRHBR - UNIÃO DE RECURSOS HUMANOS DO BRASIL LTDA.</t>
  </si>
  <si>
    <t>GERBRAN COMÉRCIO E REPRESENTAÇÕES LTDA</t>
  </si>
  <si>
    <t>SERVIÇOS DE INSTALAÇÕES ELÉTRICAS PADRÃO LTDA ME</t>
  </si>
  <si>
    <t>FUNDAÇÃO UNIVERSIDADE DO SUL DE SANTA CATARINA - UNISUL</t>
  </si>
  <si>
    <t>ASSOCIAÇÃO CATARINENSE DE ENGENHARIA DE SEGURANÇA DO TRABALHO - ACEST</t>
  </si>
  <si>
    <t>KA SOLUTION TECNOLOGIA EM SOFTWARE LTDA</t>
  </si>
  <si>
    <t>COMERCIAL STECANELA DE MATERIAIS ELETRICOS LTDA</t>
  </si>
  <si>
    <t>ASSOCIAÇÃO DOS ADVOGADOS DE SÃO PAULO - AASP</t>
  </si>
  <si>
    <t>LEON HEIMER S. A.</t>
  </si>
  <si>
    <t>TANGARA PREFEITURA</t>
  </si>
  <si>
    <t>FUNDAÇÃO DE DESENVOLVIMENTO DA PESQUISA - FUNDEP</t>
  </si>
  <si>
    <t>CENTRO ARTÍSTICO E CULTURAL - CENACULT</t>
  </si>
  <si>
    <t>COOP. ECONOMIA CRÉDITO MÚTUO DOS SERV. JUSTIÇA TRABALHO LTDA. - SICOOB CREDIJUSTRA</t>
  </si>
  <si>
    <t>INPRIMA BRASIL LTDA.</t>
  </si>
  <si>
    <t>POLOS COMERCIO DE PILHAS E BATERIAS LTDA EPP</t>
  </si>
  <si>
    <t>HOTEL PRAIATUR LTDA.</t>
  </si>
  <si>
    <t>COLUMBRA COMÉRCIO E PERSIANAS LTDA</t>
  </si>
  <si>
    <t>CENTRO DE FORMAÇÃO DE CONDUTORES PALHOÇA LTDA</t>
  </si>
  <si>
    <t>LILIAN ROSANE MELLO EBERHARDT ME</t>
  </si>
  <si>
    <t>SPLASHCOM COMUNICAÇÃO VISUAL LTDA</t>
  </si>
  <si>
    <t>EXPURGO LAR PRESTADORA DE SERVIÇOS LTDA - EPP</t>
  </si>
  <si>
    <t>AX - CENTRO DE ESTUDOS DA SAUDE LTDA</t>
  </si>
  <si>
    <t>AIR MICRO LTDA</t>
  </si>
  <si>
    <t>ESCOLA DE NEGOCIOS CONEXXOES - EDUCACAO EMPRESARIAL LTDA</t>
  </si>
  <si>
    <t>LINCE SEGURANÇA PATRIMONIAL LTDA - ME</t>
  </si>
  <si>
    <t>ASSOCIAÇÃO DOS SERVIDORES DA JUSTIÇA DO TRABALHO DE CANOINHAS</t>
  </si>
  <si>
    <t>INSTITUTO ODONTOLOGICO NIVALDO NUERNBERG S/C - LTDA</t>
  </si>
  <si>
    <t>INNOVIT TECNOLOGIA DE INFORMACÃO LTDA</t>
  </si>
  <si>
    <t>DEDETIZADORA TROMBIM LTDA</t>
  </si>
  <si>
    <t>SANTIVEST S/A CRÉDITO FINANCIAMENTO E INVESTIMENTOS</t>
  </si>
  <si>
    <t>IEDUCORP INSTITUTO DE EDUCAÇÃO E CONSULTORIA CORPORATIVA LTDA.</t>
  </si>
  <si>
    <t>AOP COMUNICAÇÃO LTDA.</t>
  </si>
  <si>
    <t>FURTADO&amp; SCHMIDT SISTEMAS E EQUIPAMENTOS TOPOGRAFICO LTDA</t>
  </si>
  <si>
    <t>AGUSTINI &amp; ZAFALLON LTDA</t>
  </si>
  <si>
    <t>DISK ÁGUA CHAPECÓ COMÉRCIO DE BEBIDAS LTDA</t>
  </si>
  <si>
    <t>DISTRIBUIDORA DE BEBIDAS PAULISTA LTDA ME</t>
  </si>
  <si>
    <t>GLOBAL VILLAGE TELECOM LTDA.</t>
  </si>
  <si>
    <t>ESTANCIA HIDROMINERAL SANTA RITA DE CASSIA LTDA.</t>
  </si>
  <si>
    <t>ELBRU COMÉRCIO LTDA</t>
  </si>
  <si>
    <t>FUTURITTY SUPERMERCADO LTDA</t>
  </si>
  <si>
    <t>GOTA D´ÁGUA COM DE ÁGUA MINERAL LTDA. ME</t>
  </si>
  <si>
    <t>MARCIA CASTRO SPENASSATTO-ME</t>
  </si>
  <si>
    <t>ELIZABETH HERBERTS &amp; CIA. LTDA.</t>
  </si>
  <si>
    <t>H. SPECK - ARTE, SIGN E SERIGRAFIA LTDA</t>
  </si>
  <si>
    <t>FUTURO CONCURSOS LTDA.</t>
  </si>
  <si>
    <t>JCR MÓVEIS SOB MEDIDA LTDA. - ME</t>
  </si>
  <si>
    <t>AMERICAN POWER CONVERSION BRASIL LTDA.</t>
  </si>
  <si>
    <t>NEW SIGHT CONSULTORIA EM INFORMATICA LTDA.</t>
  </si>
  <si>
    <t>CRISTINE SALETE MACHADO - EPP</t>
  </si>
  <si>
    <t>ZOOM TECNOLOGIA LTDA.</t>
  </si>
  <si>
    <t>IDEHA - INSTITUTO DE DESENVOLVIMENTO DE HABILIDADES LTDA</t>
  </si>
  <si>
    <t>PBI INFORMÁTICA LTDA.</t>
  </si>
  <si>
    <t>APRIMORA TREINAMENTOS EIRELI - EPP</t>
  </si>
  <si>
    <t>KARTROLIN BRINDES E MATERIAL PARA ESCRITÓRIO LTDA</t>
  </si>
  <si>
    <t>ROSANGELA FATIMA ZARICHTA ME</t>
  </si>
  <si>
    <t>BANCO VOTORANTIM S/A</t>
  </si>
  <si>
    <t>CASA DAS BEBIDAS LTDA</t>
  </si>
  <si>
    <t>JM COMÉRCIO E PRESTAÇÃO DE SERVIÇOS LTDA</t>
  </si>
  <si>
    <t>ACIPRASC CONTROLE SANITÁRIO LTDA</t>
  </si>
  <si>
    <t>BIOS - PESQUISA, AVALIAÇÃO E DESENVOLVIMENTO HUMANO NO TRABALHO LTDA.</t>
  </si>
  <si>
    <t>REBELLATO E BRAUN LTDA</t>
  </si>
  <si>
    <t>ZIG FILMES LTDA - EPP</t>
  </si>
  <si>
    <t>ANDRÉ MUNHÕES DA SILVA ME</t>
  </si>
  <si>
    <t>GR - SERVIÇOS ELÉTRICOS LTDA</t>
  </si>
  <si>
    <t>LÍBERO CURSOS E ESTUDOS LTDA.</t>
  </si>
  <si>
    <t>AUTÊNTICA ORGANIZAÇÃO DE SERVIÇOS DIVERSOS LTDA.</t>
  </si>
  <si>
    <t>MVC COSTA CURTA &amp; VILHENA CONS. EM EDUC. CORPORATIVA LTDA</t>
  </si>
  <si>
    <t>MARINO MUSSOI BARDINI ME</t>
  </si>
  <si>
    <t>XIFILOP  ETIQUETAS ADESIVAS LTDA EPP</t>
  </si>
  <si>
    <t>POLIFIX PRODUTOS ADESIVOS LTDA</t>
  </si>
  <si>
    <t>DAL PONTE &amp; CIA LTDA ME</t>
  </si>
  <si>
    <t>CENTRAL IT TECNOLOGIA DA INFORMAÇÃO LTDA.</t>
  </si>
  <si>
    <t>NP CAPACITAÇÃO E SOLUÇOES TECNOLOGICAS LTDA</t>
  </si>
  <si>
    <t>PLUG DISTRIBUIDORA DE MATERIAIS ELÉTRICOS LTDA - EPP</t>
  </si>
  <si>
    <t>ASSOCIAÇÃO DOS JUÍZES CLASSISTAS DA JUSTIÇA DO TRABALHO DA 12ª REGIÃO - AJUCLA XII</t>
  </si>
  <si>
    <t>PRAIANA IND. E COMER. DE PROD. ODONTOL. LTDA</t>
  </si>
  <si>
    <t>INSTITUTO EUVALDO LODI DE SANTA CATARINA</t>
  </si>
  <si>
    <t>ARVOREDO DISTRIBUIDORA DE PRODUTOS PARA LIMPEZA LTDA</t>
  </si>
  <si>
    <t>PKB PRODUTOS QUÍMICOS LTDA</t>
  </si>
  <si>
    <t>GR SERVIÇOS ELÉTRICOS LTDA</t>
  </si>
  <si>
    <t>REFERENCIA COMERCIO E SOLUÇÕES PARA AMBIENTES CORPORATIVOS LTDA</t>
  </si>
  <si>
    <t>W e Z - COMÉRCIO E SERVIÇOS HOSPITALARES LTDA.</t>
  </si>
  <si>
    <t>ILUMIX COMERCIO DE PAINEIS LTDA</t>
  </si>
  <si>
    <t>DISTRIBUIDORA CURITIRA DE PAPÉIS E LIVROS S/A</t>
  </si>
  <si>
    <t>L.MOHR LTDA ME</t>
  </si>
  <si>
    <t>AOF CURSOS E APERFEIÇOAMENTO PROFISSIONAL LTDA</t>
  </si>
  <si>
    <t>DEDETIZADORA BALNEÁRIO LTDA ME</t>
  </si>
  <si>
    <t>APLIQUIM EQUIPAMENTOS E PRODUTOS QUÍMICOS LTDA</t>
  </si>
  <si>
    <t>FFG COMERCIO DE SUPRIMENTOS LTDA</t>
  </si>
  <si>
    <t>INSTITUTO DE PSICOTERAPIA DE SÃO PAULO</t>
  </si>
  <si>
    <t>ELIZABETH RIBEIRO INÁCIO DA SILVA - ME</t>
  </si>
  <si>
    <t>ASSOCIAÇÃO NACIONAL DOS SERVIDORES DA JUSTIÇA DO TRABALHO - ANAJUSTRA</t>
  </si>
  <si>
    <t>MULTIAR SISTEMAS DE CLIMATIZAÇÃO LTDA.</t>
  </si>
  <si>
    <t>N.3.M.O - ASSESSORIA EDUCACIONAL LTDA-ME</t>
  </si>
  <si>
    <t>ANGELA FERREIRA SILVEIRA ME</t>
  </si>
  <si>
    <t>PARANA BUSINESS MATERIAIS ELÉTRICOS LTDA</t>
  </si>
  <si>
    <t>HEMCKMEIER E NASCIMENTO LTDA</t>
  </si>
  <si>
    <t>3GEN CONSULTORIA EMPRESARIAL LTDA.</t>
  </si>
  <si>
    <t>RCD EMPREENDIMENTOS LTDA. SCP</t>
  </si>
  <si>
    <t>TECNISYS INFORMÁTICA E ASSESSORIA EMPRESARIAL LTDA. - EPP</t>
  </si>
  <si>
    <t>RAFFAEL MACHADO FLORICULTURA ME</t>
  </si>
  <si>
    <t>COMUNIQUE SE COMUNICAÇÃO CORPORATIVA LTDA</t>
  </si>
  <si>
    <t>AURUS INDUSTRIAL S.A.</t>
  </si>
  <si>
    <t>JULIAN SUPRIMENTOS PARA INFORMÁTICA LTDA</t>
  </si>
  <si>
    <t>SOCIEDADE LATINO-AMERICANA DE ESTUDOS IMOBILIARIOS</t>
  </si>
  <si>
    <t>ANDREIA P. B. BORGES &amp; CIA LTDA</t>
  </si>
  <si>
    <t>MARCOS VINYCIUS ELIAS ME</t>
  </si>
  <si>
    <t>ITACIR BRANDÃO CIA LTDA ME</t>
  </si>
  <si>
    <t>JACINTO JOÃO AVILA ME</t>
  </si>
  <si>
    <t>MINOLSUL COMÉRCIO E SERVIÇOS LTDA</t>
  </si>
  <si>
    <t>COMPANHIA DE SEGUROS PREVIDÊNCIA DO SUL</t>
  </si>
  <si>
    <t>PARANÁ BANCO S/A</t>
  </si>
  <si>
    <t>ALMONT DO BRASIL IMPORTAÇÃO COM. E REPRESENTAÇÃO LTDA</t>
  </si>
  <si>
    <t>UNIVALE UNIÃO PLANT VALE CANOINHAS</t>
  </si>
  <si>
    <t>ESPHERA SUL EMPREENDIMENTOS LTDA ME</t>
  </si>
  <si>
    <t>COMERCIO E DISTRIBUIDORA DE BEBIDAS F.F LTDA</t>
  </si>
  <si>
    <t>FONTE DAS ÁGUAS COMÉRCIO DE ÁGUA MINERAL LTDA</t>
  </si>
  <si>
    <t>ARTCARD LTDA. EPP</t>
  </si>
  <si>
    <t>ASSOCIAÇÃO BRASILEIRA DE ESPECIALISTAS EM ALTA TECNOLOGIA (ABEAT)</t>
  </si>
  <si>
    <t>CONSTRUFASE CONSTRUÇÃO CIVIL LTDA.</t>
  </si>
  <si>
    <t>GP MATTARA SUPRIMENTOS PARA INFORMÁTICA ME</t>
  </si>
  <si>
    <t>MULTIREDE DISTRIBUIDORA LTDA.</t>
  </si>
  <si>
    <t>NEOMAP TI - COM. E SERVIÇOS TECNOLÓGICOS LTDA.</t>
  </si>
  <si>
    <t>SISNEMA TREINAMENTO E CONSULTORIA LTDA EPP</t>
  </si>
  <si>
    <t>ENIO HONORATO SANDRI CIA LTDA</t>
  </si>
  <si>
    <t>SENSORIAL DETECTORES DE SEGURANÇA LTDA. EPP.</t>
  </si>
  <si>
    <t>NETZI ELETRÔNICOS COMÉRCIO E SERVIÇOS LTDA. ME,</t>
  </si>
  <si>
    <t>VMI SISTEMAS DE SEGURANÇA LTDA.</t>
  </si>
  <si>
    <t>DIMEP COMÉRCIO E ASSISTÊNCIA TÉCNICA LTDA. EPP.</t>
  </si>
  <si>
    <t>FORÇA DIGITAL COMÉRCIO DE ELETROELETRONICOS E DE INFORMATICA LTDA</t>
  </si>
  <si>
    <t>LUCIANO BARROCA SANCHEES ME</t>
  </si>
  <si>
    <t>ALBERTO COM. DE EQUIP. E SISTEMAS LTDA</t>
  </si>
  <si>
    <t>S.O.S. SUL RESGATE COM. E SERV. SEG. E SINALIZAÇÃO LTDA ME</t>
  </si>
  <si>
    <t>MEGA MAX COMÉRCIO DE COMPONENTES ELTRÔNICOS E SERVIÇOS LTDA.</t>
  </si>
  <si>
    <t>DATEN TECNOLOGIA LTDA</t>
  </si>
  <si>
    <t>IMPÉRIO DO PAPEL COMÉRCIO DE PAPÉIS LTDA - ME</t>
  </si>
  <si>
    <t>V &amp; M INFORMATICA LTDA</t>
  </si>
  <si>
    <t>CESAR NIEHUES &amp; CIA LTDA</t>
  </si>
  <si>
    <t>BLASIUS INDUSTRIA DE CALHAS LTDA - ME</t>
  </si>
  <si>
    <t>CHIP TELECOM E INFORMÁTICA LTDA.</t>
  </si>
  <si>
    <t>GERSON MARTINS TREINAMENTOS PROF. LTDA</t>
  </si>
  <si>
    <t>ESAD CONSULTORIA SS LTDA</t>
  </si>
  <si>
    <t>BROOKS EMPREENDIMENTOS LTDA EPP</t>
  </si>
  <si>
    <t>GRAZIELLE DE MEDEIROS PEREIRA ME</t>
  </si>
  <si>
    <t>RDO LIMPEZA LTDA. ME.</t>
  </si>
  <si>
    <t>AGGREKO ENERGIA LOCAÇÃO DE GERADORES LTDA</t>
  </si>
  <si>
    <t>CENTRO BRASILEIRO DE ENGENHARIA E SISTEMAS EPP</t>
  </si>
  <si>
    <t>SRM COMÉRCIO E SERVIÇOS EMPRESARIAIS LTDA. ME.</t>
  </si>
  <si>
    <t>G4S MONITORAMENTO E SISTEMAS LTDA.</t>
  </si>
  <si>
    <t>A.M. DA SILVA MANUTENÇÕES ME.</t>
  </si>
  <si>
    <t>CICERO FERNANDO BORDIGNON 03201108936</t>
  </si>
  <si>
    <t>CENTRO CATARINENSE DE RESOLUCAO DE CONFLITOS LTDA - ME</t>
  </si>
  <si>
    <t>FOX MONTAGEM E SERVIÇOS DE SERIGRAFIA LTDA EPP</t>
  </si>
  <si>
    <t>EDITORA CASA 10 LTDA.</t>
  </si>
  <si>
    <t>HSM DO BRASIL S.A.</t>
  </si>
  <si>
    <t>ALSAR TECNOLOGIA EM REDES LTDA.</t>
  </si>
  <si>
    <t>ASCOT TELECOMUNICAÇÕES LTDA - ME</t>
  </si>
  <si>
    <t>VLP COMÉRCIO E INSTALAÇÕES ELÉTRICOS LTDA.</t>
  </si>
  <si>
    <t>LOESCH COMERCIO DE ELETRO ELETRÔNICOS LTDA.</t>
  </si>
  <si>
    <t>IVI &amp; JR COMERCIO DE PERSIANAS LTDA</t>
  </si>
  <si>
    <t>MW DISTRIBUIDORA DE LIVROS LTDA.</t>
  </si>
  <si>
    <t>PANDORA IMPORTADORA, EXPORTADORA E DISTRIBUIDORA DE LIVROS LTDA.</t>
  </si>
  <si>
    <t>G.B. DE OLIVEIRA &amp; CIA. LTDA.</t>
  </si>
  <si>
    <t>SM PLASTICOS LTDA EPP</t>
  </si>
  <si>
    <t>MR COMPUTER INFORMÁTICA COMÉRCIO E IMPORTAÇÃO LTDA</t>
  </si>
  <si>
    <t>ADDED COMPUTER &amp; TELEPHONY COMÉRCIO E SERVIÇOS LTDA.</t>
  </si>
  <si>
    <t>INSETILAR CONTROLE DE PRAGAS E SERVIÇOS LTDA</t>
  </si>
  <si>
    <t>ECOTRAT CONTROLE DE PRAGAS URBANAS LTDA</t>
  </si>
  <si>
    <t>LPG SOLUÇÕES LTDA.</t>
  </si>
  <si>
    <t>REI DOS REIS COMÉRCIO ATACADISTA DE EQUIPAMENTOS DE INFORMÁTICA LTDA.</t>
  </si>
  <si>
    <t>G &amp; S IMAGENS DO BRASIL LTDA</t>
  </si>
  <si>
    <t>J. M. GURGEL EIRELI</t>
  </si>
  <si>
    <t>JOIN TECNOLOGIA DA INFORMAÇÃO LTDA</t>
  </si>
  <si>
    <t>ATLANTIS COMERCIO E EQUIPAMENTOS LTDA</t>
  </si>
  <si>
    <t>WBA INFORMÁTICA LTDA</t>
  </si>
  <si>
    <t>BIC BRASIL S.A.</t>
  </si>
  <si>
    <t>LICIDATA CURSOS LTDA.</t>
  </si>
  <si>
    <t>UZTECH SERVIÇOS E INFORMÁTICA  LTDA</t>
  </si>
  <si>
    <t>DENTEMED EQUIPAMENTOS ODONTOLOGICOS LTDA</t>
  </si>
  <si>
    <t>DEBORA GROSSO LOPES EPP</t>
  </si>
  <si>
    <t>I H D DE ALMEIDA EPP</t>
  </si>
  <si>
    <t>BUYSOFT DO BRASIL LTDA</t>
  </si>
  <si>
    <t>SANTOS &amp; COUTO LTDA - ME</t>
  </si>
  <si>
    <t>GOLD COMÉRCIO DE EQUIPAMENTOS LTDA - EPP</t>
  </si>
  <si>
    <t>FUNDAÇÃO EDSON QUEIROZ</t>
  </si>
  <si>
    <t>RHM CELES - ME</t>
  </si>
  <si>
    <t>PONTASUL MÓVEIS LTDA.</t>
  </si>
  <si>
    <t>TECK FLEX COMÉRCIO DE MÓVEIS LTDA</t>
  </si>
  <si>
    <t>ASSOCIAÇÃO NACIONAL DOS SERVIDORES DO JUDICIÁRIO TRABALHISTA - ANASTRA</t>
  </si>
  <si>
    <t>LUIZ FERNANDO SEBOLD ME.</t>
  </si>
  <si>
    <t>NAZARENO LUZ - ME</t>
  </si>
  <si>
    <t>COMDADOS COMERCIO E SERVIÇOS ELETRONICOS LTDA</t>
  </si>
  <si>
    <t>SUPERCIA CAPACITACAO E MARKETING LTDA - EPP</t>
  </si>
  <si>
    <t>MMP COSTA TREINAMENTO E DESENVOLVIMENTO HUMANO - ME</t>
  </si>
  <si>
    <t>TRIBUNAL REGIONAL DO TRABALHO DA 5ª REGIÃO</t>
  </si>
  <si>
    <t>GILMAR PEREIRA DOS SANTOS</t>
  </si>
  <si>
    <t>S. MASTER COM. DE PRODS. PROMOCIONAIS LTDA ME</t>
  </si>
  <si>
    <t>WEIKAN TECNOLOGIA LTDA</t>
  </si>
  <si>
    <t>TJ - SERVICES INFORMÁTICA LTDA</t>
  </si>
  <si>
    <t>TIM CELULAR S.A.</t>
  </si>
  <si>
    <t>SERPRO - REGIONAL BRASILIA</t>
  </si>
  <si>
    <t>COMÈRCIO  ATACADISTA EVAREJISTA PROGRESSO LTDA</t>
  </si>
  <si>
    <t>BICA D ÁGUA LTDA ME</t>
  </si>
  <si>
    <t>NATURAL  COMÉRCIO  DE ÁGUA MINERAL LTDA</t>
  </si>
  <si>
    <t>BRAZIL VIRGO COMERCIO PRODUTOS DECORATIVOS LTDA ME</t>
  </si>
  <si>
    <t>PANDAO INDUSTRIA E COMERCIO DE ROUPAS PROFISSIONAIS LTD</t>
  </si>
  <si>
    <t>COMPANHIA BRASILEIRA DE CARTUCHOS</t>
  </si>
  <si>
    <t>REUNIDAS TURISMO S/A.</t>
  </si>
  <si>
    <t>INFINITY CONFERENCES &amp; EXHIBITIONS EVENTOS BRASIL LTDA</t>
  </si>
  <si>
    <t>MARTINS AGUA SUL COMERCIO DE BEBIDAS LTDA</t>
  </si>
  <si>
    <t>RED HAT BRASIL LTDA</t>
  </si>
  <si>
    <t>ZENAIDE VANELLI - ME</t>
  </si>
  <si>
    <t>ELETRO MW LTDA</t>
  </si>
  <si>
    <t>INSTITUTO CAPACITAR DE EDUCAÇÃO PROFISSIONAL E CONSULTORIA EM ADMINISTRAÇÃO PÚBLICA LTDA.</t>
  </si>
  <si>
    <t>IRMÃOS BOHRER ELETRO ELETRÔNICOS LTDA.</t>
  </si>
  <si>
    <t>ESCOLA SUPERIOR DE CRICIÚMA LTDA, - ESUCRI</t>
  </si>
  <si>
    <t>FAST SECURITY TECNOLOGIA DA INFORMAÇÃO LTDA. EPP</t>
  </si>
  <si>
    <t>UNIÃO PREVIDENCIÁRIA COMETA DO BRASIL - CONPREV</t>
  </si>
  <si>
    <t>GBOEX - GRÊMIO BENEFICENTE</t>
  </si>
  <si>
    <t>DEBACKER INSTALADORA ELÉTRICA E HIDRÁLICA LTDA - ME</t>
  </si>
  <si>
    <t>PROTERMICA CLIMATIZAÇÃO LTDA</t>
  </si>
  <si>
    <t>MOBRA SERVIÇOS DE VIGILÂNCIA LTDA</t>
  </si>
  <si>
    <t>FUNDAÇÃO MÉDICA E EDUCACIONAL PROFESSOR TEIXEIRA</t>
  </si>
  <si>
    <t>EDEMAR PAZA EPP</t>
  </si>
  <si>
    <t>WORK DESENVOLVIMENTO  PROFISSIONAL  LTDA ME</t>
  </si>
  <si>
    <t>TUBARÃO SANEAMENTO S.A.</t>
  </si>
  <si>
    <t>NACIONAL AUTOMAÇÃO E SERVIÇOS LTDA-ME</t>
  </si>
  <si>
    <t>WIK TEL SERVIÇOS DE TELECOMUNICAÇÕES LTDA.</t>
  </si>
  <si>
    <t>MHS COMÉRCIO DE MÓVEIS - EIRELI - ME</t>
  </si>
  <si>
    <t>BECNER COMERCIO DE MAQUINAS E EQUIPAMENTOS PARA SERVIÇOS LTDA.</t>
  </si>
  <si>
    <t>INDUSTRIA E COMERCIO ELETRO ELETRONICA GEHAKA LTDA</t>
  </si>
  <si>
    <t>SISPACK MEDICAL LTDA.</t>
  </si>
  <si>
    <t>NELSON GRABOVSKI</t>
  </si>
  <si>
    <t>AGILE ALLIANCE BRAZIL</t>
  </si>
  <si>
    <t>M.H.M. DO COUTO - COMERCIAL - ME</t>
  </si>
  <si>
    <t>MONGERAL S.A. SEGUROS E PREVIDENCIA</t>
  </si>
  <si>
    <t>CODSEG EQUIPAMENTOS LTDA. - ME</t>
  </si>
  <si>
    <t>SUPORTE COMÉRCIO E SERVIÇOS LTDA.</t>
  </si>
  <si>
    <t>RAFTECO COMÉRCIO DE MATERIAL DE INFORMÁTICA LTDA</t>
  </si>
  <si>
    <t>FATTO CONSULTORIA SISTEMAS SS LTDA</t>
  </si>
  <si>
    <t>ROTA AUTO CENTER COM P E ACES LTDA</t>
  </si>
  <si>
    <t>FUNDACAO DO MEIO AMBIENTE - FATMA</t>
  </si>
  <si>
    <t>DEXTRA TREINAMENTOS EM INFORMÁTICA LTDA</t>
  </si>
  <si>
    <t>METALPOX INDÚSTRIA E COMÉRCIO DE MÓVEIS LTDA ME</t>
  </si>
  <si>
    <t>PISOS E FORMAS LTDA - ME</t>
  </si>
  <si>
    <t>SOUSA E CARDOSO COM. E MANUT. DE BEBEDOUROS LTDA-ME</t>
  </si>
  <si>
    <t>INNOVATIVE SUL AMERICA ACES ERGON LTDA</t>
  </si>
  <si>
    <t>CSS DADOS E VOZ SERVIÇOS LTDA ME</t>
  </si>
  <si>
    <t>PLMR ASSESSORIA DE PROJETOS SOCIO CULTURAIS LTDA</t>
  </si>
  <si>
    <t>INSTITUTO EDUCERE LTDA - ME</t>
  </si>
  <si>
    <t>VANUSA CARDOSO CURSOS E TREINAMENTOS LTDA ? ME</t>
  </si>
  <si>
    <t>VS SUPRIMENTOS PARA COMUNICAÇÃO VISUAL LTDA.</t>
  </si>
  <si>
    <t>MARIA DE FATIMA REZENDE LOPES ME</t>
  </si>
  <si>
    <t>DEPARTAMENTO ESTADUAL DE INFRA-ESTRUTURA - DEINFRA</t>
  </si>
  <si>
    <t>ASSOCIAÇÃO DOS SERVIDORES DA JUSTIÇA DO TRABALHO DA REGIÃO PRAIANA - ASSEJUTRARP</t>
  </si>
  <si>
    <t>MUNDO DIGITALX COMÉRCIO E SERVIÇOS LTDA.</t>
  </si>
  <si>
    <t>TRANSMEDICO ASSISTENCIA MEDICA LTDA</t>
  </si>
  <si>
    <t>CARLOS BATISTA INFORMÁTICA - ME</t>
  </si>
  <si>
    <t>LELIS &amp; CIA LTDA</t>
  </si>
  <si>
    <t>NALON - EQUIPAMENTOS COMERCIAIS E INDUSTRIAIS LTDA. - ME</t>
  </si>
  <si>
    <t>FRUTICULTURA PLANTAR LTDA ME</t>
  </si>
  <si>
    <t>GRUPO FAZSO ARQUITETURA E URBANISMO LTDA</t>
  </si>
  <si>
    <t>KD COMÉRCIO ATACADISTA LDTA ME</t>
  </si>
  <si>
    <t>NT SINALIZAÇÃO VISUAL LTDA</t>
  </si>
  <si>
    <t>TATIANNY LOCKS VITORETI-EPP</t>
  </si>
  <si>
    <t>BSL COMÉRCIO DE QUADROS LTDA - ME</t>
  </si>
  <si>
    <t>LUCIANO ANTONIO MARQUES ME</t>
  </si>
  <si>
    <t>AGACEA COMERCIO, IMPORTACAO E EXPORTACAO EIRELI - ME</t>
  </si>
  <si>
    <t>MILSUL COMÉRCIO IMPORTAÇÃO EXPORTAÇÃO LTDA</t>
  </si>
  <si>
    <t>MN TECNOLOGIA E TREINAMENTO LTDA</t>
  </si>
  <si>
    <t>NOVO TRAILLER LTDA ME</t>
  </si>
  <si>
    <t>COOPERATIVA DOS PRODUTORES RURAIS DE FRAIBURGO - COOPERFRAI</t>
  </si>
  <si>
    <t>SENTIDO UNICO CURSOS E PREPARACAO JURIDICA S/S LTDA.</t>
  </si>
  <si>
    <t>MAPFRE VERA CRUZ SEGURADORA S/A</t>
  </si>
  <si>
    <t>BANCO SAFRA S.A.</t>
  </si>
  <si>
    <t>INSTITUTO DE PESQUISAS E ESTUDOS JURÍDICOS - IPEJ</t>
  </si>
  <si>
    <t>SEGURADORA LÍDER DOS CONSÓRCIOS DO SEGURO DPVT</t>
  </si>
  <si>
    <t>ELETRÔNICA KITS'S SOM LTDA</t>
  </si>
  <si>
    <t>PM TECH CONSULT E ASSESS EMPRESARIAL SOC SIMPLES LTDA</t>
  </si>
  <si>
    <t>INOVAR CONDICIONAMENTO DE AMBIENTE LTDA ME</t>
  </si>
  <si>
    <t>TOMBERLIN IND. E COM. DE MOVEIS LTDA</t>
  </si>
  <si>
    <t>COMERCIAL BRASILEIRA DE MEDICAMENTOS CBM LTDA.</t>
  </si>
  <si>
    <t>GOEDERT COM. DE PEÇAS E EQUIPAMENTOS PARA GÁS LTDA</t>
  </si>
  <si>
    <t>FIVE ACTS ASSESSORIA, CONSULTORIA, TREINAMENTO EM INFORMÁTICA LTDA.</t>
  </si>
  <si>
    <t>IBO - INSTITUTO BRASILEIRO DE OSTEOPATIA</t>
  </si>
  <si>
    <t>REFRIGERAÇÃO E CLIMATIZAÇÃO RECLIAR LTDA</t>
  </si>
  <si>
    <t>ASSOCIAÇÃO DOS SERVIDORES NA JUSTIÇA DO TRABALHO - AJUT</t>
  </si>
  <si>
    <t>SUL BRASIL CLUBE DE SEGUROS</t>
  </si>
  <si>
    <t>JURANDIR JOSÉ WISCHNESKI</t>
  </si>
  <si>
    <t>UNIBANCO UNIÃO DE BANCOS BRASILEIROS S.A.</t>
  </si>
  <si>
    <t>BLUFORRO DIVISÓRIAS LTDA</t>
  </si>
  <si>
    <t>PROCURADORIA REGIONAL DO TRABALHO DA 12ª REGIÃO</t>
  </si>
  <si>
    <t>SERV-PLUS LIMPEZA E CONSERVAÇÃO LTDA.</t>
  </si>
  <si>
    <t>CENADEM CENTRO NAC. GEST.DA INFOR.</t>
  </si>
  <si>
    <t>CONEXITO CONSULTORIA E ENGENHARIA LTDA.</t>
  </si>
  <si>
    <t>BELLEFLUX INDUSTRIA E COMERCIO DE CALHAS LTDA - ME</t>
  </si>
  <si>
    <t>TLD TELEDATA TECNOLOGIA EM CONECTIVIDADE LTDA</t>
  </si>
  <si>
    <t>CABOVISÃO TELECOMUNICAÇÕES LTDA.</t>
  </si>
  <si>
    <t>EXTINFORT COMERCIO DE EQUIPAMENTOS DE SEGURANÇA LTDA</t>
  </si>
  <si>
    <t>GRUGER GRUPOS GERADORES LTDA</t>
  </si>
  <si>
    <t>FUNDAÇÃO CARLOS CHAGAS</t>
  </si>
  <si>
    <t>SAVANT EQUIPAMENTOS E SERVIÇOS DE INFORMATICA LTDA EPP</t>
  </si>
  <si>
    <t>WEBAULA PRODUTOS E SERVIÇOS PARA EDUCAÇÃO S/A</t>
  </si>
  <si>
    <t>PEOPLE BRASIL EDUCAÇÃO LTDA</t>
  </si>
  <si>
    <t>AGUAS DE PALHOÇA</t>
  </si>
  <si>
    <t>MC CARTÕES PLÁSTICOS LTDA</t>
  </si>
  <si>
    <t>TREINAMENTO AVANCADO LTDA.</t>
  </si>
  <si>
    <t>STENO DO BRASIL IMPORTACAO E EXPORTACAO COM E ASS LTDA</t>
  </si>
  <si>
    <t>JI ADMINISTRAÇÃO HOTELARIA LTDA</t>
  </si>
  <si>
    <t>GESTÃO EM RECURSOS HUMANOS GRH LTDA.</t>
  </si>
  <si>
    <t>DIMACI / SC MATERIAL CIRURGICO LTDA</t>
  </si>
  <si>
    <t>MARCOS MUSSUMECI PORTAL TREINAMENTOS</t>
  </si>
  <si>
    <t>KIDDE DO BRASIL LTDA</t>
  </si>
  <si>
    <t>THYSSENKRUPP ELEVADORES S.A.</t>
  </si>
  <si>
    <t>PANIFICADORA &amp; CONFEITARIA DELLA NONNA LTDA EPP</t>
  </si>
  <si>
    <t>PINK ELEPHANT DO BRASIL CONSULTORIA EMPRESARIAL LTDA.</t>
  </si>
  <si>
    <t>INTERMICRO INTERTEC INFORMÁTICA LTDA - ME</t>
  </si>
  <si>
    <t>JCM INFORMATICA LTDA</t>
  </si>
  <si>
    <t>NSK COMÉRCIO DE MATERIAL ELÉTRICO LTDA. M.E.</t>
  </si>
  <si>
    <t>ELETROLAMP COMÉRCIO E REPRESENTAÇÕES LTDA.</t>
  </si>
  <si>
    <t>ANGELO POSSAMAI NETO ME</t>
  </si>
  <si>
    <t>SALUM DOS SANTOS E CIA LTDA</t>
  </si>
  <si>
    <t>N. S. M. DINIZ - ME</t>
  </si>
  <si>
    <t>PAULO FERNANDO FURLANETTO DOS SANTOS</t>
  </si>
  <si>
    <t>INTERCOST SERVIÇOS LTDA - ME</t>
  </si>
  <si>
    <t>ARRAS COMERCIO E SERVICOS EM TELECOMUNICACOES LTDA - EP</t>
  </si>
  <si>
    <t>MARIA JOSE DA SILVA FARDAMENTOS ME</t>
  </si>
  <si>
    <t>AGS DIGITAL SERVICE COMERCIAL CINE FOTO EIRELI LTDA</t>
  </si>
  <si>
    <t>WILBRAZ INDÚSTRIA E COMÉRCIO DE BRINDES LTDA.</t>
  </si>
  <si>
    <t>VIDEBAND INDÚSTRIA E COMÉRCIO DE CONFECÇÕES EIRELI ME</t>
  </si>
  <si>
    <t>GALAPH COMERCIAL E SERVIÇOS EIREILI ME</t>
  </si>
  <si>
    <t>AZUS INFORMÁTICA LTDA. EPP.</t>
  </si>
  <si>
    <t>IT SOLUTECH COMÉRCIO E IMPORTAÇÃO LTDA</t>
  </si>
  <si>
    <t>SCHNEIDER ELETRIC IT BRASIL IND. E COM. DE EQUIP. ELETRÔNICOS LTDA</t>
  </si>
  <si>
    <t>KABICOL DISTRIBUIDORA LTDA. EPP</t>
  </si>
  <si>
    <t>MOA MANUTENÇÃO E OPERAÇÃO LTDA</t>
  </si>
  <si>
    <t>VICARI COMÉRCIO DE EXTINTORES LTDA.</t>
  </si>
  <si>
    <t>EUROBAC COMERCIO DE PRODUTOS BIOLOGICOS LTDA ME</t>
  </si>
  <si>
    <t>ESCOLA SUL AMERICANA DE RECURSOS HUMANOS LTDA</t>
  </si>
  <si>
    <t>TNS COMERCIAL LTDA.</t>
  </si>
  <si>
    <t>INSTITUTO DO SER - ORIENTACAO PROFISSIONAL E DE CARREIRA</t>
  </si>
  <si>
    <t>STABILE ADMINISTRACAO DE TEMPORÁRIOS LTDA</t>
  </si>
  <si>
    <t>ORLANDO MARTINS ELETRONICOS ME</t>
  </si>
  <si>
    <t>TOKIO MARINE SEGURADORA S/A</t>
  </si>
  <si>
    <t>RODRIGO LUIS SCHAEFER ME</t>
  </si>
  <si>
    <t>BLINK TECNOLOGIA SOB MEDIDA LTDA</t>
  </si>
  <si>
    <t>ALAN GRABOVSKI - EPP</t>
  </si>
  <si>
    <t>EUNICE RAMOS DE ALMEIDA CREMA - ME</t>
  </si>
  <si>
    <t>LUDMAR SERVIÇOS E COMÉRCIO EM GERAL LTDA. - ME</t>
  </si>
  <si>
    <t>PIRÂMIDE INFORMÁTICA E EQUIPAMENTOS LTDA. - ME</t>
  </si>
  <si>
    <t>VALGRI COMPONENTES ELETRÔNICOS LTDA</t>
  </si>
  <si>
    <t>ASSOCIAÇÃO BRASILEIRA DO MERCADO INSTITUCIONAL DE LIMPEZA</t>
  </si>
  <si>
    <t>CENTRAL DE NEGÓCIOS EM RH EDITORA E MARKETING LTDA.</t>
  </si>
  <si>
    <t>PACIN EVENTOS S/C LTDA.</t>
  </si>
  <si>
    <t>DIALOG CONSULTORIA E TREINAMENTO S/C LTDA.</t>
  </si>
  <si>
    <t>PROCLEAN DISTRIBUIDORA LTDA.</t>
  </si>
  <si>
    <t>HOTEL QUINTA DA BICA D`ÁGUA LTDA.</t>
  </si>
  <si>
    <t>FINANCEIRA ALFA CFI S.A.</t>
  </si>
  <si>
    <t>INDÚSTRIA E COMÉRCIO DE MATERIAIS PARA ESCRITÓRIO PERI</t>
  </si>
  <si>
    <t>K &amp; K PAPELARIA E INFORMÁTICA LTDA.</t>
  </si>
  <si>
    <t>AV - MUSIC DISTRIBUICAO E IMPORTACAO LTDA ME</t>
  </si>
  <si>
    <t>NETFICADOS TELECOMUNICAÇÕES LTDA</t>
  </si>
  <si>
    <t>PLANSUL PLANEJAMENTO E CONSULTORIA LTDA</t>
  </si>
  <si>
    <t>BANCO PANAMERICANO S/A</t>
  </si>
  <si>
    <t>MICROINFO PAPELARIA E INFORMÁTICA LTDA</t>
  </si>
  <si>
    <t>RESMA COMÉRCIO DE PAPÉIS LTDA.</t>
  </si>
  <si>
    <t>SPACE MINAS DISTRIBUIDORA LTDA.</t>
  </si>
  <si>
    <t>BRUNO VAZ RODRIGUES</t>
  </si>
  <si>
    <t>RECICLE CATARINENSE DE RESÍDUOS</t>
  </si>
  <si>
    <t>DARIOSH IMPORTAÇÃO E COMERCIO DE TAPETES LTDA</t>
  </si>
  <si>
    <t>CENTRO CATARINENSE DE RETINA E VITREO LTDA.</t>
  </si>
  <si>
    <t>IVAN CORREA &amp; CIA LTDA - ME</t>
  </si>
  <si>
    <t>NEUZA FELIX SILVA 12486066802</t>
  </si>
  <si>
    <t>HENRY WILLIAN HORN ME</t>
  </si>
  <si>
    <t>AGÊNCIA DE VIAGENS AÇORIANA SS</t>
  </si>
  <si>
    <t>L.R. MEDEIROS - SUPRIMENTOS LTDA - ME</t>
  </si>
  <si>
    <t>REDE DE ENSINO LUIZ FLÁVIO GOMES LTDA. - LFG</t>
  </si>
  <si>
    <t>DSOFT - SOLUCOES COM SISTEMAS PERSONALIZADOS LTDA</t>
  </si>
  <si>
    <t>CESUSC - COMPLEXO DE ENSINO SUPERIOR DE SANTA CATARINA LTDA</t>
  </si>
  <si>
    <t>CRISTIANE PARISI KNOLL ME</t>
  </si>
  <si>
    <t>SC DISTRIBUIDORA DE VACINAS LTDA.</t>
  </si>
  <si>
    <t>CHIAMENTI SISTEMAS CONTRA INCÊNDIO E SEGURANCA LTDA.</t>
  </si>
  <si>
    <t>SENAT SERVICO NACIONAL DE APRENDIZAGEM DO TRANSPORTE</t>
  </si>
  <si>
    <t>FUNDAÇÃO EDUCACIONAL DA REGIÃO DE JOINVILLE - FURJ</t>
  </si>
  <si>
    <t>TANTUM GROUP CONSULTORIA EMPRESARIAL LTDA</t>
  </si>
  <si>
    <t>NORTHWARE COMÉRCIO E SERVIÇOS LTDA.</t>
  </si>
  <si>
    <t>FÓRUM NACIONAL DE COMUNICAÇÃO E JUSTIÇA</t>
  </si>
  <si>
    <t>FORD MOTOR COMPANY BRASIL LTDA.</t>
  </si>
  <si>
    <t>TELESYSTEM TELECOMUNICAÇÕES LTDA ME</t>
  </si>
  <si>
    <t>ZEFERINO TREINAMENTOS</t>
  </si>
  <si>
    <t>UNILIFT ELEVADORES LTDA EPP</t>
  </si>
  <si>
    <t>TORINO INFORMÁTICA LTDA.</t>
  </si>
  <si>
    <t>LANLINK INFORMÁTICA LTDA.</t>
  </si>
  <si>
    <t>WOW TREINAMENTO E COACHING LTDA-ME</t>
  </si>
  <si>
    <t>SIENI CAMPOS TRADUÇÕES LTDA</t>
  </si>
  <si>
    <t>PADOIN ENGENHARIA E PROJETOS ELÉTRICOS LTDA.</t>
  </si>
  <si>
    <t>PASA INSTALADORA HIDRÁULICA LTDA. - ME</t>
  </si>
  <si>
    <t>MAXIMA DISTRIBUIDORA E LOGÍSTICA LTDA.</t>
  </si>
  <si>
    <t>ANCS DISTRIBUIDORA LTDA - EPP</t>
  </si>
  <si>
    <t>MAHATAN INFORMÁTICA LTDA</t>
  </si>
  <si>
    <t>SERVICO SOCIAL DO COMERCIO SESC</t>
  </si>
  <si>
    <t>SECAO SC - BRASIL DO PROJECT MANAGEMENT INSTITUTE</t>
  </si>
  <si>
    <t>HASKY AUTOMAÇÃO E TECNOLOGIA DA INFORMAÇÃO LTDA. -EPP</t>
  </si>
  <si>
    <t>DE HARO ? ENGENHARIA E GESTÃO DE NEGÓCIOS LTDA</t>
  </si>
  <si>
    <t>REFERENCIAL EQUIPAMENTOS E SERVIÇOS DE INFORMATICA LTDA.</t>
  </si>
  <si>
    <t>NEW EDUCAR IMPORTAÇÃO E EXPORTAÇÃO LTDA.</t>
  </si>
  <si>
    <t>WESTSOFT - CONSULTORIA E TECNOLOGIA DA INFORMAÇÃO LTDA</t>
  </si>
  <si>
    <t>COMPLEXO TURÍSTICO MORRO DOS CONVENTOS</t>
  </si>
  <si>
    <t>PRAIANA IND. COM. PROD. MED. ODONT. LTDA</t>
  </si>
  <si>
    <t>SASSIPAN PANIFICADORA E CONF. LTDA</t>
  </si>
  <si>
    <t>D&amp; MZ COMERCIO DE LIVROS E FORMÚLARIOS</t>
  </si>
  <si>
    <t>FE DISTRIBUIDORA LTDA - ME</t>
  </si>
  <si>
    <t>MILANI COMÉRCIO E DISTRIBUIÇÃO LTDA</t>
  </si>
  <si>
    <t>PIMONT ARQUITETURA SOCIEDADES SIMPLES LTDA</t>
  </si>
  <si>
    <t>MOBILIZA TECNOLOGIA DA INFORMACAO LTDA. EPP</t>
  </si>
  <si>
    <t>PLANET GRAF COMÉRCIO E IMPRESSÃO DE PAPEL LTDA.</t>
  </si>
  <si>
    <t>L C DAGOSTIN &amp; CIA LTDA ME</t>
  </si>
  <si>
    <t>SOS JARDINAGEM LTDA. ME</t>
  </si>
  <si>
    <t>IIR INFORMA SEMINARIOS LTDA.</t>
  </si>
  <si>
    <t>SOLUÇÕES CRIATIVAS EM COMUNICAÇÃO LTDA.</t>
  </si>
  <si>
    <t>BFBIZ CONSULTORIA E TREINAMENTO LTDA</t>
  </si>
  <si>
    <t>ESQUADRIA DE FERRO ALBINO LTDA</t>
  </si>
  <si>
    <t>CASA VERDE CENTRO DE PAISAGISMO LTDA - ME</t>
  </si>
  <si>
    <t>CR BASSO CONSULTORIA E TREINAMENTO S/S LTDA</t>
  </si>
  <si>
    <t>SUPERMERCADO BUZZI LTDA</t>
  </si>
  <si>
    <t>FLORICULTURA COLINA LTDA</t>
  </si>
  <si>
    <t>BANCO SANTANDER S/A</t>
  </si>
  <si>
    <t>PLASTEM INDUSTRIA E COMÉRCIO DE PLÁSTICOS LTDA.</t>
  </si>
  <si>
    <t>SANTIAGO SERVIÇOS DE COLETA E ENTREGA DE ENCOMENDAS LTDA. - ME</t>
  </si>
  <si>
    <t>RUBENS LOURENÇO BRANDALISE EPP</t>
  </si>
  <si>
    <t>ASSOCIAÇÃO BRASILEIRA DE RECURSOS HUMANOS SECCIONAL SC</t>
  </si>
  <si>
    <t>INNOVIT EDUCACAO LTDA ME</t>
  </si>
  <si>
    <t>ROGERIO &amp; TIAGO COMERCIO DE EXTINTORES LTDA ME</t>
  </si>
  <si>
    <t>NELSON DE SOUZA SERRALHERIA ME</t>
  </si>
  <si>
    <t>S.O.S. SUPRIMENTOS LTDA</t>
  </si>
  <si>
    <t>PINGOARTE IMPRESSAO DIGITAL LTDA - EPP</t>
  </si>
  <si>
    <t>IMUNIZAR CLINICA DE VACINAS LTDA EPP</t>
  </si>
  <si>
    <t>ZAILTON SOUZA</t>
  </si>
  <si>
    <t>NUOVO DESIGN AGÊNCIA DE PUBLICIDADE E PROPAGANDA LTDA. ME.</t>
  </si>
  <si>
    <t>AMBIENTAL TRANSPORTE DE RESÍDUOS LTDA. ME.</t>
  </si>
  <si>
    <t>CASTROBLU MAT. MED. HOP. LTDA. ME</t>
  </si>
  <si>
    <t>REYNET CABEAMENTO ESTRUTURADO - EIRELLI - ME</t>
  </si>
  <si>
    <t>EADPRO TREINAMENTO E DESENVOLVIMENTO PROFISSIONAL E GERENCIAL LTDA-ME</t>
  </si>
  <si>
    <t>J. ZILIOTTO COMÉRCIO DE MÓVEIS E DECORAÇÃO PARA ESCRITÓRIO LTDA. ME.</t>
  </si>
  <si>
    <t>IDEM TÉCNICA EQUIPAMENTOS HOSPITALARES LTDA.</t>
  </si>
  <si>
    <t>RASISCAL ENGENHARIA LTDA.</t>
  </si>
  <si>
    <t>TECHNOPISOS PISOS ELEVADOS E REVESTIMENTOS EIRELI - EPP</t>
  </si>
  <si>
    <t>J MALUCELLI SEGUROS S.A.</t>
  </si>
  <si>
    <t>INSTRUTEMP INSTRUMENTOS DE MEDIÇÃO LTDA.</t>
  </si>
  <si>
    <t>GARRA COMÉRCIO E SERVIÇOS LTDA - ME</t>
  </si>
  <si>
    <t>SANTA RITA - COMERCIO E INSTALACOES LTDA.</t>
  </si>
  <si>
    <t>ANHANGUERA EDUCACIONAL LTDA</t>
  </si>
  <si>
    <t>BM ELETRO ELETRÔNICA LTDA.</t>
  </si>
  <si>
    <t>FONTANA E RUFINO - SERVIÇOS MÉDICOS S/S</t>
  </si>
  <si>
    <t>MOVEIS LOVO LTDA</t>
  </si>
  <si>
    <t>WALSAT LTDA ME</t>
  </si>
  <si>
    <t>JOSÉ PAULO BITENCOURT - ME</t>
  </si>
  <si>
    <t>L.B. MORENO</t>
  </si>
  <si>
    <t>SENIOR SISTEMAS S.A.</t>
  </si>
  <si>
    <t>PREFEITURA MUNICIPAL DE VIDEIRA</t>
  </si>
  <si>
    <t>CIG COMÉRCIO DE EMBALAGENS LTDA</t>
  </si>
  <si>
    <t>EFICIENTE ATACADISTA LTDA EPP</t>
  </si>
  <si>
    <t>J BRILHANTE COMERCIAL LTDA EPP</t>
  </si>
  <si>
    <t>PANMERCO COMERCIAL LTDA EPP</t>
  </si>
  <si>
    <t>SUPERLIGHT ALIMENTOS LTDA EPP</t>
  </si>
  <si>
    <t>CAURE INFORMATICA E SUPRIMENTOS LTDA</t>
  </si>
  <si>
    <t>INFOR SUPRI INFORMÁTICA LTDA ME</t>
  </si>
  <si>
    <t>WORK VIX COMERCIO DE INFORMÁTICA LTDA ME</t>
  </si>
  <si>
    <t>DIROX DISTRIBUIDOR XEROGRÁFICO LTDA</t>
  </si>
  <si>
    <t>BORNIA &amp; CIA LTDA ME</t>
  </si>
  <si>
    <t>SOARES &amp; RIBEIRO COM. E SERVIÇOS DE ART.DE COSTURA, VEST. E MAGAZINE LTDA.-ME</t>
  </si>
  <si>
    <t>ELEMENTO PLURAL IMPORTAÇÃO, EXPORTAÇÃO E COMERCIO DE PRODUTOS ELETRÔNICOS LTDA.</t>
  </si>
  <si>
    <t>J BETTEL LTDA EPP</t>
  </si>
  <si>
    <t>OBIZ TECNOLOGIA DA INFORMACAO LTDA ME</t>
  </si>
  <si>
    <t>HC ABREU UTILIDADES DOMESTICAS LTDA ME</t>
  </si>
  <si>
    <t>COPY CENTER COMERCIO DE PRODUTOS DE INFORMÁTICA LTDA</t>
  </si>
  <si>
    <t>REALTIME COM. DE SOFTWARE LTDA - ME</t>
  </si>
  <si>
    <t>NEIDE SILVA SANTIAGO EIRELLI EPP</t>
  </si>
  <si>
    <t>PROCURADORIA DA UNIÃO EM SANTA CATARINA</t>
  </si>
  <si>
    <t>JUNTA COMERCIAL DO ESTADO DE SANTA CATARINA</t>
  </si>
  <si>
    <t>IMPRESSUL INDÚSTRIA GRÁFICA LTDA</t>
  </si>
  <si>
    <t>PADARIA E CONFEITARIA KI BAGUETTI LTDA ME</t>
  </si>
  <si>
    <t>SOLARIS CONSULTORIA E TREINAMENTO ORGANIZACIONAL LTDA - ME</t>
  </si>
  <si>
    <t>ASSOCIAÇÃO DAS ENTIDADES USUÁRIAS DO CANAL COMUNITÁRIO DE FLORIANÓPOLIS - TV FLORIPA</t>
  </si>
  <si>
    <t>ACN COMÉRCIO DE PRODUTOS DE TRÂNSITO LTDA.</t>
  </si>
  <si>
    <t>UNIÃO BRASILEIRA DE EDUCAÇÃO E ASSISTÊNCIA</t>
  </si>
  <si>
    <t>INSTITUTO BRASILEIRO DE PESQUISAS, DESENVOLVIMENTO E PROMOÇÃO DA INCLUSÃO SOCIAL NO AMBIENTE CONSTRU</t>
  </si>
  <si>
    <t>PHOENIX COMÉRCIO DE SOBRESSALENTES LTDA.</t>
  </si>
  <si>
    <t>AUGUSTO CESAR MAKOUL GASPERIN</t>
  </si>
  <si>
    <t>ESFERA INFORMÁTICA LTDA</t>
  </si>
  <si>
    <t>VALOR ECONOMICO S/A</t>
  </si>
  <si>
    <t>FOCO COMERCIO DE MATERIAS ELETRICOS</t>
  </si>
  <si>
    <t>COML STECANELA MATERIAIS ELÉTRICOS LTDA</t>
  </si>
  <si>
    <t>CENTRAL UNICA DOS TRABALHADORES-CUT</t>
  </si>
  <si>
    <t>INSTITUTO SUPERIOR DE COMUNICAÇÃO LTDA. ME</t>
  </si>
  <si>
    <t>PRIME GRAPHICS COMERCIO E SERVIÇOS LTDA - ME</t>
  </si>
  <si>
    <t>MORGADO CONCURSOS LTDA</t>
  </si>
  <si>
    <t>MULTI QUADROS E VIDROS LTDA</t>
  </si>
  <si>
    <t>RCD EMPREENDIMENTOS LTDA</t>
  </si>
  <si>
    <t>ODONTO PROTESE COMERCIAL LTDA</t>
  </si>
  <si>
    <t>ESTRELA PERSA LTDA EPP</t>
  </si>
  <si>
    <t>EQUIBRASIL LTDA</t>
  </si>
  <si>
    <t>ALCIDES JOSE JUNKES &amp; CIA LTDA - ME</t>
  </si>
  <si>
    <t>FÁBRICA DO CAPACHO COMÉRCIO DE TAPETES EIRELI - EPP</t>
  </si>
  <si>
    <t>MELIM ENGENHARIA E CONSTRUÇÕES LTDA</t>
  </si>
  <si>
    <t>E-STORAGE TECNOLOGIA LTDA.</t>
  </si>
  <si>
    <t>VISUAL SYSTEMS INFORMATICA LTDA</t>
  </si>
  <si>
    <t>VIVO S/A</t>
  </si>
  <si>
    <t>SANTOS E FRANCISCO LTDA</t>
  </si>
  <si>
    <t>AGNUS COMÉRCIO DE MÁQUINAS E EQUIPAMENTOS LTDA</t>
  </si>
  <si>
    <t>CIA. LATINO AMERICANA DE MEDICAMENTOS</t>
  </si>
  <si>
    <t>MADEIREIRA HERVAL LTDA.</t>
  </si>
  <si>
    <t>VALE DO SOL EVENTOS LTDA EPP</t>
  </si>
  <si>
    <t>IAMACIEL COMÉRCIO, REPRESENTAÇÃO E INSTALAÇÃO DE EQUIPAMENTOS DE TECNOLOGIA LTDA.</t>
  </si>
  <si>
    <t>THALINE HUYER DE ROZA ME</t>
  </si>
  <si>
    <t>TELEFONICA BRASIL S.A.</t>
  </si>
  <si>
    <t>2P VIDEO PRODUCOES LTDA - ME</t>
  </si>
  <si>
    <t>MARCOS AURELIO RIGOTTI AMARAL 05851760940</t>
  </si>
  <si>
    <t>PROCESSOR INFORMÁTICA S.A.</t>
  </si>
  <si>
    <t>MORO E MARTINS LTDA</t>
  </si>
  <si>
    <t>IT ONE TECNOLOGIA DA INFORMAÇÃO LTDA.</t>
  </si>
  <si>
    <t>ANOVATI IND. COM. IMP. EXP. EQUIP. INF. LTDA</t>
  </si>
  <si>
    <t>ALFA EDUCAÇÃO CORPORATIVA LTDA. - ME</t>
  </si>
  <si>
    <t>MULTI SUPRIMENTOS EIRELI - ME</t>
  </si>
  <si>
    <t>BROTHERS PRODUTOS E SERVIÇOS LTDA.-ME</t>
  </si>
  <si>
    <t>SOCIEDADE BRASILEIRA DE CLINICA MEDICA REGIONAL DE SANTA CATARINA</t>
  </si>
  <si>
    <t>CONDOMINIO CENTRO EXECUTIVO PAGANI</t>
  </si>
  <si>
    <t>DAMAZIO &amp; GOULART EVENTOS LTDA</t>
  </si>
  <si>
    <t>CAMBIRELA EMPREENDIMENTOS TURÍSTICOS LTDA</t>
  </si>
  <si>
    <t>SPONTES ASSESSORIA ECONÔMICO-FINANCEIRA LTDA.</t>
  </si>
  <si>
    <t>ASSOCIAÇÃO DOS SERVIDORES DA JUSTIÇA DO TRABALHO DE LAGES</t>
  </si>
  <si>
    <t>ESPAÇO ÉTICA SERVIÇOS PEDAGÓGICOS DO ENSINO FUNDAMENTAL LTDA.</t>
  </si>
  <si>
    <t>PODER JUDICIÁRIO DO ESTADO DE SANTA CATARINA</t>
  </si>
  <si>
    <t>RASKAL COMERCIO E SERVIÇOS DE INFORMATICA LTDA ME</t>
  </si>
  <si>
    <t>SER SERVICOS DE PSICOLOGIA LTDA.</t>
  </si>
  <si>
    <t>REPRESENTAÇÃO COMERCIAL E COMÉRCIO DE ALIMENTOS ZAMPROGNA LTDA.</t>
  </si>
  <si>
    <t>VEC CAPACITAÇÃO EXECUTIVA LTDA. EPP.</t>
  </si>
  <si>
    <t>MAGNUS PROJETOS CONSTRUÇÕES E REPRESENTAÇÕES COMERCIAIS LTDA.</t>
  </si>
  <si>
    <t>ASSOC. NACIONAL DOS ANALISTAS, TÉCNICOS E AUXILIARES DO PODER JUDICIÁRIO E MP DA UNIÃO</t>
  </si>
  <si>
    <t>UNIVERSIDADE DO SUL DE SANTA CATARINA</t>
  </si>
  <si>
    <t>FACULDADE CENECISTA DE JOINVILLE</t>
  </si>
  <si>
    <t>VISIONAIR LOCAÇÕES DE EQUIPAMENTOS LTDA - EPP</t>
  </si>
  <si>
    <t>M F R - PANIFICADORA E CONFEITARIA LTDA - ME</t>
  </si>
  <si>
    <t>AR CONDICIONADO CENTRAL CONVENCIONAL WPS LTDA</t>
  </si>
  <si>
    <t>DISMACENTER INDÚSTRIA E COMÉRCIO DE MÓVEIS EIRELI LTDA</t>
  </si>
  <si>
    <t>TRIBUNAL REGIONAL DO TRABALHO DA 20ª REGIÃO</t>
  </si>
  <si>
    <t>MASTERKAP COMERCIO DE CAPACHOS LTDA</t>
  </si>
  <si>
    <t>ONDASONORA GRAVAÇÕES LTDA</t>
  </si>
  <si>
    <t>SWL INFORMATICA LTDA ME</t>
  </si>
  <si>
    <t>VALEMEC ELETROMECÂNICA LTDA.</t>
  </si>
  <si>
    <t>INOVAMAX TELEINFORMATICA LTDA.</t>
  </si>
  <si>
    <t>CEBRAS MATERIAIS ELÉTRICOS E ILUMINAÇÃO LTDA.</t>
  </si>
  <si>
    <t>DOTSERV INFORMÁTICA LTDA.</t>
  </si>
  <si>
    <t>PRATIKO DECORAÇÕES COM. LTDA-ME</t>
  </si>
  <si>
    <t>PAULA MARIA CHEREM LUFT ME</t>
  </si>
  <si>
    <t>JAIR WRZESINSKI</t>
  </si>
  <si>
    <t>CPD CONSULTORIA, PLANEJAMENTO E DESENVOLVIMENTO DE SISTEMAS LTDA.</t>
  </si>
  <si>
    <t>SOCIEDADE CIVIL AVANTIS DE ENSINO LTDA.</t>
  </si>
  <si>
    <t>PRINT SOLUÇÃO EM TECNOLOGIA LTDA. ME.</t>
  </si>
  <si>
    <t>PROJECTLAB CENTRO DE COMPETENCIA EM GERENCIA DE PROJETO LTDA</t>
  </si>
  <si>
    <t>TRT DA 15ª REGIÃO</t>
  </si>
  <si>
    <t>TRT DA 1ª REGIÃO</t>
  </si>
  <si>
    <t>MDH MATERIAIS DE ESCRITÓRIO LTDA. ME</t>
  </si>
  <si>
    <t>BRW SUPORTE E LOGISTICA PARA SAUDE LTDA</t>
  </si>
  <si>
    <t>VERSAT ANTENAS PARABOLICAS LTDA.</t>
  </si>
  <si>
    <t>DIGITAL SAFE INFORMÁTICA LTDA-ME</t>
  </si>
  <si>
    <t>GWR IMPORTAÇÃO LTDA</t>
  </si>
  <si>
    <t>KAZZA TELEINFORMATICA LTDA</t>
  </si>
  <si>
    <t>SIERDOVSKI &amp; SIERDOVSKI LTDA</t>
  </si>
  <si>
    <t>COMERCIAL DE ELETRODOMESTICOS LAGES LTDA.</t>
  </si>
  <si>
    <t>PROKLIMA AR CONDICIONADO LTDA.</t>
  </si>
  <si>
    <t>BMI PROSPER EIRELI ME</t>
  </si>
  <si>
    <t>STILOGRAF PRODUTOS GRÁFICOS E SERVIÇOS LTDA.</t>
  </si>
  <si>
    <t>MARCIA REGINA DE GOES MONTEIRO - ME</t>
  </si>
  <si>
    <t>GR SOLUÇÕES AMBIENTAIS LTDA</t>
  </si>
  <si>
    <t>MODUS CONSULTORIA ORGANIZACIONAL LTDA - ME</t>
  </si>
  <si>
    <t>MACIEL CONSULTORIA E SERVIÇOS LTDA - ME</t>
  </si>
  <si>
    <t>UNIFORME DO PROFISSIONAL COM. DE ROUPAS LTDA</t>
  </si>
  <si>
    <t>ILHA SERVICE SERVIÇOS DE INFORMÁTICA LTDA.</t>
  </si>
  <si>
    <t>VIDALAR PROJETOS E INSTALAÇÕES DE AR COND. LTDA</t>
  </si>
  <si>
    <t>FIBERSALS IMPERMEABILIZAÇÃO EM EDIFICAÇÕES LTDA.</t>
  </si>
  <si>
    <t>DATAINFO SOLUÇÕES EM TECNOLOGIA DA INFORMAÇÃO LTDA</t>
  </si>
  <si>
    <t>JS CLIMATIZAÇÕES LTDA.</t>
  </si>
  <si>
    <t>CLIMATINTAS LTDA</t>
  </si>
  <si>
    <t>ADEGA INFORMÁTICA E ELETROELETRÔNICA LTDA</t>
  </si>
  <si>
    <t>SUPERMERCADOS SCHUTZE LTDA</t>
  </si>
  <si>
    <t>DALFA PRESTAÇÕES DE SERVIÇOS ESPORTIVOS E REPRESENTAÇÕES LTDA</t>
  </si>
  <si>
    <t>ENFEMED SERVIÇOS MÉDICOS S/S LTDA</t>
  </si>
  <si>
    <t>PEREIRA PUBLICIDADE VISUAL LTDA</t>
  </si>
  <si>
    <t>SHANON MODA LTDA - EPP</t>
  </si>
  <si>
    <t>TAVARES &amp; ROSIN PLANEJADOS LTDA</t>
  </si>
  <si>
    <t>EMG7 AGENCIA DIGITAL LTDA ME</t>
  </si>
  <si>
    <t>TRIBUNAL REGIONAL DO TRABALHO DA 12ª REGIAO</t>
  </si>
  <si>
    <t>VELAMAR COMERCIO DE PRODUTOS NAUTICOS</t>
  </si>
  <si>
    <t>FOLSTER TELECOM COMÉRCIO LTDA ME</t>
  </si>
  <si>
    <t>REINKJET TINTAS TONERS E INFORMÁTICA LTDA - EPP</t>
  </si>
  <si>
    <t>GRAVES E AGUDOS COMERCIO DE INSTRUMENTOS MUSICAIS LTDA</t>
  </si>
  <si>
    <t>KAROLINE STOLF DE SOUZA - ME.</t>
  </si>
  <si>
    <t>TRÊS R VIDAL COMÉRCIO E SERVIÇOS LTDA.</t>
  </si>
  <si>
    <t>SALENAS MATERIAIS PARA ESCRITÓRIO LTDA. ME</t>
  </si>
  <si>
    <t>TOMCZAK &amp; CIA. LTDA.</t>
  </si>
  <si>
    <t>INFOCLARO INFORMÁTICA LTDA.</t>
  </si>
  <si>
    <t>SECRETARIA DE CONTROLE EXTERNO DO TRIBUNAL DE CONTAS DA UNIÃO NO ESTADO DE SANTA CATARINA</t>
  </si>
  <si>
    <t>PRONTOLAB EQUIPAMENTOS E PRODUTOS CIENTIFICOS LTDA</t>
  </si>
  <si>
    <t>YCON ENGENHARIA  LTDA</t>
  </si>
  <si>
    <t>SERRALHERIA FREDERICO LTDA ME</t>
  </si>
  <si>
    <t>JERSON ADRIANO WAGNER ME</t>
  </si>
  <si>
    <t>L &amp; E COMÉRCIO ATACADISTA LTDA ME</t>
  </si>
  <si>
    <t>ADRNETWORK TELECOMUNICAÇÕES LTDA</t>
  </si>
  <si>
    <t>PROVILLE INFORMATICA LTDA. EPP</t>
  </si>
  <si>
    <t>PROVILLE INFORMATICA LTDA EPP</t>
  </si>
  <si>
    <t>TECPARTS IMPORTAÇÃO E DISTRIBUIÇÃO DE PEÇAS LTDA</t>
  </si>
  <si>
    <t>GOINFO ALONSO INFORMATICA COMERCIO E SERVIÇO LTDA.</t>
  </si>
  <si>
    <t>ALVO DIGITAL PUBLICIDADE LTDA EPP</t>
  </si>
  <si>
    <t>SIMÃO E MELO SOCIEDADE DE ADVOGADOS LTDA</t>
  </si>
  <si>
    <t>AIRFREE PRODUCTS DO BRASIL IND. E COM. LTDA.</t>
  </si>
  <si>
    <t>PINGO EQUIPAMENTOS DE SEGURANÇA LTDA.</t>
  </si>
  <si>
    <t>COMERCIAL DE FERRAGENS MILIUM LTDA.</t>
  </si>
  <si>
    <t>FUNDAÇÃO UNIVERSIDADE REGIONAL DE BLUMENAU - FURB</t>
  </si>
  <si>
    <t>510001/57202</t>
  </si>
  <si>
    <t>COORDENADORIA GERAL DE ORÇAMENTO, FINANÇAS E CONTABILIDADE</t>
  </si>
  <si>
    <t>SHARK COM. DE SUPR. PARA ESCRITORIO LTDA</t>
  </si>
  <si>
    <t>POLICARBON BRASIL INDUSTRIA DE FILTROS E BEBEDOUROS LTDA ME</t>
  </si>
  <si>
    <t>MDH TRANSPORTE RODOVIÁRIO DE CARGA LTDA EPP</t>
  </si>
  <si>
    <t>F-SET SOLUÇÕES EM EVENTOS LTDA - ME</t>
  </si>
  <si>
    <t>FUNDAÇÃO EDUCACIONAL BARRIGA VERDE - FEBAVE - UNIBAVE</t>
  </si>
  <si>
    <t>FLEXFORM INDÚSTRIA METALURGICA LTDA</t>
  </si>
  <si>
    <t>BAÍA NORTE PALACE HOTEL LTDA</t>
  </si>
  <si>
    <t>ALDA OLINDO DE SOUZA</t>
  </si>
  <si>
    <t>PRINTSTUDIO LTDA</t>
  </si>
  <si>
    <t>WE GOV TREINAMENTO PRA GESTAO PUBLICA LTDA ME</t>
  </si>
  <si>
    <t>MARIA DE LOURDES ALVES DANTAS ME</t>
  </si>
  <si>
    <t>ANGELONY COM. DE MÓVEIS E ELETR. LTDA ME</t>
  </si>
  <si>
    <t>WERNER &amp; BARA LTDA.</t>
  </si>
  <si>
    <t>PROJEÇÃO CONSTRUTORA E EMPREENDIMENTOS LTDA</t>
  </si>
  <si>
    <t>PAPELARIA BRAGA LTDA -EPP</t>
  </si>
  <si>
    <t>THEREZINHA DA HORA BORGES-ME</t>
  </si>
  <si>
    <t>SISMETAL LTDA</t>
  </si>
  <si>
    <t>GRAFIMEL ARTES GRÁFICAS LTDA. ME</t>
  </si>
  <si>
    <t>LHV OLIVEIRA INFORMÁTICA ME.</t>
  </si>
  <si>
    <t>PREFEITURA MUNICIPAL DE JOAÇABA</t>
  </si>
  <si>
    <t>PRANDI CONSTRUÇÃO CIVIL LTDA</t>
  </si>
  <si>
    <t>GARAGE AUDIO CAR LTDA ME</t>
  </si>
  <si>
    <t>LAIONES DA SILVA NASCIMENTO - EPP</t>
  </si>
  <si>
    <t>ATACADO LITORAL CATARINENSE LTDA. ME.</t>
  </si>
  <si>
    <t>INFOTV COMUNICAÇOES LTDA</t>
  </si>
  <si>
    <t>CURSO LOUREIRO DE GESTAO EM GOVERNANCA PUBLICA LTDA - ME</t>
  </si>
  <si>
    <t>KOMPETENZ CLIMATIZAÇÃO LTDA ME</t>
  </si>
  <si>
    <t>LCA VIDEO PRODUTORA LTDA - ME</t>
  </si>
  <si>
    <t>TRIBUNAL REGIONAL DO TRABALHO DA 19ª REGIÃO</t>
  </si>
  <si>
    <t>TRIBUNAL REGIONAL DO TRBALHO DA 14ª REGIÃO</t>
  </si>
  <si>
    <t>VIDRAÇARIA MONTE CASTELO LTDA ME</t>
  </si>
  <si>
    <t>PLENO IURE INSTITUTO DE ESTUDOS PREPARATÓRIOS PARA CONCURSOS LTDA. - ME</t>
  </si>
  <si>
    <t>D&amp;D FESTAS E EVENTOS LTDA ME</t>
  </si>
  <si>
    <t>VIVEIRO BEIJA FLOR LTDA ME</t>
  </si>
  <si>
    <t>AXT CONSULTORIA HISTÓRICA LTDA</t>
  </si>
  <si>
    <t>CONTRESEG TREINAMENTO LTDA</t>
  </si>
  <si>
    <t>COMODO BRASIL TECNOLOGIA LTDA - ME</t>
  </si>
  <si>
    <t>EDUARDO RAPHAEL SEBASTIÃO ME</t>
  </si>
  <si>
    <t>BELLESKY INDUSTRIA, COMERCIO, IMPORTAÇÃO E EXPORTAÇÃO LTDA.</t>
  </si>
  <si>
    <t>ONE COMERCIAL - EIRELI - ME</t>
  </si>
  <si>
    <t>POSTERARI ASSESSORIA TECNICA LTDA ME</t>
  </si>
  <si>
    <t>RSTV LTDA EPP</t>
  </si>
  <si>
    <t>COMERCIAL MALUBE LTDA ME</t>
  </si>
  <si>
    <t>GUP INDÚSTRIA E COMÉRCIO DE UNIFORMES PROFISSIONAIS E EQUIPAMENTOS DE SEGURANÇA LTDA.</t>
  </si>
  <si>
    <t>PORTÁTIL EQUIPAMENTOS DE INFORMÁTICA LTDA</t>
  </si>
  <si>
    <t>OBRA24HORAS SOLUÇÕES WEB PARA ENGENHARIA LTDA</t>
  </si>
  <si>
    <t>INSTITUTO CAMINHARE - CONSULTORIA EM GESTÃO E COMPORTAMENTO, EDUCAÇÃO E CLÍNICA LTDA ME</t>
  </si>
  <si>
    <t>ITC - INSTITUTO DE TECNOLOGIA EM CONHECIMENTO</t>
  </si>
  <si>
    <t>HBJ COMERCIO DE MATERIAIS DE CONSTRUÇÃO LTDA ME</t>
  </si>
  <si>
    <t>REI DAS DIVISORIAS LTDA.</t>
  </si>
  <si>
    <t>IT PARTNERS ASSESSORIA E CONSULTORIA LTDA EPP</t>
  </si>
  <si>
    <t>CIA. CANOINHAS DE PAPEL</t>
  </si>
  <si>
    <t>VIVIANE FABRICACAO DE MAQUINAS E EQUIPAMENTOS EIRELI</t>
  </si>
  <si>
    <t>INFOWORLD INFORMATICA LTDA ME</t>
  </si>
  <si>
    <t>NEMA ELETROTECNICA LTDA.</t>
  </si>
  <si>
    <t>TECNOHOLD DEVELOPMENT TECHNOLOGY INDÚSTRIA E COMÉRCIO LTDA.</t>
  </si>
  <si>
    <t>RDCOM LTDA - ME</t>
  </si>
  <si>
    <t>DINO BUENO PINTO-DGD INDÚSTRIA E COMÉRCIO</t>
  </si>
  <si>
    <t>PERFIL GRÁFICA E EDITORA LTDA.</t>
  </si>
  <si>
    <t>CASALUPE COMERCIO LTDA - EPP</t>
  </si>
  <si>
    <t>PROLUX ILUMINACAO LTDA - ME</t>
  </si>
  <si>
    <t>VIA NOVITA LTDA - ME</t>
  </si>
  <si>
    <t>LOCOMOTIVA COMERCIO DE ELETRONICOS LTDA - EP</t>
  </si>
  <si>
    <t>BELLCOMSYS COMERCIO E PRESTAÇÃO DE SERVIÇOS LTDA</t>
  </si>
  <si>
    <t>EMPRESA BRASILEIRA DE TELECOMUNICAÇÕES S.A. - EMBRATEL</t>
  </si>
  <si>
    <t>CLARO S/A</t>
  </si>
  <si>
    <t>HAMILTON MACHADO - ME</t>
  </si>
  <si>
    <t>JAB DISTRIBUIDORA EIRELI - ME</t>
  </si>
  <si>
    <t>LICITAL COMERCIAL LTDA - ME</t>
  </si>
  <si>
    <t>VANGUARD COMERCIAL SERVIÇOS IMPORTAÇÃO EXPORTAÇÃO LTDA.</t>
  </si>
  <si>
    <t>ELETROTÉRMICA REFRIGERAÇÃO LTDA ME</t>
  </si>
  <si>
    <t>MENDES &amp; WIEST LTDA ME</t>
  </si>
  <si>
    <t>GLOBAL  DIVISORIAS LTDA ME</t>
  </si>
  <si>
    <t>PERFIL COMPUTACIONAL LTDA</t>
  </si>
  <si>
    <t>EDITORA SEGMENTO LTDA</t>
  </si>
  <si>
    <t>MKT ADMINISTRAÇÃO DE ASSINATURAS LTDA.</t>
  </si>
  <si>
    <t>VELUART COMÉRCIO DE PAPÉIS LTDA.</t>
  </si>
  <si>
    <t>GLOBAL COMERCIAL LTDA.</t>
  </si>
  <si>
    <t>V OFFICE CONSULTORES ASSOCIADOS LTDA-EPP</t>
  </si>
  <si>
    <t>MICROBUSINESS COMERCIO DE EQUIPAMENTOS PARA INFORMÁTICA LTDA-ME</t>
  </si>
  <si>
    <t>MARCELO SILVA</t>
  </si>
  <si>
    <t>CASA DO EXTINTOR SEGURANÇA LTDA</t>
  </si>
  <si>
    <t>INSTITUTO MINEIRO DE ENGENHARIA CIVIL - IMEC</t>
  </si>
  <si>
    <t>SERVICO SOCIAL DO COMERCIO - SESC AR/SC</t>
  </si>
  <si>
    <t>ASAMED DISTRIBUIDORA DE PRODUTOS MEDICO-FARMACEUTICOS LTDA</t>
  </si>
  <si>
    <t>DROGARIA E FARMACIA DROGAVIDA LTDA</t>
  </si>
  <si>
    <t>NERI SANTO DAMO</t>
  </si>
  <si>
    <t>FIAT AUTOMÓVEIS S.A</t>
  </si>
  <si>
    <t>VÁ E VENÇA CONSULTORIA SOCIEDADE SIMPLES PURA</t>
  </si>
  <si>
    <t>KCO COMÉRCIO - ELETRÔNICOS LTDA</t>
  </si>
  <si>
    <t>INSTITUTO ZANELLI - TREINAMENTO, DESENV. E EDU. NAS ORG. E NO TRAB. LTDA ME</t>
  </si>
  <si>
    <t>SR COMERCIO DE VIDROS LTDA ME</t>
  </si>
  <si>
    <t>ELEVADORES CASTELO LTDA EPP</t>
  </si>
  <si>
    <t>LUIZ ROBERTO SCHLICKMANN JUNIOR ME</t>
  </si>
  <si>
    <t>ADVOCACIA-GERAL DA UNIÃO -AGU</t>
  </si>
  <si>
    <t>FEDERAL VIDA E PREVIDÊNCIA S.A</t>
  </si>
  <si>
    <t>FUNDAÇÃO SOCIEDADE BRASILEIRA DE PEDIATRIA</t>
  </si>
  <si>
    <t>SINALBLU INDÚSTRIA E COMÉRCIO LTDA</t>
  </si>
  <si>
    <t>PREFEITURA MUNICIPAL DE NAVEGANTES</t>
  </si>
  <si>
    <t>A. DAROS INFORMATICA LTDA</t>
  </si>
  <si>
    <t>ECOPO INDUSTRIA DE COPOS DE PAPEL LTDA ME</t>
  </si>
  <si>
    <t>SAP BRASIL LTDA</t>
  </si>
  <si>
    <t>E-ALIMENTAR RESTAURANTE LTDA.</t>
  </si>
  <si>
    <t>GM INDÚSTRIA E COMÉRCIO VAREJISTA DE MÓVEIS LTDA. ME.</t>
  </si>
  <si>
    <t>GSP HOTELARIA INGLESES LTDA</t>
  </si>
  <si>
    <t>KHRONOS IND. COM. E SERVIÇOS EM ELETRÔNICA LTDA</t>
  </si>
  <si>
    <t>HOPE TECH TELECOMUNICAÇÕES E COMÉRCIO SERVIÇOS LTDA</t>
  </si>
  <si>
    <t>ASSOC DOS MAGISTR DA JUSTICA DO TRAB DA TERCEIRA REGIAO</t>
  </si>
  <si>
    <t>VIVIANE SOARES DA SILVA ME</t>
  </si>
  <si>
    <t>SIMONE DE PAULA</t>
  </si>
  <si>
    <t>BRADESCO VIDA E PREVIDÊNCIA S/A</t>
  </si>
  <si>
    <t>M. K. TRANJAN ETIQUETAS EPP</t>
  </si>
  <si>
    <t>FUNDO DE IMPRESA NACIONAL</t>
  </si>
  <si>
    <t>FLORICULTURA ELAINE LTDA - ME</t>
  </si>
  <si>
    <t>AÇO INOX INDUSTRIA E COMÉRCIO LTDA</t>
  </si>
  <si>
    <t>LINEX TRAVEL VIAGENS E TURISMO LTDA - ME</t>
  </si>
  <si>
    <t>GRESSUS CONSULTORIA DE GESTÃO EMPRESARIAL LTDA</t>
  </si>
  <si>
    <t>GALAPH COMERCIAL E SERVIÇOS EIRELI ME</t>
  </si>
  <si>
    <t>GISELE CHEMBERGE ME</t>
  </si>
  <si>
    <t>INFOAR COMÉRCIO E SERVIÇOS EM AR CONDICIONADO E INFORMÁTICA LTDA.</t>
  </si>
  <si>
    <t xml:space="preserve"> SINDICATO DOS ARRUMADORES E MOVIMENT DE MERCADORIAS EM GERAL DE JOINVELLE</t>
  </si>
  <si>
    <t>PREFEITURA MUNICIPAL DE CURITIBANOS</t>
  </si>
  <si>
    <t>DISTRISUPRI DISTRIBUIDORA E COMÉRCIO DE SUPRIMENTOS DE INFORMÁTICA LTDA - EPP</t>
  </si>
  <si>
    <t>SERIPRINT COMUNICAÇÃO VISUAL LTDA. ME</t>
  </si>
  <si>
    <t>ASSOCIACAÇÃO DOS ARQUIVISTAS DO ESPIRITO SANTO</t>
  </si>
  <si>
    <t>PC FLORIPA INFORMÁTICA LDTA.</t>
  </si>
  <si>
    <t>METROPOLITANA COMERCIO E SERVIÇOS LTDA. ME</t>
  </si>
  <si>
    <t>ERGONOMIZE COMERCIO E MARKETING DIRETO LTDA - ME</t>
  </si>
  <si>
    <t>ILHA SUPORTES LTDA ME</t>
  </si>
  <si>
    <t>LEMAR INK FRANQUIAS LTDA</t>
  </si>
  <si>
    <t>CADRITECH CONSULTORIA E TREINAMENTO EM INFORMATICA LTDA.</t>
  </si>
  <si>
    <t>CENTRO DE FORMAÇAO DE CONDUTORES TRANSYTAR LTDA</t>
  </si>
  <si>
    <t>CENTRO DE FORMAÇÃO DE CONDUTORES BRINHOSA LTDA</t>
  </si>
  <si>
    <t>DISTRIBUIDORA NOVA ESPERANÇA LTDA ME</t>
  </si>
  <si>
    <t>RAINHA DAS ÁGUAS COMÉRCIO LTDA - ME</t>
  </si>
  <si>
    <t>HORIZONTE SERVICOS DE CLIMATIZACAO LTDA</t>
  </si>
  <si>
    <t>MASTERNEW INFORMÁTICA LTDA.</t>
  </si>
  <si>
    <t>SULSISTEM DIGITAL LTDA.</t>
  </si>
  <si>
    <t>INFORMATIC COMÉRCIO E REPRESENTAÇÃO LTDA.</t>
  </si>
  <si>
    <t>VIDRAÇARIA VIDROLIN LTDA. EPP.</t>
  </si>
  <si>
    <t>RM COMÉRCIO DE EQUIPAMENTOS DE SEGURANÇA LTDA. EPP.</t>
  </si>
  <si>
    <t>JEFERSON DA SILVEIRA ME</t>
  </si>
  <si>
    <t>FRANCIELE INAYE GONÇALVES</t>
  </si>
  <si>
    <t>ALL LUX SERVIÇOS, COMÉRCIO E IMPORTAÇÃO LTDA</t>
  </si>
  <si>
    <t>CHEF LENO FESTAS &amp; EVENTOS LTDA EPP</t>
  </si>
  <si>
    <t>JZRS - OFICINA LTDA - ME</t>
  </si>
  <si>
    <t>ASSOCIAÇÃO BENEFICENTE DE ASSISTÊNCIA À SAÚDE DOS JUIZES DO TRABALHO DA 15ª REGIÃO</t>
  </si>
  <si>
    <t>ALLEN RIO SERVIÇOS E COMÉRCIO DE PRODUTOS DE INFORMÁTICA LTDA.</t>
  </si>
  <si>
    <t>ASSOCIAÇÃO HISPANO BRASILERIA INSTITUTO CERVANTES</t>
  </si>
  <si>
    <t>OXI-GÊNIO FLORIANÓPOLIS LTDA</t>
  </si>
  <si>
    <t>LINETEL TELECOMUNICACOES LTDA.</t>
  </si>
  <si>
    <t>A + MEGA IMPRESSÕES LTDA</t>
  </si>
  <si>
    <t>IPE INFORMATICA LTDA</t>
  </si>
  <si>
    <t>COMERCIALIZZA DISTRIBUIDORA DE PRODUTOS DE LIMPEZA LTDA - ME</t>
  </si>
  <si>
    <t>SERRA AZUL INDUSTRIA E COMERCIO DE PAPEIS LTDA</t>
  </si>
  <si>
    <t>VCE DISTRIBUIDORA LTDA ME</t>
  </si>
  <si>
    <t>ODONTO PRIME EUIQPAMENTOS MÉDICOS E ODONTOLÓGICOS</t>
  </si>
  <si>
    <t>SONDAOESTE SONDAGENS E GEOLOGIA LTDA</t>
  </si>
  <si>
    <t>CVC EQUIPAMENTOS MÉDICOS LTDA</t>
  </si>
  <si>
    <t>MAXICOMP COMERCIO DE PRODUTOS DE INFORMATICA LTDA - ME</t>
  </si>
  <si>
    <t>SEVENTEC TECNOLOGIA E INFORMÁTICA LTDA - EPP</t>
  </si>
  <si>
    <t>ROSS-TECH INFORMÁTICA EIRELI - EPP</t>
  </si>
  <si>
    <t>TECNO SEG INFORMÁTICA E SEGURANÇA DE DADOS LTDA - EPP</t>
  </si>
  <si>
    <t>PWM SISTEMAS DE ENERGIA E INFORMÁTICA LTDA</t>
  </si>
  <si>
    <t>BOXTOP DO BRASIL ELEVADORES LTDA</t>
  </si>
  <si>
    <t>ALPHA HIGIENE E LIMPEZA LTDA.</t>
  </si>
  <si>
    <t>COMERCIAL BORA &amp; FILHO LTDA.</t>
  </si>
  <si>
    <t>CHOBAL COMERCIAL DE ALIMENTOS LTDA.</t>
  </si>
  <si>
    <t>ANDREOLI &amp; BRAGA COMÉRCIO E SERVIÇOS DESCARTÁVEIS LTDA.</t>
  </si>
  <si>
    <t>L R FUGII TECNOLOGIA</t>
  </si>
  <si>
    <t>COMERCIAL E  DEDETIZADORA   LUIZIANA LTDA ME</t>
  </si>
  <si>
    <t>ALDO AZEVEDO ALVES ME</t>
  </si>
  <si>
    <t>TECNOPERFIL PLASTICOS LTDA.</t>
  </si>
  <si>
    <t>MI COMERCIO E SERVIÇOS DE INFORMÁTICA LTDA.</t>
  </si>
  <si>
    <t>J.M.C MATERIAIS PARA CONSTRUÇÃO LTDA</t>
  </si>
  <si>
    <t>FUNDACAO MUNICIPAL DO MEIO AMBIENTE DE NAVEGANTES</t>
  </si>
  <si>
    <t>FACULDADE CENECISTA DE JOINVILLE - FCJ</t>
  </si>
  <si>
    <t>CONDOMÍNIO RESIDENCIAL DALPE</t>
  </si>
  <si>
    <t>TOKIO MARINE BRASIL SEGURADORA S.A.</t>
  </si>
  <si>
    <t>DOM STEPHANO EMBALAGENS LTDA-ME.</t>
  </si>
  <si>
    <t>ESCOLA TECNICA DE SAUDE DR. PAULO GARCIA LTDA</t>
  </si>
  <si>
    <t>DRJ RADIOCOMUNICAÇÃO LTDA</t>
  </si>
  <si>
    <t>JMN MOLDURAS E IMÓVEIS LTDA ME</t>
  </si>
  <si>
    <t>SOCIEDADE EDUCACIONAL LEONARDO DA VINCI S/A</t>
  </si>
  <si>
    <t>PANIFICADORA PB LTDA - ME</t>
  </si>
  <si>
    <t>CARLINDO FIALHO DA SILVA EIRELI - EPP</t>
  </si>
  <si>
    <t>R D DAVID - PRODUTOS PROMOCIONAIS - ME</t>
  </si>
  <si>
    <t>PRINTE COMÉRCIO PARA IMPRESSÃO LTDA - EPP</t>
  </si>
  <si>
    <t>ASA SUL INFORMÁTICA LTDA.</t>
  </si>
  <si>
    <t>ROQUE EDGAR STORI &amp; CIA. LTDA.</t>
  </si>
  <si>
    <t>TRIBUNAL REGIONAL DO TRABALHO DA 23ª REGIÃO</t>
  </si>
  <si>
    <t>INSTITUTO SUP. DE ENS. EST. E PESQ. EM CIÊNCIAS SOCIAIS LTDA</t>
  </si>
  <si>
    <t>PREFEITURA DE PORTO UNIÃO</t>
  </si>
  <si>
    <t>CHAVES COMÉRCIO E LICITAÇÕES LTDA.</t>
  </si>
  <si>
    <t>SURICATO SHOP EXPRESS LTDA.</t>
  </si>
  <si>
    <t>BELLMED COMÉRCIO E REPRESENTAÇÕES LTDA.</t>
  </si>
  <si>
    <t>DIAL DEPARTAMENTOS LTDA.</t>
  </si>
  <si>
    <t>DIGITALART COMERCIO E SERVIÇO DE MIDIAS PORTATEIS LTDA ME</t>
  </si>
  <si>
    <t>RESTAURANTE E LANCHONETE BECKER LTDA ME</t>
  </si>
  <si>
    <t>ASSOC. DAS MICRO E PEQUENAS EMPRESAS DO VALE DO ITAPOCU</t>
  </si>
  <si>
    <t>TOTAL ACESSIBILIDADE - ELENI APARECIDA SANTOS ME</t>
  </si>
  <si>
    <t>META PLURAL COMERCIO E SERVIÇOS EM EQUIPAMENTOS</t>
  </si>
  <si>
    <t>WALD E WALD MEDICINA DO TRABALHO LTDA</t>
  </si>
  <si>
    <t>JUSTIÇA FEDERAL EM SANTA CATARINA - SEÇÃO JUDICIÁRIA DO ESTADO DE SANTA CATARINA</t>
  </si>
  <si>
    <t>NEW COMERCIAL LTDA.</t>
  </si>
  <si>
    <t>B2S COMERCIO DE BRINDES LTDA - ME</t>
  </si>
  <si>
    <t>MARISTELA FOREST GALLINA - ME</t>
  </si>
  <si>
    <t>FBS LTDA ME.</t>
  </si>
  <si>
    <t>NASCIMENTO E SILVEIRA ACADEMIA LTDA</t>
  </si>
  <si>
    <t>USC CONSULTORIA DE INFORMÁTICA EIRELI - EPP</t>
  </si>
  <si>
    <t>GREEN BUILDING COUNCIL-BRASIL</t>
  </si>
  <si>
    <t>DEDETIZADORA BARROS LTDA.</t>
  </si>
  <si>
    <t>ASSOCIAÇÃO DOS PREVIDENCIÁRIOS E SERVIDORES PÚBLICOS</t>
  </si>
  <si>
    <t>INSTITUTO DE DIAGNÓSTICO E TRATAMENTO EM PSICOLOGIA PROF. JORGE TRINDADE</t>
  </si>
  <si>
    <t>GERALUX ELETRO CLEAN AIR LTDA.</t>
  </si>
  <si>
    <t>LAYANE &amp; JOANNY COMÉRCIO DE MATERIAIS ELÉTRICOS LTDA.</t>
  </si>
  <si>
    <t>VANESSA TOBIAS COACHING LTDA</t>
  </si>
  <si>
    <t>JET-MED COMÉRCIO DE PRODUTOS DESCARTÁVEIS LTDA-ME</t>
  </si>
  <si>
    <t>VIA CONTEINER COM E EXP DE CONTEINERES P RESID LTDA-EPP</t>
  </si>
  <si>
    <t>PRAIANA IND E COM DE PROD ODONTO LTDA</t>
  </si>
  <si>
    <t>FUNDO DE MATERIAIS, PUBLICAÇÕES E IMPRESSOS OFICIAIS</t>
  </si>
  <si>
    <t>ALPHAPAC COMÉRCIO DE MATERIAIS LTDA.</t>
  </si>
  <si>
    <t>SCHEYLLA DE MENDONÇA - ME</t>
  </si>
  <si>
    <t>JEFFERSON FELIPPO JANKOSKI-ME</t>
  </si>
  <si>
    <t>A. DE OLIVEIRA FILHO PAPELARIA ME</t>
  </si>
  <si>
    <t>SOSSUL DEFENDER COMERCIO DE EQUIPAMENTOS TÁTICOS LTDA</t>
  </si>
  <si>
    <t>NERI SANTO DAMO PARTICIPAÇÕES LTDA.</t>
  </si>
  <si>
    <t>PROGRESSO TELEMATICA COMERCIO E SERVICOS LTDA - EPP</t>
  </si>
  <si>
    <t>INSTITUTO LATINO-AMERICANO DE ARGUMENTAÇÃO JURÍDICA ? ILAAJ</t>
  </si>
  <si>
    <t>CRIATIVA CORTINAS LTDA - EPP</t>
  </si>
  <si>
    <t>CAMARA DE DIRIGENTES LOJISTAS DE BLUMENAU</t>
  </si>
  <si>
    <t>AMERICAN LIFE COMPANHIA DE SEGUROS</t>
  </si>
  <si>
    <t>MUNICÍPIO DE SAO BENTO DO SUL PREFEITURA MUNICIPAL</t>
  </si>
  <si>
    <t>WALDENIR B. LICHTENTHALER</t>
  </si>
  <si>
    <t>TARCIANE LOHN BOECHAT</t>
  </si>
  <si>
    <t>MDJ - SUPRIMENTOS DE INFORMÁTICA LTDA - EPP</t>
  </si>
  <si>
    <t>TAFE CONSTRUÇÕES CIVIS LTDA - ME</t>
  </si>
  <si>
    <t>RAPHAEL BERNARDO OHLSEN ME</t>
  </si>
  <si>
    <t>DIAS DISTRIBUIDORA DE LIVROS LTDA</t>
  </si>
  <si>
    <t>EMPÓRIO VÉRTICE EDITORA E DISTRIBUIDORA DE LIVROS LTDA</t>
  </si>
  <si>
    <t>UNIVERSIDADE DO ESTADO DE SANTA CATARINA - UDESC</t>
  </si>
  <si>
    <t>ACEVI VIDROS LTDA.</t>
  </si>
  <si>
    <t>COMERCIO DE MOVEIS PERETTI LTDA</t>
  </si>
  <si>
    <t>SDK COMÉRCIO DE CORRELATOS DA SAÚDE LTDA - EPP</t>
  </si>
  <si>
    <t>ODONTOMEDI PRODUTOS ODONTOLOGICOS E HOSPITALARES LTDA</t>
  </si>
  <si>
    <t>OTRIALA COMERCIO ATACADISTA DE PRODUTOS MEDICOS HOSPITALARES LTDA</t>
  </si>
  <si>
    <t>RICARDO LUVIZOTTO DORIA-ME</t>
  </si>
  <si>
    <t>QUALITÁ SEGURANÇA E SAÚDE OCUPACIONAL LTDA</t>
  </si>
  <si>
    <t>PROCURADORIA GERAL DO ESTADO DE SANTA CATARINA</t>
  </si>
  <si>
    <t>MEDISYS COMÉRCIO E SERVIÇOS LTDA.</t>
  </si>
  <si>
    <t>ECOPLAST COMERCIAL LTDA.</t>
  </si>
  <si>
    <t>MOCAFI TELECOMUNICAÇOES LTDA</t>
  </si>
  <si>
    <t>SECRETARIA DE ESTADO DE DESENVOLVIMENTO DE SÃO JOAQUIM</t>
  </si>
  <si>
    <t>DINAMAN EQUIPAMENTOS PARA LABORATÓRIOS LTDA.</t>
  </si>
  <si>
    <t>DOMA TURISMO LTDA ME</t>
  </si>
  <si>
    <t>HOUTER DO BRASIL LTDA.</t>
  </si>
  <si>
    <t>4LINUX SOFTWARE E COMÉRCIO DE PROGRAMAS LTDA</t>
  </si>
  <si>
    <t>ECORE TREINAMENTO E CONSULTORIA EM INFORMÁTICA LTDA</t>
  </si>
  <si>
    <t>T. K BECKER - MOVEIS E PROJETOS</t>
  </si>
  <si>
    <t>INTERAGEN AGENDAS JURIDICAS PUBLICAÇÕES LTDA</t>
  </si>
  <si>
    <t>L.M.LADEIRA &amp; CIA LTDA.</t>
  </si>
  <si>
    <t>DENTAL SUDOESTE LTDA</t>
  </si>
  <si>
    <t>PREFEITURA MUNICIPAL DE SÃO MIGUEL DO OESTE</t>
  </si>
  <si>
    <t>TECPRINTERS TECNOLOGIA DE IMPRESSÃO LTDA</t>
  </si>
  <si>
    <t>KTEC DO BRASIL - DISTRIBUIDORA DE PRODUTOS DE INFORMÁTICA LTDA. ME</t>
  </si>
  <si>
    <t>TI TV TECNOLOGIA PARA EMISSORAS DE TV LTDA</t>
  </si>
  <si>
    <t>CESAR AUGUSTO MACHADO PELICIONI - EPP</t>
  </si>
  <si>
    <t>AWG TREINAMENTO E INFORMÁTICA LTDA.</t>
  </si>
  <si>
    <t>ASSOCIACAO DE ARQUIVISTAS DA BAHIA</t>
  </si>
  <si>
    <t>BMSINFO INFORMATICA LTDA</t>
  </si>
  <si>
    <t>TIQUIRA CENTRO DE DESENV. HUMANO LTDA</t>
  </si>
  <si>
    <t>JOSÉ OLIMPIO DEMITTI ME</t>
  </si>
  <si>
    <t>DYNAMICA SOLUCOES E TREINAMENTOS INOVADORES LTDA. - ME</t>
  </si>
  <si>
    <t>MULTIENERGY IMPORTAÇÃO, EXPORTAÇÃO E COMÉRCIO LTDA EPP</t>
  </si>
  <si>
    <t>ASSISTEL ASSISTÊNCIA EM TELECOMUNICAÇÕES LTDA.</t>
  </si>
  <si>
    <t>ELEVADORES OTIS LTDA</t>
  </si>
  <si>
    <t>FUNDAÇÃO EDUCACIONAL DE BRUSQUE - FEBE</t>
  </si>
  <si>
    <t>GLOBAL LEAK DETECTION DO BRASIL LTDA.</t>
  </si>
  <si>
    <t>LYRIX DESENVOLVIMENTO HUMANO LTDA</t>
  </si>
  <si>
    <t>MICROINFRO PAPELARIA E INFORMÁTICA LTDA</t>
  </si>
  <si>
    <t>RM DE MOGI MIRIM INDÚSTRIA E COMÉRCIO DE MÓVEIS LTDA</t>
  </si>
  <si>
    <t>IDDEIA COMERCIO, LOCACAO E SOLUCOES TECNOLOGICAS LTDA.</t>
  </si>
  <si>
    <t>INFOX TECNOLOGIA DA INFORMAÇÃO LTDA.</t>
  </si>
  <si>
    <t>PREFEITURA MUNICIPAL DE CAÇADOR</t>
  </si>
  <si>
    <t>COMPEX TECNOLOGIA LTDA</t>
  </si>
  <si>
    <t>HARLEY DE AGUIAR JÚNIOR - ME</t>
  </si>
  <si>
    <t>MCR SISTEMAS E CONSULTORIA LTDA.</t>
  </si>
  <si>
    <t>ATENA COMERCIO DE MÓVEIS LTDA - ME</t>
  </si>
  <si>
    <t>GAZIN INDUSTRIA E COMERCIO DE MOVEIS E ELETRODOMESTICOS LTDA</t>
  </si>
  <si>
    <t>CLAUDIA MARA BALLEI CHACAROSKI TRENTIN - EPP</t>
  </si>
  <si>
    <t>BRIÃO E MORAES EVENTOS LTDA.</t>
  </si>
  <si>
    <t>NOVA HEBROM INDÚSTRIA E COMÉRCIO LTDA - ME</t>
  </si>
  <si>
    <t>WTEC MÓVEIS E EQUIPAMENTOS TÉCNICOS LTDA</t>
  </si>
  <si>
    <t>FAVANI COMÉRCIO DE JÓIAS LTDA.</t>
  </si>
  <si>
    <t>CONE CONSTRUÇÕES LTDA. - EPP</t>
  </si>
  <si>
    <t>FORT SERVICE LTDA - ME</t>
  </si>
  <si>
    <t>DISTRIBUIDORA DE BEBIDAS GABI LTDA</t>
  </si>
  <si>
    <t>SELL VIDEO PRODUÇÕES LTDA.</t>
  </si>
  <si>
    <t>RTC SISTEMAS E AUTOMAÇAO LTDA</t>
  </si>
  <si>
    <t>GENTE SEGURADORA S/A</t>
  </si>
  <si>
    <t>JI ADMINISTRACAO HOTELEIRA LTDA.</t>
  </si>
  <si>
    <t>J A BAROSSI TECNOLOGIA DE SOLOS E CONCRETO LTDA-EPP</t>
  </si>
  <si>
    <t>ASSOCIAÇÃO DE ENSINO SUPERIOR DA GRANDE FLORIANÓPOLIS</t>
  </si>
  <si>
    <t>COMERCIAL MALLET LTDA</t>
  </si>
  <si>
    <t>DENTAL TOTAL COMÉRCIO DE MATERIAIS ODONTOLÓGICOS MÉDICOS E CIRURGICOS LTDA. ME.</t>
  </si>
  <si>
    <t>EDOC CONSULTORIA E CAPACITAÇÃO LTDA. EPP.</t>
  </si>
  <si>
    <t>DISTRIBUIDORA DE BRUNA LTDA</t>
  </si>
  <si>
    <t>RUY CARVALHO JUNIOR</t>
  </si>
  <si>
    <t>RICOHLOR COMÉRCIO E SISTEMAS REPROGRÁFICOS EIRELI EPP</t>
  </si>
  <si>
    <t>ALMONT DO BRASIL IMPORTACAO COM E REPRESENTACAO</t>
  </si>
  <si>
    <t>ALMONT DO BRASIL IMPORTACAOCOM E REPRESENTACAO</t>
  </si>
  <si>
    <t>GRUPO DIGITAL IMPORTAÇÃO E EXPORTAÇÃO DE EQUIPAMENTOS LTDA</t>
  </si>
  <si>
    <t>EXITO MONTAGENS &amp; COMÉRCIO LTDA.</t>
  </si>
  <si>
    <t>L. ACACIO INFORMATICA - ME</t>
  </si>
  <si>
    <t>TRIBUNAL SUPERIOR ELEITORAL</t>
  </si>
  <si>
    <t>MOACYR AROLDO GRAÇA NETO &amp; CIA LTDA</t>
  </si>
  <si>
    <t>NK COMÉRCIO DE PAPÉIS LTDA ME</t>
  </si>
  <si>
    <t>RUANA COMERCIAL LTDA</t>
  </si>
  <si>
    <t>INSTITUTO BRASILEIRO DE EXECUTIVOS DE FINANÇAS</t>
  </si>
  <si>
    <t>SOLANGE L. DA ROSA MAIER -ME</t>
  </si>
  <si>
    <t>MINISTERIO DA FAZENDA</t>
  </si>
  <si>
    <t>AWD COMÉRCIO DE ELETRO ELETRÔNICOS LTDA.</t>
  </si>
  <si>
    <t>ACQUALIFE COMERCIAL LTDA.</t>
  </si>
  <si>
    <t>COMPAX COMÉRCIO DE INFORMÁTICA LTDA.</t>
  </si>
  <si>
    <t>PR CRACHÁS COMÉRCIO E SERVIÇOS LTDA.</t>
  </si>
  <si>
    <t>INSTITUTO FEDERAL DE SANTA CATARINA - IFSC</t>
  </si>
  <si>
    <t>EDITORA MONA LTDA.</t>
  </si>
  <si>
    <t>AMERICAN  POWER CONVERSION BRASIL LTDA</t>
  </si>
  <si>
    <t>HOFFMANN E HORN GASTRONOMIA LTDA</t>
  </si>
  <si>
    <t>IBDIN ? INSTITUTO BRASILEIRO DE DESENHO INSTRUCIONAL</t>
  </si>
  <si>
    <t>UNIPUBLICA - UNIAO PARA QUALIFICACAO E DESENVOLVIMENTO PROFISSIONAL LTDA</t>
  </si>
  <si>
    <t>ASSOCIAÇÃO DOS REGISTRADORES IMOBILIÁRIOS DE SÃO PAULO</t>
  </si>
  <si>
    <t>RIGEL COMERCIO E SERVIÇOS LTDA</t>
  </si>
  <si>
    <t>VERDESAN COMERCIO ATACADISTA DE PRODUTOS DE HIGIENE LTDA. - ME</t>
  </si>
  <si>
    <t>MAYCON WILL - ME</t>
  </si>
  <si>
    <t>SOCIEDADE BRASILEIRA DE PERÍCIA MÉDICA REGIONAL SERGIPE</t>
  </si>
  <si>
    <t>SYMNETICS CONSULTORIA EMPRESARIAL LTDA</t>
  </si>
  <si>
    <t>TAPEÇARIA JAEDI DE MEDIANEIRA LTDA</t>
  </si>
  <si>
    <t>S &amp; M ILUMINAÇÃO LTDA - EPP</t>
  </si>
  <si>
    <t>BIOVETOR SERVICOS ESPECIALIZADOS LTDA ME</t>
  </si>
  <si>
    <t>INVIOLAVEL SEGURANÇA 24 HORAS LTDA</t>
  </si>
  <si>
    <t>LOTUS SEGURANÇA PRIVADA LTDA</t>
  </si>
  <si>
    <t>BEE2B INFORMÁTICA LTDA ME</t>
  </si>
  <si>
    <t>C &amp; A SUPRIMENTOS PARA INFORMÁTICA LTDA.</t>
  </si>
  <si>
    <t>COMPUSET INFORMÁTICA LTDA.</t>
  </si>
  <si>
    <t>R.M.S. COMÉRCIO DE PRODUTOS ELETRÔNICOS LTDA</t>
  </si>
  <si>
    <t>ENGASTE PROJETOS, CONSTRUÇÕES E INCORPORAÇÕES LTDA.</t>
  </si>
  <si>
    <t>ENERDATA ENGENHARIA E COMÉRCIO LTDA</t>
  </si>
  <si>
    <t>LS CLIMATIZAÇÕES LTDA.</t>
  </si>
  <si>
    <t>SPACEAIR COMÉRCIO E INSTALAÇÃO DE AR CONDICIONADO LTDA.</t>
  </si>
  <si>
    <t>REFRIGELO CLIMATIZAÇÃO DE AMBIENTES LTDA.</t>
  </si>
  <si>
    <t>MPS DISTRIBUIDORA MERCANTIL LTDA.</t>
  </si>
  <si>
    <t>I.T. SUPRIMENTOS LTDA - EPP</t>
  </si>
  <si>
    <t>CONNECT HALL - ESPAÇO DE EVENTOS LTDA - ME</t>
  </si>
  <si>
    <t>GJ&amp;A DESENVOLVIMENTO PROFISSIONAL E GERENCIAL LTDA ME</t>
  </si>
  <si>
    <t>PALAVRAS E IDÉIAS PRESTADORA DE SERVIÇOS LTDA ME</t>
  </si>
  <si>
    <t>DANDHI EMPREENDIMENTOS LTDA</t>
  </si>
  <si>
    <t>LINS E PEREIRA TREINAMENTO E SERVIÇOS LTDA</t>
  </si>
  <si>
    <t>EDITORA IRACEMA LTDA - ME</t>
  </si>
  <si>
    <t>DMPO COMERCIO DE MATERIAL DE ESCRITORIO LTDA- EPP</t>
  </si>
  <si>
    <t>OFFICE DO BRASIL EQUIPAMENTOS PARA ESCRITORIO LTDA - EPP</t>
  </si>
  <si>
    <t>CASTOR COMÉRCIO DE ÁGUA LTDA.</t>
  </si>
  <si>
    <t>CABO FRIO PAPELARIA LTDA.</t>
  </si>
  <si>
    <t>SPIRAX COMÉRCIO DE ARTIGOS DE PAPELARIA, ARMARINHO E BAZAR  LTDA.</t>
  </si>
  <si>
    <t>MB COMÉRCIO DE ENVELOPES LTDA.</t>
  </si>
  <si>
    <t>URANO DO BRASIL IND. COM. IMP. E EXP. LTDA</t>
  </si>
  <si>
    <t>IMPORT AUTO RACING LTDA.</t>
  </si>
  <si>
    <t>PM 2.0 SOLUCOES EM PROJETOS E PORTFOLIOS LTDA.</t>
  </si>
  <si>
    <t>POLIGRAPH SISTEMAS E REPRESENTACOES LTDA</t>
  </si>
  <si>
    <t>SERV COMERCIAL DE DIVISÓRIAS E FORROS LTDA.</t>
  </si>
  <si>
    <t>NEMA ELETROTECNICA LTDA</t>
  </si>
  <si>
    <t>SOCIEDADE EDUCACIONAL DE ITAPIRANGA LTDA.</t>
  </si>
  <si>
    <t>GROWXI GESTÃO DE NEGÓCIOS E TECNOLOGIA LTDA</t>
  </si>
  <si>
    <t>UNIVERSIDADE COMUNITÁRIA DA REGIÃO DE CHAPECÓ - UNOCHAPECÓ</t>
  </si>
  <si>
    <t>PROMO DISPLAY COMÉRCIO E IMPORTAÇÃO DE DISPLAY</t>
  </si>
  <si>
    <t>INCORPAST INDÚSTRIA E COMÉRCIO DE PASTAS LTDA</t>
  </si>
  <si>
    <t>DANIEL DE SOUZA</t>
  </si>
  <si>
    <t>L. J. DA SILVA DISTRIBUIÇÕES - ME</t>
  </si>
  <si>
    <t>WAGNER DE JESUS GONÇALVES ANGELO</t>
  </si>
  <si>
    <t>ELO COMERCIO E SERVIÇOS LTDA</t>
  </si>
  <si>
    <t>SKILL TEC COMERCIO E MANUT DE INSTRUMENTOS DE MEDIÇÃO LTDA</t>
  </si>
  <si>
    <t>B-SEG SERVIÇOS LTDA - EPP</t>
  </si>
  <si>
    <t>PROMES COMERCIAL LTDA.</t>
  </si>
  <si>
    <t>EXPERTI EMPREENDIMENTOS LTDA.</t>
  </si>
  <si>
    <t>UNITECH RIO COMÉRCIO E SERVIÇOS LTDA.</t>
  </si>
  <si>
    <t>STONE DISTRIBUIDORA DE INFORMÁTICA LTDA.</t>
  </si>
  <si>
    <t>SOLUÇÕES COM. E SERV. DE ÁUDIO, VÍDEO E INFORMÁTICA LTDA.</t>
  </si>
  <si>
    <t>JUBOT COMÉRCIO E APLICAÇÃO DE PELÍCULAS LTDA. ME.</t>
  </si>
  <si>
    <t>MLJ COMÉRCIO DE EQUIPAMENTOS ELETRO-ELETRONICOS LTDA. EPP.</t>
  </si>
  <si>
    <t>PARALELAS COMÉRCIO DE MATERIAIS E EQUIPAMENTOS LTDA. EPP.</t>
  </si>
  <si>
    <t>MASTERMIX COMÉRCIO DE ELETRO-ELETRÔNICOS LTDA. ME.</t>
  </si>
  <si>
    <t>MICROTÉCNICA INFORMÁTICA LTDA.</t>
  </si>
  <si>
    <t>JEFFERSON FELIPPO JANKOSKI ME</t>
  </si>
  <si>
    <t>TRIBUNAL REGIONAL DO TRABALHO DA 2ª REGIÃO</t>
  </si>
  <si>
    <t>HAY DO BRASIL CONSULTORES LTDA.</t>
  </si>
  <si>
    <t>JAQUELINE RUTHIA DALA CORTE ME</t>
  </si>
  <si>
    <t>EXPECTRON TECNOLOGIA   INDUSTRIAL  LTDA</t>
  </si>
  <si>
    <t>SECAO DF- BRASIL DO PROJECT MANAGEMENT INSTITUT</t>
  </si>
  <si>
    <t>COMERCIAL WOJTECH LTDA.</t>
  </si>
  <si>
    <t>SUPERINFO AUTOMACAO E INFORMATICA LTDA - ME</t>
  </si>
  <si>
    <t>NEW DALBRA MATERIAL DE ESCRITÓRIO LTDA</t>
  </si>
  <si>
    <t>STARTECH EQUIPAMENTOS DE TELECOMUNICACOES</t>
  </si>
  <si>
    <t>CEM CERIMONIA - ORGANIZACAO DE EVENTOS E RECEPCOES LTDA</t>
  </si>
  <si>
    <t>RENAULT DO BRASIL S.A.</t>
  </si>
  <si>
    <t>TRIBUNAL REGIONAL DO TRABALHO DA 21ª REGIÃO</t>
  </si>
  <si>
    <t>TRIBUNAL REGIONAL DA 6ª REGIÃO</t>
  </si>
  <si>
    <t>FABESUL DISTRIBUIDORA LTDA</t>
  </si>
  <si>
    <t>FUNDAÇÃO EDUCACIONAL REGIONAL JARAGUAENSE - UNERJ</t>
  </si>
  <si>
    <t>FRATELLI COM. DE MAQ. E EQUIP. LTDA ME</t>
  </si>
  <si>
    <t>RENTAL PRIME LOCAÇÃO DE GERADORES LTDA</t>
  </si>
  <si>
    <t>DA SILVA ALVES CONSULTORIA EM GESTÃO GOVERNAMENTAL LTDA</t>
  </si>
  <si>
    <t>VITANET - COMERCIAL LTDA</t>
  </si>
  <si>
    <t>MV VIDEO COMERCIO E SERVIÇOS LTDA EPP</t>
  </si>
  <si>
    <t>CDC BRASIL DISTRIBUIDORA DE TECNOLOGIAS ESPECIAIS LTDA.</t>
  </si>
  <si>
    <t>NOVALE VIAGENS E TURISMO LTDA ME</t>
  </si>
  <si>
    <t>SEPROL SERVIÇOS EM TECNOLOGIA DA INFORMAÇÃO LTDA.</t>
  </si>
  <si>
    <t>DISK PRONTO SERVIÇO E TRANSPORTE LTDA ME</t>
  </si>
  <si>
    <t>EN - SOF INFORMÁTICA E TREINAMENTO LTDA - EPP</t>
  </si>
  <si>
    <t>NS TELEINFORMÁTICA LTDA.</t>
  </si>
  <si>
    <t>LANCIN-L COMÉRCIO E DISTRIBUIÇÃO LTDA-EPP</t>
  </si>
  <si>
    <t>ALESSANDRA MILANI - EPP</t>
  </si>
  <si>
    <t>LS7 COMERCIAL DE INFORMÁTICA EIRELI - ME</t>
  </si>
  <si>
    <t>GT DO BRASIL DIST DE PAP LTDA</t>
  </si>
  <si>
    <t>TOTAL DISTRIBUIDORA E ATACADISTA LTDA.</t>
  </si>
  <si>
    <t>SILMES COMÉRCIO DE PRODUTOS ODONTOLÓGICOS LTDA. - ME</t>
  </si>
  <si>
    <t>P.A.S. PROGRAMA DE ALIMENTAÇÃO SOCIAL IND. COM. LTDA</t>
  </si>
  <si>
    <t>AMN INDUSTRIA E COMERCIO DE MOVEIS EIRELI</t>
  </si>
  <si>
    <t>DISPLAY STUDIO COM. LTDA ME</t>
  </si>
  <si>
    <t>VISOAR REFRIGERAÇÃO LTDA.</t>
  </si>
  <si>
    <t>MINAS FERRAMENTAS S.A.</t>
  </si>
  <si>
    <t>SOCIEDADE DE ENSINO SUPERIOR ESTÁCIO DE SÁ LTDA.</t>
  </si>
  <si>
    <t>ORTHOVIA COMÉRCIO DE PRODUTOS DE INFORMÁTICA LTDA</t>
  </si>
  <si>
    <t>EUGENIO RAULINO KOERICH S.A - COM E IND.</t>
  </si>
  <si>
    <t>BIUDES &amp; OLIVEIRA EQUIPAMENTOS LTDA.</t>
  </si>
  <si>
    <t>EQUIPODONTO DE SANTOS COM. DE EQUIPAMENTOS ODONTOLÓGICOS LTDA.-ME</t>
  </si>
  <si>
    <t>FUNREBOM-FUNDO REEQUIPTOS DO CORPO DE BOMBEIROS DA PM SC</t>
  </si>
  <si>
    <t>VIA LUMENS AUDIO, VIDEO E INFORMATICA LTDA</t>
  </si>
  <si>
    <t>EXPERT INDUSTRIA E COMERCIO LTDA ME</t>
  </si>
  <si>
    <t>ARCH CONSULTORIA E TREINAMENTO LTDA</t>
  </si>
  <si>
    <t>PROCURADORIA DA FAZENDA NACIONAL EM SANTA CATARINA</t>
  </si>
  <si>
    <t>AVALIAR PSICOLOGIA EIRELI EPP</t>
  </si>
  <si>
    <t>TRIBUNAL REGIONAL DO TRABALHO DA 24ª REGIÃO</t>
  </si>
  <si>
    <t>BANCO FINASA BMC S/A</t>
  </si>
  <si>
    <t>AGINET COMÉRCIO E SERVIÇOS DE INFORMÁTICA LTDA. EPP.</t>
  </si>
  <si>
    <t>PAPELARIA ESPAÇO ESCOLAR LTDA.</t>
  </si>
  <si>
    <t>COMÉRCIO DE BEBIDAS GIARETTON LTDA</t>
  </si>
  <si>
    <t>DISTRIBUIDORA DE AGUA MINERAL CASSETTARI LTDA - ME</t>
  </si>
  <si>
    <t>SORVETES KIPOLAR LTDA ME</t>
  </si>
  <si>
    <t>ASSOCIACAO EMPRESARIAL DE BLUMENAU - ACIB</t>
  </si>
  <si>
    <t>H. G. ALVES ASSESSORIA CONSULTORIA E CAPACITACAO S/S LTDA.</t>
  </si>
  <si>
    <t>CONSELHO FEDERAL DA ORDEM DOS ADVOGADOS DO BRASIL</t>
  </si>
  <si>
    <t>ELEVADORES OTIS</t>
  </si>
  <si>
    <t>BRAGAL COMERCIO E SERVIÇOS LTDA</t>
  </si>
  <si>
    <t>ABI COMÉRCIO DE CONFECÇÕES LTDA ME</t>
  </si>
  <si>
    <t>FUNREBOM ITAJAI - FUNDO DE REEQUIPAMENTO/CORPO DE BOMBEIROS</t>
  </si>
  <si>
    <t>INSTITUTO CATARINENSE DE ENG. DE AVALIAÇÕES E PERÍCIAS</t>
  </si>
  <si>
    <t>IMPERIAL SUPRIMENTOS DE INFORMÁTICA LTDA.</t>
  </si>
  <si>
    <t>ACIAT COMERCIAL LTDA.</t>
  </si>
  <si>
    <t>NADJA MARINA PIRES - ME</t>
  </si>
  <si>
    <t>ASSOCIAÇÃO UNIFICADA PAULISTA DE ENSINO RENOVADO OBJETIVO - ASSUPERO</t>
  </si>
  <si>
    <t>JACOB BIEZUS COMERCIO DE VEICULOS LTDA</t>
  </si>
  <si>
    <t>EDITORA NOTICIAS DO DIA LTDA</t>
  </si>
  <si>
    <t>VERA LUCIA PERUCK CASAGRANDE</t>
  </si>
  <si>
    <t>IMUNIZAR CLÍNICA DE VACINAS LTDA. EPP.</t>
  </si>
  <si>
    <t>DOUGLAS RICARDO GUIMARAES - ME</t>
  </si>
  <si>
    <t>JR LIMPEZA E SERVIÇOS DE LIMPEZA LTDA</t>
  </si>
  <si>
    <t>RBM CONSULTORIA &amp; TREINAMENTO LTDA ME</t>
  </si>
  <si>
    <t>VALDIR CORREA DOS SANTOS</t>
  </si>
  <si>
    <t>YESTEL TELECOMUNICAÇÕES E INFORMATICA LTDA</t>
  </si>
  <si>
    <t>FOZ DE BLUMENAU S.A.</t>
  </si>
  <si>
    <t>PAULO FERNANDO RODRIGUES SERVIÇOS - ME</t>
  </si>
  <si>
    <t>RRL COMÉRCIO E MANUTENÇÃO EM INFORMÁTICA LTDA.</t>
  </si>
  <si>
    <t>GRAFICA NATAL EDITORA LTDA ME</t>
  </si>
  <si>
    <t>DELIRIU'S PRONTA ENTREGA LTDA.</t>
  </si>
  <si>
    <t>SANTA CATARINA ADMINISTRAÇÃO E REPRESENTAÇÕES LTDA</t>
  </si>
  <si>
    <t>ERX CAPACITAÇÃO E TREINAMENTO EIRELI ME</t>
  </si>
  <si>
    <t>JULIO CESAR FARIA EIRELE ME</t>
  </si>
  <si>
    <t>ABU CONSULTORIA E TREINAMENTO SS LTDA ME</t>
  </si>
  <si>
    <t>PRAIATUR - HOTELARIA E RESTAURANTES LTDA - EPP</t>
  </si>
  <si>
    <t>DUPLIC GRAFICA E EDI TORA LTDA EPP</t>
  </si>
  <si>
    <t>EDITORA VERBO JURÍDICO LTDA.</t>
  </si>
  <si>
    <t>ORBENK SERVICOS DE SEGURANCA LTDA.</t>
  </si>
  <si>
    <t>FORNOS JUNG LTDA</t>
  </si>
  <si>
    <t>SOPHO BUSINESS COMUNICATIONS SOLUÇÕES EMPRESARIAIS LTDA</t>
  </si>
  <si>
    <t>AMBIENTAL SANEAMENTO E CONCESSOES LTDA</t>
  </si>
  <si>
    <t>FUNDACAO UNIVERSIDADE DO CONTESTADO - FUNC</t>
  </si>
  <si>
    <t>S. FRANCO DE SOUZA - INFORMÁTICA - ME</t>
  </si>
  <si>
    <t>A. ANGELONI &amp; CIA LTDA.</t>
  </si>
  <si>
    <t>MIX EVENTOS, RECREAÇÃO E TURISMO LTDA</t>
  </si>
  <si>
    <t>DEXTRA SISTEMAS LTDA</t>
  </si>
  <si>
    <t>POSTMIX SOLUÇÕES GRÁFICAS LTDA EPP</t>
  </si>
  <si>
    <t>SAPRA LANDAUER SERVIÇO DE ASSESSORIA E PROTEÇÃO RADIOLÓGICA LTDA.</t>
  </si>
  <si>
    <t>ALCANCE ASSESSORIA E CONSULTORIA LTDA - ME</t>
  </si>
  <si>
    <t>LIVRARIA BIOTEC LTDA</t>
  </si>
  <si>
    <t>CREDENCIAL PERSONALIZADA LTDA ME</t>
  </si>
  <si>
    <t>UNYLEYA EDITORA E CURSOS S.A.</t>
  </si>
  <si>
    <t>ESPAÇO DIGITAL COMÉRCIO E LOCAÇÃO DE ÁUDIO, CINE, VÍDEO E ILUMINAÇÃO LTDA</t>
  </si>
  <si>
    <t>FULL BROADCAST &amp; AUDIO EIRELI - EPP</t>
  </si>
  <si>
    <t>LICITEC TECNOLOGIA LTDA - ME</t>
  </si>
  <si>
    <t>MARIALENE SIMIONI DE LIMA ME</t>
  </si>
  <si>
    <t>AKI DISTRIBUIDORA LTDA EPP</t>
  </si>
  <si>
    <t>SOCIEDADE BLUMENAUENSE DE ENSINO SUPERIOR LTDA.</t>
  </si>
  <si>
    <t>MODELO PNEUS LTDA</t>
  </si>
  <si>
    <t>GEZIANE CUNHA FURLAN &amp; CIA LTDA - ME</t>
  </si>
  <si>
    <t>SLD INFORMÁTICA LTDA</t>
  </si>
  <si>
    <t>CHIP TELECOM E INFORMÁTICA LTDA</t>
  </si>
  <si>
    <t>SB COMÉRCIO DE ALIMENTOS LTDA</t>
  </si>
  <si>
    <t>DATA ZÍGUEL SERVIÇOS DE PESQUISA E INFORMAÇÃO E PROMOÇÃO DE EVENTOS</t>
  </si>
  <si>
    <t>ASSOCIAÇÃO DE JOINVILLE E REGIÃO DA PEQUENA, MICRO E MÉDIA EMPRESA</t>
  </si>
  <si>
    <t>OTIMIZA CURSOS LTDA.</t>
  </si>
  <si>
    <t>INCORPORADORA GRAN-PARA LTDA.</t>
  </si>
  <si>
    <t>CPL CENTRO DE PRODUÇÃO DE LEGENDAS LTDA</t>
  </si>
  <si>
    <t>JI ADMINISTRAÇÃO HOTELEIRA LTDA</t>
  </si>
  <si>
    <t>SHIGUIHARA TURISMO LTDA ME</t>
  </si>
  <si>
    <t>T.R. CARPES &amp; CIA. LTDA.</t>
  </si>
  <si>
    <t>BCM K DISTRIBUIDORA LTDA.</t>
  </si>
  <si>
    <t>HP &amp; E COMERCIAL LTDA.</t>
  </si>
  <si>
    <t>SEÇÃO GOIANIA GOIAS BRASIL PROJECT MANAGEMENT INSTITUTE</t>
  </si>
  <si>
    <t>LOQ LOCADORA DE VEÍCULOS LTDA</t>
  </si>
  <si>
    <t>DISTRIBUIDORA DE SUPRIMENTOS ÉTICA LTDA. ME.</t>
  </si>
  <si>
    <t>AMRL SERVIÇOS DE MOTORES ELÉTRICOS LTDA</t>
  </si>
  <si>
    <t>CENTRO DE GESTÃO DE MEIOS DE PAGAMENTO S.A.</t>
  </si>
  <si>
    <t>REPECON VEICULOS LTDA</t>
  </si>
  <si>
    <t>PATRÍCIA DUARTE SILVA FERNANDES ME</t>
  </si>
  <si>
    <t>FUNILARIA ALBA LTDA ME</t>
  </si>
  <si>
    <t>ITOFRAN COMÉRCIO DE MATERIAIS DE CONSTRUÇÃO EM GERAL LTDA.</t>
  </si>
  <si>
    <t>M.J.G. - TECNOLOGIA E SERVIÇOS EM INFORMÁTICA LTDA.</t>
  </si>
  <si>
    <t>INFORMÁTICA QUALITY COMÉRCIO E SERVIÇOS LTDA.</t>
  </si>
  <si>
    <t>SANTOS E KIOSHIMA LTDA. ME</t>
  </si>
  <si>
    <t>MARIA CAMPOS LUIZE</t>
  </si>
  <si>
    <t>SANTA CATARINA GOVERNO DO ESTADO</t>
  </si>
  <si>
    <t>SHOPPING COM. DE PRODUTOS DE SEGURANÇA DO TRABALHO LTDA</t>
  </si>
  <si>
    <t>RONIVALDO DA SILVA</t>
  </si>
  <si>
    <t>GLOBOVEL COM. DE VEÍCULOS E PEÇAS LTDA</t>
  </si>
  <si>
    <t>DK COMÉRCIO DE VEÍCULOS LTDA</t>
  </si>
  <si>
    <t>EDITORA DAS LEIS LTDA. ME.</t>
  </si>
  <si>
    <t>EXITO DISTRIBUIDORA E COMERCIO DE LIVROS LTDA</t>
  </si>
  <si>
    <t>TELEFONICA BRASIL S/A</t>
  </si>
  <si>
    <t>ASSOCIAÇÃO AMIGOS DO HU</t>
  </si>
  <si>
    <t>FUNDAÇÃO CPQD - CENTRO DE PESQUISA E DESENVOLVIMENTO EM TELECOMUNICAÇÕES</t>
  </si>
  <si>
    <t>ASSOCIAÇÃO BRASILEIRA DE PERICIAS MEDICAS</t>
  </si>
  <si>
    <t>FAST SECURITY TECNOLOGIA DA INFORMAÇÃO LTDA. ME.</t>
  </si>
  <si>
    <t>BBR SOLUÇÕES, COMERCIO E SERVIÇOS LTDA - EPP</t>
  </si>
  <si>
    <t>COMÉRCIO E TRANSPORTES BAYERL LTDA</t>
  </si>
  <si>
    <t>FUNDAÇÃO UNIVERSIDADE ALTO VALE DO RIO DO PEIXE - FUNIARP</t>
  </si>
  <si>
    <t>PORTATIL EQUIPAMENTO DE ENFORMÁTICA LTDA.</t>
  </si>
  <si>
    <t>ESTE CNPJ ESTA ERRADO</t>
  </si>
  <si>
    <t>AURUS COMERCIAL E DISTRIBUIDORA LTDA.</t>
  </si>
  <si>
    <t>BANKETT RESTAURANTE &amp; EVENTOS LTDA/ME</t>
  </si>
  <si>
    <t>MWV WEB SITE COMÉRCIO DE ELETROELETRÔNICOS LTDA</t>
  </si>
  <si>
    <t>FIRMINO &amp; BARRETO COMÉRCIO DE PRODUTOS MÉDICOS HOSPITALARES LTDA.</t>
  </si>
  <si>
    <t>JOSÉ CARLOS VEDAN - ME</t>
  </si>
  <si>
    <t>PROQUILL PRODUTOS QUIMICOS DE LIMPEZA LTDA.</t>
  </si>
  <si>
    <t>EDITORA GUIA DE FORNECEDORES LTDA</t>
  </si>
  <si>
    <t>COMERCIAL GIRARDI LTDA.</t>
  </si>
  <si>
    <t>RIJOTA COMÉRCIO DE EQUIPAMENTOS LTDA-ME</t>
  </si>
  <si>
    <t>HOSP-LOG COMÉRCIO DE PRODUTOS HOSPITALARES LTDA.</t>
  </si>
  <si>
    <t>ALPINIA EXECUÇÃO E MANUTENÇÃO DE JARDINS LTDA</t>
  </si>
  <si>
    <t>MORPHO CARDS DO BRASIL S/A</t>
  </si>
  <si>
    <t>PULSE LIFE ASSISTENCIA MEDICA LTDA</t>
  </si>
  <si>
    <t>VERBO EDUCACIONAL LTDA</t>
  </si>
  <si>
    <t>DMX6 COMERCIAL LTDA.</t>
  </si>
  <si>
    <t>SULMATEL COMÉRCIO DE MATERIAIS E EQUIPAMENTOS LTDA.</t>
  </si>
  <si>
    <t>FB COMERCIAL LTDA.</t>
  </si>
  <si>
    <t>JUANA MARA VIEIRA - ME</t>
  </si>
  <si>
    <t>SOLUMIX COMÉRCIO DE ELETROELETRONICOS LTDA.</t>
  </si>
  <si>
    <t>FIRST DECISION TECNOLOGIAS INOVADORAS E INFORMÁTICA LTDA</t>
  </si>
  <si>
    <t>SEC POWER COML. IMPORT E EXPROT. LTDA</t>
  </si>
  <si>
    <t>FUNDAÇÃO DOS ADMINISTRADORES DE SANTA CATARINA - FUNDASC</t>
  </si>
  <si>
    <t>INSTITUTO BRASILEIRO DE INFORMÁTICA EM CIÊNCIA E TECNOLOGIA</t>
  </si>
  <si>
    <t>BIMED BRASIL DISTRIBUIDORA LTDA.-ME</t>
  </si>
  <si>
    <t>AEA CURSOS LTDA</t>
  </si>
  <si>
    <t>EXAME TECNOLOGIA LTDA EPP</t>
  </si>
  <si>
    <t>TRANSALL - EQUIPAMENTOS INDUSTRIAIS LTDA</t>
  </si>
  <si>
    <t>STAMP CARIMBOS LTDA - ME</t>
  </si>
  <si>
    <t>RIBEIRO POLONIO &amp; CIA LTDA - EPP</t>
  </si>
  <si>
    <t>RCS COMERCIO E SERVIÇO LTDA ME</t>
  </si>
  <si>
    <t>LIGGO INFORMÁTICA E CONECTIVIDADE LTDA.</t>
  </si>
  <si>
    <t>TAURUS BLINDAGENS LTDA.</t>
  </si>
  <si>
    <t>E.C.S. COMÉRCIO E SERVIÇOS DE APOIO ADMINISTRATIVO LTDA. ME.</t>
  </si>
  <si>
    <t>ALFANET DISTRIBUIDORA LTDA - EPP</t>
  </si>
  <si>
    <t>ACRILDESTAC IND E COM LTDA EPP</t>
  </si>
  <si>
    <t>SC - SEG COMÉRCIO DE EQUIPAMENTOS DE SEGURANÇA LTDA.- ME</t>
  </si>
  <si>
    <t>SUCESSO COM. DE EQUIPAMENTOS CONTRA INCÊNDIO LTDA</t>
  </si>
  <si>
    <t>CENTRAL DO EPI COMERCIO DE EQUIPAMENTOS DE SEGURANCA LTDA ME</t>
  </si>
  <si>
    <t>EXXPO INFORMÁTICA LTDA ME</t>
  </si>
  <si>
    <t>COMPANHIA CACIQUE DE CAFÉ SOLÚVEL</t>
  </si>
  <si>
    <t>DIGITALDOOR COM. DE EQUIP. E SUP. DE INFORMATICA LTDA-ME</t>
  </si>
  <si>
    <t>BLUMETAL DISTRIBUIDORA E SERVIÇOS TÉCCNICOS LTDA</t>
  </si>
  <si>
    <t>DR GLAYCON MICHELS GESTAO E ENSINO LTDA ME</t>
  </si>
  <si>
    <t>JOAO PAULO MANCILHA DA SILVA COSTA - ME</t>
  </si>
  <si>
    <t>RC TEIVE COMERCIO E DISTRIBUIÇÃO LTDA - ME</t>
  </si>
  <si>
    <t>TOK E STOK</t>
  </si>
  <si>
    <t>STILOPLAST INDÚSTRIA E COMÉRCIO LTDA</t>
  </si>
  <si>
    <t>VALMIL COMÉRCIO DE MEDICAMENTOS LTDA</t>
  </si>
  <si>
    <t>MARTE CIENTIFICA E INSTRUMENTAÇÃO INDUSTRIAL LTDA</t>
  </si>
  <si>
    <t>COMPWIRE INFORMÁTICA S/A.</t>
  </si>
  <si>
    <t>BRASMOV COMERCIO DE EMPILHADEIRAS E TRANSPALETES LTDA</t>
  </si>
  <si>
    <t>BALANTEC COMERCIO E ASSISTÊNCIA TÉCNICA LTDA ME</t>
  </si>
  <si>
    <t>IVIEW SISTEMAS DE APRESENTAÇÕES LTDA</t>
  </si>
  <si>
    <t>HENRY EQUIPAMENTOS ELETRÔNICOS E SISTEMAS LTDA.</t>
  </si>
  <si>
    <t>TECHRESULT SOLUÇÕES EM TECNOLOGIA DA INFORMAÇÃO LTDA.</t>
  </si>
  <si>
    <t>N T C TREINAMENTOS EVENTOS E SERVICOS LTDA</t>
  </si>
  <si>
    <t>RUMO EMPRESARIAL LTDA ME</t>
  </si>
  <si>
    <t>SEGFORTE EQUIPAMENTOS DE SEGURANÇA LTDA</t>
  </si>
  <si>
    <t>CANOINHAS CURSOS PREPARATORIOS LTDA - ME</t>
  </si>
  <si>
    <t>CÁSSIA SIMÕES SANTANA - ME</t>
  </si>
  <si>
    <t>FRANCIANE DE CÁSSIA BISCARO - ME</t>
  </si>
  <si>
    <t>SUPER LINE BRASIL LTDA.</t>
  </si>
  <si>
    <t>DIGIPLUS TECNOLOGIA LTDA.</t>
  </si>
  <si>
    <t>EDSON CAMILO COMERCIAL - ME</t>
  </si>
  <si>
    <t>FREITAS COMÉRCIO E SERVIÇOS DE REFRIGERAÇÃO LTDA.</t>
  </si>
  <si>
    <t>OLUAP EQUIPAMENTOS MATERIAIS ELETRICOS E REPRESENTAÇÕES LTDA</t>
  </si>
  <si>
    <t>BARROS OLIVEIRA E MENDES CONSULTORIA S/S LTDA</t>
  </si>
  <si>
    <t>VIVERDE FLORICULTURA E PAISAGISMO LTDA ME</t>
  </si>
  <si>
    <t>GRÁFICA ALTA DEFINIÇÃO</t>
  </si>
  <si>
    <t>KOMODO PRODUÇÃO AUDIO VISUAL LTDA ME</t>
  </si>
  <si>
    <t>TRIBUNAL REGIONAL DO TRABALHO DA 7ª REGIÃO</t>
  </si>
  <si>
    <t>ORLINDA BAGGIO LIRA ME</t>
  </si>
  <si>
    <t>ELC PRODUTOS DE SEGURANÇA - INDÚSTRIA E COMÉRCIO LTDA</t>
  </si>
  <si>
    <t>LICINET INDÚSTRIA COMÉRCIO E BENEFICIAMENTO DE MATERIAIS PLÁSTICOS LTDA - EPP</t>
  </si>
  <si>
    <t>NABELES COMÉRCIO DE MATERIAIS DE ESCRITÓRIO E CONFECÇÕES LTDA - ME</t>
  </si>
  <si>
    <t>ARTKAP COMÉRCIO DE CAPACHOS LTDA ME</t>
  </si>
  <si>
    <t>MAX D INDÚSTRIA E COMÉRCIO LTDA ME</t>
  </si>
  <si>
    <t>SPREAD TELEINFORMÁTICA LTDA.</t>
  </si>
  <si>
    <t>DS MANUTENÇÃO DE AR CONDICIONADO LTDA.</t>
  </si>
  <si>
    <t>ACE SEGURADORA S.A</t>
  </si>
  <si>
    <t>OROS ENGENHARIA LTDA</t>
  </si>
  <si>
    <t>COMERCIO AGUA E GAS MAIA LTDA ME</t>
  </si>
  <si>
    <t>OMEGA BRASIL SOLUÇÕES EM INFORMÁTICA, IMPORTAÇÃO, EXPORTAÇÃO</t>
  </si>
  <si>
    <t>LUANDA COMÉRCIO DE SUPRIMENTOS PARA INFORMÁTICA LTDA. EPP.</t>
  </si>
  <si>
    <t>LUIZ CARLOS BRENZIN ME</t>
  </si>
  <si>
    <t>I. L. LOPES METALMECANICA - ME</t>
  </si>
  <si>
    <t>STT - SOCIEDADE TÉCNICA DE TELECOMUNICAÇÕES LTDA</t>
  </si>
  <si>
    <t>INTELIT PROCESSOS INTELIGENTES LTDA. EPP.</t>
  </si>
  <si>
    <t>ELETRÔNICA SANTANA LTDA</t>
  </si>
  <si>
    <t>SISTEMA DE ENSINO BORGES DE MENDONÇA LTDA.</t>
  </si>
  <si>
    <t>CAZIDA COMERCIAL LTDA</t>
  </si>
  <si>
    <t>METALURGICA CAMILO LTDA ME</t>
  </si>
  <si>
    <t>CONSELHO NACIONAL DE JUSTICA</t>
  </si>
  <si>
    <t>PRINTERTEC LTDA</t>
  </si>
  <si>
    <t>DISTRICOM COMÉRCIO E INSTALAÇÕES LTDA - ME</t>
  </si>
  <si>
    <t>PORTAL EDUCAÇÃO LTDA</t>
  </si>
  <si>
    <t>JOÃO VICTOR LUCHESI EPP</t>
  </si>
  <si>
    <t>MARMORARIA CAPITAL LTDA- ME</t>
  </si>
  <si>
    <t>TESTO DO BRASIL - INSTRUMENTOS DE MEDICAO LTDA.</t>
  </si>
  <si>
    <t>HS EDITORA LTDA</t>
  </si>
  <si>
    <t>G PLUX CONSULTORIA EMPRESARIAL LTDA</t>
  </si>
  <si>
    <t>ELETRO TERRÍVEL LTDA.</t>
  </si>
  <si>
    <t>DINIZ SOM FOTO AUDIO LTDA.</t>
  </si>
  <si>
    <t>MUSICAL JOINVILLE COMÉRCIO DE INSTRUMENTOS MUSICAIS LTDA.</t>
  </si>
  <si>
    <t>DANIELA TULER SANTOS DE OLIVEIRA - ME</t>
  </si>
  <si>
    <t>LUIS FERNANDO MACARINI MONTALI COMÉRCIO - ME</t>
  </si>
  <si>
    <t>SOLO COMERCIAL LTDA - EPP</t>
  </si>
  <si>
    <t>ASTOR STAUDT ME</t>
  </si>
  <si>
    <t>BESTCLEAN SERVIÇOS DE LIMPEZA E HIGIENIZAÇÃO</t>
  </si>
  <si>
    <t>BESTCLEAN SERVIÇOS DE LIMPEZA E HIGIENIZAÇÃO LTDA</t>
  </si>
  <si>
    <t>INSTITUTO DE EDUCACAO TECNOLOGICA LTDA</t>
  </si>
  <si>
    <t>POSTO AVENIDA LTDA</t>
  </si>
  <si>
    <t>BIGNARDI INDUSTRIA E COMERCIO DE PAPEIS E ARTEFATOS LTDA</t>
  </si>
  <si>
    <t>DIDIER PRODUCAO CIENTIFICA LTDA</t>
  </si>
  <si>
    <t>NPC PIRATININGA CURSOS LIVRES E EDITORA LTDA.</t>
  </si>
  <si>
    <t>VALCIR MOVEIS INDUSTRIA E COMERCIO LTDA ME</t>
  </si>
  <si>
    <t>TURCHIELLO &amp; FERREIRA LTDA.</t>
  </si>
  <si>
    <t>LPK LTDA</t>
  </si>
  <si>
    <t>QUÍMICOS &amp; PAPÉIS LTDA - ME</t>
  </si>
  <si>
    <t>LIVRE DOCENCIA TECNOLOGIA EDUCACIONAL LTDA</t>
  </si>
  <si>
    <t>REPREMIG - REPRESENTAÇÃO E COMÉRCIO DE MINAS GERAIS LTDA.</t>
  </si>
  <si>
    <t>CÂMARA MUNICIPAL DE FLORIANÓPOLIS</t>
  </si>
  <si>
    <t>FAMA COMERCIO DE ARTIGOS FOTOGRAFICOS LTDA</t>
  </si>
  <si>
    <t>SEGTRAB ASSESSORIA OCUPACIONAL LTDA ME</t>
  </si>
  <si>
    <t>LOJA DAS CORTINAS LUZIA</t>
  </si>
  <si>
    <t>CDP COMERCIO E SERVIÇOS LTDA</t>
  </si>
  <si>
    <t>ANA JOHANN CRIAÇÕES &amp; CIA LTDA - ME</t>
  </si>
  <si>
    <t>ELOVIDA ASSESSORIA EM SAÚDE OCUPACIONAL LTDA - ME</t>
  </si>
  <si>
    <t>POSTMIX SERVICOS EDITORIAIS LTDA - EPP</t>
  </si>
  <si>
    <t>MBM SEGURADORA S.A.</t>
  </si>
  <si>
    <t>LEME CONSULTORIA EM GESTÃO DE RH LTDA.</t>
  </si>
  <si>
    <t>L. A. PERY SEABRA ME</t>
  </si>
  <si>
    <t>SINERGIA RECURSOS HUMANOS LTDA</t>
  </si>
  <si>
    <t>FELIPE ALFREDO JAHN ME</t>
  </si>
  <si>
    <t>PHD COMÉRCIO E LICITAÇÕES LTDA.</t>
  </si>
  <si>
    <t>DIGISERVI TRADING LTDA.</t>
  </si>
  <si>
    <t>TLS INFORMÁTICA LTDA.</t>
  </si>
  <si>
    <t>ASSOCIAÇÃO LATINO-AMERICANA DE JUÍZES DO TRABALHO - ALJT</t>
  </si>
  <si>
    <t>ALEXSANDRO AVILA DE OLIVEIRA ME</t>
  </si>
  <si>
    <t>INSTITUTO NEGÓCIOS PÚBLICOS DO BRASIL - ESTUDOS E PESQUISA LTDA</t>
  </si>
  <si>
    <t>FÓRUM CULTURAL ORGANIZAÇÃO DE EVENTOS LTDA</t>
  </si>
  <si>
    <t>CENTRO DE FORMAÇAO DE CONDUTORES ROCA LTDA</t>
  </si>
  <si>
    <t>UNIDADE CENTRAL DE EDUCAÇÃO FAEM FACULDADES LTDA</t>
  </si>
  <si>
    <t>DISTRIBUIDORA DE ÁGUA MINERAL FARIAS LTDA ME</t>
  </si>
  <si>
    <t>DSM DISTRIBUIDORA MOVEIS E SUPRIMENTOS EIRELI EPP</t>
  </si>
  <si>
    <t>BARTOSKI &amp; ZUKOVSKI LTDA.</t>
  </si>
  <si>
    <t>CONDOMINIO EDIFICIO TOSCANA FLORIANOPOLIS FLAT</t>
  </si>
  <si>
    <t>FUNDACAO DE PERITOS EM CRIMINALÍSTICA ILARAINE ACACIO ARCE</t>
  </si>
  <si>
    <t>VIP SUL CONSTRUÇÕES E SERVIÇOS LTDA</t>
  </si>
  <si>
    <t>INSTITUTO DE DESENVOLVIMENTO GERENCIAL S.A.</t>
  </si>
  <si>
    <t>CIN CONSULTORIA EMPRESARIAL LTDA.</t>
  </si>
  <si>
    <t>INSTITUTO PSICOLOGIA CONTROLE DO STRESS MARILDA E. N. LIPP LTDA.</t>
  </si>
  <si>
    <t>A.H. DE OLIVEIRA MÁQUINAS E EQUIPAMENTOS - ME</t>
  </si>
  <si>
    <t>ARTAMA METAL MECÂNICA LTDA.</t>
  </si>
  <si>
    <t>DALPE COMÉRCIO DE MÓVEIS E ELETRODOMÉSTICOS LTDA.</t>
  </si>
  <si>
    <t>VOYAGER BUSINESS TECHNOLOGY LTDA.</t>
  </si>
  <si>
    <t>FITNESSE ATIVIDADES FÍSICAS LTDA.</t>
  </si>
  <si>
    <t>TECNOPLACAS COMERCIO DE PLACAS LTDA</t>
  </si>
  <si>
    <t>F R S DO NASCIMENTO ME</t>
  </si>
  <si>
    <t>BR ESCOLA DE INFORMÁTICA LTDA - ME</t>
  </si>
  <si>
    <t>INOVA PRODUÇÕES E EVENTOS LTDA - ME</t>
  </si>
  <si>
    <t>ORDEM DOS ADVOGADOS DO BRASIL - SEÇÃO SANTA CATARINA</t>
  </si>
  <si>
    <t>MODULO SECURITY SOLUTIONS S/A</t>
  </si>
  <si>
    <t>BANCO ABN AMRO REAL S/A</t>
  </si>
  <si>
    <t>ARCO EDITORIAL LTDA</t>
  </si>
  <si>
    <t>EMPRESA BRUSQUENSE DE COMUNICAÇÃO LTDA. - TV BRUSQUE</t>
  </si>
  <si>
    <t>TIEXAMES CONSULTORIA E TREINAMENTO LTDA</t>
  </si>
  <si>
    <t>SUPERA DESENVOLVIMENTO HUMANO ORGANIZACIONAL E TREINAMENTOS LTDA</t>
  </si>
  <si>
    <t>NIVIA SALETE DOS PASSOS PERICOLO</t>
  </si>
  <si>
    <t>INTELBRAS S.A.</t>
  </si>
  <si>
    <t>REDETEC COM. E SERV. DE INFORMÁTICA E INST.ELÉTRICAS LTDA</t>
  </si>
  <si>
    <t>METALÚRGICA DE FARIAS LTDA - ME</t>
  </si>
  <si>
    <t>SOCIEDADE EDUCACIONAL LEONARDO DA VINCI S/S LTDA</t>
  </si>
  <si>
    <t>MEDIA BOX CONSULTORIA E SERVIÇOS DE MARKETING LTDA.</t>
  </si>
  <si>
    <t>COMPLEXO DE ENSINO SUPERIOR ANITA GARIBALDI LTDA.</t>
  </si>
  <si>
    <t>ASSOCIACAO DE DIABETES JUVENIL</t>
  </si>
  <si>
    <t>INOVA SEGURANCA E SAUDE COM. DE MAT. E EQUIP. LTDA</t>
  </si>
  <si>
    <t>MPS DISTRIBUIDORA MERCANTIL LTDA</t>
  </si>
  <si>
    <t>ARAUCARIA AR CONDICIONADO LTDA - ME</t>
  </si>
  <si>
    <t>ALBERTO ANTONIO ALVES DE OLIVEIRA GRANATO</t>
  </si>
  <si>
    <t>NOVA TV GALEGA LTDA. EPP</t>
  </si>
  <si>
    <t>DATA 3D  ESCOLA  DE COMPUTAÇAO  GRÁFICA ME</t>
  </si>
  <si>
    <t>PERSIANAS CRISDAN LTDA - ME</t>
  </si>
  <si>
    <t>CRIATIVA CORTINAS LTDA - ME</t>
  </si>
  <si>
    <t>DOPE MOVEIS LTDA EPP</t>
  </si>
  <si>
    <t>EMERGÊNCIAS MÉDICAS SANTA CATARINA S/S LTDA</t>
  </si>
  <si>
    <t>JONAS GARCIA ALVES FILHO EIRELI EPP</t>
  </si>
  <si>
    <t>RENOFORCE AGÊNCIA DE NEGÓCIOS EIRELI ME</t>
  </si>
  <si>
    <t>ZITYS DO BRASIL COMÉRCIO E SERVIÇOS LTDA</t>
  </si>
  <si>
    <t>LDM COMÉRCIO DE EQUIPAMENTOS LTDA - EPP</t>
  </si>
  <si>
    <t>ELTON LUIZ DE OLIVEIRA ? ME</t>
  </si>
  <si>
    <t>VECTRA CONSULTORIA E SERVIÇOS LTDA</t>
  </si>
  <si>
    <t>LAM TI TECNOLOGIA LTDA.</t>
  </si>
  <si>
    <t>BIO SAN SERVIÇOS AMBIENTAIS LTA ME</t>
  </si>
  <si>
    <t>ASSOCIAÇÃO CATARINENSE DE ENSINO - ACE</t>
  </si>
  <si>
    <t>NTC - NÚCLEO DE TECNOLOGIA E CONHECIMENTO EM INFORMÁTICA LTDA.</t>
  </si>
  <si>
    <t>NOVA COMERCIAL LTDA - ME</t>
  </si>
  <si>
    <t>PROJETELAS INDUSTRIA COMERCIO LTDA - EPP</t>
  </si>
  <si>
    <t>DEPARTAMENTODE POLÍCIA FEDERAL NO ESTADO DE SANTA CATARINA</t>
  </si>
  <si>
    <t>WALMOR LEANDRO DERETTI</t>
  </si>
  <si>
    <t>DIGITALKS EVENTOS E TREINAMENTOS LTDA - ME</t>
  </si>
  <si>
    <t>ANILSON GERCINO DA SILVA - ME</t>
  </si>
  <si>
    <t>COLLINE COMÉRCIO DE DESCARTÁVEIS LTDA. - ME</t>
  </si>
  <si>
    <t>DISTRIBUIDORA POLAR AGUA LTDA - ME</t>
  </si>
  <si>
    <t>SHOWCASE DTV SERVIÇOS E CONSULTORIAS EPP</t>
  </si>
  <si>
    <t>SERVIÇO SOCIAL DA INDÚSTRIA - DEPARTAMENTO REGIONAL DE SC</t>
  </si>
  <si>
    <t>UNISUPRI OFFICER COMÉRCIO DE EQUIPAMENTOS DE INFORMÁTICA LTDA. - EPP</t>
  </si>
  <si>
    <t>SINERGIA SISTEMA DE ENSINO LTDA.</t>
  </si>
  <si>
    <t>CIRÚRGICA FLORIANÓPOLIS COM. MAT. HOSPITALARES LTDA</t>
  </si>
  <si>
    <t>PM COFRES LTDA - EPP</t>
  </si>
  <si>
    <t>JORIS DE OLIVEIRA MARENGO - MEI</t>
  </si>
  <si>
    <t>EUNICE MARIA GONÇALVES DE OLIVEIRA ME</t>
  </si>
  <si>
    <t>POLIDERM COMERCIAL E DISTRIBUIDORA LTDA</t>
  </si>
  <si>
    <t>PH RECURSOS HUMANOS LTDA.</t>
  </si>
  <si>
    <t>IOC ? CAPACITAÇÃO LTDA.</t>
  </si>
  <si>
    <t>KLEIN MOVEIS SOB MEDIDA LTDA</t>
  </si>
  <si>
    <t>INSTITUTO UNIVERSITÁRIO DO RIO DE JANEIRO LTDA-EPP</t>
  </si>
  <si>
    <t>GRAFIKÁS INDÚSTRIA GRÁFICA LTDA.</t>
  </si>
  <si>
    <t>S DE N YAKSIC CRISTAIS EPP</t>
  </si>
  <si>
    <t>ABERJE ASSOCIACAO BRASILEIRA DE COMUNICACAO EMPRESARIAL</t>
  </si>
  <si>
    <t>AMDA SECURITY IMPORTADORA LTDA ME</t>
  </si>
  <si>
    <t>PREMIERSEG INDÚSTRIA E COMÉRCIO LTDA.</t>
  </si>
  <si>
    <t>ANTONIO AMARAL VILAS BOAS NETO EIRELI</t>
  </si>
  <si>
    <t>LAP COMÉRCIO DE EQUIPAMENTOS LTDA ME</t>
  </si>
  <si>
    <t>PERFORM TECNOLOGIA LTDA - EPP</t>
  </si>
  <si>
    <t>BRALIC REPRESENTAÇÕES COMERCIAIS LTDA - EPP</t>
  </si>
  <si>
    <t>ARREMATE COMERCIO DIGITAL LTDA - ME</t>
  </si>
  <si>
    <t>CRIARTE INDUSTRIA E COMERCIO DE ESQUADRIAS LTDA</t>
  </si>
  <si>
    <t>3L TECNOLOGIA LTDA. - ME</t>
  </si>
  <si>
    <t>PONTO DAS CHAVES LTDA - ME</t>
  </si>
  <si>
    <t>SECRETARIA DE ESTADO E SEGURANÇA PÚBLICA DE SANTA CATARINA</t>
  </si>
  <si>
    <t>DANISA LTDA</t>
  </si>
  <si>
    <t>IPE - INOVA PRATICAS EDUCACIONAIS - PESQUISA, EVENTOS E CONSULTORIA LTDA - ME</t>
  </si>
  <si>
    <t>KEVIN BUGS VAZ - ME</t>
  </si>
  <si>
    <t>MD CONTROLE DE PRAGAS LTDA. - EPP</t>
  </si>
  <si>
    <t>JOSIANE MACHADO KAHL ME</t>
  </si>
  <si>
    <t>FENIX DECORARE COM. ART. DEC. LTDA</t>
  </si>
  <si>
    <t>FUNDO MUNICIPAL DE REQUIPAMENTO DO CORPO DE BOMBEIROS</t>
  </si>
  <si>
    <t>J.A. SAMPAIO DE OLIVEIRA LTDA. - ME</t>
  </si>
  <si>
    <t>SINDICATO DOS PERITOS CRIMINAIS DE MINAS GERAIS - SINDPECRI</t>
  </si>
  <si>
    <t>ATRATIVA SERVIÇOS GERAIS LTDA - EPP</t>
  </si>
  <si>
    <t>MARELLI MOVEIS PARA ESCRITORIO LTDA</t>
  </si>
  <si>
    <t>SEATEC- COMÉRCIO E SERVIÇOS DE EQUIPAMENTOS ODOTOMEDICOS LTDA</t>
  </si>
  <si>
    <t>WORLD DIGITAL SOLUÇÕES INTELIGENTES EIRELE - ME</t>
  </si>
  <si>
    <t>CASA DE IDEIAS COMUNICAÇÃO LTDA</t>
  </si>
  <si>
    <t>PANIFICADORA GOMES LTDA.</t>
  </si>
  <si>
    <t>FERNANDA DA SILVA LIMA</t>
  </si>
  <si>
    <t>ROSDELMULTI CONFECÇÃO E COMÉRCIO LTDA.</t>
  </si>
  <si>
    <t>VERTTICAL PRESTADORA DE SERVIÇOS LTDA - EPP</t>
  </si>
  <si>
    <t>BAGATOLI COMERCIO DE MOVEIS LTDA - ME</t>
  </si>
  <si>
    <t>IBAGY NÉGÓCIOS IMOBILIÁRIOS LTDA</t>
  </si>
  <si>
    <t>GLOBO COMERCIO DE AUTOMOVEIS E PECAS LTDA</t>
  </si>
  <si>
    <t>HEWLETT-PACKARD BRASIL LTDA</t>
  </si>
  <si>
    <t>TRIBUNAL REGIONAL DO TRABALHO DA 9ª REGIÃO</t>
  </si>
  <si>
    <t>TRIBUNAL REGIONAL DO TRABALHO DA 8ª REGIÃO</t>
  </si>
  <si>
    <t>CELER FACULDADES LTDA.</t>
  </si>
  <si>
    <t>LNC COMUNICAÇÕES S/A</t>
  </si>
  <si>
    <t>GUSTAVO H M CHERUBINI</t>
  </si>
  <si>
    <t>INTELIX TECNOLOGIA LTDA - ME</t>
  </si>
  <si>
    <t>CONSULTORIA EM TI E ENSINO OFFICE LTDA - ME</t>
  </si>
  <si>
    <t>TECH CELL COMERCIAL LTDA - ME</t>
  </si>
  <si>
    <t>MARIA ODALEA GUERRA CO - L2 COMERCIAL EIRELI ME</t>
  </si>
  <si>
    <t>FA LIMA INFORMÁTICA EPP</t>
  </si>
  <si>
    <t>HORUS INFORMÁTICA LTDA</t>
  </si>
  <si>
    <t>ADQUAM BRASIL CONSULTORIA EM TECNOLOGIA LTDA</t>
  </si>
  <si>
    <t>OXEDIO MULTIMIDIA COMERCIO DE ELETROELETRONICOS LTDA - EPP</t>
  </si>
  <si>
    <t>FUNDAÇÃO CATARINENSE DE EDUCAÇÃO ESPECIAL</t>
  </si>
  <si>
    <t>CERNE INFORMÁTICA LTDA</t>
  </si>
  <si>
    <t>VIXBOT SOLUCOES EM INFORMATICA LTDA - EPP</t>
  </si>
  <si>
    <t>WORKING ASSOCIACAO DE INTEGRACAO PROFISSIONAL</t>
  </si>
  <si>
    <t>OFFICE IT SERVIÇOS DE INFORMÁTICA LTDA - EPP</t>
  </si>
  <si>
    <t>ANDRE PULIDO GEMMER</t>
  </si>
  <si>
    <t>PORT DISTRIBUIDORA DE INFORMÁTICA E PAPELARIA LTDA.</t>
  </si>
  <si>
    <t>LEXOS COMÉRCIO DE INFORMÁTICA LTDA ME</t>
  </si>
  <si>
    <t>JOÃO PAULO LIMA ARIAS - EPP</t>
  </si>
  <si>
    <t>ASOSC PERÍCIAS E SEG. DO TRABALHO LTDA ME</t>
  </si>
  <si>
    <t>ASSOCIAÇÃO BRASILEIRA DE DESENHO INDUSTRIAL - ABRADI</t>
  </si>
  <si>
    <t>GEFISA CONSTRUTORA E INCORPORADORA LTDA</t>
  </si>
  <si>
    <t>VISUALNEW COMUNICAÇÃO EIRELI - ME</t>
  </si>
  <si>
    <t>ORS ELETROELETRONICA E TELECOMUNICAÇÕES EIRELI</t>
  </si>
  <si>
    <t>WORLD AGENT - COMERCIO IMPORTAÇÃO E EXPORTAÇÃO DE DECORAÇÕES LTDA ME</t>
  </si>
  <si>
    <t>CARAIPE INDUSTRIA E COMERCIO DE MOVEIS EIRELI - EPP</t>
  </si>
  <si>
    <t>ECO - COMUNICAÇÕES ELETRÔNICAS LTDA</t>
  </si>
  <si>
    <t>DATAINFO SOLUÇÕES EM TECNOLOGIA DA INFORMAÇÃO LTDA.</t>
  </si>
  <si>
    <t>FUNDAÇÃO ESCOLA DE GOVERNO - ENA</t>
  </si>
  <si>
    <t>IMPÉRIO DO PAPEL COMÉRCIO DE PAPÉIS LTDA ME</t>
  </si>
  <si>
    <t>SANTACOTEX INDÚSTRIA TEXTIL LTDA</t>
  </si>
  <si>
    <t>W&amp;M PUBLICIDADE LTDA-EPP</t>
  </si>
  <si>
    <t>ELEVTEC MANUTENÇÃO DE ELEVADORES LTDA ME</t>
  </si>
  <si>
    <t>MDJ SEGURANÇA PRIVADA E VIGILANCIA LTDA - ME</t>
  </si>
  <si>
    <t>ASSOCIAÇÃO NACIONAL DOS ANALISTAS DO PODER JUDICIÁRIO E DO MINISTÉRIO PÚBLICO DA UNIÃO</t>
  </si>
  <si>
    <t>MAGAZINE 155 COMERCIO VIRTUAL LTDA - ME</t>
  </si>
  <si>
    <t>CELSO GONÇALVES</t>
  </si>
  <si>
    <t>1AARON COMÉRCIO DE INSTALAÇÕES COMERCIAIS E ESCRITÓRIO LTDA</t>
  </si>
  <si>
    <t>CSEE CENTRO DE SOLUÇÕES EM EVENTOS EIRELI</t>
  </si>
  <si>
    <t>ALEXANDRA DOS PASSOS EIRELI EPP</t>
  </si>
  <si>
    <t>TATIANA RODRIGUES</t>
  </si>
  <si>
    <t>GANZO E GANZO EDITORA LTDA - ME</t>
  </si>
  <si>
    <t>CONSTRUTORA BEM TE VI LTDA</t>
  </si>
  <si>
    <t>FUNDAÇÃO DAS ESCOLAS UNIDAS DO PLANALTO CATARINENSE</t>
  </si>
  <si>
    <t>LEONOR E JULIANA EVENTOS LTDA</t>
  </si>
  <si>
    <t>MAURICIO SILVA - EPP</t>
  </si>
  <si>
    <t>UNITECH-RIO COMÉRCIO E SERVIÇOS LTDA</t>
  </si>
  <si>
    <t>COMSCHOOL SOLUCOES EM E-COMMERCE LTDA. - ME</t>
  </si>
  <si>
    <t>MZ COMÉRCIO DE EXTINTORES LTDA</t>
  </si>
  <si>
    <t>COMÉRCIO E REFRIGERAÇÃO MJ LTDA - ME</t>
  </si>
  <si>
    <t>ALIANÇA DO BRASIL SEGUROS S/A</t>
  </si>
  <si>
    <t>DIMAS COMÉRCIO DE AUTOMÓVEIS LTDA</t>
  </si>
  <si>
    <t>BARNI GARDEN CENTER LTDA ME</t>
  </si>
  <si>
    <t>R. NAKAYAMA ASSESSORIA EMPRESARIAL ? ME</t>
  </si>
  <si>
    <t>DELTACOMPY COMÉRCIO E SERVIÇOS DE INFORMÁTICA LTDA.</t>
  </si>
  <si>
    <t>AEON COMERCIO E SERVIÇOS LTDA - ME</t>
  </si>
  <si>
    <t>ISIS GUTERRES MOREIRA RAMOS ME</t>
  </si>
  <si>
    <t>FUNDO MUNICIPAL DE EMERGENCIA DA DEFESA CIVIL DE TIMBO</t>
  </si>
  <si>
    <t>FLASH INSTALAÇÕES LTDA ME</t>
  </si>
  <si>
    <t>LIVRA-TE - TECNOLOGIA E ENSINO EM SOFTWARE LIVRE LTDA</t>
  </si>
  <si>
    <t>CIMCORP COMÉRCIO E SERVIÇOS DE TECNOLOGIA E INFORMÁTICA LTDA.</t>
  </si>
  <si>
    <t>GOEDERT IMPORTS LTDA - EPP</t>
  </si>
  <si>
    <t>ORTOBIG COMERCIO DE EQUIPAMENTOS ORTOPEDICOS LTDA - ME</t>
  </si>
  <si>
    <t>SANTA APOLONIA COMERCIO DE PRODUTOS MEDICOS EIRELI - ME</t>
  </si>
  <si>
    <t>SUL VENDAS COMERCIAL LTDA - ME</t>
  </si>
  <si>
    <t>STRATEGY SOLUÇÕES TECNOLÓGICAS LTDA - ME</t>
  </si>
  <si>
    <t>FBRP COMERCIAL DO BRASIL LTDA ME</t>
  </si>
  <si>
    <t>LUIS GUSTAVO SONCINI EQUIPAMENTOS DE INFORMÁTICA ME</t>
  </si>
  <si>
    <t>SEGINFO COMÉRCIO E SERVIÇOS EMPRESARIAIS EIRELI - ME</t>
  </si>
  <si>
    <t>KITUTTE SUCOS E SALGADOS LTDA ME</t>
  </si>
  <si>
    <t>INFOSHOP - COMÉRCIO ATACADISTA DE ARTIGOS PARA INFORMÁTICA EIRELI - ME</t>
  </si>
  <si>
    <t>CONCEPTU CONSULTORES ASSOCIADOS LTDA</t>
  </si>
  <si>
    <t>TESOURO DISTRIBUIDORA LTDA.</t>
  </si>
  <si>
    <t>MAYCON WILL EIRELI EPP</t>
  </si>
  <si>
    <t>SERVIX INFORMÁTICA LTDA</t>
  </si>
  <si>
    <t>TRIBUNAL REGIONAL DO TRABALHO DA 22ª REGIÃO</t>
  </si>
  <si>
    <t>G. C. ARAUJO MÓVEIS DE AÇO - EPP</t>
  </si>
  <si>
    <t>CATARINENSE AR CONDICIONADO LTDA EPP</t>
  </si>
  <si>
    <t>RS CONSULTORIA E SERVIÇOS DE GESTÃO EMPRESARIAL LTDA</t>
  </si>
  <si>
    <t>AOVS SISTEMAS DE INFORMATICA S.A.</t>
  </si>
  <si>
    <t>LANLINK SOLUÇÕES E COMERCIALIZAÇÃO EM INFORMÁTICA S/A</t>
  </si>
  <si>
    <t>DENTAL UNI - COOPERATIVA ODONTOLÓGICA</t>
  </si>
  <si>
    <t>MPCI - METAL PROTECTOR LTDA</t>
  </si>
  <si>
    <t>LANLINK SOLUÇÕES E COMERCIALIZAÇÃO EM INFORMÁTICA S.A.</t>
  </si>
  <si>
    <t>COLUMBIA STORAGE INTEGRAÇÃO DE SISTEMAS LTDA.</t>
  </si>
  <si>
    <t>INFRACORP COMERCIO E SERVIÇO EIRELI-ME</t>
  </si>
  <si>
    <t>LUNARFILM COMERCIO DE VEICULO LTDA</t>
  </si>
  <si>
    <t>MAXI EMPREENDIMENTOS IMOBILIARIOS LTDA. EPP</t>
  </si>
  <si>
    <t>VINICIUS CHAVES DOS SANTOS EPP</t>
  </si>
  <si>
    <t>CEK INFORMÁTICA EIRELI - EPP</t>
  </si>
  <si>
    <t>IPÊ ROXO INSTITUTO DE DESENVOLVIMENTO HUMANO LTDA - ME</t>
  </si>
  <si>
    <t>CLINICA REABILITAR LTDA - EPP</t>
  </si>
  <si>
    <t>HIDRO BOMBAS SERVIÇOS LTDA - EPP</t>
  </si>
  <si>
    <t>LASSANE TECNOLOGIA EM ENCADERNAÇÕES LTDA</t>
  </si>
  <si>
    <t>GUARDIAN COM. EQUIP. DE SEG. INFORMÁTICA E MANUT. LTDA - ME</t>
  </si>
  <si>
    <t>BAGGIO ARQUITETURA CONSULTORIA SS LTDA</t>
  </si>
  <si>
    <t>REDISUL INFORMÁTICA LTDA</t>
  </si>
  <si>
    <t>UNIVERSIDADE FEDERAL DE PELOTAS</t>
  </si>
  <si>
    <t>FERREIRA E ANASTACIO DESENVOLVIMENTO GERENCIAL LTDA ME</t>
  </si>
  <si>
    <t>PACIFICAR - ASSESSORIA E CONSULTORIA EM CONFLITOS LTDA</t>
  </si>
  <si>
    <t>ASSOCIAÇÃO ESCOLA SUPERIOR DE PROPAGANDA E MARKETING (ESPM)</t>
  </si>
  <si>
    <t xml:space="preserve"> ELETRO RACHADEL MATERIAIS ELETRONICOS LTDA ME</t>
  </si>
  <si>
    <t>SVC LASER COMERCIAL LTDA</t>
  </si>
  <si>
    <t>TORINO INFORMATICA LTDA</t>
  </si>
  <si>
    <t>COMP1 INFORMÁTICA LTDA.</t>
  </si>
  <si>
    <t>BRASILRAD ? CONSULTORIA EM RADIOPROTECAO</t>
  </si>
  <si>
    <t>ADENIRICIO CIRIACO PEREIRA ME</t>
  </si>
  <si>
    <t>SOLUTI SOLUÇÕES EM NEGÓCIOS INTELIGENTES S/A</t>
  </si>
  <si>
    <t>VANBRAS COMERCIAL EIRELI ME</t>
  </si>
  <si>
    <t>PENSARES PRODUÇÕES LTDA</t>
  </si>
  <si>
    <t>CARLOS NETO COMÉRCIO DE LIVROS EIRELI - EPP</t>
  </si>
  <si>
    <t>2CO CONSTRUÇÃO E COMUNICAÇÃO EIRELI</t>
  </si>
  <si>
    <t>ARENA TRANSPORTE E LOGISTICA DE VEICULOS LTDA - ME</t>
  </si>
  <si>
    <t>LITORAL CONSTRUTORA E INCORPORADORA EIRELI</t>
  </si>
  <si>
    <t>ANINSETO DEDETIZADORA LTADA - ME</t>
  </si>
  <si>
    <t>DEDETIZADORA E IMUNIZADORA CARACOL LTDA - ME</t>
  </si>
  <si>
    <t>CLÍNICA REABILITAR LTDA EPP</t>
  </si>
  <si>
    <t>EWT BRASIL ELEVADORES LTDA - ME</t>
  </si>
  <si>
    <t>VJ COMÉRCIO DE MATERIAIS DE CONSTRUÇÃO E SERVIÇOS DE TERRAPLENAGEM EIRELI - EPP</t>
  </si>
  <si>
    <t>GARRA SC COMÉRCIO E SERVIÇOS LTDA - ME</t>
  </si>
  <si>
    <t>VBM EQUIPAMENTOS LTDA EPP</t>
  </si>
  <si>
    <t>PANIFICADORA COCAL DO SUL LTDA</t>
  </si>
  <si>
    <t>GEAP AUTOGESTÃO EM SAÚDE</t>
  </si>
  <si>
    <t>CT NUTRIÇÃO LTDA ME</t>
  </si>
  <si>
    <t>KHOMP INDÚSTRIA E COMÉRCIO LTDA</t>
  </si>
  <si>
    <t>NC COMUNICAÇÕES SA</t>
  </si>
  <si>
    <t>KHARISMA COMERCIAL LTDA</t>
  </si>
  <si>
    <t>IACIT SOLUÇÕES TECNOLOGICAS S.A..</t>
  </si>
  <si>
    <t>O. C. BRAS FILHO</t>
  </si>
  <si>
    <t>GC COMÉRCIO DE MATERIAIS HIDRÁULICO LTDA ME</t>
  </si>
  <si>
    <t>F D COMÉRCIO DE PNEUS E RODAS LTDA EPP</t>
  </si>
  <si>
    <t>GLOBO COMÉRCIO DE AUTOMÓVEIS E PAÇAS LTDA</t>
  </si>
  <si>
    <t>RJR COMÉRCIO E SERVIÇOS DE INFORMÁTICA LTDA.</t>
  </si>
  <si>
    <t>NEUROATIVE CLINICA DE NEUROPSICOLOGIA</t>
  </si>
  <si>
    <t>PLAXMETAL S/A - INDUSTRIA DE CADEIRAS CORPORATIVAS</t>
  </si>
  <si>
    <t>COLÉGIO DO REGISTRO DE IMÓVEIS DO PARANÁ</t>
  </si>
  <si>
    <t>MUNICIPIO DE MAFRA PREFEITURA MUNICIPAL</t>
  </si>
  <si>
    <t>PRIORI TREINAMENTO E APERFEIÇOAMENTO LTDA</t>
  </si>
  <si>
    <t>A.ARTHE FLEX COMÉRCIO DE PERSIANAS LTDA.</t>
  </si>
  <si>
    <t>L3 INFORMÁTICA LTDA EPP</t>
  </si>
  <si>
    <t>8V TECNOLOGIA EIRELI ME</t>
  </si>
  <si>
    <t>CAPACITY TREINAMENTO E APERFEICOAMENTO LTDA ME</t>
  </si>
  <si>
    <t>NTSEC SOLUÇÕES EM TELEINFORMÁTICA LTDA</t>
  </si>
  <si>
    <t>AGUIA COMÉRCIO DE EQUIPAMENTOS EIRELI</t>
  </si>
  <si>
    <t>MAURO JOSÉ DE ALEXANDRIA - ME</t>
  </si>
  <si>
    <t>CN RESTAURANTE LANCHONETE EIRELI - ME</t>
  </si>
  <si>
    <t>QSP - CENTRO DE QUALIDADE, SEGURANÇA E PRODUTIVIDADE PARA O BRASIL E AMÉRICA LATINA</t>
  </si>
  <si>
    <t>SEVITA - SOCIEDADE EDUCACIONAL DO VALE DO ITAPOCU</t>
  </si>
  <si>
    <t>ALE INFORMATICA E ESCRITORIO LTDA</t>
  </si>
  <si>
    <t>FUNDAÇÃO UNIVERSIDADE PARA O DESENVOLVIMENTO DO ALTO VALE DO ITAJAÍ - UNIDAVI</t>
  </si>
  <si>
    <t>MULTMETAL COMUNICAÇÃO VISUAL E SERRALHEIRIA EIRELI</t>
  </si>
  <si>
    <t>FLORIPA INDÚSTRIA DA MODA LTDA</t>
  </si>
  <si>
    <t>CASA EDUCAÇÃO SOLUÇÕES EDUCACIONAIS LTDA</t>
  </si>
  <si>
    <t>ASSOCIAÇÃO BRASILIENSE DE PERITOS EM CRIMINALÍSTICA</t>
  </si>
  <si>
    <t>TONIAZZI ENGENHARIA LTDA.</t>
  </si>
  <si>
    <t>ECHOS SERVIÇOS S/A</t>
  </si>
  <si>
    <t>OWL PRODUÇÕES E EVENTOS COMÉRCIO E LICITAÇÕES EIRELI EPP</t>
  </si>
  <si>
    <t>OCL COMÉRCIO E IMPORTAÇÃO LTDA</t>
  </si>
  <si>
    <t>SULBANDEIRAS COMÉRCIO LTDA EPP</t>
  </si>
  <si>
    <t>OUVIDORIA CONTROLADORIA GERAL DA UNIÃO</t>
  </si>
  <si>
    <t>CAIO COELHO MOMM - EPP</t>
  </si>
  <si>
    <t>PONTOCOM SUPRIMENTOS PARA INFORMÁTICA EIRELI -ME</t>
  </si>
  <si>
    <t>MICROSENS S/A</t>
  </si>
  <si>
    <t>FOX ELETRÔNICA EIRELI ME</t>
  </si>
  <si>
    <t>POLY DEFENSOR PRODUTOS DEFESA PESSOAL LTDA</t>
  </si>
  <si>
    <t>ACESSOLINE TELECOMUNICAÇÕES LTDA</t>
  </si>
  <si>
    <t>TRACTO TREINAMENTO - EIRELI - ME</t>
  </si>
  <si>
    <t>NEUROBOX TECNOLOGIA EM INFORMATICA LTDA</t>
  </si>
  <si>
    <t>ASSOCIAÇÃO DOS REGISTRADORES DE PESSOAS NATURAIS DO ESTADO DE SÃO PAULO</t>
  </si>
  <si>
    <t>UNIÃO SUL CONTROLE DE PRAGAS LTDA EPP</t>
  </si>
  <si>
    <t>DEDETIZADORA PLANALTO SERVIÇOS LTDA ME</t>
  </si>
  <si>
    <t>OMETTO EQUIPAMENTOS DE RADIOPROTEÇÃO E INSPEÇÃO LTDA</t>
  </si>
  <si>
    <t>EBSX2 COMERCIO E REPRESENTACOES LTDA - EPP</t>
  </si>
  <si>
    <t>LAR PLASTCOMÉRCIO DE PLÁSTICOS EIRELI</t>
  </si>
  <si>
    <t>TALLER LTDA</t>
  </si>
  <si>
    <t>ANDERSON SILVEIRA FERNANDES - ME</t>
  </si>
  <si>
    <t>INSTITUTO DE ESTUDOS DE PROTESTO DE TÍTULOS DO BRASL - SEÇÃO SANTA CATARINA</t>
  </si>
  <si>
    <t>ARTE JARDIM PAISAGISMO LTDA ME</t>
  </si>
  <si>
    <t>VITOR HUGO ZEFERINO - MEI</t>
  </si>
  <si>
    <t>1TRADUCOM LOCAÇÃO DE EQUIPAMENTOS LTDA ME</t>
  </si>
  <si>
    <t>SAULO FORTKAMP</t>
  </si>
  <si>
    <t>CLINIMED SAÚDE E SEGURANÇA DO TRABALHO LTDA</t>
  </si>
  <si>
    <t>CASTELO DESCHAMPS EMPREENDIMENTOS LTDA</t>
  </si>
  <si>
    <t>LFV ? EMPREENDIMENTOS IMOBILIÁRIOS LTDA. EPP</t>
  </si>
  <si>
    <t>CRV - EMPREENDIMENTOS IMOBILIÁRIOS LTDA</t>
  </si>
  <si>
    <t>HEXA COMÉRCIO E IMPORTAÇÃO DE EQUIPAMENTOS EIRELI - EPP</t>
  </si>
  <si>
    <t>FACULDADE DE SANTA CATARINA - FASC</t>
  </si>
  <si>
    <t>CARAVAN EXPORTAÇÃO E IMPORTAÇÃO DO BRASIL LTDA.</t>
  </si>
  <si>
    <t>FORT SAFE COMÉRCIO DE COFRES E MÓVEIS LTDA ME</t>
  </si>
  <si>
    <t>MCX COMÉRCIO DE EQUIPAMENTOS LTDA.</t>
  </si>
  <si>
    <t>PREFEITURA MUNICIPAL DE LAGES</t>
  </si>
  <si>
    <t>TRIUNFO SOLUÇÕES CONTRA INCÊNDIOS LTDA</t>
  </si>
  <si>
    <t>IBRADEP GESTÃO DA COMUNICAÇÃO</t>
  </si>
  <si>
    <t>PLASTITAPE IMPORTAÇÃO E EXPORTAÇÃO DE PRODUTOS DE EMBALAGENS LTDA. EPP</t>
  </si>
  <si>
    <t>BRIMAX COMERCIO E REPRESENTACOES - EIRELI</t>
  </si>
  <si>
    <t>SCORPION INFORMATICA LTDA - ME</t>
  </si>
  <si>
    <t>SETOPAR - SERVIÇOS TERCEIRIZADOS DO OESTE DO PARANÁ EIRELI - ME</t>
  </si>
  <si>
    <t>ACTIVE TECNOLOGIA SERVIÇOS E CONSULTORIA SA</t>
  </si>
  <si>
    <t xml:space="preserve"> BONIN ENGENHARIA DE AVALIACOES S/S</t>
  </si>
  <si>
    <t>GM DISTRIBUIDORA LTDA</t>
  </si>
  <si>
    <t>UTILARE IMPORTAÇÃO LTDA ME</t>
  </si>
  <si>
    <t>EURO MATS COMÉRCIO DE CAPACHOS E TAPETES EIRELI</t>
  </si>
  <si>
    <t>SINDICATO DOS PERITOS OFICIAIS DE SANTA CATARINA - SINPOSC</t>
  </si>
  <si>
    <t>SANDRA ELENA BARBOSA LUZ</t>
  </si>
  <si>
    <t>TPS MULTIMÍDIA LTDA.</t>
  </si>
  <si>
    <t>VINICIUS DO AMARAL ROLANDIA ? EPP</t>
  </si>
  <si>
    <t>R P DE SOUSA INFORMATICA ME</t>
  </si>
  <si>
    <t>N A FERREIRA SUPRIMENTOS DE INFORMATICA - ME</t>
  </si>
  <si>
    <t>MISS WINTER EIRELLI</t>
  </si>
  <si>
    <t>INOVE CAPACITAÇÃO E CONSULTORIA LTDA - ME</t>
  </si>
  <si>
    <t>IT PARTNERS TREINAMENTO LTDA</t>
  </si>
  <si>
    <t>CEPENGE ENGENHARIA LTDA - EPP</t>
  </si>
  <si>
    <t>VIDEPEL INDÚSTRIA E COMÉRCIO DE ARTEFATOS DE PAPEL LTDA EPP</t>
  </si>
  <si>
    <t>LOJA DO GUARDA PO LTDA</t>
  </si>
  <si>
    <t>CLP SOLUCOES COMERCIO E SERVIÇOS DE INFORMATICA EIRELI</t>
  </si>
  <si>
    <t>A C N LOCADORA NÁUTICA LTDA</t>
  </si>
  <si>
    <t>ROGER ANDRÉ BRAUN ME</t>
  </si>
  <si>
    <t>R&amp;R EQUIPAMENTOS ELETRÔNICOS - LTDA EPP</t>
  </si>
  <si>
    <t>ADVENTUS INDÚSTRIA E COMÉRCIO DE ELEVADORES LTDA.</t>
  </si>
  <si>
    <t>F5 SOFTWARE LTDA</t>
  </si>
  <si>
    <t>INFOSHOP - COMERCIO ATACADISTA DE ARTIGOS PARA INFORMÁTICA - EIRELI - ME</t>
  </si>
  <si>
    <t>BOHRER EQUIPAMENTO DE AUDIO E VIDEO EIRELI - ME</t>
  </si>
  <si>
    <t>SARAIVA E SICILIANO S/A</t>
  </si>
  <si>
    <t>NETSAFE CORP LTDA</t>
  </si>
  <si>
    <t>INOVE SOLUÇÕES EM CAPACITAÇÃO E EVENTOS LTDA - ME</t>
  </si>
  <si>
    <t>ACRYLLATO FABRICAÇÃO DE PRODUTOS ACRÍLICOS LTDA</t>
  </si>
  <si>
    <t>VALE COFRES COMERCIO LTDA ME</t>
  </si>
  <si>
    <t>COMPWIRE INFORMÁTICA S/A</t>
  </si>
  <si>
    <t>SET COMPUTADORES E SERVIÇOS LTDA.</t>
  </si>
  <si>
    <t>AVALOKI DESENVOLVIMENTO HUMANO LTDA</t>
  </si>
  <si>
    <t>KLEYTON ROBERTO MACHADO</t>
  </si>
  <si>
    <t>SYSTECH SISTEMAS E TECNOLOGIA EM INFORMÁTICA LTDA</t>
  </si>
  <si>
    <t>TASSIANA CRISTINA MARTINS GRABOVSKI EPP</t>
  </si>
  <si>
    <t>INFRA EXPERTS TECNOLOGIA E COMÉRCIO EIRELI - EPP</t>
  </si>
  <si>
    <t>COMERCIO DE CONFECÇÕES BANDEIRA EIRELI -ME</t>
  </si>
  <si>
    <t>BECKER SERVICOS EM MARKETING LTDA</t>
  </si>
  <si>
    <t>UNIFIQUE TELECOMUNICAÇÕES LTDA.</t>
  </si>
  <si>
    <t>GIBBOR PUBLICIDADE E PUBLICAÇÕES DE EDITAIS LTDA - EPP</t>
  </si>
  <si>
    <t>DISTAK AGENCIA DE VIAGENS E TURISMO LTDA - EPP</t>
  </si>
  <si>
    <t>ANDRADE PRODUTOS PARA SAÚDE EIRELI - ME</t>
  </si>
  <si>
    <t>TECSUL INDÚSTRIA E COMÉRCIO LTDA ME</t>
  </si>
  <si>
    <t>LUCIANO BARROCA SANCHES - ME</t>
  </si>
  <si>
    <t>HB PRODUTOS ESCOLARES COMÉRCIO E SERVIÇO LTDA ME</t>
  </si>
  <si>
    <t>JSLC COMERCIO DE LIVROS EIRELI</t>
  </si>
  <si>
    <t>CONDOR S/A INDÚSTRIA QUIMICA</t>
  </si>
  <si>
    <t>SETEC CONSULTORIA DE INTERFACE S/C LTDA</t>
  </si>
  <si>
    <t>PAULO ZIMER - ME</t>
  </si>
  <si>
    <t>PABLO BERNARDO DE SOUSA</t>
  </si>
  <si>
    <t>PAULO FERNANDO VASCONCELLOS NOGUEIRA</t>
  </si>
  <si>
    <t>JOSE RONIVON ANDRADE OLIVEIRA</t>
  </si>
  <si>
    <t>PREVIX PRODUTOS PARA SAÚDE LTDA. ME</t>
  </si>
  <si>
    <t>INVESTMAR DE INTERCÂMBIO COMERCIAL LTDA</t>
  </si>
  <si>
    <t>METROMED COMÉRCIO DE MATERIAL MÉDICO HOSPITALAR LTDA</t>
  </si>
  <si>
    <t>MAXIMUS ESPORTES COMÉRCIO LTDA - EPP</t>
  </si>
  <si>
    <t>MUNICIPIO DE FLORIANOPOLIS - SECRETARIA MUNICIPAL DA FAZENDA</t>
  </si>
  <si>
    <t>ALGAR SOLUÇÕES EM TIC S/A</t>
  </si>
  <si>
    <t xml:space="preserve"> CONNECT ON MARKETING DE EVENTOS LTDA ? ME.</t>
  </si>
  <si>
    <t xml:space="preserve"> 	RECICLE CATARINENSE DE RESIDUOS LTDA</t>
  </si>
  <si>
    <t>UNIÃO SUPRIMENTOS MILITARES LTDA</t>
  </si>
  <si>
    <t>KOPELL DISTRIBUIÇÃO E LOGÍSTICA LTDA</t>
  </si>
  <si>
    <t>ETIPLASTI COMERCIO E SERVICOS EM PLASTICOS LTDA - EPP</t>
  </si>
  <si>
    <t>GILMAR GALVAN - ME</t>
  </si>
  <si>
    <t>KALICA TEXEIRA DE LIMA SIMÕES</t>
  </si>
  <si>
    <t>MARIO CESAR DA SILVA O DUCESAR-ME</t>
  </si>
  <si>
    <t>BERTINI DO BRASIL LTDA</t>
  </si>
  <si>
    <t>COMERCIAL CATARINENSE ARMARINHOS EM GERAL LTDA ME</t>
  </si>
  <si>
    <t>SENFFNET LTDA</t>
  </si>
  <si>
    <t>KADOPRESS BUREAU DIGITAL E EDITORA GRAFICA LTDA - EPP</t>
  </si>
  <si>
    <t>ONDULAO EMBALAGENS EIRELI</t>
  </si>
  <si>
    <t>HASSE IMPRESSÕES DIGITAIS</t>
  </si>
  <si>
    <t>INTEGRAÇÃO ? ESCOLA DE NEGÓCIOS LTDA</t>
  </si>
  <si>
    <t>INSTITUTO BRASILSEIRO DE INTELIGÊNCIA ARTIFICIAL</t>
  </si>
  <si>
    <t>BRAZILIAN INTERNATIONAL SISTEMAS DE SEGURANÇA LTDA ME</t>
  </si>
  <si>
    <t>SOLUTION LICITACOES, COMERCIO E SERVICOS EM VIDROS LTDA</t>
  </si>
  <si>
    <t>ALMA EM DESIGN LTDA ME</t>
  </si>
  <si>
    <t>SUPERLINK SERVIÇOS EIRELI EPP</t>
  </si>
  <si>
    <t>FATHORIAL SERVI#OS EM TELECOMUNICA#$ES LTDA!</t>
  </si>
  <si>
    <t>DIGISEC - CERTIFICAÇÃO DIGITAL EIRELI</t>
  </si>
  <si>
    <t>SERASA S/A</t>
  </si>
  <si>
    <t xml:space="preserve"> TUPAN INDÚSTRIA E COMERCIO LTDA</t>
  </si>
  <si>
    <t>MINISTERIO DA JUSTICA E SEGURANÇA PUBLICA</t>
  </si>
  <si>
    <t>BUNZL EQUIPAMENTOS PARA PROTEÇÃO INDIVIDUAL LTDA</t>
  </si>
  <si>
    <t>DE NIGRIS DISTRIBUIDORA DE VEÍCULOS LTDA</t>
  </si>
  <si>
    <t>JOÃO PAULO DE AQUINO ROCHA ME</t>
  </si>
  <si>
    <t>TRC TELECOM LTDA</t>
  </si>
  <si>
    <t>SETEC CONSULTING GROUP CONSULT E ED LTDA</t>
  </si>
  <si>
    <t>RECICLE CATARINENSE DE RESÍDUOS LTDA</t>
  </si>
  <si>
    <t>SOLO NETWORK BRASIL S.A</t>
  </si>
  <si>
    <t>BRASOFTWARE INFORMATICA LTDA</t>
  </si>
  <si>
    <t>HOSPITRONICA COMERCIO DE EQUIPAMENTOS MEDICO HOSPITALAR LTDA- ME</t>
  </si>
  <si>
    <t>VISIO INDUSTRIA E COMERCIO DE EQUIPAMENTOS EIRELI</t>
  </si>
  <si>
    <t>UNICO MULT EQUIPAMENTOS E ACESSÓRIOS LTDA - EPP</t>
  </si>
  <si>
    <t>ELETRÔNICA LTDA. EPP</t>
  </si>
  <si>
    <t>FORTLINE INDÚSTRIA E COMÉRCIO DE MÓVEIS LTDA.</t>
  </si>
  <si>
    <t>LCL COMÉRCIO DE ALVOS LTDA</t>
  </si>
  <si>
    <t>ANDREIO KLOCH ME</t>
  </si>
  <si>
    <t>KP COMUNICAÇÃO E AGÊNCIA DE NOTÍCIAS LTADA</t>
  </si>
  <si>
    <t>BÉLICA MILITAR EIRELI - EPP</t>
  </si>
  <si>
    <t>IMPACTO COMÉRCIO VAREJISTA LTDA</t>
  </si>
  <si>
    <t>L&amp;M COMÉRCIO ATACADISTA DE PRODUTOS LTDA.</t>
  </si>
  <si>
    <t>NIVA TECNOLOGIA DA INFORMAÇÃO LTDA</t>
  </si>
  <si>
    <t>DIGYRADIO SISTEMAS EIRELI</t>
  </si>
  <si>
    <t>SPORTS MEN'S</t>
  </si>
  <si>
    <t>BTM COMERCIO DE BRINDES LTDA ME</t>
  </si>
  <si>
    <t>RELOBYTE SOLUÇÕES DE PONTO E ACESSO LTDA</t>
  </si>
  <si>
    <t>FORMA OFFICE COMÉRCIO DE MÓVEIS E INTERIORES LTDA.</t>
  </si>
  <si>
    <t>NILO STAHELIN</t>
  </si>
  <si>
    <t>JONATHAN SILVA MOLLERO</t>
  </si>
  <si>
    <t>COMERCIAL PIRÂMIDE LTDA EPP</t>
  </si>
  <si>
    <t>CALC INFORMÁTICA COMÉRCIO E SERVIÇOS LTDA</t>
  </si>
  <si>
    <t>EC ELETRÔNICA LTDA. ETT</t>
  </si>
  <si>
    <t>LLEIDA SOLUTIONS LTDA.</t>
  </si>
  <si>
    <t>CORSUL COMÉRCIO DE PRODUTOS PARA INDÚSTRIA LTDA</t>
  </si>
  <si>
    <t>EMBALA TUDO INDÚSTRIA E COMÉRCIO DE EMBALAGENS EIRELI - ME</t>
  </si>
  <si>
    <t>THE BEST SONORIZAÇAO IMP. E EXP. LTDA ME</t>
  </si>
  <si>
    <t>SAYTO COMERCIO DE PECAS P/ VEICULOS LTDA - ME</t>
  </si>
  <si>
    <t>COMERCIAL PORTO ALEGRENSE DE MÁQUINAS CALCULADORAS LTDA.</t>
  </si>
  <si>
    <t>TRIBUNAL REGIONAL DO TRABALHO DA 13ª REGIÃO</t>
  </si>
  <si>
    <t>INST. BRUSQUENSE PLANEJAMENTO</t>
  </si>
  <si>
    <t>3QA TECNOLOGIA EIRELI EPP</t>
  </si>
  <si>
    <t>FUNDAÇÃO FRITZ MULLER</t>
  </si>
  <si>
    <t>SULPHONES TELECOMUNICAÇÕES LTDA</t>
  </si>
  <si>
    <t>R. S. RICARDO</t>
  </si>
  <si>
    <t>ACN LOCADORA NAUTICA LTDA</t>
  </si>
  <si>
    <t>GABRIEL MACEDO CARDOSO DE MIRANDA ME</t>
  </si>
  <si>
    <t>INSTITUTO DOS AUDITORES INTERNOS DO BRASIL</t>
  </si>
  <si>
    <t>ASSOCIAÇÃO BRASILEIRA DE GESTÃO DO CONHECIMENTO</t>
  </si>
  <si>
    <t>SERVIÇO AUTONOMO DE AGUA E ESGOTO DO MUNICÍPIO DE VIDEIRA - VISAN</t>
  </si>
  <si>
    <t>EMPITEC COMERCIAL EIRELI EPP</t>
  </si>
  <si>
    <t>FUNDAÇÃO EDITORA DA UNESP</t>
  </si>
  <si>
    <t>NETSAFE CORP LTDA.</t>
  </si>
  <si>
    <t>TERRA BRASIL COM. E TRANSPORTE DE MATERIAIS DE CONSTRUÇÃO LTDA</t>
  </si>
  <si>
    <t>INTERSEPT VIGILANCIA E SEGURANÇA LTDA</t>
  </si>
  <si>
    <t>INSTITUTO BRASILEIRO DE AVALIAÇÕES E PERÍCIAS DE ENGENHARIA DO PARANÁ</t>
  </si>
  <si>
    <t>I A LIMA ME</t>
  </si>
  <si>
    <t>OKAY TECHNOLOGYCOMÉRCIO DO BRASIL LTDA. ME</t>
  </si>
  <si>
    <t>GALDITECH COMÉRCIO DE ELETRO ELETRÔNICA E TELECOMUNICAÇÕES LTDA.</t>
  </si>
  <si>
    <t>HW SERVICOS DE COMUNICACAO LTDA</t>
  </si>
  <si>
    <t>DISTRIBUIDORA CLASI DE BEBIDAS LTDA</t>
  </si>
  <si>
    <t>TONO GAS E AGUA COMERCIO VAREJISTA LTDA</t>
  </si>
  <si>
    <t>DANIEL TOLEDO DOS SANTOS ME</t>
  </si>
  <si>
    <t>AGUA NORTE DISTRIBUIDORA DE AGUAS MINERAIS EIRELE</t>
  </si>
  <si>
    <t>LEXBEMARKCOMERCIO LTDA</t>
  </si>
  <si>
    <t>ASSOCIACAO ESCOLA SUPERIOR DE PROPAGANDA E MARKETING</t>
  </si>
  <si>
    <t>SUCESSO TECNOLOGIA E INFORMAÇÃO EIRELI - ME</t>
  </si>
  <si>
    <t>PROMTEC INFORMÁTICA LTDA EPP</t>
  </si>
  <si>
    <t>SORMAQ COMERCIO DE MAQUINAS E ACESSORIOS GRAFICOS LTDA - ME</t>
  </si>
  <si>
    <t>PREFEITURA MUNICIPAL DE CANOINHAS</t>
  </si>
  <si>
    <t>JEAM SILVANO FERREIRA PROMOÇÃO EVENDA</t>
  </si>
  <si>
    <t>CONSELHO SUPERIOR DA JUSTIÇA DO TRABALHO</t>
  </si>
  <si>
    <t>CCK COMERCIAL EIRELI</t>
  </si>
  <si>
    <t>MM COMÉRCIO DE EQUIPAMENTOS LTDA,</t>
  </si>
  <si>
    <t>CERRADO AUDIOVISUAL EIRELI ME</t>
  </si>
  <si>
    <t>METROPOLITANA VIGILÂNCIA COMERCIAL E INDUSTRIAL LTDA.</t>
  </si>
  <si>
    <t>KHRONOS SEGURANÇA PRIVADA LTDA.</t>
  </si>
  <si>
    <t>MOMM COMERCIO DE PRODUTOS ALIMENTICIOS LTDA EPP</t>
  </si>
  <si>
    <t>CORPO DE BOMBEIROS DE ITAJAÍ - FUNREBOM</t>
  </si>
  <si>
    <t>FLEX OFICCE COMÉRCIO DE PRODUTOS PARA ESCRITÓRIO EIRELI - EPP</t>
  </si>
  <si>
    <t>GRAVACOES JORNALISTICAS PENDULO LTDA - EPP</t>
  </si>
  <si>
    <t>LUCKMANN INDUSTRIA E COMERCIO DE PRODUTOS P/ SAUDE LTDA - EPP</t>
  </si>
  <si>
    <t>AÇÃO COMUNITÁRIA DO BRASIL SÃO PAULO</t>
  </si>
  <si>
    <t>JMK SERVIÇOS S.A.</t>
  </si>
  <si>
    <t>ALIVE SERVIÇOS ORGANIZACIONAIS LTDA ME</t>
  </si>
  <si>
    <t>CARBONE-TREINAMENTO E CONSULTORIA EM GESTÃO POR COMPETÊNCIAS EIRELI</t>
  </si>
  <si>
    <t>BELLI AUTOMAÇÕES EIRELI</t>
  </si>
  <si>
    <t>LUANA CAROLINA ZAPELINI WEBER 04168184986</t>
  </si>
  <si>
    <t>CRP CONSULTORIA E ENGENHARIA LTDA. - EPP</t>
  </si>
  <si>
    <t>GARTNER DO BRASIL SERVIÇOS DE PESQUISAS LTDA</t>
  </si>
  <si>
    <t>ALAN DOMINGUES SANTOS</t>
  </si>
  <si>
    <t>FUNDAÇÃO ESC. MAGISTR. TRAB. RS JOÃO ANTÔNIO G. P. LEITE</t>
  </si>
  <si>
    <t>DENTECK AR CONDICIONADO LTDA EPP</t>
  </si>
  <si>
    <t>FRIO TEC AR CONDICIONADO DO BRASIL LTDA</t>
  </si>
  <si>
    <t>MASTER COMERCIAL EIRELI</t>
  </si>
  <si>
    <t>SANDU COMÉRCIO E DISTRIBUIÇÃO DE PRODUTOS EIRELI</t>
  </si>
  <si>
    <t>ROSELI DANTAS DA SILVA CARDOSO DO PRADO EPP</t>
  </si>
  <si>
    <t xml:space="preserve"> ADELINO COMÉRCIO E ASSISTÊNCIA TECNICA LTDA - ME</t>
  </si>
  <si>
    <t>LJL COMÉRCIO E FABRICAÇÃO DE MÓVEIS LTDA - ME</t>
  </si>
  <si>
    <t>RICARL DISTRIBUIDORA EIRELI - ME</t>
  </si>
  <si>
    <t>POSITIVO INFORMATICA S/A</t>
  </si>
  <si>
    <t>NICOLE QUINTANILHA ZANINI ME</t>
  </si>
  <si>
    <t>INGRAM MICRO TECNOLOGIA E INFORMÁTICA LTDA.</t>
  </si>
  <si>
    <t>OSB SOFTWARE EIRELI EPP</t>
  </si>
  <si>
    <t>MARCELUS JACOB SANDESKI - ME</t>
  </si>
  <si>
    <t>MADETAL RS INDUSTRIA E COMERCIO LTDA</t>
  </si>
  <si>
    <t>METALMAIS IND. E COMÉRCIO METALÚRGICA LTDA EPP</t>
  </si>
  <si>
    <t>TEMPO-TESTES DE PSICOLOGIA E ORIENTAÇÃO LTDA</t>
  </si>
  <si>
    <t>IOCH ENGENHARIA EIRELI</t>
  </si>
  <si>
    <t>ALURA COMÉRCIO DE LIVROS E TREINAENTOS LTDA ? EPP</t>
  </si>
  <si>
    <t>V.A. DE ALMEIDA &amp; CIA LTDA</t>
  </si>
  <si>
    <t>LUXOR CONSULTORIA EM DESENVOLVIMENTTO HUMANO LTDA</t>
  </si>
  <si>
    <t>G4F SOLUÇÕES CORPORATIVAS LTDA</t>
  </si>
  <si>
    <t>CPF</t>
  </si>
  <si>
    <t>FERNANDO GRÜBEL</t>
  </si>
  <si>
    <t>RICARDO VASCONSELOS PEREIRA</t>
  </si>
  <si>
    <t>ADEJAIR CÂNDIDO MACHADO</t>
  </si>
  <si>
    <t>RILDA SCARANTO DAZZI</t>
  </si>
  <si>
    <t>ELIZIA DE ANDRADE</t>
  </si>
  <si>
    <t>JOYCE CARDOSO FIGUEIRA</t>
  </si>
  <si>
    <t>GEORGES DEMETRIO DAURA SERRATINE</t>
  </si>
  <si>
    <t>LEILA ASSUNTA BERTON</t>
  </si>
  <si>
    <t>JOSÉ JOÃO DA SILVEIRA</t>
  </si>
  <si>
    <t>GERSON DOS SANTOS</t>
  </si>
  <si>
    <t>GILMAR MIGUEL BUCH</t>
  </si>
  <si>
    <t>ANÉLIO LUIZ VASSELAI</t>
  </si>
  <si>
    <t>MARIA TEREZINHA HUTTL</t>
  </si>
  <si>
    <t>ALDACY RACHID COUTINHO</t>
  </si>
  <si>
    <t>MARIA INÊS PAGANO GASPERINI</t>
  </si>
  <si>
    <t>EDSON JOSÉ DO NASCIMENTO</t>
  </si>
  <si>
    <t>NELSON GONÇALVES</t>
  </si>
  <si>
    <t>NIVALDO AGUIAR LENTZ</t>
  </si>
  <si>
    <t>JOSÉ FRANCISCO PEIXOTO DOS REIS</t>
  </si>
  <si>
    <t>PEDRO CARLOS SAMPAIO GARCIA</t>
  </si>
  <si>
    <t>SALVADOR FRANCO DE LIMA LAURINO</t>
  </si>
  <si>
    <t>JORGE NORMANDO DE CAMPOS  RODRIGUES</t>
  </si>
  <si>
    <t>DOROTHEE SUSANNE RUDIGER</t>
  </si>
  <si>
    <t>ANTÔNIO CARLOS AGUIAR</t>
  </si>
  <si>
    <t>SEBASTIÃO ANTUNES FURTADO</t>
  </si>
  <si>
    <t>ADRIANA RODRIGUES COSTA</t>
  </si>
  <si>
    <t>JOSE AFFONSO DALLEGRAVE NETO</t>
  </si>
  <si>
    <t>AGOSTINHO RAMALHO MARQUES NETO</t>
  </si>
  <si>
    <t>ARION SAYÃO ROMITA</t>
  </si>
  <si>
    <t>WAGNER D. GIGLIO</t>
  </si>
  <si>
    <t>ADRIANA LUCIA VIROLI ZIZZA</t>
  </si>
  <si>
    <t>JOSÉ PAULO DA NATIVIDADE FILHO</t>
  </si>
  <si>
    <t>IVANOR DE SOUZA</t>
  </si>
  <si>
    <t>HERCÍLIO IVO VARELLA</t>
  </si>
  <si>
    <t>RICARDO ROSA LINS</t>
  </si>
  <si>
    <t>ELIANA DE MATOS ROSENHAIM</t>
  </si>
  <si>
    <t>CARMEN CAMINO</t>
  </si>
  <si>
    <t>RODRIGO GALVAO</t>
  </si>
  <si>
    <t>MARCELO RODRIGUES ESTEVES</t>
  </si>
  <si>
    <t>LEILANE MENDONÇA ZAVARIZI DA ROSA</t>
  </si>
  <si>
    <t>ADALBERTO JOSÉ KASPARY</t>
  </si>
  <si>
    <t>MARCOS ANDREY DE SOUZA</t>
  </si>
  <si>
    <t>PAULO MARCONDES BRINCAS</t>
  </si>
  <si>
    <t>PATRICIA RUBIA CARDOSO AMANTE</t>
  </si>
  <si>
    <t>OADIA ROSSY CAMPOS</t>
  </si>
  <si>
    <t>VERA LÚCIA DA ROSA FERNANDES</t>
  </si>
  <si>
    <t>MARCIO LUIZ FOGAÇA VICARI</t>
  </si>
  <si>
    <t>REGINA BEATRIZ TAVARES DA SILVA</t>
  </si>
  <si>
    <t>RODOLFO PAMPLONA FILHO</t>
  </si>
  <si>
    <t>ANTONIO RODRIGUES DE FREITAS JUNIOR</t>
  </si>
  <si>
    <t>NARBAL SILVA</t>
  </si>
  <si>
    <t>JOSÉ CARLOS ZANELLI</t>
  </si>
  <si>
    <t>CHARLES JOAQUIM PAULI</t>
  </si>
  <si>
    <t>MARIA FLEISCHMANN JURASZEK</t>
  </si>
  <si>
    <t>ITAMAR DONIZETE DA CUNHA</t>
  </si>
  <si>
    <t>JUAREZ ÂNGELO LOPES</t>
  </si>
  <si>
    <t>JORDAN FABRÍCIO MARTINS</t>
  </si>
  <si>
    <t>JOÃO MARTINS</t>
  </si>
  <si>
    <t>HILDEGARD MARIA THERESIA BOGONI</t>
  </si>
  <si>
    <t>MARCELO REIS</t>
  </si>
  <si>
    <t>HELIO RICARDO DE ALMEIDA MONTEIRO</t>
  </si>
  <si>
    <t>CLAUDIA MARIA ZIMMERMANN</t>
  </si>
  <si>
    <t>CLEUSA MARIA ANTUNES MEURER</t>
  </si>
  <si>
    <t>MARCO AURÉLIO DE OLIVEIRA</t>
  </si>
  <si>
    <t>ELLEN WHITE BAIENSE</t>
  </si>
  <si>
    <t>RAQUEL INDALENCIO</t>
  </si>
  <si>
    <t>CLOVIS MIGUEL MASSIGNANI</t>
  </si>
  <si>
    <t>OTÁVIO AMARAL CALVET</t>
  </si>
  <si>
    <t>ILSE MARCELINA BERNARDI LORA</t>
  </si>
  <si>
    <t>PAULO HENRIQUE DOS SANTOS LUCON</t>
  </si>
  <si>
    <t>JOÃO LUIZ MACHADO</t>
  </si>
  <si>
    <t>MARCELO PAPALEO DE SOUZA</t>
  </si>
  <si>
    <t>ANGELO AUGUSTO RIBEIRO</t>
  </si>
  <si>
    <t>ELIANE CRISTINA DE CAMPOS</t>
  </si>
  <si>
    <t>RÉVERO PAULA RIBEIRO</t>
  </si>
  <si>
    <t>PAULO CESAR JOSE DA SILVA</t>
  </si>
  <si>
    <t>EDY MENDES</t>
  </si>
  <si>
    <t>JANETE CRISTINA ZAZYKI MAIA</t>
  </si>
  <si>
    <t>CLAIR RAITHZ DE LIMA</t>
  </si>
  <si>
    <t>ERNESTO LUIZ MOREIRA</t>
  </si>
  <si>
    <t>SEBASTIÃO BARTOLOMEU CANTO</t>
  </si>
  <si>
    <t>GABRIEL BOGONI</t>
  </si>
  <si>
    <t>JOSE LUIS EUPLIO LOPEZ YUKIMURA</t>
  </si>
  <si>
    <t>GILBERTO STÜRMER</t>
  </si>
  <si>
    <t>ABEL RAIMUNDO VIGA DO ROSARIO</t>
  </si>
  <si>
    <t>LÍRIO LÍBERO COMIN</t>
  </si>
  <si>
    <t>LUIZ HENRIQUE ESPINDOLA</t>
  </si>
  <si>
    <t>NILTON BEPPLER</t>
  </si>
  <si>
    <t>MARIA CARDOSO NICHELE</t>
  </si>
  <si>
    <t>CARLOS FETZ</t>
  </si>
  <si>
    <t>FAVERSON ALBERTO SLONGO</t>
  </si>
  <si>
    <t>PAULO ROBERTO SILVA</t>
  </si>
  <si>
    <t>MARIA APARECIDA MAISTRO</t>
  </si>
  <si>
    <t>MARISA ASSUNTA FANTIN RIBEIRO</t>
  </si>
  <si>
    <t>ANTONIO LUIS BURIGO</t>
  </si>
  <si>
    <t>VILSON DO AMARAL</t>
  </si>
  <si>
    <t>LUCIA JURASZEK SARDA</t>
  </si>
  <si>
    <t>EDMILSON BENEDETTI</t>
  </si>
  <si>
    <t>MARCELO LUIZ DREHER</t>
  </si>
  <si>
    <t>SANDERSON SARDA</t>
  </si>
  <si>
    <t>EVERSON MATOS DA SILVA</t>
  </si>
  <si>
    <t>EDUARDO DIAS DA SILVA</t>
  </si>
  <si>
    <t>LUCIANA LUSINETE NUNES BARBOSA</t>
  </si>
  <si>
    <t>CESAR AUGUSTO RODRIGUES BELLAGUARDA.</t>
  </si>
  <si>
    <t>AMAURI LOBO</t>
  </si>
  <si>
    <t>VOLMIR JAVORNIK</t>
  </si>
  <si>
    <t>REGIS TRINDADE DE MELLO</t>
  </si>
  <si>
    <t>LEOCADIA CATARINA PIRES DE SOUZA</t>
  </si>
  <si>
    <t>MARILIA MACHADO TEIXEIRA</t>
  </si>
  <si>
    <t>MAXIMILIAM STEFENS</t>
  </si>
  <si>
    <t>CINTHIA SANTINI ALVES DE OLIVEIRA</t>
  </si>
  <si>
    <t>SIRLEI SBARAINI CANTON</t>
  </si>
  <si>
    <t>CARLOS ROBERTO DA LUZ</t>
  </si>
  <si>
    <t>JORGE GISLON DE MENEZES</t>
  </si>
  <si>
    <t>LUIZ ANTONIO MOTTA SCHNEIDER</t>
  </si>
  <si>
    <t>EDISON ZANETTE</t>
  </si>
  <si>
    <t>ROBERTO JOAO MOTTA</t>
  </si>
  <si>
    <t>CARLOS AUGUSTO MONGUILHOTT REMOR</t>
  </si>
  <si>
    <t>TERESA ALICE PESENTI</t>
  </si>
  <si>
    <t>RICARDO LUCKNER GOULART</t>
  </si>
  <si>
    <t>ANA MARIA DA SILVA</t>
  </si>
  <si>
    <t>MARTA NECKEL MENEZES SCUSSIATO</t>
  </si>
  <si>
    <t>ROSANGELA MARIS ANDREOLLA</t>
  </si>
  <si>
    <t>FANNY SCHROEDER CUNHA.</t>
  </si>
  <si>
    <t>SERGIO MORITZ</t>
  </si>
  <si>
    <t>SERGIO ERNESTO BAUMANN</t>
  </si>
  <si>
    <t>CLARMI REGIS</t>
  </si>
  <si>
    <t>MARIA HELENA ALEMANY SOARES</t>
  </si>
  <si>
    <t>NIELSON RIBEIRO MODRO</t>
  </si>
  <si>
    <t>ARMANDO LUIZ GONZAGA</t>
  </si>
  <si>
    <t>LUIZ ZILLI ROVARIS</t>
  </si>
  <si>
    <t>JONAS HENRIQUE BAUER</t>
  </si>
  <si>
    <t>HAROLDO BEZ BATTI FILHO</t>
  </si>
  <si>
    <t>RAQUEL IRACEMAFREITAS DOS SANTOS</t>
  </si>
  <si>
    <t>SAMUEL HAFENS</t>
  </si>
  <si>
    <t>VIRGÍNIA GRÜNEWALD</t>
  </si>
  <si>
    <t>SENEN DYBA HAUFF</t>
  </si>
  <si>
    <t>ELIAS PAULO SCHMITZ</t>
  </si>
  <si>
    <t>JAIRA FREIXIELA ADAMCZYK</t>
  </si>
  <si>
    <t>MARCUS VINICIUS CORRÊA BITTENCOURT</t>
  </si>
  <si>
    <t>FLÁVIO RICARDO LIBERALI MAGAJEWSKI</t>
  </si>
  <si>
    <t>JASON LUIZ MEDEIROS DOS SANTOS</t>
  </si>
  <si>
    <t>EDUARDO LYRA FERREIRA FILHO</t>
  </si>
  <si>
    <t>ROMEU FELIPE BACELLAR FILHO</t>
  </si>
  <si>
    <t>JURANDI BORGES PINHEIRO</t>
  </si>
  <si>
    <t>ILDA APARECIDA SLOMP</t>
  </si>
  <si>
    <t>CARLOS APARECIDO ZARDO</t>
  </si>
  <si>
    <t>LIDIA NAVROSKI</t>
  </si>
  <si>
    <t>FRANCISCO JOAO LESSA</t>
  </si>
  <si>
    <t>OSMAR JOSE VAILATTI.</t>
  </si>
  <si>
    <t>JOAO OGLIARI</t>
  </si>
  <si>
    <t>LAURIE MAGNANI SELLA</t>
  </si>
  <si>
    <t>ALVENY DE ANDRADE BITTENCOURT</t>
  </si>
  <si>
    <t>PAULO HENRIQUE DE SOUZA</t>
  </si>
  <si>
    <t>JOE ERNANDO DESZUTA</t>
  </si>
  <si>
    <t>FRANCISCO ROSSAL DE ARAÚJO</t>
  </si>
  <si>
    <t>REINALDO PEREIRA E SILVA</t>
  </si>
  <si>
    <t>GISELE LEMKE</t>
  </si>
  <si>
    <t>ALFERIO ANTONIO PARIZOTTO</t>
  </si>
  <si>
    <t>NARCISO GRANDI</t>
  </si>
  <si>
    <t>ANSELMO ASSIS BORBA</t>
  </si>
  <si>
    <t>RUBIA JENSEN</t>
  </si>
  <si>
    <t>ANTONIO FERNANDO DO AMARAL E SILVA</t>
  </si>
  <si>
    <t>HENRY XAVIER/ADVOGADO</t>
  </si>
  <si>
    <t>MANOEL PEDRO FARINHUK</t>
  </si>
  <si>
    <t>ADAO EUCLIDES PRUDENCIO</t>
  </si>
  <si>
    <t>WALDEMAR WABERSICH</t>
  </si>
  <si>
    <t>SAULO SALUSTIANO RAMOS</t>
  </si>
  <si>
    <t>LUIZ GARCIA NETO</t>
  </si>
  <si>
    <t>HELVINO WILSMANN</t>
  </si>
  <si>
    <t>NELSON BANNACH</t>
  </si>
  <si>
    <t>CELSO ANTONIO JUNG</t>
  </si>
  <si>
    <t>ADILSON LINHARES</t>
  </si>
  <si>
    <t>DALVO IRINEU SEEMANN</t>
  </si>
  <si>
    <t>HAMILTON MINOGGIO DO NASCIMENTO</t>
  </si>
  <si>
    <t>INGEBORG S.G. DA SILVA</t>
  </si>
  <si>
    <t>LUIZ DEMARCH</t>
  </si>
  <si>
    <t>AVANI CONFORTIN NAPP</t>
  </si>
  <si>
    <t>PEDRO PAULINO NAZARO</t>
  </si>
  <si>
    <t>ANTONIO MIGUEL PADILHA FILHO</t>
  </si>
  <si>
    <t>BRAULIO RENATO MOREIRA</t>
  </si>
  <si>
    <t>EDISON FATTORI</t>
  </si>
  <si>
    <t>JOAO VIEIRA FARIAS</t>
  </si>
  <si>
    <t>VICTOR PETTERS</t>
  </si>
  <si>
    <t>NELSON REGUEIRA</t>
  </si>
  <si>
    <t>AIRTON DE SOUZA BAIENSE</t>
  </si>
  <si>
    <t>CENTRO DE INFORMATICA E PROC.DADOS DO SF</t>
  </si>
  <si>
    <t>AIRTON MINOGGIO DO NASCIMENTO</t>
  </si>
  <si>
    <t>JOAO MANOEL F. PLACIDO</t>
  </si>
  <si>
    <t>INGO WOLFGANG SARLET</t>
  </si>
  <si>
    <t>RAFAEL PETEFFI DA SILVA</t>
  </si>
  <si>
    <t>RUY SAMUEL ESPÍNDOLA</t>
  </si>
  <si>
    <t>PAULO ROQUE TREVISAN</t>
  </si>
  <si>
    <t>AGOSTINHO DA FRE</t>
  </si>
  <si>
    <t>ZELIO DOS SANTOS</t>
  </si>
  <si>
    <t>CESAR NADAL SOUZA</t>
  </si>
  <si>
    <t>ALCEU MACHADO PEREIRA FILHO</t>
  </si>
  <si>
    <t>LUCI TERESINHA KOWACIC</t>
  </si>
  <si>
    <t>ELIAS DOS SANTOS</t>
  </si>
  <si>
    <t>JOSE OLIMPIO MACIEL</t>
  </si>
  <si>
    <t>JOSE JOAQUIM DA SILVA</t>
  </si>
  <si>
    <t>MAURA TEREZINHA ANDREANI PETTERS</t>
  </si>
  <si>
    <t>MARIA TEREZA SCARSANELLA MIRANDA</t>
  </si>
  <si>
    <t>MARIA REGINA MALHADAS LIMA</t>
  </si>
  <si>
    <t>HELOISA FERNANDES SPIZZIRRI BOLSONI</t>
  </si>
  <si>
    <t>GOES E GOES - ADV. ASS. S/C</t>
  </si>
  <si>
    <t>JOAO CARLOS MAY E MARA MELLO</t>
  </si>
  <si>
    <t>ELSE MARIA DA SILVEIRA</t>
  </si>
  <si>
    <t>TACIO MAIA CUBAS</t>
  </si>
  <si>
    <t>IVO HAENDCHEN</t>
  </si>
  <si>
    <t>ALCEU CARLOS HINKE</t>
  </si>
  <si>
    <t>ABELARDO BANDEIRA</t>
  </si>
  <si>
    <t>ANTONIO SILVA DO REGO BARROS</t>
  </si>
  <si>
    <t>MARIA APARECIDA NORCE FURTADO</t>
  </si>
  <si>
    <t>ANTONIO CESAR NASSIF</t>
  </si>
  <si>
    <t>RAQUEL NUNES RAW</t>
  </si>
  <si>
    <t>MAURICIO MAIA DE SOUZA</t>
  </si>
  <si>
    <t>PEDRINHO ARCIDES GUARESCHI</t>
  </si>
  <si>
    <t>ANTÔNIO BENTO GARCEZ</t>
  </si>
  <si>
    <t>ADRIANE WERNER</t>
  </si>
  <si>
    <t>ADEMAR DE OLIVEIRA</t>
  </si>
  <si>
    <t>NILTON ANTONIO TIZON</t>
  </si>
  <si>
    <t>RENATO ANGELONI COSTA</t>
  </si>
  <si>
    <t>MOACIR GUCKERT</t>
  </si>
  <si>
    <t>ROBERTO MARTINELLI DA NOVA</t>
  </si>
  <si>
    <t>LEOPOLDO JOAO ELIAS FILHO</t>
  </si>
  <si>
    <t>OSVALDO JOSE CORREA</t>
  </si>
  <si>
    <t>ANTONIA MARIA BOFF</t>
  </si>
  <si>
    <t>MARIO SERGIO KUMLEHN</t>
  </si>
  <si>
    <t>MARIA TEREZA RODRIGUES PIVA</t>
  </si>
  <si>
    <t>ISOLDE FERRARI</t>
  </si>
  <si>
    <t>CLAUDIONOR DA SILVA</t>
  </si>
  <si>
    <t>NORBERTO LUBKE</t>
  </si>
  <si>
    <t>MARCIDES BITTENCOURT</t>
  </si>
  <si>
    <t>ALDO CLAYR SCHURHAUS</t>
  </si>
  <si>
    <t>DENISE ZANIN</t>
  </si>
  <si>
    <t>ANTONIO JOSE DE MEDEIROS.</t>
  </si>
  <si>
    <t>ALDINO AUGUSTO PINTRO</t>
  </si>
  <si>
    <t>NESTOR FERNANDES DA SILVA</t>
  </si>
  <si>
    <t>CARMEN SILVIA DE ARRUDA ANDALÓ</t>
  </si>
  <si>
    <t>MARCOS LEITE DOS SANTOS</t>
  </si>
  <si>
    <t>FABIANA WINIAWER</t>
  </si>
  <si>
    <t>LUIZ GUILHERME BITTENCOURT MARINONI</t>
  </si>
  <si>
    <t>LUSMARY FÁTIMA TURELLY DA SILVA</t>
  </si>
  <si>
    <t>JOÃO KLUG</t>
  </si>
  <si>
    <t>ZENILDO BODNAR</t>
  </si>
  <si>
    <t>FELIPE DERBLI DE CARVALHO BAPTISTA</t>
  </si>
  <si>
    <t>GEOVANY ADELINO GAMBA</t>
  </si>
  <si>
    <t>GERALDO DE SOUZA BRASIL</t>
  </si>
  <si>
    <t>GERALDO JOSE BALBINOT</t>
  </si>
  <si>
    <t>GERALDO LUIZ ZEN</t>
  </si>
  <si>
    <t>GERALDO ONESKO</t>
  </si>
  <si>
    <t>GERALDO TIRELLI</t>
  </si>
  <si>
    <t>ALÉCIO TAVARES DA COSTA FILHO</t>
  </si>
  <si>
    <t>JEAN PAULO STRUCH</t>
  </si>
  <si>
    <t>VILMAR JOSE JOHANN</t>
  </si>
  <si>
    <t>VILSON MARGOTTI MARCON</t>
  </si>
  <si>
    <t>VILTO CHECHETTO</t>
  </si>
  <si>
    <t>VIOLENE SILVA</t>
  </si>
  <si>
    <t>VIRGINIA ALBUQUERQUE DE SOUZA LIMA</t>
  </si>
  <si>
    <t>VIRGINIA MARIA FERREIRA DE CAMPOS</t>
  </si>
  <si>
    <t>VIVIAN BRAGA STODIECK</t>
  </si>
  <si>
    <t>VIVIANE PEREIRA LOBO</t>
  </si>
  <si>
    <t>VIVIANE RIGGENBACH</t>
  </si>
  <si>
    <t>VLADIMIR LUIZ CORTINA</t>
  </si>
  <si>
    <t>DEBORA SCHMITZ FERNANDES SOARES</t>
  </si>
  <si>
    <t>DEICY ISABEL WINCKLER</t>
  </si>
  <si>
    <t>DEISE ALEXANDRA KOERBER ALBINO</t>
  </si>
  <si>
    <t>DEISI SENNA OLIVEIRA</t>
  </si>
  <si>
    <t>DEIZE SERAFIM</t>
  </si>
  <si>
    <t>DELMA MARIA CRISTOFOLINI MARTINS</t>
  </si>
  <si>
    <t>DELMAR SILVESTRE GIRARDI</t>
  </si>
  <si>
    <t>DELMIR SCHWAMBACH</t>
  </si>
  <si>
    <t>ANDERSON SCHREIBER</t>
  </si>
  <si>
    <t>MARIA BERNADETE CHAVES DE OLIVEIRA</t>
  </si>
  <si>
    <t>MARIA BERNARDETE CAMPOS</t>
  </si>
  <si>
    <t>MARIA BERNARDINA SILVA ESPINDOLA</t>
  </si>
  <si>
    <t>MARIA BESEN</t>
  </si>
  <si>
    <t>MARIA CECILIA HORN GONÇALVES</t>
  </si>
  <si>
    <t>MARIA CELESTE LEIER BISSONI DE SOUSA</t>
  </si>
  <si>
    <t>MARIA CELESTINA DUTRA</t>
  </si>
  <si>
    <t>MARIA CELIA SCHMITT CHEDID</t>
  </si>
  <si>
    <t>MARIA CLAUDIA DA SILVA GAVIOLI</t>
  </si>
  <si>
    <t>MARIA CLAUDIA MANDELLI</t>
  </si>
  <si>
    <t>MARIA CLELIA LANIUS CRESTANI</t>
  </si>
  <si>
    <t>MARIA CRISTINA BECKER MACHADO</t>
  </si>
  <si>
    <t>MARIA CRISTINA DE ALMEIDA BRANCO</t>
  </si>
  <si>
    <t>MARIA CRISTINA DOS SANTOS MIRANDA</t>
  </si>
  <si>
    <t>MARIA CRISTINA HOEPERS</t>
  </si>
  <si>
    <t>MARIA CRISTINA PROFES FRANCO</t>
  </si>
  <si>
    <t>MARIA DA GLORIA PERES ESPINDOLA</t>
  </si>
  <si>
    <t>MARIA DA GRACA CARVALHO</t>
  </si>
  <si>
    <t>MARIA DA GRACA DIAS ORTIZ</t>
  </si>
  <si>
    <t>MARIA DA GRACA FIDELIS</t>
  </si>
  <si>
    <t>MARIA DA GRACA LUENEBERG BRAGA</t>
  </si>
  <si>
    <t>MARIA DA GRACA MEDEIROS</t>
  </si>
  <si>
    <t>MARIA DAS DORES JANSEN</t>
  </si>
  <si>
    <t>MARIA DAS GRACAS RATKE SOARES</t>
  </si>
  <si>
    <t>MARIA DE AGUIAR</t>
  </si>
  <si>
    <t>MARIA DE FATIMA DAGOSTIM GREGORIO</t>
  </si>
  <si>
    <t>MARIA DE FATIMA SESTREN DE OLIVEIRA</t>
  </si>
  <si>
    <t>SINARA BRASIL PATEL</t>
  </si>
  <si>
    <t>SODRE MURILO VIRGILIO</t>
  </si>
  <si>
    <t>SOLANGE KOEHN DUARTE</t>
  </si>
  <si>
    <t>SOLANGE MARIA BRANT FERREIRA</t>
  </si>
  <si>
    <t>SONI JOAO DA SILVA</t>
  </si>
  <si>
    <t>SONIA BIANCHI MARQUES DA MATTA</t>
  </si>
  <si>
    <t>SONIA ESPINDOLA AMORIM</t>
  </si>
  <si>
    <t>SONIA MARIA CONSTANTINO DAGOSTIN</t>
  </si>
  <si>
    <t>SONIA MARIA DE SOUZA DA LUZ</t>
  </si>
  <si>
    <t>SONIA MARIA FERREIRA ROBERTS</t>
  </si>
  <si>
    <t>SONIA MENEGHINI DE MOURA</t>
  </si>
  <si>
    <t>SONIA RAMOS KIST</t>
  </si>
  <si>
    <t>SONIA TREICHEL</t>
  </si>
  <si>
    <t>SONIA WEINGARTNER BESSER</t>
  </si>
  <si>
    <t>SORAYA CECILIA ROSA DA LUZ</t>
  </si>
  <si>
    <t>SORAYA DAL-BO PAMPLONA</t>
  </si>
  <si>
    <t>SORAYA MOSIMANN CUBAS</t>
  </si>
  <si>
    <t>SORAYA ZAHAR</t>
  </si>
  <si>
    <t>STELA MARIA BARG</t>
  </si>
  <si>
    <t>STELLA MARIS KUTNE</t>
  </si>
  <si>
    <t>SUELI HOFFMANN</t>
  </si>
  <si>
    <t>SUELI PONTES CABRAL DOS SANTOS</t>
  </si>
  <si>
    <t>SUSANA CUNHA GARCIA PINHEIRO GUIMARÃES</t>
  </si>
  <si>
    <t>SUSANA FARIA PAGANI SZPOGANICZ</t>
  </si>
  <si>
    <t>SUZANA ARAUJO LEONETTI</t>
  </si>
  <si>
    <t>SUZANA BORN ROSSINHOLI</t>
  </si>
  <si>
    <t>SUZANA CABRAL FERNANDES KAMEL</t>
  </si>
  <si>
    <t>SUZANA DE MEDEIROS SANTOS</t>
  </si>
  <si>
    <t>SUZANA SCHAMBECK BIANCHINI</t>
  </si>
  <si>
    <t>SYNESIO PRESTES SOBRINHO</t>
  </si>
  <si>
    <t>PERICLES ADONIS MORASTONI</t>
  </si>
  <si>
    <t>ALEXANDRE PALHARES</t>
  </si>
  <si>
    <t>CLEDERSON SCHEPER CARNEIRO</t>
  </si>
  <si>
    <t>GLADEMIR MARIA SILVEIRA SARTORI DYCK</t>
  </si>
  <si>
    <t>IVANA MELLER SANTANA</t>
  </si>
  <si>
    <t>VIVIAN BRUSTOLIN</t>
  </si>
  <si>
    <t>LEONARDO FREDERICO FISCHER</t>
  </si>
  <si>
    <t>VALQUIRIA LAZZARI DE LIMA BASTOS</t>
  </si>
  <si>
    <t>LUIZ FERNANDO MELLO DA SILVA</t>
  </si>
  <si>
    <t>JULIETA ELIZABETH CORREIA DE MALFUSSI</t>
  </si>
  <si>
    <t>RENATA FELIPE FERRARI</t>
  </si>
  <si>
    <t>MARIA REGINA DE PAIVA WALCZAK</t>
  </si>
  <si>
    <t>TERESA AMELIA BENOLIEL DA SILVA</t>
  </si>
  <si>
    <t>CATIA ELISABETE ZANCHETT</t>
  </si>
  <si>
    <t>VICTOR GABRIEL DE OLIVEIRA RODRIGUES</t>
  </si>
  <si>
    <t>DEMILSON DAGOSTIM</t>
  </si>
  <si>
    <t>DENISE ANA BONFANTI</t>
  </si>
  <si>
    <t>DENISE CRISTINA PEREIRA CORDEIRO</t>
  </si>
  <si>
    <t>DENISE CRISTINA SOARES RAMOS BRANDES</t>
  </si>
  <si>
    <t>DENISE FRANCA VEIGA</t>
  </si>
  <si>
    <t>DENISE MARIA LIEBEL DA SILVA</t>
  </si>
  <si>
    <t>DENISE MARIA LUCENA ZACCHI</t>
  </si>
  <si>
    <t>DENISE MARTINELLI BASTOS GASPARINO DA SILVA</t>
  </si>
  <si>
    <t>DENISE MOREIRA SCHWANTES ZAVARIZE</t>
  </si>
  <si>
    <t>DENISE SOUSA</t>
  </si>
  <si>
    <t>DEOLINDO JOSE PEREIRA</t>
  </si>
  <si>
    <t>DESIRRE DORNELES DE AVILA BOLLMANN</t>
  </si>
  <si>
    <t>DEVINO ANTONIO ROSSETTO</t>
  </si>
  <si>
    <t>PAULO ROBERTO RIBEIRO NALIN</t>
  </si>
  <si>
    <t>IRINEU KÜHL</t>
  </si>
  <si>
    <t>IRNO ILMAR RESENER</t>
  </si>
  <si>
    <t>IRONE DA COSTA</t>
  </si>
  <si>
    <t>ISABEL VASCONCELLOS DE CASTRO</t>
  </si>
  <si>
    <t>ISAURA MARIA COELHO</t>
  </si>
  <si>
    <t>ITAMAR POZER</t>
  </si>
  <si>
    <t>IUA CLAUDIA MATTOS LUZ</t>
  </si>
  <si>
    <t>IVALDO ASSIS DE ARAUJO</t>
  </si>
  <si>
    <t>IVAN SERGIO KURTZ</t>
  </si>
  <si>
    <t>IVANIR DE MEDEIROS SILVA</t>
  </si>
  <si>
    <t>IVANISE ISABEL PREVIDI</t>
  </si>
  <si>
    <t>IVELISE IARA MACHADO</t>
  </si>
  <si>
    <t>IVETA OLTRAMARI DOZZA</t>
  </si>
  <si>
    <t>IVO EWALD</t>
  </si>
  <si>
    <t>IVO FERREIRA DA SILVA</t>
  </si>
  <si>
    <t>MARIA DE LOURDES ALVES SILVEIRA</t>
  </si>
  <si>
    <t>MARIA DE LOURDES DACOREGIO E SOUZA</t>
  </si>
  <si>
    <t>MARIA DE LOURDES DONEDA</t>
  </si>
  <si>
    <t>MARIA DE LOURDES HAAG</t>
  </si>
  <si>
    <t>MARIA DE LOURDES LEIRIA</t>
  </si>
  <si>
    <t>MARIA DE LOURDES MAZERA</t>
  </si>
  <si>
    <t>MARIA DE LOURDES TOMELIN DA SILVA</t>
  </si>
  <si>
    <t>MARIA DO CARMO HERCULANO</t>
  </si>
  <si>
    <t>MARIA DO CEO DE AVELAR</t>
  </si>
  <si>
    <t>MARIA ELAINE SCHIRMER</t>
  </si>
  <si>
    <t>MARIA ELIZABETH MACHADO DOMINGUES</t>
  </si>
  <si>
    <t>HAMILTON FRANCISCO DEITOS</t>
  </si>
  <si>
    <t>HAMILTON JOSE MAESTRI</t>
  </si>
  <si>
    <t>HEITOR MEDEIROS PERIN</t>
  </si>
  <si>
    <t>HELDER SILVEIRA</t>
  </si>
  <si>
    <t>HELENICE DA APARECIDA DAMBRÓS BRAUN</t>
  </si>
  <si>
    <t>HELGA CLARA CHIMINELLI</t>
  </si>
  <si>
    <t>HELIO BASTIDA LOPES</t>
  </si>
  <si>
    <t>HELIO HENRIQUE GARCIA ROMERO</t>
  </si>
  <si>
    <t>HELIO PINHEIRO DA MATTA</t>
  </si>
  <si>
    <t>HELIO ROGERIO NEVES DE AQUINO</t>
  </si>
  <si>
    <t>HELIO SILVA</t>
  </si>
  <si>
    <t>HELOISA DUARTE ROIG</t>
  </si>
  <si>
    <t>HELOISA GOMES OMIZZOLO</t>
  </si>
  <si>
    <t>HELOISA HELENA HENEMANN</t>
  </si>
  <si>
    <t>HELOIZA SOUZA RODRIGUES</t>
  </si>
  <si>
    <t>HENRIQUE COELHO</t>
  </si>
  <si>
    <t>HENRIQUE DE CARVALHO</t>
  </si>
  <si>
    <t>HENRIQUE JACINTHO DE OLIVEIRA</t>
  </si>
  <si>
    <t>HENRIQUE PIMONT BERNDT</t>
  </si>
  <si>
    <t>HERIBERTO LUIZ BORGERT</t>
  </si>
  <si>
    <t>HERMANN DE OLIVEIRA</t>
  </si>
  <si>
    <t>HERMES ESPINDOLA JUNIOR</t>
  </si>
  <si>
    <t>HERMES LEITIS</t>
  </si>
  <si>
    <t>HERMINIO ANTONIO DA SILVA FILHO</t>
  </si>
  <si>
    <t>HESIO PORTO</t>
  </si>
  <si>
    <t>HUMBERTO D´AVILA RUFINO</t>
  </si>
  <si>
    <t>HUMBERTO FRANCISCO BEIRAO</t>
  </si>
  <si>
    <t>HUMBERTO LUIZ SILVA</t>
  </si>
  <si>
    <t>HUMBERTO SOUTINHO</t>
  </si>
  <si>
    <t>IARA MARLENE SALOMÉ DUTRA</t>
  </si>
  <si>
    <t>IBIS DE MOURA CASSAL</t>
  </si>
  <si>
    <t>IDA CRISTINA PEREIRA</t>
  </si>
  <si>
    <t>IDALECIO AZEVEDO DOS SANTOS</t>
  </si>
  <si>
    <t>IDALVA PATERNO DA COSTA</t>
  </si>
  <si>
    <t>ILLA BLANCHE LOPES RAMOS ROSENAU</t>
  </si>
  <si>
    <t>ILMA VINHA</t>
  </si>
  <si>
    <t>ILSE EHRHARDT</t>
  </si>
  <si>
    <t>INAJARA MACHADO PEREIRA</t>
  </si>
  <si>
    <t>INALDA MENDES ANTUNES</t>
  </si>
  <si>
    <t>INES GERVASI</t>
  </si>
  <si>
    <t>MARLI FLORENCIA ROZ</t>
  </si>
  <si>
    <t>ABEL EXTERKOTTER</t>
  </si>
  <si>
    <t>ABENIR SILVA LOPES</t>
  </si>
  <si>
    <t>ABISAIR MACHADO DE SOUZA</t>
  </si>
  <si>
    <t>ABDON LUIZ SCHMITT</t>
  </si>
  <si>
    <t>ADALBERTO JOSE SANTOS</t>
  </si>
  <si>
    <t>ADAO FERREIRA</t>
  </si>
  <si>
    <t>IRAN EDSON DE CASTRO</t>
  </si>
  <si>
    <t>MARCOS ALEXANDRE BANDEIRA DOS SANTOS</t>
  </si>
  <si>
    <t>CESAR FRAGA GUTTERRES</t>
  </si>
  <si>
    <t>CLEMAIR MISSIO CARNEIRO</t>
  </si>
  <si>
    <t>PATRICIA BRAGA MEDEIROS D'AMBROSO</t>
  </si>
  <si>
    <t>FATIMA MARIA DE SOUZA ARAUJO</t>
  </si>
  <si>
    <t>CLAUDIA MACHADO GONÇALVES</t>
  </si>
  <si>
    <t>FABIO TOSETTO</t>
  </si>
  <si>
    <t>CAUBI GEORGITO CAVALHEIRO</t>
  </si>
  <si>
    <t>DANIELLA DIGIACOMO LIMA</t>
  </si>
  <si>
    <t>ELISANGELA MARTINS FORNARI</t>
  </si>
  <si>
    <t>JULIANA MAYSA BARBOSA SPEGIORIN</t>
  </si>
  <si>
    <t>DELANE CRISTINA DA SILVA</t>
  </si>
  <si>
    <t>SANDRO ANTONIO DOS SANTOS</t>
  </si>
  <si>
    <t>LEONARDO FRONZA RODRIGUES</t>
  </si>
  <si>
    <t>RENATA SCHNEIDER WESTPHAL</t>
  </si>
  <si>
    <t>REJANE SCHMITT DE ARAUJO</t>
  </si>
  <si>
    <t>DANIELA STRADIOTTO HEILMANN COSTA NEVES</t>
  </si>
  <si>
    <t>ANDRE ZAMPIERI ALVES</t>
  </si>
  <si>
    <t>ROGERIO RUEL</t>
  </si>
  <si>
    <t>THAYS DE AZEVEDO MAIA</t>
  </si>
  <si>
    <t>RENATO DE SOUZA JUNIOR</t>
  </si>
  <si>
    <t>SANDRO ROBERTO DE OLIVEIRA</t>
  </si>
  <si>
    <t>SANDRO DANIEL SANCHEZ</t>
  </si>
  <si>
    <t>ROMULO LUENEBERG RICHARD</t>
  </si>
  <si>
    <t>ELISSA DREYER</t>
  </si>
  <si>
    <t>GIOVANI CARELLI</t>
  </si>
  <si>
    <t>FELIPE POMPEO PEREIRA</t>
  </si>
  <si>
    <t>MAURICIO RESENDE SILVA</t>
  </si>
  <si>
    <t>ANA PAULA HOSTIM RABELLO DE AGUIAR</t>
  </si>
  <si>
    <t>PROTASIO CARDOZO</t>
  </si>
  <si>
    <t>ROSANE STAEGE</t>
  </si>
  <si>
    <t>GREICE WEITGENANT</t>
  </si>
  <si>
    <t>JULIANA BORGES DE SOUZA MURARO</t>
  </si>
  <si>
    <t>DANIEL TOMASELLI</t>
  </si>
  <si>
    <t>SIMONE MENEZES DA SILVA</t>
  </si>
  <si>
    <t>FERNANDO DE MEDEIROS MARCON</t>
  </si>
  <si>
    <t>ROBERTO ORTIZ</t>
  </si>
  <si>
    <t>PAULO RENATO NEVES MAZZUI</t>
  </si>
  <si>
    <t>ADRIANA DE MIRANDA STODIECK</t>
  </si>
  <si>
    <t>CARLA MARA SCHREINER</t>
  </si>
  <si>
    <t>FERNANDA RODRIGUES ROSA</t>
  </si>
  <si>
    <t>TITO LIVIO LEIRIA DA SILVA</t>
  </si>
  <si>
    <t>LEONARDO DE LIZ</t>
  </si>
  <si>
    <t>JULIO CESAR KUSER</t>
  </si>
  <si>
    <t>IVO NEY RODRIGUES DEMARIA</t>
  </si>
  <si>
    <t>IVONE TEIXEIRA</t>
  </si>
  <si>
    <t>IVONEY JOSE ALVES</t>
  </si>
  <si>
    <t>IZABEL TERESINHA BASEGGIO</t>
  </si>
  <si>
    <t>JACKELINE CESCONETTO</t>
  </si>
  <si>
    <t>JACKELINE DE CASSIA CORREA COBRA PEGORARO</t>
  </si>
  <si>
    <t>JACQUELINE BURIGO</t>
  </si>
  <si>
    <t>JACQUELINE CATARINA MATOS CARDOSO</t>
  </si>
  <si>
    <t>JACQUELINE MATOS DA ROCHA</t>
  </si>
  <si>
    <t>JACQUES OSWINO SAUL</t>
  </si>
  <si>
    <t>JACSON ALEXANDRE PEREIRA</t>
  </si>
  <si>
    <t>JAHIR ROLHANO LAITANO</t>
  </si>
  <si>
    <t>JAICIARA MONTEIRO</t>
  </si>
  <si>
    <t>JAIME KOERICH FILHO</t>
  </si>
  <si>
    <t>JAIME RAIMUNDO</t>
  </si>
  <si>
    <t>JAIRO IVO THOMAZ</t>
  </si>
  <si>
    <t>JAIRO JOSE ESPINDOLA LUZ</t>
  </si>
  <si>
    <t>JAIRO LANCANOVA</t>
  </si>
  <si>
    <t>JAIRO OSVALDO AURAS</t>
  </si>
  <si>
    <t>JALMAR PERICLES DIAS DE MIRANDA</t>
  </si>
  <si>
    <t>ANA LUCIA DO AMARAL SEGURA COELHO</t>
  </si>
  <si>
    <t>ANA LUCIA DOS SANTOS</t>
  </si>
  <si>
    <t>ANA MARGARET DA CUNHA CAMPOS</t>
  </si>
  <si>
    <t>ANA MARIA ALVISE BRAZ</t>
  </si>
  <si>
    <t>ANA MARIA DE SOUZA</t>
  </si>
  <si>
    <t>ANA MARIA FALCAO PINTO</t>
  </si>
  <si>
    <t>ANA MARIA KOTZIAS SCHUTZ</t>
  </si>
  <si>
    <t>ANA MARIA LORO LEDRA</t>
  </si>
  <si>
    <t>ANA MARIA MACHADO LINHARES CASCAES</t>
  </si>
  <si>
    <t>ANA MARIA MACHADO</t>
  </si>
  <si>
    <t>ANA MARIA MACIEL SANTOS</t>
  </si>
  <si>
    <t>ANA MARIA MENDES PIACENTINI</t>
  </si>
  <si>
    <t>ANA MARIA PRECHLHAK</t>
  </si>
  <si>
    <t>ANA MARIA XAVIER CORREA</t>
  </si>
  <si>
    <t>ANA PAULA VOLPATO WRONSKI</t>
  </si>
  <si>
    <t>ANA ROSA LEDUC</t>
  </si>
  <si>
    <t>ANA TERESINHA REINKE</t>
  </si>
  <si>
    <t>ANA TEREZINHA ROCHO</t>
  </si>
  <si>
    <t>ANDRE CHIAMENTI</t>
  </si>
  <si>
    <t>ANDRE EMILIO SANTOS SADA</t>
  </si>
  <si>
    <t>ANDRE LUIZ BECKER DE AQUINO</t>
  </si>
  <si>
    <t>ANDRE ZEMCZAK</t>
  </si>
  <si>
    <t>ANDREA ANTERO GOCHENOUR</t>
  </si>
  <si>
    <t>ANDREA CRISTINA DE SOUZA HAUS</t>
  </si>
  <si>
    <t>ANDREA CRISTINA KERTISCHKA WERLANG</t>
  </si>
  <si>
    <t>ANDREA GUIDOTTI DILLMANN</t>
  </si>
  <si>
    <t>ANDREA MALLMANN DE LOS CAMPOS</t>
  </si>
  <si>
    <t>REBECA DE MORAES RIBEIRO</t>
  </si>
  <si>
    <t>INEZINHA BRANDAO LIED</t>
  </si>
  <si>
    <t>IOLANDA DE CASSIA PEREIRA COSTA</t>
  </si>
  <si>
    <t>IONE BRAUTIGAM</t>
  </si>
  <si>
    <t>IONE CLAUDETE SEWALD</t>
  </si>
  <si>
    <t>IONE MARIA MOREIRA</t>
  </si>
  <si>
    <t>IONE RAMOS</t>
  </si>
  <si>
    <t>IONILSE CABRAL DE SOUZA</t>
  </si>
  <si>
    <t>IRACEMA MACHADO WAGNER</t>
  </si>
  <si>
    <t>IRANI TERESINHA TOASSI</t>
  </si>
  <si>
    <t>IRES CARDOZO DOS SANTOS PERAZZOLI</t>
  </si>
  <si>
    <t>IRINEU DOS SANTOS BERNZ</t>
  </si>
  <si>
    <t>MARCELO GUIMARÃES DA SILVA</t>
  </si>
  <si>
    <t>CLÁUDIA SALLES VILELA VIANNA</t>
  </si>
  <si>
    <t>LEONARDO DIAS BORGES</t>
  </si>
  <si>
    <t>DENILSON JOSE DA SILVA</t>
  </si>
  <si>
    <t>FELIPE CARDOSO MOREIRA DE OLIVEIRA</t>
  </si>
  <si>
    <t>VILIAN BOLLMANN</t>
  </si>
  <si>
    <t>LUIS FERNANDO BARZOTTO</t>
  </si>
  <si>
    <t>NEY JOSÉ DE FREITAS</t>
  </si>
  <si>
    <t>MARIA ELISA BASTOS MACIEIRA</t>
  </si>
  <si>
    <t>ATALIBA ZANDOMENEGO FILHO</t>
  </si>
  <si>
    <t>AUGUSTO EDUARDO SEARA</t>
  </si>
  <si>
    <t>AUGUSTO SILVEIRA MASTELLA</t>
  </si>
  <si>
    <t>AUREO FORTUNATTI</t>
  </si>
  <si>
    <t>CARLOS ANTONIO TISSIANI</t>
  </si>
  <si>
    <t>ELISETE MARIA DA CUNHA</t>
  </si>
  <si>
    <t>ELISIA NASCIMENTO DO AMARAL</t>
  </si>
  <si>
    <t>ELISTELMA LEONARDO DOMINGOS</t>
  </si>
  <si>
    <t>ELIZABETH ABREU PEREIRA BERNARDES</t>
  </si>
  <si>
    <t>ELIZABETH CABRAL BASTOS</t>
  </si>
  <si>
    <t>ELISABETH RIBEIRO FRANCISCO</t>
  </si>
  <si>
    <t>ELIZETE DE BORBA ROSSI</t>
  </si>
  <si>
    <t>ELIZETTE JACKOWSKI BILOUS</t>
  </si>
  <si>
    <t>ELLEN KLUGE</t>
  </si>
  <si>
    <t>ELOI FAE</t>
  </si>
  <si>
    <t>ELOISA DE PONTES</t>
  </si>
  <si>
    <t>ELOISA MARIA DO NASCIMENTO</t>
  </si>
  <si>
    <t>ELTON MARQUES DE OLIVEIRA</t>
  </si>
  <si>
    <t>LEOCADIA BRUHMULLER</t>
  </si>
  <si>
    <t>LEONARDI LOURDES WELTER</t>
  </si>
  <si>
    <t>LEOPOLDO ALBERTO RODRIGUES BELLAGUARDA</t>
  </si>
  <si>
    <t>LETICIA COELHO AQUINO</t>
  </si>
  <si>
    <t>LETICIA REMOR BARRETO</t>
  </si>
  <si>
    <t>LIA SONCINI LERINA</t>
  </si>
  <si>
    <t>LIAMAR FRACASSO SCHMITT</t>
  </si>
  <si>
    <t>LIANE MARIA BARDEN</t>
  </si>
  <si>
    <t>LIANE SBRUZZI</t>
  </si>
  <si>
    <t>LIBERTO JOAO SFOGIA</t>
  </si>
  <si>
    <t>LICELIA RIBEIRO</t>
  </si>
  <si>
    <t>LIDIA DA SILVA</t>
  </si>
  <si>
    <t>LIEGE SANTOS</t>
  </si>
  <si>
    <t>LIGIA MARIA DE RESENDE CARDOSO</t>
  </si>
  <si>
    <t>LIGIA MARIA TEIXEIRA GOUVEA</t>
  </si>
  <si>
    <t>LILIA LEONOR ABREU</t>
  </si>
  <si>
    <t>DEYSE JACQUELINE ZIMMERMANN</t>
  </si>
  <si>
    <t>DIANA DA SILVA</t>
  </si>
  <si>
    <t>DIANA PAULA BERTI</t>
  </si>
  <si>
    <t>DIANE MILANI KORNELY</t>
  </si>
  <si>
    <t>DILCIONIR JOSE FURLAN</t>
  </si>
  <si>
    <t>DILNEI ANGELO BILESSIMO</t>
  </si>
  <si>
    <t>DILZA FERREIRA DOS SANTOS PAZETTO</t>
  </si>
  <si>
    <t>DIMITRY AQUINO DO NASCIMENTO</t>
  </si>
  <si>
    <t>DINALCIR DE BORBA</t>
  </si>
  <si>
    <t>DINALDO DE AMORIM</t>
  </si>
  <si>
    <t>DIONE MARIA MONTEIRO PAZ LOPES</t>
  </si>
  <si>
    <t>DIRCEU DE VASCONCELOS HORTA</t>
  </si>
  <si>
    <t>DIRLEI PEREIRA PREVE</t>
  </si>
  <si>
    <t>DISNEY ANTONIO PERCYAK</t>
  </si>
  <si>
    <t>DITMAR JOSE KRETZER</t>
  </si>
  <si>
    <t>DJALMA MONSOLINO DE AGUIAR</t>
  </si>
  <si>
    <t>DMITRI WERLANG AGUIAR</t>
  </si>
  <si>
    <t>DOCILA FAGUNDES LUIZ</t>
  </si>
  <si>
    <t>DOLORES CUNHA DE AMORIM</t>
  </si>
  <si>
    <t>DOLORES MARIA BOECK</t>
  </si>
  <si>
    <t>DORACI VARGAS KOHLER</t>
  </si>
  <si>
    <t>DORLY FERNANDES DA SILVA</t>
  </si>
  <si>
    <t>DOUGLAS ANDRE MULLER</t>
  </si>
  <si>
    <t>DUCLERQUE BEZERRA AGUIAR</t>
  </si>
  <si>
    <t>EDA DA SILVA</t>
  </si>
  <si>
    <t>EDELA MARIA FERNANDES</t>
  </si>
  <si>
    <t>MARIA INES SCHITZ PAMPLONA</t>
  </si>
  <si>
    <t>MARIA INES SOBIERAJSKI</t>
  </si>
  <si>
    <t>MARIA IONE FARACO BESERRA</t>
  </si>
  <si>
    <t>MARIA ISABEL KREUSCH</t>
  </si>
  <si>
    <t>MARIA JOSE CORREIA MOREIRA</t>
  </si>
  <si>
    <t>MARIA JOSE OLEGARIO</t>
  </si>
  <si>
    <t>MAGDA BARROS BIAVASCHI</t>
  </si>
  <si>
    <t>VOLDENIR STEFANO CARMINATTI</t>
  </si>
  <si>
    <t>VOGRAN FURTADO DOS SANTOS</t>
  </si>
  <si>
    <t>MARIA FERNANDA VISALLI DA COSTA</t>
  </si>
  <si>
    <t>MARIA GORETI MARINHO</t>
  </si>
  <si>
    <t>MARIA GORETI MONTEIRO DA SILVA</t>
  </si>
  <si>
    <t>MARIA GUIOMAR LIMA</t>
  </si>
  <si>
    <t>MARIA HELENA RAUPP</t>
  </si>
  <si>
    <t>MARIA ILSE ZAGO</t>
  </si>
  <si>
    <t>MARIA INACIO NASCIMENTO</t>
  </si>
  <si>
    <t>MARIA INES FAJARDO NUNES HILDEBRAND</t>
  </si>
  <si>
    <t>GEORGIA PAULA MALHEIROS TONELLO</t>
  </si>
  <si>
    <t>SORAIA MORITZ MULLER</t>
  </si>
  <si>
    <t>FABIANO TODT</t>
  </si>
  <si>
    <t>LETICIA CEMIN</t>
  </si>
  <si>
    <t>JOAO PAULO RABELO MARTINS</t>
  </si>
  <si>
    <t>PATRICIA HELENA SCHULTER</t>
  </si>
  <si>
    <t>PALOMA FURQUIM</t>
  </si>
  <si>
    <t>FELIPE ULIANO DA SILVA</t>
  </si>
  <si>
    <t>LISIANNE PESTANA DE FARIAS</t>
  </si>
  <si>
    <t>RODRIGO CARLOS CALDINE DE CAMPOS</t>
  </si>
  <si>
    <t>MIRIAM CRISTINA DA SILVA</t>
  </si>
  <si>
    <t>SERGIO LUIZ RIBEIRO</t>
  </si>
  <si>
    <t>TATIANA YUKIE ITO</t>
  </si>
  <si>
    <t>LEANDRO MARCELO FURLICK DAMAZIO</t>
  </si>
  <si>
    <t>NADIA APARECIDA MARTINS MEDEIROS</t>
  </si>
  <si>
    <t>MARLETE APARECIDA SAVOLDI RADIN</t>
  </si>
  <si>
    <t>JEFFERSON BAUMGARTEN BAPTISTA</t>
  </si>
  <si>
    <t>EVERTON RODRIGUES GARCIA</t>
  </si>
  <si>
    <t>KRISTINA NATALIA CANCELIER</t>
  </si>
  <si>
    <t>MARILAINE FAGUNDES DE ARAUJO KUCERA</t>
  </si>
  <si>
    <t>ANGELA BEATRIZ FREITAS GOEDERT</t>
  </si>
  <si>
    <t>MORGANA CARDOZO DE FARIAS</t>
  </si>
  <si>
    <t>ELVIRA BELLETTINI BELMONT DE BRITO</t>
  </si>
  <si>
    <t>ELVIRA CECILIA ETUR</t>
  </si>
  <si>
    <t>ELZA DA CUNHA CAMPOS</t>
  </si>
  <si>
    <t>ELZIRA NEIDE CARDOSO</t>
  </si>
  <si>
    <t>EMANUEL ROGERIO BREHMER</t>
  </si>
  <si>
    <t>EMERSON JERÔNIMO</t>
  </si>
  <si>
    <t>EMILIO MENDONCA DA CUNHA</t>
  </si>
  <si>
    <t>EMMANUEL IB CALHEIROS LOPES</t>
  </si>
  <si>
    <t>ADAO SOARES PINTO</t>
  </si>
  <si>
    <t>ADELAIDE BURATO GARCIA</t>
  </si>
  <si>
    <t>ADELMAR DE CASTRO JUNIOR</t>
  </si>
  <si>
    <t>ADEMAR HILDEBRANDO MARTINS</t>
  </si>
  <si>
    <t>ADEMIR FELIX</t>
  </si>
  <si>
    <t>ADEMIR PIAZERA</t>
  </si>
  <si>
    <t>ADENIR LOURDES CANONICA BARBON</t>
  </si>
  <si>
    <t>ADERSON FLORES</t>
  </si>
  <si>
    <t>ADHEBAL ROCHA CASCAES</t>
  </si>
  <si>
    <t>ADILIO FERREIRA DOS SANTOS</t>
  </si>
  <si>
    <t>ADILSON MAFRA JUNIOR</t>
  </si>
  <si>
    <t>ADILTON JOSE DETONI</t>
  </si>
  <si>
    <t>ADRIANA DE FREITAS LIMA FERNANDES</t>
  </si>
  <si>
    <t>ADRIANA DE LIZ CARNEIRO LINS</t>
  </si>
  <si>
    <t>ADRIANA FIGUEIREDO</t>
  </si>
  <si>
    <t>ADRIANA GANZO FERNANDEZ MCCRAY</t>
  </si>
  <si>
    <t>ADRIANA HAMMES ELI</t>
  </si>
  <si>
    <t>ADRIANA MARIA RAMOS</t>
  </si>
  <si>
    <t>ADRIANA OURIQUES NICOLODI</t>
  </si>
  <si>
    <t>ADRIANA PAULA DOMINGUES TEIXEIRA</t>
  </si>
  <si>
    <t>ADRIANA RECH DA COSTA</t>
  </si>
  <si>
    <t>ADRIANA SAMPAIO RUSSI</t>
  </si>
  <si>
    <t>ADRIANA SASSO CORREA</t>
  </si>
  <si>
    <t>ADRIANO ALONSO ZIEMANN</t>
  </si>
  <si>
    <t>ADRIANO EBENRITER</t>
  </si>
  <si>
    <t>ADRIANO FAUST CORREA</t>
  </si>
  <si>
    <t>ADRIANO FERNANDES DOS SANTOS</t>
  </si>
  <si>
    <t>ADRIANO LUIZ GARCIA</t>
  </si>
  <si>
    <t>ADRIANO PIAZZA FURLAN</t>
  </si>
  <si>
    <t>AFRANIO D´AVILA RUFINO</t>
  </si>
  <si>
    <t>JULIO MARION FERREIRA CALDEIRA</t>
  </si>
  <si>
    <t>JULIO MORAIS DA SILVA</t>
  </si>
  <si>
    <t>JULIO SCHAPPO NETO</t>
  </si>
  <si>
    <t>JULIO STEFANECHEN</t>
  </si>
  <si>
    <t>JUNDIR ANDRADE</t>
  </si>
  <si>
    <t>JURACI LOPES DA SILVA</t>
  </si>
  <si>
    <t>JURACIL MULIZINI</t>
  </si>
  <si>
    <t>JURACY TRICHES</t>
  </si>
  <si>
    <t>JURANDYR NASCIMENTO DA ROSA JUNIOR</t>
  </si>
  <si>
    <t>JUSSARA APARECIDA FINARDI CORSO</t>
  </si>
  <si>
    <t>JUSSARA BRUNS</t>
  </si>
  <si>
    <t>JUVELINA CARDOSO DE OLIVEIRA SILVA</t>
  </si>
  <si>
    <t>JUVENCIO CAMPESTRINI</t>
  </si>
  <si>
    <t>JUVENTINA PEREIRA SCHULZ</t>
  </si>
  <si>
    <t>MARIA LUCIA CURY FIGUEIREDO TRAVI</t>
  </si>
  <si>
    <t>MARIA LUCIA DE ASSIS CORREA</t>
  </si>
  <si>
    <t>MARIA LUCIA LEMOS HAYGERT</t>
  </si>
  <si>
    <t>MARIA LUCIA TELLECHEA PETRONE</t>
  </si>
  <si>
    <t>MARIA LUISA GASSEN</t>
  </si>
  <si>
    <t>MARIA LUIZA BARBI ALMEIDA</t>
  </si>
  <si>
    <t>MARIA LUIZA DA VEIGA CASCAES</t>
  </si>
  <si>
    <t>MARIA LUIZA LECHER</t>
  </si>
  <si>
    <t>MARIA MARTA MEDEIROS DE SOUZA</t>
  </si>
  <si>
    <t>MARIA MATOS DA SILVA STAHELIN</t>
  </si>
  <si>
    <t>MARIA ODETE ONORIO OLSEN</t>
  </si>
  <si>
    <t>MARIA OTILIA MACHADO</t>
  </si>
  <si>
    <t>MARIA PEREIRA ALVES</t>
  </si>
  <si>
    <t>MARIA REGINA HAYGERT PANTALEAO</t>
  </si>
  <si>
    <t>MARIA REGINA SIMONE RAMOS</t>
  </si>
  <si>
    <t>MARIA SHIRLENE FIGUEIREDO MEDEIROS</t>
  </si>
  <si>
    <t>MARIA SIREGE CAMPOS</t>
  </si>
  <si>
    <t>MARIA SUZANA CAMPELO WITTKE</t>
  </si>
  <si>
    <t>MARIA TERESINHA RIBEIRO FRANCISCO</t>
  </si>
  <si>
    <t>JAMIL SALIM AMIN</t>
  </si>
  <si>
    <t>JAMILE CURY CECATO DE CARVALHO</t>
  </si>
  <si>
    <t>JANDINEZ ALMEIDA BERGAMO</t>
  </si>
  <si>
    <t>JANE APARECIDA DE CARVALHO FRANCO</t>
  </si>
  <si>
    <t>JANE MABEL DA SILVA SELL</t>
  </si>
  <si>
    <t>JANETE MENDONCA NASCIMENTO</t>
  </si>
  <si>
    <t>JANICE MARIA LENZ BORGES</t>
  </si>
  <si>
    <t>JANINE COSTA</t>
  </si>
  <si>
    <t>JANISSE DEMBINSKI KERN</t>
  </si>
  <si>
    <t>JAQUELINE FAGUNDES</t>
  </si>
  <si>
    <t>JAQUELINE GOMES SELVA</t>
  </si>
  <si>
    <t>JAYME FERROLHO JUNIOR</t>
  </si>
  <si>
    <t>RONALDO BARLETA BASILIO</t>
  </si>
  <si>
    <t>RONALDO CARDOSO</t>
  </si>
  <si>
    <t>RONILDO MOREIRA ALVES</t>
  </si>
  <si>
    <t>ROSA MARIA ANHALT</t>
  </si>
  <si>
    <t>ROSA MARIA CARADORE EDUVIGES</t>
  </si>
  <si>
    <t>ROSALVO QUIRINO GOULART</t>
  </si>
  <si>
    <t>ROSAMARIA MEDEIROS E SILVA</t>
  </si>
  <si>
    <t>ROSANA BAPTISTA</t>
  </si>
  <si>
    <t>ROSANA BASILONE LEITE FURLANI</t>
  </si>
  <si>
    <t>ROSANA DA VEIGA CESAR DOS REIS</t>
  </si>
  <si>
    <t>ROSANA WOLFGRAMM</t>
  </si>
  <si>
    <t>ROSANE FERREIRA DE SOUZA</t>
  </si>
  <si>
    <t>ROSANE KATHIA DUPONT</t>
  </si>
  <si>
    <t>ROSANE MARIA DESCOVI GALELLI</t>
  </si>
  <si>
    <t>ROSANE MIRIAM FERREIRA BAIXO</t>
  </si>
  <si>
    <t>ROSANE SALETE FRARRE RIBAS</t>
  </si>
  <si>
    <t>ROSANGELA DIAS MARTINS</t>
  </si>
  <si>
    <t>ROSANGELA DOS SANTOS TRESCHER DA SILVA</t>
  </si>
  <si>
    <t>ANTONIO EVERTON DA ROSA</t>
  </si>
  <si>
    <t>ALEXANDRA MORAES</t>
  </si>
  <si>
    <t>MARIA ZOE BELLANI LYRA ESPINDOLA</t>
  </si>
  <si>
    <t>IRVA LEITE MORAES</t>
  </si>
  <si>
    <t>ROZENILDA MECKIADES FERNANDES</t>
  </si>
  <si>
    <t>ROSANA IDETA</t>
  </si>
  <si>
    <t>ULISSES ATILA ARRAIS E MOURA</t>
  </si>
  <si>
    <t>FRANCIANNE GUIMARÃES PRADE</t>
  </si>
  <si>
    <t>CAROLINE BEIRITH PACHECO DE SOUZA</t>
  </si>
  <si>
    <t>GUSTAVO NUNES E CASTRO</t>
  </si>
  <si>
    <t>FERNANDA GULARTE MORAES</t>
  </si>
  <si>
    <t>ALECIO CLEMENTE</t>
  </si>
  <si>
    <t>RACHEL CRUZ DE OLIVEIRA</t>
  </si>
  <si>
    <t>CLAUDIA DANIELA AVERBECK</t>
  </si>
  <si>
    <t>RICARDO AUGUSTO LUCAS VAZ</t>
  </si>
  <si>
    <t>EDSON DA LUZ RIBEIRO</t>
  </si>
  <si>
    <t>GIANE DA SILVA</t>
  </si>
  <si>
    <t>HILARA EMILIA MACHADO DO VALLE PEREIRA</t>
  </si>
  <si>
    <t>DEYSE LUCIANE UBIAL PEREIRA</t>
  </si>
  <si>
    <t>ANDREA MARIA LIMONGI PASOLD BURIGO</t>
  </si>
  <si>
    <t>CARLOS ALBERTO BEGALLES</t>
  </si>
  <si>
    <t>REJANE ZAGO CANTU</t>
  </si>
  <si>
    <t>RENATA JORGE ROSA</t>
  </si>
  <si>
    <t>RENATO CABRAL</t>
  </si>
  <si>
    <t>RENATO KONESKI</t>
  </si>
  <si>
    <t>RENATO SCHMUCKER</t>
  </si>
  <si>
    <t>RENATO TADEU RODOLFO</t>
  </si>
  <si>
    <t>RENE BERNARDINO VARGAS</t>
  </si>
  <si>
    <t>RICARDO CESAR DE OLIVEIRA</t>
  </si>
  <si>
    <t>RICARDO CORDOVA DINIZ</t>
  </si>
  <si>
    <t>RICARDO COSTA</t>
  </si>
  <si>
    <t>RICARDO GANZO WEICKERT CALDAS</t>
  </si>
  <si>
    <t>RICARDO JACKSON D´ALMEIDA RAMOS</t>
  </si>
  <si>
    <t>RICARDO JOSE DA ROSA</t>
  </si>
  <si>
    <t>RICARDO JOSE ZEN</t>
  </si>
  <si>
    <t>RICARDO KOCK NUNES</t>
  </si>
  <si>
    <t>RICARDO KONESKI</t>
  </si>
  <si>
    <t>RITA BEATRIZ SONEGO ZANETTE</t>
  </si>
  <si>
    <t>RITA DE CASSIA HIRTH PESCHEL</t>
  </si>
  <si>
    <t>RITA DE CASSIA ROSA BASTOS ALVES</t>
  </si>
  <si>
    <t>RITA DE CASSIA SCHMITT</t>
  </si>
  <si>
    <t>RITA DE CASSIA SILVEIRA</t>
  </si>
  <si>
    <t>RITA SCHNEIDER</t>
  </si>
  <si>
    <t>ROBAK JOSE BARROS</t>
  </si>
  <si>
    <t>ROBERT STALOCH</t>
  </si>
  <si>
    <t>ROBERTO ANTONIO ARENHART</t>
  </si>
  <si>
    <t>ROBERTO ARMANDO LOPES BORGES</t>
  </si>
  <si>
    <t>ROBERTO BASILONE LEITE</t>
  </si>
  <si>
    <t>KAREM MIRIAN DIDONE</t>
  </si>
  <si>
    <t>KARIME GONZAGA ESPINDOLA LUZ TRINCADO HEVIA</t>
  </si>
  <si>
    <t>KARIN CORREA DE NEGREIROS</t>
  </si>
  <si>
    <t>KARIN VALENTE RAMOS ROCHA</t>
  </si>
  <si>
    <t>KARINA ELISE MACHADO</t>
  </si>
  <si>
    <t>KARLA FALCAO SCHLIEPER</t>
  </si>
  <si>
    <t>KATHLEEN CESCONETO</t>
  </si>
  <si>
    <t>KATIA ALBERTO JEREMIAS MONTICELLI</t>
  </si>
  <si>
    <t>LUIZ OSMAR FRANCHIN</t>
  </si>
  <si>
    <t>LUIZ OTAVIO GARCIA CORREA</t>
  </si>
  <si>
    <t>LUIZ ROGERIO PEREIRA</t>
  </si>
  <si>
    <t>LUIZ SEVERINO DUARTE</t>
  </si>
  <si>
    <t>LUIZA MARIA GANZO WEICKERT CALDAS</t>
  </si>
  <si>
    <t>LURDES TEREZINHA RAMOS</t>
  </si>
  <si>
    <t>LURDETE MARIA ROSA</t>
  </si>
  <si>
    <t>LUZIMEIRE BARBOSA</t>
  </si>
  <si>
    <t>LYZ CABRAL SOARES</t>
  </si>
  <si>
    <t>MAFALDA LOCKS</t>
  </si>
  <si>
    <t>MAGALI APARECIDA CRIPPA LEMOS</t>
  </si>
  <si>
    <t>MAGALI CUNHA DOS SANTOS</t>
  </si>
  <si>
    <t>MAGDA ELIETE FERNANDES</t>
  </si>
  <si>
    <t>MAGDA LUZ DE ANDRADE</t>
  </si>
  <si>
    <t>MAIRA RAQUEL ENSFELD</t>
  </si>
  <si>
    <t>MANOEL DE SOUZA COSTA</t>
  </si>
  <si>
    <t>MANOEL JOSE DA SILVA</t>
  </si>
  <si>
    <t>MANOEL RAULINO DA COSTA</t>
  </si>
  <si>
    <t>MANOEL SILVANO DE SOUZA</t>
  </si>
  <si>
    <t>MANOEL VITORIO AVILA</t>
  </si>
  <si>
    <t>MARA BRUNELLI XAVIER</t>
  </si>
  <si>
    <t>MARA DUARTE</t>
  </si>
  <si>
    <t>MARA REGINA BASCO</t>
  </si>
  <si>
    <t>MARCELINO PINHEIRO SILVA</t>
  </si>
  <si>
    <t>MARCELLO FIALHO LEMOS</t>
  </si>
  <si>
    <t>MARCELLO SILVEIRA DE CAMPOS</t>
  </si>
  <si>
    <t>MARCELO ANDRIANI OURIQUES</t>
  </si>
  <si>
    <t>MARCELO AUGUSTO BOTELHO</t>
  </si>
  <si>
    <t>MARCELO BORINI MORETTO</t>
  </si>
  <si>
    <t>MARCELO CECHINEL</t>
  </si>
  <si>
    <t>MARCELO DOMINGUEZ</t>
  </si>
  <si>
    <t>MARCELO HENRIQUE SESTREN</t>
  </si>
  <si>
    <t>MARCELO LUIZ FLORES</t>
  </si>
  <si>
    <t>MARCELO MAIENBERGER COELHO</t>
  </si>
  <si>
    <t>MARCELO SIECZKOWSKI</t>
  </si>
  <si>
    <t>MARCELO VIEIRA DOS SANTOS</t>
  </si>
  <si>
    <t>MARCIA ABEDAL CECI DE SOUZA</t>
  </si>
  <si>
    <t>MARCIA DE MENDONCA M. IGLESIAS DO COUTO</t>
  </si>
  <si>
    <t>MARCIA ELENA DUTRA PEREIRA</t>
  </si>
  <si>
    <t>MARCIA MARIA ALMEIDA YONEDA</t>
  </si>
  <si>
    <t>MARCIA MINETTO DE TOLEDO</t>
  </si>
  <si>
    <t>MARCIA OLEGARIO BECKER DE AQUINO</t>
  </si>
  <si>
    <t>MARCIA REGINA DA SILVA</t>
  </si>
  <si>
    <t>MARCIA SCHWENGBER WERLE</t>
  </si>
  <si>
    <t>ROSANGELA GERVINI ALVES PEREIRA</t>
  </si>
  <si>
    <t>ROSANGELA GOMES YAMADA</t>
  </si>
  <si>
    <t>ROSANGELA IRMA NAU</t>
  </si>
  <si>
    <t>ROSANGELA MARIA ANSELMO DE SOUZA</t>
  </si>
  <si>
    <t>ROSANGELA MARIA KRETSCHMER</t>
  </si>
  <si>
    <t>ROSECLEIDE DA SILVA SOARES</t>
  </si>
  <si>
    <t>ROSELI GRAMLICH CASSIAS PEREIRA</t>
  </si>
  <si>
    <t>ROSELI LIDIA JOSE</t>
  </si>
  <si>
    <t>ROSEMARI VICENTINI CAMARGO</t>
  </si>
  <si>
    <t>ROSEMARIE MOMM</t>
  </si>
  <si>
    <t>ROSEMARY BASTOS GUTIERREZ CORDEIRO</t>
  </si>
  <si>
    <t>ROSILAINE BARBOSA</t>
  </si>
  <si>
    <t>ROSINEI FATIMA KUHNEN COELHO</t>
  </si>
  <si>
    <t>ROSITA JONCK</t>
  </si>
  <si>
    <t>ROZANE BEDIN</t>
  </si>
  <si>
    <t>RUBENS MENEZES RAU</t>
  </si>
  <si>
    <t>RUBI RIGHETTO JUNIOR</t>
  </si>
  <si>
    <t>RUBIA GIOVANA CONTI BAUMANN</t>
  </si>
  <si>
    <t>RUBIANI LUIZ GROLLI</t>
  </si>
  <si>
    <t>RUTE DE LIMA LIVRAMENTO</t>
  </si>
  <si>
    <t>ALEXANDRE SILVA DE LORENZI DINON</t>
  </si>
  <si>
    <t>FABRICIO ZANATTA</t>
  </si>
  <si>
    <t>JEFFERSON MEDEIROS NETTO</t>
  </si>
  <si>
    <t>HERACLIDES JOSE CORDEIRO</t>
  </si>
  <si>
    <t>MARISA PAULIO</t>
  </si>
  <si>
    <t>JOSE LUIZ BRAGA PEREIRA</t>
  </si>
  <si>
    <t>GEISON ALFREDO ARISI</t>
  </si>
  <si>
    <t>ALEXANDRE COUTO FERREIRA</t>
  </si>
  <si>
    <t>JOSIANE CORDOVA</t>
  </si>
  <si>
    <t>SAMUEL DUARTE GUIMARÃES</t>
  </si>
  <si>
    <t>ALESSANDRA PEREIRA CRISTOVÃO</t>
  </si>
  <si>
    <t>JEFERSON FANTON</t>
  </si>
  <si>
    <t>MARIANA PHILIPPI DE NEGREIROS</t>
  </si>
  <si>
    <t>SHEILA BELLI</t>
  </si>
  <si>
    <t>CHRISTIANE MACHADO OLDEMBURGO</t>
  </si>
  <si>
    <t>ELISE HAAS DE ABREU</t>
  </si>
  <si>
    <t>ADRIANA FLORIPES CARDIM DE LIMA</t>
  </si>
  <si>
    <t>JOAO CARLOS TROIS SCALCO</t>
  </si>
  <si>
    <t>LUCIANA CARINGI XAVIER</t>
  </si>
  <si>
    <t>ADAILTO NAZARENO DEGERING</t>
  </si>
  <si>
    <t>JOSE EDUARDO ALCANTARA</t>
  </si>
  <si>
    <t>PATRICIA ANDRADES GAMEIRO</t>
  </si>
  <si>
    <t>ANDERSON BASTOS</t>
  </si>
  <si>
    <t>SAIMON CEZAR DANIELSKI FAISCA</t>
  </si>
  <si>
    <t>GISLANE MENDONÇA BECKHAUSER</t>
  </si>
  <si>
    <t>ADRIANE SIKORSKI MENGARDA</t>
  </si>
  <si>
    <t>RAQUEL KASSIANNE BORGES FONTENELLE BAUMER</t>
  </si>
  <si>
    <t>ROBERTO CARLOS DE ALMEIDA</t>
  </si>
  <si>
    <t>ROBERTO DE OLIVEIRA</t>
  </si>
  <si>
    <t>ROBERTO JASPER NETO</t>
  </si>
  <si>
    <t>ROBERTO LUIZ GUGLIELMETTO</t>
  </si>
  <si>
    <t>ROBERTO LUIZ KOENIG S. THIAGO</t>
  </si>
  <si>
    <t>ROBERTO MASAMI NAKAJO</t>
  </si>
  <si>
    <t>ROBERTO VICENTE</t>
  </si>
  <si>
    <t>ROBSON NESTOR BANDEIRA</t>
  </si>
  <si>
    <t>ROBSON NIRBAL MENDES</t>
  </si>
  <si>
    <t>RODRIGO FARIAS</t>
  </si>
  <si>
    <t>RODRIGO GOLDSCHMIDT</t>
  </si>
  <si>
    <t>RODRIGO WATERKEMPER</t>
  </si>
  <si>
    <t>RODRIGUES CAMPOS</t>
  </si>
  <si>
    <t>ROGERIO BREVIGLIERI</t>
  </si>
  <si>
    <t>ROGERIO FERNANDES DE LIMA</t>
  </si>
  <si>
    <t>ROGERIO JORGE ROSA</t>
  </si>
  <si>
    <t>ROGERIO MEDEIROS</t>
  </si>
  <si>
    <t>ROMEU BRUSCO JUNIOR</t>
  </si>
  <si>
    <t>ROMILDA MARIA SALLES OLINGER</t>
  </si>
  <si>
    <t>ROMUALDO CORREIA</t>
  </si>
  <si>
    <t>RONALD MAX COELHO</t>
  </si>
  <si>
    <t>VOLMAR ANTONIO MACHADO</t>
  </si>
  <si>
    <t>WAGNER TADEU DE CASTRO REMOR</t>
  </si>
  <si>
    <t>WALDIR PEREIRA JUNIOR</t>
  </si>
  <si>
    <t>WALDIR SVAISSER</t>
  </si>
  <si>
    <t>WALTER BLOCK JUNIOR</t>
  </si>
  <si>
    <t>WANDERSON GADELHA DUARTE</t>
  </si>
  <si>
    <t>WANYA GOMES PENNAFORTE</t>
  </si>
  <si>
    <t>WILLI MULLER</t>
  </si>
  <si>
    <t>WILLIAN PAULO PEREIRA</t>
  </si>
  <si>
    <t>WILSON ADEMAR RODOLFO</t>
  </si>
  <si>
    <t>WILSON DEMO</t>
  </si>
  <si>
    <t>XALISE BIANCHINI THIELE</t>
  </si>
  <si>
    <t>YARA GUIMARAES</t>
  </si>
  <si>
    <t>YEDA MARIA RODOLFO MAFRA</t>
  </si>
  <si>
    <t>ZELANI MARIA SARTORTT TESSAROLO</t>
  </si>
  <si>
    <t>ALTAIR DA SILVA LOPES</t>
  </si>
  <si>
    <t>ALTAIR DE LIMA</t>
  </si>
  <si>
    <t>ALTAIR LUIZ GONCALVES</t>
  </si>
  <si>
    <t>ALTEMIR BRUNEL</t>
  </si>
  <si>
    <t>ALVARO ALCIDES PEREIRA</t>
  </si>
  <si>
    <t>ALVARO BRANDAO</t>
  </si>
  <si>
    <t>MARCIO BORBA DE FREITAS</t>
  </si>
  <si>
    <t>MARCIO FABIAN LOPES</t>
  </si>
  <si>
    <t>MARCIO LUIS GOMES KEUNECKE</t>
  </si>
  <si>
    <t>MARCIO LUIZ DE SOUZA</t>
  </si>
  <si>
    <t>GISELE JANAINA DOS SANTOS</t>
  </si>
  <si>
    <t>ALBERTO JACIEL PETRY JUNIOR</t>
  </si>
  <si>
    <t>ROSINEY AUGUSTO DORNE</t>
  </si>
  <si>
    <t>FABRISIA FRANZOI</t>
  </si>
  <si>
    <t>ENEDINA MONTIBELLER SOARES</t>
  </si>
  <si>
    <t>ENEIDA MARIA HACKER</t>
  </si>
  <si>
    <t>ENEIDA RIBAS ATHANAZIO</t>
  </si>
  <si>
    <t>ENESSI LUIZ MARCHESAN</t>
  </si>
  <si>
    <t>ENI WALTER FERREIRA</t>
  </si>
  <si>
    <t>ENIO BECKER DE AQUINO</t>
  </si>
  <si>
    <t>ENOR VIEIRA JUNIOR</t>
  </si>
  <si>
    <t>ERITON CARNEIRO GUEDES</t>
  </si>
  <si>
    <t>ERLEI DAVID BONOTTO</t>
  </si>
  <si>
    <t>ERLI JOSEFINA MILANESE SONAI</t>
  </si>
  <si>
    <t>ERMIDE GIOVANELLA BRANCHER</t>
  </si>
  <si>
    <t>ERNO BLUME</t>
  </si>
  <si>
    <t>ERONILDA RIBEIRO DOS SANTOS</t>
  </si>
  <si>
    <t>ETELVINO BARON</t>
  </si>
  <si>
    <t>EUCLIDES ANTONIO BADIN</t>
  </si>
  <si>
    <t>EUCLIDES DEONIZIO CANALLE</t>
  </si>
  <si>
    <t>EUNICE DE MIRANDA SOUZA</t>
  </si>
  <si>
    <t>EVANDRO DA SILVA DOS SANTOS</t>
  </si>
  <si>
    <t>EVANDRO DE MEIRELES</t>
  </si>
  <si>
    <t>EVANDRO LUIZ SILVA</t>
  </si>
  <si>
    <t>EVANGELINA BARBOSA MARTINS</t>
  </si>
  <si>
    <t>EVANI OLIVEIRA DA ROSA JORGE</t>
  </si>
  <si>
    <t>EVERTON LACERDA DUTRA</t>
  </si>
  <si>
    <t>EVOLYM GOMES PAZ BRAGA</t>
  </si>
  <si>
    <t>FABIA WILLERT DA ROCHA VITORIO</t>
  </si>
  <si>
    <t>FABIAN ALEXANDRE PLANINZ</t>
  </si>
  <si>
    <t>FABIANA BUSCH JUSTINO</t>
  </si>
  <si>
    <t>FABIANA VIEIRA DE LINHARES</t>
  </si>
  <si>
    <t>MIRIAM LANDERDAHL GARCIA</t>
  </si>
  <si>
    <t>MIRIAM MARIA D´AGOSTINI</t>
  </si>
  <si>
    <t>MIRIAM REJANE MOREM</t>
  </si>
  <si>
    <t>MIRIAM SCHWARTZ DA SILVA ALBERTON</t>
  </si>
  <si>
    <t>MIRLEI CIBELI OSORIO MANKE</t>
  </si>
  <si>
    <t>MIRNA DE SOUZA TIRLONI</t>
  </si>
  <si>
    <t>MIRNA ULIANO BERTOLDI</t>
  </si>
  <si>
    <t>MOACIR CARLOS GARCIA KEHRIG</t>
  </si>
  <si>
    <t>MOACIR ERVINO CE</t>
  </si>
  <si>
    <t>MONICA BARROSO</t>
  </si>
  <si>
    <t>MONICA BEATRIZ MOREIRA NOBRE</t>
  </si>
  <si>
    <t>MONICA DARLENE SALOMÉ DUTRA</t>
  </si>
  <si>
    <t>MONICA MACHADO RIBEIRO</t>
  </si>
  <si>
    <t>LUÍS ROBERTO BARROSO</t>
  </si>
  <si>
    <t>JÚLIO CÉSAR BEBBER</t>
  </si>
  <si>
    <t>DECIO HENGIST CORREA JUNIOR</t>
  </si>
  <si>
    <t>ANDREA MASSIGNAN SALVADOR</t>
  </si>
  <si>
    <t>ANDREIA HAWERROTH EXTERKÖTTER</t>
  </si>
  <si>
    <t>ANGELA ALBINO</t>
  </si>
  <si>
    <t>ANGELA CRAVO DI PIETRO</t>
  </si>
  <si>
    <t>ANGELA D'ACAMPORA PRIM</t>
  </si>
  <si>
    <t>ANGELA MARIA ALMEIDA RIBEIRO</t>
  </si>
  <si>
    <t>MARIA WALEWSKA VIEGAS SAMPAIO BALSINI</t>
  </si>
  <si>
    <t>MARIANNE KNAUER</t>
  </si>
  <si>
    <t>MARIEDI MATTIOLI SCHEIDT BREDA</t>
  </si>
  <si>
    <t>MARIELA TEDESCO VESCOVI</t>
  </si>
  <si>
    <t>MARIELZA FERNANDES BORGES</t>
  </si>
  <si>
    <t>MARILAINE BODANESE MOCELIN</t>
  </si>
  <si>
    <t>MARILDA DE FATIMA BITTAR HORN</t>
  </si>
  <si>
    <t>MARILDE MAFRA</t>
  </si>
  <si>
    <t>MARILEIA SILVEIRA DE SOUZA LOSSO</t>
  </si>
  <si>
    <t>MARILENA SOARES DE ALMEIDA</t>
  </si>
  <si>
    <t>MARILEUZA TEREZINHA DOS SANTOS</t>
  </si>
  <si>
    <t>MARILIA KRETZSCHMAR URIARTE</t>
  </si>
  <si>
    <t>MARILTON MARGOTI ANACLETO</t>
  </si>
  <si>
    <t>MARINA EDITE DOS SANTOS DUARTE</t>
  </si>
  <si>
    <t>MARINES ROSANE MISTURA</t>
  </si>
  <si>
    <t>MARIO ALFEU WIETHORN LEMOS</t>
  </si>
  <si>
    <t>MARIO CESAR SILVA</t>
  </si>
  <si>
    <t>MARIO JOSE COUTO AMIN</t>
  </si>
  <si>
    <t>MARIO KUHN</t>
  </si>
  <si>
    <t>MARIO LUCIO DE ARAUJO</t>
  </si>
  <si>
    <t>MARIO RODRIGUES DE OLIVEIRA</t>
  </si>
  <si>
    <t>SERGIO MASSARONI</t>
  </si>
  <si>
    <t>FERNANDA SANTOS GREFF</t>
  </si>
  <si>
    <t>YURI MOHANDAS LAROCCA FRANCO</t>
  </si>
  <si>
    <t>ALEXANDRE BESEN</t>
  </si>
  <si>
    <t>TIAGO GOMES FERNANDES</t>
  </si>
  <si>
    <t>ALVARO CAVALLI GASTAL</t>
  </si>
  <si>
    <t>ALVARO HENRIQUE MOMM</t>
  </si>
  <si>
    <t>ALVARO WANDELLI NETO</t>
  </si>
  <si>
    <t>ALZIRA ATANAZIO QUADROS DE OLIVEIRA</t>
  </si>
  <si>
    <t>ALZIRO LAZARO DE SOUZA</t>
  </si>
  <si>
    <t>AMANDIO DELPIZZO NETO</t>
  </si>
  <si>
    <t>AMARILDO CARLOS DE LIMA</t>
  </si>
  <si>
    <t>AMARILDO JOAO MARTINI</t>
  </si>
  <si>
    <t>AMAURI IZAIAS LUCIO</t>
  </si>
  <si>
    <t>AMAURI RAMOS DA SILVA</t>
  </si>
  <si>
    <t>AMAZONAS MARQUES PADILHA</t>
  </si>
  <si>
    <t>ANA ARNS</t>
  </si>
  <si>
    <t>ANA BEATRIZ MOREIRA NOBRE MAGRIN</t>
  </si>
  <si>
    <t>ANA CELIA AGOSTINHA MOREIRA SILVA</t>
  </si>
  <si>
    <t>ANA CLAUDIA GASPARIN</t>
  </si>
  <si>
    <t>ANA CRISTINA AVALONI</t>
  </si>
  <si>
    <t>ANA LISETE WERLANG AGUIAR</t>
  </si>
  <si>
    <t>ANA LUCIA CAMINHA CORREA</t>
  </si>
  <si>
    <t>ANA LUCIA DA ROSA</t>
  </si>
  <si>
    <t>ROGERIO DIAS BARBOSA</t>
  </si>
  <si>
    <t>ANA LETICIA MOREIRA RICK</t>
  </si>
  <si>
    <t>MARIA CRISTINA SANTOS PEREZ</t>
  </si>
  <si>
    <t>ARMANDO LUIZ ZILLI</t>
  </si>
  <si>
    <t>TATIANA HAHN TEIXEIRA</t>
  </si>
  <si>
    <t>ORLANDO CEZAR RIBEIRO</t>
  </si>
  <si>
    <t>LURIN MENDES MACEDO DE VASCONCELLOS DIAS</t>
  </si>
  <si>
    <t>ALESSANDRO DA SILVA</t>
  </si>
  <si>
    <t>FABIO AUGUSTO DADALT</t>
  </si>
  <si>
    <t>JUDITH EUCHARES RICARDO DE ALBUQUERQUE</t>
  </si>
  <si>
    <t>VERA LÚCIA FERREIRA COPETTI</t>
  </si>
  <si>
    <t>GILSON RENATO CENTENO</t>
  </si>
  <si>
    <t>SERGIO DEMONTI ROSA</t>
  </si>
  <si>
    <t>MAURÍCIO MARTINEZ MOTA</t>
  </si>
  <si>
    <t>MÁRCIA ELENA ARAÚJO DE LIMA TISSIANI</t>
  </si>
  <si>
    <t>Liciane Fátima Zimmer Di Domenico</t>
  </si>
  <si>
    <t>MURILO CESAR DE OLIVEIRA</t>
  </si>
  <si>
    <t>MURILO RAMOS BALSINI</t>
  </si>
  <si>
    <t>NADIA GRUSENKA COMIOTTO</t>
  </si>
  <si>
    <t>NADIA MATTOS DEPIN</t>
  </si>
  <si>
    <t>NADIR DE MORAES</t>
  </si>
  <si>
    <t>NADJA BILOUS FONTES DORÉ</t>
  </si>
  <si>
    <t>NAGIB JORGE DA SILVA</t>
  </si>
  <si>
    <t>NANCI CREMA DUARTE SILVA</t>
  </si>
  <si>
    <t>NANCY MARIA MACHADO</t>
  </si>
  <si>
    <t>NARA ANDREA DA COSTA</t>
  </si>
  <si>
    <t>KATIA MARIA MARTINS RIBEIRO</t>
  </si>
  <si>
    <t>KATIA TESTON</t>
  </si>
  <si>
    <t>KATIZE SCHENKEL DO AMARAL E SILVA BEBER</t>
  </si>
  <si>
    <t>KEILA CRISTINA FERREIRA</t>
  </si>
  <si>
    <t>KENIA BARBARA CUNHA E CUNHA</t>
  </si>
  <si>
    <t>KITANIA REGINA MINOTTO</t>
  </si>
  <si>
    <t>KLAUS RODRIGO NUNES RUDOLF</t>
  </si>
  <si>
    <t>KLEBER MUNHOZ DE PAULA</t>
  </si>
  <si>
    <t>KRISTINE KNEIPP PIVA</t>
  </si>
  <si>
    <t>LABIENO JOSE CAVALCANTI</t>
  </si>
  <si>
    <t>LAERCIO DREHMER</t>
  </si>
  <si>
    <t>LAERCIO FLAVIO BONAMIGO</t>
  </si>
  <si>
    <t>LAIS HELENA VIEIRA DA LUZ R. DE OLIVEIRA</t>
  </si>
  <si>
    <t>LAURA DE OLIVEIRA RAEL</t>
  </si>
  <si>
    <t>LAURA MITIKO SATO</t>
  </si>
  <si>
    <t>LAURA REGINA MAIA NOBRE</t>
  </si>
  <si>
    <t>LAUREN REGINA GAVIOLI</t>
  </si>
  <si>
    <t>LAURI DUTRA</t>
  </si>
  <si>
    <t>LAURINA MAAS</t>
  </si>
  <si>
    <t>LAURO HENRIQUE DO AMARAL E SILVA</t>
  </si>
  <si>
    <t>LAURO SIEBERT</t>
  </si>
  <si>
    <t>LAURO STANKIEWICZ</t>
  </si>
  <si>
    <t>LEA COPSTEIN FISCHER SANTOS</t>
  </si>
  <si>
    <t>LEDA LUIZA FERNANDES</t>
  </si>
  <si>
    <t>LEILA APARECIDA CRIPPA ROLIM DA SILVA</t>
  </si>
  <si>
    <t>LEILA HORN VIEIRA CARVALHO</t>
  </si>
  <si>
    <t>LELIS SILVA</t>
  </si>
  <si>
    <t>LENIRA FERREIRA RUIZ</t>
  </si>
  <si>
    <t>LEO ANJO ZABOT</t>
  </si>
  <si>
    <t>TACIANA ROSSETO LINHARES</t>
  </si>
  <si>
    <t>TAILOR TOSETTO JUNIOR</t>
  </si>
  <si>
    <t>TAISA BEGE SALLES</t>
  </si>
  <si>
    <t>TANIA DE SOUZA LIMA</t>
  </si>
  <si>
    <t>TANIA MARIA BIANCHINI DE MELO</t>
  </si>
  <si>
    <t>TANIA MARIA DA CONCEICAO GONCALVES DE ANDRADE</t>
  </si>
  <si>
    <t>TANIA MARIA RANGEL DA SILVA</t>
  </si>
  <si>
    <t>TANIA REGINA BOTELHO BUCH</t>
  </si>
  <si>
    <t>TANIA REGINA KOHLER KLABUNDE</t>
  </si>
  <si>
    <t>TATIANA DE LINHARES JACOBSEN</t>
  </si>
  <si>
    <t>TATIANA SAMPAIO RUSSI</t>
  </si>
  <si>
    <t>JULIANY MARTINS GRAMS</t>
  </si>
  <si>
    <t>LISIANE VIEIRA</t>
  </si>
  <si>
    <t>MICHELE MARI SILVA</t>
  </si>
  <si>
    <t>KLEBER NIENKOETTER CARPES</t>
  </si>
  <si>
    <t>LEANDRO MACHADO FERNANDES</t>
  </si>
  <si>
    <t>MANOEL JORGE E SILVA NETO</t>
  </si>
  <si>
    <t>GIOVANNI ANTONIO PINTO ALVES</t>
  </si>
  <si>
    <t>THEREZA CRISTINA GOSDAL</t>
  </si>
  <si>
    <t>RUTE SOUZA</t>
  </si>
  <si>
    <t>RUTH HICKEL DE CARVALHO</t>
  </si>
  <si>
    <t>RUY AYRES</t>
  </si>
  <si>
    <t>SALETE LUZIA SPAGNOL</t>
  </si>
  <si>
    <t>SALOME SOUSA</t>
  </si>
  <si>
    <t>SALVADOR CELIO TIRLONI</t>
  </si>
  <si>
    <t>SALVADOR FRANCISCO TIRLONI</t>
  </si>
  <si>
    <t>SAMARA AMANTE MORITZ</t>
  </si>
  <si>
    <t>SAMIRA FREYGANG SENDESKI</t>
  </si>
  <si>
    <t>SANDILEUZA MARIA MATOS CARMO</t>
  </si>
  <si>
    <t>SANDRA HELENA SILVA</t>
  </si>
  <si>
    <t>SANDRA HOSANG</t>
  </si>
  <si>
    <t>SANDRA LUCIA WICKERT FLORES</t>
  </si>
  <si>
    <t>CARLOS HENRIQUE BEZERRA LEITE</t>
  </si>
  <si>
    <t>ROBERTO BEVILACQUA OTERO</t>
  </si>
  <si>
    <t>RODOLFO RUEDIGER NETO</t>
  </si>
  <si>
    <t>SIMONE BIANCHINI BARRETO DA COSTA</t>
  </si>
  <si>
    <t>LORENA MACHADO E SILVA</t>
  </si>
  <si>
    <t>MAURO DE AZEVEDO MENEZES</t>
  </si>
  <si>
    <t>LENIO LUIZ STRECK</t>
  </si>
  <si>
    <t>SALETE MARIA POLITA MACCALÓZ</t>
  </si>
  <si>
    <t>CLAUDIA MARIA BARBOSA</t>
  </si>
  <si>
    <t>PEDRO ALBINO VIEIRA VILANDE</t>
  </si>
  <si>
    <t>TELMO CAMILO DE SOUZA</t>
  </si>
  <si>
    <t>TERCIA REGINA ALESSIO CARDOSO</t>
  </si>
  <si>
    <t>TERESA CRISTINA S. THIAGO</t>
  </si>
  <si>
    <t>TERESA REGINA COTOSKY</t>
  </si>
  <si>
    <t>TERESINHA ARGENTE</t>
  </si>
  <si>
    <t>TERESINHA ARNS</t>
  </si>
  <si>
    <t>TEREZINHA BONFANTE</t>
  </si>
  <si>
    <t>TEREZINHA PEREIRA RAMOS</t>
  </si>
  <si>
    <t>TEREZINHA VIEIRA OLIVEIRA</t>
  </si>
  <si>
    <t>THEODORO CARLOS DO LIVRAMENTO DUCKER</t>
  </si>
  <si>
    <t>EZEQUIEL PAULO DA SILVA</t>
  </si>
  <si>
    <t>SERGIO MURILO DOS ANJOS</t>
  </si>
  <si>
    <t>MONICA CORDEIRO DE CARVALHO ROSA</t>
  </si>
  <si>
    <t>CRISTIANO AUGUSTO RAMOS</t>
  </si>
  <si>
    <t>YASKARA FABIANI SANTI</t>
  </si>
  <si>
    <t>ADRIANA MARTOVICZ  BEVILAQUA</t>
  </si>
  <si>
    <t>MAURICIO FERNANDO DUTRA</t>
  </si>
  <si>
    <t>SELMA DENISE DE CARVALHO E CESAR</t>
  </si>
  <si>
    <t>KARINA SERAFIM DAL TOE</t>
  </si>
  <si>
    <t>MABEL CRISTIANE MORAES</t>
  </si>
  <si>
    <t>VERA REGINA LUZ</t>
  </si>
  <si>
    <t>ALEXANDRE DE LEMOS DIAS</t>
  </si>
  <si>
    <t>CARLOS YOSHINOBU UNE</t>
  </si>
  <si>
    <t>MONICA REGINA BUTKENICIUS</t>
  </si>
  <si>
    <t>FABIO DE FREITAS OLIVEIRA</t>
  </si>
  <si>
    <t>ELIZANGELA DA ROSA</t>
  </si>
  <si>
    <t>MARIA ISABEL WOITOWICZ DE ALMEIDA</t>
  </si>
  <si>
    <t>PAULO ANDRE CARDOSO BOTTO JACON</t>
  </si>
  <si>
    <t>EVA MISSAKO YUHARA</t>
  </si>
  <si>
    <t>OSCAR KROST</t>
  </si>
  <si>
    <t>DANIEL LISBOA</t>
  </si>
  <si>
    <t>SABRINA MISAKO SATO</t>
  </si>
  <si>
    <t>MILLENI MAYA PETTENA</t>
  </si>
  <si>
    <t>DENILSON PRESTES GADZINOWSKI</t>
  </si>
  <si>
    <t>GRASIELA MONIKE KNOP</t>
  </si>
  <si>
    <t>LIDIANE MATTANA</t>
  </si>
  <si>
    <t>MARA MUELLER</t>
  </si>
  <si>
    <t>EDUARDO FLORENCIO</t>
  </si>
  <si>
    <t>DANIEL ULISSES ROCHA DE OLIVEIRA</t>
  </si>
  <si>
    <t>HAMILTON STUPP DE MACEDO JUNIOR</t>
  </si>
  <si>
    <t>JORILTON DE SOUZA</t>
  </si>
  <si>
    <t>FABIO ZAPELINI REBELO</t>
  </si>
  <si>
    <t>LETICIA DANIELEWICZ DE SOUSA</t>
  </si>
  <si>
    <t>JEFERSON PEYERL</t>
  </si>
  <si>
    <t>MARIANA ANTUNES DA CRUZ LAUS</t>
  </si>
  <si>
    <t>JULIANA MARTINS BARBOSA</t>
  </si>
  <si>
    <t>GUILHERME CESAR RIBEIRO</t>
  </si>
  <si>
    <t>EDUARDO RITTER MOLARINHO</t>
  </si>
  <si>
    <t>ANDRE LUIZ ORTMANN</t>
  </si>
  <si>
    <t>CAMILA PIRES MARCIANO</t>
  </si>
  <si>
    <t>MARIANA CASAGRANDA</t>
  </si>
  <si>
    <t>LEONARDO RODRIGUES ITACARAMBY BESSA</t>
  </si>
  <si>
    <t>JEAN CARLO PRIAMO</t>
  </si>
  <si>
    <t>JEANE MARI BRANDT</t>
  </si>
  <si>
    <t>JEANINE GODOY ILHA</t>
  </si>
  <si>
    <t>JEFFERSON NERI CORBARI</t>
  </si>
  <si>
    <t>JOANITA DIEGOLI</t>
  </si>
  <si>
    <t>JOAO ACACIO DA SILVA</t>
  </si>
  <si>
    <t>JOAO BATISTA GONCALVES</t>
  </si>
  <si>
    <t>JOAO BATISTA LINHARES</t>
  </si>
  <si>
    <t>JOAO BATISTA RAIMUNDO</t>
  </si>
  <si>
    <t>JOAO BATISTA SCHNEIDER</t>
  </si>
  <si>
    <t>JOAO BATISTA TOPANOTTI</t>
  </si>
  <si>
    <t>JOAO BOSCO RODRIGUES</t>
  </si>
  <si>
    <t>JOAO CARLOS GODOY ILHA</t>
  </si>
  <si>
    <t>JOAO CARLOS LOTTIN JUNG</t>
  </si>
  <si>
    <t>JOAO DA CRUZ RAMOS FILHO</t>
  </si>
  <si>
    <t>JOAO DA SILVA DE OLIVEIRA</t>
  </si>
  <si>
    <t>JOAO DELLA JACOMO</t>
  </si>
  <si>
    <t>JOAO EMIDIO CAPELLA</t>
  </si>
  <si>
    <t>JOAO GOMES DA SILVA FILHO</t>
  </si>
  <si>
    <t>JOAO GUILHERME SPRING</t>
  </si>
  <si>
    <t>JOAO HENRIQUE DE SOUZA</t>
  </si>
  <si>
    <t>JOAO JOSE ALMEIDA DOS SANTOS</t>
  </si>
  <si>
    <t>LILIAN CORDEIRO DO AMARAL</t>
  </si>
  <si>
    <t>LILIAN MARIA ALMEIDA GRANZOTTO</t>
  </si>
  <si>
    <t>LILIAN MARIA LEAL WITTE</t>
  </si>
  <si>
    <t>LILIANA REMOR BARRETO</t>
  </si>
  <si>
    <t>LILIANE BIANCHINI HERTEL</t>
  </si>
  <si>
    <t>LILIANE LEITE DESTRI</t>
  </si>
  <si>
    <t>LILIANE TOLDO CUNHA OLDRA</t>
  </si>
  <si>
    <t>LINO DA PENHA ARAUJO</t>
  </si>
  <si>
    <t>LINO SERGIO MELATI</t>
  </si>
  <si>
    <t>LIRIO ROSA</t>
  </si>
  <si>
    <t>LISEANE NAIR PAUL TREBIEN</t>
  </si>
  <si>
    <t>LISETE MATTE GÜNTZEL</t>
  </si>
  <si>
    <t>LISIANNE CARNEIRO CRIPPA</t>
  </si>
  <si>
    <t>LITANIA MARIA BALLEN FACHINELLO</t>
  </si>
  <si>
    <t>LIVIA BURLANI</t>
  </si>
  <si>
    <t>LIZETE MADALOSSO</t>
  </si>
  <si>
    <t>LORENA CASTRO SCHMITT CARDOSO</t>
  </si>
  <si>
    <t>LORENA MONTAGNA DA FONSECA</t>
  </si>
  <si>
    <t>LOURDES DREYER</t>
  </si>
  <si>
    <t>LOURDES MARTINS WEBER</t>
  </si>
  <si>
    <t>LOURETE CATARINA DUTRA</t>
  </si>
  <si>
    <t>LOVAINA PINTO DE LOURENCO LONDERO</t>
  </si>
  <si>
    <t>LUCELY LOPES DE CARVALHO SILVA</t>
  </si>
  <si>
    <t>LUCIA DAL´ACQUA</t>
  </si>
  <si>
    <t>LUCIA MARIA ANDRADE DE OLIVEIRA</t>
  </si>
  <si>
    <t>ZENAIDE DOS SANTOS DE CARLI</t>
  </si>
  <si>
    <t>MARIA APARECIDA CAITANO</t>
  </si>
  <si>
    <t>MARIA APARECIDA CAVALCANTI PHILIPPI</t>
  </si>
  <si>
    <t>MARIA APARECIDA FERRARI</t>
  </si>
  <si>
    <t>MARIA APARECIDA FERREIRA JERONIMO</t>
  </si>
  <si>
    <t>MARIA APARECIDA GOBBI ADAMCZUK</t>
  </si>
  <si>
    <t>MARIA APARECIDA VAZ</t>
  </si>
  <si>
    <t>MARIA AUREA LISBOA</t>
  </si>
  <si>
    <t>MARIA BEATRIZ BOABAID DOS REIS SPADA</t>
  </si>
  <si>
    <t>MARIA BEATRIZ VIEIRA DA SILVA GUBERT</t>
  </si>
  <si>
    <t>ERNESTO JOSE TOMAZEL</t>
  </si>
  <si>
    <t>TANIA ALVES CASTRO</t>
  </si>
  <si>
    <t>MARCELA ARALDI PINTARELLI</t>
  </si>
  <si>
    <t>ROBSON JOSE DUARTE</t>
  </si>
  <si>
    <t>RAFAEL SANDIN KNABBEN</t>
  </si>
  <si>
    <t>SAIONARA PACHECO BATISTA</t>
  </si>
  <si>
    <t>TAISE MARQUES TEIXEIRA</t>
  </si>
  <si>
    <t>GUNTER WORM</t>
  </si>
  <si>
    <t>CLAUDIA MICHELE BATISTA</t>
  </si>
  <si>
    <t>VALDIR COLAUTO RODRIGUES JUNIOR</t>
  </si>
  <si>
    <t>THAIS AMANDA PEREIRA PADUA</t>
  </si>
  <si>
    <t>CLOVES LEITE</t>
  </si>
  <si>
    <t>ARIADNE CLARISSA KLEIN</t>
  </si>
  <si>
    <t>RICARDO PHILIPE DOS SANTOS</t>
  </si>
  <si>
    <t>DIRCE YOSHIZUMI</t>
  </si>
  <si>
    <t>ELENICE DOS PASSOS RAMOS LEÃO</t>
  </si>
  <si>
    <t>CRISTIANE CAMPIOLO ALMEIDA</t>
  </si>
  <si>
    <t>DEBORA BARBOSA FELIPINI PEIXOTO</t>
  </si>
  <si>
    <t>ADRIANO YASSUO FREITAS</t>
  </si>
  <si>
    <t>LUCIANE MARIA CAMPESATTO</t>
  </si>
  <si>
    <t>MARCOS FERREIRA SILVEIRA</t>
  </si>
  <si>
    <t>LAURA CRISTINA MARQUES</t>
  </si>
  <si>
    <t>ROSANA SADDOCK DE SA</t>
  </si>
  <si>
    <t>WANDRESSA FERNANDES</t>
  </si>
  <si>
    <t>LAURA BITTAR</t>
  </si>
  <si>
    <t>LUCIANA LOPES FONTANA</t>
  </si>
  <si>
    <t>MARIANA ROETGER MADEIRA</t>
  </si>
  <si>
    <t>RENATA DE FIGUEIROA FREITAS</t>
  </si>
  <si>
    <t>ROGERIO MARTINS DE PAULA</t>
  </si>
  <si>
    <t>KAMILLA MARIA FELIPPE DE MACEDO</t>
  </si>
  <si>
    <t>WAGNER BENICIO DE ABREU</t>
  </si>
  <si>
    <t>MARIA BETANIA SILVEIRA</t>
  </si>
  <si>
    <t>LUIZ ROBERTO LACERDA DOS SANTOS FILHO</t>
  </si>
  <si>
    <t>CAMILA TORRAO BRITTO</t>
  </si>
  <si>
    <t>FABIO ALESSANDRO PALAGANO FRANCISCO</t>
  </si>
  <si>
    <t>VALERIA VIRGILIO SAVIO</t>
  </si>
  <si>
    <t>JULIANA CRISTINA BALBO</t>
  </si>
  <si>
    <t>RENATO DE OLIVEIRA MARTINEZ</t>
  </si>
  <si>
    <t>NARA JANE TELES PEREIRA</t>
  </si>
  <si>
    <t>NARBAL ANTÔNIO MENDONÇA FILETI</t>
  </si>
  <si>
    <t>NARCISO GONÇALVES</t>
  </si>
  <si>
    <t>NATALE ANGELO BELOTTI</t>
  </si>
  <si>
    <t>NATALICIO ADELINO CORDEIRO</t>
  </si>
  <si>
    <t>NAZARENO MARTINS</t>
  </si>
  <si>
    <t>NEDI LONGHI</t>
  </si>
  <si>
    <t>NEI LUIZ GONZAGA FILHO</t>
  </si>
  <si>
    <t>NEIDE YOCHIE HOATSU</t>
  </si>
  <si>
    <t>NEILA AVILA DE SOUZA</t>
  </si>
  <si>
    <t>NELCI DEPIN</t>
  </si>
  <si>
    <t>NELSON FERREIRA LIMA</t>
  </si>
  <si>
    <t>NELSON HAMILTON LEIRIA</t>
  </si>
  <si>
    <t>NELSON JOSE PEHNK</t>
  </si>
  <si>
    <t>NELSON LUIZ NAPP</t>
  </si>
  <si>
    <t>NELSON SIDNEY DA COSTA</t>
  </si>
  <si>
    <t>NELVIO ANGELO BURATI FILHO</t>
  </si>
  <si>
    <t>NELZA MARLENE CARDOSO</t>
  </si>
  <si>
    <t>NELZELI MOREIRA DA SILVA LOPES</t>
  </si>
  <si>
    <t>NERIO MENDES DA ROSA</t>
  </si>
  <si>
    <t>NESIO PALLA</t>
  </si>
  <si>
    <t>NESTOR FURLAN</t>
  </si>
  <si>
    <t>NEURA MARIA CORREA COSTA ANTUNES</t>
  </si>
  <si>
    <t>NEUSA FABRIS DA LUZ</t>
  </si>
  <si>
    <t>NEUSA MARIA CHAVES</t>
  </si>
  <si>
    <t>NEUSA MARIA LIEDTKE</t>
  </si>
  <si>
    <t>NEUSA SCREMIN SILVA</t>
  </si>
  <si>
    <t>NEUSA TERESINHA ANJOS MALLON</t>
  </si>
  <si>
    <t>NEUZA FATIMA DO SANTO</t>
  </si>
  <si>
    <t>FABIO BILESSIMO</t>
  </si>
  <si>
    <t>FABIO GIL BEAL</t>
  </si>
  <si>
    <t>FABIO LUIZ RIBEIRO</t>
  </si>
  <si>
    <t>FAUSTO SIMAO SALCES</t>
  </si>
  <si>
    <t>FELIPE ARTHUR WINTER</t>
  </si>
  <si>
    <t>FELIPE BALSINI GHISI</t>
  </si>
  <si>
    <t>FELIPE JOAO DE SOUZA</t>
  </si>
  <si>
    <t>FELIPE OALACE DE ABREU</t>
  </si>
  <si>
    <t>FELIX ANTONIO DALMUTT</t>
  </si>
  <si>
    <t>FERNANDA GOMES FERREIRA</t>
  </si>
  <si>
    <t>ZENITA CALDAS SANTOS SADA</t>
  </si>
  <si>
    <t>ZENOBRE COSTA SIQUEIRA</t>
  </si>
  <si>
    <t>ZILDA MARIA DO LIVRAMENTO DUCKER</t>
  </si>
  <si>
    <t>ZILMOR LIMA DE OLIVEIRA FILHO</t>
  </si>
  <si>
    <t>ZILTO LUIZ VELOSO</t>
  </si>
  <si>
    <t>ZOE DALVA DA SILVA</t>
  </si>
  <si>
    <t>ZULCEMA POVOAS CARNEIRO</t>
  </si>
  <si>
    <t>VANESSA FAGUNDES DE AZEVEDO</t>
  </si>
  <si>
    <t>LUCIANO PASCHOETO</t>
  </si>
  <si>
    <t>MARCOS VINICIO ZANCHETTA</t>
  </si>
  <si>
    <t>TAIS DE ANDRADE FERREIRA</t>
  </si>
  <si>
    <t>VIVIANE COLUCCI</t>
  </si>
  <si>
    <t>ROSELY AICHENBLAT ZEITOUNE</t>
  </si>
  <si>
    <t>LUIZ FERNANDO DE ANDRADE BLANCO</t>
  </si>
  <si>
    <t>ANA CRISTINA LEITE</t>
  </si>
  <si>
    <t>ANGELA TOSETO CARBONERA</t>
  </si>
  <si>
    <t>CARLOS EDUARDO MAZZI</t>
  </si>
  <si>
    <t>ALEX CRISTIANO GRAMKOW HAMMES</t>
  </si>
  <si>
    <t>ALEXANDRE STRELOW FAGUNDES</t>
  </si>
  <si>
    <t>SANDRO VIEIRA DE PAULA</t>
  </si>
  <si>
    <t>MARCIO CESAR JACINTO</t>
  </si>
  <si>
    <t>ADILSON LEANDRO GONÇALVES</t>
  </si>
  <si>
    <t>ALEXANDRE LUCKNER GOULART</t>
  </si>
  <si>
    <t>ALESSANDRO GONÇALVES VIERES</t>
  </si>
  <si>
    <t>LEONARDO VIEIRA WANDELLI</t>
  </si>
  <si>
    <t>EDEMAR LUIZ MALESKI</t>
  </si>
  <si>
    <t>EDER BRAULIO LEONE</t>
  </si>
  <si>
    <t>EDERSON CARVALHO DE SOUZA</t>
  </si>
  <si>
    <t>EDILENE PEIXOTO DE SOUZA</t>
  </si>
  <si>
    <t>KATIA REGINA BERTI LÓPES</t>
  </si>
  <si>
    <t>CAMILLE GHEDIN HALISKI</t>
  </si>
  <si>
    <t>KAROLINE DA CUNHA VIEIRA</t>
  </si>
  <si>
    <t>JESSE CENCI</t>
  </si>
  <si>
    <t>JAIRO GOMES DE MELLO</t>
  </si>
  <si>
    <t>REGINALDO MESSAGGI</t>
  </si>
  <si>
    <t>NAZIMIR SALIM</t>
  </si>
  <si>
    <t>VIVIANI SILVA</t>
  </si>
  <si>
    <t>EDUARDO NASCIMENTO SANTIAGO</t>
  </si>
  <si>
    <t>CLAUDIA CESAR LAURIA</t>
  </si>
  <si>
    <t>CELIO FAUSTINO DA MOTA</t>
  </si>
  <si>
    <t>ARNALDO RIBEIRO PEREIRA JUNIOR</t>
  </si>
  <si>
    <t>KELLY REINERT DE SOUZA</t>
  </si>
  <si>
    <t>GERCINO BRUSQUE</t>
  </si>
  <si>
    <t>GERCINO EVARISTO</t>
  </si>
  <si>
    <t>GERMANO DEI SVALDI ROSSETTO</t>
  </si>
  <si>
    <t>GERMANO FRANCISCO ROSA</t>
  </si>
  <si>
    <t>GERSON HENRIQUE FRANCO DE MACEDO</t>
  </si>
  <si>
    <t>GERSON PAULO TABOADA CONRADO</t>
  </si>
  <si>
    <t>GIANINI BRATTI GOULART</t>
  </si>
  <si>
    <t>GICELDA MARIA DA SILVEIRA</t>
  </si>
  <si>
    <t>GILBERTO CARLOS DE SOUZA NETO</t>
  </si>
  <si>
    <t>GILBERTO D'AVILA RUFINO JUNIOR</t>
  </si>
  <si>
    <t>GILBERTO GUMBOSKI</t>
  </si>
  <si>
    <t>GILBERTO JOSE SCHNEIDER</t>
  </si>
  <si>
    <t>GILBERTO LIVRAMENTO</t>
  </si>
  <si>
    <t>GILBERTO MARTINS DOS SANTOS</t>
  </si>
  <si>
    <t>GILBERTO MENDES MACCARI</t>
  </si>
  <si>
    <t>GILBERTO ZACCHI</t>
  </si>
  <si>
    <t>GILCIONE AMARAL MADRUGA</t>
  </si>
  <si>
    <t>GILDA CARISSIMI COSTA</t>
  </si>
  <si>
    <t>GILDO FERREIRA</t>
  </si>
  <si>
    <t>GILMAR CAVALHERI</t>
  </si>
  <si>
    <t>GILMAR EDILSON VIEIRA</t>
  </si>
  <si>
    <t>GILMAR GIRARDI</t>
  </si>
  <si>
    <t>GILSON CORREIA</t>
  </si>
  <si>
    <t>GILSON JOAO WELTER</t>
  </si>
  <si>
    <t>GIOVANNI OLSSON</t>
  </si>
  <si>
    <t>GISELE FILIPPETTO</t>
  </si>
  <si>
    <t>GISELE HAZAN</t>
  </si>
  <si>
    <t>GISELE PEREIRA ALEXANDRINO</t>
  </si>
  <si>
    <t>GISELLE SCHMEIDER KRAEMER</t>
  </si>
  <si>
    <t>GIZELE PANDINO DE CARVALHO MACHADO</t>
  </si>
  <si>
    <t>GLADIS ELVIRA MOMM</t>
  </si>
  <si>
    <t>GLEIZI ERNST KIELLING</t>
  </si>
  <si>
    <t>GLORIA MARIA ROVEDA MIRANDA</t>
  </si>
  <si>
    <t>GRACE MARIA ROSSI KEUNECKE</t>
  </si>
  <si>
    <t>GRACIO RICARDO BARBOZA PETRONE</t>
  </si>
  <si>
    <t>GUENTHER OSTE</t>
  </si>
  <si>
    <t>GUIDO MANNES</t>
  </si>
  <si>
    <t>GUNTHER TIMM</t>
  </si>
  <si>
    <t>GUSTAVO ADOLFO LANDERDAHL</t>
  </si>
  <si>
    <t>GUSTAVO BESTETTI IBARRA</t>
  </si>
  <si>
    <t>GUSTAVO RAFAEL MENEGAZZI</t>
  </si>
  <si>
    <t>GUSTAVO RAMOS KIST</t>
  </si>
  <si>
    <t>FERNANDA SILVA DESTRI</t>
  </si>
  <si>
    <t>FERNANDO BAPTISTA FRAGOSO</t>
  </si>
  <si>
    <t>FERNANDO BITTENCOURT</t>
  </si>
  <si>
    <t>FERNANDO CESAR GOMES MACHADO</t>
  </si>
  <si>
    <t>FERNANDO DOS SANTOS MARIANO</t>
  </si>
  <si>
    <t>FERNANDO FERREIRA MORAES</t>
  </si>
  <si>
    <t>FERNANDO JOSE DINIZ CABRAL</t>
  </si>
  <si>
    <t>FERNANDO LUIZ DE SOUZA ERZINGER</t>
  </si>
  <si>
    <t>FERNANDO LUIZ PINHEIRO GUIMARAES</t>
  </si>
  <si>
    <t>FERNANDO OLIVEIRA SOUZA</t>
  </si>
  <si>
    <t>FLAMARION DE BONA SARTOR</t>
  </si>
  <si>
    <t>THEOMARIS PINTO RICHTER</t>
  </si>
  <si>
    <t>THEREZA MARIA DE OLIVEIRA DUTRA</t>
  </si>
  <si>
    <t>THESSA MARITZA PEHNK MAFFEZZOLLI</t>
  </si>
  <si>
    <t>UBIRATAN ALBERTO PEREIRA</t>
  </si>
  <si>
    <t>UMBERTO GRILLO</t>
  </si>
  <si>
    <t>VALCELI SOUZA DE AZEVEDO</t>
  </si>
  <si>
    <t>VALDA GERVASI</t>
  </si>
  <si>
    <t>VALDENIR MARCONDES</t>
  </si>
  <si>
    <t>VALDINEI VALDIR NUNES</t>
  </si>
  <si>
    <t>VALDIR JOSE DAMIANO LENZI</t>
  </si>
  <si>
    <t>VALDIR LACERDA</t>
  </si>
  <si>
    <t>VALDIR LUIZ DA CUNHA</t>
  </si>
  <si>
    <t>VALDIRENE MARQUES SCARPATTO</t>
  </si>
  <si>
    <t>VALDO VOLTOLINI</t>
  </si>
  <si>
    <t>VALDOMIRO RAMOS</t>
  </si>
  <si>
    <t>VALESIA ANA CRISPIM</t>
  </si>
  <si>
    <t>VALESKA DOMINGUES</t>
  </si>
  <si>
    <t>VALFREDO LEMOS</t>
  </si>
  <si>
    <t>VALMIR MARGOTTI DE MEDEIROS</t>
  </si>
  <si>
    <t>VALMIR PERES</t>
  </si>
  <si>
    <t>VALMIRA ROCHA DA SILVA</t>
  </si>
  <si>
    <t>VALMOR MROTSKOSKI MADEIRA</t>
  </si>
  <si>
    <t>VALTER ADALGISIO DA SILVA</t>
  </si>
  <si>
    <t>VALTER ALBERTO NITZ</t>
  </si>
  <si>
    <t>VALTER JOAO DA ROCHA</t>
  </si>
  <si>
    <t>VALTER TULIO AMADO RIBEIRO</t>
  </si>
  <si>
    <t>VANDA TERESA TIEFENSSE</t>
  </si>
  <si>
    <t>VANDERLEI LUIZ RICKEN</t>
  </si>
  <si>
    <t>VANDETE PAESE COMASSETTO</t>
  </si>
  <si>
    <t>VANESSA GESSER DE MIRANDA</t>
  </si>
  <si>
    <t>VANESSA SIMON</t>
  </si>
  <si>
    <t>VANIA MARGARET ROESE MORTARI</t>
  </si>
  <si>
    <t>DALMO DE ABREU DALLARI</t>
  </si>
  <si>
    <t>EDILSON ZILTO FORTE</t>
  </si>
  <si>
    <t>EDIMAR ARNOLDO RADTKE</t>
  </si>
  <si>
    <t>EDINETE VOLPATO DUTRA DE SOUZA</t>
  </si>
  <si>
    <t>EDINIR PEREIRA</t>
  </si>
  <si>
    <t>EDIO JOAO MARTINI</t>
  </si>
  <si>
    <t>EDISON MARCUS SALLES</t>
  </si>
  <si>
    <t>EDISON WILMAR RIBEIRO</t>
  </si>
  <si>
    <t>EDITE ANA TOMAZ</t>
  </si>
  <si>
    <t>EDITE DO AMARAL</t>
  </si>
  <si>
    <t>EDNA REJANE ZANETTE LAURINDO</t>
  </si>
  <si>
    <t>EDNA RODRIGUES VALENTE</t>
  </si>
  <si>
    <t>EDSON BECKER DE AQUINO</t>
  </si>
  <si>
    <t>EDSON DE AMORIM</t>
  </si>
  <si>
    <t>EDSON DE MEIRELES</t>
  </si>
  <si>
    <t>EDSON LUIZ BALESTRIN</t>
  </si>
  <si>
    <t>EDSON LUIZ MESADRI</t>
  </si>
  <si>
    <t>EDSON MEINERZ</t>
  </si>
  <si>
    <t>EDSON MENDES DE OLIVEIRA</t>
  </si>
  <si>
    <t>EDSON NAZARIO</t>
  </si>
  <si>
    <t>EDSON OZORIO REBELLO</t>
  </si>
  <si>
    <t>EDUARDO DE MIRANDA RIBEIRO QUINTIERE</t>
  </si>
  <si>
    <t>EDUARDO DUTRA BARRETO</t>
  </si>
  <si>
    <t>EDUARDO MATIEWICZ</t>
  </si>
  <si>
    <t>EDUARDO MEINEL BOEHME</t>
  </si>
  <si>
    <t>EDUARDO MUSSI DIETRICH</t>
  </si>
  <si>
    <t>EDUARDO NUNES</t>
  </si>
  <si>
    <t>JOAO LUIZ DE FREITAS COUTINHO</t>
  </si>
  <si>
    <t>JOAO MANOEL SCHMEIDER</t>
  </si>
  <si>
    <t>JOAO NORBERTO COELHO NETO</t>
  </si>
  <si>
    <t>JOAO PAULO SVENTNICKAS</t>
  </si>
  <si>
    <t>JOAQUIM ANTONIO MATOS DA SILVA</t>
  </si>
  <si>
    <t>JOAQUIM CARDOSO DE OLIVEIRA</t>
  </si>
  <si>
    <t>JOAQUIM DE ASSIS SANTANA</t>
  </si>
  <si>
    <t>JOAQUINA MATTOS ROSA</t>
  </si>
  <si>
    <t>JOASIR BENEDITO SABINO</t>
  </si>
  <si>
    <t>JOEL RODRIGUES LOPES</t>
  </si>
  <si>
    <t>JOICE APARECIDA DOS SANTOS KREISS</t>
  </si>
  <si>
    <t>JOICE MARIA AGNE MAY</t>
  </si>
  <si>
    <t>JOILEN BRUGGEMANN BUNN</t>
  </si>
  <si>
    <t>JOIR FONSECA DE MORAES</t>
  </si>
  <si>
    <t>JOMARA LAGO BRASIL</t>
  </si>
  <si>
    <t>JONAS ARTUR DO NASCIMENTO</t>
  </si>
  <si>
    <t>JONAS MEDEIROS</t>
  </si>
  <si>
    <t>JONY CARLO POETA</t>
  </si>
  <si>
    <t>JORGE CARVALHO</t>
  </si>
  <si>
    <t>JORGE EDUARDO RAMALHO DE ULHOA CINTRA</t>
  </si>
  <si>
    <t>JORGE GRIMM</t>
  </si>
  <si>
    <t>JORGE LACERDA</t>
  </si>
  <si>
    <t>JORGE LUIZ AVILA ROSA OLIVEIRA</t>
  </si>
  <si>
    <t>JORGE LUIZ DA SILVEIRA</t>
  </si>
  <si>
    <t>JORGE LUIZ DE MEDEIROS RODRIGUES</t>
  </si>
  <si>
    <t>HAMILTON FIRMINIO MARTINS</t>
  </si>
  <si>
    <t>PATRICIA TRANCOSO DA SILVA DISARO</t>
  </si>
  <si>
    <t>PATRICIA WEHMUTH</t>
  </si>
  <si>
    <t>PAULA SUELY MOMM</t>
  </si>
  <si>
    <t>PAULO ALOIZIO CAMPANI</t>
  </si>
  <si>
    <t>PAULO CESAR DIAS</t>
  </si>
  <si>
    <t>PAULO CESAR RODRIGUES COSTA</t>
  </si>
  <si>
    <t>PAULO CIRIACO WOHLKE</t>
  </si>
  <si>
    <t>PAULO DE MORAIS RODRIGUES</t>
  </si>
  <si>
    <t>PAULO DONNER DA SILVEIRA</t>
  </si>
  <si>
    <t>PAULO FERNANDO VIEIRA DOS PRAZERES</t>
  </si>
  <si>
    <t>CLÁUDIO JOSÉ PINHEIRO</t>
  </si>
  <si>
    <t>LUIZ HENRIQUE URQUHART CADEMARTORI</t>
  </si>
  <si>
    <t>AGEU RAUPP</t>
  </si>
  <si>
    <t>AGUEDA MARIA LAVORATO PEREIRA</t>
  </si>
  <si>
    <t>AIRES ARNOLDO LAURINDO</t>
  </si>
  <si>
    <t>AIRTON BORGES DUARTE</t>
  </si>
  <si>
    <t>ANDRE FELIPE GOMMA DE AZEVEDO</t>
  </si>
  <si>
    <t>LAURA BITTENCOURT HINZ</t>
  </si>
  <si>
    <t>CELANIRA STRZALKOWSKI KNISS</t>
  </si>
  <si>
    <t>CELI DE FATIMA CORDOVA</t>
  </si>
  <si>
    <t>CELIA APARECIDA BAPTISTEL OLIVEIRA</t>
  </si>
  <si>
    <t>CELMA REGINA DA SILVA</t>
  </si>
  <si>
    <t>CELSO AFONSO PALHARES MADRID</t>
  </si>
  <si>
    <t>CELSO CHAVES</t>
  </si>
  <si>
    <t>CELSO EDMAR GRANDO COLETTI</t>
  </si>
  <si>
    <t>CELSO JOSE CARDOSO</t>
  </si>
  <si>
    <t>CELSO LAURENTINO</t>
  </si>
  <si>
    <t>CESAR AUGUSTO BEDIN</t>
  </si>
  <si>
    <t>CESAR AUGUSTO DONEDA CASTRAVECHI</t>
  </si>
  <si>
    <t>CESAR AUGUSTO WEBER PEREIRA</t>
  </si>
  <si>
    <t>CESAR CORREIA</t>
  </si>
  <si>
    <t>CESAR MURILO BARBI</t>
  </si>
  <si>
    <t>CESAR PEREIRA BAIXO</t>
  </si>
  <si>
    <t>CEZAR MAURICIO FERREIRA</t>
  </si>
  <si>
    <t>CEZAR QUADROS DE OLIVEIRA</t>
  </si>
  <si>
    <t>CHARLES BASCHIROTTO FELISBINO</t>
  </si>
  <si>
    <t>CHRISTIAN ALEXANDRE</t>
  </si>
  <si>
    <t>CHRISTIANE ALVES KRAUSS</t>
  </si>
  <si>
    <t>CHRISTIANE REIS ODEBRECHT</t>
  </si>
  <si>
    <t>CICERO JOAO TIRLONI</t>
  </si>
  <si>
    <t>CINTHIA BORGES SCHWARTZMANN</t>
  </si>
  <si>
    <t>CINTIA AUGUSTO DA SILVA</t>
  </si>
  <si>
    <t>CIRLENE NEUMANN</t>
  </si>
  <si>
    <t>CIRO DONEDA CASTRAVECHI</t>
  </si>
  <si>
    <t>SANDRA MARA DA SILVA</t>
  </si>
  <si>
    <t>SANDRA MARA DE LIMA PORTO</t>
  </si>
  <si>
    <t>SANDRA MARA PEREIRA</t>
  </si>
  <si>
    <t>SANDRA MARCIA WAMBIER</t>
  </si>
  <si>
    <t>SANDRA MARIA CARDOSO LORENZI DA SILVA</t>
  </si>
  <si>
    <t>SANDRA MARIA SESTREM</t>
  </si>
  <si>
    <t>SANDRA SILVA COLLIER DA ROCHA</t>
  </si>
  <si>
    <t>SANDRA YARA TUBINO LAITANO</t>
  </si>
  <si>
    <t>SANDRO BELTRAME</t>
  </si>
  <si>
    <t>SANDRO BITTENCOURT</t>
  </si>
  <si>
    <t>SANDRO TOSETO CARBONERA</t>
  </si>
  <si>
    <t>SANTO OENNING</t>
  </si>
  <si>
    <t>SAULO ISAIAS MARTINS</t>
  </si>
  <si>
    <t>SAULO VENCESLAU NUNES</t>
  </si>
  <si>
    <t>SCHIRLEY TERESINHA SANTOS</t>
  </si>
  <si>
    <t>SEBASTIAO MARCOS MOTA BORBA</t>
  </si>
  <si>
    <t>SEBASTIAO PEREIRA ALVES</t>
  </si>
  <si>
    <t>SEBASTIAO TAVARES PEREIRA</t>
  </si>
  <si>
    <t>SEDOLINA DE PIERI DE OLIVEIRA</t>
  </si>
  <si>
    <t>SERGIO CAETANO GANZER</t>
  </si>
  <si>
    <t>SERGIO DA SILVA REIS</t>
  </si>
  <si>
    <t>ANGELA MARIA KONRATH</t>
  </si>
  <si>
    <t>ANGELIS GODOY COSTA BERARDINELLI</t>
  </si>
  <si>
    <t>ANILCE MARIA STEFANELLO DE SOUZA</t>
  </si>
  <si>
    <t>ANISIO EVARISTO DE SOUZA FILHO</t>
  </si>
  <si>
    <t>ANISIO MARTINS</t>
  </si>
  <si>
    <t>ANITA ELVIRA FARIAS DA SILVA</t>
  </si>
  <si>
    <t>ANNELIESE FREYGANG</t>
  </si>
  <si>
    <t>ANNELIZE BECKHAUSER MALLON</t>
  </si>
  <si>
    <t>ANSELMO MALAGOLI</t>
  </si>
  <si>
    <t>ANSELMO RAIMUNDO</t>
  </si>
  <si>
    <t>ANTONIO BATTISTELLA</t>
  </si>
  <si>
    <t>ANTONIO CARLOS FACIOLI CHEDID</t>
  </si>
  <si>
    <t>ANTONIO CELIO RAITZ DE LIMA</t>
  </si>
  <si>
    <t>ANTONIO CERVI</t>
  </si>
  <si>
    <t>ANTONIO CEZAR LOPES</t>
  </si>
  <si>
    <t>ANTONIO DA SILVA</t>
  </si>
  <si>
    <t>ANTONIO DOMINGOS DE SOUZA</t>
  </si>
  <si>
    <t>ANTONIO FERNANDO DE VASCONCELOS</t>
  </si>
  <si>
    <t>ANTONIO JUSTINO DE ARAUJO</t>
  </si>
  <si>
    <t>ANTONIO KNAUBER SOBRINHO</t>
  </si>
  <si>
    <t>ANTONIO LUCIANO BARBOSA</t>
  </si>
  <si>
    <t>ANTONIO LUIZ FELIX MATHIAS</t>
  </si>
  <si>
    <t>ANTONIO MANOEL DA SILVA</t>
  </si>
  <si>
    <t>ANTONIO MARCOS DA SILVA MELO</t>
  </si>
  <si>
    <t>JOÃO BATISTA LAZZARI</t>
  </si>
  <si>
    <t>EDILTON MEIRELES DE OLIVEIRA SANTOS</t>
  </si>
  <si>
    <t>ANTÔNIO CARLOS DE FREITAS NORONHA</t>
  </si>
  <si>
    <t>SERGIO BAROUKH</t>
  </si>
  <si>
    <t>MAURICIO DA SILVA AZEVEDO</t>
  </si>
  <si>
    <t>CLÁUDIA MARA TODOROV</t>
  </si>
  <si>
    <t>LUÍS ANTÔNIO FELIPPE</t>
  </si>
  <si>
    <t>YARA PARANÁ SANCHES</t>
  </si>
  <si>
    <t>NORTON JORGE JOSE</t>
  </si>
  <si>
    <t>ANA MARIA RODRIGUES BARATA</t>
  </si>
  <si>
    <t>ALESSANDRO JOSÉ DA SILVA RIBEIRO</t>
  </si>
  <si>
    <t>CLACI CARVALHO SALLES</t>
  </si>
  <si>
    <t>CLAIDES AURIA SEHN COLLA</t>
  </si>
  <si>
    <t>CLAIRTON SILVEIRA CATHCART</t>
  </si>
  <si>
    <t>CLARA HACK</t>
  </si>
  <si>
    <t>CLARICE GONTOW</t>
  </si>
  <si>
    <t>CLARINDA PASQUALI MORETTI</t>
  </si>
  <si>
    <t>CLARISSA WEBER GALLO</t>
  </si>
  <si>
    <t>CLAUDEMIR FRANCISCO NIENKOETTER</t>
  </si>
  <si>
    <t>CLAUDETE CARDOSO</t>
  </si>
  <si>
    <t>CLAUDETE MARIA BOEHM</t>
  </si>
  <si>
    <t>CLAUDIA GOMES DE ALBUQUERQUE</t>
  </si>
  <si>
    <t>CLAUDIA LEBARBENCHON</t>
  </si>
  <si>
    <t>FLAVIANA FARIAS DE ARAUJO</t>
  </si>
  <si>
    <t>FLAVIO EFFTING</t>
  </si>
  <si>
    <t>FLAVIO GODIM DE OLIVEIRA</t>
  </si>
  <si>
    <t>FLAVIO KRETZER</t>
  </si>
  <si>
    <t>FLAVIO ROBERTO SALVADOR</t>
  </si>
  <si>
    <t>FLAVIO THEODORO DAUNER</t>
  </si>
  <si>
    <t>FLORENTINA LUIZA BOAVENTURA BASTOS</t>
  </si>
  <si>
    <t>FRANCISCO AFONSO ROSA</t>
  </si>
  <si>
    <t>FRANCISCO DE ASSIS BARBOSA</t>
  </si>
  <si>
    <t>FRANCISCO DE SOUZA JUNIOR</t>
  </si>
  <si>
    <t>FRANCISCO FERNANDO FUCK</t>
  </si>
  <si>
    <t>FRANCISCO GOLIN FACCIO</t>
  </si>
  <si>
    <t>FRANCISCO JOSE LARANJEIRA</t>
  </si>
  <si>
    <t>FRANCISCO JOSE SCHRAMM JUNIOR</t>
  </si>
  <si>
    <t>FRANCISCO VOLPATO DE SOUZA</t>
  </si>
  <si>
    <t>FREDERICO AGUIAR DOS SANTOS</t>
  </si>
  <si>
    <t>FREDERICO EDUARDO KILIAN</t>
  </si>
  <si>
    <t>FREDERICO WOLFGANG PEPLAU</t>
  </si>
  <si>
    <t>GABRIEL EUDALICIO PERES</t>
  </si>
  <si>
    <t>GABRIEL GARBELOTTI FILHO</t>
  </si>
  <si>
    <t>GALDINO ANTONIO PARAVISE ROSSETTO</t>
  </si>
  <si>
    <t>GARIBALDI TADEU PEREIRA FERREIRA</t>
  </si>
  <si>
    <t>GEISIANI LUCIA DAL-RI PAGANI</t>
  </si>
  <si>
    <t>GELSI CASAGRANDA</t>
  </si>
  <si>
    <t>GELSON AFONSO BINOTTO</t>
  </si>
  <si>
    <t>GENTIL JOAO DA SILVA</t>
  </si>
  <si>
    <t>GEORDINA MARIA GONCALVES</t>
  </si>
  <si>
    <t>GEORGE ALEXANDRE SILVA</t>
  </si>
  <si>
    <t>GEORGE LUIZ AKUI</t>
  </si>
  <si>
    <t>GEORGI AMIN FILHO</t>
  </si>
  <si>
    <t>GEOVANI CARLOS DE SOUZA</t>
  </si>
  <si>
    <t>NEUZA SALETE LANGARO</t>
  </si>
  <si>
    <t>NEZITA MARIA HAWERROTH WIGGERS</t>
  </si>
  <si>
    <t>NILCE REGINA GRANZOTTO PERON</t>
  </si>
  <si>
    <t>NILDOMAR FREIRE SANTOS</t>
  </si>
  <si>
    <t>NILMA BALDO PEREIRA</t>
  </si>
  <si>
    <t>NILSA CATARINA SCHUTZ CHRISTENSEN</t>
  </si>
  <si>
    <t>NILSON FELICIANO DE ARAUJO</t>
  </si>
  <si>
    <t>NILSON MELLO JUNIOR</t>
  </si>
  <si>
    <t>ANTONIO MARCOS QUADROS</t>
  </si>
  <si>
    <t>ANTONIO RAMOS</t>
  </si>
  <si>
    <t>ANTONIO RICARDO DE SOUSA</t>
  </si>
  <si>
    <t>ANTONIO SERENISKI</t>
  </si>
  <si>
    <t>ANUNCIATA PANINI</t>
  </si>
  <si>
    <t>APARECIDO CHENTA</t>
  </si>
  <si>
    <t>APARECIDO REZENDE DA COSTA</t>
  </si>
  <si>
    <t>ARIADNE ZAHAR</t>
  </si>
  <si>
    <t>ARILDO DISARO FILHO</t>
  </si>
  <si>
    <t>ARISTIDES DA SILVA FLORES</t>
  </si>
  <si>
    <t>ARISTIDES MOTTA</t>
  </si>
  <si>
    <t>ARLINDO PEDRO SANTIN</t>
  </si>
  <si>
    <t>ARNOLDO FERNANDES</t>
  </si>
  <si>
    <t>ARTHUR EDUARDO KILIAN</t>
  </si>
  <si>
    <t>ARTHUR FERNANDO DELLAGIUSTINA LAGO</t>
  </si>
  <si>
    <t>ASCELINO PRADO SUENSON</t>
  </si>
  <si>
    <t>LUCIA TELMA VIEIRA VIRGILIO</t>
  </si>
  <si>
    <t>LUCIANA FERRO BORINI</t>
  </si>
  <si>
    <t>LUCIANA FURTADO RIBEIRO SEARA</t>
  </si>
  <si>
    <t>LUCIANA PIMENTA DE OLIVEIRA BOTELHO</t>
  </si>
  <si>
    <t>LUCIANA RAQUEL SCHLUPP DE LIMA</t>
  </si>
  <si>
    <t>EDWIN KRAUTLER</t>
  </si>
  <si>
    <t>EGIDIO GENEZIO LIMBERGER</t>
  </si>
  <si>
    <t>EGILIO GARCIA</t>
  </si>
  <si>
    <t>EGISSELDA GARCIA</t>
  </si>
  <si>
    <t>EGON EWALD</t>
  </si>
  <si>
    <t>ELACY CARMEN PRESSER MAROCCO</t>
  </si>
  <si>
    <t>ELCA DE ANDRADE FARIA</t>
  </si>
  <si>
    <t>ELCIO MENEGAZ</t>
  </si>
  <si>
    <t>ELDO VITOR BALDISSERA</t>
  </si>
  <si>
    <t>ELDO WEISS HUBNER</t>
  </si>
  <si>
    <t>ELEONORA ABREU PEREIRA DA SILVA</t>
  </si>
  <si>
    <t>ELEONORA LEBARBENCHON SILVEIRA DE BORBA</t>
  </si>
  <si>
    <t>ELIANE DE OLIVEIRA</t>
  </si>
  <si>
    <t>ELIANE MARIA LIMA MATURANO</t>
  </si>
  <si>
    <t>ELIANE SCHMIDMEIER</t>
  </si>
  <si>
    <t>ELIETE NETTO MELO</t>
  </si>
  <si>
    <t>ELIETE ROSA CRISTOFOLINI VICENTE</t>
  </si>
  <si>
    <t>ELIEZER DE GOIS</t>
  </si>
  <si>
    <t>ELIN MARIA DE S. THIAGO KOENIG FAGUNDES</t>
  </si>
  <si>
    <t>ELIRIO LUIZ GALELLI</t>
  </si>
  <si>
    <t>ELISA REGINA FAVERO</t>
  </si>
  <si>
    <t>ELISABETE DOS SANTOS PROVESI</t>
  </si>
  <si>
    <t>ELISABETH LEMCKE</t>
  </si>
  <si>
    <t>MARISA BENEVENUTTI FERNANDES</t>
  </si>
  <si>
    <t>MARISA DE OLIVEIRA BALSINI</t>
  </si>
  <si>
    <t>JEFFERSON FERREIRA DE SOUZA</t>
  </si>
  <si>
    <t>LUCIA AMALIA DE SOUZA WIEZBICKI</t>
  </si>
  <si>
    <t>ANA PAULA DELLA GIUSTINA</t>
  </si>
  <si>
    <t>CLARISSA ROSA MACENO</t>
  </si>
  <si>
    <t>ANA LUCIA DE MELLO FILIPPIN</t>
  </si>
  <si>
    <t>ALEXANDRE EDMUNDO ELTERMANN RIBEIRO</t>
  </si>
  <si>
    <t>FERNANDA HILZENDEGER MARCON</t>
  </si>
  <si>
    <t>FRANCO YUKIO KAGOIKI</t>
  </si>
  <si>
    <t>MARINA LUZIA DORIGO BARAO</t>
  </si>
  <si>
    <t>ANA CAROLINA CARNEIRO VIEIRA DA ROSA</t>
  </si>
  <si>
    <t>CLAUDIO LUIZ MENDES</t>
  </si>
  <si>
    <t>CLAUDIO LUIZ SALES PACHE</t>
  </si>
  <si>
    <t>CLAUDIO ROBERTO MANZI</t>
  </si>
  <si>
    <t>CLAUDIO TIAGO DE SOUZA</t>
  </si>
  <si>
    <t>CLAUDIO WITZEL RECHIA</t>
  </si>
  <si>
    <t>CLAUDIO ZAMPARETTI</t>
  </si>
  <si>
    <t>CLAUDIR GARBIM</t>
  </si>
  <si>
    <t>CLAUZIO MANOEL PERES</t>
  </si>
  <si>
    <t>CLAYTON HAVIARAS WOSGRAU</t>
  </si>
  <si>
    <t>CLEO MARINO DA CONCEICAO</t>
  </si>
  <si>
    <t>CLEONICE ANGIOLETT SILVA</t>
  </si>
  <si>
    <t>CLEUDES INES DOS SANTOS SILVEIRA MARTINS</t>
  </si>
  <si>
    <t>CLEUDIR JOSE TOMASELLI</t>
  </si>
  <si>
    <t>CLEYDE CORREA</t>
  </si>
  <si>
    <t>CLIO FERRO KALAFATAS</t>
  </si>
  <si>
    <t>CLOVIS ANDRE BORDIN</t>
  </si>
  <si>
    <t>CLOVIS LAGRANHA TEICHMANN</t>
  </si>
  <si>
    <t>CONSTANCIA TERESINHA SEVERINO</t>
  </si>
  <si>
    <t>CREUSA MARIA GOIS LOPES</t>
  </si>
  <si>
    <t>CRISTIANE WEGNER BRUSKE</t>
  </si>
  <si>
    <t>CRISTIANO BEPPLER DE OLIVEIRA</t>
  </si>
  <si>
    <t>CRISTINA BOLZANI</t>
  </si>
  <si>
    <t>CRISTINA BUENO ANIOLA</t>
  </si>
  <si>
    <t>CRISTINA SOUZA POETA</t>
  </si>
  <si>
    <t>CRISTINA VIVAN</t>
  </si>
  <si>
    <t>CRISTOVAO DE CAMPOS NETO</t>
  </si>
  <si>
    <t>CYNTIA DE OLIVEIRA E SILVA</t>
  </si>
  <si>
    <t>DAISI ROSANA CONRAD BRANDALISE</t>
  </si>
  <si>
    <t>DALCIO JOAO HOLSKE</t>
  </si>
  <si>
    <t>DALTON FLAVIANO VIEIRA</t>
  </si>
  <si>
    <t>DALVA MARGARETH PORTO COELHO</t>
  </si>
  <si>
    <t>SIDNEI SOUZA</t>
  </si>
  <si>
    <t>NORMA ANDRADE DA SILVA</t>
  </si>
  <si>
    <t>DIOGENES LEMOS PORTO</t>
  </si>
  <si>
    <t>ANTONIO CARLOS BURG</t>
  </si>
  <si>
    <t>JOSE LUIS NETTO MENEZES</t>
  </si>
  <si>
    <t>JOSE LUIZ MOREIRA CACCIARI</t>
  </si>
  <si>
    <t>JOSE MACHADO</t>
  </si>
  <si>
    <t>JOSE MIGUEL VIEIRA</t>
  </si>
  <si>
    <t>JOSE NASCIMENTO BRUNO MARIA</t>
  </si>
  <si>
    <t>JOSE ORLANDO MAY</t>
  </si>
  <si>
    <t>JOSE ROBERTO BERNARDES DA SILVA</t>
  </si>
  <si>
    <t>JOSE ROBERTO MOREIRA JUNIOR</t>
  </si>
  <si>
    <t>JOSE ROBERTO TUBINO LAITANO</t>
  </si>
  <si>
    <t>JOSE RUBENS PERAO</t>
  </si>
  <si>
    <t>JOSE TRAVASSO</t>
  </si>
  <si>
    <t>JOSE VENTURELLI NETO</t>
  </si>
  <si>
    <t>JOSE XAVIER ANDRADE</t>
  </si>
  <si>
    <t>JOSIAS BURG</t>
  </si>
  <si>
    <t>JOVENILDA DE MEDEIROS</t>
  </si>
  <si>
    <t>JUAREZ ALBUQUERQUE BLOHEM</t>
  </si>
  <si>
    <t>JUCARA VIRGILI COSTA</t>
  </si>
  <si>
    <t>JUCEMAR MARQUES CARDOSO</t>
  </si>
  <si>
    <t>JULIA MERCEDES CURY FIGUEIREDO</t>
  </si>
  <si>
    <t>JULIANA ADELINA FORTUNATO FERNANDES</t>
  </si>
  <si>
    <t>JULIANA CRISTINA ANDRADE DE MELO</t>
  </si>
  <si>
    <t>JULIANE CRISTINA NEVES</t>
  </si>
  <si>
    <t>JULIANE PAVANELLO BRIGNOLI LIMA</t>
  </si>
  <si>
    <t>JULIANO PRACA</t>
  </si>
  <si>
    <t>JULIETA MARIA DUTRA LIVRAMENTO</t>
  </si>
  <si>
    <t>JULIO ALVES DA SILVA</t>
  </si>
  <si>
    <t>JULIO CESAR AGNOLIN</t>
  </si>
  <si>
    <t>JULIO CESAR BRISTOT</t>
  </si>
  <si>
    <t>JULIO CESAR CRUZ DA SILVA</t>
  </si>
  <si>
    <t>JULIO CESAR DA CRUZ SILVA</t>
  </si>
  <si>
    <t>JULIO CESAR DE CARLI</t>
  </si>
  <si>
    <t>JULIO CESAR VIEIRA DE CASTRO</t>
  </si>
  <si>
    <t>SILVERIO FRANCISCO RAMOS</t>
  </si>
  <si>
    <t>SILVIA APARECIDA D´AGOSTINI</t>
  </si>
  <si>
    <t>SILVIA HELENA PEREIRA CANDEMIL DA SILVA</t>
  </si>
  <si>
    <t>SILVIA MAYUMI KIMURA DE CARVALHO</t>
  </si>
  <si>
    <t>SILVIA MOLLERI REIS PEREIRA</t>
  </si>
  <si>
    <t>SILVIA REGINA CARNEIRO STUART</t>
  </si>
  <si>
    <t>SILVIA REJANE CHAVES DA ROSA</t>
  </si>
  <si>
    <t>SILVIO REINALDO PACHECO KUCK</t>
  </si>
  <si>
    <t>SILVIO RICARDO BARCHECHEN</t>
  </si>
  <si>
    <t>SILVIO SCHROEDER</t>
  </si>
  <si>
    <t>NILTON ALVES FAGUNDES</t>
  </si>
  <si>
    <t>NILTON JORGE DA SILVEIRA</t>
  </si>
  <si>
    <t>NILTON SANTOS</t>
  </si>
  <si>
    <t>NILVA ESPINDOLA</t>
  </si>
  <si>
    <t>NILVIO GOMES BACH</t>
  </si>
  <si>
    <t>NIVALDO STANKIEWICZ</t>
  </si>
  <si>
    <t>NIWALDO PEDRO GASTARDI</t>
  </si>
  <si>
    <t>NIZIA FERNANDES PRAZERES FERREIRA</t>
  </si>
  <si>
    <t>NOELI TEREZINHA JUNGES DE ABREU</t>
  </si>
  <si>
    <t>NORBERTO DALA BARBA</t>
  </si>
  <si>
    <t>NORIVAL PROVESI</t>
  </si>
  <si>
    <t>ALAIDE MARIA LUCAS BORNEO</t>
  </si>
  <si>
    <t>ALAIDE SILVA COSTA</t>
  </si>
  <si>
    <t>ALBA LUCIA ROSENDO</t>
  </si>
  <si>
    <t>ALBANO GUILHERME DA SILVA FILHO</t>
  </si>
  <si>
    <t>ALBERTINA COSTA TORINELLI</t>
  </si>
  <si>
    <t>ALBERTO CALDEIRA</t>
  </si>
  <si>
    <t>ALBERTO LUIZ DE OLIVEIRA</t>
  </si>
  <si>
    <t>ALCEU ALTAIR KLÖPPEL</t>
  </si>
  <si>
    <t>ALCEU AQUINI DIAS FILHO</t>
  </si>
  <si>
    <t>ALCINDO COPETTI</t>
  </si>
  <si>
    <t>ALCINO ECKER JUNIOR</t>
  </si>
  <si>
    <t>ALCIR LUIZ</t>
  </si>
  <si>
    <t>ALDA SALVADOR</t>
  </si>
  <si>
    <t>ALDO BRANDALISE</t>
  </si>
  <si>
    <t>ALDO SERGIO SANTOS SILVA RAMOS</t>
  </si>
  <si>
    <t>ALDROVANDO SEBASTIAO DE OLIVEIRA</t>
  </si>
  <si>
    <t>ALECIO JOSE RIFFEL</t>
  </si>
  <si>
    <t>ALENCAR DONIZETE CORDOVA CORREIA</t>
  </si>
  <si>
    <t>ALESSANDRA MONTEIRO DA CUNHA</t>
  </si>
  <si>
    <t>ALESSANDRA PISKE</t>
  </si>
  <si>
    <t>ALESSANDRO ROVEDA</t>
  </si>
  <si>
    <t>ALEXANDRA MARIA RODRIGUES DOURADO</t>
  </si>
  <si>
    <t>ALEXANDRE DUARTE CARDOSO</t>
  </si>
  <si>
    <t>ALEXANDRE KOENIG S. THIAGO</t>
  </si>
  <si>
    <t>ALEXANDRE LUIZ HUGO SOUZA</t>
  </si>
  <si>
    <t>ALEXANDRE LUIZ RAMOS</t>
  </si>
  <si>
    <t>ALEXANDRE MAIA DE MORAES</t>
  </si>
  <si>
    <t>ALEXANDRE MUSSI BRANDAO</t>
  </si>
  <si>
    <t>ALEXANDRE SILVEIRA DE SOUZA</t>
  </si>
  <si>
    <t>ALEXANDRE ZAIA</t>
  </si>
  <si>
    <t>ALFONSO HEIMANN</t>
  </si>
  <si>
    <t>ALFREDO NASCIMENTO</t>
  </si>
  <si>
    <t>ALFREDO REGO BARROS NETO</t>
  </si>
  <si>
    <t>ALIDA DEOLA</t>
  </si>
  <si>
    <t>ALIDA FERRARI PERIN</t>
  </si>
  <si>
    <t>ALMIR ANANIAS BEZERRA</t>
  </si>
  <si>
    <t>ALMIR BORGES</t>
  </si>
  <si>
    <t>MARISTELA ANTONIETA LINHARES DOS SANTOS</t>
  </si>
  <si>
    <t>MARISTELA LURDES DALTOE</t>
  </si>
  <si>
    <t>MARLENE INES PETTER</t>
  </si>
  <si>
    <t>MARLENE LUCIANO</t>
  </si>
  <si>
    <t>MARLENE NUNES GOULART</t>
  </si>
  <si>
    <t>MARLENE TEREZINHA FERREIRA GARCEZ</t>
  </si>
  <si>
    <t>MARLI GOMES</t>
  </si>
  <si>
    <t>MARLI NERCI DA ROSA</t>
  </si>
  <si>
    <t>MARLI NEVES DE OLIVEIRA</t>
  </si>
  <si>
    <t>MARLI PRIMON</t>
  </si>
  <si>
    <t>MARLI REGINA LISE ZAMPROGNA</t>
  </si>
  <si>
    <t>MARLI ROSEGHINI</t>
  </si>
  <si>
    <t>MARLI TERESINHA CRISTOFOLINI DOS SANTOS</t>
  </si>
  <si>
    <t>MARLI TEREZINHA FRANCA DE ALBUQUERQUE</t>
  </si>
  <si>
    <t>MARLUCIO BITTENCOURT</t>
  </si>
  <si>
    <t>MARTA MARIA VILLALBA FABRE</t>
  </si>
  <si>
    <t>MARTA REGINA HINNIG</t>
  </si>
  <si>
    <t>MARTIN FRANCISCO CLAUS POESCHMANN</t>
  </si>
  <si>
    <t>MARTINHA RAIMUNDO ALVES</t>
  </si>
  <si>
    <t>MATILDE LOPES LEMOS</t>
  </si>
  <si>
    <t>MAURI DAPENA PEREZ</t>
  </si>
  <si>
    <t>MAURICIO ANTONIO MARTINI</t>
  </si>
  <si>
    <t>MAURICIO KILIAN DOS ANJOS</t>
  </si>
  <si>
    <t>MAURICIO MEDEIROS MACHADO</t>
  </si>
  <si>
    <t>SERGIO FEIJO NETTO MACHADO</t>
  </si>
  <si>
    <t>SERGIO FRETTA</t>
  </si>
  <si>
    <t>SERGIO JOUBERT DA SILVA</t>
  </si>
  <si>
    <t>SERGIO LUIZ RAICHL</t>
  </si>
  <si>
    <t>SERGIO LUIZ SAIBRO</t>
  </si>
  <si>
    <t>SERGIO MURILO AGOSTINHO</t>
  </si>
  <si>
    <t>SERGIO MURILO DE SOUZA</t>
  </si>
  <si>
    <t>SERGIO TADEU DA SILVA</t>
  </si>
  <si>
    <t>SEVILHA NASI LOSADA</t>
  </si>
  <si>
    <t>SHEILA BOHON RISKALLA</t>
  </si>
  <si>
    <t>SHEILA EGERT GRANDO</t>
  </si>
  <si>
    <t>SHEILA WEICKERT</t>
  </si>
  <si>
    <t>SHIRLEY CRUZ DE OLIVEIRA DOS SANTOS</t>
  </si>
  <si>
    <t>SHIRLEY RODRIGUES ALMEIDA</t>
  </si>
  <si>
    <t>SIDNEI ROBERTO BRÜSKE</t>
  </si>
  <si>
    <t>SIDONIO JACINTHO DE OLIVEIRA NETO</t>
  </si>
  <si>
    <t>SIEGLINDE DIELING</t>
  </si>
  <si>
    <t>SILENIO JACINTHO DE OLIVEIRA</t>
  </si>
  <si>
    <t>SILVANA DA SILVA LEMOS BELTRAME</t>
  </si>
  <si>
    <t>SILVANA DEICHMANN ZIMMERMANN</t>
  </si>
  <si>
    <t>SILVANA DEMARTINI</t>
  </si>
  <si>
    <t>SILVANA LICZBINSKI</t>
  </si>
  <si>
    <t>SILVANA NIEBUHR SCHLEMPER KRAUTLER</t>
  </si>
  <si>
    <t>SILVANA SCHAARSCHMIDT CARIONI</t>
  </si>
  <si>
    <t>DANIEL CAPRIOLI PEREIRA</t>
  </si>
  <si>
    <t>DANIEL FERREIRA</t>
  </si>
  <si>
    <t>DANIEL NATIVIDADE RODRIGUES DE OLIVEIRA</t>
  </si>
  <si>
    <t>DANIELA FERNANDES FRAGA</t>
  </si>
  <si>
    <t>DANIELLA TANI PERESSONI BERNARD</t>
  </si>
  <si>
    <t>DANILO AUGUSTO SALDANHA CAIAFFO</t>
  </si>
  <si>
    <t>DARIO DALLA COSTA</t>
  </si>
  <si>
    <t>DARIO TAVARES BINA</t>
  </si>
  <si>
    <t>DARNILO ANTUNES</t>
  </si>
  <si>
    <t>DEA SILVIA PEREIRA DA SILVA</t>
  </si>
  <si>
    <t>PAULO HENRIQUE MARTINHAGO</t>
  </si>
  <si>
    <t>PAULO JOB TUBINO LAITANO</t>
  </si>
  <si>
    <t>PAULO JOSE RODRIGUES DUTRA</t>
  </si>
  <si>
    <t>PAULO MAURICIO LEITE</t>
  </si>
  <si>
    <t>PAULO PAIM BRASCHER</t>
  </si>
  <si>
    <t>PAULO RENATO MANFRO</t>
  </si>
  <si>
    <t>PAULO ROBERTO BRETANHA SILVEIRA</t>
  </si>
  <si>
    <t>PAULO ROBERTO MAURICI</t>
  </si>
  <si>
    <t>PAULO ROBERTO VERAS</t>
  </si>
  <si>
    <t>PAULO SERGIO PINHEIRO</t>
  </si>
  <si>
    <t>PAULO SERGIO ROMAN</t>
  </si>
  <si>
    <t>PAULO SERGIO TEIXEIRA BRANDÃO</t>
  </si>
  <si>
    <t>PEDRINHA CARDOSO</t>
  </si>
  <si>
    <t>PEDRO JOSE CHAVES</t>
  </si>
  <si>
    <t>PEDRO JOSE DA CUNHA FILHO</t>
  </si>
  <si>
    <t>PEDRO JOSE DE CARVALHO</t>
  </si>
  <si>
    <t>PEDRO NASCIMENTO FILHO</t>
  </si>
  <si>
    <t>PEDRO NATALI</t>
  </si>
  <si>
    <t>PEDRO PAULO BASTOS</t>
  </si>
  <si>
    <t>PERPETUA MATILDES DE JESUS</t>
  </si>
  <si>
    <t>PLAUTO DOMINGOS SPAGNOL</t>
  </si>
  <si>
    <t>PRISCILLA D´EL REI FAGUNDES</t>
  </si>
  <si>
    <t>RAFAEL ELIAS KRUGER</t>
  </si>
  <si>
    <t>RAIMUNDO ALVES DE ASSIS</t>
  </si>
  <si>
    <t>RAIMUNDO DE SOUZA LEONARDO</t>
  </si>
  <si>
    <t>RAMIRO RIBEIRO BATISTA</t>
  </si>
  <si>
    <t>RAQUEL BIANCHINI MOSIMANN</t>
  </si>
  <si>
    <t>RAQUEL CARIONI</t>
  </si>
  <si>
    <t>RAQUEL REZENDE DE PADUA CASTRO</t>
  </si>
  <si>
    <t>RAUL PIZONI</t>
  </si>
  <si>
    <t>REGINA BOEGE NASCIMENTO</t>
  </si>
  <si>
    <t>REGINA MARIA SCHEIDT</t>
  </si>
  <si>
    <t>REGIS LAMPERT TOMBESI FILHO</t>
  </si>
  <si>
    <t>REGIS NELSON AMORETY SOUZA</t>
  </si>
  <si>
    <t>REINALDO BRANCO DE MORAES</t>
  </si>
  <si>
    <t>REJANE FATIMA PACHECO PADILHA</t>
  </si>
  <si>
    <t>REJANE MARIA POLETTO</t>
  </si>
  <si>
    <t>REJANE MENDONCA DE BRITTO DANTAS</t>
  </si>
  <si>
    <t>REJANE SALETE FRONER KUSTER</t>
  </si>
  <si>
    <t>SIMONE AITA DUTRA</t>
  </si>
  <si>
    <t>SIMONE AMARAL ALVARENGA ECKER</t>
  </si>
  <si>
    <t>SIMONE BONATELLI CARDOSO</t>
  </si>
  <si>
    <t>SIMONE CAROL TOMAZ</t>
  </si>
  <si>
    <t>SIMONE ELISA GARCIA</t>
  </si>
  <si>
    <t>SIMONE LINHARES COSTA MENDONCA</t>
  </si>
  <si>
    <t>SIMONE PEREIRA</t>
  </si>
  <si>
    <t>AVELINO CORREA DOS SANTOS</t>
  </si>
  <si>
    <t>AZARIAS GOMES</t>
  </si>
  <si>
    <t>BEATRIZ BERNADETE LORO BELOTTI</t>
  </si>
  <si>
    <t>BEATRIZ BRANDAO BENDER</t>
  </si>
  <si>
    <t>BEATRIZ CLARA KLEIN ZUCCO</t>
  </si>
  <si>
    <t>BEATRIZ TIEFENSSE</t>
  </si>
  <si>
    <t>BEATRIZ VIEIRA GALLINDO</t>
  </si>
  <si>
    <t>BELMIRO PROCOPIO DA SILVA FILHO</t>
  </si>
  <si>
    <t>BEN HUR SANTOS</t>
  </si>
  <si>
    <t>BENTA SEBASTIANA BARBOSA CORREA</t>
  </si>
  <si>
    <t>BERNARDETE PEGORARO WUNDERVALD</t>
  </si>
  <si>
    <t>BERNARDINO NICOLINO DA LUZ</t>
  </si>
  <si>
    <t>BERNARDO GESING</t>
  </si>
  <si>
    <t>BRENO CLAUDIO BAUER</t>
  </si>
  <si>
    <t>BRUNO RICARDO BAPTISTA WULLNER</t>
  </si>
  <si>
    <t>CAIO RUBENS CRUZ TEIXEIRA</t>
  </si>
  <si>
    <t>CANDIDO JOSE RODRIGUES NETTO</t>
  </si>
  <si>
    <t>CARLA BEATRIZ DUCKER BASTOS AMORIM</t>
  </si>
  <si>
    <t>CARLA CRISTINA BONATELLI</t>
  </si>
  <si>
    <t>CARLA RAIMUNDO</t>
  </si>
  <si>
    <t>CARLA SEWALD VIEIRA</t>
  </si>
  <si>
    <t>CARLITO ANDRADE</t>
  </si>
  <si>
    <t>CARLO HENRIQUE DA CONCEICAO</t>
  </si>
  <si>
    <t>CARLOS ALBERTO CRISPIM</t>
  </si>
  <si>
    <t>CARLOS ALBERTO DE FREITAS COUTINHO</t>
  </si>
  <si>
    <t>CARLOS ALBERTO DE SOUZA</t>
  </si>
  <si>
    <t>CARLOS ALBERTO GODOY ILHA</t>
  </si>
  <si>
    <t>CARLOS ALBERTO GRISALT</t>
  </si>
  <si>
    <t>CARLOS ALBERTO OBERLAENDER LOPES</t>
  </si>
  <si>
    <t>CARLOS ALBERTO PEREIRA DE CASTRO</t>
  </si>
  <si>
    <t>CARLOS ALFREDO BARFKNECHT</t>
  </si>
  <si>
    <t>CARLOS AUGUSTO KINDLEIN</t>
  </si>
  <si>
    <t>CARLOS BECKER DE AQUINO</t>
  </si>
  <si>
    <t>CARLOS EDIR MERHEB COSTA</t>
  </si>
  <si>
    <t>CARLOS EDUARDO PEREIRA</t>
  </si>
  <si>
    <t>CARLOS FREDERICO FIORINO CARNEIRO</t>
  </si>
  <si>
    <t>CARLOS JOSE LEONI</t>
  </si>
  <si>
    <t>CARLOS LACERDA</t>
  </si>
  <si>
    <t>CARLOS MARIO EASTMAN</t>
  </si>
  <si>
    <t>CARLOS ROBERTO KOHLER</t>
  </si>
  <si>
    <t>CARLOS SILVEIRA DE LACERDA</t>
  </si>
  <si>
    <t>CARMEN LUCIA DE MOURA E CUNHA FONSECA</t>
  </si>
  <si>
    <t>CARMEN MARIA CACCIARI</t>
  </si>
  <si>
    <t>CLAUDIA MARIA CARDOSO BRAGA</t>
  </si>
  <si>
    <t>CLAUDIA MARIA VIEIRA</t>
  </si>
  <si>
    <t>CLAUDIA SOARES DURANTE</t>
  </si>
  <si>
    <t>CLAUDIA VOIGT ESPINOLA</t>
  </si>
  <si>
    <t>CLAUDIO BORGES</t>
  </si>
  <si>
    <t>CLAUDIO DA SILVA MAFEI</t>
  </si>
  <si>
    <t>CLAUDIO DE JESUS</t>
  </si>
  <si>
    <t>CLAUDIO DE MACEDO PAIVA NASCIMENTO</t>
  </si>
  <si>
    <t>CLAUDIO FERREIRA LOBO</t>
  </si>
  <si>
    <t>MARCIO LUIZ ZUCCO</t>
  </si>
  <si>
    <t>MARCO ANTONIO BAZEGGIO</t>
  </si>
  <si>
    <t>MARCO ANTONIO MARCZAK</t>
  </si>
  <si>
    <t>MARCO ANTONIO PEREIRA MADRUGA</t>
  </si>
  <si>
    <t>MARCO ANTONIO PIZARRO DA SILVEIRA</t>
  </si>
  <si>
    <t>MARCO ANTONIO URIARTE</t>
  </si>
  <si>
    <t>MARCO AURELIO DA SILVA MARTINS</t>
  </si>
  <si>
    <t>MARCOS ALFREDO PAUL</t>
  </si>
  <si>
    <t>MARCOS ANDRE SCHMITT</t>
  </si>
  <si>
    <t>MARCOS AURELIO FELIMBERTI</t>
  </si>
  <si>
    <t>MARCOS CANDIDO DE AQUINO</t>
  </si>
  <si>
    <t>MARCOS MARCELLO GOMES</t>
  </si>
  <si>
    <t>MARCOS PAULO ZIMMERMANN</t>
  </si>
  <si>
    <t>MARCOS SCHATZMANN FILHO</t>
  </si>
  <si>
    <t>MARCOS SILVA DE MOURA</t>
  </si>
  <si>
    <t>MARCOS VEIGA SONCINI</t>
  </si>
  <si>
    <t>MARCOS VENICIUS BIASI FLECK</t>
  </si>
  <si>
    <t>MARCOS VIEIRA HABERBECK</t>
  </si>
  <si>
    <t>MARCOS VINICIUS BRANCO</t>
  </si>
  <si>
    <t>MARCOS WESTPHAL RODRIGUES</t>
  </si>
  <si>
    <t>MARCUS PINA MUGNAINI</t>
  </si>
  <si>
    <t>MARCUS VINICIUS DE LIMA OLIVEIRA</t>
  </si>
  <si>
    <t>MARELICE RICOY CARON MAZZAROPPI</t>
  </si>
  <si>
    <t>MARGARETE APARECIDA STEDILE ROBERGE</t>
  </si>
  <si>
    <t>MARGARETE CADORE</t>
  </si>
  <si>
    <t>MARGARETE PREIMA</t>
  </si>
  <si>
    <t>MARGARETE ROSSI HEIL</t>
  </si>
  <si>
    <t>MARGARETE SANTOS</t>
  </si>
  <si>
    <t>MARGARETH JACQUELINE RIBEIRO PIRES</t>
  </si>
  <si>
    <t>FÁBIO ANTUNES VIEIRA</t>
  </si>
  <si>
    <t>JORGE LUIZ VOLPATO</t>
  </si>
  <si>
    <t>JOSE ADOLFO WEIHERMANN</t>
  </si>
  <si>
    <t>JOSE AMAURI FERRAZ</t>
  </si>
  <si>
    <t>JOSE ARTHUR CARNEIRO PINTO RIBEIRO</t>
  </si>
  <si>
    <t>JOSE CARLOS DALL´IGNA</t>
  </si>
  <si>
    <t>JOSE CARLOS DE ARAUJO</t>
  </si>
  <si>
    <t>JOSE CARLOS DE OLIVEIRA MENDES</t>
  </si>
  <si>
    <t>JOSE CARLOS DE SOUZA</t>
  </si>
  <si>
    <t>JOSE CARLOS KULZER</t>
  </si>
  <si>
    <t>JOSE DE JESUS</t>
  </si>
  <si>
    <t>JOSE EDILSON DA CUNHA FONTENELLE</t>
  </si>
  <si>
    <t>JOSE ERNESTO MANZI</t>
  </si>
  <si>
    <t>JOSE FERNANDES DA CÂMARA CANTO RUFINO</t>
  </si>
  <si>
    <t>JOSE FERNANDO DA SILVA SANTOS</t>
  </si>
  <si>
    <t>JOSE FRANCISCO DE OLIVEIRA</t>
  </si>
  <si>
    <t>JOSE GUGELMIN VELHO</t>
  </si>
  <si>
    <t>JOSE JOVITO DOS SANTOS</t>
  </si>
  <si>
    <t>JOSE KNISS</t>
  </si>
  <si>
    <t>JOSE LOURENCO MACHADO</t>
  </si>
  <si>
    <t>JOSE LUIS NETTO DA COSTA</t>
  </si>
  <si>
    <t>LUCIANE BATISTA DA SILVA</t>
  </si>
  <si>
    <t>LUCIANE FLORES DE MEDEIROS OLIVEIRA</t>
  </si>
  <si>
    <t>LUCIANE MEDEIROS DELLA ROCCA</t>
  </si>
  <si>
    <t>LUCIANE NERCOLINI GODE</t>
  </si>
  <si>
    <t>LUCIANO DALL´AGNOL</t>
  </si>
  <si>
    <t>LUCIANO GAMA KRAMER DOS SANTOS</t>
  </si>
  <si>
    <t>LUCIANO KERN NOGUEIRA</t>
  </si>
  <si>
    <t>LUCILA DO NASCIMENTO MORAES</t>
  </si>
  <si>
    <t>LUCIO EDALICIO PERES</t>
  </si>
  <si>
    <t>LUDGERO NEVES DE FARIAS</t>
  </si>
  <si>
    <t>LUIS CARLOS MENEZES ALMEIDA</t>
  </si>
  <si>
    <t>LUIS CESAR NUNES</t>
  </si>
  <si>
    <t>LUIS FREDERICO PEREIRA</t>
  </si>
  <si>
    <t>LUIS IRAPUAN CAMPELO BESSA FILHO</t>
  </si>
  <si>
    <t>LUIS PAULO SELESTINO</t>
  </si>
  <si>
    <t>LUISANE MANSKE</t>
  </si>
  <si>
    <t>LUIZ ALBERTO DA SILVA</t>
  </si>
  <si>
    <t>LUIZ ALEXANDRE CONSTANTE BERGMANN</t>
  </si>
  <si>
    <t>LUIZ ANTONIO SCALZILLI MENEGHETTI</t>
  </si>
  <si>
    <t>LUIZ ANTONIO STUART</t>
  </si>
  <si>
    <t>LUIZ APOLINARIO CUSTODIO</t>
  </si>
  <si>
    <t>LUIZ CARLOS ACCORDI</t>
  </si>
  <si>
    <t>LUIZ CARLOS DA COSTA CARVALHO</t>
  </si>
  <si>
    <t>LUIZ CARLOS DE CARVALHO CARDOSO</t>
  </si>
  <si>
    <t>LUIZ CARLOS DE JESUS GOMES</t>
  </si>
  <si>
    <t>LUIZ CARLOS DOS SANTOS</t>
  </si>
  <si>
    <t>CARMEN RODRIGUES SCHMIDT DA VEIGA</t>
  </si>
  <si>
    <t>CARMEN SILVEIRA</t>
  </si>
  <si>
    <t>CATARINA RIBEIRO MARQUES</t>
  </si>
  <si>
    <t>CATARINA VITÓRIA JUNGES</t>
  </si>
  <si>
    <t>CATIA ECCEL</t>
  </si>
  <si>
    <t>LUIZ HENRIQUE SOARES</t>
  </si>
  <si>
    <t>LUIZ JOSE BERRETTA</t>
  </si>
  <si>
    <t>LUIZ JOSE PINTO</t>
  </si>
  <si>
    <t>LUIZ MAURO DA SILVA</t>
  </si>
  <si>
    <t>MAURICIO OLIVEIRA DE SOUZA LUIZ</t>
  </si>
  <si>
    <t>MAURICIO SCHUTZ</t>
  </si>
  <si>
    <t>MAURIZIO LANGARO</t>
  </si>
  <si>
    <t>MAURO CELSO DE AGUIAR</t>
  </si>
  <si>
    <t>MAURO NEIBERT BEZERRA</t>
  </si>
  <si>
    <t>MAURO ZANDONAI LEMOS PINTO</t>
  </si>
  <si>
    <t>MAVIA DE AQUINO SANTOS</t>
  </si>
  <si>
    <t>MERCIA ELISA SEGA</t>
  </si>
  <si>
    <t>MERCIO FRANCO MATURANO</t>
  </si>
  <si>
    <t>MESSIAS VIEIRA LIMA JUNIOR</t>
  </si>
  <si>
    <t>MIGUEL INACIO DE SOUZA NETO</t>
  </si>
  <si>
    <t>MIGUEL VALDEMIRO DOMINGOS DO NASCIMENTO</t>
  </si>
  <si>
    <t>MILENA LETICIA ANESI</t>
  </si>
  <si>
    <t>MILTON JOSE SCHNEIDER</t>
  </si>
  <si>
    <t>MILTON JOSE TESSARI</t>
  </si>
  <si>
    <t>MILTON MACHADO DE CARVALHO</t>
  </si>
  <si>
    <t>MILTON VIEIRA WRONSKI</t>
  </si>
  <si>
    <t>MIRCO SANDRO PICCOLOTTO</t>
  </si>
  <si>
    <t>MIRELA MATOS AGUIAR</t>
  </si>
  <si>
    <t>MIRIAM IZABEL PEREIRA</t>
  </si>
  <si>
    <t>MIRIAM JULIANO MOURA</t>
  </si>
  <si>
    <t>MARCELO PASSOS</t>
  </si>
  <si>
    <t>MARGARIDA FRANCISCA JUNGES</t>
  </si>
  <si>
    <t>MARGOT NUNES CATANEO CASTRAVECHI</t>
  </si>
  <si>
    <t>MARI ELEDA MIGLIORINI</t>
  </si>
  <si>
    <t>MARI REGINA HAJDASZ NICKELLE</t>
  </si>
  <si>
    <t>MARIA ALBERTINA COSTA NUNES</t>
  </si>
  <si>
    <t>MARIA ALBERTINA DA LUZ MARCELINO</t>
  </si>
  <si>
    <t>MARIA ALICE LOPES</t>
  </si>
  <si>
    <t>MARIA ALICE MAZZUCO</t>
  </si>
  <si>
    <t>MARIA ANGELA KLEVESTON</t>
  </si>
  <si>
    <t>MARIA ANGELINA DA SILVA BELLAGUARDA</t>
  </si>
  <si>
    <t>MARIA ANGELINA DA SILVA MOLLOSSI</t>
  </si>
  <si>
    <t>MARIA ANTONINA MICHELS</t>
  </si>
  <si>
    <t>NORMA BOFF DE OLIVEIRA</t>
  </si>
  <si>
    <t>NORMA ESTEFANO WEISS</t>
  </si>
  <si>
    <t>NORMELIA CALIL ROCHA</t>
  </si>
  <si>
    <t>ODILA MARIA PEREIRA</t>
  </si>
  <si>
    <t>OENES NECKEL DE MENEZES</t>
  </si>
  <si>
    <t>OLDEMAR ARMANDO SCHUNEMANN</t>
  </si>
  <si>
    <t>OLIVINA SCHMIDT</t>
  </si>
  <si>
    <t>ONDINA FERREIRA PIMONT BERNDT</t>
  </si>
  <si>
    <t>ONDINA MARIA DA CUNHA COSTA CESCONETTO</t>
  </si>
  <si>
    <t>ONOFRE FRANCA VALE</t>
  </si>
  <si>
    <t>ORIDES DE SOUZA FILHO</t>
  </si>
  <si>
    <t>ORLANDO DA SILVA</t>
  </si>
  <si>
    <t>ORLANDO DA SILVA FILHO</t>
  </si>
  <si>
    <t>ORLANDO SILVA</t>
  </si>
  <si>
    <t>OSCAR DE OLIVEIRA CASTRO</t>
  </si>
  <si>
    <t>OSMAR AGUIAR</t>
  </si>
  <si>
    <t>OSMAR DURANTE</t>
  </si>
  <si>
    <t>OSMAR GAITOLINI</t>
  </si>
  <si>
    <t>OSMAR GALVÃO</t>
  </si>
  <si>
    <t>OSMAR JOSE PITZ</t>
  </si>
  <si>
    <t>OSMAR RAMOS</t>
  </si>
  <si>
    <t>OSNILDO NATIVIDADE</t>
  </si>
  <si>
    <t>OSVALDIR FERREIRA</t>
  </si>
  <si>
    <t>OSVALDO ZIMMER</t>
  </si>
  <si>
    <t>OTTMAR HAAB</t>
  </si>
  <si>
    <t>OVIDIO FRANCO DE SA MENEZES</t>
  </si>
  <si>
    <t>OZEAS CASTRO</t>
  </si>
  <si>
    <t>PARACELSO RODRIGUES COSTA</t>
  </si>
  <si>
    <t>PATRICIA ALTHOFF RICHARD</t>
  </si>
  <si>
    <t>PATRICIA CARVALHO RIBEIRO RECHIA</t>
  </si>
  <si>
    <t>PATRICIA COSTA</t>
  </si>
  <si>
    <t>PATRICIA PEREIRA DE SANT´ANNA</t>
  </si>
  <si>
    <t>PATRICIA REGINA DE SIQUEIRA PEREIRA</t>
  </si>
  <si>
    <t>FERNANDA SIVIERO</t>
  </si>
  <si>
    <t>LUIZ CARLOS MENDES OLIVEIRA</t>
  </si>
  <si>
    <t>LUIZ CARLOS MORETTO</t>
  </si>
  <si>
    <t>LUIZ CARLOS NOBRE</t>
  </si>
  <si>
    <t>LUIZ CARLOS PEREIRA REGO XAVIER</t>
  </si>
  <si>
    <t>LUIZ CARLOS ROVEDA</t>
  </si>
  <si>
    <t>LUIZ CARLOS ZUCCO</t>
  </si>
  <si>
    <t>LUIZ CECCONI</t>
  </si>
  <si>
    <t>LUIZ CLAUDIO DIAS</t>
  </si>
  <si>
    <t>LUIZ FELIPE TONOLLI</t>
  </si>
  <si>
    <t>LUIZ FERNANDO DE FRANCA</t>
  </si>
  <si>
    <t>LUIZ FERNANDO MODESTI</t>
  </si>
  <si>
    <t>LUIZ FERNANDO RIBEIRO</t>
  </si>
  <si>
    <t>LUIZ FERNANDO VAZ CABEDA</t>
  </si>
  <si>
    <t>LUIZ FERNANDO VENANCIO</t>
  </si>
  <si>
    <t>LUIZ FLAVIO BERNARDES CORREA</t>
  </si>
  <si>
    <t>LUIZ FLAVIO SILVA SCHMIDT</t>
  </si>
  <si>
    <t>LUIZ GONZAGA FONTOURA RODRIGUES</t>
  </si>
  <si>
    <t>CAROLINE MENEGAZ</t>
  </si>
  <si>
    <t>CLAUDIA RODRIGUES COUTINHO CAVALHERI</t>
  </si>
  <si>
    <t>NAZIRA SANTOS SCHEAD TAVARES</t>
  </si>
  <si>
    <t>GIANE DA SILVA ROCHA SOUZA</t>
  </si>
  <si>
    <t>MARCEL LUCIANO HIGUCHI VIEGAS DOS SANTOS</t>
  </si>
  <si>
    <t>EVERTON GONÇALVES DUTRA</t>
  </si>
  <si>
    <t>RODRIGO GAMBA ROCHA DINIZ</t>
  </si>
  <si>
    <t>ELAINE CRISTINA DIAS IGNACIO ARENA</t>
  </si>
  <si>
    <t>MARIA INÊS CORRÊA DE CERQUEIRA CÉSAR TARGA</t>
  </si>
  <si>
    <t>JOSÉ APARECIDO DOS SANTOS</t>
  </si>
  <si>
    <t>ARMANDO CABRERA BROSE</t>
  </si>
  <si>
    <t>OSMAR DUTRA</t>
  </si>
  <si>
    <t>PAULO SÉRGIO JAKUTIS</t>
  </si>
  <si>
    <t>EDSON DE ANDRADE</t>
  </si>
  <si>
    <t>VANIA MARIA CORREA</t>
  </si>
  <si>
    <t>VANIA ROSELY WEINGARTNER NEVES</t>
  </si>
  <si>
    <t>VANIO FARACO</t>
  </si>
  <si>
    <t>VENDOLINO COSTA DE ANDRADE</t>
  </si>
  <si>
    <t>VERA BEATRIZ AZEVEDO RAMOS</t>
  </si>
  <si>
    <t>VERA LUCIA DA CUNHA BRITO</t>
  </si>
  <si>
    <t>VERA LUCIA DAL MOLIN KILIAN</t>
  </si>
  <si>
    <t>VERA LUCIA DOS SANTOS</t>
  </si>
  <si>
    <t>VERA LUCIA JUNCKES NATIVIDADE</t>
  </si>
  <si>
    <t>VERA LUCIA MACHADO</t>
  </si>
  <si>
    <t>VERA LUCIA MACHADO CORDOVA</t>
  </si>
  <si>
    <t>VERA LUCIA NOSTRANI SIMAO</t>
  </si>
  <si>
    <t>VERA MARIA GARCIA</t>
  </si>
  <si>
    <t>VERA MARIA RAFAELI BAMPI</t>
  </si>
  <si>
    <t>VERA MARISA VIEIRA RAMOS</t>
  </si>
  <si>
    <t>VERA REGINA RIBEIRO VIEIRA</t>
  </si>
  <si>
    <t>VERLAINE BUSANELLO</t>
  </si>
  <si>
    <t>VERON CEVEY</t>
  </si>
  <si>
    <t>VERONICA PASA</t>
  </si>
  <si>
    <t>VICENTE ALVES MARTINS</t>
  </si>
  <si>
    <t>VICENTE MACHADO PEREIRA</t>
  </si>
  <si>
    <t>VICTOR HUGO WEBER</t>
  </si>
  <si>
    <t>VICTORIO LEDRA</t>
  </si>
  <si>
    <t>VILMAR HILARIO RADKE</t>
  </si>
  <si>
    <t>ADAO TELLES DE OLIVEIRS</t>
  </si>
  <si>
    <t>BRÁULIO GABRIEL GUSMÃO</t>
  </si>
  <si>
    <t>JOSÉ CESAR VIEIRA LIMA</t>
  </si>
  <si>
    <t>JOSE OSMIR FIORELLI</t>
  </si>
  <si>
    <t>LUIS FELIPE DO NASCIMENTO MORAES</t>
  </si>
  <si>
    <t>PEROÍLTON SOUZA DOS SANTOS</t>
  </si>
  <si>
    <t>JOSE MACEDO PEREIRA</t>
  </si>
  <si>
    <t>QUARINO SANTOLIN</t>
  </si>
  <si>
    <t>NELSON SOUZA</t>
  </si>
  <si>
    <t>MARIA DOLORES GONZALEZ VALCARCE</t>
  </si>
  <si>
    <t>ALEXANDRE RODRIGUES ATHENIENSE</t>
  </si>
  <si>
    <t>ADRIANO JOSE CANDIDO</t>
  </si>
  <si>
    <t>MARCOS JULIO OLIVÉ MALHADAS JUNIOR</t>
  </si>
  <si>
    <t>WALDIR JOSÉ DE QUADROS</t>
  </si>
  <si>
    <t>AMILTON MORETTO</t>
  </si>
  <si>
    <t>ANSELMO LUIS DOS SANTOS</t>
  </si>
  <si>
    <t>MARCOS VILPERT</t>
  </si>
  <si>
    <t>CARLOS ALONSO BARBOSA DE OLIVEIRA</t>
  </si>
  <si>
    <t>JOSE DARI KREIN</t>
  </si>
  <si>
    <t>MARCELO WEISHAUPT  PRONI</t>
  </si>
  <si>
    <t>PAULO EDUARDO DE ANDRADE BALTAR</t>
  </si>
  <si>
    <t>ROGACIANO RODRIGUES</t>
  </si>
  <si>
    <t>DAVI JOSÉ NARDY ANTUNES</t>
  </si>
  <si>
    <t>DENIS MARACCI GIMENEZ</t>
  </si>
  <si>
    <t>JOSÉ LUCIO MUNHOZ</t>
  </si>
  <si>
    <t>LUIS CARLOS CANCELLIER DE OLIVO</t>
  </si>
  <si>
    <t>MARIA DO ROSÁRIO STOTZ</t>
  </si>
  <si>
    <t>ANA LÚCIA BERGAMO</t>
  </si>
  <si>
    <t>AGENCIA NACIONAL DE TELECOMUNICAÇÕES - ANATEL</t>
  </si>
  <si>
    <t>ÁLVARO ROBERTO CRESPO MERLO</t>
  </si>
  <si>
    <t>ANTONIO FRANCISCO CERVI</t>
  </si>
  <si>
    <t>SERGIO CAVALIERI FILHO</t>
  </si>
  <si>
    <t>LUIZ EDUARDO GUNTHER</t>
  </si>
  <si>
    <t>PAULO ROGERIO ALBUQUERQUE DE OLIVEIRA</t>
  </si>
  <si>
    <t>JOSÉ ISAAC PILATI</t>
  </si>
  <si>
    <t>ALAN INDIO SERRANO</t>
  </si>
  <si>
    <t>TELMA DA GRAÇA DE LIMA LAGE</t>
  </si>
  <si>
    <t>VANIO CARDOSO LISBOA</t>
  </si>
  <si>
    <t>CASSIO COLOMBO FILHO</t>
  </si>
  <si>
    <t>ANGELO VICTOR SIQUEIRA LINS</t>
  </si>
  <si>
    <t>LUCIO SANTOS BAGGIO</t>
  </si>
  <si>
    <t>MARCIO TULIO VIANA</t>
  </si>
  <si>
    <t>ADRIANA SCHLEGEL GAETANI</t>
  </si>
  <si>
    <t>BRAIAN ALVES CORDEIRO</t>
  </si>
  <si>
    <t>UILSON RONALDO FERREIRA</t>
  </si>
  <si>
    <t>LUCIANO ATHAYDE CHAVES</t>
  </si>
  <si>
    <t>DORVAL ZEFERINO</t>
  </si>
  <si>
    <t>MARCOS ANDRÉ DO AMARAL FARIAS</t>
  </si>
  <si>
    <t>ELTON SOMENSI DE OLIVEIRA</t>
  </si>
  <si>
    <t>MARCEL DA COSTA IRIART</t>
  </si>
  <si>
    <t>JOSE RICARDO DE SOUZA</t>
  </si>
  <si>
    <t>LUIZ HENRIQUE MILANI QUERIQUELLI</t>
  </si>
  <si>
    <t>MARCOS NEVES FAVA</t>
  </si>
  <si>
    <t>JAIR MICHELUZZI</t>
  </si>
  <si>
    <t>DAVI TRINDADE</t>
  </si>
  <si>
    <t>MARIA OLÍVIA SCHWALB SELENE</t>
  </si>
  <si>
    <t>RONALDO LIMA DOS SANTOS</t>
  </si>
  <si>
    <t>GERSON ISHIKAWA</t>
  </si>
  <si>
    <t>OSCAR MARCELO SILVEIRA DE SILVEIRA</t>
  </si>
  <si>
    <t>RAFAEL MURILLO DIGIÁCOMO</t>
  </si>
  <si>
    <t>DILSA MONDARDO</t>
  </si>
  <si>
    <t>LEONEL SEVERO ROCHA</t>
  </si>
  <si>
    <t>ROBERTO PORTELA MILDNER</t>
  </si>
  <si>
    <t>CLÁUDIO MASCARENHAS BRANDÃO</t>
  </si>
  <si>
    <t>THIAGO  TRINDADE  NESI</t>
  </si>
  <si>
    <t>ELIDIA TRIDAPALLI</t>
  </si>
  <si>
    <t>CIRO EDUARDO CÂNDIDO SILVA</t>
  </si>
  <si>
    <t>HÉLIO CAMARGO FILHO</t>
  </si>
  <si>
    <t>CARLOS ALBERTO GRIJÓ LACOMBE</t>
  </si>
  <si>
    <t>DENIZARD LEON DA SILVA</t>
  </si>
  <si>
    <t>JORGE DIAS DE MATOS</t>
  </si>
  <si>
    <t>CLEIDE JUSSARA MULLER PAREJA</t>
  </si>
  <si>
    <t>JOSÉ RICARDO CUNHA</t>
  </si>
  <si>
    <t>JOÃO HENRIQUE DE LIMA</t>
  </si>
  <si>
    <t>CYRO MARCOS DA SILVA</t>
  </si>
  <si>
    <t>HUMBERTO BERGMANN AVILA</t>
  </si>
  <si>
    <t>KARYNE MARIANO LIRA CORREIA</t>
  </si>
  <si>
    <t>DJONI LUIZ GILGEN BENEDETE</t>
  </si>
  <si>
    <t>ANA TALITA NIENOV</t>
  </si>
  <si>
    <t>CLEUNIR MAXIMILYA LUCHINI</t>
  </si>
  <si>
    <t>LUIZ HENRIQUE VOLPE CAMARGO</t>
  </si>
  <si>
    <t>TIAGO GAGLIANO PINTO ALBERTO</t>
  </si>
  <si>
    <t>GUILHERME GUIMARÃES FELICIANO</t>
  </si>
  <si>
    <t>EDGAR DUTRA</t>
  </si>
  <si>
    <t>RICARDO LUIZ COLTRO ANTUNES</t>
  </si>
  <si>
    <t>ANDRÉ KARAM TRINDADE</t>
  </si>
  <si>
    <t>RAFAEL LUIS GARDASZ APOLINARIO</t>
  </si>
  <si>
    <t>NEIDI MARGARETH SCHNEIDER</t>
  </si>
  <si>
    <t>NEWTON CARNEIRO AFFONSO DA COSTA</t>
  </si>
  <si>
    <t>GELSON DE AZEVEDO</t>
  </si>
  <si>
    <t>FRANCISCO SALVADOR BROD LINO</t>
  </si>
  <si>
    <t>ROMILSON RODRIGUES PEREIRA</t>
  </si>
  <si>
    <t>FERNANDO ELLER DA CUNHA</t>
  </si>
  <si>
    <t>ROGERIO AUGUSTO GIRARDI</t>
  </si>
  <si>
    <t>EDUARDO MORITZ DOS SANTOS</t>
  </si>
  <si>
    <t>RENATA PORTELLA NUNES</t>
  </si>
  <si>
    <t>ELVIS CRISTIANO TOLOTTI</t>
  </si>
  <si>
    <t>JOAO JOSE LUZ SCHAEFER</t>
  </si>
  <si>
    <t>FERNANDO ANTONIO RIBEIRO SERRA</t>
  </si>
  <si>
    <t>INÁCIO MAGAHLÃES FILHO</t>
  </si>
  <si>
    <t>SORAYA OLIVEIRA DE ASSIS</t>
  </si>
  <si>
    <t>MAGNUS BENETTI</t>
  </si>
  <si>
    <t>JOSÉ MANOEL MORAN COSTAS</t>
  </si>
  <si>
    <t>MARCELLO ARIAS DIAS DANUCALOV</t>
  </si>
  <si>
    <t>JORGE LUIZ SOUTO MAIOR</t>
  </si>
  <si>
    <t>SORAYA RODRIGUES MARTINS</t>
  </si>
  <si>
    <t>MARIA MAENO</t>
  </si>
  <si>
    <t>EDSON MEYER</t>
  </si>
  <si>
    <t>HELENO RODRIGUES CORRÊA FILHO</t>
  </si>
  <si>
    <t>ROBERTO CARLOS RUIZ</t>
  </si>
  <si>
    <t>ANDRÉA SERRA DE ALVARENGA</t>
  </si>
  <si>
    <t>JOÃO VIRGÍLIO TAGLIAVINI</t>
  </si>
  <si>
    <t>JOSÉ CARLOS RODRIGUES</t>
  </si>
  <si>
    <t>SANTINA MAZZUCO DA COSTA</t>
  </si>
  <si>
    <t>DHIEGO CARVALHO SANTOS</t>
  </si>
  <si>
    <t>JOSÉ AUGUSTO MONTEIRO CRUZ RODRIGUES PINTO</t>
  </si>
  <si>
    <t>MARIO CLAITON PEREIRA LIZ</t>
  </si>
  <si>
    <t>ANTONIO JESUS RODRIGUES DA SILVA</t>
  </si>
  <si>
    <t>MORIEL ADRIANO DA COSTA</t>
  </si>
  <si>
    <t>ANDREIA ALINE NUNES MACHADO</t>
  </si>
  <si>
    <t>GERENCIA EXECUTIVA DO INSS EM FLORIANÓPOLIS</t>
  </si>
  <si>
    <t>DELAMAR JOSE VOLPATO DUTRA</t>
  </si>
  <si>
    <t>JOÃO CARLOS HOEPERS</t>
  </si>
  <si>
    <t>LUCIANO TORREGROSSE NOGARI</t>
  </si>
  <si>
    <t>WILSON CAVALHEIRO JUNIOR</t>
  </si>
  <si>
    <t>JAIR PEDRO LIMAS</t>
  </si>
  <si>
    <t>MARCOS DE NORONHA RIBEIRO</t>
  </si>
  <si>
    <t>OTAVIO NESI</t>
  </si>
  <si>
    <t>ALFREDO JORGE CHEREM</t>
  </si>
  <si>
    <t>ILDEBERTO MUNIZ DE ALMEIDA</t>
  </si>
  <si>
    <t>ANTÔNIO RENATO PEREIRA MORO</t>
  </si>
  <si>
    <t>PAULO MÁRCIO CRUZ</t>
  </si>
  <si>
    <t>MARCOS ANTONIO RIBEIRO</t>
  </si>
  <si>
    <t>RICARDO JAHN</t>
  </si>
  <si>
    <t>FABIANO STUMPF LUTZ</t>
  </si>
  <si>
    <t>FERNANDO SCHLICKMANN JÚNIOR</t>
  </si>
  <si>
    <t>MARCOS DA SILVA MEDEIROS</t>
  </si>
  <si>
    <t>JANAINA LUZ NARCISO SCHIAVON</t>
  </si>
  <si>
    <t>CESAR ALEX DOS SANTOS CARVALHO</t>
  </si>
  <si>
    <t>ADRIANA GOULART DE SENA</t>
  </si>
  <si>
    <t>RAFAEL FAVARETTO SCHLICHTING</t>
  </si>
  <si>
    <t>ANGELA REGINA POLETTO</t>
  </si>
  <si>
    <t>ANDRE VIANA CUSTODIO</t>
  </si>
  <si>
    <t>WASHINGTON LUIZ ROCHA</t>
  </si>
  <si>
    <t>RICARDO FIOREZE</t>
  </si>
  <si>
    <t>TAYSI SEEMANN</t>
  </si>
  <si>
    <t>PEDRO HENRIQUE BARBOSA DE ABREU</t>
  </si>
  <si>
    <t>CARMEN ROSA CALDAS-COULTHARD</t>
  </si>
  <si>
    <t>EDMILSON VITÓRIA DE VASCONCELOS</t>
  </si>
  <si>
    <t>GISELE GUIMARAES CITTADINO</t>
  </si>
  <si>
    <t>MARIENE DIAÇAÍ ESTRÁZULAS</t>
  </si>
  <si>
    <t>ANDRÉA MORGADO DIETRICH</t>
  </si>
  <si>
    <t>ELIZABETE TERNES PEREIRA</t>
  </si>
  <si>
    <t>ELIANE DE CASTRO SPOLIDORO</t>
  </si>
  <si>
    <t>RAFAELA RODRIGUES CORREIA</t>
  </si>
  <si>
    <t>CAROLINE CRISTINE CIDRAL NIEHUES</t>
  </si>
  <si>
    <t>GABRIELA DE ARAUJO ALBUQUERQUE</t>
  </si>
  <si>
    <t>JULIANA MACIEL GONCALVES CARAMORI</t>
  </si>
  <si>
    <t>DEBORA LEITES DOS SANTOS</t>
  </si>
  <si>
    <t>RICARDO HIDEKI NONAKA</t>
  </si>
  <si>
    <t>CRISNAMURTI EVARISTO SILVA DO VALE</t>
  </si>
  <si>
    <t>MARCO DE OLIVEIRA VIVAN</t>
  </si>
  <si>
    <t>ELIANA MARIA CALDATTO</t>
  </si>
  <si>
    <t>DEIVE ROY BOGANIKA</t>
  </si>
  <si>
    <t>JANICE BASTOS</t>
  </si>
  <si>
    <t>MARZALEM ALVES DE LIMA</t>
  </si>
  <si>
    <t>GLAUCIA DE OLIVEIRA ASSIS</t>
  </si>
  <si>
    <t>MARCOS HENRIQUE ANTUNES</t>
  </si>
  <si>
    <t>VALQUIRIA CUADRO</t>
  </si>
  <si>
    <t>LUÍZA MELLILO ZANIBONI LOCKS</t>
  </si>
  <si>
    <t>JOSÉ RICARDO ALVAREZ VIANNA</t>
  </si>
  <si>
    <t>ANA PAULA FLORES</t>
  </si>
  <si>
    <t>MARCOS HENRIQUE BEZERRA CABRAL</t>
  </si>
  <si>
    <t>LUCY MITIE TAKANO</t>
  </si>
  <si>
    <t>MAURÍCIO NASSER EHLKE</t>
  </si>
  <si>
    <t>NR_EMPENHO</t>
  </si>
  <si>
    <t>NR_ANOEMPENHO</t>
  </si>
  <si>
    <t>NR_REDUZIDO</t>
  </si>
  <si>
    <t>CD_CONTA</t>
  </si>
  <si>
    <t>CD_SUBITEM_DESPESA</t>
  </si>
  <si>
    <t>DS_SUBITEM_DESPESA</t>
  </si>
  <si>
    <t>CD_NATUREZA_DESPESA</t>
  </si>
  <si>
    <t>DS_NATUREZA_DESPESA</t>
  </si>
  <si>
    <t>201/2010</t>
  </si>
  <si>
    <t>02.122.0571.4256.0042/0001</t>
  </si>
  <si>
    <t>APRECIACAO DE CAUSAS NA JUSTICA DO TRABALHO - FONTE 100 TESOURO</t>
  </si>
  <si>
    <t>CONTRIBUIÇÃO P/ CUSTEIO DE ILUMINAÇÃO PÚBLICA</t>
  </si>
  <si>
    <t>OBRIGAÇÕES TRIBUTÁRIAS E CONTRIBUTIVAS</t>
  </si>
  <si>
    <t>SERVIÇOS DE ENERGIA ELÉTRICA</t>
  </si>
  <si>
    <t>OUTROS SERVIÇOS DE TERCEIROS - PESSOA JURÍDICA</t>
  </si>
  <si>
    <t>227/2010</t>
  </si>
  <si>
    <t>TRIBUTOS A CONTA DO LOCATÁRIO OU CESSIONÁRIO</t>
  </si>
  <si>
    <t>LOCAÇÃO DE IMÓVEIS</t>
  </si>
  <si>
    <t>CONDOMÍNIOS</t>
  </si>
  <si>
    <t>272/2010</t>
  </si>
  <si>
    <t>TAXAS</t>
  </si>
  <si>
    <t>SERVIÇOS DE AGUA E ESGOTO</t>
  </si>
  <si>
    <t>278/2010</t>
  </si>
  <si>
    <t>OUTROS SERVIÇOS DE TERCEIROS - PESSOA FÍSICA</t>
  </si>
  <si>
    <t>280/2010</t>
  </si>
  <si>
    <t>288/2010</t>
  </si>
  <si>
    <t>02.122.0571.4256 0042;0000</t>
  </si>
  <si>
    <t>APRECIAÇÃO DE CAUSAS NA JUSTIÇA DO TRABALHO - FONTE 150 CESSÃO ESPAÇOS</t>
  </si>
  <si>
    <t>TRIBUTOS A CONTA DE LOCATÁRIO OU CESSIONÁRIO</t>
  </si>
  <si>
    <t>SERVIÇOS DE TERCEIROS - PESSOA FÍSICA</t>
  </si>
  <si>
    <t>DESPESAS DE EXERCÍCIOS ANTERIORES</t>
  </si>
  <si>
    <t>290/2010</t>
  </si>
  <si>
    <t>302/2010</t>
  </si>
  <si>
    <t>02.122.0571.4256.0042 0000</t>
  </si>
  <si>
    <t>APRECIACAO DE CAUSAS NA JUSTICA DO TRABALHO - FONTE 181 CVNS</t>
  </si>
  <si>
    <t>338/2010</t>
  </si>
  <si>
    <t>354/2010</t>
  </si>
  <si>
    <t>357/2010</t>
  </si>
  <si>
    <t>370/2010</t>
  </si>
  <si>
    <t>756/2010</t>
  </si>
  <si>
    <t>3308/2011</t>
  </si>
  <si>
    <t>5215/2011</t>
  </si>
  <si>
    <t>LIMPEZA E CONSERVAÇÃO</t>
  </si>
  <si>
    <t>8812/2011</t>
  </si>
  <si>
    <t>595/2012</t>
  </si>
  <si>
    <t>SERVIÇOS DE PUBLICIDADE LEGAL</t>
  </si>
  <si>
    <t>OUTROS SERVIÇOS DE TERCEIROS - PESSOA JURIDICA - OPERAÇÃO INTRA ORCAMENTÁRIA</t>
  </si>
  <si>
    <t>SERVIÇOS DE TERCEIROS - PESSOA JURÍDICA</t>
  </si>
  <si>
    <t>4468/2012</t>
  </si>
  <si>
    <t>6725/2012</t>
  </si>
  <si>
    <t>02.122.0571.4256.0042:0001</t>
  </si>
  <si>
    <t>SUPORTE INFRAESTRUTURA DE TIC</t>
  </si>
  <si>
    <t>7089/2012</t>
  </si>
  <si>
    <t>MATERIAL P/ MANUTENÇÃO DE VEÍCULOS</t>
  </si>
  <si>
    <t>MANUTENÇÃO E CONSERVAÇÃO DE VEÍCULOS</t>
  </si>
  <si>
    <t>7406/2012</t>
  </si>
  <si>
    <t>COMUNICAÇÃO DE DADOS</t>
  </si>
  <si>
    <t>SERVICOS DE TIC - PJ</t>
  </si>
  <si>
    <t>7554/2012</t>
  </si>
  <si>
    <t>9563/2012</t>
  </si>
  <si>
    <t>2058/2013</t>
  </si>
  <si>
    <t>02.122.0571.4256.0042\0000</t>
  </si>
  <si>
    <t>APRECIACAO DE CAUSAS NA JUSTICA DO TRABALHO - FONTE 127 TESOURO</t>
  </si>
  <si>
    <t>APOIO ADMINISTRATIVO, TECNICO E OPERACIONAL</t>
  </si>
  <si>
    <t>LOCAÇÃO DE MÃO DE OBRA</t>
  </si>
  <si>
    <t>4351/2013</t>
  </si>
  <si>
    <t>VIGILÂNCIA OSTENSIVA</t>
  </si>
  <si>
    <t>5488/2013</t>
  </si>
  <si>
    <t>MATERIAL P/ MANUTENÇÃO DE BENS IMÓVEIS / INSTALAÇÕES</t>
  </si>
  <si>
    <t>MANUTENÇÃO E CONSERVAÇÃO DE BENS IMÓVEIS</t>
  </si>
  <si>
    <t>6644/2013</t>
  </si>
  <si>
    <t>6996/2013</t>
  </si>
  <si>
    <t>7217/2013</t>
  </si>
  <si>
    <t>SERVIÇOS DE TELECOMUNICAÇÕES</t>
  </si>
  <si>
    <t>8661/2013</t>
  </si>
  <si>
    <t>8802/2013</t>
  </si>
  <si>
    <t>8956/2013</t>
  </si>
  <si>
    <t>10452/2013</t>
  </si>
  <si>
    <t>MATERIAL P/ MANUTENÇÃO DE BENS MÓVEIS</t>
  </si>
  <si>
    <t>11504/2013</t>
  </si>
  <si>
    <t>12346/2013</t>
  </si>
  <si>
    <t>PASSAGENS PARA O PAIS</t>
  </si>
  <si>
    <t>PASSAGENS E DESPESAS COM LOCOMOÇÃO</t>
  </si>
  <si>
    <t>COMISSÕES E CORRETAGENS</t>
  </si>
  <si>
    <t>02.122.0571.4256.0042;0005</t>
  </si>
  <si>
    <t>FORMAÇÃO E APERFEIÇOAMENTO DE MAGISTRADOS - APREC. CAUSAS NA JUSTICA DO TR SC</t>
  </si>
  <si>
    <t>13344/2013</t>
  </si>
  <si>
    <t>1760/2014</t>
  </si>
  <si>
    <t>2915/2014</t>
  </si>
  <si>
    <t>3470/2014</t>
  </si>
  <si>
    <t>3620/2014</t>
  </si>
  <si>
    <t>SERVIÇOS DE COMUNICAÇÃO EM GERAL</t>
  </si>
  <si>
    <t>4953/2014</t>
  </si>
  <si>
    <t>5964/2014</t>
  </si>
  <si>
    <t>SERVIÇOS DE COPA E COZINHA</t>
  </si>
  <si>
    <t>6399/2014</t>
  </si>
  <si>
    <t>MANUTENÇÃO CORRETIVA/ADAPTATIVA E SUST. DE SOFTWARE</t>
  </si>
  <si>
    <t>6638/2014</t>
  </si>
  <si>
    <t>7542/2014</t>
  </si>
  <si>
    <t>9013/2014</t>
  </si>
  <si>
    <t>02.122.0571.135U;4476</t>
  </si>
  <si>
    <t>CONSTRUÇÃO DO EDIFÍCIO-SEDE DO FÓRUM TRABALHISTA DE CHAPECÓ</t>
  </si>
  <si>
    <t>OBRAS EM ANDAMENTO</t>
  </si>
  <si>
    <t>OBRAS E INSTALAÇÕES</t>
  </si>
  <si>
    <t>11326/2014</t>
  </si>
  <si>
    <t>13933/2014</t>
  </si>
  <si>
    <t>225/2015</t>
  </si>
  <si>
    <t>776/2015</t>
  </si>
  <si>
    <t>836/2015</t>
  </si>
  <si>
    <t>VIGILÂNCIA OSTENSIVA MONITORADA</t>
  </si>
  <si>
    <t>2460/2015</t>
  </si>
  <si>
    <t>MANUT E CONSERV DE EQUIP DE TI</t>
  </si>
  <si>
    <t>3456/2015</t>
  </si>
  <si>
    <t>4162/2015</t>
  </si>
  <si>
    <t>SERVIÇO DE APOIO ADMINISTRATIVO, TÉCNICO E OPERACIONAL</t>
  </si>
  <si>
    <t>4563/2015</t>
  </si>
  <si>
    <t>5883/2015</t>
  </si>
  <si>
    <t>6704/2015</t>
  </si>
  <si>
    <t>6991/2015</t>
  </si>
  <si>
    <t>MANUTENÇÃO E CONSERVAÇÃO DE MAQUINAS E EQUIPAMENTOS</t>
  </si>
  <si>
    <t>7152/2015</t>
  </si>
  <si>
    <t>FORNECIMENTO DE ALIMENTAÇÃO</t>
  </si>
  <si>
    <t>7785/2015</t>
  </si>
  <si>
    <t>8323/2015</t>
  </si>
  <si>
    <t>9207/2015</t>
  </si>
  <si>
    <t>9282/2015</t>
  </si>
  <si>
    <t>LOCAÇÃO DE MÃO-DE-OBRA</t>
  </si>
  <si>
    <t>9663/2015</t>
  </si>
  <si>
    <t>10429/2015</t>
  </si>
  <si>
    <t>10547/2015</t>
  </si>
  <si>
    <t>11135/2015</t>
  </si>
  <si>
    <t>SERVICOS DE TECNOLOGIA DA INFORMACAO E COMUNICACAO PJ</t>
  </si>
  <si>
    <t>12505/2015</t>
  </si>
  <si>
    <t>13521/2015</t>
  </si>
  <si>
    <t>FRETES E TRANSPORTES DE ENCOMENDAS</t>
  </si>
  <si>
    <t>14288/2015</t>
  </si>
  <si>
    <t>14340/2015</t>
  </si>
  <si>
    <t>130/2016</t>
  </si>
  <si>
    <t>618/2016</t>
  </si>
  <si>
    <t>1064/2016</t>
  </si>
  <si>
    <t>SERVIÇOS DOMÉSTICOS</t>
  </si>
  <si>
    <t>1770/2016</t>
  </si>
  <si>
    <t>2246/2016</t>
  </si>
  <si>
    <t>3810/2016</t>
  </si>
  <si>
    <t>4107/2016</t>
  </si>
  <si>
    <t>4541/2016</t>
  </si>
  <si>
    <t>MANUTENÇÃO E CONSERVAÇÃO DE BENS MÓVEIS E OUTRAS NATUREZAS</t>
  </si>
  <si>
    <t>5277/2016</t>
  </si>
  <si>
    <t>6427/2016</t>
  </si>
  <si>
    <t>6502/2016</t>
  </si>
  <si>
    <t>7065/2016</t>
  </si>
  <si>
    <t>7474/2016</t>
  </si>
  <si>
    <t>7749/2016</t>
  </si>
  <si>
    <t>SERVIÇOS TÉCNICOS PROFISSIONAIS</t>
  </si>
  <si>
    <t>8009/2016</t>
  </si>
  <si>
    <t>8060/2016</t>
  </si>
  <si>
    <t>8382/2016</t>
  </si>
  <si>
    <t>8634/2016</t>
  </si>
  <si>
    <t>9084/2016</t>
  </si>
  <si>
    <t>10492/2016</t>
  </si>
  <si>
    <t>11123/2016</t>
  </si>
  <si>
    <t>11945/2016</t>
  </si>
  <si>
    <t>12055/2016</t>
  </si>
  <si>
    <t>EMISÃO DE CERTIFICADOS DIGITAIS</t>
  </si>
  <si>
    <t>13216/2016</t>
  </si>
  <si>
    <t>13224/2016</t>
  </si>
  <si>
    <t>81/2017</t>
  </si>
  <si>
    <t>112/2017</t>
  </si>
  <si>
    <t>SEGUROS EM GERAL</t>
  </si>
  <si>
    <t>966/2017</t>
  </si>
  <si>
    <t>1366/2017</t>
  </si>
  <si>
    <t>AQUISICAO DE SOFTWARE PRONTO</t>
  </si>
  <si>
    <t>1644/2017</t>
  </si>
  <si>
    <t>MATERIAL DE EXPEDIENTE</t>
  </si>
  <si>
    <t>2694/2017</t>
  </si>
  <si>
    <t>3554/2017</t>
  </si>
  <si>
    <t>3691/2017</t>
  </si>
  <si>
    <t>3865/2017</t>
  </si>
  <si>
    <t>4502/2017</t>
  </si>
  <si>
    <t>4896/2017</t>
  </si>
  <si>
    <t>5106/2017</t>
  </si>
  <si>
    <t>5135/2017</t>
  </si>
  <si>
    <t>5436/2017</t>
  </si>
  <si>
    <t>EQUIPAMENTOS PARA AUDIO, VIDEO E FOTO</t>
  </si>
  <si>
    <t>MÁQUINAS, UTENSÍLIOS E EQUIPAMENTOS DIVERSOS</t>
  </si>
  <si>
    <t>5477/2017</t>
  </si>
  <si>
    <t>MATERIAL DE ACONDICIONAMENTO E EMBALAGEM</t>
  </si>
  <si>
    <t>5494/2017</t>
  </si>
  <si>
    <t>5501/2017</t>
  </si>
  <si>
    <t>MATERIAL DE LIMPEZA E PRODUTOS DE HIGIENIZAÇÃO</t>
  </si>
  <si>
    <t>MATERIAL DE COPA E COZINHA</t>
  </si>
  <si>
    <t>5724/2017</t>
  </si>
  <si>
    <t>5811/2017</t>
  </si>
  <si>
    <t>7239/2017</t>
  </si>
  <si>
    <t>7299/2017</t>
  </si>
  <si>
    <t>MOBILIÁRIO EM GERAL</t>
  </si>
  <si>
    <t>7334/2017</t>
  </si>
  <si>
    <t>MATERIAL DE PROCESSAMENTO DE DADOS</t>
  </si>
  <si>
    <t>MATERIAL P/ UTILIZAÇÃO EM GRÁFICA</t>
  </si>
  <si>
    <t>8492/2017</t>
  </si>
  <si>
    <t>MATERIAL DE PROTEÇÃO E SEGURANÇA</t>
  </si>
  <si>
    <t>8913/2017</t>
  </si>
  <si>
    <t>9379/2017</t>
  </si>
  <si>
    <t>9460/2017</t>
  </si>
  <si>
    <t>9748/2017</t>
  </si>
  <si>
    <t>02.126.0571.2C73:0001</t>
  </si>
  <si>
    <t>MANUTENÇÃO DO SISTEMA NACIONAL DE TECNOLOGIA DA INFORMAÇÃO</t>
  </si>
  <si>
    <t>EQUIPAMENTO DE PROCESSAMENTO DE DADOS</t>
  </si>
  <si>
    <t>9951/2017</t>
  </si>
  <si>
    <t>GENEROS DE ALIMENTAÇÃO</t>
  </si>
  <si>
    <t>10458/2017</t>
  </si>
  <si>
    <t>COMBUSTÍVEIS E LUBRIFICANTES AUTOMOTIVOS</t>
  </si>
  <si>
    <t>10469/2017</t>
  </si>
  <si>
    <t>10567/2017</t>
  </si>
  <si>
    <t>10602/2017</t>
  </si>
  <si>
    <t>10821/2017</t>
  </si>
  <si>
    <t>GAS E OUTROS MATERIAIS ENGARRAFADOS</t>
  </si>
  <si>
    <t>10888/2017</t>
  </si>
  <si>
    <t>11073/2017</t>
  </si>
  <si>
    <t>11926/2017</t>
  </si>
  <si>
    <t>TREINAMENTO/CAPACITAÇÃO EM TIC</t>
  </si>
  <si>
    <t>11967/2017</t>
  </si>
  <si>
    <t>11968/2017</t>
  </si>
  <si>
    <t>11969/2017</t>
  </si>
  <si>
    <t>11972/2017</t>
  </si>
  <si>
    <t>11973/2017</t>
  </si>
  <si>
    <t>12124/2017</t>
  </si>
  <si>
    <t>12364/2017</t>
  </si>
  <si>
    <t>MATERIAL DE SINALIZAÇÃO VISUAL E OUTROS</t>
  </si>
  <si>
    <t>12483/2017</t>
  </si>
  <si>
    <t>13105/2017</t>
  </si>
  <si>
    <t>SERVIÇOS BANCÁRIOS</t>
  </si>
  <si>
    <t>13133/2017</t>
  </si>
  <si>
    <t>SERVIÇOS TÉCNICOS PROFISSIONAIS DE TIC</t>
  </si>
  <si>
    <t>OUTROS SERVICOS DE TERCEIROS- PESSOA JURIDICA</t>
  </si>
  <si>
    <t>13277/2017</t>
  </si>
  <si>
    <t>20/2018</t>
  </si>
  <si>
    <t>61/2018</t>
  </si>
  <si>
    <t>121/2018</t>
  </si>
  <si>
    <t>188/2018</t>
  </si>
  <si>
    <t>ASSINATURAS DE PERIÓDICOS E ANUIDADES</t>
  </si>
  <si>
    <t>359/2018</t>
  </si>
  <si>
    <t>02.301.0571.2004.0042;0001</t>
  </si>
  <si>
    <t>ASSISTENCIA MEDICA E ODONTOLOGICA AOS - NO ESTADO DE SANTA CATARINA</t>
  </si>
  <si>
    <t>MATERIAL FARMACOLÓGICO</t>
  </si>
  <si>
    <t>393/2018</t>
  </si>
  <si>
    <t>MATERIAL ELÉTRICO ELETRÔNICO</t>
  </si>
  <si>
    <t>416/2018</t>
  </si>
  <si>
    <t>SERVIÇOS TECNICOS PROFISSIONAIS DE TI</t>
  </si>
  <si>
    <t>418/2018</t>
  </si>
  <si>
    <t>423/2018</t>
  </si>
  <si>
    <t>548/2018</t>
  </si>
  <si>
    <t>BANDEIRAS, FLAMULAS E INSIGNIAS</t>
  </si>
  <si>
    <t>619/2018</t>
  </si>
  <si>
    <t>707/2018</t>
  </si>
  <si>
    <t>715/2018</t>
  </si>
  <si>
    <t>729/2018</t>
  </si>
  <si>
    <t>SERVIÇOS DE PERÍCIAS MÉDICAS POR BENEFÍCIOS</t>
  </si>
  <si>
    <t>750/2018</t>
  </si>
  <si>
    <t>1035/2018</t>
  </si>
  <si>
    <t>1073/2018</t>
  </si>
  <si>
    <t>1122/2018</t>
  </si>
  <si>
    <t>02.122.0571.4256.0042;0002</t>
  </si>
  <si>
    <t>CAPACITACAO DE RECURSOS HUMANOS - APREC. CAUSAS NA JUSTICA DO TR SC</t>
  </si>
  <si>
    <t>SERVIÇO DE SELEÇÃO E TREINAMENTO</t>
  </si>
  <si>
    <t>1127/2018</t>
  </si>
  <si>
    <t>1137/2018</t>
  </si>
  <si>
    <t>1177/2018</t>
  </si>
  <si>
    <t>1184/2018</t>
  </si>
  <si>
    <t>1192/2018</t>
  </si>
  <si>
    <t>1215/2018</t>
  </si>
  <si>
    <t>1216/2018</t>
  </si>
  <si>
    <t>1219/2018</t>
  </si>
  <si>
    <t>APRECIAÇÃO DE CAUSAS NA JUSTIÇA DO TRABALHO</t>
  </si>
  <si>
    <t>1232/2018</t>
  </si>
  <si>
    <t>1261/2018</t>
  </si>
  <si>
    <t>1318/2018</t>
  </si>
  <si>
    <t>1414/2018</t>
  </si>
  <si>
    <t>1598/2018</t>
  </si>
  <si>
    <t>1605/2018</t>
  </si>
  <si>
    <t>1620/2018</t>
  </si>
  <si>
    <t>1630/2018</t>
  </si>
  <si>
    <t>1632/2018</t>
  </si>
  <si>
    <t>MATERIAL DE CAMA, MESA E BANHO</t>
  </si>
  <si>
    <t>1638/2018</t>
  </si>
  <si>
    <t>1639/2018</t>
  </si>
  <si>
    <t>TAXA DE ADMINISTRAÇÃO</t>
  </si>
  <si>
    <t>1649/2018</t>
  </si>
  <si>
    <t>1665/2018</t>
  </si>
  <si>
    <t>1684/2018</t>
  </si>
  <si>
    <t>1707/2018</t>
  </si>
  <si>
    <t>1742/2018</t>
  </si>
  <si>
    <t>1923/2018</t>
  </si>
  <si>
    <t>02.131.0571.2549.0042/0000</t>
  </si>
  <si>
    <t>COMUNICACAO E DIVULGACAO INSTITUCIONAL - NO ESTADO DE SANTA CATARINA</t>
  </si>
  <si>
    <t>MATERIAL P/ ÁUDIO, VÍDEO E FOTO</t>
  </si>
  <si>
    <t>2308/2018</t>
  </si>
  <si>
    <t>2334/2018</t>
  </si>
  <si>
    <t>2354/2018</t>
  </si>
  <si>
    <t>2387/2018</t>
  </si>
  <si>
    <t>2400/2018</t>
  </si>
  <si>
    <t>2420/2018</t>
  </si>
  <si>
    <t>2457/2018</t>
  </si>
  <si>
    <t>2489/2018</t>
  </si>
  <si>
    <t>2646/2018</t>
  </si>
  <si>
    <t>2653/2018</t>
  </si>
  <si>
    <t>SERVIÇOS GRÁFICOS E EDITORIAIS</t>
  </si>
  <si>
    <t>2764/2018</t>
  </si>
  <si>
    <t>EXPLOSIVOS E MUNIÇÕES</t>
  </si>
  <si>
    <t>2768/2018</t>
  </si>
  <si>
    <t>2813/2018</t>
  </si>
  <si>
    <t>OBRIGAÇÕES TRIBUTÁRIAS E CONTRIBUTIVAS OPERACIONAL INTRA ORÇAMENTÁRIAS</t>
  </si>
  <si>
    <t>2856/2018</t>
  </si>
  <si>
    <t>2876/2018</t>
  </si>
  <si>
    <t>2942/2018</t>
  </si>
  <si>
    <t>3087/2018</t>
  </si>
  <si>
    <t>3238/2018</t>
  </si>
  <si>
    <t>EQUIPAMENTO DE PROTEÇÃO, SEGURANÇA E SOCORRO</t>
  </si>
  <si>
    <t>3440/2018</t>
  </si>
  <si>
    <t>PEÇAS NÃO INCORPORÁVEIS A IMÓVEIS</t>
  </si>
  <si>
    <t>3488/2018</t>
  </si>
  <si>
    <t>3552/2018</t>
  </si>
  <si>
    <t>LOCAÇÃO DE MEIOS DE TRANSPORTE</t>
  </si>
  <si>
    <t>3607/2018</t>
  </si>
  <si>
    <t>3656/2018</t>
  </si>
  <si>
    <t>3701/2018</t>
  </si>
  <si>
    <t>MATERIAL ODONTOLÓGICO</t>
  </si>
  <si>
    <t>3746/2018</t>
  </si>
  <si>
    <t>3790/2018</t>
  </si>
  <si>
    <t>3993/2018</t>
  </si>
  <si>
    <t>4015/2018</t>
  </si>
  <si>
    <t>4065/2018</t>
  </si>
  <si>
    <t>4239/2018</t>
  </si>
  <si>
    <t>4403/2018</t>
  </si>
  <si>
    <t>4414/2018</t>
  </si>
  <si>
    <t>4441/2018</t>
  </si>
  <si>
    <t>4491/2018</t>
  </si>
  <si>
    <t>4658/2018</t>
  </si>
  <si>
    <t>MÁQUINAS E EQUIPAMENTOS GRÁFICOS</t>
  </si>
  <si>
    <t>4681/2018</t>
  </si>
  <si>
    <t>SERVIÇOS DE PERÍCIA MÉDICA/ODONTOLÓGICA PARA BENEFÍCIOS</t>
  </si>
  <si>
    <t>4881/2018</t>
  </si>
  <si>
    <t>5001/2018</t>
  </si>
  <si>
    <t>5135/2018</t>
  </si>
  <si>
    <t>MATERIAL HOSPITALAR</t>
  </si>
  <si>
    <t>5274/2018</t>
  </si>
  <si>
    <t>5483/2018</t>
  </si>
  <si>
    <t>5503/2018</t>
  </si>
  <si>
    <t>5599/2018</t>
  </si>
  <si>
    <t>5641/2018</t>
  </si>
  <si>
    <t>5922/2018</t>
  </si>
  <si>
    <t>5935/2018</t>
  </si>
  <si>
    <t>5999/2018</t>
  </si>
  <si>
    <t>6170/2018</t>
  </si>
  <si>
    <t>6175/2018</t>
  </si>
  <si>
    <t>6293/2018</t>
  </si>
  <si>
    <t>6294/2018</t>
  </si>
  <si>
    <t>6320/2018</t>
  </si>
  <si>
    <t>6421/2018</t>
  </si>
  <si>
    <t>APARELHOS E EQUIPAMENTOS DE COMUNICAÇÃO</t>
  </si>
  <si>
    <t>6446/2018</t>
  </si>
  <si>
    <t>6567/2018</t>
  </si>
  <si>
    <t>6607/2018</t>
  </si>
  <si>
    <t>UNIFORMES, TECIDOS E AVIAMENTOS</t>
  </si>
  <si>
    <t>6636/2018</t>
  </si>
  <si>
    <t>6736/2018</t>
  </si>
  <si>
    <t>6749/2018</t>
  </si>
  <si>
    <t>6823/2018</t>
  </si>
  <si>
    <t>6862/2018</t>
  </si>
  <si>
    <t>6894/2018</t>
  </si>
  <si>
    <t>7071/2018</t>
  </si>
  <si>
    <t>ERRADICAÇÃO TRABALHO INFANTIL - APREC. CAUSAS NA JUSTIÇA DO TR SC</t>
  </si>
  <si>
    <t>MATERIAL  PARA DIVULGAÇÃO</t>
  </si>
  <si>
    <t>7121/2018</t>
  </si>
  <si>
    <t>MUDANÇAS EM OBJETO DE SERVIÇO</t>
  </si>
  <si>
    <t>7224/2018</t>
  </si>
  <si>
    <t>7271/2018</t>
  </si>
  <si>
    <t>7278/2018</t>
  </si>
  <si>
    <t>7295/2018</t>
  </si>
  <si>
    <t>7349/2018</t>
  </si>
  <si>
    <t>MATERIAL BIBLIOGRAFICO</t>
  </si>
  <si>
    <t>7428/2018</t>
  </si>
  <si>
    <t>7440/2018</t>
  </si>
  <si>
    <t>7501/2018</t>
  </si>
  <si>
    <t>7553/2018</t>
  </si>
  <si>
    <t>7613/2018</t>
  </si>
  <si>
    <t>APARELHOS E EQUIPAMENTOS UTENS. MEDICO, ODONTOLOGICO, LABORATORIAL HOSPITALAR</t>
  </si>
  <si>
    <t>7634/2018</t>
  </si>
  <si>
    <t>7692/2018</t>
  </si>
  <si>
    <t>7713/2018</t>
  </si>
  <si>
    <t>7739/2018</t>
  </si>
  <si>
    <t>7759/2018</t>
  </si>
  <si>
    <t>7846/2018</t>
  </si>
  <si>
    <t>7849/2018</t>
  </si>
  <si>
    <t>7874/2018</t>
  </si>
  <si>
    <t>7895/2018</t>
  </si>
  <si>
    <t>7976/2018</t>
  </si>
  <si>
    <t>8027/2018</t>
  </si>
  <si>
    <t>8056/2018</t>
  </si>
  <si>
    <t>8095/2018</t>
  </si>
  <si>
    <t>8117/2018</t>
  </si>
  <si>
    <t>8192/2018</t>
  </si>
  <si>
    <t>8227/2018</t>
  </si>
  <si>
    <t>8238/2018</t>
  </si>
  <si>
    <t>8400/2018</t>
  </si>
  <si>
    <t>8423/2018</t>
  </si>
  <si>
    <t>8445/2018</t>
  </si>
  <si>
    <t>8471/2018</t>
  </si>
  <si>
    <t>8474/2018</t>
  </si>
  <si>
    <t>8505/2018</t>
  </si>
  <si>
    <t>8506/2018</t>
  </si>
  <si>
    <t>8557/2018</t>
  </si>
  <si>
    <t>8630/2018</t>
  </si>
  <si>
    <t>8884/2018</t>
  </si>
  <si>
    <t>8896/2018</t>
  </si>
  <si>
    <t>8936/2018</t>
  </si>
  <si>
    <t>8994/2018</t>
  </si>
  <si>
    <t>9005/2018</t>
  </si>
  <si>
    <t>9083/2018</t>
  </si>
  <si>
    <t>9153/2018</t>
  </si>
  <si>
    <t>9191/2018</t>
  </si>
  <si>
    <t>9255/2018</t>
  </si>
  <si>
    <t>9256/2018</t>
  </si>
  <si>
    <t>9316/2018</t>
  </si>
  <si>
    <t>SERVIÇO MÉDICO-HOSPITALAR, ODONTOLÓGICO E LABORATORIAIS</t>
  </si>
  <si>
    <t>9317/2018</t>
  </si>
  <si>
    <t>9372/2018</t>
  </si>
  <si>
    <t>9377/2018</t>
  </si>
  <si>
    <t>9392/2018</t>
  </si>
  <si>
    <t>9429/2018</t>
  </si>
  <si>
    <t>9439/2018</t>
  </si>
  <si>
    <t>9587/2018</t>
  </si>
  <si>
    <t>9627/2018</t>
  </si>
  <si>
    <t>9693/2018</t>
  </si>
  <si>
    <t>9730/2018</t>
  </si>
  <si>
    <t>9816/2018</t>
  </si>
  <si>
    <t>9855/2018</t>
  </si>
  <si>
    <t>9887/2018</t>
  </si>
  <si>
    <t>9968/2018</t>
  </si>
  <si>
    <t>10046/2018</t>
  </si>
  <si>
    <t>10055/2018</t>
  </si>
  <si>
    <t>10097/2018</t>
  </si>
  <si>
    <t>10185/2018</t>
  </si>
  <si>
    <t>DESPESAS COM EXCESSO DE BAGAGEM</t>
  </si>
  <si>
    <t>10248/2018</t>
  </si>
  <si>
    <t>10266/2018</t>
  </si>
  <si>
    <t>10279/2018</t>
  </si>
  <si>
    <t>10360/2018</t>
  </si>
  <si>
    <t>10438/2018</t>
  </si>
  <si>
    <t>10491/2018</t>
  </si>
  <si>
    <t>TRABALHO SEGURO - APREC. CAUSAS NA JUSTIÇA DO TR SC</t>
  </si>
  <si>
    <t>10514/2018</t>
  </si>
  <si>
    <t>10526/2018</t>
  </si>
  <si>
    <t>ASSESSORIA E CONSULTORIA TÉCNICA OU JURÍDICA</t>
  </si>
  <si>
    <t>10540/2018</t>
  </si>
  <si>
    <t>10589/2018</t>
  </si>
  <si>
    <t>10617/2018</t>
  </si>
  <si>
    <t>10676/2018</t>
  </si>
  <si>
    <t>10758/2018</t>
  </si>
  <si>
    <t>10780/2018</t>
  </si>
  <si>
    <t>10812/2018</t>
  </si>
  <si>
    <t>10816/2018</t>
  </si>
  <si>
    <t>10969/2018</t>
  </si>
  <si>
    <t>11119/2018</t>
  </si>
  <si>
    <t>11210/2018</t>
  </si>
  <si>
    <t>11224/2018</t>
  </si>
  <si>
    <t>11261/2018</t>
  </si>
  <si>
    <t>11295/2018</t>
  </si>
  <si>
    <t>11311/2018</t>
  </si>
  <si>
    <t>11332/2018</t>
  </si>
  <si>
    <t>11414/2018</t>
  </si>
  <si>
    <t>11515/2018</t>
  </si>
  <si>
    <t>11518/2018</t>
  </si>
  <si>
    <t>11730/2018</t>
  </si>
  <si>
    <t>11739/2018</t>
  </si>
  <si>
    <t>11741/2018</t>
  </si>
  <si>
    <t>SEMENTES, MUDAS DE PLANTAS E INSUMOS</t>
  </si>
  <si>
    <t>11744/2018</t>
  </si>
  <si>
    <t>INSTALAÇÃO DE EQUIPAMENTOS DE TIC</t>
  </si>
  <si>
    <t>11781/2018</t>
  </si>
  <si>
    <t>11803/2018</t>
  </si>
  <si>
    <t>11811/2018</t>
  </si>
  <si>
    <t>11892/2018</t>
  </si>
  <si>
    <t>11915/2018</t>
  </si>
  <si>
    <t>12100/2018</t>
  </si>
  <si>
    <t>12107/2018</t>
  </si>
  <si>
    <t>12131/2018</t>
  </si>
  <si>
    <t>12193/2018</t>
  </si>
  <si>
    <t>12208/2018</t>
  </si>
  <si>
    <t>12224/2018</t>
  </si>
  <si>
    <t>12230/2018</t>
  </si>
  <si>
    <t>12235/2018</t>
  </si>
  <si>
    <t>12512/2018</t>
  </si>
  <si>
    <t>12532/2018</t>
  </si>
  <si>
    <t>12615/2018</t>
  </si>
  <si>
    <t>12635/2018</t>
  </si>
  <si>
    <t>12668/2018</t>
  </si>
  <si>
    <t>AQUISICAO DE SOFTWARE SOB ENCOMENDA OU CUSTOMIZADOS</t>
  </si>
  <si>
    <t>12745/2018</t>
  </si>
  <si>
    <t>12758/2018</t>
  </si>
  <si>
    <t>12837/2018</t>
  </si>
  <si>
    <t>12865/2018</t>
  </si>
  <si>
    <t>13025/2018</t>
  </si>
  <si>
    <t>13081/2018</t>
  </si>
  <si>
    <t>13107/2018</t>
  </si>
  <si>
    <t>13202/2018</t>
  </si>
  <si>
    <t>13211/2018</t>
  </si>
  <si>
    <t>02.131.0571.2549.0042;0001</t>
  </si>
  <si>
    <t>13277/2018</t>
  </si>
  <si>
    <t>13300/2018</t>
  </si>
  <si>
    <t>13377/2018</t>
  </si>
  <si>
    <t>13391/2018</t>
  </si>
  <si>
    <t>13415/2018</t>
  </si>
  <si>
    <t>13421/2018</t>
  </si>
  <si>
    <t>13429/2018</t>
  </si>
  <si>
    <t>13436/2018</t>
  </si>
  <si>
    <t>13449/2018</t>
  </si>
  <si>
    <t>13463/2018</t>
  </si>
  <si>
    <t>13503/2018</t>
  </si>
  <si>
    <t>13574/2018</t>
  </si>
  <si>
    <t>13724/2018</t>
  </si>
  <si>
    <t>13728/2018</t>
  </si>
  <si>
    <t>13743/2018</t>
  </si>
  <si>
    <t>13749/2018</t>
  </si>
  <si>
    <t>13750/2018</t>
  </si>
  <si>
    <t>13768/2018</t>
  </si>
  <si>
    <t>13778/2018</t>
  </si>
  <si>
    <t>13801/2018</t>
  </si>
  <si>
    <t>13836/2018</t>
  </si>
  <si>
    <t>13876/2018</t>
  </si>
  <si>
    <t>SERVIÇOS DE AUDIO, VIDEO E FOTO</t>
  </si>
  <si>
    <t>13881/2018</t>
  </si>
  <si>
    <t>14013/2018</t>
  </si>
  <si>
    <t>14105/2018</t>
  </si>
  <si>
    <t>14146/2018</t>
  </si>
  <si>
    <t>14185/2018</t>
  </si>
  <si>
    <t>14255/2018</t>
  </si>
  <si>
    <t>14258/2018</t>
  </si>
  <si>
    <t>14315/2018</t>
  </si>
  <si>
    <t>14413/2018</t>
  </si>
  <si>
    <t>EQUIPAMENTOS DE TIC - ATIVOS DE REDE</t>
  </si>
  <si>
    <t>14714/2018</t>
  </si>
  <si>
    <t>021220033425600420000</t>
  </si>
  <si>
    <t>021220033425600420001</t>
  </si>
  <si>
    <t>INFRA</t>
  </si>
  <si>
    <t>INFRA-PJe</t>
  </si>
  <si>
    <t>INFRA-GAe</t>
  </si>
  <si>
    <t>PROAD do contrato</t>
  </si>
  <si>
    <t xml:space="preserve">Denominação com classificação (CSJT Ato 71) </t>
  </si>
  <si>
    <t>INFRA - (ID PAAC 15002) Banco de Dados - Contratação de suporte e atualização de licenças Oracle</t>
  </si>
  <si>
    <t>SEGURANÇA - (ID PAAC 15004) Antivírus - Aquisição de licenças de solução de antivírus com suporte e atualização</t>
  </si>
  <si>
    <t xml:space="preserve">INFRA - (ID PAAC 15006) BLADE - Suporte e manutenção de servidor de processamento de dados  </t>
  </si>
  <si>
    <t>SEGURANÇA - (ID PAAC 15011) Filtro Web - Contratação de suporte e atualização de licenças das soluções de filtragem de conteúdo web McAfee Web Security e McAfee Web Anti Malware</t>
  </si>
  <si>
    <t>INFRA-PJe - (ID PAAC 15033) JBOSS - Contratação de subscrição JBoss EAP</t>
  </si>
  <si>
    <t>INFRA - (ID PAAC 15056) Rede JT - Ciasc - Contratação de 23 links de alto desempenho para conexão da SEDE com unidades</t>
  </si>
  <si>
    <t>INFRA - (ID PAAC 15059) SALA COFRE - Contratação de manutenção de sala cofre</t>
  </si>
  <si>
    <t>GOVERNANÇA - (ID PAAC 15068) Contratação de suporte e atualização de licenças de solução de gerenciamento de risco (Risk Manager)</t>
  </si>
  <si>
    <t>INFRA - (ID PAAC 15070) Rede JT - Alt - Contratação de 13 links para conexão da sede com as unidades do interior</t>
  </si>
  <si>
    <t>INFRA-PJe - (ID PAAC 15077) Contratação de suporte e atualização de licenças do software de monitoramento e performance de aplicações para o PJe (CA/APM)</t>
  </si>
  <si>
    <t>INFRA-PJe - (ID PAAC 15151) Banco de Dados - Contratação de monitoramento remoto e suporte técnico para os bancos de dados Oracle, PostgreSQL e MySQL</t>
  </si>
  <si>
    <t>PREMIAÇÕES CULTURAIS, ARTÍSTICAS, CIENTÍFICAS, DESPORTIVAS E OUTRAS</t>
  </si>
  <si>
    <t>OUTROS SERVIÇOS DE TERCEIROS - PJ</t>
  </si>
  <si>
    <t>Vide critérios de classificação para material de consumo na Portaria PRESI 218/2018</t>
  </si>
  <si>
    <t>Fornecedor é órgão público federal</t>
  </si>
  <si>
    <t>Serviços técnicos profissionais de TIC</t>
  </si>
  <si>
    <t>Locação de equipamentos de TIC - ativos de rede</t>
  </si>
  <si>
    <t>Locação de equipamentos de TIC - computadores</t>
  </si>
  <si>
    <t>Locação de equipamentos de TIC - servidores/storage</t>
  </si>
  <si>
    <t>Locação de equipamentos de TIC - impressoras</t>
  </si>
  <si>
    <t>Locação de equipamentos de TIC - telefonia</t>
  </si>
  <si>
    <t>Hospedagens de sistemas</t>
  </si>
  <si>
    <t>Tefefonia fixa e móvel - pacote de comunicação de dados</t>
  </si>
  <si>
    <t>Digitalização/indexação de documentos</t>
  </si>
  <si>
    <t>Outsourcing de impressão</t>
  </si>
  <si>
    <t>Computação em nuvem - infraestrutura como serviço (IAAS)</t>
  </si>
  <si>
    <t>Computação em nuvem - plataforma como serviço (PAAS)</t>
  </si>
  <si>
    <t>Treinamento/capacitação em TIC</t>
  </si>
  <si>
    <t>Instalação de Equipamentos de TIC</t>
  </si>
  <si>
    <t>Serviços de TIC - PJ de caráter secreto ou reservado</t>
  </si>
  <si>
    <t>Serviços de TIC - pagamento antecipado</t>
  </si>
  <si>
    <t>Outros serviços de TIC</t>
  </si>
  <si>
    <t>Aquisição de software</t>
  </si>
  <si>
    <t>Aquisição de software sob encomenda ou customizados</t>
  </si>
  <si>
    <t>Equipamentos de TIC - ativos de rede</t>
  </si>
  <si>
    <t>Equipamentos de TIC - servidores/storage</t>
  </si>
  <si>
    <t>Manutenção evolutiva de software</t>
  </si>
  <si>
    <t>Material deTIC (consumo)</t>
  </si>
  <si>
    <t>Melhoria, manutenção e suporte de equipamentos de TIC</t>
  </si>
  <si>
    <t>Serviços de TIC – pagamento antecipado</t>
  </si>
  <si>
    <t>Telefonia fixa e móvel - Pacote de Comunicação de Dados</t>
  </si>
  <si>
    <t>LOCAÇÃO DE EQUIPAMENTOS DE TIC - ATIVOS DE REDE</t>
  </si>
  <si>
    <t>LOCAÇÃO DE EQUIPAMENTOS DE TIC - COMPUTADORES</t>
  </si>
  <si>
    <t>LOCAÇÃO DE EQUIPAMENTOS DE TIC - SERVIDORES/STORAGE</t>
  </si>
  <si>
    <t>LOCAÇÃO DE EQUIPAMENTOS DE TIC - IMPRESSORAS</t>
  </si>
  <si>
    <t>LOCAÇÃO DE EQUIPAMENTOS DE TIC - TELEFONIA</t>
  </si>
  <si>
    <t>TEFEFONIA FIXA E MÓVEL - PACOTE DE COMUNICAÇÃO DE DADOS</t>
  </si>
  <si>
    <t>DIGITALIZAÇÃO/INDEXAÇÃO DE DOCUMENTOS</t>
  </si>
  <si>
    <t>OUTSOURCING DE IMPRESSÃO</t>
  </si>
  <si>
    <t>COMPUTAÇÃO EM NUVEM - INFRAESTRUTURA COMO SERVIÇO (IAAS)</t>
  </si>
  <si>
    <t>COMPUTAÇÃO EM NUVEM - PLATAFORMA COMO SERVIÇO (PAAS)</t>
  </si>
  <si>
    <t>SERVIÇOS DE TIC - PJ DE CARÁTER SECRETO OU RESERVADO</t>
  </si>
  <si>
    <t>SERVIÇOS DE TIC - PAGAMENTO ANTECIPADO</t>
  </si>
  <si>
    <t>AQUISIÇÃO DE SOFTWARE</t>
  </si>
  <si>
    <t>AQUISIÇÃO DE SOFTWARE SOB ENCOMENDA OU CUSTOMIZADOS</t>
  </si>
  <si>
    <t>EQUIPAMENTOS DE TIC - SERVIDORES/STORAGE</t>
  </si>
  <si>
    <t>MANUTENÇÃO EVOLUTIVA DE SOFTWARE</t>
  </si>
  <si>
    <t>MATERIAL DETIC (CONSUMO)</t>
  </si>
  <si>
    <t>MELHORIA, MANUTENÇÃO E SUPORTE DE EQUIPAMENTOS DE TIC</t>
  </si>
  <si>
    <t>SERVIÇOS DE TIC – PAGAMENTO ANTECIPADO</t>
  </si>
  <si>
    <t>Setor</t>
  </si>
  <si>
    <t>Emissão</t>
  </si>
  <si>
    <t>Tipo</t>
  </si>
  <si>
    <t>Espécie</t>
  </si>
  <si>
    <t>Empenho Referência</t>
  </si>
  <si>
    <t>Nome</t>
  </si>
  <si>
    <t>PTRES</t>
  </si>
  <si>
    <t>ED</t>
  </si>
  <si>
    <t>Processo</t>
  </si>
  <si>
    <t>Valor Original</t>
  </si>
  <si>
    <t>Valor Relativo</t>
  </si>
  <si>
    <t>Valor Total</t>
  </si>
  <si>
    <t>Saldo A Liquidar</t>
  </si>
  <si>
    <t>Item de Execução</t>
  </si>
  <si>
    <t>CNPJ/CPF</t>
  </si>
  <si>
    <t>Fornecedor</t>
  </si>
  <si>
    <t>SGP</t>
  </si>
  <si>
    <t>2020NE000001</t>
  </si>
  <si>
    <t>TRIBUNAL REGIONAL DO TRABALHO DA 12A.REGIAO (08001300001)</t>
  </si>
  <si>
    <t>PAGAMENTO DE VENCIMENTOS E VANTAGENS FIXAS - EXERCÍCIO DE 2020.               PROAD-012/2020.</t>
  </si>
  <si>
    <t>PROAD-012/2020</t>
  </si>
  <si>
    <t>2020NE000002</t>
  </si>
  <si>
    <t>PAGAMENTO DE OUTRAS DESPESAS VARIÁVEIS - EXERCÍCIO DE 2020.                   PROAD-012/2020.</t>
  </si>
  <si>
    <t>2020NE000003</t>
  </si>
  <si>
    <t>PAGAMENTO DE SENTENÇAS JUDICIAIS - EXERCÍCIO DE 2020.                         PROAD-012/2020.</t>
  </si>
  <si>
    <t>2020NE000004</t>
  </si>
  <si>
    <t>COORD.GERAL DE ORÇAMENTO, FINANÇAS E CONTAB. (51000157202)</t>
  </si>
  <si>
    <t>PAGAMENTO DE OBRIGAÇÕES PATRONAIS - EXERCÍCIO DE 2020.                        PROAD-012/2020.</t>
  </si>
  <si>
    <t>2020NE000005</t>
  </si>
  <si>
    <t>SECRETARIA DO TESOURO NACIONAL/COFIN/STN (17050200001)</t>
  </si>
  <si>
    <t>2020NE000006</t>
  </si>
  <si>
    <t>FUNDACAO DE PREVIDENCIA COMPLEMENTAR DO SERVIDOR PUBLIC (18465825000147)</t>
  </si>
  <si>
    <t>PAGAMENTO DA CONTRIBUIÇÃO PATRONAL - FUNPRESP LEI 12618/2012.                 PROAD-012/2020.</t>
  </si>
  <si>
    <t>2020NE000007</t>
  </si>
  <si>
    <t>PAGAMENTO DE APOSENTADORIAS DOS SERVIDORES INATIVOS DO REGIME PRÓPRIO DE PRE- VIDÊNCIA DO SERVIDOR-RPPS - EXERCÍCIO DE 2020.</t>
  </si>
  <si>
    <t>2020NE000008</t>
  </si>
  <si>
    <t>2020NE000009</t>
  </si>
  <si>
    <t>PAGAMENTO DE SENTENÇAS JUDICIAIS - EXERCÍCIO DE 2020.</t>
  </si>
  <si>
    <t>2020NE000010</t>
  </si>
  <si>
    <t>2020NE000011</t>
  </si>
  <si>
    <t>PAGAMENTO DE PENSÕES CIVIS DO REGIME PRÓPRIO DE PREVIDÊNCIA DO SERVIDOR-RPPS. EXERCÍCIO DE 2020.</t>
  </si>
  <si>
    <t>2020NE000012</t>
  </si>
  <si>
    <t>2020NE000013</t>
  </si>
  <si>
    <t>BENEFÍCIOS (AUXÍLIO-CRECHE).</t>
  </si>
  <si>
    <t>2020NE000014</t>
  </si>
  <si>
    <t>BENEFÍCIOS (AUXÍLIO-ALIMENTAÇÃO).</t>
  </si>
  <si>
    <t>2020NE000015</t>
  </si>
  <si>
    <t>BENEFÍCIOS (AUXÍLIO-TRANSPORTE).</t>
  </si>
  <si>
    <t>2020NE000016</t>
  </si>
  <si>
    <t>AUXÍLIO-FUNERAL E AUXÍLIO-NATALIDADE.</t>
  </si>
  <si>
    <t>2020NE000017</t>
  </si>
  <si>
    <t>AUXÍLIO ASSISTÊNCIA À SAÚDE.</t>
  </si>
  <si>
    <t>2020NE000018</t>
  </si>
  <si>
    <t>DESPESAS COM CONTRIBUIÇÃO DA PATROCINADORA DO PLANO DE SEGURIDADE SOCIAL-GEAP.</t>
  </si>
  <si>
    <t>2020NE000019</t>
  </si>
  <si>
    <t>PAGAMENTO DE OBRIGAÇÕES PATRONAIS/DEA NO EXERCÍCIO DE 2020.</t>
  </si>
  <si>
    <t>COF</t>
  </si>
  <si>
    <t>2020NE000020</t>
  </si>
  <si>
    <t>PAGAMENTO DE GRATIFICAÇÃO ENCARGO CURSO/CONCURSO.</t>
  </si>
  <si>
    <t>PROAD-12/2020</t>
  </si>
  <si>
    <t>2020NE000021</t>
  </si>
  <si>
    <t>PAGAMENTO DE DIÁRIAS EM 2020.</t>
  </si>
  <si>
    <t>2020NE000022</t>
  </si>
  <si>
    <t>PAGTO. DE RESSARCIMENTO DE TRANSPORTE, AJUDA DE CUSTO E INDENIZAÇÃO  DE TRANS-PORTE A OFICIAIS DE JUSTIÇA.</t>
  </si>
  <si>
    <t>2020NE000023</t>
  </si>
  <si>
    <t>PAGAMENTO DE BOLSA-ESTÁGIO.</t>
  </si>
  <si>
    <t>2020NE000024</t>
  </si>
  <si>
    <t>ESTAGIÁRIOS (AUXÍLIO-TRANSPORTE).</t>
  </si>
  <si>
    <t>2020NE000025</t>
  </si>
  <si>
    <t>HONORÁRIOS PERICIAIS.</t>
  </si>
  <si>
    <t>2020NE000026</t>
  </si>
  <si>
    <t>PATRONAL - HONORÁRIOS PERICIAIS.</t>
  </si>
  <si>
    <t>2020NE000027</t>
  </si>
  <si>
    <t>SUPRIMENTO DE FUNDOS.</t>
  </si>
  <si>
    <t>2020NE000028</t>
  </si>
  <si>
    <t>2020NE000029</t>
  </si>
  <si>
    <t>2020NE000030</t>
  </si>
  <si>
    <t>PATRONAL - SUPRIMENTO DE FUNDOS.</t>
  </si>
  <si>
    <t>2020NE000031</t>
  </si>
  <si>
    <t>DIÁRIAS - ESCOLA JUDICIAL.</t>
  </si>
  <si>
    <t>2020NE000032</t>
  </si>
  <si>
    <t>RESSARCIMENTO DE TRANSPORTE - ESCOLA JUDICIAL.</t>
  </si>
  <si>
    <t>2020NE000033</t>
  </si>
  <si>
    <t>ANULAÇÃO.</t>
  </si>
  <si>
    <t>2020NE000034</t>
  </si>
  <si>
    <t>GEAP AUTOGESTAO EM SAUDE (03658432000182)</t>
  </si>
  <si>
    <t>DESPESAS COM CONTRIBUIÇÃO DA PATROCINADORA DO PLANO DE SEGURIDADE SOCIAL.</t>
  </si>
  <si>
    <t>2020NE000035</t>
  </si>
  <si>
    <t>CONDOMINIO CENTRO EXECUTIVO PAGANI (23103993000122)</t>
  </si>
  <si>
    <t>DESPESA DE EXERCÍCIO ANTERIOR. COMPLEMENTAÇÃO CONDOMÍNIO DEZ/2019. VT PALHOÇA.</t>
  </si>
  <si>
    <t>CL-7554/2012</t>
  </si>
  <si>
    <t>2020NE000036</t>
  </si>
  <si>
    <t>SERVICO MUNICIPAL DE AGUA, SANEAMENTO BASICO E INFRA-ES (05472936000139)</t>
  </si>
  <si>
    <t>DESPESA DE EXERCÍCIO ANTERIOR. FORNECIMENTO DE ÁGUA PARA O FT ITAJAÍ. COMPLE- MENTO FATURA REF. LEITURA EM 07/11/2019.</t>
  </si>
  <si>
    <t>CSP-354/2010</t>
  </si>
  <si>
    <t>2020NE000037</t>
  </si>
  <si>
    <t>BANCO DO BRASIL SA (00000000000191)</t>
  </si>
  <si>
    <t>RESSARCIMENTO DESPESAS DE CONDOMÍNIO 3ªVT BLUMENAU REF. NOVEMBRO/2019. DESPESADE EXERCÍCIO ANTERIOR.</t>
  </si>
  <si>
    <t>CM-1760/2014</t>
  </si>
  <si>
    <t>2020NE000038</t>
  </si>
  <si>
    <t>ISABELA SCHARF BARACUHY (28752976000130)</t>
  </si>
  <si>
    <t>FORNECIMENTO DE ÁGUA MINERAL NAS UNIDADES JUDICIÁRIAS DESTE REGIONAL NAS CIDA-DES DE CHAPECÓ, CRICIÚMA, XANXERÊ, FLORIANÓPOLIS, SÃO JOSÉ E PALHOÇA DURANTE OEXERCÍCIO DE 2020.</t>
  </si>
  <si>
    <t>PRE-10596/2019</t>
  </si>
  <si>
    <t>2020NE000039</t>
  </si>
  <si>
    <t>PALHOCA GAS E AGUA EIRELI (27297903000132)</t>
  </si>
  <si>
    <t>FORNECIMENTO DE GÁS LIQUEFEITO DE PETRÓLEO - GLP, ENVASADO EM CILINDRO P45 KG.EXERCÍCIO DE 2020.</t>
  </si>
  <si>
    <t>CD-13105/2019</t>
  </si>
  <si>
    <t>2020NE000040</t>
  </si>
  <si>
    <t>GJS COMERCIO DE PLACAS LTDA (05843050000154)</t>
  </si>
  <si>
    <t>FORNECIMENTO, SOB DEMANDA, DE ITENS DE SINALIZAÇÃO E COMUNICAÇÃO VISUAL.      EXERCÍCIO 2020.</t>
  </si>
  <si>
    <t>PR-13126/2019</t>
  </si>
  <si>
    <t>2020NE000041</t>
  </si>
  <si>
    <t>GIBBOR PUBLICIDADE E PUBLICACOES DE EDITAIS EIRELI (18876112000176)</t>
  </si>
  <si>
    <t>PRESTAÇÃO DE SERVIÇOS DE VEICULAÇÃO DE PUBLICAÇÕES LEGAIS DO TRT DA 12ª REGIÃO</t>
  </si>
  <si>
    <t>PRE-3554/2017</t>
  </si>
  <si>
    <t>SERGE</t>
  </si>
  <si>
    <t>2020NE000042</t>
  </si>
  <si>
    <t>MUNICIPIO DE IMBITUBA (82909409000190)</t>
  </si>
  <si>
    <t>TAXA DE PREVENÇÃO CONTRA SINISTRO - VT IMBITUBA. EXERCÍCIO 2020.</t>
  </si>
  <si>
    <t>CD-63/2020</t>
  </si>
  <si>
    <t>2020NE000043</t>
  </si>
  <si>
    <t>SELUMA SERVICOS DE LIMPEZA URBANA DE MAFRA LTDA (05666925000190)</t>
  </si>
  <si>
    <t>TAXA COLETA DE LIXO - VT MAFRA. EXERCÍCIO 2020.</t>
  </si>
  <si>
    <t>CD-65/2020</t>
  </si>
  <si>
    <t>2020NE000044</t>
  </si>
  <si>
    <t>DISTRIBUIDORA DE BEBIDAS GABI LTDA (01442914000175)</t>
  </si>
  <si>
    <t>ÁGUA MINERAL EM BOMBONAS PLÁSTICAS DE 20(VINTE) LITROS PARA O FÓRUM TRABALHIS-TA DE ITAJAÍ. EXERCÍCIO 2020.</t>
  </si>
  <si>
    <t>CD-13653/2019</t>
  </si>
  <si>
    <t>2020NE000045</t>
  </si>
  <si>
    <t>MARCIA CASTRO SPENASSATTO (08044656000118)</t>
  </si>
  <si>
    <t>ÁGUA MINERAL EM BOMBONAS PLÁSTICAS DE 20(VINTE) LITROS PARA A VARA DO TRABALHODE SÃO MIGUEL DO OESTE. EXERCÍCIO 2020.</t>
  </si>
  <si>
    <t>2020NE000046</t>
  </si>
  <si>
    <t>GILMAR GALVAN (12262024000106)</t>
  </si>
  <si>
    <t>ÁGUA MINERAL EM BOMBONAS PLÁSTICAS DE 20(VINTE) LITROS PARA O FÓRUM TRABALHIS-TA DE JOINVILLE. EXERCÍCIO 2020.</t>
  </si>
  <si>
    <t>2020NE000047</t>
  </si>
  <si>
    <t>2020NE000048</t>
  </si>
  <si>
    <t>2020NE000049</t>
  </si>
  <si>
    <t>LUCIANO ANTONIO MARQUES (20318717000193)</t>
  </si>
  <si>
    <t>ÁGUA MINERAL EM BOMBONAS PLÁSTICAS DE 20(VINTE) LITROS PARA A VARA DO TRABALHODE ARARANGUÁ. EXERCÍCIO 2020.</t>
  </si>
  <si>
    <t>2020NE000050</t>
  </si>
  <si>
    <t>GOTA D'AGUA COMERCIO DE AGUA MINERAL LTDA (73781361000196)</t>
  </si>
  <si>
    <t>ÁGUA MINERAL EM BOMBONAS PLÁSTICAS DE 20(VINTE) LITROS PARA O FÓRUM TRABALHIS-TA DE JARAGUÁ DO SUL. EXERCÍCIO 2020.</t>
  </si>
  <si>
    <t>2020NE000051</t>
  </si>
  <si>
    <t>FUNDO DE IMPRENSA NACIONAL/EXEC.ORC.FINANC. (11024500001)</t>
  </si>
  <si>
    <t>RECONHECIMENTO DE DÍVIDA DE EXERCÍCIOS ANTERIORES.  REF. PUBLICAÇÕES NO DIÁRIOOFICIAL DA UNIÃO EM 2015, 2016 E 2017.</t>
  </si>
  <si>
    <t>CDE-595/2012</t>
  </si>
  <si>
    <t>2020NE000052</t>
  </si>
  <si>
    <t>CLARO S.A. (40432544000147)</t>
  </si>
  <si>
    <t>RECONHECIMENTO DE DÍVIDA DE EXERCÍCIOS ANTERIORES.  REF. SERVIÇO DE ACESSO MÓ-VEL À INTERNET NO EXERCÍCIO DE 2019.</t>
  </si>
  <si>
    <t>2020NE000053</t>
  </si>
  <si>
    <t>SANTINA MAZZUCO DA COSTA (42940052972)</t>
  </si>
  <si>
    <t>LOCAÇÃO DO IMÓVEL DA VT DE ARARANGUÁ.</t>
  </si>
  <si>
    <t>CL-278/2010</t>
  </si>
  <si>
    <t>2020NE000054</t>
  </si>
  <si>
    <t>CONDOMINIO EDIFICIO GIACOMO MAZZUCO (95782751000113)</t>
  </si>
  <si>
    <t>CONDOMÍNIO DO IMÓVEL DA VT DE ARARANGUÁ.</t>
  </si>
  <si>
    <t>2020NE000055</t>
  </si>
  <si>
    <t>LAVANDERIA SANTA CATARINA LTDA (03162586000189)</t>
  </si>
  <si>
    <t>DESPESA COM LAVANDERIA PARA O TRIBUNAL (SERGE E SAÚDE).</t>
  </si>
  <si>
    <t>PRE-1064/2016</t>
  </si>
  <si>
    <t>2020NE000056</t>
  </si>
  <si>
    <t>SERVICO AUTONOMO MUNICIPAL DE AGUA E ESGOTO (83779462000186)</t>
  </si>
  <si>
    <t>DESPESAS COM COLETA DE LIXO, PARA O FÓRUM TRABALHISTA DE BLUMENAU.</t>
  </si>
  <si>
    <t>CSP-3308/2011</t>
  </si>
  <si>
    <t>2020NE000057</t>
  </si>
  <si>
    <t>FORNECIMENTO DE ÁGUA PARA O FÓRUM TRABALHISTA DE BLUMENAU.</t>
  </si>
  <si>
    <t>2020NE000058</t>
  </si>
  <si>
    <t>SEGURADORA LIDER DO CONSORCIO DO SEGURO DPVAT SA (09248608000104)</t>
  </si>
  <si>
    <t>SEGURO OBRIGATÓRIO DA FROTA DE VEÍCULOS DE PROPRIEDADE DO TRT12.</t>
  </si>
  <si>
    <t>CD-302/2020</t>
  </si>
  <si>
    <t>2020NE000059</t>
  </si>
  <si>
    <t>SECRETARIA DE ESTADO DA FAZENDA (82951310000156)</t>
  </si>
  <si>
    <t>TAXAS DE LICENCIAMENTO ANUAL DA FROTA DE VEÍCULOS DE PROPRIEDADE DO TRT12.</t>
  </si>
  <si>
    <t>2020NE000060</t>
  </si>
  <si>
    <t>DCELT - DISTRIBUIDORA CATARINENSE DE ENERGIA ELETRICA L (83855973000130)</t>
  </si>
  <si>
    <t>FORNECIMENTO DE ENERGIA ELÉTRICA PARA A VARA DO TRABALHO DE XANXERÊ.</t>
  </si>
  <si>
    <t>CSP-201/2010</t>
  </si>
  <si>
    <t>2020NE000061</t>
  </si>
  <si>
    <t>CONTRIBUIÇÃO ILUMINAÇÃO PÚBLICA - VT XANXERÊ.</t>
  </si>
  <si>
    <t>2020NE000062</t>
  </si>
  <si>
    <t>COMPANHIA CATARINENSE DE AGUAS E SANEAMENTO CASAN (82508433000117)</t>
  </si>
  <si>
    <t>ABASTECIMENTO DE ÁGUA PARA ESTE TRIBUNAL E DIVERSAS UNIDADES JUDICIÁRIAS.</t>
  </si>
  <si>
    <t>CSP-357/2010</t>
  </si>
  <si>
    <t>2020NE000063</t>
  </si>
  <si>
    <t>COMPANHIA AGUAS DE JOINVILLE (07226794000155)</t>
  </si>
  <si>
    <t>FORNECIMENTO DE ÁGUA E SANEAMENTO PARA O FT DE JOINVILLE.</t>
  </si>
  <si>
    <t>CSP-370/2010</t>
  </si>
  <si>
    <t>2020NE000064</t>
  </si>
  <si>
    <t>DESPESA COM ÁGUA E ESGOTO DO IMÓVEL DA VARA DO TRABALHO DE IMBITUBA.</t>
  </si>
  <si>
    <t>CSP-3470/2014</t>
  </si>
  <si>
    <t>2020NE000065</t>
  </si>
  <si>
    <t>SERVICO AUTONOMO DE AGUA E ESGOTO DO MUNICIPIO DE VIDEI (30753960000193)</t>
  </si>
  <si>
    <t>ABASTECIMENTO DE ÁGUA E TRATAMENTO DE ESGOTO PARA A VT VIDEIRA.</t>
  </si>
  <si>
    <t>CSP-11261/2018</t>
  </si>
  <si>
    <t>2020NE000066</t>
  </si>
  <si>
    <t>AUTARQUIA MUNICIPAL DE SANEAMENTO DE FRAIBURGO - SANEFR (06017932000123)</t>
  </si>
  <si>
    <t>ABASTECIMENTO DE ÁGUA PARA A VARA DO TRABALHO DE FRAIBURGO.</t>
  </si>
  <si>
    <t>CSP-272/2010</t>
  </si>
  <si>
    <t>2020NE000067</t>
  </si>
  <si>
    <t>COLETA DE LIXO DA VARA DO TRABALHO DE FRAIBURGO.</t>
  </si>
  <si>
    <t>2020NE000068</t>
  </si>
  <si>
    <t>SECRETARIA MUNICIPAL DE AGUAS E SANEAMENTO DE LAGES - S (05532421000187)</t>
  </si>
  <si>
    <t>ABASTECIMENTO DE ÁGUA PARA O FÓRUM TRABALHISTA DE LAGES.</t>
  </si>
  <si>
    <t>CSP-338/2010</t>
  </si>
  <si>
    <t>2020NE000069</t>
  </si>
  <si>
    <t>COLETA DE LIXO PARA O FÓRUM TRABALHISTA DE LAGES.</t>
  </si>
  <si>
    <t>2020NE000070</t>
  </si>
  <si>
    <t>TUBARAO SANEAMENTO S.A. (15012434000189)</t>
  </si>
  <si>
    <t>FORNECIMENTO DE ÁGUA E SANEAMENTO BÁSICO PARA O FÓRUM TRABALHISTA DE TUBARÃO.</t>
  </si>
  <si>
    <t>CSP-290/2010</t>
  </si>
  <si>
    <t>2020NE000071</t>
  </si>
  <si>
    <t>SERVICO AUTONOMO MUNICIPAL DE AGUA E ESGOTO (86050978000183)</t>
  </si>
  <si>
    <t>FORNECIMENTO DE ÁGUA E SANEAMENTO BÁSICO PARA VT SÃO BENTO DO SUL.</t>
  </si>
  <si>
    <t>CSP-756/2010</t>
  </si>
  <si>
    <t>2020NE000072</t>
  </si>
  <si>
    <t>COLETA DE LIXO DA VT DE SÃO BENTO DO SUL.</t>
  </si>
  <si>
    <t>2020NE000073</t>
  </si>
  <si>
    <t>BRK AMBIENTAL - CACADOR S.A. (31444659000160)</t>
  </si>
  <si>
    <t>ABASTECIMENTO DE ÁGUA PARA VT DE CAÇADOR.</t>
  </si>
  <si>
    <t>CSP-5051/2019</t>
  </si>
  <si>
    <t>2020NE000074</t>
  </si>
  <si>
    <t>MUNICIPIO DE CONCORDIA (83024257000100)</t>
  </si>
  <si>
    <t>TAXA DE COLETA DE LIXO DA VT CONCÓRDIA.</t>
  </si>
  <si>
    <t>CD-324/2020</t>
  </si>
  <si>
    <t>2020NE000075</t>
  </si>
  <si>
    <t>TAXA DE COLETA DE LIXO DA VT IMBITUBA.</t>
  </si>
  <si>
    <t>CD-327/2020</t>
  </si>
  <si>
    <t>2020NE000076</t>
  </si>
  <si>
    <t>ELEVACON ELEVADORES CONSERVACAO E MANUTENCAO LTDA (02797782000167)</t>
  </si>
  <si>
    <t>MANUTENÇÃO ELEVADOR INSTALADO NO FT RIO DO SUL E PLATAFORMA ELEVATÓRIA NO PRÉ-DIO SEDE DESTE TRIBUNAL.</t>
  </si>
  <si>
    <t>PRE-6502/2016</t>
  </si>
  <si>
    <t>2020NE000077</t>
  </si>
  <si>
    <t>PROACTIVA MEIO AMBIENTE BRASIL LTDA (50668722001916)</t>
  </si>
  <si>
    <t>SERVIÇO DE COLETA DE RESÍDUOS BIOLÓGICOS PRODUZIDOS PELA COORD. SAÚDE.</t>
  </si>
  <si>
    <t>PRE-3691/2017</t>
  </si>
  <si>
    <t>2020NE000078</t>
  </si>
  <si>
    <t>MANUTENÇÃO ELEVADORES VT BRUSQUE.</t>
  </si>
  <si>
    <t>PRE-11326/2014</t>
  </si>
  <si>
    <t>2020NE000079</t>
  </si>
  <si>
    <t>PRODOCTOR- COM DE EQUIPAMENTOS ODONTOLOGICOS E SERV LTD (00077808000177)</t>
  </si>
  <si>
    <t>PEÇAS PARA MANUTENÇÃO PREVENTIVA E CORRETIVA NOS EQUIPAMENTOS ODONTOLÓGICOS.</t>
  </si>
  <si>
    <t>PR-4896/2017</t>
  </si>
  <si>
    <t>2020NE000080</t>
  </si>
  <si>
    <t>MANUTENÇÃO EQUIPAMENTOS ODONTOLÓGICOS INSTALADOS NA COORDENADORIA DE SAÚDE.</t>
  </si>
  <si>
    <t>2020NE000081</t>
  </si>
  <si>
    <t>ELEVADORES OTIS LTDA (29739737002075)</t>
  </si>
  <si>
    <t>MANUTENÇÃO PREVENTIVA E CORRETIVA EM 5 ELEVADORES OTIS MODELO A-GNC-0810-8A-MDFT JOINVILLE.</t>
  </si>
  <si>
    <t>PR-8323/2015</t>
  </si>
  <si>
    <t>2020NE000082</t>
  </si>
  <si>
    <t>THYSSENKRUPP ELEVADORES SA (90347840000975)</t>
  </si>
  <si>
    <t>MANUTENÇÃO EM DOIS ELEVADORES - FT SÃO JOSÉ.</t>
  </si>
  <si>
    <t>PRE-11073/2017</t>
  </si>
  <si>
    <t>2020NE000083</t>
  </si>
  <si>
    <t>MANUTENÇÃO PREVENTIVA, CORRETIVA E EMERGENCIAL PARA ELEVADORES DE PASSAGEIROS,PLATAFORMAS ELEVATÓRIAS DE  ACESSIBILIDADE E ELEVADOR  DE CARGA INSTALADOS NASUNIDADES DESTE REGIONAL NA CIDADE DE TUBARÃO/SC, NO EXERCÍCIO 2020.</t>
  </si>
  <si>
    <t>CTO-11500/2019</t>
  </si>
  <si>
    <t>2020NE000084</t>
  </si>
  <si>
    <t>THYSSENKRUPP ELEVADORES SA (90347840006906)</t>
  </si>
  <si>
    <t>MANUTENÇÃO PREVENTIVA, CORRETIVA E EMERGENCIAL PARA ELEVADORES DE PASSAGEIROS,PLATAFORMAS ELEVATÓRIAS DE  ACESSIBILIDADE E ELEVADOR  DE CARGA INSTALADOS NASUNIDADES DESTE REGIONAL NA CIDADE DE CONCÓRDIA/SC, NO EXERCÍCIO 2020.</t>
  </si>
  <si>
    <t>CTO-11828/2019</t>
  </si>
  <si>
    <t>2020NE000085</t>
  </si>
  <si>
    <t>2020NE000086</t>
  </si>
  <si>
    <t>2020NE000087</t>
  </si>
  <si>
    <t>2020NE000088</t>
  </si>
  <si>
    <t>2020NE000089</t>
  </si>
  <si>
    <t>2020NE000090</t>
  </si>
  <si>
    <t>FORNECIMENTO DE ÁGUA PARA O FT DE ITAJAÍ.</t>
  </si>
  <si>
    <t>2020NE000091</t>
  </si>
  <si>
    <t>ELEVTEC MANUTENCAO DE ELEVADORES LTDA (10571929000124)</t>
  </si>
  <si>
    <t>MANUTENÇÃO PARA 02 PLATAFORMAS ELEVATÓRIAS - SÃO MIGUEL DO OESTE.</t>
  </si>
  <si>
    <t>CD-4107/2016</t>
  </si>
  <si>
    <t>2020NE000092</t>
  </si>
  <si>
    <t>EDEMAR LUIZ MALESKI (61365300900)</t>
  </si>
  <si>
    <t>DESPESA DE EXERCÍCIO ANTERIOR. REF. DIÁRIAS DO ANO 2019.</t>
  </si>
  <si>
    <t>PROAD-382/2020</t>
  </si>
  <si>
    <t>2020NE000093</t>
  </si>
  <si>
    <t>TRIBUNAL REGIONAL DO TRABALHO 12ª REGIAO (PF2080013)</t>
  </si>
  <si>
    <t>SENTENÇAS DE PEQUENO VALOR - OFÍCIO SEGEP/NUPRE NR. 16 - PROAD-209/2020.</t>
  </si>
  <si>
    <t>PROAD-209/2020</t>
  </si>
  <si>
    <t>2020NE000094</t>
  </si>
  <si>
    <t>E W T BRASIL ELEVADORES LTDA (20810747000112)</t>
  </si>
  <si>
    <t>MANUTENÇÃO DE PLATAFORMAS ELEVATÓRIAS DE ACESSIBILIDADE - FT BLUMENAU E ITAJAÍEXERCÍCIO 2020.</t>
  </si>
  <si>
    <t>CTO-10019/2019</t>
  </si>
  <si>
    <t>2020NE000095</t>
  </si>
  <si>
    <t>SERVIÇO TELEFÔNICO MÓVEL NO EXERCÍCIO 2020.</t>
  </si>
  <si>
    <t>PRE-3456/2015</t>
  </si>
  <si>
    <t>2020NE000096</t>
  </si>
  <si>
    <t>GRUGER GRUPOS GERADORES LTDA (02631287000183)</t>
  </si>
  <si>
    <t>PEÇAS PARA MANUTENÇÃO DE GERADORES INSTALADOS NO PRÉDIO SEDE E NO FT JOINVILLE</t>
  </si>
  <si>
    <t>PRE-6991/2015</t>
  </si>
  <si>
    <t>2020NE000097</t>
  </si>
  <si>
    <t>MANUTENÇÃO EM GERADORES INSTALADOS NO PRÉDIO SEDE E NO FT JOINVILLE.</t>
  </si>
  <si>
    <t>2020NE000098</t>
  </si>
  <si>
    <t>AREN ADMINISTRADORA DE BENS LTDA (05818625000189)</t>
  </si>
  <si>
    <t>DESPESAS DE CONDOMÍNIO, ALUGUEL E IPTU DO IMÓVEL DO FT JARAGUÁ DO SUL.</t>
  </si>
  <si>
    <t>CL-227/2010</t>
  </si>
  <si>
    <t>2020NE000099</t>
  </si>
  <si>
    <t>SERVIÇO TELEFONIA MÓVEL - 43 LINHAS COM 31 APARELHOS.</t>
  </si>
  <si>
    <t>PRE-9207/2015</t>
  </si>
  <si>
    <t>2020NE000100</t>
  </si>
  <si>
    <t>2020NE000101</t>
  </si>
  <si>
    <t>DESPESAS DE EXERCÍCIOS ANTERIORES - INATIVOS E PENSÕES CIVIS.</t>
  </si>
  <si>
    <t>2020NE000102</t>
  </si>
  <si>
    <t>PEÇAS PARA MANUTENÇÃO DE UM GRUPO GERADOR INSTALADO NO FT FLORIANÓPOLIS.</t>
  </si>
  <si>
    <t>PRE-7239/2017</t>
  </si>
  <si>
    <t>2020NE000103</t>
  </si>
  <si>
    <t>MANUTENÇÃO PREVENTIVA E CORRETIVA -GRUPO GERADOR INSTALADO NO FT FLORIANÓPOLIS</t>
  </si>
  <si>
    <t>2020NE000104</t>
  </si>
  <si>
    <t>ELEVADORES CASTELO LTDA (76340132000124)</t>
  </si>
  <si>
    <t>MANUTENÇÃO ELEVADOR INSTALADO NO FT CRICIÚMA.</t>
  </si>
  <si>
    <t>PRE-8913/2017</t>
  </si>
  <si>
    <t>2020NE000105</t>
  </si>
  <si>
    <t>HIDRO BOMBAS SERVICOS LTDA (03834670000100)</t>
  </si>
  <si>
    <t>MANUTENÇÃO EM  BOMBAS DE RECALQUE E SUCÇÃO  INSTALADAS EM UNIDADES JUDICIÁRIASDE FLORIANÓPOLIS E SÃO JOSÉ.</t>
  </si>
  <si>
    <t>PRE-9317/2018</t>
  </si>
  <si>
    <t>2020NE000106</t>
  </si>
  <si>
    <t>MOVELOM PARTICIPACOES LTDA (76361492000102)</t>
  </si>
  <si>
    <t>LOCAÇÃO DO IMÓVEL ONDE  ESTÁ INSTALADO O FT BALNEÁRIO CAMBORIÚ E RESSARCIMENTODO IPTU.</t>
  </si>
  <si>
    <t>CL-5215/2011</t>
  </si>
  <si>
    <t>2020NE000107</t>
  </si>
  <si>
    <t>MANUTENÇÃO DE ELEVADORES E PLATAFORMA  ELEVATÓRIA NOS IMÓVEIS DE FLORIANÓPOLISE FT LAGES.</t>
  </si>
  <si>
    <t>CTO-10018/2019</t>
  </si>
  <si>
    <t>2020NE000108</t>
  </si>
  <si>
    <t>CONDOMINIO RESIDENCIAL E COMERCIAL DALPE (07392516000178)</t>
  </si>
  <si>
    <t>CONDOMÍNIO VT NAVEGANTES.</t>
  </si>
  <si>
    <t>CL-8812/2011</t>
  </si>
  <si>
    <t>2020NE000109</t>
  </si>
  <si>
    <t>DALPE COM DE MOVEIS E ELETRODOMESTICOS LTDA (82981051000106)</t>
  </si>
  <si>
    <t>LOCAÇÃO VT NAVEGANTES.</t>
  </si>
  <si>
    <t>2020NE000110</t>
  </si>
  <si>
    <t>MUNICIPIO DE NAVEGANTES (83102855000150)</t>
  </si>
  <si>
    <t>IPTU VT NAVEGANTES.</t>
  </si>
  <si>
    <t>2020NE000111</t>
  </si>
  <si>
    <t>RECICLE CATARINENSE DE RESIDUOS LTDA (95886735000251)</t>
  </si>
  <si>
    <t>COLETA DE LIXO VT NAVEGANTES.</t>
  </si>
  <si>
    <t>2020NE000112</t>
  </si>
  <si>
    <t>DESPESA DE EXERCÍCIO ANTERIOR. CONDOMÍNIO VT ARARANGUÁ DEZEMBRO/2019.</t>
  </si>
  <si>
    <t>2020NE000113</t>
  </si>
  <si>
    <t>DVA - VEICULOS LTDA (82516949000103)</t>
  </si>
  <si>
    <t>PEÇAS REVISÃO EM GARANTIA SPRINTER 415CDI, PLACA MLI2149.  REGULARIDADE FISCALE TRABALHISTA DEVE SE MANTER DURANTE CONTRATO SOB PENA MULTA 1% NF. MULTA MORA0,3% POR DIA, LIM. 10%. INEXECUÇÃO PARCIAL MULTA 5%; RESCISÃO MULTA 10%.</t>
  </si>
  <si>
    <t>CD-465/2020</t>
  </si>
  <si>
    <t>2020NE000114</t>
  </si>
  <si>
    <t>REVISÃO EM GARANTIA SPRINTER 415CDI, PLACA MLI2149. REGULARIDADE TRABALHISTA EFISCAL DEVE SE MANTER DURANTE CONTRATO SOB PENA MULTA 1% NF. MULTA MORAT. 0,3%POR DIA, LIM. 10%. INEXECUÇÃO PARCIAL MULTA 5%; RESCISÃO MULTA 10%.%.</t>
  </si>
  <si>
    <t>2020NE000115</t>
  </si>
  <si>
    <t>NETSAFE CORP LTDA (03476184000159)</t>
  </si>
  <si>
    <t>SEGURANÇA - SOLUÇÃO DE ANTIVÍRUS (SUPORTE)</t>
  </si>
  <si>
    <t>RP-1366/2017</t>
  </si>
  <si>
    <t>2020NE000116</t>
  </si>
  <si>
    <t>NETSAFE CORP LTDA (03476184000230)</t>
  </si>
  <si>
    <t>SEGURANÇA - SOLUÇÃO DE FILTRAGEM DE CONTEÚDO WEB (SUPORTE).</t>
  </si>
  <si>
    <t>PRE-4502/2017</t>
  </si>
  <si>
    <t>2020NE000117</t>
  </si>
  <si>
    <t>BERTINI DO BRASIL LTDA. (11140607000193)</t>
  </si>
  <si>
    <t>INFRA-PJE - SERVIDOR DE BANCO DE DADOS POSTGRES (SUPORTE).</t>
  </si>
  <si>
    <t>2020NE000118</t>
  </si>
  <si>
    <t>ORACLE DO BRASIL SISTEMAS LTDA (59456277000176)</t>
  </si>
  <si>
    <t>INFRA - PLATAFORMA DE BANCO DE DADOS ORACLE (SUPORTE).</t>
  </si>
  <si>
    <t>CD-8060/2016</t>
  </si>
  <si>
    <t>2020NE000119</t>
  </si>
  <si>
    <t>ACTIVE - TECNOLOGIA SERVICOS E CONSULTORIA EM INFORMATI (07833364000100)</t>
  </si>
  <si>
    <t>INFRA - SOLUÇÃO INTEGRADA DE GERENCIAMENTO DE SERVIÇOS (SUPORTE).</t>
  </si>
  <si>
    <t>2020NE000120</t>
  </si>
  <si>
    <t>ACESSOLINE TELECOMUNICACOES LTDA (14798740000120)</t>
  </si>
  <si>
    <t>INFRA - SERVIÇOS DE TELECOMUNICAÇÃO DE DADOS E VOZ - REDE-JT.</t>
  </si>
  <si>
    <t>2020NE000121</t>
  </si>
  <si>
    <t>2020NE000122</t>
  </si>
  <si>
    <t>EMPRESA BRASILEIRA DE CORREIOS E TELEGRAFOS (34028316002823)</t>
  </si>
  <si>
    <t>PRESTAÇÃO DE SERVIÇOS E VENDA DE  PRODUTOS POSTAIS  RELACIONADOS À POSTAGEM DEDOCUMENTOS E VOLUMES.</t>
  </si>
  <si>
    <t>CSP-4516/2019</t>
  </si>
  <si>
    <t>2020NE000123</t>
  </si>
  <si>
    <t>ACECO TI LTDA. (43209436000106)</t>
  </si>
  <si>
    <t>INFRA - SERVIÇOS DE MANUTENÇÃO E SUPORTE  DAS SOLUÇÕES DE SEGURANÇA FÍSICA DOSDATACENTERS DA JUSTIÇA DO TRABALHO(SALAS-COFRE).DESPESA DE EXERCÍCIO ANTERIOR.</t>
  </si>
  <si>
    <t>2020NE000124</t>
  </si>
  <si>
    <t>(ID PAAC 2020  15059) INFRA - SERVIÇOS DE MANUTENÇÃO E SUPORTE DAS SOLUÇÕES DESEGURANÇA FÍSICA DOS DATACENTERS DA JUSTIÇA DO TRABALHO (SALAS-COFRE).</t>
  </si>
  <si>
    <t>2020NE000125</t>
  </si>
  <si>
    <t>MUNICIPIO DE CHAPECO (83021808000182)</t>
  </si>
  <si>
    <t>TAXA DE COLETA DE LIXO FT CHAPECÓ 2020.</t>
  </si>
  <si>
    <t>CD-589/2020</t>
  </si>
  <si>
    <t>2020NE000126</t>
  </si>
  <si>
    <t>AMBIENTAL LIMPEZA URBANA E SANEAMENTO LTDA (03094629000136)</t>
  </si>
  <si>
    <t>TAXA COLETA DE LIXO FT SÃO JOSÉ 2020.</t>
  </si>
  <si>
    <t>CD-571/2020</t>
  </si>
  <si>
    <t>2020NE000127</t>
  </si>
  <si>
    <t>CELESC DISTRIBUICAO S.A (08336783000190)</t>
  </si>
  <si>
    <t>(ID PAAC 15055)CONTRATAÇÃO DE USO DE POSTES(PASSAGEM DA FIBRA ÓPTICA - LOCAÇÃOCELESC) PARA CONEXÃO REDUNDANTE ENTRE O DATACENTER PRINCIPAL E AUXILIAR (SEDE/UTRILLO).</t>
  </si>
  <si>
    <t>CD-13224/2016</t>
  </si>
  <si>
    <t>2020NE000128</t>
  </si>
  <si>
    <t>TAXA DE COLETA DE LIXO FT ITAJAÍ 2020.</t>
  </si>
  <si>
    <t>CD-580/2020</t>
  </si>
  <si>
    <t>2020NE000129</t>
  </si>
  <si>
    <t>MUNICIPIO DE CRICIUMA (82916818000113)</t>
  </si>
  <si>
    <t>TAXA DE COLETA DE LIXO FT CRICIÚMA 2020.</t>
  </si>
  <si>
    <t>CD-577/2020</t>
  </si>
  <si>
    <t>2020NE000130</t>
  </si>
  <si>
    <t>CONDOMÍNIO VT PALHOÇA.</t>
  </si>
  <si>
    <t>2020NE000131</t>
  </si>
  <si>
    <t>SANTA CATARINA GESTAO E PARTICIPACOES LTDA (01899776000158)</t>
  </si>
  <si>
    <t>ALUGUEL VT PALHOÇA.</t>
  </si>
  <si>
    <t>2020NE000132</t>
  </si>
  <si>
    <t>LUIZ FABIANO OLIVEIRA CARIMBOS (02752587000110)</t>
  </si>
  <si>
    <t>CARIMBOS E MATERIAIS ACESSÓRIOS. EXERCÍCIO 2020.</t>
  </si>
  <si>
    <t>CD-4281/2019</t>
  </si>
  <si>
    <t>2020NE000133</t>
  </si>
  <si>
    <t>A. ALEMAX ASSISTENCIA TECNICA LTDA (04848808000184)</t>
  </si>
  <si>
    <t>PEÇAS PARA MANUTENÇÃO NOS EQUIPAMENTOS DE CLIMATIZAÇÃO - PRÉDIO RIO BRANCO.</t>
  </si>
  <si>
    <t>CTO-11973/2017</t>
  </si>
  <si>
    <t>2020NE000134</t>
  </si>
  <si>
    <t>MANUTENÇÃO EQUIPAMENTOS DE CLIMATIZAÇÃO PRÉDIO RIO BRANCO EM 2020.</t>
  </si>
  <si>
    <t>2020NE000135</t>
  </si>
  <si>
    <t>CATARINENSE AR CONDICIONADO LTDA (81006272000109)</t>
  </si>
  <si>
    <t>PEÇAS PARA  MANUTENÇÃO NOS EQUIPAMENTOS DE CLIMATIZAÇÃO - SÃO MIGUEL DO OESTE,CHAPECÓ, CONCÓRDIA E XANXERÊ.</t>
  </si>
  <si>
    <t>CTO-11972/2017</t>
  </si>
  <si>
    <t>2020NE000136</t>
  </si>
  <si>
    <t>MANUTENÇÃO EQUIPAMENTOS DE CLIMATIZAÇÃO- SÃO MIGUEL DO OESTE, CHAPECÓ, CONCÓR-DIA E XANXERÊ.</t>
  </si>
  <si>
    <t>2020NE000137</t>
  </si>
  <si>
    <t>DISTAK AGENCIA DE VIAGENS E TURISMO LTDA (35636034000151)</t>
  </si>
  <si>
    <t>FORNECIMENTO DE PASSAGENS AÉREAS EXERCÍCIO 2020.</t>
  </si>
  <si>
    <t>PRE-3607/2018</t>
  </si>
  <si>
    <t>2020NE000138</t>
  </si>
  <si>
    <t>COMISSÃO NA EMISSÃO DE PASSAGENS AÉREAS NO EXERCÍCIO DE 2020.</t>
  </si>
  <si>
    <t>2020NE000139</t>
  </si>
  <si>
    <t>KOMPETENZ CLIMATIZACAO LTDA (17015086000129)</t>
  </si>
  <si>
    <t>PEÇAS P/ MANUTENÇÃO PREVENTIVA E CORRETIVA EQUIPAMENTOS CLIMATIZAÇÃO - TRT12. EXERCÍCIO 2020.</t>
  </si>
  <si>
    <t>CTO-11967/2017</t>
  </si>
  <si>
    <t>2020NE000140</t>
  </si>
  <si>
    <t>MANUTENÇÃO PREVENTIVA E CORRETIVA P/ OS EQUIPAMENTOS DE CLIMATIZAÇÃO - TRT12.</t>
  </si>
  <si>
    <t>2020NE000141</t>
  </si>
  <si>
    <t>DEDETIZADORA PLANALTO E SERVICOS LTDA (15583923000190)</t>
  </si>
  <si>
    <t>CONTRATAÇÃO DE SERVIÇOS DE DESINSETIZAÇÃO E DESRATIZAÇÃO.</t>
  </si>
  <si>
    <t>PRE-1630/2018</t>
  </si>
  <si>
    <t>2020NE000142</t>
  </si>
  <si>
    <t>ANTINSECT DESINSETIZADORA LTDA (00700436000193)</t>
  </si>
  <si>
    <t>2020NE000143</t>
  </si>
  <si>
    <t>SENFFNET LTDA (03877288000175)</t>
  </si>
  <si>
    <t>OERACIONALIZAÇÃO DE SISTEMA INFORMATIZADO E INTEGRADO DE GESTÃO DE FORNECIMEN-TO DE COMBUSTÍVEIS AOS VEÍCULOS DESTE REGIONAL DURANTE O EXERCÍCIO 2020.</t>
  </si>
  <si>
    <t>PRE-1638/2018</t>
  </si>
  <si>
    <t>2020NE000144</t>
  </si>
  <si>
    <t>OI S.A. - EM RECUPERACAO JUDICIAL (76535764000143)</t>
  </si>
  <si>
    <t>TELEFONIA FIXA PARA AS UNIDADES DO TRT12. EXERCÍCIO 2020.</t>
  </si>
  <si>
    <t>PRE-12885/2018</t>
  </si>
  <si>
    <t>2020NE000145</t>
  </si>
  <si>
    <t>PROKLIMA AR CONDICIONADO EIRELI (16463601000170)</t>
  </si>
  <si>
    <t>PEÇAS PARA MANUTENÇÃO EQUIPAMENTOS CLIMATIZAÇÃO - JARAGUÁ DO SUL, SÃO BENTO DOSUL, MAFRA, RIO DO SUL, CANOINHAS, LAGES, CURITIBANOS, FRAIBURGO, VIDEIRA, CA-ÇADOR E JOAÇABA. EXERCÍCIO 2020.</t>
  </si>
  <si>
    <t>CTO-11969/2017</t>
  </si>
  <si>
    <t>2020NE000146</t>
  </si>
  <si>
    <t>MANUTENÇÃO EQUIPAMENTOS DE CLIMATIZAÇÃO  -  JARAGUÁ DO SUL, SÃO BENTO DO SUL, MAFRA, RIO DO SUL, CANOINHAS, LAGES, CURITIBANOS, FRAIBURGO, VIDEIRA, CAÇADOR E JOAÇABA. EXERCÍCIO 2020.</t>
  </si>
  <si>
    <t>2020NE000147</t>
  </si>
  <si>
    <t>PANIFICADORA GOMES LTDA (00382380000176)</t>
  </si>
  <si>
    <t>FORNECIMENTO DE COFFEE BREAK DURANTE O EXERCÍCIO 2020.</t>
  </si>
  <si>
    <t>PRE-7152/2015</t>
  </si>
  <si>
    <t>2020NE000148</t>
  </si>
  <si>
    <t>VERTTICAL PRESTADORA DE SERVICOS EIRELI (19107910000104)</t>
  </si>
  <si>
    <t>LIMPEZA DE VIDROS E FACHADAS - FLORIANÓPOLIS, PALHOÇA, SÃO JOSÉ, JOINVILLE E  BLUMENAU. 2020.</t>
  </si>
  <si>
    <t>PRE-9663/2015</t>
  </si>
  <si>
    <t>2020NE000149</t>
  </si>
  <si>
    <t>STAFETTA ESPORTE, LAZER &amp; EVENTOS LTDA (03740767000145)</t>
  </si>
  <si>
    <t>PROGRAMA DE GINÁSTICA LABORAL NAS UNIDADES JUDICIÁRIAS DO INTERIOR DO ESTADO, EM SÃO JOSÉ, PALHOÇA E NO ARQUIVO (SEGED, ANTIGO SEDIG). EXERCÍCIO 2020.</t>
  </si>
  <si>
    <t>PRE-8009/2016</t>
  </si>
  <si>
    <t>2020NE000150</t>
  </si>
  <si>
    <t>PAULO DA SILVA DUARTE EXTINTORES (85241693000167)</t>
  </si>
  <si>
    <t>MANUTENÇÃO NOS EXTINTORES DE INCÊNDIO NO EXERCÍCIO 2020.</t>
  </si>
  <si>
    <t>PRE-8492/2017</t>
  </si>
  <si>
    <t>2020NE000151</t>
  </si>
  <si>
    <t>UNIAO SUL CONTROLE DE PRAGAS LTDA (07817370000165)</t>
  </si>
  <si>
    <t>DESINSETIZAÇÃO, DESRATIZAÇÃO E CONTROLE DE PRAGAS NAS UNIDADES QUE ESPECIFICA.</t>
  </si>
  <si>
    <t>PRE-8780/2019</t>
  </si>
  <si>
    <t>2020NE000152</t>
  </si>
  <si>
    <t>PLANSUL PLANEJAMENTO E CONSULTORIA EIRELI (78533312000158)</t>
  </si>
  <si>
    <t>SERVIÇOS TERCEIRIZADOS DE LIMPEZA, CONSERVAÇÃO PREDIAL, LAVAÇÃO DE VEÍCULOS,  LIMPEZA DE PÁTIOS E JARDINS, RECEPÇÃO, COPEIRAGEM E GARÇONS NO TRT12 NO EXER- CÍCIO 2020.</t>
  </si>
  <si>
    <t>CTO-13743/2018</t>
  </si>
  <si>
    <t>2020NE000153</t>
  </si>
  <si>
    <t>CAIXA ECONOMICA FEDERAL (00360305041803)</t>
  </si>
  <si>
    <t>RESSARCIMENTO DE IPTU, MANUTENÇÃO AR CONDICIONADO, ENERGIA ELÉTRICA E ÁGUA DO IMÓVEL ONDE ESTÁ INSTALADA A VARA DO TRABALHO DE JOAÇABA.</t>
  </si>
  <si>
    <t>CM-10547/2015</t>
  </si>
  <si>
    <t>2020NE000154</t>
  </si>
  <si>
    <t>IBAGY IMOVEIS LTDA (75290122000169)</t>
  </si>
  <si>
    <t>LOCAÇÃO, IPTU E TAXA DE COLETA DE LIXO DO ARQUIVO GERAL(SEGED). EXERCÍCIO 2020</t>
  </si>
  <si>
    <t>CL-280/2010</t>
  </si>
  <si>
    <t>2020NE000155</t>
  </si>
  <si>
    <t>REUNIDAS TRANSPORTES S.A (04176082000180)</t>
  </si>
  <si>
    <t>SERVIÇO DE TRANSPORTE DE CARGAS ENTRE AS UNIDADES DO TRT12.</t>
  </si>
  <si>
    <t>PRE-13521/2015</t>
  </si>
  <si>
    <t>2020NE000156</t>
  </si>
  <si>
    <t>SETOPAR - SERVICOS TERCEIRIZADOS DO OESTE DO PARANA LTD (03637701000124)</t>
  </si>
  <si>
    <t>POSTOS DE TRABALHO DE DIGITALIZADORES.</t>
  </si>
  <si>
    <t>PRE-9153/2018</t>
  </si>
  <si>
    <t>2020NE000157</t>
  </si>
  <si>
    <t>ENERGIA ELÉTRICA DO TRT E UNIDADES JUDICIÁRIAS.</t>
  </si>
  <si>
    <t>CSP-302/2010</t>
  </si>
  <si>
    <t>2020NE000158</t>
  </si>
  <si>
    <t>CONTRIBUIÇÃO PARA CUSTEIO DE ILUMINAÇÃO PÚBLICA PARA O TRT E SUAS UNIDADES JU-DICIÁRIAS.</t>
  </si>
  <si>
    <t>2020NE000159</t>
  </si>
  <si>
    <t>RS CONSULTORIA E SERVICOS DE GESTAO EMPRESARIAL LTDA (06350648000174)</t>
  </si>
  <si>
    <t>SERVIÇOS DE LIMPEZA, COPA E COZINHA PARA AS UNIDADES QUE ESPECIFICA. EXERCÍCIO2020.</t>
  </si>
  <si>
    <t>CTO-13750/2018</t>
  </si>
  <si>
    <t>2020NE000160</t>
  </si>
  <si>
    <t>ORBENK SERVICOS DE SEGURANCA LTDA (14576552000157)</t>
  </si>
  <si>
    <t>DESPESA DE EXERCÍCIO ANTERIOR. VIGILÂNCIA ARMADA. OUTUBRO/2019.</t>
  </si>
  <si>
    <t>PRE-225/2015</t>
  </si>
  <si>
    <t>2020NE000161</t>
  </si>
  <si>
    <t>DS MANUTENCAO DE AR CONDICIONADO EIRELI (11955729000138)</t>
  </si>
  <si>
    <t>PEÇAS PARA MANUTENÇÃO NOS SISTEMAS DE CLIMATIZAÇÃO DAS UNIDADES DO TRT12.</t>
  </si>
  <si>
    <t>CTO-11968/2017</t>
  </si>
  <si>
    <t>2020NE000162</t>
  </si>
  <si>
    <t>MANUTENÇÃO NOS SISTEMAS DE CLIMATIZAÇÃO DAS UNIDADES DO TRT12.</t>
  </si>
  <si>
    <t>2020NE000163</t>
  </si>
  <si>
    <t>SCHNEIDER ELECTRIC IT BRASIL INDUSTRIA E COMERCIO DE EQ (07108509000282)</t>
  </si>
  <si>
    <t>(ID PAAC 15019)  NOBREAKS - SUPORTE E MANUTENÇÃO  DE NOBREAKS  NO DATACENTER ECIRCUITOS ESSENCIAIS  DO FORO TRABALHISTA  DE FLORIANÓPOLIS E  PARA OS PRÉDIOSSEDE (APC SUVT 40KVA).</t>
  </si>
  <si>
    <t>2020NE000164</t>
  </si>
  <si>
    <t>RJR COMERCIO E SERVICOS DE INFORMATICA LTDA (11508825000138)</t>
  </si>
  <si>
    <t>(ID PAAC 15072)  NUVEM -  CONTRATAÇÃO DE LICENÇA DE USO DE SERVIÇO DE NUVEM DECOMUNICAÇÃO E COLABORAÇÃO (GOOGLE).</t>
  </si>
  <si>
    <t>2020NE000165</t>
  </si>
  <si>
    <t>NIVA TECNOLOGIA DA INFORMACAO LTDA (09053350000190)</t>
  </si>
  <si>
    <t>(ID PAAC 15112)  CONTRATAÇÃO DE SUPORTE E ATUALIZAÇÃO DE  LICENÇAS DE SOFTWAREDE OTIMIZAÇÃO DE COMUNICAÇÃO DE DADOS (CITRIX) PARA O GABINETE VIRTUAL.</t>
  </si>
  <si>
    <t>RP-12483/2017</t>
  </si>
  <si>
    <t>2020NE000166</t>
  </si>
  <si>
    <t>LANLINK SOLUCOES E COMERCIALIZACAO EM INFORMATICA S/A (19877285000333)</t>
  </si>
  <si>
    <t>(ID PAAC 15187) BI - CONTRATAÇÃO DE USO DE SOFTWARE EM NUVEM, PARA GERAR RELA-TÓRIOS E INFORMAÇÕES GERENCIAIS PARA APOIO À DECISÃO E À GESTÃO.</t>
  </si>
  <si>
    <t>RP-6567/2018</t>
  </si>
  <si>
    <t>2020NE000167</t>
  </si>
  <si>
    <t>W J SERVICOS DE INFORMATICA LTDA (05116014000199)</t>
  </si>
  <si>
    <t>(ID PAAC 15067) SIABI - CONTRATAÇÃO DE SUPORTE TÉCNICO E ATUALIZAÇÃO DE LICEN-ÇAS DO SOFTWARE DE GERENCIAMENTO DE BIBLIOTECAS.</t>
  </si>
  <si>
    <t>CD-966/2017</t>
  </si>
  <si>
    <t>2020NE000168</t>
  </si>
  <si>
    <t>EC ELETRONICA LTDA (00255722000278)</t>
  </si>
  <si>
    <t>(ID PAAC 15017)  NOBREAKS - SUPORTE E MANUTENÇÃO DE NOBREAKS NAS VARAS E FOROSTRABALHISTAS DO INTERIOR DO ESTADO (SURT8000XLI).</t>
  </si>
  <si>
    <t>2020NE000169</t>
  </si>
  <si>
    <t>HARTSYSTEM SISTEMAS LTDA (73922171000141)</t>
  </si>
  <si>
    <t>(ID PAAC 15038)PRODENT - CONTRATAÇÃO DE SUPORTE E ATUALIZAÇÃO PARA LICENÇAS DESOFTWARE ODONTOLÓGICO, PARA GERENCIAMENTO DE 5.300 PRONTUÁRIOS ATUAIS E NOVOS,PELA COORDENADORIA DE SAÚDE.</t>
  </si>
  <si>
    <t>CD-5811/2017</t>
  </si>
  <si>
    <t>2020NE000170</t>
  </si>
  <si>
    <t>VANTUTA PRESTACAO DE SERVICOS LTDA (07452760000189)</t>
  </si>
  <si>
    <t>(ID PAAC 15107) SCANNER - CONTRATAÇÃO DE MANUTENÇÃO DE EQUIPAMENTOS DE DIGITA-LIZAÇÃO (SCANNER) DE ALTA CAPACIDADE PARA  REMESSA DE PROCESSO AO TST.  (KODAKI4600 E FUJITSU FI-6800), PARA O SECART.</t>
  </si>
  <si>
    <t>2020NE000171</t>
  </si>
  <si>
    <t>(ID PAAC 15063) NOBREAKS - SUPORTE E MANUTENÇÃO DE NOBREAKS DO DATACENTER (APCSYMMETRA)</t>
  </si>
  <si>
    <t>CD-5883/2015</t>
  </si>
  <si>
    <t>2020NE000172</t>
  </si>
  <si>
    <t>LEME CONSULTORIA EM GESTAO DE RH LTDA. (07955535000165)</t>
  </si>
  <si>
    <t>(ID PAAC 15065)  CONTRATAÇÃO DE  LICENÇA DE USO DE  SERVIÇO WEB DE GESTÃO POR COMPETÊNCIAS (1700 USUÁRIOS) - 2019, PELA SGP, COM PREVISÃO PARA QUITAÇÃO DAS CINCO ÚLTIMAS PARCELAS DO CONTRATO.</t>
  </si>
  <si>
    <t>CD-4362/2019</t>
  </si>
  <si>
    <t>2020NE000173</t>
  </si>
  <si>
    <t>ALGAR SOLUCOES EM TIC S/A (22166193000198)</t>
  </si>
  <si>
    <t>(ID PAAC 15057) INTERNET - CONTRATAÇÃO DE ACESSO CORPORATIVO À INTERNET - LINK2, COMO REDUNDÂNCIA EM RELAÇÃO AO ACESSO PRINCIPAL - LINK 1.</t>
  </si>
  <si>
    <t>PRE-5135/2017</t>
  </si>
  <si>
    <t>2020NE000174</t>
  </si>
  <si>
    <t>(ID PAAC 15066)INTERNET - CONTRATAÇÃO DE 151 LINHAS DE INTERNET MÓVEL PARA USODOS MAGISTRADOS E, EM CASO DE DISPONIBILIDADE, SERVIDORES. SERVIÇO DEFINIDO NOATO CSJT 43/2013. QTDADE CONFIRMADA NOS ESTUDOS PRELIMINARES DA CONTRAÇÃO.</t>
  </si>
  <si>
    <t>2020NE000175</t>
  </si>
  <si>
    <t>SERPRO - REGIONAL BRASILIA - SEDE (80603017205)</t>
  </si>
  <si>
    <t>(ID PAAC 15244)SERPRO - CONTRATAÇÃO DE LICENÇA DE USO DE SERVIÇO WEB DE ACESSOA DADOS.</t>
  </si>
  <si>
    <t>2020NE000176</t>
  </si>
  <si>
    <t>LIDERANCA LIMPEZA E CONSERVACAO LTDA (00482840000138)</t>
  </si>
  <si>
    <t>TRÊS POSTOS DE TRABALHO DE ATENDENTE DE CONSULTÓRIO ODONTOLÓGICO.</t>
  </si>
  <si>
    <t>PRE-242/2019</t>
  </si>
  <si>
    <t>2020NE000177</t>
  </si>
  <si>
    <t>2020NE000178</t>
  </si>
  <si>
    <t>CONGONHAS AIR SMILE ODONTOLOGIA LTDA (07742333000135)</t>
  </si>
  <si>
    <t>2020NE000179</t>
  </si>
  <si>
    <t>ASTORGA ADMINISTRADORA LTDA (08741352000100)</t>
  </si>
  <si>
    <t>LOCAÇÃO, CONDOMÍNIO, IPTU E COLETA DE LIXO DO IMÓVEL ONDE ESTÁ INSTALADA A VT DE TIMBÓ/SC. EXERCÍCIO 2020.</t>
  </si>
  <si>
    <t>CL-5627/2019</t>
  </si>
  <si>
    <t>2020NE000180</t>
  </si>
  <si>
    <t>VIGISOL VIGILANCIA PATRIMONIAL EIRELI (79929774000151)</t>
  </si>
  <si>
    <t>VIGILÂNCIA ARMADA FT CRICIÚMA.</t>
  </si>
  <si>
    <t>CTO-10821/2019</t>
  </si>
  <si>
    <t>2020NE000181</t>
  </si>
  <si>
    <t>2020NE000182</t>
  </si>
  <si>
    <t>2020NE000183</t>
  </si>
  <si>
    <t>SERVIÇOS TERCEIRIZADOS DE LIMPEZA, CONSERVAÇÃO PREDIAL, MANUTENÇÃO DE PÁTIOS EJARDINS E RECEPCIONISTA NAS CIDADES QUE ESPECIFICA. EXERCÍCIO 2020.</t>
  </si>
  <si>
    <t>CTO-13749/2018</t>
  </si>
  <si>
    <t>2020NE000184</t>
  </si>
  <si>
    <t>2020NE000185</t>
  </si>
  <si>
    <t>2020NE000186</t>
  </si>
  <si>
    <t>ORSEGUPS SEGURANCA E VIGILANCIA LTDA (75092593001304)</t>
  </si>
  <si>
    <t>SEGURANÇA ELETRÔNICA NAS UNIDADES QUE ESPECIFICA. EXERCÍCIO 2020.</t>
  </si>
  <si>
    <t>PRE-6294/2018</t>
  </si>
  <si>
    <t>2020NE000187</t>
  </si>
  <si>
    <t>ORCALI SERVICOS DE SEGURANCA LTDA. (83930214000194)</t>
  </si>
  <si>
    <t>2020NE000188</t>
  </si>
  <si>
    <t>2020NE000189</t>
  </si>
  <si>
    <t>CLEVERSON JEAN DARTORA EXTINSETO (33795785000195)</t>
  </si>
  <si>
    <t>2020NE000190</t>
  </si>
  <si>
    <t>TAXA COLETA LIXO FT JOINVILLE 2020.</t>
  </si>
  <si>
    <t>CD-734/2020</t>
  </si>
  <si>
    <t>2020NE000191</t>
  </si>
  <si>
    <t>2020NE000192</t>
  </si>
  <si>
    <t>2020NE000193</t>
  </si>
  <si>
    <t>MUNICIPIO DE LAGES (82777301000190)</t>
  </si>
  <si>
    <t>TAXA PREVENÇÃO SINISTRO/INCÊNDIO/PÂNICO FT LAGES. EXERCÍCIO 2020.</t>
  </si>
  <si>
    <t>CD-797/2020</t>
  </si>
  <si>
    <t>2020NE000194</t>
  </si>
  <si>
    <t>REFORÇO.</t>
  </si>
  <si>
    <t>2020NE000195</t>
  </si>
  <si>
    <t>2020NE000196</t>
  </si>
  <si>
    <t>24 HORAS CHAVES DA ILHA LTDA (06097343000100)</t>
  </si>
  <si>
    <t>CONFECÇÃO DE CHAVES E TROCA DE SEGREDO DE FECHADURAS SOB DEMANDA. REGULARIDADEFISCAL E TRABALHISTA DEVERÁ  SER MANTIDA DURANTE A VIGÊNCIA DA CONTRATAÇÃO SOBPENA DE RETENÇÃO E EXECUÇÃO DA MULTA DE 1% DO VALOR DA NOTA FISCAL.</t>
  </si>
  <si>
    <t>CD-836/2020</t>
  </si>
  <si>
    <t>2020NE000197</t>
  </si>
  <si>
    <t>CONTROLES REMOTOS PARA PORTÃO - SOB DEMANDA.  REGULARIDADE FISCAL E TRABALHIS-TA DEVERÁ SER MANTIDA DURANTE A VIGÊNCIA DA CONTRATAÇÃO SOB PENA DE RETENÇÃO EEXECUÇÃO DA MULTA DE 1% DO VALOR DA NOTA FISCAL.</t>
  </si>
  <si>
    <t>2020NE000198</t>
  </si>
  <si>
    <t>ANATALIA DA CONCEICAO SOUZA (33154265000101)</t>
  </si>
  <si>
    <t>INTÉRPRETE DE LIBRAS PRESENCIAL PARA O SERVIDOR EDUARDO GHELLER MORSCHBACHER.</t>
  </si>
  <si>
    <t>CD-12399/2019</t>
  </si>
  <si>
    <t>2020NE000199</t>
  </si>
  <si>
    <t>VIAVEL BRASIL - TELECOMUNICACAO VISUAL LTDA (13659947000150)</t>
  </si>
  <si>
    <t>INTÉRPRETE DE LIBRAS A DISTÂNCIA PARA O SERVIDOR EDUARDO GHELLER MORSCHBACHER.</t>
  </si>
  <si>
    <t>2020NE000200</t>
  </si>
  <si>
    <t>SEMAN</t>
  </si>
  <si>
    <t>2020NE000201</t>
  </si>
  <si>
    <t>ABSOLUTO - DIVISORIAS E PISOS LTDA (04553788000114)</t>
  </si>
  <si>
    <t>PEÇAS PARA PRESTAÇÃO DE SERVIÇOS EM DIVISÓRIAS PAINEL NAVAL.</t>
  </si>
  <si>
    <t>PRE-6170/2018</t>
  </si>
  <si>
    <t>2020NE000202</t>
  </si>
  <si>
    <t>PRESTAÇÃO DE SERVIÇOS EM DIVISÓRIAS PAINEL NAVAL.</t>
  </si>
  <si>
    <t>2020NE000203</t>
  </si>
  <si>
    <t>RAFAEL SANDIN KNABBEN (01626731918)</t>
  </si>
  <si>
    <t>REEMBOLSO DE DESPESAS REFERENTE À AQUISIÇÃO DE ÁGUA MINERAL PARA A VT DE IMBI-TUBA.</t>
  </si>
  <si>
    <t>CD-939/2020</t>
  </si>
  <si>
    <t>2020NE000204</t>
  </si>
  <si>
    <t>REFORÇO DIÁRIAS.</t>
  </si>
  <si>
    <t>2020NE000205</t>
  </si>
  <si>
    <t>CERTISIGN CERTIFICADORA DIGITAL S.A (01554285000175)</t>
  </si>
  <si>
    <t>EMISSÃO 120 CERTIFICADOS DIGITAIS P/PESSOA FÍSICA TIPO A3,  PADRÃO  ICP-BRASILCOMPATÍVEL COM AC-JUS,C/PRAZO DE VALIDADE TRÊS ANOS.A REGULARIDADE FISCAL/TRA-BALHISTA DEVERÁ SER MANTIDA NA VIGÊNCIA, SOB PENA MULTA DE 1% DO VALOR DA NF.</t>
  </si>
  <si>
    <t>CD-652/2020</t>
  </si>
  <si>
    <t>2020NE000206</t>
  </si>
  <si>
    <t>CEPENGE ENGENHARIA LTDA (03064330000139)</t>
  </si>
  <si>
    <t>SERVIÇOS E MATERIAIS PARA MANUTENÇÃO PREDIAL REFERENTE AO MÊS DEZEMBRO 2019.</t>
  </si>
  <si>
    <t>PRE-6320/2018</t>
  </si>
  <si>
    <t>2020NE000207</t>
  </si>
  <si>
    <t>PRESTAÇÃO DE SERVIÇOS DE MANUTENÇÃO CORRETIVA  E PREVENTIVA P/  TODO O SISTEMAPREDIAL DO TRIBUNAL REGIONAL DO TRABALHO DA 12ª REGIÃO.</t>
  </si>
  <si>
    <t>2020NE000208</t>
  </si>
  <si>
    <t>PEÇAS PARA A PRESTAÇÃO DE SERVIÇOS DE MANUTENÇÃO PREDIAL, PREVENTIVA, CORRETI-VA EMERGENCIAL PARA TODOS OS PRÉDIOS DO TRT12.</t>
  </si>
  <si>
    <t>2020NE000209</t>
  </si>
  <si>
    <t>ANULAÇÃO AJUDA DE CUSTOS.</t>
  </si>
  <si>
    <t>2020NE000210</t>
  </si>
  <si>
    <t>ANULAÇÃO DIÁRIAS.</t>
  </si>
  <si>
    <t>2020NE000211</t>
  </si>
  <si>
    <t>ANULAÇÃO INSTRUTORIA.</t>
  </si>
  <si>
    <t>2020NE000212</t>
  </si>
  <si>
    <t>GIACOMELLI IMOVEIS LTDA. (81547614000190)</t>
  </si>
  <si>
    <t>LOCAÇÃO IMÓVEL RIO BRANCO - GABINETES DESEMBARGADORES E ÁREA JUDICIÁRIA.</t>
  </si>
  <si>
    <t>CL-6996/2013</t>
  </si>
  <si>
    <t>2020NE000213</t>
  </si>
  <si>
    <t>PATRIA SEGURANCA EIRELI (09813930000139)</t>
  </si>
  <si>
    <t>CONTRATAÇÃO DE SERVIÇO ESPECIALIZADO  DE VIGILÂNCIA ARMADA PARA OS FT'S DE RIODO SUL, JOINVILLE, LAGES, BLUMENAU E CHAPECÓ DESTE REGIONAL.</t>
  </si>
  <si>
    <t>CTO-10820/2019</t>
  </si>
  <si>
    <t>2020NE000214</t>
  </si>
  <si>
    <t>2019NE000313</t>
  </si>
  <si>
    <t>ODONTO PROTESE COMERCIAL LTDA (81022832000100)</t>
  </si>
  <si>
    <t>CANCELAMENTO DE RESTOS A PAGAR.</t>
  </si>
  <si>
    <t>CD-2556/2019</t>
  </si>
  <si>
    <t>2020NE000215</t>
  </si>
  <si>
    <t>C GALATI EIRELI (06556008000115)</t>
  </si>
  <si>
    <t>(ID PAAC 15060)CENTRAL DE SERVIÇOS - CONTRATAÇÃO DE SERVIÇOS DE SUPORTE DE TICEM 1º E 2º NÍVEIS - 2020,  PARA FORNECIMENTO DE  TÉCNICOS  TERCEIRIZADOS  PARAATENDIMENTO AOS CHAMADOS DE TIC, NO ESTADO.</t>
  </si>
  <si>
    <t>2020NE000216</t>
  </si>
  <si>
    <t>2020NE000217</t>
  </si>
  <si>
    <t>2020NE000218</t>
  </si>
  <si>
    <t>MP COMERCIO DE ALIMENT0S EIRELI (30510775000178)</t>
  </si>
  <si>
    <t>ÁGUA MINERAL EM BOMBONAS DE 20 LITROS PARA O FT BALNEÁRIO CAMBORIÚ.</t>
  </si>
  <si>
    <t>CD-875/2020</t>
  </si>
  <si>
    <t>2020NE000219</t>
  </si>
  <si>
    <t>EF CONTENT AGENCIA DE NOTICIAS LTDA (34635844000120)</t>
  </si>
  <si>
    <t>CONTRATAÇÃO DE SERVIÇOS DE JORNALISTA PARA AS PRODUÇÕES AUDIOVISUAIS DO TRT12.</t>
  </si>
  <si>
    <t>PRE-8950/2019</t>
  </si>
  <si>
    <t>2020NE000220</t>
  </si>
  <si>
    <t>UNA COMUNICACAO E PARTICIPACOES LTDA (05969672000123)</t>
  </si>
  <si>
    <t>CONTRATAÇÃO DE POSTO DE TRABALHO DE TÉCNICO DE ÁUDIO E VÍDEO DE FORMA RESIDEN-TE.</t>
  </si>
  <si>
    <t>PRE-5460/2019</t>
  </si>
  <si>
    <t>2020NE000221</t>
  </si>
  <si>
    <t>CENTRO DE INFORMATICA E AUTOMACAO DO ESTADO DE SC S/A (83043745000165)</t>
  </si>
  <si>
    <t>2020NE000222</t>
  </si>
  <si>
    <t>UNIFIQUE TELECOMUNICACOES S/A (02255187000108)</t>
  </si>
  <si>
    <t>DESPESA DE EXERCÍCIO ANTERIOR. SERVIÇO DE COMUNICAÇÃO DE DADOS PARA ACESSO À  INTERNET.</t>
  </si>
  <si>
    <t>2020NE000223</t>
  </si>
  <si>
    <t>BECO-CASTELO CONSTRUCOES E INCORPORACOES DE IMOVEIS LTD (83601534000109)</t>
  </si>
  <si>
    <t>TAXA COLETA DE LIXO - PRÉDIO RIO BRANCO (GABINETES DOS DESEMBARGADORES). 2020.</t>
  </si>
  <si>
    <t>2020NE000224</t>
  </si>
  <si>
    <t>2020NE000225</t>
  </si>
  <si>
    <t>MUNICIPIO DE FLORIANOPOLIS (82892282000143)</t>
  </si>
  <si>
    <t>2020NE000226</t>
  </si>
  <si>
    <t>MANUTENÇÃO PLATAFORMA ELEVATÓRIA FT BLANEÁRIO CAMBORIÚ.</t>
  </si>
  <si>
    <t>PRE-2646/2018</t>
  </si>
  <si>
    <t>2020NE000227</t>
  </si>
  <si>
    <t>ONDREPSB-SERVICO DE GUARDA E VIGILANCIA LTDA (82949652000131)</t>
  </si>
  <si>
    <t>VIGILÂNCIA ARMADA FT'S SÃO JOSÉ E FLORIANÓPOLIS, PRÉDIOS SEDE (AV. RIO BRANCO E R. ESTEVES JUNIOR), COORD. SAÚDE E SEMAP (ALMOXARIFADO).</t>
  </si>
  <si>
    <t>CTO-10819/2019</t>
  </si>
  <si>
    <t>2020NE000228</t>
  </si>
  <si>
    <t>2020NE000229</t>
  </si>
  <si>
    <t>SEMAP</t>
  </si>
  <si>
    <t>2020NE000230</t>
  </si>
  <si>
    <t>BROOKS AMBIENTAL EIRELI (03938048000133)</t>
  </si>
  <si>
    <t>SERVIÇO DE GERENCIAMENTO DE RESÍDUOS ELETRÔNICOS. INUTILIZAÇÃO DE 57 CARTUCHOSDE TONER.  DEVE-SE MANTER REGULARIDADE FISCAL E TRABALHISTA DURANTE O CONTRATOSOB PENA DE MULTA DE 1% DO VALOR DA NOTA FISCAL.</t>
  </si>
  <si>
    <t>CD-1440/2020</t>
  </si>
  <si>
    <t>2020NE000231</t>
  </si>
  <si>
    <t>TAXA COLETA DE LIXO DOS IMÓVEIS DESTE REGIONAL NA CIDADE DE FLORIANÓPOLIS.</t>
  </si>
  <si>
    <t>CD-1256/2020</t>
  </si>
  <si>
    <t>2020NE000232</t>
  </si>
  <si>
    <t>EVANDRO DAITX DE BITENCOURT (83067701020)</t>
  </si>
  <si>
    <t>REEMBOLSO DE DESPESA COM TAXA DE EXAME TOXICOLÓGICO PARA RENOVAÇÃO DE CNH.</t>
  </si>
  <si>
    <t>CD-403/2020</t>
  </si>
  <si>
    <t>2020NE000233</t>
  </si>
  <si>
    <t>TAXA "HABITE-SE" E SEGURANÇA CONTRA INCÊNDIO E PÂNICO. IMÓVEL SEDE ADMINISTRA-TIVA. EXERCÍCIO 2020.</t>
  </si>
  <si>
    <t>CD-1523/2020</t>
  </si>
  <si>
    <t>2020NE000234</t>
  </si>
  <si>
    <t>CAPACITY TREINAMENTO E APERFEICOAMENTO LTDA (18133018000127)</t>
  </si>
  <si>
    <t>INSCRIÇÃO DO SERVIDOR DILCIONIR JOSÉ FURLAN EM CURSO EXTERNO.  A REGULARIDADE FISCAL E TRABALHISTA DEVERÁ SER MANTIDA DURANTE A VIGÊNCIA DA CONTRATAÇÃO SOB PENA DE RETENÇÃO E EXECUÇÃO DA MULTA DE 1% DO VALOR DA NOTA FISCAL.</t>
  </si>
  <si>
    <t>CD-1541/2020</t>
  </si>
  <si>
    <t>2020NE000235</t>
  </si>
  <si>
    <t>DESPESA DE EXERCÍCIO ANTERIOR.  TRANSPORTE DE CARGAS  ENTRE UNIDADES  DO TRT12NO EXERCÍCIO 2019.</t>
  </si>
  <si>
    <t>2020NE000236</t>
  </si>
  <si>
    <t>MARCELO STRINGARI (02791629955)</t>
  </si>
  <si>
    <t>REEMBOLSO DE DESPESA AO SERVIDOR.</t>
  </si>
  <si>
    <t>CD-1548/2020</t>
  </si>
  <si>
    <t>2020NE000237</t>
  </si>
  <si>
    <t>2020NE000238</t>
  </si>
  <si>
    <t>2020NE000239</t>
  </si>
  <si>
    <t>CONDOMÍNIO SALA 7º PAV. RUA XV DE NOVEMBRO, 1305 EM BLUMENAU/SC.</t>
  </si>
  <si>
    <t>2020NE000240</t>
  </si>
  <si>
    <t>NP CAPACITACAO E SOLUCOES TECNOLOGICAS LTDA (07797967000195)</t>
  </si>
  <si>
    <t>LICENÇA DE USO DA FERRAMENTA BANCO DE PREÇOS PELO PERÍODO DE 12 MESES.</t>
  </si>
  <si>
    <t>CD-1562/2020</t>
  </si>
  <si>
    <t>2020NE000241</t>
  </si>
  <si>
    <t>2020NE000242</t>
  </si>
  <si>
    <t>LICENÇA DE USO DA FERRAMENTA BANCO DE PREÇOS PELO PERÍODO DE 12 MESES. A REGU-LARIDADE FISCAL E TRABALHISTA DEVE SER MANTIDA DURANTE A VIGÊNCIA DA CONTRATA-ÇÃO SOB PENA DE RETENÇÃO E EXECUÇÃO DA MULTA DE 1% DO VALOR DA NOTA FISCAL.</t>
  </si>
  <si>
    <t>2020NE000243</t>
  </si>
  <si>
    <t>FORNECIMENTO DE COFFEE BREAK DURANTE O EXERCÍCIO 2020 EM EVENTOS DA ESCOLA JU-DICIAL.</t>
  </si>
  <si>
    <t>2020NE000244</t>
  </si>
  <si>
    <t>EMISSÃO E FORNECIMENTO DE PASSAGENS AÉREAS NACIONAIS - ESCOLA JUDICIAL.</t>
  </si>
  <si>
    <t>2020NE000245</t>
  </si>
  <si>
    <t>SENTENÇAS DE PEQUENO VALOR - OFÍCIO SEGEP/NUPRE Nº 161 - PROAD-1462/2020.</t>
  </si>
  <si>
    <t>PROAD-1462/2020</t>
  </si>
  <si>
    <t>2020NE000246</t>
  </si>
  <si>
    <t>COMISSÃO À EMPRESA ESPECIALIZADA NA EMISSÃO E FORNECIMENTO DE PASSAGENS AÉREASPARA EVENTOS DA ESCOLA JUDICIAL.</t>
  </si>
  <si>
    <t>2020NE000247</t>
  </si>
  <si>
    <t>JUVELINA CARDOSO DE OLIVEIRA SILVA (45962847920)</t>
  </si>
  <si>
    <t>REEMBOLSO DE DESPESA REFERENTE AQUISIÇÃO DE BOMBONAS DE ÁGUA MINERAL DE 20L.</t>
  </si>
  <si>
    <t>CD-1606/2020</t>
  </si>
  <si>
    <t>2020NE000248</t>
  </si>
  <si>
    <t>REFORÇO DIÁRIAS ESCOLA.</t>
  </si>
  <si>
    <t>2020NE000249</t>
  </si>
  <si>
    <t>REFORÇO RESSARCIMENTO TRANSPORTE ESCOLA JUDICIAL.</t>
  </si>
  <si>
    <t>2020NE000250</t>
  </si>
  <si>
    <t>SERVIÇOS DE INSTRUTORIA EM EVENTOS DA ESCOLA JUDICIAL.</t>
  </si>
  <si>
    <t>2020NE000251</t>
  </si>
  <si>
    <t>ART CARD LTDA (05449347000130)</t>
  </si>
  <si>
    <t>SERVIÇO DE IMPRESSÃO FRONTAL COLORIDA EM CARTÕES DE PROXIMIDADE.</t>
  </si>
  <si>
    <t>CD-1325/2020</t>
  </si>
  <si>
    <t>2020NE000252</t>
  </si>
  <si>
    <t>AQUISIÇÃO DE PORTA-CRACHÁS E PRESILHAS TIPO JACARÉ.</t>
  </si>
  <si>
    <t>2020NE000253</t>
  </si>
  <si>
    <t>PEÇAS PARA MANUTENÇÃO/REVISÃO EM VEÍCULO DESTE REGIONAL. A REGULARIDADE FISCALE TRABALHISTA DEVE SE MANTER DURANTE O CONTRATO SOB PENA DE MULTA DE 1% DO VA-LOR DA NF. MULTAS: MORA 0,3%/DIA LIM. A 10%; INEXECUÇÃO PARCIAL:5%; TOTAL: 10%</t>
  </si>
  <si>
    <t>CD-1669/2020</t>
  </si>
  <si>
    <t>2020NE000254</t>
  </si>
  <si>
    <t>MÃO DE OBRA P/ MANUT./REVISÃO EM VEÍCULO DESTE REGIONAL. A REGULARIDADE FISCALE TRABALHISTA DEVE SE MANTER DURANTE O CONTRATO SOB PENA DE MULTA DE 1% DO VA-LOR DA NF. MULTAS: MORA 0,3%/DIA LIM. A 10%; INEXECUÇÃO PARCIAL:5%; TOTAL: 10%</t>
  </si>
  <si>
    <t>2020NE000255</t>
  </si>
  <si>
    <t>RESSARCIMENTO DESPESAS DE CONDOMÍNIO 3ªVT BLUMENAU REF. DEZEMBRO/2019. DESPESADE EXERCÍCIO ANTERIOR.</t>
  </si>
  <si>
    <t>2020NE000256</t>
  </si>
  <si>
    <t>RESSARCIMENTO DESPESAS DE CONDOMÍNIO 1ª E 4ª VT'S BLUMENAU REF. DEZEMBRO/2019.DESPESA DE EXERCÍCIO ANTERIOR.</t>
  </si>
  <si>
    <t>CM-4468/2012</t>
  </si>
  <si>
    <t>2020NE000257</t>
  </si>
  <si>
    <t>2020NE000258</t>
  </si>
  <si>
    <t>BANCO DO BRASIL SA (00000000466638)</t>
  </si>
  <si>
    <t>2020NE000259</t>
  </si>
  <si>
    <t>ÁGUA MINERAL 20 LITROS PARA O FT BLUMENAU E VT IMBITUBA.</t>
  </si>
  <si>
    <t>CD-1497/2020</t>
  </si>
  <si>
    <t>2020NE000260</t>
  </si>
  <si>
    <t>DUCESAR AGUA MINERAL LTDA (95776076000110)</t>
  </si>
  <si>
    <t>ÁGUA MINERAL 20 LITROS PARA O FT TUBARÃO.</t>
  </si>
  <si>
    <t>2020NE000261</t>
  </si>
  <si>
    <t>RESSARCIMENTO DESPESAS DE CONDOMÍNIO 1ª E 4ª VT'S BLUMENAU. EXERCÍCIO 2020.</t>
  </si>
  <si>
    <t>2020NE000262</t>
  </si>
  <si>
    <t>2020NE000263</t>
  </si>
  <si>
    <t>2020NE000264</t>
  </si>
  <si>
    <t>2020NE000265</t>
  </si>
  <si>
    <t>2020NE000266</t>
  </si>
  <si>
    <t>2020NE000267</t>
  </si>
  <si>
    <t>(ID PAAC 15259)INTERNET - CONTRATAÇÃO DE ACESSO PRINCIPAL CORPORATIVO À INTER-NET - LINK 1. EXERCÍCIO 2020.</t>
  </si>
  <si>
    <t>2020NE000268</t>
  </si>
  <si>
    <t>JMN MOLDURAS E MOVEIS EIRELI (03185495000169)</t>
  </si>
  <si>
    <t>MOLDURA P/ FOTO NO MEMORIAL DO TRT. REGULARIDADE FISCAL E TRABALHISTA  DEVE SEMANTER DURANTE CONTRATO SOB PENA DE MULTA DE 1% DO VALOR DA NF. DEMAIS MULTAS:MORA 0,3%/DIA, LIM. 10% VALOR; INEXECUÇÃO PARCIAL: 5%; INEXECUÇÃO TOTAL: 10%.</t>
  </si>
  <si>
    <t>CD-1892/2020</t>
  </si>
  <si>
    <t>2020NE000269</t>
  </si>
  <si>
    <t>ECOSCARD SISTEMAS E EQUIPAMENTOS PARA CARTOES INTELIGE (07489898000152)</t>
  </si>
  <si>
    <t>TOKENS PARA CERTIFICADOS DIGITAIS. A REGULARIDADE FISCAL E TRABALHISTA DEVERÁ SER MANTIDA DURANTE A VIGÊNCIA DA CONTRATAÇÃO SOB PENA DE RETENÇÃO E EXECUÇÃO DA MULTA DE 1% DO VALOR DA NOTA FISCAL.</t>
  </si>
  <si>
    <t>CD-1983/2020</t>
  </si>
  <si>
    <t>2020NE000270</t>
  </si>
  <si>
    <t>DESPESA DE EXERCÍCIO ANTERIOR. (ID PAAC 15072)  NUVEM - CONTRATAÇÃO DE LICENÇADE USO DE SERVIÇO DE NUVEM DE COMUNICAÇÃO E COLABORAÇÃO (GOOGLE). REF: DEZ/19.</t>
  </si>
  <si>
    <t>2020NE000271</t>
  </si>
  <si>
    <t>2020NE000272</t>
  </si>
  <si>
    <t>2020NE000273</t>
  </si>
  <si>
    <t>DARLAN MACHADO 03978723999 (17670635000107)</t>
  </si>
  <si>
    <t>CURSO DE EXCEL IN COMPANY. A REGULARIDADE FISCAL E TRABALHISTA DEVE SER MANTI-DA DURANTE A VIGÊNCIA DA CONTRATAÇÃO SOB PENA DE RETENÇÃO E EXECUÇÃO DA MULTA DE 1% DO VALOR DA NOTA FISCAL.</t>
  </si>
  <si>
    <t>CD-2044/2020</t>
  </si>
  <si>
    <t>2020NE000274</t>
  </si>
  <si>
    <t>TAXA DE ANÁLISE DA ATUALIZAÇÃO DE PROJETO PREVENTIVO CONTRA INCÊNDIO DO PRÉDIOONDE ESTÁ INSTALADO O ALMOXARIFADO.</t>
  </si>
  <si>
    <t>CD-2038/2020</t>
  </si>
  <si>
    <t>2020NE000275</t>
  </si>
  <si>
    <t>CONSELHO REGIONAL DE ENGENHARIA E AGRONOMIA DE SANTA CA (82511643000164)</t>
  </si>
  <si>
    <t>TAXA DE EMISSÃO DE ANOTAÇÃO DE RESPONSABILIDADE TÉCNICA.</t>
  </si>
  <si>
    <t>2020NE000276</t>
  </si>
  <si>
    <t>LICENCIAMENTO ANUAL VEÍCULO FORD FUSION PLACA QHI0907.</t>
  </si>
  <si>
    <t>CD-2128/2020</t>
  </si>
  <si>
    <t>2020NE000277</t>
  </si>
  <si>
    <t>SEGURO OBRIGATÓRIO VEÍCULO FORD FUSION PLACA QHI0907.</t>
  </si>
  <si>
    <t>2020NE000278</t>
  </si>
  <si>
    <t>CIDADE SOLUCOES TECNOLOGICAS EIRELI (09042082000101)</t>
  </si>
  <si>
    <t>CERTIFICADO DIGITAL E-CNPJ PARA O TRIBUNAL. A REGULARIDADE FISCAL E TRABALHIS-TA DEVERÁ SER MANTIDA DURANTE A VIGÊNCIA DA CONTRATAÇÃO SOB PENA DE RETENÇÃO EEXECUÇÃO DA MULTA DE 1% DO VALOR DA NOTA FISCAL.</t>
  </si>
  <si>
    <t>CD-2151/2020</t>
  </si>
  <si>
    <t>2020NE000279</t>
  </si>
  <si>
    <t>2020NE000280</t>
  </si>
  <si>
    <t>MUNICIPIO DE CACADOR (83074302000131)</t>
  </si>
  <si>
    <t>TAXA PREVENÇÃO CONTRA SINISTRO - VT CAÇADOR - EXERCÍCIO 2020.</t>
  </si>
  <si>
    <t>CD-2253/2020</t>
  </si>
  <si>
    <t>2020NE000281</t>
  </si>
  <si>
    <t>MUNICIPIO DE TUBARAO (82928656000133)</t>
  </si>
  <si>
    <t>TAXA PREVENÇÃO CONTRA SINISTRO - FT TUBARÃO - EXERCÍCIO 2020.</t>
  </si>
  <si>
    <t>2020NE000282</t>
  </si>
  <si>
    <t>2020NE000283</t>
  </si>
  <si>
    <t>2020NE000284</t>
  </si>
  <si>
    <t>ECOVOLTS COMERCIO ATACADISTA DE PECAS  E ACESSORIOS LTD (22873892000178)</t>
  </si>
  <si>
    <t>BATERIAS SELADAS (12V/5AH) PARA NOBREAKS.</t>
  </si>
  <si>
    <t>PRE-12684/2019</t>
  </si>
  <si>
    <t>2020NE000285</t>
  </si>
  <si>
    <t>DESPESA DE EXERCÍCIO ANTERIOR REF. DIFERENÇA DE REAJUSTE DE PREÇOS NA PRESTA- ÇÃO DE SERVIÇOS CONTINUADOS DE MANUTENÇÃO EM BOMBAS DE RECALQUE E SUCÇÃO INS- TALADAS EM UNIDADES JUDICIÁRIAS EM FLORIANÓPOLIS E SÃO JOSÉ/SC.</t>
  </si>
  <si>
    <t>2020NE000286</t>
  </si>
  <si>
    <t>2020NE000287</t>
  </si>
  <si>
    <t>2020NE000288</t>
  </si>
  <si>
    <t>2020NE000289</t>
  </si>
  <si>
    <t>2020NE000290</t>
  </si>
  <si>
    <t>2020NE000291</t>
  </si>
  <si>
    <t>G4F SOLUCOES CORPORATIVAS LTDA (07094346000145)</t>
  </si>
  <si>
    <t>(ID PAAC 15039)  FÁBRICA - CONTRATAÇÃO DE FÁBRICA DE SOFTWARE  PARA PLATAFORMAJEE - 2019,  PARA INCREMENTAR A  CAPACIDADE DE DESENVOLVIMENTO DE  SISTEMAS DEINFORMAÇÃO.</t>
  </si>
  <si>
    <t>PRE-6271/2019</t>
  </si>
  <si>
    <t>2020NE000292</t>
  </si>
  <si>
    <t>CD-2420/2020</t>
  </si>
  <si>
    <t>2020NE000293</t>
  </si>
  <si>
    <t>TAXA DE EMISSÃO DE ANOTAÇÃO DE RESPONSABILIDADE TÉCNICA (ART) REF. OBRA FT VI-DEIRA.</t>
  </si>
  <si>
    <t>CD-2462/2020</t>
  </si>
  <si>
    <t>2020NE000294</t>
  </si>
  <si>
    <t>2020NE000295</t>
  </si>
  <si>
    <t>ELETROQUIP COMERCIO E LICITACOES LTDA (05854663000197)</t>
  </si>
  <si>
    <t>EXTENSORES DE VÍDEO PARA CONEXÃO HDMI VIA REDE. A REGULARIDADE FISCAL E TRABA-LHISTA DEVE SE MANTER DURANTE A VIGÊNCIA DA CONTRATAÇÃO  SOB  PENA DE EXECUÇÃODA MULTA DE 1% DO VALOR DA NOTA FISCAL.</t>
  </si>
  <si>
    <t>CD-2559/2020</t>
  </si>
  <si>
    <t>2020NE000296</t>
  </si>
  <si>
    <t>REFORÇO PARA PAGAMENTO INDENIZAÇÃO COM TRANSPORTE IMOBILIÁRIO.</t>
  </si>
  <si>
    <t>2020NE000297</t>
  </si>
  <si>
    <t>ESTORNO DE ANULAÇÃO.</t>
  </si>
  <si>
    <t>2020NE000298</t>
  </si>
  <si>
    <t>2020NE000299</t>
  </si>
  <si>
    <t>REFORÇO PARA PAGAMENTO DE INDENIZAÇÃO COM TRANSPORTE MOBILIÁRIO.</t>
  </si>
  <si>
    <t>2020NE000300</t>
  </si>
  <si>
    <t>ANULAÇÃO</t>
  </si>
  <si>
    <t>2020NE000301</t>
  </si>
  <si>
    <t>2020NE000302</t>
  </si>
  <si>
    <t>2020NE000303</t>
  </si>
  <si>
    <t>ORTOCLINI CLINICA DE ORTOPEDIA E TRAUMATOLOGIA LTDA. (82703075000101)</t>
  </si>
  <si>
    <t>PERÍCIAS ORTOPÉDICAS NO EXERCÍCIO 2020. REGULARIDADE FISCAL E TRABALHISTADEVE SER MANTIDA DURANTE A VIGÊNCIA DA CONTRATAÇÃO SOB PENA DE EXECUÇÃO DA MULTA DE1% DO VALOR DA NOTA FISCAL.</t>
  </si>
  <si>
    <t>CD-2621/2020</t>
  </si>
  <si>
    <t>2020NE000304</t>
  </si>
  <si>
    <t>IMUNIZAR CLINICA DE VACINAS LTDA (13627448000181)</t>
  </si>
  <si>
    <t>VACINA CONTRA INFLUENZA, COM GESTO VACINAL, PARA A CAMPANHA DE VACINAÇÃO CON- TRA A GRIPE DE 2020.</t>
  </si>
  <si>
    <t>PRE-79/2020</t>
  </si>
  <si>
    <t>2020NE000305</t>
  </si>
  <si>
    <t>SENTENÇAS DE PEQUENO VALOR - OFÍCIO SEGEP/NUPRE Nº 252 - PROAD-2521/2020.</t>
  </si>
  <si>
    <t>PROAD-2521/2020</t>
  </si>
  <si>
    <t>2020NE000306</t>
  </si>
  <si>
    <t>2020NE000307</t>
  </si>
  <si>
    <t>ANULAÇÃO INDENIZAÇÃO DE TRANSPORTE.</t>
  </si>
  <si>
    <t>2020NE000308</t>
  </si>
  <si>
    <t>REFORÇO PARA PAGEMENTO DE TRANSPORTE MOBILIÁRIO.</t>
  </si>
  <si>
    <t>2020NE000309</t>
  </si>
  <si>
    <t>PEREIRA COMERCIO DE ARTIGOS DESCARTAVEIS LTDA (07589610000111)</t>
  </si>
  <si>
    <t>GUARDANAPOS DE PAPEL. A REGULARIDADE FISCAL E TRABALHISTA DEVERÁ SER MANTIDA  DURANTE A VIGÊNCIA DA CONTRATAÇÃO SOB PENA DE EXECUÇÃO DA MULTA DE 1% DO VA-  LOR DA NOTA FISCAL.</t>
  </si>
  <si>
    <t>CD-2360/2020</t>
  </si>
  <si>
    <t>2020NE000310</t>
  </si>
  <si>
    <t>IMPERATRIZ COMERCIO ATACADISTA DE PRODUTOS ALIMENTICIO (14546646000183)</t>
  </si>
  <si>
    <t>GÊNEROS ALIMENTÍCIOS PARA SUPRIR O REGIONAL NO EXERCÍCIO 2020. A REGULARIDADE FISCAL E TRABALHISTA DEVERÁ SER MANTIDA DURANTE A VIGÊNCIA DA CONTRATAÇÃO SOB PENA DE EXECUÇÃO DA MULTA DE 1% DO VALOR DA NOTA FISCAL.</t>
  </si>
  <si>
    <t>2020NE000311</t>
  </si>
  <si>
    <t>R &amp; G REPRESENTACAO COMERCIAL E COMERCIO DE ALIMENTOS L (19364427000105)</t>
  </si>
  <si>
    <t>2020NE000312</t>
  </si>
  <si>
    <t>GÊNEROS ALIMENTÍCIOS E MATERIAL DE COPA/COZINHA P/ EXERC.2020. A REGULARIDADE FISCAL E TRABALHISTA DEVERÁ SER MANTIDA DURANTE A VIGÊNCIA DA CONTRATAÇÃO SOB PENA DE EXECUÇÃO DA MULTA DE 1% DO VALOR DA NOTA FISCAL.</t>
  </si>
  <si>
    <t>2020NE000313</t>
  </si>
  <si>
    <t>ANDREA CRISTINA DE SOUZA HAUS WALDRIGUES (87656523987)</t>
  </si>
  <si>
    <t>DESPESA DE EXERC. ANTERIOR REF. ATUAÇÃO COMO JUÍZA AUXILIAR DA PRESIDÊNCIA.</t>
  </si>
  <si>
    <t>PROAD-2527/2020</t>
  </si>
  <si>
    <t>2020NE000314</t>
  </si>
  <si>
    <t>ANA PAULA GRILLO RODRIGUES (88820424991)</t>
  </si>
  <si>
    <t>CURSO COMPETÊNCIAS GERENCIAIS. A RESPONSABILIDADE FISCAL E TRABALHISTA DEVE SEMANTER  DURANTE A VIGÊNCIA DA  CONTRATAÇÃO SOB PENA DE EXECUÇÃO DA MULTA DE 1%VALOR DA NOTA FISCAL.</t>
  </si>
  <si>
    <t>CD-2744/2020</t>
  </si>
  <si>
    <t>2020NE000315</t>
  </si>
  <si>
    <t>AGENCIA NACIONAL DE TELECOMUNICACOES-SEDE (41300141231)</t>
  </si>
  <si>
    <t>TAXA DE CONTRIBUIÇÃO PARA O FOMENTO DA RADIODIFUSÃO PÚBLICA. EXERCÍCIO 2020.</t>
  </si>
  <si>
    <t>CD-2790/2020</t>
  </si>
  <si>
    <t>2020NE000316</t>
  </si>
  <si>
    <t>FUNDO DE FISCALIZ.DAS TELECOMUNICACOES-FISTEL (41301341231)</t>
  </si>
  <si>
    <t>TAXA DE FISCALIZAÇÃO DE FUNCIONAMENTO - TFF / CÓDIGO 1329. EXERCÍCIO 2020.</t>
  </si>
  <si>
    <t>2020NE000317</t>
  </si>
  <si>
    <t>ANULAÇÃO D.E.A DIÁRIAS,</t>
  </si>
  <si>
    <t>2020NE000318</t>
  </si>
  <si>
    <t>MARCELO MOREIRA LICIO (01070576000198)</t>
  </si>
  <si>
    <t>CARTUCHOS DE TONER PARA REPOSIÇÃO DE ESTOQUE DO ALMOXARIFADO.  A REGULARIDADE FISCAL E TRABALHISTA DEVERÁ SER MANTIDA DURANTE A VIGÊNCIA DA CONTRATAÇÃO SOB PENA DE EXECUÇÃO DA MULTA DE 1% DO VALOR DA NOTA FISCAL.</t>
  </si>
  <si>
    <t>PRE-8749/2019</t>
  </si>
  <si>
    <t>2020NE000319</t>
  </si>
  <si>
    <t>2020NE000320</t>
  </si>
  <si>
    <t>REFORÇO AUXÍLIO-TRANSPORTE.</t>
  </si>
  <si>
    <t>2020NE000321</t>
  </si>
  <si>
    <t>CONTRATAÇÃO DE SERVIÇOS TERCEIRIZADOS DIVERSOS PARA AS UNIDADES QUE ESPECIFICA</t>
  </si>
  <si>
    <t>PRE-11734/2019</t>
  </si>
  <si>
    <t>2020NE000322</t>
  </si>
  <si>
    <t>ORBENK ADMINISTRACAO E SERVICOS LTDA. (79283065000141)</t>
  </si>
  <si>
    <t>2020NE000323</t>
  </si>
  <si>
    <t>CAIXA ECONOMICA FEDERAL (00360305000104)</t>
  </si>
  <si>
    <t>MANUTENÇÃO E ATUALIZAÇÃO MENSAL DO BANCO DE DADOS SINAP-SIPCI. EXERCÍCIO 2020.</t>
  </si>
  <si>
    <t>CD-416/2018</t>
  </si>
  <si>
    <t>2020NE000324</t>
  </si>
  <si>
    <t>2020NE000325</t>
  </si>
  <si>
    <t>2020NE000326</t>
  </si>
  <si>
    <t>EFICIENCIA E GARANTIA PRESTACAO DE SERVICOS LTDA (11204330000115)</t>
  </si>
  <si>
    <t>TOLDO P/ O FT FLORIANÓPOLIS. A REGULARIDADE FISCAL/TRABALHISTA  DEVE SE MANTERDURANTE A EXECUÇÃO DO CONTRATO SOB PENA DE EXECUÇÃO DA MULTA DE 1% DO VALOR DANF; MULTA DE MORA: 0,3%/DIA, LIM. 10%; MULTA INEXECUÇÃO: 10% VALOR CONTRATADO.</t>
  </si>
  <si>
    <t>CD-3220/2020</t>
  </si>
  <si>
    <t>2020NE000327</t>
  </si>
  <si>
    <t>RODRIGO ROHDE (20824187000155)</t>
  </si>
  <si>
    <t>MANUTENÇÃO PREVENTIVA NA SUBESTAÇÃO  AÉREA DE ENERGIA ELÉTRICA DO FT BLUMENAU.A REGULARIDADE  FISCAL/TRABALHISTA  DEVERÁ SER MANTIDA  DURANTE A  EXECUÇÃO DOCONTRATO SOB PENA DE EXECUÇÃO DA MULTA DE 1% DO VALOR DA NOTA FISCAL.</t>
  </si>
  <si>
    <t>CD-3155/2020</t>
  </si>
  <si>
    <t>2020NE000328</t>
  </si>
  <si>
    <t>PLOTEX COMUNICACAO VISUAL LTDA (27484685000145)</t>
  </si>
  <si>
    <t>SERVIÇOS DE IMPRESSÃO DIGITAL DE BANNERS, SOB DEMANDA.</t>
  </si>
  <si>
    <t>CD-2341/2020</t>
  </si>
  <si>
    <t>2020NE000329</t>
  </si>
  <si>
    <t>2020NE000330</t>
  </si>
  <si>
    <t>SERVIÇOS DE IMPRESSÃO DIGITAL DE BANNERS, SOB DEMANDA. A REGULARIDADE FISCAL ETRABALHISTA DEVERÁ SER MANTIDA DURANTE A VIGÊNCIA DA CONTRATAÇÃO, SOB PENA  DERETENÇÃO E EXECUÇÃO DA MULTA DE 1% DO VALOR DA NOTA FISCAL.</t>
  </si>
  <si>
    <t>2020NE000331</t>
  </si>
  <si>
    <t>ENGASTE PROJETOS, CONSTRUCOES E INCORPORACOES LTDA (08578161000179)</t>
  </si>
  <si>
    <t>DESPESAS COM REFORMA DO FORUM TRABALHISTA DE BRUSQUE.</t>
  </si>
  <si>
    <t>CP-8056/2018</t>
  </si>
  <si>
    <t>2020NE000332</t>
  </si>
  <si>
    <t>AQUISIÇÃO DE CARIMBOS E MATERIAIS ACESSÓRIOS PARA O TRT 12ª REGIÃO.- A REGULA-RIDADE FISCAL E TRABALHISTA DEVERÁ SER MANTIDA DURANTE A VIGÊNCIA DA CONTRATA-ÇÃO SOB PENA DE RETENÇÃO E EXECUÇÃO DA MULTA DE 1% DO VALOR DA NOTA FISCAL.</t>
  </si>
  <si>
    <t>CD-3110/2020</t>
  </si>
  <si>
    <t>2020NE000333</t>
  </si>
  <si>
    <t>WEIKAN TECNOLOGIA EIRELI (09159503000189)</t>
  </si>
  <si>
    <t>AQUISIÇÃO DE RÁDIOS COMUNICADORES,TIPO WALK TALK. A REGULARIDADE FISCAL E TRA-BALHISTA DEVERÁ SER MANTIDA DURANTE A VIGÊNCIA DA CONTRATAÇÃO, SOB PENA DE RE-TENÇÃO E EXECUÇÃO DA MULTA DE 1% DO VALOR DA NOTA FISCAL.</t>
  </si>
  <si>
    <t>CD-3378/2020</t>
  </si>
  <si>
    <t>2020NE000334</t>
  </si>
  <si>
    <t>2020NE000335</t>
  </si>
  <si>
    <t>COPY PRINT INFORMATICA EIRELI (08894886000176)</t>
  </si>
  <si>
    <t>AQUISIÇÃO DE CARTUCHOS DE TONER PARA IMPRESSORA SAMSUNG. ATA  DE  REGISTRO  DEPREÇOS Nº 28/2019</t>
  </si>
  <si>
    <t>2020NE000336</t>
  </si>
  <si>
    <t>MANUTENÇÃO NOS SISTEMAS DE CLIMATIZACAO. D.E.A.</t>
  </si>
  <si>
    <t>PRE-11967/2017</t>
  </si>
  <si>
    <t>2020NE000337</t>
  </si>
  <si>
    <t>PEÇAS INSTALAÇÃO DIVISÓRIAS.</t>
  </si>
  <si>
    <t>2020NE000338</t>
  </si>
  <si>
    <t>SERVIÇOS DE INSTALAÇÃO DE DIVISÓRIAS.</t>
  </si>
  <si>
    <t>2020NE000339</t>
  </si>
  <si>
    <t>MUNICIPIO DE BRUSQUE (83102343000194)</t>
  </si>
  <si>
    <t>TAXA DE PARA VISTORIA DE HABITE-SE DOS BOMBEIROS NA NOVA SEDE DO  FÓRUM TRABA-LHISTA DE BRUSQUE.</t>
  </si>
  <si>
    <t>CD-3542/2020</t>
  </si>
  <si>
    <t>2020NE000340</t>
  </si>
  <si>
    <t>TOTAL TELAS INDUSTRIA E COMERCIO DE ARAMES E TELAS LTDA (07598814000208)</t>
  </si>
  <si>
    <t>SERVIÇO DE EXECUÇÃO DE ALAMBRADO TERRENO DO FT DE SÃO JOSÉ.A REGULARIDADE FIS-CAL E TRAB. DEVERÁ SER MANTIDA NA VIGÊNCIA DA CONTRATAÇÃO,SOB PENA DE RETENÇÃOE EXEC.MULTA DE 1% VALOR NOTA FISCAL.DEMAIS PENALIDADES CONF.DOC. 10 PROCESSO.</t>
  </si>
  <si>
    <t>CD-3010/2020</t>
  </si>
  <si>
    <t>2020NE000341</t>
  </si>
  <si>
    <t>MUNICIPIO DE RIO DO SUL (83102574000106)</t>
  </si>
  <si>
    <t>TAXA DE COLETA DE LIXO E LIMPEZA PÚBLICA DO IMÓVEL DA VARA DE TRABALHO DE  RIODO SUL.</t>
  </si>
  <si>
    <t>CD-3607/2020</t>
  </si>
  <si>
    <t>2020NE000342</t>
  </si>
  <si>
    <t>AVALOKI DESENVOLVIMENTO HUMANO LTDA (29851106000180)</t>
  </si>
  <si>
    <t>CONTRATAÇÃO EMPRESA P/ MINISTRAR O CURSO DE COMPETÊNCIA GERENCIAL EAD. A REGU-LARIDADE FISCAL E TRABALHISTA DEVERÁ SER MANTIDA DURANTE A VIGÊNCIA DA CONTRA-TAÇÃO, SOB PENA DE RETENÇÃO E EXECUÇÃO DA MULTA DE 1% DO VALOR DA NOTA FISCAL.</t>
  </si>
  <si>
    <t>CD-2755/2020</t>
  </si>
  <si>
    <t>2020NE000343</t>
  </si>
  <si>
    <t>2020NE000344</t>
  </si>
  <si>
    <t>ANULAÇÃO VACINA CONTRA INFLUENZA.</t>
  </si>
  <si>
    <t>2020NE000345</t>
  </si>
  <si>
    <t>MANUTENÇÃO PREVENTIVA, CORRETIVA E EMERGÊNCIAL EM DOIS ELEVADORES MARCA  OTIS,INSTALADOS NO FÓRUM TRABALHISTA DE CHAPECÓ.</t>
  </si>
  <si>
    <t>PRE-1413/2020</t>
  </si>
  <si>
    <t>2020NE000346</t>
  </si>
  <si>
    <t>CONTRATAÇÃO DE 1 (UM) LINK PARA ACESSO CORPORATIVO À INTERNET.</t>
  </si>
  <si>
    <t>2020NE000347</t>
  </si>
  <si>
    <t>TAXA PARA REANÁLISE DO PROJETO PREVENTIVO CONTRA INCÊNDIO (PROTOCOLO 26242) DOPRÉDIO SEDE DO FÓRUM TRABALHISTA DE LAGES.</t>
  </si>
  <si>
    <t>CD-3703/2020</t>
  </si>
  <si>
    <t>2020NE000348</t>
  </si>
  <si>
    <t>JOSIANE CRISTINA CRUZ 04294499923 (14744431000177)</t>
  </si>
  <si>
    <t>SERVIÇOS DE ENCADERNAÇÃO. A REGULARIDAFE FISCAL E TRABALHISTA DEVERÁ SER MANTIDA NA VIGÊNCIA DA CONTRATAÇÃO, SOB PENA DE MULTA DE 1% DO VALOR DA NOTA FISCALMULTA DE 0,3% P/DIA DE ATRASO E, POR INEXECUÇÃO, 10% VALOR OBJETO.</t>
  </si>
  <si>
    <t>CD-2710/2020</t>
  </si>
  <si>
    <t>2020NE000349</t>
  </si>
  <si>
    <t>SULSTORE COMERCIO ELETRONICO EIRELI (17807700000195)</t>
  </si>
  <si>
    <t>AQUISIÇÃO DE LEITOR DE CÓDIGO DE BARRAS SEM FIO. A REGULARIDADE FISCAL  E TRA-BALHISTA DEVERÁ SER MANTIDA DURANTE A VIGÊNCIA DA CONTRATAÇÃO, SOB PENA DE RE-TENÇÃO E EXECUÇÃO DA MULTA DE 1% DO VALOR DA NOTA FISCAL.</t>
  </si>
  <si>
    <t>CD-3631/2020</t>
  </si>
  <si>
    <t>2020NE000350</t>
  </si>
  <si>
    <t>MUNICIPIO DE XANXERE (83009860000113)</t>
  </si>
  <si>
    <t>TAXA DE COLETA DE LIXO E LIMPEZA PÚBLICA DO IMÓVEL ONDE ESTÁ INSTALADA A  VARADO TRABALHO DE XANXERÊ.</t>
  </si>
  <si>
    <t>CD-3771/2020</t>
  </si>
  <si>
    <t>2020NE000351</t>
  </si>
  <si>
    <t>TAXA PREVENÇÃO SINISTRO/SEGURANÇA CONTRA INCÊNDIO - FT CRICIÚMA - EXERC. 2020.</t>
  </si>
  <si>
    <t>CD-3871/2020</t>
  </si>
  <si>
    <t>2020NE000352</t>
  </si>
  <si>
    <t>MUNICIPIO DE BLUMENAU (83108357000115)</t>
  </si>
  <si>
    <t>TAXA PREVENÇÃO SINISTRO/SEGURANÇA CONTRA INCÊNDIO - FT BLUMENAU - EXERC. 2020.</t>
  </si>
  <si>
    <t>2020NE000353</t>
  </si>
  <si>
    <t>VENATNU MOVEIS PARA ESCRITORIO LTDA (09574477000155)</t>
  </si>
  <si>
    <t>TRANSPORTE E SERVIÇO DE DESMONTAGEM E REMONTAGEM DE MOBILIÁRIO. REGULARIDADE  FISCAL/TRABALHISTA  DEVE SE MANTER DURANTE  EXECUÇÃO DO CONTRATO SOB PENA DE  MULTA DE 1% DO VALOR DA NF. MULTA MORAT. 0,3%/DIA; INEXECUÇÃO: MULTA 10%.</t>
  </si>
  <si>
    <t>CD-3970/2020</t>
  </si>
  <si>
    <t>2020NE000354</t>
  </si>
  <si>
    <t>MS COMERCIO DE SISTEMAS DE SEGURANCA EIRELI (08647005000112)</t>
  </si>
  <si>
    <t>FORNECIMENTO E INSTALAÇÃO DE UMA PORTA GIRATÓRIA COM DETECTOR DE METAIS PARA OFT CRICIÚMA.</t>
  </si>
  <si>
    <t>PRE-2415/2020</t>
  </si>
  <si>
    <t>2020NE000355</t>
  </si>
  <si>
    <t>MUNICIPIO DE CURITIBANOS (83754044000134)</t>
  </si>
  <si>
    <t>TAXA DE COLETA DE LIXO E LIMPEZA PÚBLICA - VT CURITIBANOS. EXERCÍCIO 2020.</t>
  </si>
  <si>
    <t>CD-4009/2020</t>
  </si>
  <si>
    <t>2020NE000356</t>
  </si>
  <si>
    <t>2019NE000020</t>
  </si>
  <si>
    <t>PROAD-3/2019</t>
  </si>
  <si>
    <t>2020NE000357</t>
  </si>
  <si>
    <t>2019NE000022</t>
  </si>
  <si>
    <t>2020NE000358</t>
  </si>
  <si>
    <t>2019NE000170</t>
  </si>
  <si>
    <t>2020NE000359</t>
  </si>
  <si>
    <t>2019NE000197</t>
  </si>
  <si>
    <t>2020NE000360</t>
  </si>
  <si>
    <t>MALHARIA OCEANICA EIRELI (04616630000146)</t>
  </si>
  <si>
    <t>AQUISIÇÃO DE MÁSCARAS FACIAIS NÃO PROFISSIONAIS PARA  AUXILIAR NA PREVENÇÃO DECONTÁGIO DA COVID-19.  REGULARIDADES FISCAL E TRABALHISTA DEVERÃO SER MANTIDASDURANTE CONTRATAÇÃO SOB PENA DE MULTA DE 1% DO VALOR DA NOTA FISCAL.</t>
  </si>
  <si>
    <t>CD-4076/2020</t>
  </si>
  <si>
    <t>2020NE000361</t>
  </si>
  <si>
    <t>2019NE000319</t>
  </si>
  <si>
    <t>ROGER ANDRE BRAUN (29253577000197)</t>
  </si>
  <si>
    <t>PRE-7071/2018</t>
  </si>
  <si>
    <t>2020NE000362</t>
  </si>
  <si>
    <t>2019NE000211</t>
  </si>
  <si>
    <t>2020NE000363</t>
  </si>
  <si>
    <t>2019NE000886</t>
  </si>
  <si>
    <t>2020NE000364</t>
  </si>
  <si>
    <t>JM COMERCIO ATACADISTA DE EQUIPAMENTOS EIRELI (21239570000109)</t>
  </si>
  <si>
    <t>BALANÇA P/ PESAGEM DO LIXO DESCARTADO  NA SEDE DO TRIBUNAL, COM O OBJETIVO DE GERAR RELATÓRIOS P/ A UNIDADE SOCIOAMBIENTAL. REGULARIDADE FISCAL/TRABALHISTA DEVE SER MANTIDA DURANTE A CONTRATAÇÃO SOB PENA DE MULTA DE 1% DO VALOR DA NF.</t>
  </si>
  <si>
    <t>CD-4054/2020</t>
  </si>
  <si>
    <t>2020NE000365</t>
  </si>
  <si>
    <t>TOTALIT INDUSTRIA COMERCIO DE MOVEIS EIRELI (02071657000175)</t>
  </si>
  <si>
    <t>ADAPTAÇÕES/TRANSPORTE DE MOBILIÁRIO ENTRE PRÉDIOS RIO BRANCO E ESTEVES JUNIOR.REGULARIDADE FISCAL/TRABALHISTA DEVE SE MANTER DURANTE CONTRATO SOB PENA MULTA1% VALOR DA NF. MULTA MORA 0,3%/DIA,LIM.10% VALOR NF; INEXECUÇÃO 10% VALOR NF.</t>
  </si>
  <si>
    <t>CD-4305/2020</t>
  </si>
  <si>
    <t>2020NE000366</t>
  </si>
  <si>
    <t>FORNECIMENTO E INSTALAÇÃO DE  MÓVEIS DE WC PARA  GABINETES DE DESEMBARGADORES.REGULARIDADE FISCAL/TRABALHISTA DEVE SE MANTER DURANTE CONTRATO SOB PENA MULTA1% VALOR DA NF. MULTA MORA 0,3%/DIA,LIM.10% VALOR NF; INEXECUÇÃO 10% VALOR NF.</t>
  </si>
  <si>
    <t>2020NE000367</t>
  </si>
  <si>
    <t>MBM SEGURADORA SA (87883807000106)</t>
  </si>
  <si>
    <t>SEGURO ACIDENTES PESSOAIS COLETIVO PARA 15 ESTAGIÁRIOS.  A REGULARIDADE FISCALE TRABALHISTA DEVERÁ SER MANTIDA DURANTE A VIGÊNCIA DA CONTRATAÇÃO SOB PENA DERETENÇÃO E EXECUÇÃO DA MULTA DE 1% DO VALOR DA NOTA FISCAL.</t>
  </si>
  <si>
    <t>CD-4366/2020</t>
  </si>
  <si>
    <t>2020NE000368</t>
  </si>
  <si>
    <t>MARCOS AURELIO COLLACO (81431777000102)</t>
  </si>
  <si>
    <t>CAIXAS DE PAPELÃO PARA UTILIZAÇÃO EM MUDANÇAS E REPOSIÇÃO DO ESTOQUE DO ALMO- XARIFADO. REGULARIDADE FISCAL/TRABALHISTA DEVERÁ SER MANTIDA DURANTE VIGÊNCIA DA CONTRATAÇÃO SOB PENA DE MULTA DE 1% DO VALOR DA NOTA FISCAL.</t>
  </si>
  <si>
    <t>CD-4406/2020</t>
  </si>
  <si>
    <t>2020NE000369</t>
  </si>
  <si>
    <t>INFOTRIZ COMERCIAL EIRELI (04586694000141)</t>
  </si>
  <si>
    <t>FITA ADESIVA E TESOURA PARA AUXÍLIO NO PROCESSO DE  EMBALAGEM DE MATERIAIS E  REPOSIÇÃO DO ESTOQUE DO ALMOXARIFADO. REGULARIDADE FISCAL/TRABALHISTA DEVERÁ  SE MANTER DURANTE CONTRATO SOB PENA DE MULTA DE 1% DO VALOR DA NOTA FISCAL.</t>
  </si>
  <si>
    <t>2020NE000370</t>
  </si>
  <si>
    <t>2020NE000371</t>
  </si>
  <si>
    <t>2020NE000372</t>
  </si>
  <si>
    <t>CAIXAS DE PAPELÃO P/ ALMOXARIFADO.  REGULARIDADE FISCAL/TRABALHISTA DEVERÁ SERMANTIDA DURANTE CONTRATO SOB PENA DE MULTA DE 1% VALOR NF. MULTA MORA 0,3% PORDIA, LIM. 30 DIAS. APÓS,TAMBÉM MULTA POR INEXECUÇÃO DE 10% DO VALOR DO OBJETO.</t>
  </si>
  <si>
    <t>2020NE000373</t>
  </si>
  <si>
    <t>FITA ADESIVA E TESOURA P/ ALMOXARIFADO. REGULARIDADE FISCAL/TRABALHISTA DEVERÁSE MANTER DURANTE CONTRATO SOB PENA DE MULTA DE 1% DO VALOR DA NF.  MULTA MORA0,3%/DIA,LIM.30 DIAS. APÓS,TAMBÉM MULTA POR INEXECUÇÃO DE 10% VALOR DO OBJETO.</t>
  </si>
  <si>
    <t>2020NE000374</t>
  </si>
  <si>
    <t>2020NE000375</t>
  </si>
  <si>
    <t>AQUISIÇÃO DE CARIMBOS E MATERIAIS ACESSÓRIOS. EXERCÍCIO 2020.</t>
  </si>
  <si>
    <t>2020NE000376</t>
  </si>
  <si>
    <t>RECICLE CATARINENSE DE RESIDUOS LTDA (95886735000502)</t>
  </si>
  <si>
    <t>TAXA DE COLETA DE LIXO E LIMPEZA PÚBLICA - VT BRUSQUE - EXERCÍCIO 2020.</t>
  </si>
  <si>
    <t>CD-4521/2020</t>
  </si>
  <si>
    <t>2020NE000377</t>
  </si>
  <si>
    <t>REEMBOLSO VACINA INFLUENZA NO EXERCÍCIO 2020, CONFORME REGULAMENTA A PORTARIA PRESI 120/2020.</t>
  </si>
  <si>
    <t>PROAD-2943/2020</t>
  </si>
  <si>
    <t>2020NE000378</t>
  </si>
  <si>
    <t>2020NE000379</t>
  </si>
  <si>
    <t>2020NE000380</t>
  </si>
  <si>
    <t>SPORT COMPANY LTDA (02469935000147)</t>
  </si>
  <si>
    <t>MÁSCARAS DE PROTEÇÃO INFANTIL. A REGULARIDADE  FISCAL E TRABALHISTA DEVERÁ SERMANTIDA DURANTE  A VIGÊNCIA DA CONTRATAÇÃO  SOB PENA DE RETENÇÃO E EXECUÇÃO DAMULTA DE 1% DO VALOR DA NOTA FISCAL.</t>
  </si>
  <si>
    <t>CD-4714/2020</t>
  </si>
  <si>
    <t>2020NE000381</t>
  </si>
  <si>
    <t>WANDERLEY GONCALVES (13296146000178)</t>
  </si>
  <si>
    <t>AQUISIÇÃO DE PAPÉIS PARA A GRÁFICA(SASG). REGULARIDADE FISCAL/TRABALHISTA DEVESE MANTER DURANTE CONTRATO SOB PENA DE MULTA DE  1% DO VALOR DA NF; MULTA MORA0,3%/DIA DE ATRASO; MULTA INEXECUÇÃO 10% DO VALOR DO OBJETO.</t>
  </si>
  <si>
    <t>CD-4538/2020</t>
  </si>
  <si>
    <t>2020NE000382</t>
  </si>
  <si>
    <t>COMERCIAL DE PAPEIS SUL CATARINENSE EIRELI (07151337000149)</t>
  </si>
  <si>
    <t>2020NE000383</t>
  </si>
  <si>
    <t>2020NE000384</t>
  </si>
  <si>
    <t>SENTENÇAS DE PEQUENO VALOR - OFÍCIO SEGEP/NUPRE Nº 304 - PROAD-4530/2020.</t>
  </si>
  <si>
    <t>PROAD-4530/2020</t>
  </si>
  <si>
    <t>2020NE000385</t>
  </si>
  <si>
    <t>2020NE000386</t>
  </si>
  <si>
    <t>2020NE000387</t>
  </si>
  <si>
    <t>MUNICIPIO DE VIDEIRA (83039842000184)</t>
  </si>
  <si>
    <t>TAXA DE PREVENÇÃO CONTRA SINISTRO E PROVIDÊNCIAS DE SEGURANÇA CONTRA INCÊNDIO E PÂNICO DA VT VIDEIRA REF. EXERCÍCIO 2020.</t>
  </si>
  <si>
    <t>CD-4992/2020</t>
  </si>
  <si>
    <t>2020NE000388</t>
  </si>
  <si>
    <t>2020NE000389</t>
  </si>
  <si>
    <t>2020NE000390</t>
  </si>
  <si>
    <t>PH MIDIA INFORMATICA LTDA (08255734000123)</t>
  </si>
  <si>
    <t>ROTULADOR ELETRÔNICO PROFISSIONAL P/ IMPRESSÃO DE ETIQUETAS DE TOMBAMENTO PA- TRIMONIAL COM KIT DE SUPRIMENTOS. A REGULARIDADE FISCAL E TRABALHISTA DEVE SE MANTER DURANTE A CONTRATAÇÃO SOB PENA DE MULTA DE 1% DO VALOR DA NOTA FISCAL.</t>
  </si>
  <si>
    <t>CD-4970/2020</t>
  </si>
  <si>
    <t>2020NE000391</t>
  </si>
  <si>
    <t>TAXA DE PREVENÇÃO CONTRA SINISTRO/PROVIDÊNCIAS DE SEGURANÇA CONTRA INCÊNDIO E PÂNICO - FT JOINVILLE - EXERCÍCIO 2020.</t>
  </si>
  <si>
    <t>CD-5062/2020</t>
  </si>
  <si>
    <t>2020NE000392</t>
  </si>
  <si>
    <t>LUCIANO OTERO ZANCAN (82783934000)</t>
  </si>
  <si>
    <t>CONTRATAÇÃO DE EDUCADOR FÍSICO P/ MINISTRAR PALESTRA SOBRE EXERCÍCIOS FÍSICOS NA MODALIDADE EAD.</t>
  </si>
  <si>
    <t>CD-5109/2020</t>
  </si>
  <si>
    <t>2020NE000393</t>
  </si>
  <si>
    <t>2020NE000394</t>
  </si>
  <si>
    <t>CONTRATAÇÃO DE EDUCADOR FÍSICO P/ MINISTRAR PALESTRA SOBRE EXERCÍCIOS FÍSICOS NA MODALIDADE EAD. A REGULARIDADE FISCAL E TRABALHISTA DEVE SE MANTER DURANTE A VIGÊNCIA DA CONTRATAÇÃO SOB PENA DE MULTA DE 1% DO VALOR DA NOTA FISCAL.</t>
  </si>
  <si>
    <t>2020NE000395</t>
  </si>
  <si>
    <t>2020NE000396</t>
  </si>
  <si>
    <t>2020NE000397</t>
  </si>
  <si>
    <t>MUNICIPIO DE SAO JOSE (82892274000105)</t>
  </si>
  <si>
    <t>TAXA DE PREVENÇÃO CONTRA SINISTRO/PROVIDÊNCIAS DE SEGURANÇA CONTRA INCÊNDIO E PÂNICO - FT SÃO JOSÉ - EXERCÍCIO 2020.</t>
  </si>
  <si>
    <t>CD-5170/2020</t>
  </si>
  <si>
    <t>2020NE000398</t>
  </si>
  <si>
    <t>SERVIÇO TELEFÔNICO  MÓVEL PARA 45 LINHAS,  COM FORNECIMENTO DE APARELHOS,  NO EXERCÍCIO 2020.</t>
  </si>
  <si>
    <t>PRE-3133/2020</t>
  </si>
  <si>
    <t>2020NE000399</t>
  </si>
  <si>
    <t>2020NE000400</t>
  </si>
  <si>
    <t>RESSARCIMENTO DE IPTU REF. IMÓVEL 1ª E 4ª VT'S BLUMENAU. EXERCÍCIO 2020.</t>
  </si>
  <si>
    <t>2020NE000401</t>
  </si>
  <si>
    <t>2020NE000402</t>
  </si>
  <si>
    <t>RESSARCIMENTO DE DESPESAS COM IPTU DO IMÓVEL ONDE ENCONTRA-SE INSTALADA A 3ªVTBLUMENAU. EXERCÍCIO 2020.</t>
  </si>
  <si>
    <t>2020NE000403</t>
  </si>
  <si>
    <t>CONTRATAÇÃO  EMERGENCIAL DE  UM POSTO DE VIGILÂNCIA ARMADA  PARA O PRÉDIO  QUEABRIGARÁ A NOVA SEDE DA VARA DO TRABALHO DE CANOINHAS.</t>
  </si>
  <si>
    <t>CD-5281/2020</t>
  </si>
  <si>
    <t>2020NE000404</t>
  </si>
  <si>
    <t>2020NE000405</t>
  </si>
  <si>
    <t>MUNICIPIO DE SAO MIGUEL D'OESTE (82821174000180)</t>
  </si>
  <si>
    <t>TAXA DE PREVENÇÃO CONTRA SINISTRO/PROVIDÊNCIAS DE SEGURANÇA CONTRA INCÊNDIO E PÂNICO - VT SÃO MIGUEL DO OESTE - EXERCÍCIO 2020.</t>
  </si>
  <si>
    <t>CD-5407/2020</t>
  </si>
  <si>
    <t>2020NE000406</t>
  </si>
  <si>
    <t>TELAFORT INDUSTRIA METALURGICA LTDA (75362830000168)</t>
  </si>
  <si>
    <t>ADEQUAÇÃO DE TELAS METÁLICAS NO PAVIMENTO TÉRREO DO PRÉDIO QUE ABRIGA O SEMAP.MULTAS: 1% VALOR DA NF NA AUSÊNCIA DE REGUL.FISCAL/TRABALH.; 0,3%/DIA LIM. 10%POR MORA; 10%POR INEXECUÇÃO TOTAL. SERV.EM DESACORDO C/ PROJETO NÃO SERÁ PAGO.</t>
  </si>
  <si>
    <t>CD-5423/2020</t>
  </si>
  <si>
    <t>2020NE000407</t>
  </si>
  <si>
    <t>MOMM COMERCIO DE PRODUTOS ALIMENTICIOS EIRELI (08310833000160)</t>
  </si>
  <si>
    <t>FORNECIMENTO DE ÁGUA MINERAL EM BOMBONAS DE 20L NAS CIDADES DE ARARANGUÁ, CRI-CIÚMA E TUBARÃO. DESPESA EXERCÍCIO 2019.</t>
  </si>
  <si>
    <t>PRE-13287/2018</t>
  </si>
  <si>
    <t>2020NE000408</t>
  </si>
  <si>
    <t>GENTE SEGURADORA SA (90180605000102)</t>
  </si>
  <si>
    <t>SEGURO PARA A FROTA  DE VEÍCULOS DO TRT12. VIGÊNCIA  22/06/2020 A 21/06/2021.</t>
  </si>
  <si>
    <t>PRE-4015/2018</t>
  </si>
  <si>
    <t>2020NE000409</t>
  </si>
  <si>
    <t>2020NE000410</t>
  </si>
  <si>
    <t>2020NE000411</t>
  </si>
  <si>
    <t>2020NE000412</t>
  </si>
  <si>
    <t>2020NE000413</t>
  </si>
  <si>
    <t>2020NE000414</t>
  </si>
  <si>
    <t>REFORÇO DE EMPENHO.</t>
  </si>
  <si>
    <t>2020NE000415</t>
  </si>
  <si>
    <t>(ID PAAC 15314) NOBREAKS - SUPORTE E MANUTENÇÃO DE NOBREAKS DO DATACENTER (APCSYMMETRA). EXERCÍCIO 2020.</t>
  </si>
  <si>
    <t>2020NE000416</t>
  </si>
  <si>
    <t>MARIA LUCIA CURY FIGUEIREDO TRAVI (65633504968)</t>
  </si>
  <si>
    <t>REEMBOLSO DE DESPESA REFERENTE A AQUISIÇÃO DE TOGA DE GALA PARA POSSE DO EXMO.JUIZ NIVALDO STANKIEWICZ NO CARGO DE DESEMBARGADOR.</t>
  </si>
  <si>
    <t>CD-5729/2020</t>
  </si>
  <si>
    <t>2020NE000417</t>
  </si>
  <si>
    <t>2020NE000418</t>
  </si>
  <si>
    <t>2020NE000419</t>
  </si>
  <si>
    <t>2020NE000420</t>
  </si>
  <si>
    <t>2020NE000421</t>
  </si>
  <si>
    <t>BANCO DO BRASIL SA (00000000034339)</t>
  </si>
  <si>
    <t>RESSARCIMENTO DE DESPESAS COM ENERGIA ELÉTRICA, ÁGUA E ESGOTO DO IMÓVEL ONDE  ESTÁ INSTALADA A VT CANOINHAS. EXERCÍCIO 2020.</t>
  </si>
  <si>
    <t>CM-6427/2016</t>
  </si>
  <si>
    <t>2020NE000422</t>
  </si>
  <si>
    <t>ORTOBIG COMERCIO DE EQUIPAMENTOS ORTOPEDICOS LTDA (05494557000140)</t>
  </si>
  <si>
    <t>TERMÔMETROS DIGITAIS INFRAVERMELHOS DE TESTA PARA USO NA SEDE ADMINISTRATIVA EDEMAIS UNIDADES DESTE TRIBUNAL.</t>
  </si>
  <si>
    <t>CD-5830/2020</t>
  </si>
  <si>
    <t>2020NE000423</t>
  </si>
  <si>
    <t>TERMÔMETROS DIGITAIS INFRAVERMELHOS DE TESTA PARA USO NA SEDE ADMINISTRATIVA EDEMAIS UNIDADES DESTE TRIBUNAL. A REGULARIDADE FISCAL E TRABALHISTA DEVERÁ SERMANTIDA DURANTE A CONTRATAÇÃO SOB PENA DE MULTA DE 1% DO VALOR DA NOTA FISCAL.</t>
  </si>
  <si>
    <t>2020NE000424</t>
  </si>
  <si>
    <t>2020NE000425</t>
  </si>
  <si>
    <t>DESPESA DE EXERCÍCIO ANTERIOR - OUTUBRO/2019. MANUTENÇÃO PLATAFORMA ELEVATÓRIAINSTALADA NA VT CONCÓRDIA.</t>
  </si>
  <si>
    <t>2020NE000426</t>
  </si>
  <si>
    <t>TELTEC SOLUTIONS LTDA (04892991000115)</t>
  </si>
  <si>
    <t>(ID PAAC 15226)SO - CONTRATAÇÃO DE SUPORTE E OPERAÇÃO DE INFRAESTRUTURA DE TICPARA O SISTEMA PJE. EXERCÍCIO 2020. ATA DE REGISTRO DE PREÇOS 01/2020 - TRTSC.</t>
  </si>
  <si>
    <t>PRE-10601/2019-A</t>
  </si>
  <si>
    <t>2020NE000427</t>
  </si>
  <si>
    <t>PRIME CONSULTORIA E ASSESSORIA EMPRESARIAL LTDA (05340639000130)</t>
  </si>
  <si>
    <t>PRESTAÇÃO DE SERVIÇOS  DE MANUTENÇÃO PESADA  (PREVENTIVA E CORRETIVA)  PARA OSVEÍCULOS OFICIAIS DA FROTA DO TRT-SC. EXERCÍCIO 2020.</t>
  </si>
  <si>
    <t>PRE-1664/2020</t>
  </si>
  <si>
    <t>2020NE000428</t>
  </si>
  <si>
    <t>MATERIAIS E PEÇAS A SEREM  UTILIZADOS NA PRESTAÇÃO  DE SERVIÇOS DE MANUTENÇÃO PESADA (PREVENTIVA E CORRETIVA) PARA OS VEÍCULOS OFICIAIS DA FROTA DO TRT-SC. EXERCÍCIO 2020.</t>
  </si>
  <si>
    <t>2020NE000429</t>
  </si>
  <si>
    <t>OPEN TREINAMENTOS EMPRESARIAIS E EDITORA LTDA (09094300000151)</t>
  </si>
  <si>
    <t>INSCRIÇÃO DA SERVIDORA HELOISA HELENA HENEMANN PARA PARTICIPAÇÃO EM CURSO EAD.A REGULARIDADE FISCAL E TRABALHISTA  DEVERÁ SER MANTIDA DURANTE A VIGÊNCIA DA CONTRATAÇÃO SOB PENA DE MULTA DE 1% DO VALOR DA NOTA FISCAL.</t>
  </si>
  <si>
    <t>CD-5961/2020</t>
  </si>
  <si>
    <t>2020NE000430</t>
  </si>
  <si>
    <t>SENTENÇAS DE PEQUENO VALOR - OFÍCIO SEGEP/NUPRE Nº 384 - PROAD-5686/2020.</t>
  </si>
  <si>
    <t>PROAD-5686/2020</t>
  </si>
  <si>
    <t>2020NE000431</t>
  </si>
  <si>
    <t>2020NE000432</t>
  </si>
  <si>
    <t>2020NE000433</t>
  </si>
  <si>
    <t>PEÇAS PARA MANUTENÇÃO EM ELEVADORES INSTALADOS NO FT CHAPECÓ. EXERCÍCIO 2020.</t>
  </si>
  <si>
    <t>2020NE000434</t>
  </si>
  <si>
    <t>2020NE000435</t>
  </si>
  <si>
    <t>2020NE000436</t>
  </si>
  <si>
    <t>2020NE000437</t>
  </si>
  <si>
    <t>BIO LOGICA DISTRIBUIDORA EIRELI (06175908000112)</t>
  </si>
  <si>
    <t>EQUIPAMENTOS DE  PROTEÇÃO INDIVIDUAL  PARA  USO NA  COORDENADORIA DE SAÚDE  NOAUXÍLIO À PREVENÇÃO DO CONTÁGIO PELA COVID-19. REGULARIDADE FISCAL/TRABALHISTADEVE SE MANTER DURANTE CONTRATAÇÃO SOB PENA DE MULTA DE 1% DO VALOR DA NF.</t>
  </si>
  <si>
    <t>CD-6052/2020</t>
  </si>
  <si>
    <t>2020NE000438</t>
  </si>
  <si>
    <t>MEDMED COMERCIO DE MATERIAIS HOSPITALARES EIRELI (34064557000108)</t>
  </si>
  <si>
    <t>2020NE000439</t>
  </si>
  <si>
    <t>FERNANDO PERBONI (85240265000110)</t>
  </si>
  <si>
    <t>2020NE000440</t>
  </si>
  <si>
    <t>WE GOV - TREINAMENTO PARA GESTAO PUBLICA LTDA (21922841000126)</t>
  </si>
  <si>
    <t>INSCRIÇÃO DO SERVIDOR CLAYTON HAVIARAS WOSGRAU PARA PARTICIPAÇÃO EM CURSO EAD.A REGULARIDADE FISCAL E TRABALHISTA  DEVERÁ SER MANTIDA DURANTE A VIGÊNCIA DA CONTRATAÇÃO SOB PENA DE MULTA DE 1% DO VALOR DA NOTA FISCAL.</t>
  </si>
  <si>
    <t>CD-6251/2020</t>
  </si>
  <si>
    <t>2020NE000441</t>
  </si>
  <si>
    <t>2020NE000442</t>
  </si>
  <si>
    <t>O MEU CAPACHO COMERCIO DE TAPETES LTDA (29216349000147)</t>
  </si>
  <si>
    <t>CAPACHOS E TAPETES PARA UNIDADES JUDICIÁRIAS DE PRIMEIRO GRAU E SEDE DO TRT12.REGULARIDADE FISCAL/TRABALHISTA  DEVERÁ SER MANTIDA DURANTE A VIGÊNCIA DA CON-TRATAÇÃO SOB PENA DE RETENÇÃO E EXECUÇÃO DA MULTA DE 1% DO VALOR DA N. FISCAL.</t>
  </si>
  <si>
    <t>CD-6356/2020</t>
  </si>
  <si>
    <t>2020NE000443</t>
  </si>
  <si>
    <t>PM CONSULTORIA E ENGENHARIA AMBIENTAL LTDA (34488994000159)</t>
  </si>
  <si>
    <t>ELABORAÇÃO DE PLANO DE GERENCIAMENTO DE RESÍDUOS SÓLIDOS(PGRS). A REGULARIDADEFISCAL E TRABALHISTA DEVERÁ SER  MANTIDA DURANTE A VIGÊNCIA DA CONTRATAÇÃO SOBPENA DE RETENÇÃO E EXECUÇÃO DA MULTA DE 1% DO VALOR DA NOTA FISCAL.</t>
  </si>
  <si>
    <t>CD-6383/2020</t>
  </si>
  <si>
    <t>2020NE000444</t>
  </si>
  <si>
    <t>2020NE000445</t>
  </si>
  <si>
    <t>2020NE000446</t>
  </si>
  <si>
    <t>ESTORNO DA ANULAÇÃO.</t>
  </si>
  <si>
    <t>2020NE000447</t>
  </si>
  <si>
    <t>2020NE000448</t>
  </si>
  <si>
    <t>2020NE000449</t>
  </si>
  <si>
    <t>2020NE000450</t>
  </si>
  <si>
    <t>2020NE000451</t>
  </si>
  <si>
    <t>2020NE000452</t>
  </si>
  <si>
    <t>2020NE000453</t>
  </si>
  <si>
    <t>2020NE000454</t>
  </si>
  <si>
    <t>2020NE000455</t>
  </si>
  <si>
    <t>2020NE000456</t>
  </si>
  <si>
    <t>2020NE000457</t>
  </si>
  <si>
    <t>2020NE000458</t>
  </si>
  <si>
    <t>2020NE000459</t>
  </si>
  <si>
    <t>2020NE000460</t>
  </si>
  <si>
    <t>DESPESA DE EXERCÍCIO ANTERIOR REFERENTE INDENIZAÇÃO DE TRANSPORTE AO SERVIDOR OFICIAL DE JUSTIÇA OSMAR AGUIAR. DEZEMBRO/2019.</t>
  </si>
  <si>
    <t>PROAD-6640/2020</t>
  </si>
  <si>
    <t>2020NE000461</t>
  </si>
  <si>
    <t>COMODO BRASIL TECNOLOGIA LTDA (07305218000101)</t>
  </si>
  <si>
    <t>ID PAAC  15254/15270/15317 - AQUISIÇÃO DE  CERTIFICADO DIGITAL PARA  USO DESTEREGIONAL. A REGULARIDADE FISCAL E TRABALHISTA DEVERÁ SER MANTIDA DURANTE A VI-GÊNCIA DA CONTRATAÇÃO SOB PENA DE MULTA DE 1% DO VALOR DA NOTA FISCAL.</t>
  </si>
  <si>
    <t>CD-6452/2020</t>
  </si>
  <si>
    <t>2020NE000462</t>
  </si>
  <si>
    <t>A R SC DIGITAL SERVICOS DE ESCRITORIO LTDA (24916803000159)</t>
  </si>
  <si>
    <t>ID PAAC 15254/15270/15317 - AQUISIÇÃO DE CERTIFICADOS DIGITAIS PARA USO DESTE REGIONAL. A  REGULARIDADE FISCAL E TRABALHISTA  DEVERÁ SER MANTIDA  DURANTE A VIGÊNCIA DA CONTRATAÇÃO SOB PENA DE MULTA DE 1% DO VALOR DA NOTA FISCAL.</t>
  </si>
  <si>
    <t>2020NE000463</t>
  </si>
  <si>
    <t>BERTOTTI COMERCIO E SERVICOS LTDA (09171761000180)</t>
  </si>
  <si>
    <t>IMPRESSÃO DE FOTOGRAFIAS EM CANVAS PARA  ATUALIZAÇÃO DE QUADROS DO MEMORIAL.  MULTAS: AUSÊNCIA REGULARIDADE FISCAL/TRABALHISTA, 1%; MORA, 0,3%/DIA, LIMIT.  10%; INEXECUÇÃO (ATRASO SUPERIOR A 34 DIAS) PARCIAL, 5%; TOTAL, 10%.</t>
  </si>
  <si>
    <t>CD-6733/2020</t>
  </si>
  <si>
    <t>2020NE000464</t>
  </si>
  <si>
    <t>ENE PRODUCOES E TREINAMENTOS EIRELI (17569026000158)</t>
  </si>
  <si>
    <t>AQUISIÇÃO DE 10 VAGAS PARA PARTICIPAÇÃO NO EVENTO TOP 10 DIGITAL - O MUNDO PÓSPANDEMIA.  A REGULARIDADE  FISCAL E TRABALHISTA  DEVERÁ SER  MANTIDA DURANTE AVIGÊNCIA DA CONTRATAÇÃO SOB PENA DE MULTA DE 1% DO VALOR DA NOTA FISCAL.</t>
  </si>
  <si>
    <t>CD-6776/2020</t>
  </si>
  <si>
    <t>2020NE000465</t>
  </si>
  <si>
    <t>2020NE000466</t>
  </si>
  <si>
    <t>TRIUNFO SOLUCOES CONTRA INCENDIOS LTDA (22026704000176)</t>
  </si>
  <si>
    <t>ADEQUAÇÃO DAS INSTALAÇÕES PREVENTIVAS  CONTRA INCÊNDIO DO PRÉDIO QUE  ABRIGA OSERVIÇO DE MATERIAL E PATRIMÔNIO (SEMAP) DO TRT-SC.</t>
  </si>
  <si>
    <t>CD-5629/2020</t>
  </si>
  <si>
    <t>2020NE000467</t>
  </si>
  <si>
    <t>DC CONSULTORIA, TREINAMENTO E PESQUISAS LTDA (27221329000139)</t>
  </si>
  <si>
    <t>PALESTRA COM A TEMÁTICA SENSIBILIZAÇÃO PARA COM PESSOAS PORTADORAS DE  DEFICI-ÊNCIA NO AMBIENTE DO TRABALHO. A REGULARIDADE FISCAL E TRABALHISTA  DEVERÁ SERMANTIDA DURANTE A CONTRATAÇÃO SOB PENA DE MULTA DE 1% DO VALOR DA NOTA FISCAL.</t>
  </si>
  <si>
    <t>CD-6798/2020</t>
  </si>
  <si>
    <t>2020NE000468</t>
  </si>
  <si>
    <t>2020NE000469</t>
  </si>
  <si>
    <t>DESPESAS COM IPTU, ENERGIA ELÉTRICA E ÁGUA DO IMÓVEL ONDE ESTÁ INSTALADO O FT BRUSQUE.</t>
  </si>
  <si>
    <t>CM-6644/2013</t>
  </si>
  <si>
    <t>2020NE000470</t>
  </si>
  <si>
    <t>SANTA RITA VIDROS LAMINADOS EIRELI (08017165000188)</t>
  </si>
  <si>
    <t>SUBSTITUIÇÃO DE VIDROS EM FACHADA DO ED. RIO BRANCO. MULTA MORA 0,3%/DIA, LIM.10%;  CASO ATRASO SUPERIOR 34 DIAS, MULTA INEXECUÇÃO: PARCIAL, 5%; TOTAL, 10%;AUSÊNCIA REGULARIDADE FISCAL/TRABALHISTA: MULTA DE 1% DO VALOR DA NOTA FISCAL.</t>
  </si>
  <si>
    <t>CD-6779/2020</t>
  </si>
  <si>
    <t>2020NE000471</t>
  </si>
  <si>
    <t>INSCRIÇÃO DE SERVIDOR EM CURSO NA MODALIDADE ENSINO A DISTÂNCIA - EAD.  A RE- GULARIDADE FISCAL E TRABALHISTA DEVERÁ SER MANTIDA DURANTE A VIGÊNCIA DA CON- TRATAÇÃO SOB PENA DE MULTA DE 1% DO VALOR DA NOTA FISCAL.</t>
  </si>
  <si>
    <t>CD-6817/2020</t>
  </si>
  <si>
    <t>2020NE000472</t>
  </si>
  <si>
    <t>MUNICIPIO DE PALHOCA (82892316000108)</t>
  </si>
  <si>
    <t>TAXA DE PREVENÇÃO CONTRA SINISTRO/PROVIDÊNCIAS DE SEGURANÇA CONTRA INCÊNDIO E PÂNICO - VT PALHOÇA - EXERCÍCIO 2020.</t>
  </si>
  <si>
    <t>CD-6869/2020</t>
  </si>
  <si>
    <t>2020NE000473</t>
  </si>
  <si>
    <t>MUNICIPIO DE BALNEARIO CAMBORIU (83102285000107)</t>
  </si>
  <si>
    <t>TAXA DE PREVENÇÃO CONTRA SINISTRO/PROVIDÊNCIAS DE SEGURANÇA CONTRA INCÊNDIO E PÂNICO - FT BALNEÁRIO CAMBORIÚ - EXERCÍCIO 2020.</t>
  </si>
  <si>
    <t>2020NE000474</t>
  </si>
  <si>
    <t>JEANE LEITE DA SILVA CANELAS - CON TREINAMENTOS (22965437000100)</t>
  </si>
  <si>
    <t>INSCRIÇÃO DE SERVIDOR EM EVENTO NA MODALIDADE ENSINO A DISTÂNCIA - EAD.  A RE-GULARIDADE FISCAL E TRABALHISTA  DEVERÁ SER MANTIDA DURANTE A VIGÊNCIA DA CON-TRATAÇÃO SOB PENA DE MULTA DE 1% DO VALOR DA NOTA FISCAL.</t>
  </si>
  <si>
    <t>CD-6914/2020</t>
  </si>
  <si>
    <t>2020NE000475</t>
  </si>
  <si>
    <t>(ID PAAC 15331) CONTRATAÇÃO DE SERVIÇO DE USO DE SOFTWARE NA NUVEM (SOFTWARE  AS A SERVICE SAAS) DE BUSINESS INTELLIGENCE (BI).</t>
  </si>
  <si>
    <t>CD-6453/2020</t>
  </si>
  <si>
    <t>2020NE000476</t>
  </si>
  <si>
    <t>2020NE000477</t>
  </si>
  <si>
    <t>2020NE000478</t>
  </si>
  <si>
    <t>2020NE000479</t>
  </si>
  <si>
    <t>2020NE000480</t>
  </si>
  <si>
    <t>2020NE000481</t>
  </si>
  <si>
    <t>2020NE000482</t>
  </si>
  <si>
    <t>2020NE000483</t>
  </si>
  <si>
    <t>2020NE000484</t>
  </si>
  <si>
    <t>REBELLO IMPERMEABILIZACOES LTDA (11875281000142)</t>
  </si>
  <si>
    <t>CONTRATAÇÃO DE EMPRESA  ESPECIALIZADA PARA  IMPERMEABILIZAÇÃO DA CISTERNA E DORESERVATÓRIO SUPERIOR  DO EDIFÍCIO QUE ABRIGA A  COORDENADORIA DE SAÚDE  DESTETRIBUNAL.</t>
  </si>
  <si>
    <t>CD-6602/2020</t>
  </si>
  <si>
    <t>2020NE000485</t>
  </si>
  <si>
    <t>MOLDURAS P/ 16 FOTOGRAFIAS DE DESEMBARGADORES A SEREM INSTALADAS NA GALERIA DEFOTOS LOCALIZADA NO MEMORIAL DESTE REGIONAL. MULTAS:AUSÊNCIA REGULARIDADE FIS-CAL/TRABALHISTA,1%; MORA,0,3%/DIA,LIMIT.10%; INEXECUÇÃO PARCIAL,5%; TOTAL,10%.</t>
  </si>
  <si>
    <t>CD-7054/2020</t>
  </si>
  <si>
    <t>2020NE000486</t>
  </si>
  <si>
    <t>2020NE000487</t>
  </si>
  <si>
    <t>2020NE000488</t>
  </si>
  <si>
    <t>2020NE000489</t>
  </si>
  <si>
    <t>2020NE000490</t>
  </si>
  <si>
    <t>2020NE000491</t>
  </si>
  <si>
    <t>REFORÇO</t>
  </si>
  <si>
    <t>GD-TRC</t>
  </si>
  <si>
    <t>2020NE000492</t>
  </si>
  <si>
    <t>MÁSCARAS ADULTAS E INFANTIS P/ AÇÕES DO PROGRAMA DE COMBATE AO TRABALHO INFAN-TIL E DE ESTÍMULO À APRENDIZAGEM. REGULARIDADE FISCAL E TRABALHISTA DEVERÁ SERMANTIDA DURANTE CONTRATAÇÃO SOB PENA DE MULTA DE 1% DO VALOR DA NOTA FISCAL.</t>
  </si>
  <si>
    <t>CD-7167/2020</t>
  </si>
  <si>
    <t>2020NE000493</t>
  </si>
  <si>
    <t>2020NE000494</t>
  </si>
  <si>
    <t>2020NE000495</t>
  </si>
  <si>
    <t>2020NE000496</t>
  </si>
  <si>
    <t>RESSARCIMENTO DECORRENTE DO AJUSTE PRÉVIO DE DESOCUPAÇÃO DO IMÓVEL SITUADO NA AV. RIO BRANCO, 919, CENTRO, FLORIANÓPOLIS - SC.</t>
  </si>
  <si>
    <t>2020NE000497</t>
  </si>
  <si>
    <t>SOMPO SEGUROS S.A. (61383493000180)</t>
  </si>
  <si>
    <t>CONTRATAÇÃO DE SEGUROS PARA RESGUARDAR OS IMÓVEIS E CONTEÚDOS DAS UNIDADES JU-DICIÁRIAS E ADMINISTRATIVAS DESTE TRIBUNAL.</t>
  </si>
  <si>
    <t>PRE-7538/2019</t>
  </si>
  <si>
    <t>2020NE000498</t>
  </si>
  <si>
    <t>INTÉRPRETE DE LIBRAS A DISTÂNCIA PARA O SERVIDOR EDUARDO GHELLER MORSCHBACHER.PRIMEIRO ADITIVO.</t>
  </si>
  <si>
    <t>2020NE000499</t>
  </si>
  <si>
    <t>ALBERTO TAVARES JUNIOR (13836336000130)</t>
  </si>
  <si>
    <t>ARP 9/2019 - TRT12 - AQUISIÇÃO DE MATERIAIS DE LIMPEZA E HIGIENE PARA ABASTE- CIMENTO DO ALMOXARIFADO NO EXERCÍCIO 2020.</t>
  </si>
  <si>
    <t>PRE-6083/2019</t>
  </si>
  <si>
    <t>2020NE000500</t>
  </si>
  <si>
    <t>2020NE000501</t>
  </si>
  <si>
    <t>DASA - COMERCIO E IMPORTACAO LTDA (18753207000100)</t>
  </si>
  <si>
    <t>SUBSTITUIÇÃO DE FECHADURA NO  PRÉDIO DO SERVIÇO DE MATERIAL E PATRIMÔNIO DESTETRIBUNAL. MULTAS: AUSÊNCIA REGULARIDADE FISCAL/TRABALHISTA, 1%; MORA, 0,3%/DIALIMIT. 10%; INEXECUÇÃO (ATRASO SUPERIOR A 34 DIAS) PARCIAL, 5%; TOTAL, 10%.</t>
  </si>
  <si>
    <t>CD-6929/2020</t>
  </si>
  <si>
    <t>2020NE000502</t>
  </si>
  <si>
    <t>2020NE000503</t>
  </si>
  <si>
    <t>GEPSAT SAUDE DO TRABALHADOR EIRELI (14990853000122)</t>
  </si>
  <si>
    <t>PAGAMENTO DE INSCRIÇÃO DE SERVIDORA PARA  PARTICIPAÇÃO NO CURSO "SEMINÁRIO I -CLÍNICA PSICANALÍTICA DO TRABALHO". REGULARIDADE FISCAL/TRABALHISTA DEVERÁ SERMANTIDA DURANTE A CONTRATAÇÃO SOB PENA DE MULTA DE 1% DO VALOR DA NOTA FISCAL.</t>
  </si>
  <si>
    <t>CD-7341/2020</t>
  </si>
  <si>
    <t>2020NE000504</t>
  </si>
  <si>
    <t>PEÇAS PARA MANUTENÇÃO EM ELEVADOR - FT RIO DO SUL.</t>
  </si>
  <si>
    <t>2020NE000505</t>
  </si>
  <si>
    <t>INSCRIÇÃO DE SERVIDORAS NO CURSO "ELABORAÇÃO DE TERMO DE REFERÊNCIA E PROJETO BÁSICO P/ A CONTRATAÇÃO DE OBRAS E SERVIÇOS DE ENGENHARIA".NA AUSÊNCIA DE RE- GULARIDADE FISCAL/TRABALHISTA DURANTE CONTRATO, MULTA DE 1% DO VALOR DA NF.</t>
  </si>
  <si>
    <t>CD-7339/2020</t>
  </si>
  <si>
    <t>2020NE000506</t>
  </si>
  <si>
    <t>IDI - INSTITUTO DE DESENHO INSTRUCIONAL LTDA (12902757000150)</t>
  </si>
  <si>
    <t>INSCRIÇÃO DE  SERVIDORA PARA  PARTICIPAÇÃO NO  CURSO "DESIGN INSTRUCIONAL".  AREGULARIDADE FISCAL/TRABALHISTA  DEVERÁ SER MANTIDA DURANTE A VIGÊNCIA DA CON-TRATAÇÃO SOB PENA DE RETENÇÃO/EXECUÇÃO DA MULTA DE 1% DO VALOR DA NOTA FISCAL.</t>
  </si>
  <si>
    <t>CD-7344/2020</t>
  </si>
  <si>
    <t>2020NE000507</t>
  </si>
  <si>
    <t>COAN INDUSTRIA GRAFICA EIRELI (86444791000164)</t>
  </si>
  <si>
    <t>IMPRESSÃO/MONTAGEM DE CARTILHAS "VOCÊ SABIA?" PARA AÇÕES DO PROGRAMA DE COMBA-TE AO TRABALHO INFANTIL E DE ESTÍMULO À APRENDIZAGEM. REGULARIDADE FISCAL/TRA-BALHISTA DEVE SE MANTER DURANTE CONTRATO SOB PENA MULTA DE 1% DO VALOR DA NF.</t>
  </si>
  <si>
    <t>CD-7319/2020</t>
  </si>
  <si>
    <t>2020NE000508</t>
  </si>
  <si>
    <t>2020NE000509</t>
  </si>
  <si>
    <t>2020NE000510</t>
  </si>
  <si>
    <t>2020NE000511</t>
  </si>
  <si>
    <t>JULIANA ADELINA FORTUNATO FERNANDES (02181069980)</t>
  </si>
  <si>
    <t>REEMBOLSO DE DESPESAS REFERENTE AO CONSERTO DE VEÍCULO DE SERVIDORA DANIFICADONO LOCAL DE TRABALHO.</t>
  </si>
  <si>
    <t>CD-7383/2020</t>
  </si>
  <si>
    <t>2020NE000512</t>
  </si>
  <si>
    <t>2020NE000513</t>
  </si>
  <si>
    <t>2020NE000514</t>
  </si>
  <si>
    <t>RAFAEL DE CASTRO LOPES (09443188600)</t>
  </si>
  <si>
    <t>REEMBOLSO DE DESPESAS REFERENTE A AQUISIÇÃO DE UM LAVATÓRIO PARA SER INSTALADONA OBRA DA NOVA SEDE DA VARA DO TRABALHO DE CANOINHAS.</t>
  </si>
  <si>
    <t>CD-7390/2020</t>
  </si>
  <si>
    <t>2020NE000515</t>
  </si>
  <si>
    <t>REEMBOLSO DE DESPESAS REFERENTE A  INSTALAÇÃO DE UM LAVATÓRIO NA OBRA  DA NOVASEDE DA VARA DO TRABALHO DE CANOINHAS.</t>
  </si>
  <si>
    <t>2020NE000516</t>
  </si>
  <si>
    <t>INSCRIÇÕES PARA 3 SERVIDORES NO ENCONTRO NACIONAL DE OBRAS PÚBLICAS E SERVIÇOSDE ENGENHARIA 2020. A REGULARIDADE  FISCAL/TRABALHISTA  DEVE SE MANTER DURANTECONTRATAÇÃO SOB PENA DE MULTA DE 1% DO VALOR DA NOTA FISCAL.</t>
  </si>
  <si>
    <t>CD-7399/2020</t>
  </si>
  <si>
    <t>2020NE000517</t>
  </si>
  <si>
    <t>FUNDACAO GETULIO VARGAS (33641663000144)</t>
  </si>
  <si>
    <t>PAGAMENTO DE  INSCRIÇÃO PARA  SERVIDORA PARTICIPAR EM  CURSO NA  MODALIDADE A DISTÂNCIA.  A REGULARIDADE FISCAL E TRABALHISTA  DEVERÁ SER MANTIDA DURANTE A VIGÊNCIA DA CONTRATAÇÃO SOB PENA DE MULTA DE 1% DO VALOR DA NOTA FISCAL.</t>
  </si>
  <si>
    <t>CD-7418/2020</t>
  </si>
  <si>
    <t>2020NE000518</t>
  </si>
  <si>
    <t>INSCRIÇÃO DE 3 SERVIDORAS EM CURSOS NA MODALIDADE A DISTÂNCIA. A REGULARIDADE FISCAL E TRABALHISTA DEVERÁ SER MANTIDA DURANTE A VIGÊNCIA DA CONTRATAÇÃO SOB PENA DE RETENÇÃO E EXECUÇÃO DA MULTA DE 1% DO VALOR DA NOTA FISCAL.</t>
  </si>
  <si>
    <t>CD-7455/2020</t>
  </si>
  <si>
    <t>2020NE000519</t>
  </si>
  <si>
    <t>CONSULTRE CONSULTORIA E TREINAMENTO LTDA (36003671000153)</t>
  </si>
  <si>
    <t>INSCRIÇÃO DE SERVIDORA EM CURSO NA MODALIDADE A DISTÂNCIA. A REGULARIDADE FIS-CAL E TRABALHISTA DEVERÁ SER MANTIDA DURANTE A VIGÊNCIA DA CONTRATAÇÃO SOB PE-NA DE RETENÇÃO E EXECUÇÃO DA MULTA DE 1% DO VALOR DA NOTA FISCAL.</t>
  </si>
  <si>
    <t>CD-7465/2020</t>
  </si>
  <si>
    <t>2020NE000520</t>
  </si>
  <si>
    <t>CONQUER HOLDING EDUCACIONAL S.A. (26058324000174)</t>
  </si>
  <si>
    <t>INSCRIÇÃO DE 3 SERVIDORES EM CURSO A DISTÂNCIA. A REGULARIDADE FISCAL E TRABA-LHISTA DEVERÁ SER MANTIDA DURANTE A VIGÊNCIA DA CONTRATAÇÃO SOB PENA DE RETEN-ÇÃO E EXECUÇÃO DA MULTA DE 1% DO VALOR DA NOTA FISCAL.</t>
  </si>
  <si>
    <t>CD-7461/2020</t>
  </si>
  <si>
    <t>2020NE000521</t>
  </si>
  <si>
    <t>RESSARCIMENTO DECORRENTE DO TERMO DE REEMBOLSO E DESOCUPAÇÃO DO IMÓVEL SITUADONA AV. RIO BRANCO, 919, CENTRO, FLORIANÓPOLIS - SC.</t>
  </si>
  <si>
    <t>2020NE000522</t>
  </si>
  <si>
    <t>COMPANHIA BRASILEIRA DE CARTUCHOS (57494031000163)</t>
  </si>
  <si>
    <t>AQUISIÇÃO DE MUNIÇÃO DE TREINAMENTO. MULTA MORA 0,3%/DIA, LIM. 10%; CASO ATRA-SO SUPERIOR 34 DIAS, MULTA INEXECUÇÃO: PARCIAL, 5%; TOTAL, 10%; AUSÊNCIA REGU-LARIDADE FISCAL/TRABALHISTA: MULTA DE 1% DO VALOR DA NOTA FISCAL.</t>
  </si>
  <si>
    <t>CD-7544/2020</t>
  </si>
  <si>
    <t>2020NE000523</t>
  </si>
  <si>
    <t>2020NE000524</t>
  </si>
  <si>
    <t>2020NE000525</t>
  </si>
  <si>
    <t>2020NE000526</t>
  </si>
  <si>
    <t>2020NE000527</t>
  </si>
  <si>
    <t>PAGAMENTO DE INSCRIÇÃO EM CUROS P/ SERVIDORES.  A  REGULARIDADE FISCAL  E TRA-BALHISTA DEVERÁ SER MANTIDA DURANTE A VIGÊNCIA DA CONTRATAÇÃO, SOB PENA DE RE-TENÇÃO E EXECUÇÃO DA MULTA DE 1% DO VALOR DA NOTA FISCAL.</t>
  </si>
  <si>
    <t>CD-7619/2020</t>
  </si>
  <si>
    <t>2020NE000528</t>
  </si>
  <si>
    <t>INSTITUTO NACIONAL DE LICITACAO HQZ LTDA (11032434000190)</t>
  </si>
  <si>
    <t>INSCRIÇÃO DE SERVIDORA PARA PARTICIPAÇÃO EM CURSO NA MODALIDADE A DISTÂNCIA. AREGULARIDADE FISCAL/TRABALHISTA  DEVERÁ SER MANTIDA DURANTE A VIGÊNCIA DA CON-TRATAÇÃO SOB PENA DE MULTA DE 1% DO VALOR DA NOTA FISCAL.</t>
  </si>
  <si>
    <t>CD-7663/2020</t>
  </si>
  <si>
    <t>2020NE000529</t>
  </si>
  <si>
    <t>UBUNTU EDUCACAO BR LTDA (29320577000162)</t>
  </si>
  <si>
    <t>INSCRIÇÃO PARA 6 SERVIDORES EM CURSO NA MODALIDADE A DISTÂNCIA. A REGULARIDADEFISCAL E TRABALHISTA DEVERÁ  SER MANTIDA DURANTE A VIGÊNCIA DA CONTRATAÇÃO SOBPENA DE RETENÇÃO E EXECUÇÃO DA MULTA DE 1% DO VALOR DA NOTA FISCAL.</t>
  </si>
  <si>
    <t>CD-7568/2020</t>
  </si>
  <si>
    <t>2020NE000530</t>
  </si>
  <si>
    <t>2020NE000531</t>
  </si>
  <si>
    <t>2020NE000532</t>
  </si>
  <si>
    <t>A.C.J. IMPORTACAO E EXPORTACAO DE EQUIPAMENTOS PARA IN (18167855000258)</t>
  </si>
  <si>
    <t>CILINDRO PARA MULTIFUNCIONAL SAMSUNG - ALMOXARIFADO 2020. MULTA MORA 0,3%/DIA,LIM. 10%; CASO ATRASO  SUPERIOR 34 DIAS, MULTA INEXECUÇÃO: PARCIAL, 5%; TOTAL,10%; AUSÊNCIA REGULARIDADE FISCAL/TRABALHISTA: MULTA 1% VALOR DA NOTA FISCAL.</t>
  </si>
  <si>
    <t>CD-7748/2020</t>
  </si>
  <si>
    <t>2020NE000533</t>
  </si>
  <si>
    <t>2020NE000534</t>
  </si>
  <si>
    <t>NUOVO DESIGN AGENCIA DE PUBLICIDADE E PROPAGANDA LTDA (02421799000115)</t>
  </si>
  <si>
    <t>EDIÇÃO/CONVERSÃO/PUBLICAÇÃO DIGITAL  EDIÇÃO 32 REVISTA EJUD TRT-12. MULTA MORA0,3%/DIA, LIM. 10%;  CASO ATRASO  SUPERIOR 34 DIAS, MULTA INEXECUÇÃO: PARCIAL,5%; TOTAL, 10%; AUSÊNCIA REGULARIDADE FISCAL/TRABALHISTA: MULTA 1% VALOR NF.</t>
  </si>
  <si>
    <t>CD-7749/2020</t>
  </si>
  <si>
    <t>2020NE000535</t>
  </si>
  <si>
    <t>2020NE000536</t>
  </si>
  <si>
    <t>2020NE000537</t>
  </si>
  <si>
    <t>2020NE000538</t>
  </si>
  <si>
    <t>2020NE000539</t>
  </si>
  <si>
    <t>2020NE000540</t>
  </si>
  <si>
    <t>2020NE000541</t>
  </si>
  <si>
    <t>SEPROC</t>
  </si>
  <si>
    <t>2020NE000542</t>
  </si>
  <si>
    <t>DISTRIBUIDORA CURITIBA DE PAPEIS E LIVROS S/A (79065181000194)</t>
  </si>
  <si>
    <t>AQUISIÇÃO DE LIVROS IMPRESSOS PARA COMPOR E ATUALIZAR O ACERVO DA BIBLIOTECA  DESTE REGIONAL. REGULARIDADE FISCAL/TRABALHISTA DEVERÁ SER MANTIDA DURANTE A  VIGÊNCIA DA CONTRATAÇÃO SOB PENA DE MULTA DE 1% DO VALOR DA NOTA FISCAL.</t>
  </si>
  <si>
    <t>CD-7708/2020</t>
  </si>
  <si>
    <t>2020NE000543</t>
  </si>
  <si>
    <t>ENGEDIX SOLUCOES DE ENGENHARIA EIRELI (81546988000190)</t>
  </si>
  <si>
    <t>CONTRATAÇÃO DO REMANESCENTE  DA OBRA DE REFORMA DO  PRÉDIO QUE ABRIGARÁ A NOVASEDE DA VARA DO TRABALHO DE CANOINHAS.</t>
  </si>
  <si>
    <t>CD-7792/2020</t>
  </si>
  <si>
    <t>2020NE000544</t>
  </si>
  <si>
    <t>GART CAPOTE CONSULTORIA E TREINAMENTO ORGANIZACIONAL LT (05581215000167)</t>
  </si>
  <si>
    <t>PAGAMENTO DE INSCRIÇÃO DE SERVIDOR PARA  PARTICIPAÇÃO EM CURSO NA MODALIDADE ADISTÂNCIA.  A REGULARIDADE FISCAL E TRABALHISTA  DEVERÁ SER MANTIDA  DURANTE AVIGÊNCIA DA CONTRATAÇÃO SOB PENA DE MULTA DE 1% DO VALOR DA NOTA FISCAL.</t>
  </si>
  <si>
    <t>CD-7858/2020</t>
  </si>
  <si>
    <t>2020NE000545</t>
  </si>
  <si>
    <t>2020NE000546</t>
  </si>
  <si>
    <t>2020NE000547</t>
  </si>
  <si>
    <t>2020NE000548</t>
  </si>
  <si>
    <t>AQUISIÇÃO EMERGENCIAL DE 60 CERTIFICAÇÕES DIGITAIS, INCLUINDO O SERVIÇO DE VA-LIDAÇÃO E EMISSÃO, PARA PESSOA FÍSICA DO TIPO A3, PADRÃO ICP-BRASIL COMPATÍVELCOM AC-JUS.</t>
  </si>
  <si>
    <t>CD-6884/2020</t>
  </si>
  <si>
    <t>2020NE000549</t>
  </si>
  <si>
    <t>2020NE000550</t>
  </si>
  <si>
    <t>ENCARGOS PATRONAIS - SEDUC.</t>
  </si>
  <si>
    <t>2020NE000551</t>
  </si>
  <si>
    <t>2020NE000552</t>
  </si>
  <si>
    <t>GARRA SC COMERCIO E SERVICOS PARA ESCRITORIO EIRELI (17247878000129)</t>
  </si>
  <si>
    <t>AQUISIÇÃO DE  PEÇAS PARA  ESTANTES PORTA PALLETS  DO ALMOXARIFADO.  MULTA MORA0,3%/DIA, LIM. 10%; CASO ATRASO SUPERIOR A 34 DIAS, MULTA INEXECUÇÃO: PARCIAL,5%; TOTAL, 10%;  AUSÊNCIA REGULARIDADE FISCAL/TRABALHISTA:  MULTA 1% VALOR NF.</t>
  </si>
  <si>
    <t>CD-7968/2020</t>
  </si>
  <si>
    <t>2020NE000553</t>
  </si>
  <si>
    <t>REFORÇO INSTRUTORIA INTERNA PARA ATENDER PAGTO CONFORME PROAD-7975/2020.</t>
  </si>
  <si>
    <t>2020NE000554</t>
  </si>
  <si>
    <t>2020NE000555</t>
  </si>
  <si>
    <t>2020NE000556</t>
  </si>
  <si>
    <t>REFORÇO MATERIAL MANUTENÇÃO PREDIAL.</t>
  </si>
  <si>
    <t>2020NE000557</t>
  </si>
  <si>
    <t>REFORÇO SERVIÇOS DE MANUTENÇÃO PREDIAL.</t>
  </si>
  <si>
    <t>2020NE000558</t>
  </si>
  <si>
    <t>SENTENÇAS DE PEQUENO VALOR - OFÍCIO SEGEP/NUPRE Nº 632 - PROAD-7819/2020.</t>
  </si>
  <si>
    <t>PROAD-7819/2020</t>
  </si>
  <si>
    <t>2020NE000559</t>
  </si>
  <si>
    <t>SERVICO AUTONOMO MUNICIPAL DE AGUA E ESGOTO (82985003000196)</t>
  </si>
  <si>
    <t>FORNECIMENTO DE ÁGUA E TRATAMENTO DE ESGOTO, DO FÓRUM TRAB.DE BRUSQUE.A REGULARIDADE FISCAL E TRABALHISTA DEVERÁ SER MANTIDA DURANTE A VIGÊNCIA DA CONTRATA-ÇÃO, SOB PENA DE RETENÇÃO E EXECUÇÃO DA MULTA DE 1% DO VALOR DA NOTA FISCAL.</t>
  </si>
  <si>
    <t>CSP-7974/2020</t>
  </si>
  <si>
    <t>2020NE000560</t>
  </si>
  <si>
    <t>COLETA DE LIXO DO FÓRUM TRABALHISTA DE BRUSQUE. A REGULARIDADE FISCAL  E  TRA-BALHISTA DEVERÁ SER MANTIDA DURANTE A VIGÊNCIA DA CONTRATAÇÃO, SOB PENA DE RE-TENÇÃO E EXECUÇÃO DA MULTA DE 1% DO VALOR DA NOTA FISCAL.</t>
  </si>
  <si>
    <t>2020NE000561</t>
  </si>
  <si>
    <t>SERVIÇO DE EMISSÃO DE CERTIFICAÇÃO DIGITAL - A3 - AC-JUS COM E SEM FORNECIMEN-TO DE TOKEN E VISITAS TÉCNICAS PARA REFERIDA EMISSÃO.</t>
  </si>
  <si>
    <t>2020NE000562</t>
  </si>
  <si>
    <t>ANALISABR LTDA (28622830000170)</t>
  </si>
  <si>
    <t>AQUISIÇÃO DE 2(DUAS) LICENÇAS DE ACESSO AO SOFTWARE QLIK SENSE ENTERPRISE SAAS- PROFESSIONAL.</t>
  </si>
  <si>
    <t>CD-7557/2020</t>
  </si>
  <si>
    <t>2020NE000563</t>
  </si>
  <si>
    <t>2020NE000564</t>
  </si>
  <si>
    <t>ANULAÇÃO INDENIZAÇÃO DE TRANSPORTE OFICIAIS DE JUSTIÇA.</t>
  </si>
  <si>
    <t>2020NE000565</t>
  </si>
  <si>
    <t>ZITYS DO BRASIL COMERCIO E SERVICOS LTDA (07882248000172)</t>
  </si>
  <si>
    <t>EMBALADOR DE GUARDA CHUVA, CHAPA DE AÇO.</t>
  </si>
  <si>
    <t>CD-8180/2020</t>
  </si>
  <si>
    <t>2020NE000566</t>
  </si>
  <si>
    <t>SOMA COMERCIO DE TINTAS LTDA (26044069000100)</t>
  </si>
  <si>
    <t>FOGÃO ELÉTRICO DUAS BOCAS DE MESA, DOIS QUEIMADORES/AQUECEDORES.A REGULARIDADEFISCAL E TRABALHISTA DEVERÁ SER MANTIDA DURANTE A VIGÊNCIA DA CONTRATAÇÃO, SOBPENA DE RETENÇÃO E EXECUÇÃO DA MULTA DE 1% DO VALOR DA NOTA FISCAL.</t>
  </si>
  <si>
    <t>2020NE000567</t>
  </si>
  <si>
    <t>ANULAÇÃO PARA RETIFICAÇÃO NE.</t>
  </si>
  <si>
    <t>2020NE000568</t>
  </si>
  <si>
    <t>EMBALADOR DE GUARDA CHUVA, CHAPA DE AÇO. A REGULARIDADE FISCAL  E  TRABALHISTADEVERÁ SER MANTIDA DURANTE A VIGÊNCIA DA CONTRATAÇÃO, SOB PENA DE  RETENÇÃO  EEXECUÇÃO DA MULTA DE 1% DO VALOR DA NOTA FISCAL.</t>
  </si>
  <si>
    <t>2020NE000569</t>
  </si>
  <si>
    <t>NIEHUES COMERCIO E REPRESENTACOES LTDA (75418657000172)</t>
  </si>
  <si>
    <t>PURIFICADOR DE ÁGUA, DE PAREDE, DE ÁGUA A TEMPERATURA  NATURAL E  REFRIGERADA.A REGUL.FISCAL E TRAB.DEVERÁ SER MANTIDA DURANTE A VIGÊNCIA DA CONTRATAÇÃO,SOBPENA DE RETENÇÃO E EXECUÇÃO DA MULTA DE 1% DO VALOR DA NOTA FISCAL.</t>
  </si>
  <si>
    <t>2020NE000570</t>
  </si>
  <si>
    <t>GUSTAVO XAVIER DE CAMARGO (25135119809)</t>
  </si>
  <si>
    <t>PALESTRA INTELIGÊNCIA ARTIFICIAL E ROBOTIZAÇÃO DE JUÍZES,NO 1º MÓDULO TELEPRE-SENCIAL DE 2020.A REGUL.FISCAL E TRAB.DEVERÁ SER MANTIDA DURANTE A VIGÊNCIA DACONTRATAÇÃO, SOB PENA DE RETENÇÃO E EXECUÇÃO MULTA DE 1% DO VALOR DA N.FISCAL.</t>
  </si>
  <si>
    <t>CD-8229/2020</t>
  </si>
  <si>
    <t>2020NE000571</t>
  </si>
  <si>
    <t>ANULAÇÃO HONORÁRIOS DE PERITO.</t>
  </si>
  <si>
    <t>2020NE000572</t>
  </si>
  <si>
    <t>2020NE000573</t>
  </si>
  <si>
    <t>EXITO DISTRIBUIDORA E COMERCIO DE LIVROS LTDA (08065700000176)</t>
  </si>
  <si>
    <t>AQUISIÇÃO DE LIVROS IMPRESSOS PARA COMPOR E ATUALIZAR O ACERVO  DA BIBLIOTECA.A REGULARIDADE FISCAL E TRABALHISTA DEVERÁ SER MANTIDA DURANTE A  VIGÊNCIA  DACONTRATAÇÃO, SOB PENA DE RETENÇÃO E EXECUÇÃO MULTA DE 1% DO VALOR DA N.FISCAL.</t>
  </si>
  <si>
    <t>RP-7747/2020</t>
  </si>
  <si>
    <t>2020NE000574</t>
  </si>
  <si>
    <t>AQUISIÇÃO COM INSTALAÇÃO DE MOBILIÁRIO SOB MEDIDA (MESA DE REUNIÕES).REGULARI-DADE FISCAL/TRABALHISTA SOB PENA MULTA 1% DA NF.MULTA MORA 0,3%DIA ITEM ATRASOATÉ 10%.ATRASO ACIMA 34DIAS PODE INEX.CONT.E 5%MULTA ITEM.INEXEC.TOTAL 10%TUDO</t>
  </si>
  <si>
    <t>CD-8321/2020</t>
  </si>
  <si>
    <t>2020NE000575</t>
  </si>
  <si>
    <t>TAXA DE PREVENÇÃO CONTRA SINISTRO/PROVIDÊNCIAS DE SEGURANÇA CONTRA INCÊNDIO  EPÂNICO DO PRÉDIO DO FÓRUM TRABALHISTA DE CHAPECÓ.</t>
  </si>
  <si>
    <t>CD-8366/2020</t>
  </si>
  <si>
    <t>2020NE000576</t>
  </si>
  <si>
    <t>ANULAÇÃO SALDO NÃO UTILIZADO PARA VACINAS INFLUENZA.</t>
  </si>
  <si>
    <t>2020NE000577</t>
  </si>
  <si>
    <t>ENCARGOS PATRONAIS - ESCOLA JUDICIAL.</t>
  </si>
  <si>
    <t>2020NE000578</t>
  </si>
  <si>
    <t>ANULAÇÃO MANUTENÇÃO ELEVADORES.</t>
  </si>
  <si>
    <t>2020NE000579</t>
  </si>
  <si>
    <t>PEÇAS PARA MANUTENÇÃO DE ELEVADORES DE DIVERSAS UNIDADES.</t>
  </si>
  <si>
    <t>2020NE000580</t>
  </si>
  <si>
    <t>VMI SISTEMAS DE SEGURANCA LTDA (05293074000187)</t>
  </si>
  <si>
    <t>AQUISIÇÃO DE MESA DE ROLETE PARA O SCANNER DE BAGAGENS E VOLUMES. A  REGULARI-DADE FISCAL/TRABALHISTA SOB PENA MULTA 1% DA NF.MULTA MORA 0,3%DIA ITEM ATRASOATÉ 10%.ATRASO ACIMA 34DIAS PODE INEX.CONT.E 5%MULTA ITEM.INEXEC.TOTAL 10%TUDO</t>
  </si>
  <si>
    <t>CD-8413/2020</t>
  </si>
  <si>
    <t>2020NE000581</t>
  </si>
  <si>
    <t>INSCRIÇÃO DA SERVIDORA KELEN CARDOSO BORGES,P/PARTICIPAR DO CURSO.A REGULARIDADE FISCAL E TRABALHISTA DEVERA SER MANTIDA NA VIGENCIA DA CONTRATACAO,SOB PENADE RETENCAO E EXECUCAO DA MULTA DE 1% DO VALOR DA NOTA FISCAL.</t>
  </si>
  <si>
    <t>CD-8509/2020</t>
  </si>
  <si>
    <t>2020NE000582</t>
  </si>
  <si>
    <t>NP TREINAMENTOS E CURSOS LTDA (20129563000191)</t>
  </si>
  <si>
    <t>INSCRIÇÃO DO SERVIDOR ALESSANDRO GONÇALVES VIERES, P/PARTICIPAR DO CURSO. A REGULARIDADE FISCAL E TRABALHISTA DEVERA SER MANTIDA NA VIGENCIA DA CONTRATACAO,SOB PENA DE RETENCAO E EXECUCAO DA MULTA DE 1% DO VALOR DA NOTA FISCAL.</t>
  </si>
  <si>
    <t>CD-8513/2020</t>
  </si>
  <si>
    <t>2020NE000583</t>
  </si>
  <si>
    <t>ANULAÇÃO PARA RETIFICAÇÃO SUBELEMENTO DA DESPESA.</t>
  </si>
  <si>
    <t>2020NE000584</t>
  </si>
  <si>
    <t>2020NE000585</t>
  </si>
  <si>
    <t>REFORÇO ADEQUAÇÃO DAS INSTALAÇÕES PREVENTIVAS CONTRA INCÊNDIO ALMOXARIFADO.</t>
  </si>
  <si>
    <t>2020NE000586</t>
  </si>
  <si>
    <t>INSCRIÇÃO DA SERVIDORA WANDRESSA FERNANDES GARCIA PARA PARTICIPAÇÃO EM  CURSO.A REGULARIDADE FISCAL E TRABALHISTA DEVERA SER MANTIDA NA VIGENCIA DA  CONTRA-TACAO, SOB PENA DE RETENCAO E EXECUCAO DA MULTA DE 1% DO VALOR DA NOTA FISCAL.</t>
  </si>
  <si>
    <t>CD-8638/2020</t>
  </si>
  <si>
    <t>2020NE000587</t>
  </si>
  <si>
    <t>FILME STRETCH DE POLIETILENO COEXTRUSADO ESTICÁVEL DE ALTA RESISTÊNCIA.</t>
  </si>
  <si>
    <t>PRE-6093/2019</t>
  </si>
  <si>
    <t>2020NE000588</t>
  </si>
  <si>
    <t>ANULAÇÃO ITEM SEQ. 5.</t>
  </si>
  <si>
    <t>2020NE000589</t>
  </si>
  <si>
    <t>ANULAÇÃO POR REVOGAÇÃO DA CONTRATAÇÃO.</t>
  </si>
  <si>
    <t>2020NE000590</t>
  </si>
  <si>
    <t>ELEVADORES DINAMICA EIRELI (03585740000125)</t>
  </si>
  <si>
    <t>PRESTAÇÃO DE SERVIÇOS  DE  MANUTENÇÃO  PREVENTIVA, CORRETIVA  E  EMERGENCIAL -COM FORNECIMENTO INTEGRAL DE PEÇAS - EM ELEVADOR DO FÓRUM TRABALHISTA DE BRUS-QUE.</t>
  </si>
  <si>
    <t>CD-7906/2020</t>
  </si>
  <si>
    <t>2020NE000591</t>
  </si>
  <si>
    <t>MIDIA SIGNS COMUNICACAO VISUAL LTDA (95791133000130)</t>
  </si>
  <si>
    <t>SERVIÇO DE IMPRESSÃO DIGITAL DE ADESIVOS.</t>
  </si>
  <si>
    <t>2020NE000592</t>
  </si>
  <si>
    <t>RESSARCIMENTO DE VALOR PAGO A TÍTULO DE MULTA DECORRENTE DO ART. 479 DA CLT EMVIRTUDE DE ENCERRAMENTO ANTECIPADO DA CONTRATAÇÃO.</t>
  </si>
  <si>
    <t>2020NE000593</t>
  </si>
  <si>
    <t>2020NE000594</t>
  </si>
  <si>
    <t>2020NE000595</t>
  </si>
  <si>
    <t>ARTESANATO EDUCACIONAL LTDA (13368623000163)</t>
  </si>
  <si>
    <t>INSCRIÇÃO DE SERVIDORA EM CURSO NA MODALIDADE EAD.  REGULARIDADE FISCAL E TRA-BALHISTA DEVERÁ SER MANTIDA  DURANTE A VIGÊNCIA DA CONTRATAÇÃO SOB PENA DE RE-TENÇÃO E EXECUÇÃO DA MULTA DE 1% DO VALOR DA NOTA FISCAL.</t>
  </si>
  <si>
    <t>CD-8823/2020</t>
  </si>
  <si>
    <t>2020NE000596</t>
  </si>
  <si>
    <t>2020NE000597</t>
  </si>
  <si>
    <t>2020NE000598</t>
  </si>
  <si>
    <t>2020NE000599</t>
  </si>
  <si>
    <t>2020NE000600</t>
  </si>
  <si>
    <t>2020NE000601</t>
  </si>
  <si>
    <t>2020NE000602</t>
  </si>
  <si>
    <t>2020NE000603</t>
  </si>
  <si>
    <t>DANYELY MARCYA SILVA MARINHO 06595469499 (18450240000153)</t>
  </si>
  <si>
    <t>REALIZAÇÃO DE CURSO ABORDANDO A NORMA NR-32, NA MODALIDADE A DISTÂNCIA, PARA 9SERVIDORES DA ÁREA DE SAÚDE DESTE TRIBUNAL.  A REGULARIDADE FISCAL/TRABALHISTADEVERÁ SER MANTIDA DURANTE O CONTRATO SOB PENA DE MULTA DE 1% DO VALOR DA NF.</t>
  </si>
  <si>
    <t>CD-8919/2020</t>
  </si>
  <si>
    <t>2020NE000604</t>
  </si>
  <si>
    <t>SUCESSO TECNOLOGIA E INFORMACAO EIRELI (13183890000166)</t>
  </si>
  <si>
    <t>PAGAMENTO DE INSCRIÇÃO DE SERVIDOR PARA PARTICIPAÇÃO EM CURSOS NA MODALIDADE ADISTÂNCIA.  A REGULARIDADE FISCAL/TRABALHISTA DEVERÁ SER MANTIDA DURANTE A VI-GÊNCIA DA CONTRATAÇÃO SOB PENA DE MULTA DE 1% DO VALOR DA NOTA FISCAL.</t>
  </si>
  <si>
    <t>CD-8931/2020</t>
  </si>
  <si>
    <t>2020NE000605</t>
  </si>
  <si>
    <t>2020NE000606</t>
  </si>
  <si>
    <t>DIEGO MARCELO F. TRAVEZ (16586641000100)</t>
  </si>
  <si>
    <t>CONTRATAÇÃO DO CURSO "GESTÃO DE EQUIPES REMOTAS", NA MODALIDADE EAD. A REGULA-RIDADE FISCAL E TRABALHISTA DEVERÁ SER MANTIDA DURANTE A VIGÊNCIA DA CONTRATA-ÇÃO SOB PENA DE RETENÇÃO E EXECUÇÃO DA MULTA DE 1% DO VALOR DA NOTA FISCAL.</t>
  </si>
  <si>
    <t>CD-8986/2020</t>
  </si>
  <si>
    <t>2020NE000607</t>
  </si>
  <si>
    <t>PAGAMENTO DE INSCRIÇÃO DE SERVIDOR PARA PARTICIPAÇÃO EM CURSO  NA MODALIDADE ADISTÂNCIA.  A REGULARIDADE FISCAL/TRABALHISTA DEVERÁ SER MANTIDA DURANTE A VI-GÊNCIA DA CONTRATAÇÃO SOB PENA DE MULTA DE 1% DO VALOR DA NOTA FISCAL.</t>
  </si>
  <si>
    <t>CD-9057/2020</t>
  </si>
  <si>
    <t>2020NE000608</t>
  </si>
  <si>
    <t>CD-9060/2020</t>
  </si>
  <si>
    <t>2020NE000609</t>
  </si>
  <si>
    <t>CD-9052/2020</t>
  </si>
  <si>
    <t>2020NE000610</t>
  </si>
  <si>
    <t>PAGAMENTO DE INSCRIÇÃO DE SERVIDORES PARA PARTICIPAÇÃO EM CURSOS NA MODALIDADEA DISTÂNCIA.  A REGULARIDADE FISCAL/TRABALHISTA  DEVERÁ SER MANTIDA  DURANTE AVIGÊNCIA DA CONTRATAÇÃO SOB PENA DE MULTA DE 1% DO VALOR DA NOTA FISCAL.</t>
  </si>
  <si>
    <t>CD-9061/2020</t>
  </si>
  <si>
    <t>2020NE000611</t>
  </si>
  <si>
    <t>2020NE000612</t>
  </si>
  <si>
    <t>INSTITUTO TRIADE CAPACITACAO E CONSULTORIA LTDA (36900945000107)</t>
  </si>
  <si>
    <t>PAGAMENTO DE INSCRIÇÃO DE SERVIDORA PARA PARTICIPAÇÃO EM CURSO NA MODALIDADE ADISTÂNCIA.  A REGULARIDADE FISCAL/TRABALHISTA DEVERÁ SER MANTIDA DURANTE A VI-GÊNCIA DA CONTRATAÇÃO SOB PENA DE MULTA DE 1% DO VALOR DA NOTA FISCAL.</t>
  </si>
  <si>
    <t>CD-9079/2020</t>
  </si>
  <si>
    <t>2020NE000613</t>
  </si>
  <si>
    <t>PRO ART INDUSTRIA E COMERCIO DE PRODUTOS METALURGICOS (04089493000139)</t>
  </si>
  <si>
    <t>AQUISIÇÃO DE  MATERIAL DESTINADO À PREVENÇÃO DO CONTÁGIO DO NOVO CORONAVÍRUS -COVID-19. A REGULARIDADE FISCAL E TRABALHISTA DEVERÁ SER MANTIDA DURANTE A VI-GÊNCIA DA CONTRATAÇÃO SOB PENA DE MULTA DE 1% DO VALOR DA NF.% DO VALOR DA NF.</t>
  </si>
  <si>
    <t>CD-8834/2020</t>
  </si>
  <si>
    <t>2020NE000614</t>
  </si>
  <si>
    <t>AQUISIÇÃO DE  MATERIAL DESTINADO À PREVENÇÃO DO CONTÁGIO DO NOVO CORONAVÍRUS -COVID-19. A REGULARIDADE FISCAL E TRABALHISTA DEVERÁ SER MANTIDA DURANTE A VI-GÊNCIA DA CONTRATAÇÃO SOB PENA DE MULTA DE 1% DO VALOR DA NF.</t>
  </si>
  <si>
    <t>2020NE000615</t>
  </si>
  <si>
    <t>METAQUIMICA PRODUTOS LTDA (07056011000132)</t>
  </si>
  <si>
    <t>2020NE000616</t>
  </si>
  <si>
    <t>2020NE000617</t>
  </si>
  <si>
    <t>BUNZL EQUIPAMENTOS PARA PROTECAO INDIVIDUAL LTDA (43854777000126)</t>
  </si>
  <si>
    <t>2020NE000618</t>
  </si>
  <si>
    <t>CONTRATAÇÃO DE CURSO DE DESENVOLVIMENTO DE FUTUROS LÍDERES, NA MODALIDADE EAD.A REGULARIDADE FISCAL E TRABALHISTA  DEVERÁ SER MANTIDA DURANTE  A VIGÊNCIA DACONTRATAÇÃO SOB PENA DE RETENÇÃO E EXECUÇÃO DA MULTA DE 1% DO VALOR DA N.F.</t>
  </si>
  <si>
    <t>CD-8992/2020</t>
  </si>
  <si>
    <t>2020NE000619</t>
  </si>
  <si>
    <t>FORUM NACIONAL DE COMUNICACAO E JUSTICA (05569714000139)</t>
  </si>
  <si>
    <t>PAGAMENTO DE INSCRIÇÃO DE SERVIDORA PARA PARTICIPAÇÃO EM EVENTO NA MODALIDADE A DISTÂNCIA. A REGULARIDADE FISCAL E TRABALHISTA DEVERÁ SER MANTIDA DURANTE A VIGÊNCIA DA CONTRATAÇÃO SOB PENA DE MULTA DE 1% DO VALOR DA NOTA FISCAL.</t>
  </si>
  <si>
    <t>CD-9085/2020</t>
  </si>
  <si>
    <t>2020NE000620</t>
  </si>
  <si>
    <t>ZENITE INFORMACAO E CONSULTORIA S/A (86781069000115)</t>
  </si>
  <si>
    <t>RENOVAÇÃO DA ASSINATURA DO WEB LICITAÇÕES E CONTRATOS DA EMPRESA ZÊNITE INFOR-MAÇÃO E CONSULTORIA S/A  PELO PERÍODO DE 12 MESES. REGULARIDADE  FISCAL/TRABA-LHISTA DEVE SER MANTIDA DURANTE CONTRATO SOB PENA DE MULTA DE 1%  VALOR DA NF.</t>
  </si>
  <si>
    <t>CD-9090/2020</t>
  </si>
  <si>
    <t>2020NE000621</t>
  </si>
  <si>
    <t>2020NE000622</t>
  </si>
  <si>
    <t>REFORÇO PARA  ATENDIMENTO DAS DESPESAS  AUTORIZADAS NA DECISÃO  DOC. 177 DESTEPROCESSO.</t>
  </si>
  <si>
    <t>2020NE000623</t>
  </si>
  <si>
    <t>AQUISIÇÃO DE FITA PARA  MARCAÇÃO DE PISO.  MULTA MORA 0,3%/DIA,  LIM. 30 DIAS;APÓS, TAMBÉM SERÁ  APLICADA MULTA POR  INEXECUÇÃO DE 10% DO  VALOR DO  OBJETO;NA AUSÊNCIA DE REGULARIDADE FISCAL/TRABALHISTA, MULTA DE 1% DO VALOR N.FISCAL.</t>
  </si>
  <si>
    <t>CD-9241/2020</t>
  </si>
  <si>
    <t>2020NE000624</t>
  </si>
  <si>
    <t>IMPRESSÃO DA EDIÇÃO 32 DA REVISTA DA ESCOLA JUDICIAL DO TRT DA 12ª REGIÃO, ANO2020. A REGULARIDADE FISCAL/TRABALHISTA DEVERÁ SER  MANTIDA DURANTE A VIGÊNCIADA CONTRATAÇÃO SOB PENA DE MULTA DE 1% DO VALOR DA NOTA FISCAL.</t>
  </si>
  <si>
    <t>CD-9249/2019</t>
  </si>
  <si>
    <t>2020NE000625</t>
  </si>
  <si>
    <t>2020NE000626</t>
  </si>
  <si>
    <t>2020NE000627</t>
  </si>
  <si>
    <t>SENIOR SISTEMAS S/A (80680093000181)</t>
  </si>
  <si>
    <t>CONTRATAÇÃO DE SOLUÇÃO QUE COMPREENDA A ATUALIZAÇÃO E SUPORTE TÉCNICO DO SIS- TEMA DE SOFTWARES DE SEGURANÇA.</t>
  </si>
  <si>
    <t>2020NE000628</t>
  </si>
  <si>
    <t>2020NE000629</t>
  </si>
  <si>
    <t>2020NE000630</t>
  </si>
  <si>
    <t>2020NE000631</t>
  </si>
  <si>
    <t>2020NE000632</t>
  </si>
  <si>
    <t>AQUISIÇÃO DE  LICENÇAS  G SUITE  ENTERPRISE  PARA VIABILIZAR  A REALIZAÇÃO  DEAUDIÊNCIAS  TELEPRESENCIAIS.</t>
  </si>
  <si>
    <t>CD-9018/2020</t>
  </si>
  <si>
    <t>2020NE000633</t>
  </si>
  <si>
    <t>2020NE000634</t>
  </si>
  <si>
    <t>(IP PAAC 15335) AQUISIÇÃO DE  LICENÇAS  G SUITE ENTERPRISE  PARA VIABILIZAR  AREALIZAÇÃO DE AUDIÊNCIAS TELEPRESENCIAIS.</t>
  </si>
  <si>
    <t>2020NE000635</t>
  </si>
  <si>
    <t>FATURAS VENCIDAS DE ENERGIA ELÉTRICA DO IMÓVEL QUE ABRIGARÁ A NOVA SEDE DA VA-RA DO TRABALHO DE CANOINHAS.</t>
  </si>
  <si>
    <t>CD-9412/2020</t>
  </si>
  <si>
    <t>2020NE000636</t>
  </si>
  <si>
    <t>TRIBUNAL REGIONAL DO TRABALHO DA 12ª REGIAO (PF1080013)</t>
  </si>
  <si>
    <t>PRECATÓRIOS DA ADMINISTRAÇÃO DIRETA OU ORGÃO EXTINTO  - UG: 170013  -         GESTÃO: 00001 - SETORIAL ORÇAMENTÁRIA E FINANCEIRA/ME - 2020NC800090.</t>
  </si>
  <si>
    <t>PROAD-6304/2019</t>
  </si>
  <si>
    <t>2020NE000637</t>
  </si>
  <si>
    <t>PRECATÓRIOS DA AUTARQUIA OU AUTARQUIA ESPECIAL - UG: 443032 - GESTÃO: 44207 - INSTITUTO CHICO MENDES DE CONSER. DA BIODIVERSIDADE - 2020NC800004.</t>
  </si>
  <si>
    <t>2020NE000638</t>
  </si>
  <si>
    <t>PRECATÓRIOS DA AUTARQUIA OU AUTARQUIA ESPECIAL - UG: 393003 - GESTÃO: 39252 - DEPART. NAC. INFRA ESTRUTURA TRANSPORTES - 2020NC800009.</t>
  </si>
  <si>
    <t>2020NE000639</t>
  </si>
  <si>
    <t>PRECATÓRIOS DA AUTARQUIA OU AUTARQUIA ESPECIAL - UG: 158125 - GESTÃO: 26422 - INSTITUTO FEDERAL DE EDUCAÇÃO, CIÊNCIA E TEC. CATARINENSE - 2020NC800002.</t>
  </si>
  <si>
    <t>2020NE000640</t>
  </si>
  <si>
    <t>ID PAAC 15039 - REFORÇO.</t>
  </si>
  <si>
    <t>2020NE000641</t>
  </si>
  <si>
    <t>CASA DO POVO TECIDOS E CONFECCOES LTDA (83715003000309)</t>
  </si>
  <si>
    <t>TECIDO PARA ESTÚDIO DA SECRETARIA DE COMUNICAÇÃO SOCIAL.  MULTA MORA 0,3%/DIA,LIM.10%; CASO ATRASO SUPERIOR A 34 DIAS, MULTA INEXECUÇÃO: PARCIAL, 5%; TOTAL,10%; AUSÊNCIA REGULARIDADE FISCAL/TRABALHISTA: MULTA 1% VALOR NF.</t>
  </si>
  <si>
    <t>CD-9448/2020</t>
  </si>
  <si>
    <t>2020NE000642</t>
  </si>
  <si>
    <t>2020NE000643</t>
  </si>
  <si>
    <t>DOUGLAS DE ABREU (85252633000140)</t>
  </si>
  <si>
    <t>2020NE000644</t>
  </si>
  <si>
    <t>2020NE000645</t>
  </si>
  <si>
    <t>ARP 12/2019 - TRT12 - AQUISIÇÃO DE MATERIAIS DE LIMPEZA E HIGIENE PARA ABASTE-CIMENTO DO ALMOXARIFADO NO EXERCÍCIO 2020.</t>
  </si>
  <si>
    <t>2020NE000646</t>
  </si>
  <si>
    <t>MAYCON WILL EIRELI (18712730000180)</t>
  </si>
  <si>
    <t>ARP 16/2019 - TRT12 - AQUISIÇÃO DE MATERIAIS DE LIMPEZA E HIGIENE PARA ABASTE-CIMENTO DO ALMOXARIFADO NO EXERCÍCIO 2020.</t>
  </si>
  <si>
    <t>2020NE000647</t>
  </si>
  <si>
    <t>VOA COMERCIO ATACADISTA DE PRODUTOS ALIMENTICIOS EIRELI (29303183000104)</t>
  </si>
  <si>
    <t>ARP 19/2019 - TRT12 - AQUISIÇÃO DE MATERIAIS DE LIMPEZA E HIGIENE PARA ABASTE-CIMENTO DO ALMOXARIFADO NO EXERCÍCIO 2020.</t>
  </si>
  <si>
    <t>2020NE000648</t>
  </si>
  <si>
    <t>2020NE000649</t>
  </si>
  <si>
    <t>2020NE000650</t>
  </si>
  <si>
    <t>2020NE000651</t>
  </si>
  <si>
    <t>(ID PAAC 15055) REFORÇO.</t>
  </si>
  <si>
    <t>2020NE000652</t>
  </si>
  <si>
    <t>PRAIANA COMERCIO DE PRODUTOS HOSPITALARES LTDA (82858903000849)</t>
  </si>
  <si>
    <t>PNEUS PARA INSTALAÇÃO EM CADEIRAS DE RODAS. A REGULARIDADE FISCAL E TRABALHIS-TA DEVERÁ SER MANTIDA DURANTE A VIGÊNCIA DA CONTRATAÇÃO SOB PENA DE RETENÇÃO EEXECUÇÃO DA MULTA DE 1% DO VALOR DA NOTA FISCAL.</t>
  </si>
  <si>
    <t>CD-9532/2020</t>
  </si>
  <si>
    <t>2020NE000653</t>
  </si>
  <si>
    <t>INSTALAÇÃO DE PNEUS EM CADEIRAS DE RODAS.  A REGULARIDADE FISCAL E TRABALHISTADEVERÁ SER  MANTIDA DURANTE A VIGÊNCIA DA  CONTRATAÇÃO SOB  PENA DE RETENÇÃO EEXECUÇÃO DA MULTA DE 1% DO VALOR DA NOTA FISCAL.</t>
  </si>
  <si>
    <t>2020NE000654</t>
  </si>
  <si>
    <t>TAXA DE PREVENÇÃO CONTRA SINISTRO/ PROVIDÊNCIAS DE SEGURANÇA CONTRA INCÊNDIO EPÂNICO - VT CURITIBANOS - EXERCÍCIO 2020.</t>
  </si>
  <si>
    <t>CD-9562/2020</t>
  </si>
  <si>
    <t>2020NE000655</t>
  </si>
  <si>
    <t>TAXA DE PREVENÇÃO CONTRA SINISTRO/ PROVIDÊNCIAS DE SEGURANÇA CONTRA INCÊNDIO EPÂNICO - VT CONCÓRDIA - EXERCÍCIO 2020.</t>
  </si>
  <si>
    <t>2020NE000656</t>
  </si>
  <si>
    <t>CONTRATAÇÃO DE EMPRESA PARA FORNECIMENTO DE PEÇAS PARA MANUTENÇÃO CORRETIVA DESCANNER DE INSPEÇÃO DE BAGAGENS CX6040, COM MÃO DE OBRA INCLUSA, PATRIMÔNIO Nº90653, INSTALADO NO PRÉDIO SEDE DO TRT12.</t>
  </si>
  <si>
    <t>CD-8934/2020</t>
  </si>
  <si>
    <t>2020NE000657</t>
  </si>
  <si>
    <t>2020NE000658</t>
  </si>
  <si>
    <t>INTEGRATIVE SAUDE LTDA (37801525000136)</t>
  </si>
  <si>
    <t>PALESTRA ONLINE SOBRE  A INFLUÊNCIA DA  ALIMENTAÇÃO NOS  EXERCÍCIOS FÍSICOS. AREGULARIDADE FISCAL  E TRABALHISTA  DEVERÁ SER MANTIDA  DURANTE A  VIGÊNCIA DACONTRATAÇÃO SOB PENA DE MULTA DE 1% DO VALOR DA NOTA FISCAL.</t>
  </si>
  <si>
    <t>CD-9578/2020</t>
  </si>
  <si>
    <t>2020NE000659</t>
  </si>
  <si>
    <t>2020NE000660</t>
  </si>
  <si>
    <t>2020NE000661</t>
  </si>
  <si>
    <t>2020NE000662</t>
  </si>
  <si>
    <t>2020NE000663</t>
  </si>
  <si>
    <t>SERVIÇO DE RECEPCIONISTA  NAS UNIDADES DO TRT12 PARA  AUXILIAR NA PREVENÇÃO DOCONTÁGIO DO  COVID-19, EM  VIRTUDE DO IMINENTE RETORNO  DAS ATIVIDADES PRESEN-CIAIS E ATENDIMENTO AO PÚBLICO.</t>
  </si>
  <si>
    <t>CD-9619/2020</t>
  </si>
  <si>
    <t>2020NE000664</t>
  </si>
  <si>
    <t>SANITIZAÇÃO PARA  TODAS AS UNIDADES  DO TRT 12, PARA AUXILIAR  NA PREVENÇÃO DOCOVID-19, VISANDO A RETOMADA DOS SERVIÇOS PRESENCIAIS.</t>
  </si>
  <si>
    <t>CD-9671/2020</t>
  </si>
  <si>
    <t>2020NE000665</t>
  </si>
  <si>
    <t>MUNICIPIO DE SAO BENTO DO SUL (86051398000100)</t>
  </si>
  <si>
    <t>TAXA DE PREVENÇÃO CONTRA SINISTRO/ PROVIDÊNCIAS DE SEGURANÇA CONTRA INCÊNDIO EPÂNICO - VT SÃO BENTO DO SUL - EXERCÍCIO 2020.</t>
  </si>
  <si>
    <t>CD-9734/2020</t>
  </si>
  <si>
    <t>2020NE000666</t>
  </si>
  <si>
    <t>MUNICIPIO DE ITAJAI (83102277000152)</t>
  </si>
  <si>
    <t>TAXA DE PREVENÇÃO CONTRA SINISTRO/PROVIDÊNCIAS DE SEGURANÇA CONTRA INCÊNDIO E PÂNICO - FT ITAJAÍ - EXERCÍCIO 2020.</t>
  </si>
  <si>
    <t>2020NE000667</t>
  </si>
  <si>
    <t>MARCELO TANDLER PAES CORDEIRO (25400688802)</t>
  </si>
  <si>
    <t>REEMBOLSO DE DESPESAS AO JUIZ SUBSTITUTO MARCELO TANDLER PAES CORDEIRO.</t>
  </si>
  <si>
    <t>CD-9725/2020</t>
  </si>
  <si>
    <t>2020NE000668</t>
  </si>
  <si>
    <t>EFL SILVA MANUTENCAO DE NO-BREAKS E GERADORES (24798024000104)</t>
  </si>
  <si>
    <t>SERVIÇOS CONTINUADOS DE  MANUTENÇÃO PREVENTIVA E CORRETIVA PARA  GRUPO GERADORHEIMER INSTALADO NO PRÉDIO SEDE DESTE REGIONAL.</t>
  </si>
  <si>
    <t>PRE-7462/2020</t>
  </si>
  <si>
    <t>2020NE000669</t>
  </si>
  <si>
    <t>KRAFTE ENGENHARIA E AUTOMACAO LTDA (27570569000149)</t>
  </si>
  <si>
    <t>SERVIÇOS CONTINUADOS DE  MANUTENÇÃO PREVENTIVA E CORRETIVA PARA  GRUPO GERADORHEIMER INSTALADO NO FÓRUM TRABALHISTA DE JOINVILLE.</t>
  </si>
  <si>
    <t>2020NE000670</t>
  </si>
  <si>
    <t>PEÇAS PARA MANUTENÇÃO PREVENTIVA E CORRETIVA EM GRUPO GERADOR HEIMER INSTALADONO PRÉDIO SEDE DESTE REGIONAL.</t>
  </si>
  <si>
    <t>2020NE000671</t>
  </si>
  <si>
    <t>PEÇAS PARA MANUTENÇÃO PREVENTIVA E CORRETIVA EM GRUPO GERADOR HEIMER INSTALADONO FÓRUM TRABALHISTA DE JOINVILLE.</t>
  </si>
  <si>
    <t>2020NE000672</t>
  </si>
  <si>
    <t>2020NE000673</t>
  </si>
  <si>
    <t>2020NE000674</t>
  </si>
  <si>
    <t>NIENKOTTER ADMINISTRADORA DE BENS LTDA. (07769256000107)</t>
  </si>
  <si>
    <t>RESSARCIMENTO DECORRENTE DO  AJUSTE PRÉVIO DE DESOCUPAÇÃO DO IMÓVEL SITUADO NARUA DOM PEDRO II, 67, CAPOEIRAS, FLORIANÓPOLIS-SC, CEP 88090-840.</t>
  </si>
  <si>
    <t>2020NE000675</t>
  </si>
  <si>
    <t>2020NE000676</t>
  </si>
  <si>
    <t>CURVAO CONFECCOES DE ROUPAS E SERIGRAFIA LTDA (02028784000191)</t>
  </si>
  <si>
    <t>AQUISIÇÃO DE MATERIAL DESTINADO À PREVENÇÃO DO CONTÁGIO DO NOVO CORONAVÍRUS - COVID-19. A REGULARIDADE FISCAL E TRABALHISTA DEVERÁ SER MANTIDA DURANTE A VI-GÊNCIA DA CONTRATAÇÃO SOB PENA DE MULTA DE 1% DO VALOR DA NF.</t>
  </si>
  <si>
    <t>2020NE000677</t>
  </si>
  <si>
    <t>2020NE000678</t>
  </si>
  <si>
    <t>2020NE000679</t>
  </si>
  <si>
    <t>TRADERS SERVICE COMERCIO DE EQUIPAMENTOS DE INFORMATICA (10923494000130)</t>
  </si>
  <si>
    <t>AQUISIÇÃO DE KIT DE FERRAMENTA SEM FIO PARA MANUTENÇÃO DE CÂMERAS CFTV. A RE- GULARIDADE FISCAL E TRABALHISTA DEVERÁ SER MANTIDA DURANTE A VIGÊNCIA DA CON- TRATAÇÃO SOB PENA DE RETENÇÃO E EXECUÇÃO DA MULTA DE 1% DO VALOR DA N. FISCAL.</t>
  </si>
  <si>
    <t>CD-9834/2020</t>
  </si>
  <si>
    <t>2020NE000680</t>
  </si>
  <si>
    <t>2020NE000681</t>
  </si>
  <si>
    <t>DESPESA DE EXERCÍCIO ANTERIOR REFERENTE INDENIZAÇÃO DE TRANSPORTE AO SERVIDOR OFICIAL DE JUSTIÇA OSMAR AGUIAR. NOVEMBRO/2019.</t>
  </si>
  <si>
    <t>PROAD-10089/2020</t>
  </si>
  <si>
    <t>2020NE000682</t>
  </si>
  <si>
    <t>(ID PAAC 15220) MANUTENÇÃO PREVENTIVA E CORRETIVA,  COM FORNECIMENTO DE PEÇAS,EM NOBREAKS INSTALADOS NOS  FÓRUNS TRABALHISTAS DE  ITAJAÍ,  JOINVILLE, LAGES,CRICIÚMA E CHAPECÓ.</t>
  </si>
  <si>
    <t>2020NE000683</t>
  </si>
  <si>
    <t>VIVIAN MARIA CAXAMBU GRAMINHO (80728383004)</t>
  </si>
  <si>
    <t>CONTRATAÇÃO DE PROFISSIONAL PARA MINISTRAR AULA TELEPRESENCIAL NO CURSO DIREI-TOS DA PERSONALIDADE DO TRABALHADOR. A REGULARIDADE FISCAL E TRABALHISTA DEVE-RÁ SER MANTIDA DURANTE A CONTRATAÇÃO SOB PENA DE MULTA DE 1% DO VALOR DA NF.</t>
  </si>
  <si>
    <t>CD-10187/2020</t>
  </si>
  <si>
    <t>2020NE000684</t>
  </si>
  <si>
    <t>MVS CARTUCHOS EIRELI (09358717000184)</t>
  </si>
  <si>
    <t>ARP 24/2019 - TRT12.  SUPRIMENTOS DE  IMPRESSÃO PARA  REPOSIÇÃO DE ESTOQUES DOALMOXARIFADO PARA O EXERCÍCIO 2020.</t>
  </si>
  <si>
    <t>2020NE000685</t>
  </si>
  <si>
    <t>ARP 25/2019 - TRT12.  SUPRIMENTOS DE  IMPRESSÃO PARA  REPOSIÇÃO DE ESTOQUES DOALMOXARIFADO PARA O EXERCÍCIO 2020.</t>
  </si>
  <si>
    <t>2020NE000686</t>
  </si>
  <si>
    <t>ARP 28/2019 - TRT12.  SUPRIMENTOS DE  IMPRESSÃO PARA  REPOSIÇÃO DE ESTOQUES DOALMOXARIFADO PARA O EXERCÍCIO 2020.</t>
  </si>
  <si>
    <t>2020NE000687</t>
  </si>
  <si>
    <t>LOJA COND EQUIPAMENTOS PARA CONDOMINIOS LTDA (19704009000101)</t>
  </si>
  <si>
    <t>AQUISIÇÃO DE CAPAS PROTETORAS PLÁSTICAS PARA  BOTOEIRAS DAS CABINES DOS ELEVA-DORES DE DIVERSAS UNIDADES JUDICIÁRIAS. REGULARIDADE FISCAL/TRABALHISTA DEVERÁSER MANTIDA DURANTE A CONTRATAÇÃO SOB PENA DE MULTA DE 1% DO VALOR DA N.FISCAL</t>
  </si>
  <si>
    <t>CD-10200/2020</t>
  </si>
  <si>
    <t>2020NE000688</t>
  </si>
  <si>
    <t>MWM COMERCIO DE MATERIAIS LTDA (12071451000107)</t>
  </si>
  <si>
    <t>AQUISIÇÃO DE  EQUIPAMENTOS DE  PROTEÇÃO  INDIVIDUAL PARA  USO DOS  AGENTES  DESEGURANÇA.  A REGULARIDADE FISCAL E  TRABALHISTA DEVERÁ SER  MANTIDA DURANTE AVIGÊNCIA DA  CONTRATAÇÃO SOB  PENA DE  MULTA DE  1% DO VALOR  DA NOTA  FISCAL.</t>
  </si>
  <si>
    <t>CD-10223/2020</t>
  </si>
  <si>
    <t>2020NE000689</t>
  </si>
  <si>
    <t>2020NE000690</t>
  </si>
  <si>
    <t>2020NE000691</t>
  </si>
  <si>
    <t>2019NE001071</t>
  </si>
  <si>
    <t>ALEX ANDERSON GOULART (34678112000118)</t>
  </si>
  <si>
    <t>CANCELAMENTO DE RESTOS A PAGAR</t>
  </si>
  <si>
    <t>CD-13358/2019</t>
  </si>
  <si>
    <t>2020NE000692</t>
  </si>
  <si>
    <t>DISKTONER COPIADORAS E IMPRESSORAS EIRELI (04731983000197)</t>
  </si>
  <si>
    <t>SUPRIMENTOS DE IMPRESSÃO PARA REPOSIÇÃO DO ESTOQUE DO ALMOXARIFADO.  A REGULA-RIDADE FISCAL E TRABALHISTA DEVERÁ SER MANTIDA DURANTE A VIGÊNCIA DA CONTRATA-ÇÃO SOB PENA DE RETENÇÃO E EXECUÇÃO DA MULTA DE 1% DO VALOR DA NOTA FISCAL.</t>
  </si>
  <si>
    <t>CD-10236/2020</t>
  </si>
  <si>
    <t>2020NE000693</t>
  </si>
  <si>
    <t>X COMP INFORMATICA EIRELI (22576095000129)</t>
  </si>
  <si>
    <t>2020NE000694</t>
  </si>
  <si>
    <t>SULSISTEM DIGITAL LTDA (94474152000170)</t>
  </si>
  <si>
    <t>2020NE000695</t>
  </si>
  <si>
    <t>ALEXANDRE KOENIG S THIAGO (81225121949)</t>
  </si>
  <si>
    <t>REEMBOLSO DE DESPESA A SERVIDOR DECORRENTE DE VIAGEM POR NECESSIDADE DE SERVI-ÇO.</t>
  </si>
  <si>
    <t>CD-10265/2020</t>
  </si>
  <si>
    <t>2020NE000696</t>
  </si>
  <si>
    <t>2020NE000697</t>
  </si>
  <si>
    <t>2020NE000698</t>
  </si>
  <si>
    <t>2020NE000699</t>
  </si>
  <si>
    <t>2020NE000700</t>
  </si>
  <si>
    <t>UNIVERSO CURSOS JURIDICOS LTDA (35092429000130)</t>
  </si>
  <si>
    <t>INSCRIÇÃO DE SERVIDOR EM CURSO NA MODALIDADE A DISTÂNCIA.  A REGULARIDADE FIS-CAL E TRABALHISTA  DEVERÁ SER MANTIDA  DURANTE A VIGÊNCIA  DA CONTRATAÇÃO  SOBPENA DE RETENÇÃO E EXECUÇÃO DA MULTA DE 1% DO VALOR DA NOTA FISCAL.</t>
  </si>
  <si>
    <t>CD-10281/2020</t>
  </si>
  <si>
    <t>2020NE000701</t>
  </si>
  <si>
    <t>JRC SOLUCOES E TREINAMENTOS LTDA (24743324000188)</t>
  </si>
  <si>
    <t>CD-10272/2020</t>
  </si>
  <si>
    <t>2020NE000702</t>
  </si>
  <si>
    <t>2020NE000703</t>
  </si>
  <si>
    <t>FUNREBOM - FUNDO MUNICIPAL DE REEQUIPAMENTO DO CORPO DE (78502598000104)</t>
  </si>
  <si>
    <t>TAXA DE PREVENÇÃO CONTRA SINISTRO/ PROVIDÊNCIAS DE SEGURANÇA CONTRA INCÊNDIO EPÂNICO - VT JOAÇABA - EXERCÍCIO 2020.</t>
  </si>
  <si>
    <t>CD-10307/2020</t>
  </si>
  <si>
    <t>2020NE000704</t>
  </si>
  <si>
    <t>MUNICIPIO DE INDAIAL (83102798000100)</t>
  </si>
  <si>
    <t>TAXA DE PREVENÇÃO CONTRA SINISTRO/ PROVIDÊNCIAS DE SEGURANÇA CONTRA INCÊNDIO EPÂNICO - VT INDAIAL - EXERCÍCIO 2020.</t>
  </si>
  <si>
    <t>2020NE000705</t>
  </si>
  <si>
    <t>MUNICIPIO DE FRAIBURGO (82947979000174)</t>
  </si>
  <si>
    <t>TAXA DE PREVENÇÃO CONTRA SINISTRO/ PROVIDÊNCIAS DE SEGURANÇA CONTRA INCÊNDIO EPÂNICO - VT FRAIBURGO - EXERCÍCIO 2020.</t>
  </si>
  <si>
    <t>2020NE000706</t>
  </si>
  <si>
    <t>2020NE000707</t>
  </si>
  <si>
    <t>2020NE000708</t>
  </si>
  <si>
    <t>MANUTENÇÃO SUBESTAÇÕES DE ENERGIA - PRÉDIO SEDE E FT FLORIANÓPOLIS. MULTA MORA0,3%/DIA, LIM.10%;  CASO ATRASO SUPERIOR A 34 DIAS, MULTA INEXECUÇÃO: PARCIAL,5%; TOTAL, 10%;  AUSÊNCIA REGULARIDADE FISCAL/TRABALHISTA:  MULTA 1% VALOR NF.</t>
  </si>
  <si>
    <t>CD-10318/2020</t>
  </si>
  <si>
    <t>2020NE000709</t>
  </si>
  <si>
    <t>2020NE000710</t>
  </si>
  <si>
    <t>2020NE000711</t>
  </si>
  <si>
    <t>CENTRO MEDIAR &amp; CONCILIAR TREINAMENTO E GESTAO LTDA (22860538000109)</t>
  </si>
  <si>
    <t>INSCRIÇÃO DE SERVIDORA EM CURSO NA MODALIDADE A DISTÂNCIA. A REGULARIDADE FIS-CAL E TRABALHISTA  DEVERÁ SER MANTIDA  DURANTE A VIGÊNCIA  DA CONTRATAÇÃO  SOBPENA DE RETENÇÃO E EXECUÇÃO DA MULTA DE 1% DO VALOR DA NOTA FISCAL.</t>
  </si>
  <si>
    <t>CD-10338/2020</t>
  </si>
  <si>
    <t>2020NE000712</t>
  </si>
  <si>
    <t>RAMALHO NEY SERVICOS EDUCACIONAIS LTDA (29637382000140)</t>
  </si>
  <si>
    <t>INSCRIÇÃO DE  SERVIDORES EM  CURSO NA MODALIDADE  A DISTÂNCIA.  A REGULARIDADEFISCAL E TRABALHISTA DEVERÁ SER MANTIDA DURANTE A VIGÊNCIA  DA CONTRATAÇÃO SOBPENA DE RETENÇÃO E EXECUÇÃO DA MULTA DE 1% DO VALOR DA NOTA FISCAL.</t>
  </si>
  <si>
    <t>CD-10340/2020</t>
  </si>
  <si>
    <t>2020NE000713</t>
  </si>
  <si>
    <t>2020NE000714</t>
  </si>
  <si>
    <t>SERVIÇOS TERCEIRIZADOS DE  LIMPEZA, CONSERVAÇÃO PREDIAL,  LAVAÇÃO DE VEÍCULOS,LIMPEZA DE PÁTIOS E JARDINS,  RECEPÇÃO, COPEIRAGEM E GARÇONS NO TRT12 NO EXER-CÍCIO 2020.</t>
  </si>
  <si>
    <t>2020NE000715</t>
  </si>
  <si>
    <t>2020NE000716</t>
  </si>
  <si>
    <t>2020NE000717</t>
  </si>
  <si>
    <t>2020NE000718</t>
  </si>
  <si>
    <t>2020NE000719</t>
  </si>
  <si>
    <t>2020NE000720</t>
  </si>
  <si>
    <t>2020NE000721</t>
  </si>
  <si>
    <t>2020NE000722</t>
  </si>
  <si>
    <t>2020NE000723</t>
  </si>
  <si>
    <t>2020NE000724</t>
  </si>
  <si>
    <t>2020NE000725</t>
  </si>
  <si>
    <t>2020NE000726</t>
  </si>
  <si>
    <t>2020NE000727</t>
  </si>
  <si>
    <t>2020NE000728</t>
  </si>
  <si>
    <t>2020NE000729</t>
  </si>
  <si>
    <t>2020NE000730</t>
  </si>
  <si>
    <t>2020NE000731</t>
  </si>
  <si>
    <t>CD-10379/2020</t>
  </si>
  <si>
    <t>2020NE000732</t>
  </si>
  <si>
    <t>2020NE000733</t>
  </si>
  <si>
    <t>TRINDADE AMADO PRODUCAO CIENTIFICA LTDA (11810069000105)</t>
  </si>
  <si>
    <t>CD-10404/2020</t>
  </si>
  <si>
    <t>2020NE000734</t>
  </si>
  <si>
    <t>CD-10400/2020</t>
  </si>
  <si>
    <t>2020NE000735</t>
  </si>
  <si>
    <t>CD-10409/2020</t>
  </si>
  <si>
    <t>2020NE000736</t>
  </si>
  <si>
    <t>TAXA DE PREVENÇÃO CONTRA SINISTRO/ PROVIDÊNCIAS DE SEGURANÇA CONTRA INCÊNDIO EPÂNICO - VT XANXERÊ - EXERCÍCIO 2020.</t>
  </si>
  <si>
    <t>CD-10505/2020</t>
  </si>
  <si>
    <t>2020NE000737</t>
  </si>
  <si>
    <t>2020NE000738</t>
  </si>
  <si>
    <t>BATERIAS CHAPECO LTDA (19038316000109)</t>
  </si>
  <si>
    <t>BATERIAS 12V - 5AH PARA NOBREAKS APC SURT8000XLI E SURT15KRMXLI.</t>
  </si>
  <si>
    <t>PRE-9021/2020</t>
  </si>
  <si>
    <t>2020NE000739</t>
  </si>
  <si>
    <t>2020NE000740</t>
  </si>
  <si>
    <t>(ID PAAC 15233) BATERIAS 12V/5AH PARA NOBREAKS APC SURT8000XLI E SURT15KRMXLI.</t>
  </si>
  <si>
    <t>2020NE000741</t>
  </si>
  <si>
    <t>2020NE000742</t>
  </si>
  <si>
    <t>2020NE000743</t>
  </si>
  <si>
    <t>2020NE000744</t>
  </si>
  <si>
    <t>2020NE000745</t>
  </si>
  <si>
    <t>2020NE000746</t>
  </si>
  <si>
    <t>2020NE000747</t>
  </si>
  <si>
    <t>2020NE000748</t>
  </si>
  <si>
    <t>2020NE000749</t>
  </si>
  <si>
    <t>2020NE000750</t>
  </si>
  <si>
    <t>2020NE000751</t>
  </si>
  <si>
    <t>2020NE000752</t>
  </si>
  <si>
    <t>2020NE000753</t>
  </si>
  <si>
    <t>2020NE000754</t>
  </si>
  <si>
    <t>2020NE000755</t>
  </si>
  <si>
    <t>2020NE000756</t>
  </si>
  <si>
    <t>2020NE000757</t>
  </si>
  <si>
    <t>2020NE000758</t>
  </si>
  <si>
    <t>2020NE000759</t>
  </si>
  <si>
    <t>2020NE000760</t>
  </si>
  <si>
    <t>2020NE000761</t>
  </si>
  <si>
    <t>2020NE000762</t>
  </si>
  <si>
    <t>SENTENÇAS DE PEQUENO VALOR - OFÍCIO SEGEP/NUPRE Nº 802 - PROAD-10185/2020.</t>
  </si>
  <si>
    <t>PROAD-10185/2020</t>
  </si>
  <si>
    <t>2020NE000763</t>
  </si>
  <si>
    <t>2020NE000764</t>
  </si>
  <si>
    <t>2020NE000765</t>
  </si>
  <si>
    <t>2020NE000766</t>
  </si>
  <si>
    <t>2020NE000767</t>
  </si>
  <si>
    <t>2020NE000768</t>
  </si>
  <si>
    <t>2020NE000769</t>
  </si>
  <si>
    <t>2020NE000770</t>
  </si>
  <si>
    <t>2020NE000771</t>
  </si>
  <si>
    <t>2020NE000772</t>
  </si>
  <si>
    <t>2020NE000773</t>
  </si>
  <si>
    <t>2020NE000774</t>
  </si>
  <si>
    <t>2020NE000775</t>
  </si>
  <si>
    <t>2020NE000776</t>
  </si>
  <si>
    <t>2020NE000777</t>
  </si>
  <si>
    <t>2020NE000778</t>
  </si>
  <si>
    <t>2020NE000779</t>
  </si>
  <si>
    <t>2020NE000780</t>
  </si>
  <si>
    <t>2020NE000781</t>
  </si>
  <si>
    <t>2020NE000782</t>
  </si>
  <si>
    <t>2020NE000783</t>
  </si>
  <si>
    <t>2020NE000784</t>
  </si>
  <si>
    <t>2020NE000785</t>
  </si>
  <si>
    <t>2020NE000786</t>
  </si>
  <si>
    <t>REFORÇO - ENCARGOS PATRONAIS - SEDUC.</t>
  </si>
  <si>
    <t>2020NE000787</t>
  </si>
  <si>
    <t>2020NE000788</t>
  </si>
  <si>
    <t>2020NE000789</t>
  </si>
  <si>
    <t>EUNICE MARIA GONCALVES DE OLIVEIRA (11311279000140)</t>
  </si>
  <si>
    <t>AQUISIÇÃO DE LIVROS PARA COMPOR E ATUALIZAR O ACERVO DA BIBLIOTECA DESTE RE-  GIONAL.</t>
  </si>
  <si>
    <t>CD-10925/2020</t>
  </si>
  <si>
    <t>2020NE000790</t>
  </si>
  <si>
    <t>2020NE000791</t>
  </si>
  <si>
    <t>AQUISIÇÃO DE LIVROS PARA  COMPOR E ATUALIZAR O ACERVO DA BIBLIOTECA DESTE RE- GIONAL. A REGULARIDADE FISCAL E TRABALHISTA DEVERÁ SER MANTIDA DURANTE A CON- TRATAÇÃO SOB PENA DE RETENÇÃO E EXECUÇÃO DA MULTA DE 1% DO VALOR DA N.FISCAL.</t>
  </si>
  <si>
    <t>2020NE000792</t>
  </si>
  <si>
    <t>2020NE000793</t>
  </si>
  <si>
    <t>2019NE000111</t>
  </si>
  <si>
    <t>2020NE000794</t>
  </si>
  <si>
    <t>2019NE000132</t>
  </si>
  <si>
    <t>2020NE000795</t>
  </si>
  <si>
    <t>2019NE000511</t>
  </si>
  <si>
    <t>CAPEMISA SEGURADORA DE VIDA E PREVIDENCIA S/A (08602745000132)</t>
  </si>
  <si>
    <t>CD-5214/2019</t>
  </si>
  <si>
    <t>2020NE000796</t>
  </si>
  <si>
    <t>2019NE000094</t>
  </si>
  <si>
    <t>2020NE000797</t>
  </si>
  <si>
    <t>2020NE000798</t>
  </si>
  <si>
    <t>2020NE000799</t>
  </si>
  <si>
    <t>2020NE000800</t>
  </si>
  <si>
    <t>AOVS SISTEMAS DE INFORMATICA S.A. (05555382000133)</t>
  </si>
  <si>
    <t>AQUISIÇÃO DE 37  LICENÇAS ROTATIVAS PARA ACESSO AOS CURSOS DA PLATAFORMA ALURADE ENSINO À DISTÂNCIA PARA CAPACITAÇÃO DE SERVIDORES DA SECRETARIA DE TECNOLO-GIA DA INFORMAÇÃO E COMUNICAÇÃO.</t>
  </si>
  <si>
    <t>CD-10389/2020</t>
  </si>
  <si>
    <t>2020NE000801</t>
  </si>
  <si>
    <t>EDITORA NOTICIAS DO DIA LTDA (00481841000168)</t>
  </si>
  <si>
    <t>ASSINATURA DO JORNAL NOTÍCIAS DO DIA PELO PERÍODO DE 12 MESES  (IMPRESSO E DI-GITAL). A REGULARIDADE FISCAL/TRABALHISTA DEVERÁ SER MANTIDA DURANTE A CONTRA-TAÇÃO SOB PENA DE MULTA DE 1% DO VALOR DA NOTA FISCAL.</t>
  </si>
  <si>
    <t>CD-11057/2020</t>
  </si>
  <si>
    <t>2020NE000802</t>
  </si>
  <si>
    <t>BAGGIO ARQUITETURA CONSULTORIA SS LTDA (94209145000140)</t>
  </si>
  <si>
    <t>PROJETOS, MEMORIAIS E ORÇAMENTO PARA A NOVA SEDE DO FT TUBARÃO, INCLUINDO CER-TIFICAÇÃO ENCE DO PROJETO.</t>
  </si>
  <si>
    <t>PRE-1192/2018</t>
  </si>
  <si>
    <t>2020NE000803</t>
  </si>
  <si>
    <t>2020NE000804</t>
  </si>
  <si>
    <t>2020NE000805</t>
  </si>
  <si>
    <t>2020NE000806</t>
  </si>
  <si>
    <t>2020NE000807</t>
  </si>
  <si>
    <t>REALFERMETAL SERRALHERIA EM ESQUADRILHA METALICA LTDA (03605966000140)</t>
  </si>
  <si>
    <t>FORNECIMENTO E INSTALAÇÃO DE GRADES INTERNAS  NOS EDIFÍCIOS QUE ABRIGAM OS FÓ-RUNS TRABALHISTAS DE JOINVILLE E CHAPECÓ.</t>
  </si>
  <si>
    <t>PRE-9493/2020</t>
  </si>
  <si>
    <t>2020NE000808</t>
  </si>
  <si>
    <t>FATURA DE ENERGIA ELÉTRICA - NOVA SEDE VT CANOINHAS - VENCIMENTO 20/11/2020.</t>
  </si>
  <si>
    <t>CD-11188/2020</t>
  </si>
  <si>
    <t>2020NE000809</t>
  </si>
  <si>
    <t>2020NE000810</t>
  </si>
  <si>
    <t>2020NE000811</t>
  </si>
  <si>
    <t>2020NE000812</t>
  </si>
  <si>
    <t>2020NE000813</t>
  </si>
  <si>
    <t>TAXA DE PREVENÇÃO CONTRA SINISTRO/ PROVIDÊNCIAS DE SEGURANÇA CONTRA INCÊNDIO EPÂNICO - FT RIO DO SUL - EXERCÍCIO 2020.</t>
  </si>
  <si>
    <t>CD-11216/2020</t>
  </si>
  <si>
    <t>2020NE000814</t>
  </si>
  <si>
    <t>MUNICIPIO DE MAFRA (83102509000172)</t>
  </si>
  <si>
    <t>TAXA DE PREVENÇÃO CONTRA SINISTRO/ PROVIDÊNCIAS DE SEGURANÇA CONTRA INCÊNDIO EPÂNICO - VT MAFRA - EXERCÍCIO 2020.</t>
  </si>
  <si>
    <t>2020NE000815</t>
  </si>
  <si>
    <t>TAXA DE VISTORIA  DE HABITE-SE DO  FT LAGES, PARA SUA  ADEQUAÇÃO ÀS  NORMAS DESEGURANÇA CONTRA INCÊNDIO E PÂNICO.</t>
  </si>
  <si>
    <t>CD-11222/2020</t>
  </si>
  <si>
    <t>2020NE000816</t>
  </si>
  <si>
    <t>2020NE000817</t>
  </si>
  <si>
    <t>2020NE000818</t>
  </si>
  <si>
    <t>DR SOLUTION - TECNOLOGIA DA INFORMACAO LTDA (14846286000135)</t>
  </si>
  <si>
    <t>PALESTRA SOBRE A  IMPORTÂNCIA DA SUPLEMENTAÇÃO  DA VITAMINA D.  A REGULARIDADEFISCAL E TRABALHISTA DEVERÁ SER MANTIDA DURANTE  A VIGÊNCIA DA CONTRATAÇÃO SOBPENA DE RETENÇÃO E EXECUÇÃO DA MULTA DE 1% DO VALOR DA NOTA FISCAL.</t>
  </si>
  <si>
    <t>CD-11291/2020</t>
  </si>
  <si>
    <t>2020NE000819</t>
  </si>
  <si>
    <t>2020NE000820</t>
  </si>
  <si>
    <t>2020NE000821</t>
  </si>
  <si>
    <t>2020NE000822</t>
  </si>
  <si>
    <t>2020NE000823</t>
  </si>
  <si>
    <t>2020NE000824</t>
  </si>
  <si>
    <t>2020NE000825</t>
  </si>
  <si>
    <t>2020NE000826</t>
  </si>
  <si>
    <t>2020NE000827</t>
  </si>
  <si>
    <t>2020NE000828</t>
  </si>
  <si>
    <t>AUXÍLIO ASSISTÊNCIA À SAÚDE - DESPESAS DE EXERCÍCIO ANTERIOR.</t>
  </si>
  <si>
    <t>2020NE000829</t>
  </si>
  <si>
    <t>AUXÍLIO-CRECHE - DESPESAS DE EXERCÍCIOS ANTERIORES.</t>
  </si>
  <si>
    <t>2020NE000830</t>
  </si>
  <si>
    <t>LAUTECH PECAS E SERVICOS LTDA (18074764000197)</t>
  </si>
  <si>
    <t>AQUISIÇÃO DE 2 MOTORES VENTILADORES PARA MANUTENÇÃO DE CONDICIONADORES DE AR. A REGULARIDADE FISCAL E TRABALHISTA DEVERÁ SER MANTIDA DURANTE A VIGÊNCIA DA  CONTRATAÇÃO SOB PENA DE MULTA DE 1% DO VALOR DA NOTA FISCAL.</t>
  </si>
  <si>
    <t>CD-11368/2020</t>
  </si>
  <si>
    <t>2020NE000831</t>
  </si>
  <si>
    <t>SENTENÇAS DE PEQUENO VALOR - OFÍCIO SEGEP/NUPRE Nº 802 - PROAD-11215/2020.</t>
  </si>
  <si>
    <t>PROAD-11215/2020</t>
  </si>
  <si>
    <t>2020NE000832</t>
  </si>
  <si>
    <t>CONTRATAÇÃO DE SEGUROS PARA OS IMÓVEIS E CONTEÚDO DAS UNIDADES JUDICIÁRIAS E  ADMINISTRATIVAS DESTE TRIBUNAL.</t>
  </si>
  <si>
    <t>PRE-9917/2020</t>
  </si>
  <si>
    <t>2020NE000833</t>
  </si>
  <si>
    <t>DORRIS RINA KONING THIELE (85277390000102)</t>
  </si>
  <si>
    <t>AQUISIÇÃO DE TOGAS PARA MAGISTRADOS. A REGULARIDADE FISCAL E TRABALHISTA DEVE-RÁ SER MANTIDA DURANTE A VIGÊNCIA DA CONTRATAÇÃO SOB PENA DE RETENÇÃO E EXECU-ÇÃO DA MULTA DE 1% DO VALOR DA NOTA FISCAL.</t>
  </si>
  <si>
    <t>CD-11507/2020</t>
  </si>
  <si>
    <t>2020NE000834</t>
  </si>
  <si>
    <t>LA BELLA ROSA FLORICULTURA EIRELI (00553051000140)</t>
  </si>
  <si>
    <t>AQUISIÇÃO DE VASOS, PLANTAS E INSUMOS DE JARDIM, PARA REPOSIÇÃO EM UNIDADES DOTRIBUNAL REGIONAL DO TRABALHO DA 12ª REGIÃO. A REGULARIDADE FISCAL/TRABALHISTADEVE SER MANTIDA DURANTE A CONTRATAÇÃO SOB PENA DE MULTA DE 1% DO VALOR DA NF.</t>
  </si>
  <si>
    <t>CD-11511/2020</t>
  </si>
  <si>
    <t>2020NE000835</t>
  </si>
  <si>
    <t>2020NE000836</t>
  </si>
  <si>
    <t>2020NE000837</t>
  </si>
  <si>
    <t>2020NE000838</t>
  </si>
  <si>
    <t>2020NE000839</t>
  </si>
  <si>
    <t>ATA DE REGISTRO DE PREÇOS 33/2019 - TRT12 - AQUISIÇÃO DE APARELHOS TELEFÔNICOSVOIP.</t>
  </si>
  <si>
    <t>PRE-11339/2019</t>
  </si>
  <si>
    <t>2020NE000840</t>
  </si>
  <si>
    <t>2020NE000841</t>
  </si>
  <si>
    <t>2020NE000842</t>
  </si>
  <si>
    <t>2020NE000843</t>
  </si>
  <si>
    <t>2020NE000844</t>
  </si>
  <si>
    <t>G &amp; S IMAGENS DO BRASIL LTDA. (02195059000108)</t>
  </si>
  <si>
    <t>ACESSO WEB A BANCO DE IMAGENS PELO PERÍODO DE 12 MESES.  MULTA MORA  0,3%/DIA,LIM. 10%;  CASO ATRASO  SUPERIOR A  34 DIAS,  MULTA INEXECUÇÃO:  PARCIAL,  5%;TOTAL,  10%;  AUSÊNCIA REGULARIDADE FISCAL / TRABALHISTA:  MULTA 1%  VALOR NF.</t>
  </si>
  <si>
    <t>CD-11454/2020</t>
  </si>
  <si>
    <t>2020NE000845</t>
  </si>
  <si>
    <t>2020NE000846</t>
  </si>
  <si>
    <t>2020NE000847</t>
  </si>
  <si>
    <t>2020NE000848</t>
  </si>
  <si>
    <t>MARYLEIDE FONSECA ALMEIDA EIRELI (15838111000149)</t>
  </si>
  <si>
    <t>AQUISIÇÃO DE  EQUIPAMENTOS PARA  CAPTAÇÃO DE  ÁUDIO E  VÍDEO PARA  GRAVAÇÃO DEAUDIÊNCIAS PRESENCIAIS NAS  VARAS DO TRABALHO  E CENTROS DE  CONCILIAÇÃO DESTETRIBUNAL.</t>
  </si>
  <si>
    <t>PRE-10084/2020</t>
  </si>
  <si>
    <t>2020NE000849</t>
  </si>
  <si>
    <t>MARCIO JOSE ZOCCATELLI 67023851968 (17775469000103)</t>
  </si>
  <si>
    <t>AQUISIÇÃO DE ACESSÓRIO DE INFORMÁTICA (CABO EXTENSOR) P/ VIABILIZAR A CAPTAÇÃODE ÁUDIO E VÍDEO PARA GRAVAÇÃO DE AUDIÊNCIAS PRESENCIAIS NAS VARAS DO TRABALHOE CENTROS DE CONCILIAÇÃO DESTE TRIBUNAL.</t>
  </si>
  <si>
    <t>2020NE000850</t>
  </si>
  <si>
    <t>2020NE000851</t>
  </si>
  <si>
    <t>2020NE000852</t>
  </si>
  <si>
    <t>2020NE000853</t>
  </si>
  <si>
    <t>2020NE000854</t>
  </si>
  <si>
    <t>2020NE000855</t>
  </si>
  <si>
    <t>2020NE000856</t>
  </si>
  <si>
    <t>2020NE000857</t>
  </si>
  <si>
    <t>2020NE000858</t>
  </si>
  <si>
    <t>2020NE000859</t>
  </si>
  <si>
    <t>2020NE000860</t>
  </si>
  <si>
    <t>2020NE000861</t>
  </si>
  <si>
    <t>2020NE000862</t>
  </si>
  <si>
    <t>2020NE000863</t>
  </si>
  <si>
    <t>SEOF</t>
  </si>
  <si>
    <t>2020NE000864</t>
  </si>
  <si>
    <t>REF. DESPESA COM HONORÁRIOS PERICIAIS AO ENCARGO DA UNIÃO, EM ATENÇÃO OFÍCIO  Nº 00420/2020/COESE SING/PUSC/PGU/AGU.</t>
  </si>
  <si>
    <t>PROAD-13888/2019</t>
  </si>
  <si>
    <t>2020NE000865</t>
  </si>
  <si>
    <t>2019NE000218</t>
  </si>
  <si>
    <t>PRE-9084/2016</t>
  </si>
  <si>
    <t>2020NE000866</t>
  </si>
  <si>
    <t>2019NE000570</t>
  </si>
  <si>
    <t>2020NE000867</t>
  </si>
  <si>
    <t>2019NE001287</t>
  </si>
  <si>
    <t>PRE-3865/2017</t>
  </si>
  <si>
    <t>2020NE000868</t>
  </si>
  <si>
    <t>2019NE000385</t>
  </si>
  <si>
    <t>NUCLEO 3 - PLANEJAMENTO E DESENVOLVIMENTO LTDA (05131096000140)</t>
  </si>
  <si>
    <t>PRE-349/2019</t>
  </si>
  <si>
    <t>2020NE000869</t>
  </si>
  <si>
    <t>2019NE000387</t>
  </si>
  <si>
    <t>2020NE000870</t>
  </si>
  <si>
    <t>2019NE001222</t>
  </si>
  <si>
    <t>CD-7577/2019</t>
  </si>
  <si>
    <t>2020NE000871</t>
  </si>
  <si>
    <t>2019NE000184</t>
  </si>
  <si>
    <t>VECTRA CONSULTORIA E SERVICOS LTDA (41249921000170)</t>
  </si>
  <si>
    <t>RP-11135/2015</t>
  </si>
  <si>
    <t>2020NE000872</t>
  </si>
  <si>
    <t>2019NE001295</t>
  </si>
  <si>
    <t>2020NE000873</t>
  </si>
  <si>
    <t>2019NE000905</t>
  </si>
  <si>
    <t>CENTRAL IT TECNOLOGIA DA INFORMACAO LTDA (07171299000196)</t>
  </si>
  <si>
    <t>CD-7626/2019</t>
  </si>
  <si>
    <t>2020NE000874</t>
  </si>
  <si>
    <t>2020NE000875</t>
  </si>
  <si>
    <t>2020NE000876</t>
  </si>
  <si>
    <t>2020NE000877</t>
  </si>
  <si>
    <t>2020NE000878</t>
  </si>
  <si>
    <t>2020NE000879</t>
  </si>
  <si>
    <t>2020NE000880</t>
  </si>
  <si>
    <t>2020NE000881</t>
  </si>
  <si>
    <t>2020NE000882</t>
  </si>
  <si>
    <t>2020NE000883</t>
  </si>
  <si>
    <t>2020NE000884</t>
  </si>
  <si>
    <t>2020NE000885</t>
  </si>
  <si>
    <t>2020NE000886</t>
  </si>
  <si>
    <t>2020NE000887</t>
  </si>
  <si>
    <t>2020NE000888</t>
  </si>
  <si>
    <t>2020NE000889</t>
  </si>
  <si>
    <t>2019NE000895</t>
  </si>
  <si>
    <t>SOLUTI - SOLUCOES EM NEGOCIOS INTELIGENTES S/A (09461647000195)</t>
  </si>
  <si>
    <t>PRE-8807/2019</t>
  </si>
  <si>
    <t>2020NE000890</t>
  </si>
  <si>
    <t>2020NE000891</t>
  </si>
  <si>
    <t>2020NE000892</t>
  </si>
  <si>
    <t>2020NE000893</t>
  </si>
  <si>
    <t>2020NE000894</t>
  </si>
  <si>
    <t>2020NE000895</t>
  </si>
  <si>
    <t>ID PAAC 15004. ANULAÇÃO.</t>
  </si>
  <si>
    <t>2020NE000896</t>
  </si>
  <si>
    <t>ID PAAC 15017. ANULAÇÃO.</t>
  </si>
  <si>
    <t>2020NE000897</t>
  </si>
  <si>
    <t>ID PAAC 15019. ANULAÇÃO.</t>
  </si>
  <si>
    <t>2020NE000898</t>
  </si>
  <si>
    <t>ID PAAC 15038. ANULAÇÃO.</t>
  </si>
  <si>
    <t>2020NE000899</t>
  </si>
  <si>
    <t>ID PAAC 15060. ANULAÇÃO.</t>
  </si>
  <si>
    <t>2020NE000900</t>
  </si>
  <si>
    <t>ID PAAC 15059. ANULAÇÃO.</t>
  </si>
  <si>
    <t>2020NE000901</t>
  </si>
  <si>
    <t>ID PAAC 15063. ANULAÇÃO.</t>
  </si>
  <si>
    <t>2020NE000902</t>
  </si>
  <si>
    <t>ID PAAC 15066. ANULAÇÃO.</t>
  </si>
  <si>
    <t>2020NE000903</t>
  </si>
  <si>
    <t>ID PAAC 15070. ANULAÇÃO.</t>
  </si>
  <si>
    <t>2020NE000904</t>
  </si>
  <si>
    <t>ID PAAC 15067. ANULAÇÃO.</t>
  </si>
  <si>
    <t>2020NE000905</t>
  </si>
  <si>
    <t>ID PAAC 15107. ANULAÇÃO.</t>
  </si>
  <si>
    <t>2020NE000906</t>
  </si>
  <si>
    <t>ID PAAC 15072. ANULAÇÃO.</t>
  </si>
  <si>
    <t>2020NE000907</t>
  </si>
  <si>
    <t>ID PAAC 15187. ANULAÇÃO.</t>
  </si>
  <si>
    <t>2020NE000908</t>
  </si>
  <si>
    <t>ID PAAC 15314. ANULAÇÃO.</t>
  </si>
  <si>
    <t>2020NE000909</t>
  </si>
  <si>
    <t>ID PAAC 15337. ANULAÇÃO.</t>
  </si>
  <si>
    <t>2020NE000910</t>
  </si>
  <si>
    <t>ID PAAC 15325. ANULAÇÃO.</t>
  </si>
  <si>
    <t>2020NE000911</t>
  </si>
  <si>
    <t>ID PAAC 15338. ANULAÇÃO.</t>
  </si>
  <si>
    <t>2020NE000912</t>
  </si>
  <si>
    <t>ID PAAC 15324. ANULAÇÃO.</t>
  </si>
  <si>
    <t>2020NE000913</t>
  </si>
  <si>
    <t>2020NE000914</t>
  </si>
  <si>
    <t>ID PAAC 15065. ANULAÇÃO.</t>
  </si>
  <si>
    <t>2020NE000915</t>
  </si>
  <si>
    <t>EDITORA FORUM LTDA (41769803000192)</t>
  </si>
  <si>
    <t>ASSINATURA DE 2 REVISTAS EM FORMATO DIGITAL POR 12 MESES. MULTA MORA 0,3%/DIA,LIM.10%; CASO ATRASO SUPERIOR A 34 DIAS, MULTA INEXECUÇÃO: PARCIAL, 5%; TOTAL,10%; AUSÊNCIA REGULARIDADE FISCAL/TRABALHISTA: MULTA 1% VALOR NF.</t>
  </si>
  <si>
    <t>CD-11910/2020</t>
  </si>
  <si>
    <t>2020NE000916</t>
  </si>
  <si>
    <t>RAPHAEL SILVA ARAUJO (24884690000157)</t>
  </si>
  <si>
    <t>(ID PAAC 15099) AQUISIÇÃO DE MATERIAIS DE INFORMÁTICA PARA O ATENDIMENTO DE   DIVERSAS DEMANDAS NO AMBIENTE DE TECNOLOGIA DA INFORMAÇÃO E COMUNICAÇÃO.</t>
  </si>
  <si>
    <t>PRE-10373/2020</t>
  </si>
  <si>
    <t>2020NE000917</t>
  </si>
  <si>
    <t>EDMUR RODRIGUES SILVEIRA (10190017000102)</t>
  </si>
  <si>
    <t>2020NE000918</t>
  </si>
  <si>
    <t>R.S. VAREJO EIRELI (31322368000108)</t>
  </si>
  <si>
    <t>2020NE000919</t>
  </si>
  <si>
    <t>JEISON LILLA (38339341000169)</t>
  </si>
  <si>
    <t>(ID PAAC 15099) AQUISIÇÃO DE BATERIAS PARA ULTRABOOK PARA MANUTENÇÃO DE EQUI- PAMENTOS NO AMBIENTE DE TECNOLOGIA DA INFORMAÇÃO E COMUNICAÇÃO.</t>
  </si>
  <si>
    <t>2020NE000920</t>
  </si>
  <si>
    <t>(ID PAAC 15099) AQUISIÇÃO DE BATERIAS PARA O ATENDIMENTO DE DIVERSAS DEMANDAS NO AMBIENTE DE TECNOLOGIA DA INFORMAÇÃO E COMUNICAÇÃO.</t>
  </si>
  <si>
    <t>2020NE000921</t>
  </si>
  <si>
    <t>2020NE000922</t>
  </si>
  <si>
    <t>2020NE000923</t>
  </si>
  <si>
    <t>CTO-13479/2018</t>
  </si>
  <si>
    <t>2020NE000924</t>
  </si>
  <si>
    <t>2020NE000925</t>
  </si>
  <si>
    <t>CTO-3947/2020</t>
  </si>
  <si>
    <t>2020NE000926</t>
  </si>
  <si>
    <t>CTO-3949/2020</t>
  </si>
  <si>
    <t>2020NE000927</t>
  </si>
  <si>
    <t>2020NE000928</t>
  </si>
  <si>
    <t>2020NE000929</t>
  </si>
  <si>
    <t>ID PAAC 15324. REFORÇO.</t>
  </si>
  <si>
    <t>2020NE000930</t>
  </si>
  <si>
    <t>BRASO SOLUCOES TECNOLOGICAS LTDA (15664759000146)</t>
  </si>
  <si>
    <t>(ID PAAC 15329)SERVIÇO DE SUPORTE TÉCNICO ESPECIALIZADO NA TECNOLOGIA DRUPAL 8OU SUPERIOR.</t>
  </si>
  <si>
    <t>PRE-7285/2020</t>
  </si>
  <si>
    <t>2020NE000931</t>
  </si>
  <si>
    <t>2020NE000932</t>
  </si>
  <si>
    <t>TORINO INFORMATICA LTDA.. (03619767000515)</t>
  </si>
  <si>
    <t>(ID PAAC 15339)ADESÃO A ATA DE REGISTRO DE PREÇOS Nº 11/2020 (TRT8). AQUISIÇÃODE NOTEBOOKS.</t>
  </si>
  <si>
    <t>RP-11676/2020</t>
  </si>
  <si>
    <t>2020NE000933</t>
  </si>
  <si>
    <t>2020NE000934</t>
  </si>
  <si>
    <t>2020NE000935</t>
  </si>
  <si>
    <t>POSITIVO TECNOLOGIA S.A. (81243735000903)</t>
  </si>
  <si>
    <t>(ID PAAC 15023)ADESÃO A ATA DE REGISTRO DE PREÇOS Nº 02/2020(TRT12). AQUISIÇÃODE MICROCOMPUTADORES DESKTOP.</t>
  </si>
  <si>
    <t>PRE-11638/2019</t>
  </si>
  <si>
    <t>2020NE000936</t>
  </si>
  <si>
    <t>DATEN TECNOLOGIA LTDA (04602789000101)</t>
  </si>
  <si>
    <t>(ID PAAC 15023)ADESÃO A ATA DE REGISTRO DE PREÇOS Nº 03/2020(TRT12). AQUISIÇÃODE MICROCOMPUTADORES PARA PROCESSAMENTO DE IMAGEM.</t>
  </si>
  <si>
    <t>2020NE000937</t>
  </si>
  <si>
    <t>2020NE000938</t>
  </si>
  <si>
    <t>2020NE000939</t>
  </si>
  <si>
    <t>2020NE000940</t>
  </si>
  <si>
    <t>2020NE000941</t>
  </si>
  <si>
    <t>2020NE000942</t>
  </si>
  <si>
    <t>2020NE000943</t>
  </si>
  <si>
    <t>2020NE000944</t>
  </si>
  <si>
    <t>2020NE000945</t>
  </si>
  <si>
    <t>2020NE000946</t>
  </si>
  <si>
    <t>2020NE000947</t>
  </si>
  <si>
    <t>2020NE000948</t>
  </si>
  <si>
    <t>2020NE000949</t>
  </si>
  <si>
    <t>2020NE000950</t>
  </si>
  <si>
    <t>2020NE000951</t>
  </si>
  <si>
    <t>2020NE000952</t>
  </si>
  <si>
    <t>2020NE000953</t>
  </si>
  <si>
    <t>2020NE000954</t>
  </si>
  <si>
    <t>2020NE000955</t>
  </si>
  <si>
    <t>(ID PAAC 15060) REFORÇO.</t>
  </si>
  <si>
    <t>2020NE000956</t>
  </si>
  <si>
    <t>ELECT IMPORTACOES - EIRELI (20021743000155)</t>
  </si>
  <si>
    <t>(ID PAAC 15346) AQUISIÇÃO DE HUBS USB P/ GRAVAÇÃO DE AUDIÊNCIAS. REGULARIDADE FISCAL/TRABALHISTA DEVE SE MANTER DURANTE CONTRATO SOB PENA DE MULTA 1% DO VA-LOR DA NF. MULTA MORA: 0,5%/DIA, LIM.15%. ATRASO SUPERIOR 30 DIAS, INEXECUÇÃO.</t>
  </si>
  <si>
    <t>CD-12211/2020</t>
  </si>
  <si>
    <t>2020NE000957</t>
  </si>
  <si>
    <t>2020NE000958</t>
  </si>
  <si>
    <t>2020NE000959</t>
  </si>
  <si>
    <t>2020NE000960</t>
  </si>
  <si>
    <t>2020NE000961</t>
  </si>
  <si>
    <t>2020NE000962</t>
  </si>
  <si>
    <t>2020NE000963</t>
  </si>
  <si>
    <t>(ID PAAC 15112) REFORÇO.</t>
  </si>
  <si>
    <t>2020NE000964</t>
  </si>
  <si>
    <t>2020NE000965</t>
  </si>
  <si>
    <t>2020NE000966</t>
  </si>
  <si>
    <t>CTO-9981/2020</t>
  </si>
  <si>
    <t>2020NE000967</t>
  </si>
  <si>
    <t>(ID PAAC 15019) REFORÇO.</t>
  </si>
  <si>
    <t>2020NE000968</t>
  </si>
  <si>
    <t>NC COMUNICACOES SA (79227963000263)</t>
  </si>
  <si>
    <t>ASSINATURA JORNAL DIÁRIO CATARINENSE, FORMATO DIGITAL, POR 12MESES. MULTA MORA0,3%/DIA, LIM. 10%; CASO ATRASO SUPERIOR A 34 DIAS, MULTA INEXECUÇÃO: PARCIAL,5%; TOTAL, 10%; AUSÊNCIA REGULARIDADE FISCAL/TRABALHISTA: MULTA 1% VALOR NF.</t>
  </si>
  <si>
    <t>CD-12249/2020</t>
  </si>
  <si>
    <t>2020NE000969</t>
  </si>
  <si>
    <t>2020NE000970</t>
  </si>
  <si>
    <t>ADEMAR MACHADO INSTALACOES ELETRICAS EIRELI (23325767000196)</t>
  </si>
  <si>
    <t>PROCEDIMENTO EMERGENCIAL  PARA  CONSERTO  DE  TRANSFORMADOR  INSTALADO  NO  FTCHAPECÓ, EM RAZÃO DE SINISTRO OCORRIDO EM MARÇO DE 2020, COMPREENDENDO A RETI-RADA, EMPRÉSTIMO, TRANSPORTE E RECOLOCAÇÃO DOS EQUIPAMENTOS.</t>
  </si>
  <si>
    <t>CD-12266/2020</t>
  </si>
  <si>
    <t>2020NE000971</t>
  </si>
  <si>
    <t>LANLINK INFORMATICA LTDA (41587502001209)</t>
  </si>
  <si>
    <t>(ID PAAC 15187)LICENÇAS DE USO DO SOFTWARE POWER BI PRO POR 12 MESES. ADESÃO AATA DE REGISTRO DE PREÇOS Nº 10/2020 - TRT16.</t>
  </si>
  <si>
    <t>2020NE000972</t>
  </si>
  <si>
    <t>2020NE000973</t>
  </si>
  <si>
    <t>2020NE000974</t>
  </si>
  <si>
    <t>2020NE000975</t>
  </si>
  <si>
    <t>2020NE000976</t>
  </si>
  <si>
    <t>2020NE000977</t>
  </si>
  <si>
    <t>2020NE000978</t>
  </si>
  <si>
    <t>2020NE000979</t>
  </si>
  <si>
    <t>2020NE000980</t>
  </si>
  <si>
    <t>2020NE000981</t>
  </si>
  <si>
    <t>2020NE000982</t>
  </si>
  <si>
    <t>2020NE000983</t>
  </si>
  <si>
    <t>2020NE000984</t>
  </si>
  <si>
    <t>2020NE000985</t>
  </si>
  <si>
    <t>SENTENÇAS DE PEQUENO VALOR - OFÍCIO SEGEP/NUPRE Nº 1088 - PROAD-12197/2020.</t>
  </si>
  <si>
    <t>PROAD-12197/2020</t>
  </si>
  <si>
    <t>2020NE000986</t>
  </si>
  <si>
    <t>ANULAÇÃO INSTRUTORIA INTERNA.</t>
  </si>
  <si>
    <t>2020NE000987</t>
  </si>
  <si>
    <t>REFORÇO REFORMA IMÓVEL CANOINHAS.</t>
  </si>
  <si>
    <t>2020NE000988</t>
  </si>
  <si>
    <t>2020NE000989</t>
  </si>
  <si>
    <t>2020NE000990</t>
  </si>
  <si>
    <t>2020NE000991</t>
  </si>
  <si>
    <t>2020NE000992</t>
  </si>
  <si>
    <t>2020NE000993</t>
  </si>
  <si>
    <t>2020NE000994</t>
  </si>
  <si>
    <t>2020NE000995</t>
  </si>
  <si>
    <t>2020NE000996</t>
  </si>
  <si>
    <t>2020NE000997</t>
  </si>
  <si>
    <t>2020NE000998</t>
  </si>
  <si>
    <t>2020NE000999</t>
  </si>
  <si>
    <t>2020NE001000</t>
  </si>
  <si>
    <t>2020NE001001</t>
  </si>
  <si>
    <t>2020NE001002</t>
  </si>
  <si>
    <t>2020NE001003</t>
  </si>
  <si>
    <t>2020NE001004</t>
  </si>
  <si>
    <t>2020NE001005</t>
  </si>
  <si>
    <t>2020NE001006</t>
  </si>
  <si>
    <t>2020NE001007</t>
  </si>
  <si>
    <t>2020NE001008</t>
  </si>
  <si>
    <t>2020NE001009</t>
  </si>
  <si>
    <t>2020NE001010</t>
  </si>
  <si>
    <t>2020NE001011</t>
  </si>
  <si>
    <t>2020NE001012</t>
  </si>
  <si>
    <t>2020NE001013</t>
  </si>
  <si>
    <t>2020NE001014</t>
  </si>
  <si>
    <t>2020NE001015</t>
  </si>
  <si>
    <t>2020NE001016</t>
  </si>
  <si>
    <t>2020NE001017</t>
  </si>
  <si>
    <t>2020NE001018</t>
  </si>
  <si>
    <t>2020NE001019</t>
  </si>
  <si>
    <t>2020NE001020</t>
  </si>
  <si>
    <t>2020NE001021</t>
  </si>
  <si>
    <t>2020NE001022</t>
  </si>
  <si>
    <t>2020NE001023</t>
  </si>
  <si>
    <t>2020NE001024</t>
  </si>
  <si>
    <t>2020NE001025</t>
  </si>
  <si>
    <t>2020NE001026</t>
  </si>
  <si>
    <t>2020NE001027</t>
  </si>
  <si>
    <t>2020NE001028</t>
  </si>
  <si>
    <t>2020NE001029</t>
  </si>
  <si>
    <t>2020NE001030</t>
  </si>
  <si>
    <t>2020NE001031</t>
  </si>
  <si>
    <t>2020NE001032</t>
  </si>
  <si>
    <t>2020NE001033</t>
  </si>
  <si>
    <t>2020NE001034</t>
  </si>
  <si>
    <t>2020NE001035</t>
  </si>
  <si>
    <t>2020NE001036</t>
  </si>
  <si>
    <t>2020NE001037</t>
  </si>
  <si>
    <t>2020NE001038</t>
  </si>
  <si>
    <t>2020NE001039</t>
  </si>
  <si>
    <t>2020NE001040</t>
  </si>
  <si>
    <t>2020NE001041</t>
  </si>
  <si>
    <t>DESPESAS DE EXERCÍCIOS ANTERIORES - PASSIVOS ADMINISTRATIVOS - PROAD-012/2020.</t>
  </si>
  <si>
    <t>2020NE001042</t>
  </si>
  <si>
    <t>2020NE001043</t>
  </si>
  <si>
    <t>2020NE001044</t>
  </si>
  <si>
    <t>2020NE001045</t>
  </si>
  <si>
    <t>2020NE001046</t>
  </si>
  <si>
    <t>2020NE001047</t>
  </si>
  <si>
    <t>2020NE001048</t>
  </si>
  <si>
    <t>2020NE001049</t>
  </si>
  <si>
    <t>2020NE001050</t>
  </si>
  <si>
    <t>2020NE001051</t>
  </si>
  <si>
    <t>2020NE001052</t>
  </si>
  <si>
    <t>2020NE001053</t>
  </si>
  <si>
    <t>2020NE800001</t>
  </si>
  <si>
    <t>2017NE001338</t>
  </si>
  <si>
    <t>ESPHERA SUL EMPREENDIMENTOS LTDA (03594924000151)</t>
  </si>
  <si>
    <t>CANCELAMENTO DOS RESTOS A PAGAR NÃO PROCESSADOS, DESBLOQUEADOS NOS TERMOS DO  ÷ 4º DO ARTIGO 68 DO DECRETO 93.872/86, E QUE NÃO FORAM LIQUIDADOS ATÉ O DIA -31 DE DEZEMBRO DO ANO SUBSEQUENTE AO DO BLOQUEIO. EXCEÇÃO SAÚDE E RP 6.</t>
  </si>
  <si>
    <t>CP-9379/2017</t>
  </si>
  <si>
    <t>Código Credor</t>
  </si>
  <si>
    <t>Valor A Liquidar</t>
  </si>
  <si>
    <t>2022NE000001</t>
  </si>
  <si>
    <t>TRIBUNAL REGIONAL DO TRABALHO DA 12A.REGIAO</t>
  </si>
  <si>
    <t>PAGAMENTO DE VENCIMENTOS E VANTAGENS FIXAS - EXERCÍCIO 2022 - PROAD-69/2022</t>
  </si>
  <si>
    <t>PROAD-69/2022</t>
  </si>
  <si>
    <t>2022NE000002</t>
  </si>
  <si>
    <t>PAGAMENTO DE OUTRAS DESPESAS VARIÁVEIS - EXERCÍCIO 2022 - PROAD-69/2022</t>
  </si>
  <si>
    <t>2022NE000003</t>
  </si>
  <si>
    <t>PAGAMENTO DE SENTENÇAS JUDICIAIS - EXERCÍCIO 2022 - PROAD-69/2022</t>
  </si>
  <si>
    <t>2022NE000004</t>
  </si>
  <si>
    <t>COORD.GERAL DE ORÇAMENTO, FINANÇAS E CONTAB.</t>
  </si>
  <si>
    <t>PAGAMENTO DE OBRIGAÇÕES PATRONAIS - EXERCÍCIO 2022 - PROAD-69/2022</t>
  </si>
  <si>
    <t>2022NE000005</t>
  </si>
  <si>
    <t>SECRETARIA DO TESOURO NACIONAL/COFIN/STN</t>
  </si>
  <si>
    <t>2022NE000006</t>
  </si>
  <si>
    <t>FUNDACAO DE PREVIDENCIA COMPLEMENTAR DO SERVIDOR PUBLIC</t>
  </si>
  <si>
    <t>PAGAMENTO DA CONTRIBUIÇÃO PATRONAL - FUNPRESP LEI 12618/2012 - PROAD-69/2022.</t>
  </si>
  <si>
    <t>2022NE000007</t>
  </si>
  <si>
    <t>PAGAMENTO DE APOSENTADORIAS DOS SERVIDORES INATIVOS DO REGIME PRÓPRIO DE PREVIDÊNCIA DO SERVIDOR - RPPS - EXERCÍCIO 2022 - PROAD-69/2022</t>
  </si>
  <si>
    <t>2022NE000008</t>
  </si>
  <si>
    <t>PAGAMENTO DE PENSÃO CIVIL DO REGIME PRÓPRIO DE PREVIDÊNCIA DO SERVIDOR - RPPS - EXERCÍCIO 2022 - PROAD-69/2022</t>
  </si>
  <si>
    <t>2022NE000009</t>
  </si>
  <si>
    <t>2022NE000010</t>
  </si>
  <si>
    <t>2022NE000011</t>
  </si>
  <si>
    <t>2022NE000012</t>
  </si>
  <si>
    <t>2022NE000013</t>
  </si>
  <si>
    <t>BENEFÍCIOS (AUXÍLIO-CRECHE). EXERCÍCIO 2022.</t>
  </si>
  <si>
    <t>2022NE000014</t>
  </si>
  <si>
    <t>BENEFÍCIOS (AUXÍLIO-ALIMENTAÇÃO). EXERCÍCIO 2022.</t>
  </si>
  <si>
    <t>2022NE000015</t>
  </si>
  <si>
    <t>BENEFÍCIOS (AUXÍLIO-TRANSPORTE). EXERCÍCIO 2022.</t>
  </si>
  <si>
    <t>2022NE000016</t>
  </si>
  <si>
    <t>AUXÍLIO-FUNERAL E AUXÍLIO-NATALIDADE. EXERCÍCIO 2022.</t>
  </si>
  <si>
    <t>2022NE000017</t>
  </si>
  <si>
    <t>AUXÍLIO ASSISTÊNCIA À SAÚDE. EXERCÍCIO 2022.</t>
  </si>
  <si>
    <t>2022NE000018</t>
  </si>
  <si>
    <t>GEAP AUTOGESTAO EM SAUDE</t>
  </si>
  <si>
    <t>DESPESAS COM CONTRIBUIÇÃO DA PATROCINADORA DO PLANO DE SEGURIDADE SOCIAL. EXERCÍCIO 2022.</t>
  </si>
  <si>
    <t>2022NE000019</t>
  </si>
  <si>
    <t>SERVIÇOS DE INSTRUTORIA EM EVENTOS DA ESCOLA JUDICIAL. EXERCÍCIO 2022.</t>
  </si>
  <si>
    <t>2022NE000020</t>
  </si>
  <si>
    <t>PAGAMENTO DE GRATIFICAÇÃO POR ENCARGO DE CURSO/CONCURSO. EXERCÍCIO 2022.</t>
  </si>
  <si>
    <t>2022NE000021</t>
  </si>
  <si>
    <t>PAGAMENTO DE DIÁRIAS EM 2022.</t>
  </si>
  <si>
    <t>2022NE000022</t>
  </si>
  <si>
    <t>PAGAMENTO DE RESSARCIMENTO DE TRANSPORTE, AJUDA DE CUSTO E INDENIZAÇÃO DE TRANSPORTE A OFICIAIS DE JUSTIÇA. EXERCÍCIO 2022.</t>
  </si>
  <si>
    <t>2022NE000023</t>
  </si>
  <si>
    <t>PAGAMENTO DE BOLSA ESTÁGIO. EXERCÍCIO 2022.</t>
  </si>
  <si>
    <t>2022NE000024</t>
  </si>
  <si>
    <t>PAGAMENTO DE AUXÍLIO TRANSPORTE PARA ESTAGIÁRIOS. EXERCÍCIO 2022.</t>
  </si>
  <si>
    <t>2022NE000025</t>
  </si>
  <si>
    <t>PAGAMENTO DE HONORÁRIOS PERICIAIS. EXERCÍCIO 2022.</t>
  </si>
  <si>
    <t>2022NE000026</t>
  </si>
  <si>
    <t>PATRONAL - HONORÁRIOS PERICIAIS. EXERCÍCIO 2022.</t>
  </si>
  <si>
    <t>2022NE000027</t>
  </si>
  <si>
    <t>SUPRIMENTO DE FUNDOS. EXERCÍCIO 2022.</t>
  </si>
  <si>
    <t>2022NE000028</t>
  </si>
  <si>
    <t>2022NE000029</t>
  </si>
  <si>
    <t>2022NE000030</t>
  </si>
  <si>
    <t>PATRONAL - SUPRIMENTO DE FUNDOS. EXERCÍCIO 2022.</t>
  </si>
  <si>
    <t>2022NE000031</t>
  </si>
  <si>
    <t>DIÁRIAS - ESCOLA JUDICIAL. EXERCÍCIO 2022.</t>
  </si>
  <si>
    <t>2022NE000032</t>
  </si>
  <si>
    <t>RESSARCIMENTO DE TRANSPORTE - ESCOLA JUDICIAL. EXERCÍCIO 2022.</t>
  </si>
  <si>
    <t>NULAD</t>
  </si>
  <si>
    <t>2022NE000033</t>
  </si>
  <si>
    <t>JS DISTRIBUIDORA LTDA</t>
  </si>
  <si>
    <t>FORNECIMENTO DE ÁGUA MINERAL PARA AS UNIDADES LOCALIZADAS EM FLORIANÓPOLIS, SÃO JOSÉ E PALHOÇA. EXERCÍCIO 2022</t>
  </si>
  <si>
    <t>CTO-10741/2021</t>
  </si>
  <si>
    <t>2022NE000034</t>
  </si>
  <si>
    <t>MP COMERCIO DE ALIMENTOS EIRELI</t>
  </si>
  <si>
    <t>FORNECIMENTO DE ÁGUA MINERAL PARA AS UNIDADES LOCALIZADAS EM BALNEÁRIO CAMBORIÚ. EXERCÍCIO 2022.</t>
  </si>
  <si>
    <t>CTO-10740/2021</t>
  </si>
  <si>
    <t>2022NE000035</t>
  </si>
  <si>
    <t>JOILIMP'S PRESTADORA DE SERVICOS DE LIMPEZA LTDA</t>
  </si>
  <si>
    <t>LIMPEZA EXTERNA DE VIDROS - EXERCÍCIO 2022</t>
  </si>
  <si>
    <t>PRE-8621/2021</t>
  </si>
  <si>
    <t>2022NE000036</t>
  </si>
  <si>
    <t>HAPPY CLEAN  COMERCIO E SERVICOS DE LAVANDERIA  LTDA</t>
  </si>
  <si>
    <t>SERVIÇOS DE LAVANDERIA - EXERCÍCIO 2022.</t>
  </si>
  <si>
    <t>PRE-10305/2021</t>
  </si>
  <si>
    <t>2022NE000037</t>
  </si>
  <si>
    <t>ABSOLUTO - DIVISORIAS E PISOS LTDA</t>
  </si>
  <si>
    <t>Peças para a prestação de serviços em divisórias naval, perfis em aço, fechaduras, portas, manta lã de vidro.
Exercício 2022.</t>
  </si>
  <si>
    <t>2022NE000038</t>
  </si>
  <si>
    <t>Prestação de serviços de manutenção e conservação de divisórias naval, portas, fechaduras e mantas lã de vidro.
Exercício 2022.</t>
  </si>
  <si>
    <t>2022NE000039</t>
  </si>
  <si>
    <t>2022NE000040</t>
  </si>
  <si>
    <t>24 HORAS CHAVES DA ILHA LTDA</t>
  </si>
  <si>
    <t>CONFECÇÃO DE CÓPIA DE CHAVES E TROCA DE SEGREDO DE FECHADURAS PARA ESTE TRIBUNAL, DURANTE O EXERCÍCIO DE 2022.
A REGULARIDADE FISCAL E TRABALHISTA DEVERÁ SER MANTIDA DURANTE A VIGÊNCIA DA CONTRATAÇÃO, SOB PENA DE RETENÇÃO E EXECUÇÃO DA MULTA DE 1% DO VALOR DA NOTA FISCAL.
MULTA MORA DE 0,3% AO DIA, LIMIT. 10% VALOR ITEM. CASO ATRASO SUPERIOR A 34 DIAS, MULTA INEXECUÇÃO: PARCIAL, 5%. TOTAL, 10%.</t>
  </si>
  <si>
    <t>CD-12062/2021</t>
  </si>
  <si>
    <t>2022NE000041</t>
  </si>
  <si>
    <t>AQUISIÇÃO DE CONTROLES REMOTOS PARA PORTÃO, DURANTE O EXERCÍCIO DE 2022.
A REGULARIDADE FISCAL E TRABALHISTA DEVERÁ SER MANTIDA DURANTE A VIGÊNCIA DA CONTRATAÇÃO, SOB PENA DE RETENÇÃO E EXECUÇÃO DA MULTA DE 1% DO VALOR DA NOTA FISCAL.
MULTA MORA DE 0,3% AO DIA, LIMIT. 10% VALOR ITEM. CASO ATRASO SUPERIOR A 34 DIAS, MULTA INEXECUÇÃO: PARCIAL, 5%. TOTAL, 10%.</t>
  </si>
  <si>
    <t>2022NE000042</t>
  </si>
  <si>
    <t>REF. LOCAÇÃO IMÓVEL VT ARARANGUÁ - COMPLEMENTO ALUGUEL DEZEMBRO/2021.</t>
  </si>
  <si>
    <t>2022NE000043</t>
  </si>
  <si>
    <t>SELUMA SERVICOS DE LIMPEZA URBANA DE MAFRA LTDA</t>
  </si>
  <si>
    <t>TAXA DE COLETA DE LIXO - VARA DO TRABALHO DE MAFRA - EXERCÍCIO 2022.</t>
  </si>
  <si>
    <t>CD-110/2022</t>
  </si>
  <si>
    <t>2022NE000044</t>
  </si>
  <si>
    <t>DAMIRAIDE LUCIA MAFRA CLIMATIZACAO LTDA</t>
  </si>
  <si>
    <t>REF. PEÇAS PARA MANUTENÇÃO DE CONDICIONADORES DE AR - COMPLEMENTO NOTA FISCAL EMITIDA EM DEZEMBRO/2021.</t>
  </si>
  <si>
    <t>CTO-8212/2021</t>
  </si>
  <si>
    <t>2022NE000045</t>
  </si>
  <si>
    <t>REF. FATURA DE TELEFONIA MÓVEL - COMPETÊNCIA 2021.</t>
  </si>
  <si>
    <t>2022NE000046</t>
  </si>
  <si>
    <t>REF. PAGAMENTO DE DIÁRIAS - COMPETÊNCIA 2021.</t>
  </si>
  <si>
    <t>PROAD-229/2022</t>
  </si>
  <si>
    <t>2022NE000047</t>
  </si>
  <si>
    <t>DISTRIBUIDORA POLAR AGUA LTDA</t>
  </si>
  <si>
    <t>FORNECIMENTO DE ÁGUA MINERAL PARA O FÓRUM TRABALHISTA DE CRICIÚMA. EXERCÍCIO 2022.</t>
  </si>
  <si>
    <t>CD-12299/2021</t>
  </si>
  <si>
    <t>2022NE000048</t>
  </si>
  <si>
    <t>TESOURO DISTRIBUIDORA LTDA</t>
  </si>
  <si>
    <t>FORNECIMENTO DE ÁGUA MINERAL PARA PARA O SEGECEM, 1ª, 3ª E 4ª VARAS DO TRABALHO DE BLUMENAU. EXERCÍCIO 2022.</t>
  </si>
  <si>
    <t>2022NE000049</t>
  </si>
  <si>
    <t>CASTOR COMERCIO DE AGUA LTDA</t>
  </si>
  <si>
    <t>FORNECIMENTO DE ÁGUA MINERAL PARA O FÓRUM TRABALHISTA DE CHAPECÓ. EXERCÍCIO 2022.</t>
  </si>
  <si>
    <t>2022NE000050</t>
  </si>
  <si>
    <t>NATURAL DISTRIBUIDORA DE BEBIDAS EIRELI</t>
  </si>
  <si>
    <t>FORNECIMENTO DE ÁGUA MINERAL PARA A VARA DO TRABALHO DE XANXERÊ. EXERCÍCIO 2022.</t>
  </si>
  <si>
    <t>2022NE000051</t>
  </si>
  <si>
    <t>ADALBERTO WASTOWSKI CLERICI COMERCIO DE AGUA E GAS</t>
  </si>
  <si>
    <t>FORNECIMENTO DE ÁGUA MINERAL PARA O FÓRUM TRABALHISTA DE ITAJAÍ. EXERCÍCIO 2022.</t>
  </si>
  <si>
    <t>2022NE000052</t>
  </si>
  <si>
    <t>FORNECIMENTO DE ÁGUA MINERAL PARA A VARA DO TRABALHO DE IMBITUBA. EXERCÍCIO 2022.</t>
  </si>
  <si>
    <t>2022NE000053</t>
  </si>
  <si>
    <t>OFERTA DISTRIBUIDORA DE GENEROS ALIMENTICIOS EIRELI</t>
  </si>
  <si>
    <t>FORNECIMENTO DE ÁGUA MINERAL PARA O FÓRUM TRABALHISTA DE TUBARÃO. EXERCÍCIO 2022.</t>
  </si>
  <si>
    <t>2022NE000054</t>
  </si>
  <si>
    <t>REEMBOLSO DE DESPESA - TAXA DE EXAME TOXICOLÓGICO PARA RENOVAÇÃO DE CNH - EXERCÍCIO 2021.</t>
  </si>
  <si>
    <t>CD-56/2022</t>
  </si>
  <si>
    <t>2022NE000055</t>
  </si>
  <si>
    <t>2022NE000056</t>
  </si>
  <si>
    <t>SERVICO AUTONOMO MUNICIPAL DE AGUA E ESGOTO</t>
  </si>
  <si>
    <t>Pagamento de despesas com captação, tratamento e distribuição de água para o imóvel onde está instalada a Vara do Trabalho de Brusque.
Exercício 2022.</t>
  </si>
  <si>
    <t>2022NE000057</t>
  </si>
  <si>
    <t>BRK AMBIENTAL - CACADOR S.A.</t>
  </si>
  <si>
    <t>Pagamento de despesas com captação, tratamento e distribuição de água para o imóvel onde está instalada a Vara do Trabalho de Caçador.
Exercício 2022.</t>
  </si>
  <si>
    <t>2022NE000058</t>
  </si>
  <si>
    <t>Pagamento de despesas com captação, tratamento e distribuição de água para o imóvel onde está instalada Vara do Trabalho de São Bento do Sul.
Exercício 2022.</t>
  </si>
  <si>
    <t>2022NE000059</t>
  </si>
  <si>
    <t>Pagamento de despesas com captação, tratamento e distribuição de água para o imóvel onde está instalado o Fórum Trabalhista de Joinville.
Exercício 2022.</t>
  </si>
  <si>
    <t>2022NE000060</t>
  </si>
  <si>
    <t>SERVICO AUTONOMO MUNICIPAL DE AGUA E ESGOTO (SAMAE) DE</t>
  </si>
  <si>
    <t>Pagamento de despesas com captação, tratamento e distribuição de água para o imóvel onde está instalada a Vara do Trabalho de Imbituba.
Exercício 2022.</t>
  </si>
  <si>
    <t>2022NE000061</t>
  </si>
  <si>
    <t>COMPANHIA CATARINENSE DE AGUAS E SANEAMENTO CASAN</t>
  </si>
  <si>
    <t>Pagamento de despesas com captação, tratamento e distribuição de água para atender as unidades deste Tribunal nas cidades de Florianópolis, Concórdia, Criciúma, Canoinhas, Xanxerê, Indaial, São Miguel do Oeste, Curitibanos, Mafra, Rio do Sul, São José e Chapecó.
Exercício 2022.</t>
  </si>
  <si>
    <t>2022NE000062</t>
  </si>
  <si>
    <t>SERVICO MUNICIPAL DE AGUA, SANEAMENTO BASICO E INFRA-ES</t>
  </si>
  <si>
    <t>Pagamento de despesas com captação, tratamento e distribuição de água para o imóvel onde está instalado o Fórum Trabalhista de Itajaí.
Exercício 2022.</t>
  </si>
  <si>
    <t>2022NE000063</t>
  </si>
  <si>
    <t>SERVICO AUTONOMO DE AGUA E ESGOTO DO MUNICIPIO DE VIDEI</t>
  </si>
  <si>
    <t>Pagamento de despesas com captação, tratamento e distribuição de água para o imóvel onde está instalada a Vara do Trabalho de Videira.
Exercício 2022.</t>
  </si>
  <si>
    <t>2022NE000064</t>
  </si>
  <si>
    <t>Pagamento de despesas com captação, tratamento e distribuição de água para o imóvel onde está instalado o Fórum Trabalhista de Blumenau.
Exercício 2022.</t>
  </si>
  <si>
    <t>2022NE000065</t>
  </si>
  <si>
    <t>SECRETARIA MUNICIPAL DE AGUAS E SANEAMENTO DE LAGES - S</t>
  </si>
  <si>
    <t>Pagamento de despesas com captação, tratamento e distribuição de água para o imóvel onde está instalado o Fórum Trabalhista de Lages.
Exercício 2022.</t>
  </si>
  <si>
    <t>2022NE000066</t>
  </si>
  <si>
    <t>TUBARAO SANEAMENTO S.A.</t>
  </si>
  <si>
    <t>Pagamento de despesas com captação, tratamento e distribuição de água para o imóvel onde está instalado o Fórum Trabalhista de Tubarão.
Exercício 2022.</t>
  </si>
  <si>
    <t>2022NE000067</t>
  </si>
  <si>
    <t>AUTARQUIA MUNICIPAL DE SANEAMENTO DE FRAIBURGO - SANEFR</t>
  </si>
  <si>
    <t>Pagamento de despesas com captação, tratamento e distribuição de água para o imóvel onde está instalada a Vara do Trabalho de Fraiburgo.
Exercício 2022.</t>
  </si>
  <si>
    <t>2022NE000068</t>
  </si>
  <si>
    <t>Pagamento de despesas com coleta de lixo para o imóvel onde está instalada a Vara do Trabalho de Brusque.
Exercício 2022.</t>
  </si>
  <si>
    <t>2022NE000069</t>
  </si>
  <si>
    <t>Pagamento de despesas com coleta de lixo para o imóvel onde está instalada a Vara do Trabalho de São Bento do Sul.
Exercício 2022.</t>
  </si>
  <si>
    <t>2022NE000070</t>
  </si>
  <si>
    <t>Pagamento de despesas com coleta de lixo para o imóvel onde está instalado o Fórum Trabalhista de Blumenau.
Exercício 2022.</t>
  </si>
  <si>
    <t>2022NE000071</t>
  </si>
  <si>
    <t>Pagamento de despesas com coleta de lixo para o imóvel onde está instalado o Fórum Trabalhista de Lages.
Exercício 2022.</t>
  </si>
  <si>
    <t>2022NE000072</t>
  </si>
  <si>
    <t>Pagamento de despesas com coleta de lixo para o imóvel onde está instalada a Vara do Trabalho de Fraiburgo.
Exercício 2022.</t>
  </si>
  <si>
    <t>2022NE000073</t>
  </si>
  <si>
    <t>DCELT - DISTRIBUIDORA CATARINENSE DE ENERGIA ELETRICA L</t>
  </si>
  <si>
    <t>FORNECIMENTO DE ENERGIA ELÉTRICA - VT XANXERÊ - EXERCÍCIO 2022</t>
  </si>
  <si>
    <t>2022NE000074</t>
  </si>
  <si>
    <t>CONTRIBUIÇÃO PARA O CUSTEIO DA ILUMINAÇÃO PÚBLICA (COSIP) - VT XANXERÊ - EXERCÍCIO 2022</t>
  </si>
  <si>
    <t>2022NE000075</t>
  </si>
  <si>
    <t>GIBBOR PUBLICIDADE E PUBLICACOES DE EDITAIS EIRELI</t>
  </si>
  <si>
    <t>VEICULAÇÃO DE PUBLICAÇÕES LEGAIS - EXERCÍCIO 2022</t>
  </si>
  <si>
    <t>2022NE000076</t>
  </si>
  <si>
    <t>PRODOCTOR- COM DE EQUIPAMENTOS ODONTOLOGICOS E SERV LTD</t>
  </si>
  <si>
    <t>PEÇAS PARA MANUTENÇÃO EM EQUIPAMENTOS ODONTOLÓGICOS - EXERCÍCIO 2022</t>
  </si>
  <si>
    <t>2022NE000077</t>
  </si>
  <si>
    <t>MANUTENÇÃO EM EQUIPAMENTOS ODONTOLÓGICOS - EXERCÍCIO 2022</t>
  </si>
  <si>
    <t>2022NE000078</t>
  </si>
  <si>
    <t>SERVIÇOS DE DESINSETIZAÇÃO, DESRATIZAÇÃO E CONTROLE DE PRAGAS URBANAS PARA DIVERSAS UNIDADES ADMINISTRATIVAS E JUDICIÁRIAS - EXERCÍCIO 2022</t>
  </si>
  <si>
    <t>2022NE000079</t>
  </si>
  <si>
    <t>DEDETIZADORA PLANALTO E SERVICOS LTDA</t>
  </si>
  <si>
    <t>SERVIÇOS DE DESINSETIZAÇÃO, DESRATIZAÇÃO E CONTROLE DE PRAGAS URBANAS PARA DIVERSAS UNIDADES JUDICIÁRIAS - EXERCÍCIO 2022</t>
  </si>
  <si>
    <t>2022NE000080</t>
  </si>
  <si>
    <t>ELEVTEC MANUTENCAO DE ELEVADORES LTDA</t>
  </si>
  <si>
    <t>PEÇAS PARA MANUTENÇÃO DE ELEVADORES E/OU PLATAFORMAS ELEVATÓRIAS INSTALADOS NO FÓRUM TRABALHISTA DE CHAPECÓ - EXERCÍCIO 2022</t>
  </si>
  <si>
    <t>2022NE000081</t>
  </si>
  <si>
    <t>MANUTENÇÃO EM ELEVADORES E/OU PLATAFORMAS ELEVATÓRIAS INSTALADAS NO FÓRUM TRABALHISTA DE CHAPECÓ - EXERCÍCIO 2022</t>
  </si>
  <si>
    <t>2022NE000082</t>
  </si>
  <si>
    <t>TK ELEVADORES BRASIL LTDA</t>
  </si>
  <si>
    <t>MANUTENÇÃO EM ELEVADORES E/OU PLATAFORMAS ELEVATÓRIAS INSTALADAS NA VARA DO TRABALHO DE CONCÓRDIA - EXERCÍCIO 2022</t>
  </si>
  <si>
    <t>2022NE000083</t>
  </si>
  <si>
    <t>MANUTENÇÃO EM ELEVADORES E/OU PLATAFORMAS ELEVATÓRIAS INSTALADAS NO FÓRUM TRABALHISTA DE TUBARÃO - EXERCÍCIO 2022</t>
  </si>
  <si>
    <t>2022NE000084</t>
  </si>
  <si>
    <t>E W T BRASIL ELEVADORES LTDA</t>
  </si>
  <si>
    <t>MANUTENÇÃO EM ELEVADORES E/OU PLATAFORMAS ELEVATÓRIAS INSTALADAS NOS FÓRUNS TRABALHISTAS DE BLUMENAU E ITAJAÍ - EXERCÍCIO 2022</t>
  </si>
  <si>
    <t>2022NE000085</t>
  </si>
  <si>
    <t>MANUTENÇÃO EM ELEVADORES E/OU PLATAFORMAS ELEVATÓRIAS INSTALADAS NO FÓRUM TRABALHISTA DE BALNEÁRIO CAMBORIÚ - EXERCÍCIO 2022</t>
  </si>
  <si>
    <t>2022NE000086</t>
  </si>
  <si>
    <t>MANUTENÇÃO EM ELEVADORES E/OU PLATAFORMAS ELEVATÓRIAS INSTALADAS NO FÓRUM TRABALHISTA DE SÃO JOSÉ - EXERCÍCIO 2022</t>
  </si>
  <si>
    <t>2022NE000087</t>
  </si>
  <si>
    <t>PANIFICADORA GOMES LTDA</t>
  </si>
  <si>
    <t>FORNECIMENTO DE LANCHES (COFFEE BREAK) - EXERCÍCIO 2022</t>
  </si>
  <si>
    <t>PRE-4231/2021</t>
  </si>
  <si>
    <t>2022NE000088</t>
  </si>
  <si>
    <t>KRAFTE ENGENHARIA E AUTOMACAO LTDA</t>
  </si>
  <si>
    <t>MANUTENÇÃO EM GERADORES INSTALADOS NO FÓRUM TRABALHISTA DE JOINVILLE - EXERCÍCIO 2022</t>
  </si>
  <si>
    <t>CTO-9982/2020</t>
  </si>
  <si>
    <t>2022NE000089</t>
  </si>
  <si>
    <t>PEÇAS PARA MANUTENÇÃO DE GERADORES INSTALADOS NO FÓRUM TRABALHISTA DE JOINVILLE - EXERCÍCIO 2022</t>
  </si>
  <si>
    <t>2022NE000090</t>
  </si>
  <si>
    <t>PRIME CONSULTORIA E ASSESSORIA EMPRESARIAL LTDA</t>
  </si>
  <si>
    <t>PEÇAS PARA MANUTENÇÃO DA FROTA DE VEÍCULOS DESTE TRIBUNAL - EXERCÍCIO 2022</t>
  </si>
  <si>
    <t>2022NE000091</t>
  </si>
  <si>
    <t>MANUTENÇÃO NA FROTA DE VEÍCULOS DESTE TRIBUNAL - EXERCÍCIO 2022</t>
  </si>
  <si>
    <t>2022NE000092</t>
  </si>
  <si>
    <t>REEMBOLSO DE DESPESA - AQUISIÇÃO DE ÁGUA MINERAL - VARA DO TRABALHO DE SÃO MIGUEL DO OESTE</t>
  </si>
  <si>
    <t>CD-357/2022</t>
  </si>
  <si>
    <t>(ID PAAC 15055) CELESC - Contratação de uso de postes (passagem da fibra óptica - locação CELESC) para conexão redundante entre o datacenter principal e auxiliar (Sede/Utrillo).</t>
  </si>
  <si>
    <t>(ID PAAC 15259) INTERNET LINK 1 - Contratação de acesso corporativo à internet</t>
  </si>
  <si>
    <t>(ID PAAC 15107) SCANNER - Contratação de manutenção dos scanners para remessa de processo ao TST -  SECART (Kodak i4600 e Fujitsu fi-6800)</t>
  </si>
  <si>
    <t>(ID PAAC 15066) INTERNET MOVEL - Contratação de linhas de internet móvel. O quantitativo atual é de 151 e deve ser confirmado pelos estudos da contração (Ato CSJT 43/2013).</t>
  </si>
  <si>
    <t>(ID PAAC 15019) NOBREAKS SUVT 2016 - Suporte e manutenção dos nobreaks SUVT 40kVA do Datacenter  e dos foros da Capital, de São José e da sede (prorrogação emergencial em 2021)</t>
  </si>
  <si>
    <t>REFERENTE DIFERENÇA VALOR FATURA 12/2021 -  Contratação de suporte e atualização de licenças da solução de gerenciamento de serviços de Tecnologia da Informação e Comunicação, para elaboração de requisições e chamados para serviços de TIC.</t>
  </si>
  <si>
    <t>2022NE000101</t>
  </si>
  <si>
    <t>REF. MANUTENÇÃO DE ELEVADORES E/OU PLATAFORMAS ELEVATÓRIAS - EXERCÍCIO 2021 - FÓRUM TRABALHISTA DE RIO DO SUL</t>
  </si>
  <si>
    <t>CTO-5301/2021</t>
  </si>
  <si>
    <t>2022NE000102</t>
  </si>
  <si>
    <t>PATRONAL - HONORÁRIOS PERICIAIS REF. 12/2021.</t>
  </si>
  <si>
    <t>PROAD-1862/2017</t>
  </si>
  <si>
    <t>(ID PAAC 15349) BI - Contratação de uso de software em nuvem, para gerar relatórios e informações gerenciais para apoio à decisão e à gestão</t>
  </si>
  <si>
    <t>2022NE000106</t>
  </si>
  <si>
    <t>REF. CONDOMÍNIO IMÓVEL VT PALHOÇA - COMPLEMENTO FATURA DEZEMBRO/2021.</t>
  </si>
  <si>
    <t>INFRA-PJe - Sistema Operacional (Suporte).</t>
  </si>
  <si>
    <t>INFRA - Serviços de Telecomunicação de Dados e Voz - Rede-JT.</t>
  </si>
  <si>
    <t>2022NE000109</t>
  </si>
  <si>
    <t>(ID PAAC 15369) INTERNET LINK 3 - Contratação de acesso corporativo à internet (substitui LINK 1).</t>
  </si>
  <si>
    <t>(ID PAAC 15057) INTERNET - Contratação de acesso corporativo à internet - Link 2, como redundância em relação ao acesso principal.</t>
  </si>
  <si>
    <t>2022NE000111</t>
  </si>
  <si>
    <t>TRIBUNAL REGIONAL DO TRABALHO 12ª REGIAO</t>
  </si>
  <si>
    <t xml:space="preserve">PF2080013     </t>
  </si>
  <si>
    <t>SENTENÇA DE PEQUENO VALOR - OFÍCIO SEXEC/DEFAP Nº 01 - PROAD-223/2022.</t>
  </si>
  <si>
    <t>PROAD-223/2022</t>
  </si>
  <si>
    <t>2022NE000112</t>
  </si>
  <si>
    <t>PAGAMENTO DE PENSAO CIVIL DO REGIME PROPRIO DE PREVIDENCIA DO SERVIDOR - RPPS - EXERCICIOS ANTERIORES - PROAD-69/2022</t>
  </si>
  <si>
    <t>2022NE000113</t>
  </si>
  <si>
    <t>PAGAMENTO DA CONTRIBUICAO PATRONAL - EXERCICIOS ANTERIORES - FUNPRESP LEI 12618/2012 - PROAD-69/2022</t>
  </si>
  <si>
    <t>2022NE000114</t>
  </si>
  <si>
    <t>PAGAMENTO DE VENCIMENTOS E VANTAGENS FIXAS E OUTRAS DESPESAS VARIAVEIS - EXERCICIOS ANTERIORES - PROAD-69/2022</t>
  </si>
  <si>
    <t>2022NE000115</t>
  </si>
  <si>
    <t>PAGAMENTO DE OBRIGACOES PATRONAIS - EXERCICIOS ANTERIORES - PROAD-69/2022</t>
  </si>
  <si>
    <t>(ID PAAC 15373) SO - Contratação de suporte e operação de infraestrutura de TIC/PJe - PO CSJT, inclui suporte Linux, contrato obrigatório dedicado ao PJe.</t>
  </si>
  <si>
    <t>(ID PAAC 15060) CENTRAL DE SERVIÇOS - Contratação de serviços de suporte de TIC em 1º e 2º níveis, para fornecimento de técnicos terceirizados para atendimento aos chamados de TIC, no Estado.</t>
  </si>
  <si>
    <t>2022NE000118</t>
  </si>
  <si>
    <t>Pagamento de despesas com coleta de lixo para o imóvel onde está instalado o Fórum Trabalhista de Itajaí.
Exercício 2022.</t>
  </si>
  <si>
    <t>CD-510/2022</t>
  </si>
  <si>
    <t>2022NE000119</t>
  </si>
  <si>
    <t>POSTOS DE TRABALHO DE RECEPCIONISTAS PARA DIVERSAS UNIDADES - REF. DEZEMBRO/2021</t>
  </si>
  <si>
    <t>CD-7541/2021</t>
  </si>
  <si>
    <t>(ID PAAC 15056) REDE JT - Ciasc - Contratação de links de alto desempenho para as conexões de dados entre as unidades do TRT.</t>
  </si>
  <si>
    <t>(ID PAAC 15355) BANCO DE DADOS - Contratação de suporte e atualização de licenças Oracle, para os sistemas PROAD, SIGEP</t>
  </si>
  <si>
    <t>PRE-9758/2021</t>
  </si>
  <si>
    <t>(ID PAAC 15356) ANTIVÍRUS - Aquisição de licenças de solução de antivírus com suporte e atualização, para proteção contra ameaças externas (continua o 1366/2017, ID 15004)</t>
  </si>
  <si>
    <t>(ID PAAC 15364) SALA COFRE 2022 - Contratação de manutenção de sala cofre, que abriga o Datacenter principal, onde são armazenados todos os dados e os equipamentos de processamento de dados corporativos.</t>
  </si>
  <si>
    <t>(ID PAAC 15072) NUVEM Google 1 - Contratação de licença de uso de serviço de nuvem de comunicação e colaboração</t>
  </si>
  <si>
    <t>(ID PAAC 15060) CENTRAL DE SERVIÇOS - Contratação de serviços de suporte de TIC em 1º e 2º níveis - 2022, para fornecimento de técnicos terceirizados para atendimento aos chamados de TIC, no Estado.</t>
  </si>
  <si>
    <t>(ID PAAC 15308) SEGURANÇA - Continuidade do serviço de suporte técnico do Sistema de Softwares de Segurança em uso nas unidades do TRT/SC (SENIOR)</t>
  </si>
  <si>
    <t>PRE-7825/2020</t>
  </si>
  <si>
    <t>2022NE000130</t>
  </si>
  <si>
    <t>MUNICIPIO DE FLORIANOPOLIS</t>
  </si>
  <si>
    <t>TAXA DE VISTORIA DE HABITE-SE / PROVIDÊNCIAS DE SEGURANÇA CONTRA INCÊNDIO E PÂNICO - 2022 - SEDE.</t>
  </si>
  <si>
    <t>CD-590/2022</t>
  </si>
  <si>
    <t>2022NE000131</t>
  </si>
  <si>
    <t>Fornecimento de água mineral em bombonas de 20 (vinte) litros para unidades deste Regional durante o exercício 2021. - REF. DEZEMBRO/2021</t>
  </si>
  <si>
    <t>CD-12154/2020</t>
  </si>
  <si>
    <t>2022NE000132</t>
  </si>
  <si>
    <t>DISK AGUA CIDADE COMERCIO DE BEBIDAS LTDA</t>
  </si>
  <si>
    <t>2022NE000133</t>
  </si>
  <si>
    <t>KOMPETENZ CLIMATIZACAO LTDA</t>
  </si>
  <si>
    <t>PEÇAS PARA MANUTENÇÃO DE EQUIPAMENTOS DE CLIMATIZAÇÃO INSTALADOS EM DIVERSAS UNIDADES - EXERCÍCIO 2022</t>
  </si>
  <si>
    <t>2022NE000134</t>
  </si>
  <si>
    <t>MANUTENÇÃO EM EQUIPAMENTOS DE CLIMATIZAÇÃO INSTALADOS EM DIVERSAS UNIDADES - EXERCÍCIO 2022</t>
  </si>
  <si>
    <t>2022NE000135</t>
  </si>
  <si>
    <t>AQUISIÇÃO DE 04 (QUATRO) VENTILADORES DE PAREDE.
A REGULARIDADE FISCAL E TRABALHISTA DEVERÁ SER MANTIDA DURANTE A VIGÊNCIA DA CONTRATAÇÃO, SOB PENA DE RETENÇÃO E EXECUÇÃO DA MULTA DE 1% DO VALOR DA NOTA FISCAL.
MULTA MORA DE 0,3% AO DIA, LIMIT. 10% VALOR ITEM. CASO ATRASO SUPERIOR A 34 DIAS, MULTA INEXECUÇÃO: PARCIAL, 5%. TOTAL, 10%.</t>
  </si>
  <si>
    <t>CD-488/2022</t>
  </si>
  <si>
    <t>2022NE000136</t>
  </si>
  <si>
    <t>CATARINENSE AR CONDICIONADO LTDA</t>
  </si>
  <si>
    <t>2022NE000137</t>
  </si>
  <si>
    <t>MANUTENÇÃO EM ELEVADORES E/OU PLATAFORMAS ELEVATÓRIAS INSTALADOS NA VT SÃO MIGUEL DO OESTE E NO FT RIO DO SUL - EXERCÍCIO 2022</t>
  </si>
  <si>
    <t>2022NE000138</t>
  </si>
  <si>
    <t>MANUTENÇÃO EM ELEVADORES E/OU PLATAFORMAS ELEVATÓRIAS INSTALADOS NO FT BRUSQUE E EDIFÍCIO SEDE - EXERCÍCIO 2022</t>
  </si>
  <si>
    <t>CTO-5300/2021</t>
  </si>
  <si>
    <t>2022NE000139</t>
  </si>
  <si>
    <t>MANUTENÇÃO EM GRUPO GERADOR INSTALADO NO FÓRUM TRABALHISTA DE FLORIANÓPOLIS - EXERCÍCIO 2022</t>
  </si>
  <si>
    <t>2022NE000140</t>
  </si>
  <si>
    <t>PEÇAS PARA MANUTENÇÃO DE GRUPO GERADOR INSTALADO NO FT FLORIANÓPOLIS - EXERCÍCIO 2022</t>
  </si>
  <si>
    <t>2022NE000141</t>
  </si>
  <si>
    <t>MANUTENÇÃO EM ELEVADORES E/OU PLATAFORMAS ELEVATÓRIAS INSTALADOS NA VT CANOINHAS - EXERCÍCIO 2022</t>
  </si>
  <si>
    <t>PRE-4295/2021</t>
  </si>
  <si>
    <t>2022NE000142</t>
  </si>
  <si>
    <t>CD-4295/2021</t>
  </si>
  <si>
    <t>2022NE000143</t>
  </si>
  <si>
    <t>L E GERADORES PECAS E SERVICOS LTDA</t>
  </si>
  <si>
    <t>MANUTENÇÃO EM GRUPO GERADOR INSTALADO NO EDIFÍCIO SEDE - EXERCÍCIO 2022</t>
  </si>
  <si>
    <t>PRE-8074/2021</t>
  </si>
  <si>
    <t>2022NE000144</t>
  </si>
  <si>
    <t>CONDOMÍNIO - REF. IMÓVEL VT ARARANGUÁ - EXERCÍCIO 2022</t>
  </si>
  <si>
    <t>2022NE000145</t>
  </si>
  <si>
    <t>LOCAÇÃO IMÓVEL VT ARARANGUÁ - EXERCÍCIO 2022</t>
  </si>
  <si>
    <t>2022NE000146</t>
  </si>
  <si>
    <t>CONDOMINIO RESIDENCIAL E COMERCIAL DALPE</t>
  </si>
  <si>
    <t>CONDOMÍNIO - REF. IMÓVEL VT NAVEGANTES - EXERCÍCIO 2022</t>
  </si>
  <si>
    <t>2022NE000147</t>
  </si>
  <si>
    <t>DALPE COM DE MOVEIS E ELETRODOMESTICOS LTDA</t>
  </si>
  <si>
    <t>LOCAÇÃO, IPTU E COLETA DE LIXO - REF. IMÓVEL VT NAVEGANTES - EXERCÍCIO 2022</t>
  </si>
  <si>
    <t>2022NE000148</t>
  </si>
  <si>
    <t>CONDOMÍNIO - REF. IMÓVEL VT PALHOÇA - EXERCÍCIO 2022</t>
  </si>
  <si>
    <t>2022NE000149</t>
  </si>
  <si>
    <t>SANTA CATARINA GESTAO E PARTICIPACOES LTDA</t>
  </si>
  <si>
    <t>LOCAÇÃO - REF. IMÓVEL VT PALHOÇA - EXERCÍCIO 2022</t>
  </si>
  <si>
    <t>2022NE000150</t>
  </si>
  <si>
    <t>ASTORGA ADMINISTRADORA LTDA</t>
  </si>
  <si>
    <t>LOCAÇÃO, CONDOMÍNIO, IPTU E COLETA DE LIXO - REF. IMÓVEL VT TIMBÓ - EXERCÍCIO 2022</t>
  </si>
  <si>
    <t>2022NE000151</t>
  </si>
  <si>
    <t>Peças para a prestação de serviços em divisórias naval, perfis em aço, fechaduras, portas, manta lã de vidro. Exercício 2022.</t>
  </si>
  <si>
    <t>2022NE000152</t>
  </si>
  <si>
    <t>Prestação de serviços de manutenção e conservação de divisórias naval, portas, fechaduras e mantas lã de vidro. Exercício 2022.</t>
  </si>
  <si>
    <t>2022NE000153</t>
  </si>
  <si>
    <t>LIDERANCA LIMPEZA E CONSERVACAO LTDA</t>
  </si>
  <si>
    <t>SERVIÇOS TERCEIRIZADOS DE LIMPEZA, CONSERVAÇÃO PREDIAL E MANUTENÇÃO DE PÁTIOS E JARDINS NAS CIDADES QUE ESPECIFICA. EXERCÍCIO 2022.</t>
  </si>
  <si>
    <t>2022NE000154</t>
  </si>
  <si>
    <t>EMPRESA BRASILEIRA DE CORREIOS E TELEGRAFOS</t>
  </si>
  <si>
    <t>CONTRATAÇÃO DA EMPRESA BRASILEIRA DE CORREIOS E TELÉGRAFOS PARA A EXECUÇÃO DE SERVIÇOS E PROCEDIMENTOS OPERACIONAIS RELACIONADOS À POSTAGEM DE DOCUMENTOS E VOLUMES.
EXERCÍCIO 2022.</t>
  </si>
  <si>
    <t>2022NE000155</t>
  </si>
  <si>
    <t>PATRIA SEGURANCA LTDA</t>
  </si>
  <si>
    <t>CONTRATAÇÃO DE SERVIÇO ESPECIALIZADO DE VIGILÂNCIA ARMADA PARA OS FÓRUNS TRABALHISTAS DE DE RIO DO SUL, JOINVILLE, LAGES, BLUMENAU E CHAPECÓ. EXERCÍCIO 2022.</t>
  </si>
  <si>
    <t>2022NE000156</t>
  </si>
  <si>
    <t>ONDREPSB-SERVICO DE GUARDA E VIGILANCIA LTDA</t>
  </si>
  <si>
    <t>VIGILÂNCIA ARMADA PARA OS FÓRUNS TRABALHISTAS DE SÃO JOSÉ E FLORIANÓPOLIS, PRÉDIO SEDE, COORD. SAÚDE E SEMAP (ALMOXARIFADO). EXERCÍCIO 2022.</t>
  </si>
  <si>
    <t>2022NE000157</t>
  </si>
  <si>
    <t>VIGISOL VIGILANCIA PATRIMONIAL EIRELI</t>
  </si>
  <si>
    <t>VIGILÂNCIA ARMADA PARA O FÓRUM TRABALHISTA DE CRICIÚMA/SC. EXERCÍCIO 2022.</t>
  </si>
  <si>
    <t>2022NE000158</t>
  </si>
  <si>
    <t>ORBENK ADMINISTRACAO E SERVICOS LTDA.</t>
  </si>
  <si>
    <t>DESPESAS COM A CONTRATAÇÃO DE SERVIÇOS TERCEIRIZADOS DIVERSOS PARA AS UNIDADES QUE ESPECIFICA. EXERCÍCIO 2022.</t>
  </si>
  <si>
    <t>2022NE000159</t>
  </si>
  <si>
    <t>PROACTIVA MEIO AMBIENTE BRASIL LTDA</t>
  </si>
  <si>
    <t>SERVIÇO DE COLETA DE RESÍDUOS BIOLÓGICOS PRODUZIDOS PELA COORDENADORIA DE SAÚDE. EXERCÍCIO 2022.</t>
  </si>
  <si>
    <t>2022NE000160</t>
  </si>
  <si>
    <t>SENFFNET INSTITUICAO DE PAGAMENTO LTDA</t>
  </si>
  <si>
    <t>DESPESAS COM A OPERACIONALIZAÇÃO DE SISTEMA INFORMATIZADO E INTEGRADO DE GESTÃO DE FORNECIMENTO DE COMBUSTÍVEIS AOS VEÍCULOS DESTE REGIONAL. EXERCÍCIO 2022.</t>
  </si>
  <si>
    <t>2022NE000161</t>
  </si>
  <si>
    <t>DISTAK AGENCIA DE VIAGENS E TURISMO LTDA</t>
  </si>
  <si>
    <t>COMISSÃO NA EMISSÃO DE PASSAGENS AÉREAS NO EXERCÍCIO DE 2022.</t>
  </si>
  <si>
    <t>2022NE000162</t>
  </si>
  <si>
    <t>FORNECIMENTO DE PASSAGENS AÉREAS. EXERCÍCIO 2022.</t>
  </si>
  <si>
    <t>2022NE000163</t>
  </si>
  <si>
    <t>ORSEGUPS SEGURANCA E VIGILANCIA LTDA</t>
  </si>
  <si>
    <t>DESPESAS COM SEGURANÇA ELETRÔNICA NAS UNIDADES QUE ESPECIFICA. EXERCÍCIO 2022.</t>
  </si>
  <si>
    <t>2022NE000164</t>
  </si>
  <si>
    <t>ORCALI SERVICOS DE SEGURANCA LTDA.</t>
  </si>
  <si>
    <t>2022NE000165</t>
  </si>
  <si>
    <t>SERVIÇO DE TELEFONIA MÓVEL, COM FORNECIMENTO DE APARELHOS, NO EXERCÍCIO 2022.</t>
  </si>
  <si>
    <t>2022NE000166</t>
  </si>
  <si>
    <t>REUNIDAS TRANSPORTES S.A</t>
  </si>
  <si>
    <t>SERVIÇO DE TRANSPORTE RODOVIÁRIO DE CARGAS, SOB DEMANDA, ENTRE AS UNIDADES JUDICIÁRIAS E ADMINISTRATIVAS DO TRT12. EXERCÍCIO 2022.</t>
  </si>
  <si>
    <t>PRE-1241/2021</t>
  </si>
  <si>
    <t>2022NE000167</t>
  </si>
  <si>
    <t>PAULO DA SILVA DUARTE EXTINTORES</t>
  </si>
  <si>
    <t>MANUTENÇÃO NOS EXTINTORES/MANGUEIRAS DE INCÊNDIO NO EXERCÍCIO 2022.</t>
  </si>
  <si>
    <t>2022NE000168</t>
  </si>
  <si>
    <t>ELEVADORES CASTELO LTDA</t>
  </si>
  <si>
    <t>MANUTENÇÃO EM ELEVADORES E/OU PLATAFORMAS ELEVATÓRIAS INSTALADOS NO FÓRUM TRABALHISTA DE CRICIÚMA - EXERCÍCIO 2022</t>
  </si>
  <si>
    <t>2022NE000169</t>
  </si>
  <si>
    <t>MANUTENÇÃO EM EQUIPAMENTOS DE CLIMATIZAÇÃO INSTALADOS EM DIVERSAS UNIDADES DESTE REGIONAL - EXERCÍCIO 2022</t>
  </si>
  <si>
    <t>2022NE000170</t>
  </si>
  <si>
    <t>PEÇAS PARA MANUTENÇÃO DE EQUIPAMENTOS DE CLIMATIZAÇÃO INSTALADOS EM DIVERSAS UNIDADES DESTE REGIONAL - EXERCÍCIO 2022</t>
  </si>
  <si>
    <t>2022NE000171</t>
  </si>
  <si>
    <t>HIDRO BOMBAS SERVICOS LTDA</t>
  </si>
  <si>
    <t>MANUTENÇÃO EM BOMBAS DE RECALQUE E SUCÇÃO INSTALADAS EM DIVERSAS UNIDADES - EXERCÍCIO 2022</t>
  </si>
  <si>
    <t>2022NE000172</t>
  </si>
  <si>
    <t>OI S.A. - EM RECUPERACAO JUDICIAL</t>
  </si>
  <si>
    <t>TELEFONIA FIXA PARA AS UNIDADES DO TRT12. EXERCÍCIO 2022.</t>
  </si>
  <si>
    <t>2022NE000173</t>
  </si>
  <si>
    <t>CLEVERSON JEAN DARTORA EXTINSETO</t>
  </si>
  <si>
    <t>SERVIÇOS DE DESINSETIZAÇÃO, DESRATIZAÇÃO E CONTROLE DE PRAGAS URBANAS PARA DIVERSAS UNIDADES - EXERCÍCIO 2022</t>
  </si>
  <si>
    <t>2022NE000174</t>
  </si>
  <si>
    <t>GENTE SEGURADORA SA</t>
  </si>
  <si>
    <t>CONTRATAÇÃO DE SEGUROS PARA OS IMÓVEIS E CONTEÚDO DAS UNIDADES JUDICIÁRIAS E ADMINISTRATIVAS DESTE TRIBUNAL.</t>
  </si>
  <si>
    <t>2022NE000175</t>
  </si>
  <si>
    <t>REDE NACIONAL DE APRENDIZAGEM, PROMOCAO SOCIAL E INTEGR</t>
  </si>
  <si>
    <t>CONTRATAÇÃO DE INSTITUIÇÃO PARA RECRUTAMENTO E SELEÇÃO - PROGRAMA JOVEM APRENDIZ.</t>
  </si>
  <si>
    <t>CD-10941/2021</t>
  </si>
  <si>
    <t>2022NE000176</t>
  </si>
  <si>
    <t>AREN ADMINISTRADORA DE BENS LTDA</t>
  </si>
  <si>
    <t>LOCAÇÃO, CONDOMÍNIO, IPTU - REF. IMÓVEL FT JARAGUÁ DO SUL - EXERCÍCIO 2022</t>
  </si>
  <si>
    <t>2022NE000177</t>
  </si>
  <si>
    <t>LHL MANUTENCAO E INSTALACAO DE AR CONDICIONADO LTDA</t>
  </si>
  <si>
    <t>CTO-8211/2021</t>
  </si>
  <si>
    <t>2022NE000178</t>
  </si>
  <si>
    <t>2022NE000179</t>
  </si>
  <si>
    <t>Pagamento de despesas com coleta de lixo para o imóvel onde está instalado o Fórum Trabalhista de Joinville.
Exercício 2022.</t>
  </si>
  <si>
    <t>CD-629/2022</t>
  </si>
  <si>
    <t>2022NE000180</t>
  </si>
  <si>
    <t>FORNECIMENTO DE ENERGIA ELÉTRICA PARA DIVERSAS UNIDADES DESTE REGIONAL. EXERCÍCIO 2022.</t>
  </si>
  <si>
    <t>2022NE000181</t>
  </si>
  <si>
    <t>CONTRIBUIÇÃO PARA CUSTEIO DE ILUMINAÇÃO PÚBLICA PARA DIVERSAS UNIDADES DESTE REGIONAL. EXERCÍCIO 2022.</t>
  </si>
  <si>
    <t>2022NE000182</t>
  </si>
  <si>
    <t>Pagamento de despesas com coleta de lixo para o imóvel onde está instalado o Fórum Trabalhista de São José.
Exercício 2022.</t>
  </si>
  <si>
    <t>CD-523/2022</t>
  </si>
  <si>
    <t>2022NE000183</t>
  </si>
  <si>
    <t>ELEVACON ELEVADORES CONSERVACAO E MANUTENCAO LTDA</t>
  </si>
  <si>
    <t>PEÇAS PARA MANUTENÇÃO DE ELEVADORES E/OU PLATAFORMAS ELEVATÓRIAS INSTALADOS NO PRÉDIO SEDE, ANEXO, ALMOXARIFADO E FÓRUNS TRABALHISTAS DE FLORIANÓPOLIS E LAGES - EXERCÍCIO 2022</t>
  </si>
  <si>
    <t>2022NE000184</t>
  </si>
  <si>
    <t>MANUTENÇÃO EM ELEVADORES E/OU PLATAFORMAS ELEVATÓRIAS INSTALADOS NO PRÉDIO SEDE, ANEXO, ALMOXARIFADO E FÓRUNS TRABALHISTAS DE FLORIANÓPOLIS E LAGES - EXERCÍCIO 2022</t>
  </si>
  <si>
    <t>2022NE000185</t>
  </si>
  <si>
    <t>TRIBUNAL REGIONAL DO TRABALHO DA 12A REGIAO</t>
  </si>
  <si>
    <t>Contratação de serviços de digitalização de documentos e autos físicos de processos judiciais. Exercício 2022.</t>
  </si>
  <si>
    <t>PRE-7199/2021</t>
  </si>
  <si>
    <t>2022NE000186</t>
  </si>
  <si>
    <t>JVP NETWORK &amp; SERVICOS LTDA</t>
  </si>
  <si>
    <t>2022NE000187</t>
  </si>
  <si>
    <t>Contratação de empresa para prestação de serviços de apoio administrativo na área de odontologia - Auxiliar em Saúde Bucal (ASB). Exercício 2022.</t>
  </si>
  <si>
    <t>PRE-7668/2021</t>
  </si>
  <si>
    <t>2022NE000188</t>
  </si>
  <si>
    <t>MANUTENÇÃO EM ELEVADORES E/OU PLATAFORMAS ELEVATÓRIAS INSTALADOS NO FÓRUM TRABALHISTA DE JOINVILLE - EXERCÍCIO 2022</t>
  </si>
  <si>
    <t>PRE-10928/2020</t>
  </si>
  <si>
    <t>2022NE000189</t>
  </si>
  <si>
    <t>Pagamento de despesas com coleta de lixo para o imóvel onde está instalada a Vara do Trabalho de Concórdia.
Exercício 2022.</t>
  </si>
  <si>
    <t>CD-904/2022</t>
  </si>
  <si>
    <t>CONTRATAÇÃO DE EMPRESA PARA PRESTAÇÃO DE SERVIÇOS DE MANUTENÇÃO PREVENTIVA E CORRETIVA, COM FORNECIMENTO DE PEÇAS (EXCETO BATERIAS), PARA NOBREAKS APC ¿ SUVT 40KVA.</t>
  </si>
  <si>
    <t>Adesão a Ata de Registro de Preços nº 13/2021 - TRT22 - Participante
Licenças Adobe Creative Cloud</t>
  </si>
  <si>
    <t>2022NE000192</t>
  </si>
  <si>
    <t>DESPESAS COM CONTRATAÇÃO DE SERVIÇOS TERCEIRIZADOS PARA DIVERSAS UNIDADES. EXERCÍCIO 2022.</t>
  </si>
  <si>
    <t>2022NE000193</t>
  </si>
  <si>
    <t>CONTRATAÇÃO DE EMPRESA ESPECIALIZADA PARA PRESTAÇÃO DE SERVIÇOS TERCEIRIZADOS DE LIMPEZA E CONSERVAÇÃO PREDIAL, NO POSTO DE RECEPCIONISTA, PARA AS UNIDADES DO TRT/SC.
EXERCÍCIO 2022.</t>
  </si>
  <si>
    <t>2022NE000194</t>
  </si>
  <si>
    <t>MOVELOM PARTICIPACOES LTDA</t>
  </si>
  <si>
    <t>LOCAÇÃO E IPTU - REF. IMÓVEL FT BALNEÁRIO CAMBORIÚ - EXERCÍCIO 2022</t>
  </si>
  <si>
    <t>2022NE000195</t>
  </si>
  <si>
    <t>DS MANUTENCAO DE AR CONDICIONADO EIRELI</t>
  </si>
  <si>
    <t>2022NE000196</t>
  </si>
  <si>
    <t>2022NE000197</t>
  </si>
  <si>
    <t>DESPESAS COM SERVIÇOS TERCEIRIZADOS DE LIMPEZA, CONSERVAÇÃO PREDIAL, LAVAÇÃO DE VEÍCULOS, LIMPEZA DE PÁTIOS E JARDINS, RECEPÇÃO, COPEIRAGEM E GARÇONS NAS UNIDADES DO TRT12, CONFORME ESPECIFICAÇÃO, NO EXERCÍCIO 2022.</t>
  </si>
  <si>
    <t>2022NE000198</t>
  </si>
  <si>
    <t>MUNICIPIO DE BLUMENAU</t>
  </si>
  <si>
    <t>TAXA DE PREVENÇÃO CONTRA SINISTRO / PROVIDÊNCIAS DE SEGURANÇA CONTRA INCÊNDIO E PÂNICO - 2022 - FT BLUMENAU.</t>
  </si>
  <si>
    <t>CD-1064/2022</t>
  </si>
  <si>
    <t>2022NE000199</t>
  </si>
  <si>
    <t>PEÇAS PARA MANUTENÇÃO DE GERADORES INSTALADOS NO EDIFÍCIO-SEDE DESTE REGIONAL - EXERCÍCIO 2022</t>
  </si>
  <si>
    <t>2022NE000200</t>
  </si>
  <si>
    <t>MARCIA CASTRO SPENASSATTO</t>
  </si>
  <si>
    <t>FORNECIMENTO DE ÁGUA MINERAL SEM GÁS, ACONDICIONADA EM BOMBONAS PLÁSTICAS, RETORNÁVEIS, DE 20 (VINTE) LITROS, PARA CONSUMO NO EXERCÍCIO DE 2022 NA UNIDADE DE SÃO MIGUEL DO OESTE. A REGULARIDADE FISCAL E TRABALHISTA DEVERÁ SER MANTIDA DURANTE A VIGÊNCIA  DA CONTRATAÇÃO, SOB PENA DE RETENÇÃO E EXECUÇÃO DA MULTA DE 1% DO VALOR DA NOTA FISCAL.</t>
  </si>
  <si>
    <t>CD-972/2022</t>
  </si>
  <si>
    <t>2022NE000201</t>
  </si>
  <si>
    <t>SA PRODUCOES E SERVICOS LTDA</t>
  </si>
  <si>
    <t>Despesas com a contratação de empresa para fornecimento continuado, sob demanda, de itens de sinalização e comunicação visual para o exercício de 2022.</t>
  </si>
  <si>
    <t>PRE-10598/2021</t>
  </si>
  <si>
    <t>2022NE000202</t>
  </si>
  <si>
    <t>BANCO DO BRASIL SA</t>
  </si>
  <si>
    <t>RESSARCIMENTO DE DESPESAS COM CONDOMÍNIO E IPTU REF. IMÓVEL 3ª VT BLUMENAU. EXERCÍCIO 2021.</t>
  </si>
  <si>
    <t>2022NE000203</t>
  </si>
  <si>
    <t>ENCARGOS PATRONAIS - CAPACITAÇÃO DE RECURSOS HUMANOS.</t>
  </si>
  <si>
    <t>PROAD-69/2021</t>
  </si>
  <si>
    <t>2022NE000204</t>
  </si>
  <si>
    <t>CLEIDE TEIXEIRA DUQUE BRANDAO 10628247842</t>
  </si>
  <si>
    <t>RESSARCIMENTO DOS PREJUÍZOS CAUSADOS PELO VAZAMENTO OCORRIDO NO FÓRUM TRABALHISTA DE JARAGUÁ DO SUL À EMPRESA CLEIDE TEIXEIRA DUQUE BRANDÃO 10628247842 (DECOR e AFINS LTDA).</t>
  </si>
  <si>
    <t>CD-1163/2022</t>
  </si>
  <si>
    <t>2022NE000205</t>
  </si>
  <si>
    <t>DESPESAS DE COLETA DE LIXO REF. VARA DO TRABALHO DE IMBITUBA de 2022.</t>
  </si>
  <si>
    <t>2022NE000206</t>
  </si>
  <si>
    <t>MAJESTADE GUIMARAES LTDA</t>
  </si>
  <si>
    <t>REALIZAÇÃO DE ENSAIO E LAUDO DE COEFICIENTE DE ATRITO DINÂMICO NO PRÉDIO SEDE DA VT CANOINHAS P/ ATENDIMENTO À IN 018 DO CBMSC. A REG.FISCAL E TRAB. DEVERÁ SER MANTIDA NA VIG. DA CONTRATAÇÃO, SOB PENA DE RETENÇÃO E EXEC.MULTA 1% DA NOTA FISCAL. -MULTA DE MORA DE 0,3% POR DIA DE ATRASO SOBRE O VALOR DO CONTRATO, LIMITADA A 10% DO VALOR TOTAL, SEM PREJUÍZO DAS DEMAIS SANÇÕES. -EM CASO DE ATRASO SUPERIOR A 20 DIAS, PODERÁ A ADM DECLARAR A INEXECUÇÃO CONTRATUAL.</t>
  </si>
  <si>
    <t>CD-1192/2022</t>
  </si>
  <si>
    <t>2022NE000207</t>
  </si>
  <si>
    <t>RESSARCIMENTO DE DESPESAS COM CONDOMÍNIO E IPTU REF. IMÓVEL 1ª E 4ª VTs BLUMENAU. EXERCÍCIO 2021. (DEA)</t>
  </si>
  <si>
    <t>2022NE000208</t>
  </si>
  <si>
    <t>NP TECNOLOGIA E GESTAO DE DADOS LTDA</t>
  </si>
  <si>
    <t>CONTRATAÇÃO DE EMPRESA ESPECIALIZADA NO FORNECIMENTO DE ASSINATURA DE FERRAMENTA DE PESQUISA E COMPARAÇÃO DE PREÇOS PRATICADOS PELA ADMINISTRAÇÃO PÚBLICA, DENOMINADA BANCO DE PREÇOS. A REGULARIDADE FISCAL E TRABALHISTA DEVERÁ SER MANTIDA DURANTE A VIGÊNCIA  DA CONTRATAÇÃO, SOB PENA DE RETENÇÃO E EXECUÇÃO DA MULTA DE 1% DO VALOR DA NOTA FISCAL.</t>
  </si>
  <si>
    <t>CD-1341/2022</t>
  </si>
  <si>
    <t>2022NE000209</t>
  </si>
  <si>
    <t>REEMBOLSO DE DESPESAS RELATIVOS A COMPRA DE ÁGUA MINERAL EM GALÕES DE 20 LITROS PARA A VARA DO TRABALHO DE SÃO MIGUEL DO OESTE.</t>
  </si>
  <si>
    <t>CD-1381/2022</t>
  </si>
  <si>
    <t>2022NE000210</t>
  </si>
  <si>
    <t>PAGAMENTO DE TAXAS DE LICENCIAMENTO ANUAL DA FROTA DE VEÍCULOS DESTE TRIBUNAL, REFERENTE AO EXERCÍCIO DE 2022.</t>
  </si>
  <si>
    <t>CD-1383/2022</t>
  </si>
  <si>
    <t>2022NE000211</t>
  </si>
  <si>
    <t>MUNICIPIO DE CHAPECO</t>
  </si>
  <si>
    <t>PAGAMENTO DAS DESPESAS COM A COLETA DE LIXO E COSIP DO IMÓVEL ONDE ESTÁ INSTALADO O FÓRUM TRABALHISTA DE CHAPECÓ, DURANTE O EXERCÍCIO DE 2022.</t>
  </si>
  <si>
    <t>CD-1398/2022</t>
  </si>
  <si>
    <t>2022NE000212</t>
  </si>
  <si>
    <t>NITH TREINAMENTOS LTDA</t>
  </si>
  <si>
    <t>PAGAMENTO DE INSCRIÇÃO DE SERVIDOR PARA PARTICIPAÇÃO NO CURSO ¿FORMAÇÃO DE ESPECIALISTA EM DP E ESOCIAL¿, NA MODALIDADE A DISTÂNCIA. A REGULARIDADE FISCAL E TRABALHISTA DEVERÁ SER MANTIDA DURANTE A VIGÊNCIA  DA CONTRATAÇÃO, SOB PENA DE RETENÇÃO E EXECUÇÃO DA MULTA DE 1% DO VALOR DA NOTA FISCAL.</t>
  </si>
  <si>
    <t>CD-1505/2022</t>
  </si>
  <si>
    <t>2022NE000213</t>
  </si>
  <si>
    <t>INTERPRES - EMPRESA DE TRADUCAO E INTERPRETACAO DE LIBR</t>
  </si>
  <si>
    <t>CONTRATAÇÃO EMERGENCIAL DE EMPRESA PARA PRESTAÇÃO DE SERVIÇOS DE INTERPRETAÇÃO SIMULTÂNEA EM LÍNGUA BRASILEIRA DE SINAIS (LIBRAS), SOB DEMANDA.</t>
  </si>
  <si>
    <t>CD-9635/2021</t>
  </si>
  <si>
    <t>2022NE000214</t>
  </si>
  <si>
    <t>PAGAMENTO DE INATIVOS DO REGIME PRÓPRIO DE PREVIDÊNCIA DO SERVIDOR - RPPS - EXERCÍCIOS ANTERIORES - ART. 13, RESOLUÇÃO 137/2014 - PROAD-69/2022.</t>
  </si>
  <si>
    <t>2022NE000215</t>
  </si>
  <si>
    <t>UNA COMUNICACAO E PARTICIPACOES LTDA</t>
  </si>
  <si>
    <t>CONTRATAÇÃO DE POSTO DE TRABALHO DE TÉCNICO DE ÁUDIO E VÍDEO DE FORMA RESIDENTE.</t>
  </si>
  <si>
    <t>5460/2019</t>
  </si>
  <si>
    <t>2022NE000216</t>
  </si>
  <si>
    <t>SENTENÇA DE PEQUENO VALOR - OFÍCIO SEXEC/DEFAP Nº 84 - PROAD-1319/2022.</t>
  </si>
  <si>
    <t>PROAD-1319/2022</t>
  </si>
  <si>
    <t>2022NE000217</t>
  </si>
  <si>
    <t>MUNICIPIO DE LAGES</t>
  </si>
  <si>
    <t>PAGAMENTO DE TAXAS DE PREVENÇÃO CONTRA SINISTRO E PROVIDÊNCIAS DE SEGURANÇA CONTRA INCÊNDIO E PÂNICO DO PRÉDIO QUE ABRIGA O FÓRUM TRABALHISTA DE LAGES, REFERENTE AO EXERCÍCIO 2022.</t>
  </si>
  <si>
    <t>CD-1595/2022</t>
  </si>
  <si>
    <t>2022NE000218</t>
  </si>
  <si>
    <t>PAGAMENTO DE TAXA DE PREVENÇÃO CONTRA SINISTRO E PROVIDÊNCIAS DE SEGURANÇA CONTRA INCÊNDIO E PÂNICO DO PRÉDIO QUE ABRIGA O FÓRUM TRABALHISTA DE FLORIANÓPOLIS, REFERENTE AO EXERCÍCIO DE 2022.</t>
  </si>
  <si>
    <t>2022NE000219</t>
  </si>
  <si>
    <t>MUNICIPIO DE TUBARAO</t>
  </si>
  <si>
    <t>PAGAMENTO DE TAXA DE PREVENÇÃO CONTRA SINISTRO E PROVIDÊNCIAS DE SEGURANÇA CONTRA INCÊNDIO E PÂNICO DO PRÉDIO QUE ABRIGA O FÓRUM TRABALHISTA DE TUBARÃO, REFERENTE AO EXERCÍCIO DE 2022.</t>
  </si>
  <si>
    <t>2022NE000220</t>
  </si>
  <si>
    <t>PAGAMENTO DE TAXA DE PREVENÇÃO CONTRA SINISTRO E PROVIDÊNCIAS DE SEGURANÇA CONTRA INCÊNDIO E PÂNICO DO PRÉDIO QUE ABRIGA O FÓRUM TRABALHISTA DE CHAPECÓ, REFERENTE AO EXERCÍCIO DE 2022.</t>
  </si>
  <si>
    <t>2022NE000221</t>
  </si>
  <si>
    <t>PAGAMENTO DE PASSIVOS - FPS 02/2022-02 E FPS 02/2022-06 - PROAD-1636/2022.</t>
  </si>
  <si>
    <t>PROAD-1636/2022</t>
  </si>
  <si>
    <t>2022NE000222</t>
  </si>
  <si>
    <t>Contratação de empresa especializada para prestação de serviços de fornecimento de lanches, tipo COFFEE BREAK, sob demanda, na cidade de Florianópolis-SC.</t>
  </si>
  <si>
    <t>2022NE000223</t>
  </si>
  <si>
    <t>MUNICIPIO DE CURITIBANOS</t>
  </si>
  <si>
    <t>PAGAMENTO DE TAXA DE COLETA DE LIXO DO IMÓVEL ONDE ESTÁ INSTALADA A VARA DO TRABALHO DE CURITIBANOS, REFERENTE AO EXERCÍCIO 2022.</t>
  </si>
  <si>
    <t>CD-1742/2022</t>
  </si>
  <si>
    <t>2022NE000224</t>
  </si>
  <si>
    <t>DESPESA COM TAXA DE COLETA DE LIXO DO FÓRUM TRABALHISTA DE CRICIÚMA PARA O ANO DE 2022.</t>
  </si>
  <si>
    <t>2022NE000225</t>
  </si>
  <si>
    <t>JOSIANE CRISTINA CRUZ 04294499923</t>
  </si>
  <si>
    <t>SERVIÇOS DE ENCADERNAÇÃO. A REGULARIDADE FISCAL E TRABALHISTA DEVERÁ SER MANTIDA NA VIGÊNCIA DA CONTRATAÇÃO, SOB PENA DE MULTA DE 1% DO VALOR DA NOTA FISCAL MULTA DE 0,3% P/DIA DE ATRASO E, POR INEXECUÇÃO, 10% VALOR OBJETO.</t>
  </si>
  <si>
    <t>CD -2710/2020</t>
  </si>
  <si>
    <t>2022NE000226</t>
  </si>
  <si>
    <t>MUNICIPIO DE IMBITUBA</t>
  </si>
  <si>
    <t>DESPESAS COM ÁGUA E ESGOTO REF. IMÓVEL VARA DO TRABALHO DE IMBITUBA/SC. EXERCÍCIO 2022.</t>
  </si>
  <si>
    <t>2022NE000227</t>
  </si>
  <si>
    <t>DESPESAS COM COLETA DE LIXO REF. IMÓVEL VARA DO TRABALHO DE IMBITUBA/SC. EXERCÍCIO 2022.</t>
  </si>
  <si>
    <t>2022NE000228</t>
  </si>
  <si>
    <t>PAGAMENTO DAS TAXAS DE COLETA DE LIXO DOS IMÓVEIS DE PROPRIEDADE DESTE REGIONAL, LOCALIZADOS NO MUNICÍPIO DE FLORIANÓPOLIS, REFERENTE AO EXERCÍCIO 2022.</t>
  </si>
  <si>
    <t>CD-1408/2022</t>
  </si>
  <si>
    <t>(ID PAAC 15314) NOBREAKS SYMMETRA - Suporte e manutenção de nobreaks do datacenter (SYMMETRA).
Exercício 2022.</t>
  </si>
  <si>
    <t>2022NE000230</t>
  </si>
  <si>
    <t>CEPENGE ENGENHARIA LTDA</t>
  </si>
  <si>
    <t>PEÇAS E MATERIAIS PARA EMPREGO NA PRESTAÇÃO DE SERVIÇOS DE MANUTENÇÃO PREDIAL PREVENTIVA, CORRETIVA E EMERGENCIAL PARA OS IMÓVEIS DESTE REGIONAL. EXERCÍCIO 2022.</t>
  </si>
  <si>
    <t>2022NE000231</t>
  </si>
  <si>
    <t>PRESTAÇÃO DE SERVIÇOS DE MANUTENÇÃO CORRETIVA E PREVENTIVA PARA TODO O SISTEMA PREDIAL DO TRIBUNAL REGIONAL DO TRABALHO DA 12ª REGIÃO. EXERCÍCIO 2022.</t>
  </si>
  <si>
    <t>2022NE000232</t>
  </si>
  <si>
    <t>EPS RECUPERADORA DE AUTOPECAS E MACACOS HIDRAULICOS LT</t>
  </si>
  <si>
    <t>REVISÃO E MANUTENÇÃO PREVENTIVA EM 03 (TRÊS) EMPILHADEIRAS ELÉTRICAS, UTILIZADAS PELO SERVIÇO DE MATERIAL E PATRIMÔNIO.
A REGULARIDADE FISCAL E TRABALHISTA DEVERÁ SER MANTIDA DURANTE A VIGÊNCIA DA CONTRATAÇÃO, SOB PENA DE RETENÇÃO E EXECUÇÃO DA MULTA DE 1% DO VALOR DA NOTA FISCAL.
MULTA MORA DE 0,3% AO DIA, LIMIT. 10% VALOR ITEM. CASO ATRASO SUPERIOR A 34 DIAS, MULTA INEXECUÇÃO: PARCIAL, 5%. TOTAL, 10%.</t>
  </si>
  <si>
    <t>CD-1650/2022</t>
  </si>
  <si>
    <t>2022NE000233</t>
  </si>
  <si>
    <t>CAPACITY TREINAMENTO E APERFEICOAMENTO LTDA</t>
  </si>
  <si>
    <t>PAGAMENTO DE INSCRIÇÃO DE 02 SERVIDORES PARA PARTICIPAÇÃO NO CURSO PREVIDÊNCIA DOS SERVIDORES PÚBLICOS, NA MODALIDADE A DISTÂNCIA.
A REGULARIDADE FISCAL E TRABALHISTA DEVERÁ SER MANTIDA DURANTE A VIGÊNCIA DA CONTRATAÇÃO, SOB PENA DE RETENÇÃO E EXECUÇÃO DA MULTA DE 1% DO VALOR DA NOTA FISCAL.</t>
  </si>
  <si>
    <t>CD-1947/2022</t>
  </si>
  <si>
    <t>2022NE000234</t>
  </si>
  <si>
    <t>BRS SUPRIMENTOS CORPORATIVOS S/A</t>
  </si>
  <si>
    <t>Prestação de serviço de outsourcing para operação de almoxarifado virtual in company, sob demanda, integrado ao Sistema Web disponibilizado e implementado pela empresa contratada.
Exercício 2022.</t>
  </si>
  <si>
    <t>RP-1689/2021</t>
  </si>
  <si>
    <t>2022NE000235</t>
  </si>
  <si>
    <t>DESPESAS DE EXERCÍCIO ANTERIOR - REF. 11 E 12/2021 - MANUTENÇÃO DE EQUIPAMENTOS DE CLIMATIZAÇÃO INSTALADOS EM DIVERSAS UNIDADES DESTE REGIONAL.</t>
  </si>
  <si>
    <t>2022NE000236</t>
  </si>
  <si>
    <t>REF. PEÇAS PARA MANUTENÇÃO DE CONDICIONADORES DE AR - DEZEMBRO/2021.</t>
  </si>
  <si>
    <t>(ID PAAC 15315) CERTIFICADOS PF - Aquisição de certificados digitais (tokens) para pessoa física, para todo o Estado. Exercício 2022.</t>
  </si>
  <si>
    <t>2022NE000238</t>
  </si>
  <si>
    <t>SIGNUMWEB COMUNICACAO INCLUSIVA LTDA</t>
  </si>
  <si>
    <t>CONTRATAÇÃO EMERGENCIAL DE EMPRESA PARA PRESTAÇÃO DE SERVIÇOS DE INTERPRETAÇÃO SIMULTÂNEA EM LÍNGUA BRASILEIRA DE SINAIS (LIBRAS), SOB DEMANDA, PELO PERÍODO DE 12 (DOZE) MESES.</t>
  </si>
  <si>
    <t>CD-1251/2022</t>
  </si>
  <si>
    <t>2022NE000239</t>
  </si>
  <si>
    <t>PAGAMENTO DE INSCRIÇÃO DE 03 SERVIDORES PARA PARTICIPAÇÃO NO CURSO CONTABILIDADE PARA NÃO CONTADORES, NA MODALIDADE A DISTÂNCIA.
A REGULARIDADE FISCAL E TRABALHISTA DEVERÁ SER MANTIDA DURANTE A VIGÊNCIA DA CONTRATAÇÃO, SOB PENA DE RETENÇÃO E EXECUÇÃO DA MULTA DE 1% DO VALOR DA NOTA FISCAL.</t>
  </si>
  <si>
    <t>CD-1522/2022</t>
  </si>
  <si>
    <t>2022NE000240</t>
  </si>
  <si>
    <t>MUNICIPIO DE RIO DO SUL</t>
  </si>
  <si>
    <t>Pagamento de despesas com coleta de lixo para o imóvel onde está instalada VT Rio do Sul.
Exercício 2022.</t>
  </si>
  <si>
    <t>CD-1955/2022</t>
  </si>
  <si>
    <t>2022NE000241</t>
  </si>
  <si>
    <t>EMISSÃO E FORNECIMENTO DE PASSAGENS AÉREAS NACIONAIS - ESCOLA JUDICIAL.
EXERCÍCIO 2022.</t>
  </si>
  <si>
    <t>2022NE000242</t>
  </si>
  <si>
    <t>COMISSÃO À EMPRESA ESPECIALIZADA NA EMISSÃO E FORNECIMENTO DE PASSAGENS AÉREAS PARA EVENTOS DA ESCOLA JUDICIAL DO TRT12.
EXERCÍCIO 2022.</t>
  </si>
  <si>
    <t>2022NE000243</t>
  </si>
  <si>
    <t>DANIELE PAGLIARINI SILVA</t>
  </si>
  <si>
    <t>CONTRATAÇÃO DE PROFISSIONAL NUTRICIONISTA, COM ATUAÇÃO EM MEDICINA INTEGRATIVA, PARA MINISTRAR PALESTRA COM O TEMA CLIMATÉRIO E MENOPAUSA: ALIMENTAÇÃO E  SUPLEMENTAÇÃO, A DISTÂNCIA.
A REGULARIDADE FISCAL E TRABALHISTA DEVERÁ SER MANTIDA DURANTE A VIGÊNCIA DA CONTRATAÇÃO, SOB PENA DE RETENÇÃO E EXECUÇÃO DA MULTA DE 1% DO VALOR DA NOTA FISCAL.</t>
  </si>
  <si>
    <t>CD-2059/2022</t>
  </si>
  <si>
    <t>2022NE000244</t>
  </si>
  <si>
    <t>MUNICIPIO DE CANOINHAS</t>
  </si>
  <si>
    <t>PAGAMENTO DE TAXA DE VISTORIA DE HABITE-SE DO IMÓVEL ONDE ESTÁ INSTALADA A VARA DO TRABALHO DE CANOINHAS, REFERENTE AO EXERCÍCIO 2022.</t>
  </si>
  <si>
    <t>CD-2154/2022</t>
  </si>
  <si>
    <t>2022NE000245</t>
  </si>
  <si>
    <t>MAXI EMPREENDIMENTOS IMOBILIARIOS LTDA</t>
  </si>
  <si>
    <t>CONTRATAÇÃO EMERGENCIAL DE EMPRESA ESPECIALIZADA PARA EXECUÇÃO DA REFORMA DO PRÉDIO QUE ABRIGA A VARA DO TRABALHO DE VIDEIRA EM DECORRÊNCIA DOS DANOS CAUSADOS PELO INCÊNDIO OCORRIDO NO DIA 30 DE OUTUBRO DE 2021.</t>
  </si>
  <si>
    <t>CD-1235/2022</t>
  </si>
  <si>
    <t>2022NE000246</t>
  </si>
  <si>
    <t>Dívida de exercício anterior referente à indenização de transporte devida à OJAF ref. 2020.</t>
  </si>
  <si>
    <t>PROAD-4521/2021</t>
  </si>
  <si>
    <t>2022NE000247</t>
  </si>
  <si>
    <t>PROAD-6867/2020</t>
  </si>
  <si>
    <t>2022NE000248</t>
  </si>
  <si>
    <t>BRUNO CHAPADEIRO RIBEIRO</t>
  </si>
  <si>
    <t>TERMO CIRCUNSTANCIADO DE RECONHECIMENTO DE DÍVIDA REF. PALESTRA: SAÚDE MENTAL E ORIENTAÇÕES PSICOSSOCIAIS PARA O RETORNO AO TRABALHO, REALIZADA NO MÊS DE NOVEMBRO DE 2021.</t>
  </si>
  <si>
    <t>CD-1698/2022</t>
  </si>
  <si>
    <t>2022NE000249</t>
  </si>
  <si>
    <t>INSCRIÇÃO DE SERVIDORA NO CURSO ESTRATÉGIAS DIGITAIS INOVADORAS PARA COMUNICAÇÃO INTERNA, NA MODALIDADE A DISTÂNCIA.
A REGULARIDADE FISCAL E TRABALHISTA DEVERÁ SER MANTIDA DURANTE A VIGÊNCIA DA CONTRATAÇÃO, SOB PENA DE RETENÇÃO E EXECUÇÃO DA MULTA DE 1% DO VALOR DA NOTA FISCAL.</t>
  </si>
  <si>
    <t>CD-2344/2022</t>
  </si>
  <si>
    <t>INFRA - Serviços de Telecomunicação de Dados e Voz - Rede-JT.
Despesa de exercício anterior referente a reajuste nos valores de serviços prestados em 2021.</t>
  </si>
  <si>
    <t>2022NE000251</t>
  </si>
  <si>
    <t>SENTENÇA DE PEQUENO VALOR - OFÍCIO SEXEC/DEFAP Nº 163 - PROAD-2203/2022.</t>
  </si>
  <si>
    <t>PROAD-2203/2022</t>
  </si>
  <si>
    <t>2022NE000252</t>
  </si>
  <si>
    <t>V. OFFICE CONSULTORES ASSOCIADOS LTDA</t>
  </si>
  <si>
    <t>INSCRIÇÃO DE 3 (TRÊS) SERVIDORES DESTE REGIONAL NO EVENTO TDC - THE DEVELOPERS CONFERENCE.
A REGULARIDADE FISCAL E TRABALHISTA DEVERÁ SER MANTIDA DURANTE A VIGÊNCIA DA CONTRATAÇÃO, SOB PENA DE RETENÇÃO E EXECUÇÃO DA MULTA DE 1% DO VALOR DA NOTA FISCAL.</t>
  </si>
  <si>
    <t>CD-2348/2022</t>
  </si>
  <si>
    <t>2022NE000253</t>
  </si>
  <si>
    <t>Dívida de exercício anterior referente à indenização de transporte devida à OJAF - ref. 2020.</t>
  </si>
  <si>
    <t>PROAD-826/2021</t>
  </si>
  <si>
    <t>2022NE000254</t>
  </si>
  <si>
    <t>PAGAMENTO DE PASSIVOS - PROAD-1636/2022</t>
  </si>
  <si>
    <t>2022NE000255</t>
  </si>
  <si>
    <t>FUNDO DE FISCALIZ.DAS TELECOMUNICACOES-FISTEL</t>
  </si>
  <si>
    <t>TAXA  DE  FISCALIZAÇÃO  DE  FUNCIONAMENTO  -  TFF</t>
  </si>
  <si>
    <t>CD-2472/2022</t>
  </si>
  <si>
    <t>2022NE000256</t>
  </si>
  <si>
    <t>AGENCIA NACIONAL DE TELECOMUNICACOES-SEDE</t>
  </si>
  <si>
    <t>TAXA  DE  CONTRIBUIÇÃO  PARA  O  FOMENTO  DA  RADIODIFUSÃO  PÚBLICA.</t>
  </si>
  <si>
    <t>2022NE000257</t>
  </si>
  <si>
    <t>PAGAMENTO DE BENEFICIOS (AUXILIO-CRECHE) - EXERCICIOS ANTERIORES - PROAD-69/2022</t>
  </si>
  <si>
    <t>2022NE000258</t>
  </si>
  <si>
    <t>CURSO PARA O DESENVOLVIMENTO DE COMPETÊNCIAS GERENCIAIS, EM NÍVEL ESTRATÉGICO, NA MODALIDADE EAD.
A REGULARIDADE FISCAL E TRABALHISTA DEVERÁ SER MANTIDA DURANTE A VIGÊNCIA DA CONTRATAÇÃO, SOB PENA DE RETENÇÃO E EXECUÇÃO DA MULTA DE 1% DO VALOR DA NOTA FISCAL.</t>
  </si>
  <si>
    <t>CD-2420/2022</t>
  </si>
  <si>
    <t>2022NE000259</t>
  </si>
  <si>
    <t>SERVIÇOS TÉCNICOS PROFISSIONAIS DE ARQUITETURA E ENGENHARIA, COMO A ELABORAÇÃO DE PROJETOS COM MEMORIAIS DESCRITIVOS E ESPECIFICAÇÕES TÉCNICAS, NO EXERCÍCIO DE 2022.</t>
  </si>
  <si>
    <t>2022NE000260</t>
  </si>
  <si>
    <t>PLOTEX COMUNICACAO VISUAL LTDA</t>
  </si>
  <si>
    <t>SERVIÇOS DE IMPRESSÃO DIGITAL DE BANNERS, SOB DEMANDA. A REGULARIDADE FISCAL E TRABALHISTA DEVERÁ SER MANTIDA DURANTE A VIGÊNCIA DA CONTRATAÇÃO, SOB PENA DE RETENÇÃO E EXECUÇÃO DA MULTA DE 1% DO VALOR DA NOTA FISCAL.</t>
  </si>
  <si>
    <t>2022NE000261</t>
  </si>
  <si>
    <t>MUNICIPIO DE XANXERE</t>
  </si>
  <si>
    <t>PAGAMENTO DA TAXA DE COLETA DE LIXO DO IMÓVEL ONDE ESTÁ INSTALADA A VARA DO TRABALHO DE XANXERÊ, PARA O EXERCÍCIO 2022.</t>
  </si>
  <si>
    <t>CD-2660/2022</t>
  </si>
  <si>
    <t>2022NE000262</t>
  </si>
  <si>
    <t>PAGAMENTO DE TAXA PARA PODA DE ÁRVORE NO FÓRUM TRABALHISTA DE FLORIANÓPOLIS, JUNTO A PREFEITURA MUNICIPAL DE FLORIANÓPOLIS (FLORAM).</t>
  </si>
  <si>
    <t>CD-2544/2022</t>
  </si>
  <si>
    <t>2022NE000263</t>
  </si>
  <si>
    <t>RECICLE CATARINENSE DE RESIDUOS LTDA</t>
  </si>
  <si>
    <t>PAGAMENTO DE DESPESAS COM COLETA DE LIXO DO PRÉDIO ONDE ESTÁ SITUADA A VARA TRABALHISTA DE BRUSQUE, DURANTE O EXERCÍCIO DE 2022.</t>
  </si>
  <si>
    <t>CD-2596/2022</t>
  </si>
  <si>
    <t>2022NE000264</t>
  </si>
  <si>
    <t>JN METALURGICA LTDA</t>
  </si>
  <si>
    <t>CONTRATAÇÃO DE EMPRESA PARA CONSERTO, COM SUBSTITUIÇÕES DE PEÇAS, DA SELADORA A VÁCUO, MARCA DALMAK MODELO 700, TOMBO Nº 58371. A REGULARIDADE FISCAL E TRABALHISTA DEVERÁ SER MANTIDA DURANTE A VIGÊNCIA  DA CONTRATAÇÃO, SOB PENA DE RETENÇÃO E EXECUÇÃO DA MULTA DE 1% DO VALOR DA NOTA FISCAL.</t>
  </si>
  <si>
    <t>CD-2538/2022</t>
  </si>
  <si>
    <t>2022NE000265</t>
  </si>
  <si>
    <t>DC CONSULTORIA, TREINAMENTO E PESQUISAS LTDA</t>
  </si>
  <si>
    <t>CONTRATAÇÃO DE EMPRESA PARA QUE ATRAVÉS DE PROFISSIONAIS MINISTREM CURSO DE COMPETÊNCIA GERENCIAL - NÍVEL TÁTICO E OPERACIONAL, NA MODALIDADE EAD, PARA SERVIDORES E SERVIDORAS DO TRT12, QUE OCUPAM CARGOS E FUNÇÕES DE NATUREZA GERENCIAL DE NÍVEL TÁTICO E OPERACIONAL. A REGULARIDADE FISCAL E TRABALHISTA DEVERÁ SER MANTIDA DURANTE A VIGÊNCIA  DA CONTRATAÇÃO, SOB PENA DE RETENÇÃO E EXECUÇÃO DA MULTA DE 1% DO VALOR DA NOTA FISCAL.</t>
  </si>
  <si>
    <t>CD-2425/2022</t>
  </si>
  <si>
    <t>AQUISIÇÃO DE UM CERTIFICADO TLS/SSL A1, TIPO ICP-BRASIL. A REGULARIDADE FISCAL E TRABALHISTA DEVERÁ SER MANTIDA DURANTE A VIGÊNCIA  DA CONTRATAÇÃO, SOB PENA DE RETENÇÃO E EXECUÇÃO DA MULTA DE 1% DO VALOR DA NOTA FISCAL.</t>
  </si>
  <si>
    <t>AQUISIÇÃO DE QUATRO CERTIFICADOS DIGITAIS. A REGULARIDADE FISCAL E TRABALHISTA DEVERÁ SER MANTIDA DURANTE A VIGÊNCIA  DA CONTRATAÇÃO, SOB PENA DE RETENÇÃO E EXECUÇÃO DA MULTA DE 1% DO VALOR DA NOTA FISCAL.</t>
  </si>
  <si>
    <t>2022NE000268</t>
  </si>
  <si>
    <t>MAHATAN IMPRESSORAS EIRELI</t>
  </si>
  <si>
    <t>AQUIS.DE 2(DOIS) FILTROS DE SUCÇÃO P/ XEROX PHASER 7800. A REG.FISCAL E TRAB. DEVERÁ SER MANTIDA NA VIG.DA CONTRATAÇÃO, SOB PENA DE MULTA DE 1% DA NF. AS PENALIDADES P/ INEX. TOTAL OU PARCIAL DO AJUSTE, S/PREJ.DAS DEMAIS PENALIDADES PREV.LEI Nº 8.666/93, SÃO: MULTA MORA DE 0,3% P/DIA S/O VALOR ITEM EM ATRASO, LIM. A 10% ITEM,  S/PREJUÍZO DEMAIS SANÇÕES. CASO ATRASO SUP. 34 D, PODERÁ DECLARAR  INEX.CONT. 5% PASRCIAL S/ ITEM E 10% INEX. TOTAL DO AJUSTE.</t>
  </si>
  <si>
    <t>CD-2868/2022</t>
  </si>
  <si>
    <t>2022NE000269</t>
  </si>
  <si>
    <t>BIGUACU PROJETOS E PREVENTIVO CONTRA INCENDIO LTDA</t>
  </si>
  <si>
    <t>MANUTENÇÃO PREVENTIVA NO SISTEMA HIDRÁULICO PREVENTIVO - SHP. A REG.FISCAL E TRAB. DEVERÁ SER MANTIDA NA VIG.DA CONTRATAÇÃO, SOB PENA DE MULTA DE 1% DA NF. AS PENALIDADES P/ INEX. TOTAL OU PARCIAL DO AJUSTE, S/PREJ.DAS DEMAIS PENALIDADES PREV.LEI Nº 8.666/93, SÃO: MULTA MORA DE 0,3% P/DIA S/O VALOR ITEM EM ATRASO, LIM. A 10% ITEM, S/PREJUÍZO DEMAIS SANÇÕES. CASO ATRASO SUP. 34 D, PODERÁ DECLARAR INEX.CONT. 5% PASRCIAL S/ ITEM E 10% INEX. TOTAL DO AJUSTE.</t>
  </si>
  <si>
    <t>CD-2921/2022</t>
  </si>
  <si>
    <t>2022NE000270</t>
  </si>
  <si>
    <t>ELISANGELA MARCIA REISCHARDT</t>
  </si>
  <si>
    <t>MANUTENÇÃO CORRETIVA NAS PERSIANAS DO PRÉDIO QUE ABRIGA A VARA DO TRABALHO DE XANXERÊ.
A REGULARIDADE FISCAL E TRABALHISTA DEVERÁ SER MANTIDA DURANTE A VIGÊNCIA DA CONTRATAÇÃO, SOB PENA DE RETENÇÃO E EXECUÇÃO DA MULTA DE 1% DO VALOR DA NOTA FISCAL.
MULTA MORA DE 0,3% AO DIA, LIMIT. 10% VALOR ITEM. CASO ATRASO SUPERIOR A 34 DIAS, MULTA INEXECUÇÃO: PARCIAL, 5%. TOTAL, 10%.</t>
  </si>
  <si>
    <t>CD-2923/2022</t>
  </si>
  <si>
    <t>2022NE000271</t>
  </si>
  <si>
    <t>FORNECIMENTO DE ÁGUA MINERAL SEM GÁS, ACONDICIONADA EM BOMBONAS PLÁSTICAS, RETORNÁVEIS, DE 20 (VINTE) LITROS, PARA CONSUMO NO EXERCÍCIO DE 2022 NA UNIDADE DE SÃO MIGUEL DO OESTE. 
A REGULARIDADE FISCAL E TRABALHISTA DEVERÁ SER MANTIDA DURANTE A VIGÊNCIA  DA CONTRATAÇÃO, SOB PENA DE RETENÇÃO E EXECUÇÃO DA MULTA DE 1% DO VALOR DA NOTA FISCAL.</t>
  </si>
  <si>
    <t>2022NE000272</t>
  </si>
  <si>
    <t>MANUTENÇÃO PREVENTIVA, CORRETIVA E EMERGENCIAL, COM FORNECIMENTO DE PEÇAS, EM ELEVADOR INSTALADO NA VT CANOINHAS.</t>
  </si>
  <si>
    <t>PRE-11557/2021</t>
  </si>
  <si>
    <t>2022NE000274</t>
  </si>
  <si>
    <t>2022NE000275</t>
  </si>
  <si>
    <t>2022NE000276</t>
  </si>
  <si>
    <t>AQUISIÇÃO DE GÊNEROS ALIMENTÍCIOS PARA SUPRIR AS NECESSIDADES DESTE TRIBUNAL, DURANTE O EXERCÍCIO DE 2022.
A REGULARIDADE FISCAL E TRABALHISTA DEVERÁ SER MANTIDA DURANTE A VIGÊNCIA DA CONTRATAÇÃO, SOB PENA DE RETENÇÃO E EXECUÇÃO DA MULTA DE 1% DO VALOR DA NOTA FISCAL.
MULTA MORA DE 0,3% AO DIA, LIMIT. 10% VALOR ITEM. CASO ATRASO SUPERIOR A 34 DIAS, MULTA INEXECUÇÃO: PARCIAL, 5%. TOTAL, 10%.</t>
  </si>
  <si>
    <t>CD-3044/2022</t>
  </si>
  <si>
    <t>2022NE000277</t>
  </si>
  <si>
    <t>ATACADO LITORAL LTDA</t>
  </si>
  <si>
    <t>2022NE000278</t>
  </si>
  <si>
    <t>MUNICIPIO DE CACADOR</t>
  </si>
  <si>
    <t>TAXA DE COLETA DE LIXO - VARA DO TRABALHO DE CAÇADOR - EXERCÍCIO 2022</t>
  </si>
  <si>
    <t>CD-3068/2022</t>
  </si>
  <si>
    <t>2022NE000279</t>
  </si>
  <si>
    <t>MEDIAPOST SERVICOS DE INTERNET LTDA</t>
  </si>
  <si>
    <t>SERVIÇO DE GERENCIAMENTO DE E-MAIL MARKETING, MEDIANTE DISPONIBILIZAÇÃO NA INTERNET DE PLATAFORMA PRÓPRIA DA EMPRESA CONTRATADA.</t>
  </si>
  <si>
    <t>CD-2761/2022</t>
  </si>
  <si>
    <t>2022NE000280</t>
  </si>
  <si>
    <t>FRANCISCO MONTEIRO DE QUADROS 75818922049</t>
  </si>
  <si>
    <t>AQUISIÇÃO E INSTALAÇÃO DE DISPOSITIVOS DE CONTROLE DE ACESSO AUTOMATIZADO PARA OS PORTÕES DA GARAGEM DO EDIFÍCIO SEDE DESTE TRIBUNAL.
A REGULARIDADE FISCAL E TRABALHISTA DEVERÁ SER MANTIDA DURANTE A VIGÊNCIA DA CONTRATAÇÃO, SOB PENA DE RETENÇÃO E EXECUÇÃO DA MULTA DE 1% DO VALOR DA NOTA FISCAL.
MULTA MORA DE 0,3% AO DIA, LIMIT. 10% VALOR ITEM. CASO ATRASO SUPERIOR A 34 DIAS, MULTA INEXECUÇÃO: PARCIAL, 5%. TOTAL, 10%.</t>
  </si>
  <si>
    <t>CD-3089/2022</t>
  </si>
  <si>
    <t>2022NE000281</t>
  </si>
  <si>
    <t>TAXA DE PREVENÇÃO CONTRA SINISTRO E PROVIDÊNCIAS DE SEGURANÇA CONTRA INCÊNDIO E PÂNICO - SEDE ADMINISTRATIVA E ANEXO - EXERCÍCIO 2022</t>
  </si>
  <si>
    <t>CD-3109/2022</t>
  </si>
  <si>
    <t>2022NE000282</t>
  </si>
  <si>
    <t>REEMBOLSO DE DESPESA REF. AQUISIÇÃO DE TOGA DE GALA.</t>
  </si>
  <si>
    <t>CD-3130/2022</t>
  </si>
  <si>
    <t>2022NE000283</t>
  </si>
  <si>
    <t>DESPESAS COM AQUISIÇÃO DE PEÇAS PARA MANUTENÇÃO NOS EQUIPAMENTOS DE CLIMATIZAÇÃO INSTALADOS NAS UNIDADES DESTE REGIONAL NAS CIDADES DE CHAPECÓ, CONCÓRDIA, SÃO MIGUEL DO OESTE E XANXERÊ. EXERCÍCIO 2022.</t>
  </si>
  <si>
    <t>2022NE000284</t>
  </si>
  <si>
    <t>INOVE SOLUCOES EM CAPACITACAO E EVENTOS LTDA</t>
  </si>
  <si>
    <t>PAGAMENTO DE INSCRIÇÃO DE SERVIDOR PARA PARTICIPAÇÃO NO CURSO: CONTRATAÇÃO DIRETA, DISPENSA E INEXIGIBILIDADE NO REGIME ATUAL E NA NOVA LEI DE LICITAÇÕES, MODALIDADE A DISTÂNCIA.
A REGULARIDADE FISCAL E TRABALHISTA DEVERÁ SER MANTIDA DURANTE A VIGÊNCIA DA CONTRATAÇÃO, SOB PENA DE RETENÇÃO E EXECUÇÃO DA MULTA DE 1% DO VALOR DA NOTA FISCAL.</t>
  </si>
  <si>
    <t>CD-3310/2022</t>
  </si>
  <si>
    <t>2022NE000285</t>
  </si>
  <si>
    <t>WE GOV - TREINAMENTO PARA GESTAO PUBLICA LTDA</t>
  </si>
  <si>
    <t>INSCRIÇÃO DE 3 (TRÊS) SERVIDORAS PARA PARTICIPAÇÃO NO CURSO 11º REDES WEGOV, NA MODALIDADE PRESENCIAL.
A REGULARIDADE FISCAL E TRABALHISTA DEVERÁ SER MANTIDA DURANTE A VIGÊNCIA DA CONTRATAÇÃO, SOB PENA DE RETENÇÃO E EXECUÇÃO DA MULTA DE 1% DO VALOR DA NOTA FISCAL.</t>
  </si>
  <si>
    <t>CD-3322/2022</t>
  </si>
  <si>
    <t>2022NE000286</t>
  </si>
  <si>
    <t>INFRA - ID PAAC: 15369 - Contratação de prestação de serviços de telecomunicação de dados para acesso corporativo à Internet.</t>
  </si>
  <si>
    <t>2022NE000287</t>
  </si>
  <si>
    <t>Serviços continuados de telefonia móvel pessoal (SMP) e de dados (internet móvel).</t>
  </si>
  <si>
    <t>PRE-1599/2022</t>
  </si>
  <si>
    <t>2022NE000288</t>
  </si>
  <si>
    <t>PAGAMENTO DE INSCRIÇÃO DE 2 (DOIS) SERVIDORES PARA PARTICIPAÇÃO NO CURSO COMPLETO DE PLANILHA DE CUSTOS, FORMAÇÃO DE PREÇOS E TERCEIRIZAÇÃO, NA MODALIDADE A DISTÂNCIA.
A REGULARIDADE FISCAL E TRABALHISTA DEVERÁ SER MANTIDA DURANTE A VIGÊNCIA DA CONTRATAÇÃO, SOB PENA DE RETENÇÃO E EXECUÇÃO DA MULTA DE 1% DO VALOR DA NOTA FISCAL.</t>
  </si>
  <si>
    <t>CD-3366/2022</t>
  </si>
  <si>
    <t>(ID PAAC 15899) NOBREAKS SYMMETRA - Suporte e manutenção de nobreaks do datacenter (SYMMETRA).
Exercício 2022.</t>
  </si>
  <si>
    <t>2022NE000290</t>
  </si>
  <si>
    <t>ANDERSON FELIPPI CHIELLA 00460872907</t>
  </si>
  <si>
    <t>BALCÃO PARA PIA C/ 2 PORTAS E 4 GAVETAS E 1 BALCÃO COM 2 PORTAS E 4 GAVETAS, SOB MEDIDA, P/ VT XANXERÊ. A REG.FISCAL E TRAB. DEVERÁ SER MANTIDA NA VIG.DA CONT.,SOB PENA DE MULTA DE 1% DA NF. AS PENALIDADES P/ INEX. TOTAL OU PARCIAL DO AJUSTE, S/PREJ.DAS DEMAIS PENALIDADES PREV.LEI Nº 8.666/93, SÃO: MULTA MORA DE 0,3% P/DIA S/O VALOR ITEM EM ATRASO, LIM. A 10% ITEM, S/PREJ.DEMAIS SANÇÕES. ATRASO SUP. 34 D, PODERÁ DECLARAR INEX.CONT.C/ 5% PARCIAL S/ ITEM E 10% TOTAL</t>
  </si>
  <si>
    <t>CD-3567/2022</t>
  </si>
  <si>
    <t>2022NE000291</t>
  </si>
  <si>
    <t>HUGO LUIS BARROS PINHO</t>
  </si>
  <si>
    <t>PAGAMENTO DE GRATIFICAÇÃO POR ENCARGO DE CURSO/CONCURSO.</t>
  </si>
  <si>
    <t>PROAD-1706/2022</t>
  </si>
  <si>
    <t>2022NE000292</t>
  </si>
  <si>
    <t>REEMBOLSO VACINA INFLUENZA NO EXERCÍCIO 2022, CONFORME REGULAMENTA A PORTARIA PRESI 166/2022.</t>
  </si>
  <si>
    <t>PROAD-2408/2022</t>
  </si>
  <si>
    <t>2022NE000293</t>
  </si>
  <si>
    <t>FONTES BH SISTEMAS DE ENERGIA EIRELI</t>
  </si>
  <si>
    <t>EQUIPAMENTOS TIPO NOBREAKS A FIM DE ATENDER A DEMANDA DE FORNECIMENTO DE ENERGIA ELÉTRICA ESTABILIZADA E ININTERRUPTA PARA EQUIPAMENTOS E SERVIÇOS DE INFORMÁTICA ESSENCIAIS DAS VARAS E FOROS TRABALHISTAS DO INTERIOR DO ESTADO DE SC.</t>
  </si>
  <si>
    <t>PRE¿9240/2021</t>
  </si>
  <si>
    <t>2022NE000294</t>
  </si>
  <si>
    <t>2022NE000295</t>
  </si>
  <si>
    <t>SENTENÇA DE PEQUENO VALOR - OFÍCIO SEXEC/DEFAP Nº 189 - PROAD-3455/2022.</t>
  </si>
  <si>
    <t>PROAD-3455/2022</t>
  </si>
  <si>
    <t>Doc. Referência</t>
  </si>
  <si>
    <t>Elemento</t>
  </si>
  <si>
    <t>Processo Adm.</t>
  </si>
  <si>
    <t>CPF/CNPJ UG-Gestão</t>
  </si>
  <si>
    <t>Lista</t>
  </si>
  <si>
    <t>Vlr total</t>
  </si>
  <si>
    <t>Empenho Programado?</t>
  </si>
  <si>
    <t>Item Execução</t>
  </si>
  <si>
    <t>3.1.90.11</t>
  </si>
  <si>
    <t>Estimativo</t>
  </si>
  <si>
    <t>EMPENHO DA DESPESA</t>
  </si>
  <si>
    <t>367332547.00</t>
  </si>
  <si>
    <t>3.1.90.16</t>
  </si>
  <si>
    <t>3929207.00</t>
  </si>
  <si>
    <t>3.1.90.91</t>
  </si>
  <si>
    <t>56683.00</t>
  </si>
  <si>
    <t>3.1.91.13</t>
  </si>
  <si>
    <t>32397.00</t>
  </si>
  <si>
    <t>72727371.00</t>
  </si>
  <si>
    <t>3.1.90.07</t>
  </si>
  <si>
    <t>18.465.825/0001-47</t>
  </si>
  <si>
    <t>3106615.00</t>
  </si>
  <si>
    <t>3.1.90.01</t>
  </si>
  <si>
    <t>48326199.75</t>
  </si>
  <si>
    <t>3.1.90.03</t>
  </si>
  <si>
    <t>6377396.35</t>
  </si>
  <si>
    <t>434149.24</t>
  </si>
  <si>
    <t>48804431.00</t>
  </si>
  <si>
    <t>6396046.00</t>
  </si>
  <si>
    <t>447486.38</t>
  </si>
  <si>
    <t>3.3.90.08</t>
  </si>
  <si>
    <t>2227944.00</t>
  </si>
  <si>
    <t>3.3.90.46</t>
  </si>
  <si>
    <t>16840120.00</t>
  </si>
  <si>
    <t>3.3.90.49</t>
  </si>
  <si>
    <t>55015.00</t>
  </si>
  <si>
    <t>259605.00</t>
  </si>
  <si>
    <t>3.3.90.93</t>
  </si>
  <si>
    <t>20521123.00</t>
  </si>
  <si>
    <t>3.3.90.39</t>
  </si>
  <si>
    <t>03.658.432/0001-82</t>
  </si>
  <si>
    <t>5219500.00</t>
  </si>
  <si>
    <t>3.3.90.36</t>
  </si>
  <si>
    <t>5000.00</t>
  </si>
  <si>
    <t>3.3.90.14</t>
  </si>
  <si>
    <t>500000.00</t>
  </si>
  <si>
    <t>1445000.00</t>
  </si>
  <si>
    <t>600000.00</t>
  </si>
  <si>
    <t>50000.00</t>
  </si>
  <si>
    <t>4166666.00</t>
  </si>
  <si>
    <t>3.3.91.47</t>
  </si>
  <si>
    <t>801794.00</t>
  </si>
  <si>
    <t>3.3.90.30</t>
  </si>
  <si>
    <t>20000.00</t>
  </si>
  <si>
    <t>800.00</t>
  </si>
  <si>
    <t>0.00</t>
  </si>
  <si>
    <t>160.00</t>
  </si>
  <si>
    <t>10000.00</t>
  </si>
  <si>
    <t>2000.00</t>
  </si>
  <si>
    <t>28.752.976/0001-30</t>
  </si>
  <si>
    <t>15403.60</t>
  </si>
  <si>
    <t>30.510.775/0001-78</t>
  </si>
  <si>
    <t>1026.00</t>
  </si>
  <si>
    <t>10.817.718/0001-29</t>
  </si>
  <si>
    <t>122226.00</t>
  </si>
  <si>
    <t>15.307.989/0001-58</t>
  </si>
  <si>
    <t>14826.00</t>
  </si>
  <si>
    <t>04.553.788/0001-14</t>
  </si>
  <si>
    <t>19040.00</t>
  </si>
  <si>
    <t>06.097.343/0001-00</t>
  </si>
  <si>
    <t>7000.00</t>
  </si>
  <si>
    <t>3.3.90.92</t>
  </si>
  <si>
    <t>429.400.529-72</t>
  </si>
  <si>
    <t>Ordinário</t>
  </si>
  <si>
    <t>100.00</t>
  </si>
  <si>
    <t>05.666.925/0001-90</t>
  </si>
  <si>
    <t>254.64</t>
  </si>
  <si>
    <t>32.196.811/0001-04</t>
  </si>
  <si>
    <t>720.22</t>
  </si>
  <si>
    <t>40.432.544/0001-47</t>
  </si>
  <si>
    <t>20.95</t>
  </si>
  <si>
    <t>464.494.269-34</t>
  </si>
  <si>
    <t>09.110.430/0001-30</t>
  </si>
  <si>
    <t>1998.92</t>
  </si>
  <si>
    <t>09.152.423/0001-00</t>
  </si>
  <si>
    <t>1270.50</t>
  </si>
  <si>
    <t>09.484.129/0001-97</t>
  </si>
  <si>
    <t>2380.00</t>
  </si>
  <si>
    <t>10.282.669/0001-77</t>
  </si>
  <si>
    <t>849.25</t>
  </si>
  <si>
    <t>12.162.741/0001-58</t>
  </si>
  <si>
    <t>2254.00</t>
  </si>
  <si>
    <t>14.472.012/0001-23</t>
  </si>
  <si>
    <t>600.00</t>
  </si>
  <si>
    <t>29.463.492/0001-33</t>
  </si>
  <si>
    <t>464.502.540-68</t>
  </si>
  <si>
    <t>185.00</t>
  </si>
  <si>
    <t>131.63</t>
  </si>
  <si>
    <t>82.985.003/0001-96</t>
  </si>
  <si>
    <t>1600.00</t>
  </si>
  <si>
    <t>31.444.659/0001-60</t>
  </si>
  <si>
    <t>700.00</t>
  </si>
  <si>
    <t>86.050.978/0001-83</t>
  </si>
  <si>
    <t>750.00</t>
  </si>
  <si>
    <t>07.226.794/0001-55</t>
  </si>
  <si>
    <t>70000.00</t>
  </si>
  <si>
    <t>31.049.535/0001-80</t>
  </si>
  <si>
    <t>82.508.433/0001-17</t>
  </si>
  <si>
    <t>90000.00</t>
  </si>
  <si>
    <t>05.472.936/0001-39</t>
  </si>
  <si>
    <t>30.753.960/0001-93</t>
  </si>
  <si>
    <t>850.00</t>
  </si>
  <si>
    <t>83.779.462/0001-86</t>
  </si>
  <si>
    <t>1260.00</t>
  </si>
  <si>
    <t>05.532.421/0001-87</t>
  </si>
  <si>
    <t>687.00</t>
  </si>
  <si>
    <t>15.012.434/0001-89</t>
  </si>
  <si>
    <t>400.00</t>
  </si>
  <si>
    <t>06.017.932/0001-23</t>
  </si>
  <si>
    <t>771.00</t>
  </si>
  <si>
    <t>3.3.90.47</t>
  </si>
  <si>
    <t>495.90</t>
  </si>
  <si>
    <t>230.00</t>
  </si>
  <si>
    <t>427.00</t>
  </si>
  <si>
    <t>672.00</t>
  </si>
  <si>
    <t>305.00</t>
  </si>
  <si>
    <t>83.855.973/0001-30</t>
  </si>
  <si>
    <t>13650.00</t>
  </si>
  <si>
    <t>630.00</t>
  </si>
  <si>
    <t>18.876.112/0001-76</t>
  </si>
  <si>
    <t>00.077.808/0001-77</t>
  </si>
  <si>
    <t>6000.00</t>
  </si>
  <si>
    <t>17446.08</t>
  </si>
  <si>
    <t>00.700.436/0001-93</t>
  </si>
  <si>
    <t>5856.68</t>
  </si>
  <si>
    <t>15.583.923/0001-90</t>
  </si>
  <si>
    <t>13009.93</t>
  </si>
  <si>
    <t>10.571.929/0001-24</t>
  </si>
  <si>
    <t>1000.00</t>
  </si>
  <si>
    <t>18600.00</t>
  </si>
  <si>
    <t>90.347.840/0069-06</t>
  </si>
  <si>
    <t>7356.00</t>
  </si>
  <si>
    <t>90.347.840/0009-75</t>
  </si>
  <si>
    <t>6421.68</t>
  </si>
  <si>
    <t>20.810.747/0001-12</t>
  </si>
  <si>
    <t>8424.00</t>
  </si>
  <si>
    <t>5988.00</t>
  </si>
  <si>
    <t>16800.00</t>
  </si>
  <si>
    <t>00.382.380/0001-76</t>
  </si>
  <si>
    <t>27.570.569/0001-49</t>
  </si>
  <si>
    <t>3783.60</t>
  </si>
  <si>
    <t>2800.00</t>
  </si>
  <si>
    <t>05.340.639/0001-30</t>
  </si>
  <si>
    <t>8000.00</t>
  </si>
  <si>
    <t>763.348.809-34</t>
  </si>
  <si>
    <t>52.00</t>
  </si>
  <si>
    <t>3.3.90.40</t>
  </si>
  <si>
    <t>08.336.783/0001-90</t>
  </si>
  <si>
    <t>4494.48</t>
  </si>
  <si>
    <t>05.116.014/0001-99</t>
  </si>
  <si>
    <t>7626.48</t>
  </si>
  <si>
    <t>24.798.024/0001-04</t>
  </si>
  <si>
    <t>32390.40</t>
  </si>
  <si>
    <t>02.255.187/0001-08</t>
  </si>
  <si>
    <t>07.452.760/0001-89</t>
  </si>
  <si>
    <t>17940.00</t>
  </si>
  <si>
    <t>41494.80</t>
  </si>
  <si>
    <t>SCHNEIDER ELECTRIC IT BRASIL INDUSTRIA E COMERCIO DE EQ</t>
  </si>
  <si>
    <t>07.108.509/0002-82</t>
  </si>
  <si>
    <t>11221.33</t>
  </si>
  <si>
    <t>07.833.364/0001-00</t>
  </si>
  <si>
    <t>620.92</t>
  </si>
  <si>
    <t>790.00</t>
  </si>
  <si>
    <t>3.3.91.92</t>
  </si>
  <si>
    <t>31540.00</t>
  </si>
  <si>
    <t>73.922.171/0001-41</t>
  </si>
  <si>
    <t>2992.44</t>
  </si>
  <si>
    <t>43954.44</t>
  </si>
  <si>
    <t>41.587.502/0012-09</t>
  </si>
  <si>
    <t>11870.76</t>
  </si>
  <si>
    <t>23.103.993/0001-22</t>
  </si>
  <si>
    <t>149.47</t>
  </si>
  <si>
    <t>04.892.991/0001-15</t>
  </si>
  <si>
    <t>42000.00</t>
  </si>
  <si>
    <t>23.518.065/0001-29</t>
  </si>
  <si>
    <t>55999.92</t>
  </si>
  <si>
    <t>14.798.740/0001-20</t>
  </si>
  <si>
    <t>22800.00</t>
  </si>
  <si>
    <t>9350.00</t>
  </si>
  <si>
    <t>13731.52</t>
  </si>
  <si>
    <t>3.1.90.92</t>
  </si>
  <si>
    <t>18649.65</t>
  </si>
  <si>
    <t>1074.49</t>
  </si>
  <si>
    <t>186229.64</t>
  </si>
  <si>
    <t>3.1.91.92</t>
  </si>
  <si>
    <t>8747.42</t>
  </si>
  <si>
    <t>583.33</t>
  </si>
  <si>
    <t>06.556.008/0001-15</t>
  </si>
  <si>
    <t>11760.90</t>
  </si>
  <si>
    <t>03.094.629/0001-36</t>
  </si>
  <si>
    <t>4092.70</t>
  </si>
  <si>
    <t>78.533.312/0001-58</t>
  </si>
  <si>
    <t>11855.42</t>
  </si>
  <si>
    <t>41901.18</t>
  </si>
  <si>
    <t>83.043.745/0001-65</t>
  </si>
  <si>
    <t>338693.60</t>
  </si>
  <si>
    <t>125208.18</t>
  </si>
  <si>
    <t>11.140.607/0001-93</t>
  </si>
  <si>
    <t>187200.00</t>
  </si>
  <si>
    <t>59.456.277/0001-76</t>
  </si>
  <si>
    <t>314626.20</t>
  </si>
  <si>
    <t>01.707.536/0001-04</t>
  </si>
  <si>
    <t>192000.00</t>
  </si>
  <si>
    <t>03.698.620/0001-34</t>
  </si>
  <si>
    <t>263192.44</t>
  </si>
  <si>
    <t>11.508.825/0001-38</t>
  </si>
  <si>
    <t>264255.08</t>
  </si>
  <si>
    <t>801716.52</t>
  </si>
  <si>
    <t>80.680.093/0001-81</t>
  </si>
  <si>
    <t>64215.96</t>
  </si>
  <si>
    <t>82.892.282/0001-43</t>
  </si>
  <si>
    <t>7559.65</t>
  </si>
  <si>
    <t>179.88</t>
  </si>
  <si>
    <t>31.113.895/0001-02</t>
  </si>
  <si>
    <t>13.00</t>
  </si>
  <si>
    <t>17.015.086/0001-29</t>
  </si>
  <si>
    <t>66941.60</t>
  </si>
  <si>
    <t>4.4.90.52</t>
  </si>
  <si>
    <t>83.873.935/0001-00</t>
  </si>
  <si>
    <t>876.00</t>
  </si>
  <si>
    <t>81.006.272/0001-09</t>
  </si>
  <si>
    <t>24526.20</t>
  </si>
  <si>
    <t>19260.00</t>
  </si>
  <si>
    <t>9408.00</t>
  </si>
  <si>
    <t>02.631.287/0001-83</t>
  </si>
  <si>
    <t>7633.68</t>
  </si>
  <si>
    <t>500.00</t>
  </si>
  <si>
    <t>90.347.840/0034-86</t>
  </si>
  <si>
    <t>10800.00</t>
  </si>
  <si>
    <t>04.008.945/0001-00</t>
  </si>
  <si>
    <t>8400.00</t>
  </si>
  <si>
    <t>95.782.751/0001-13</t>
  </si>
  <si>
    <t>28000.00</t>
  </si>
  <si>
    <t>126203.04</t>
  </si>
  <si>
    <t>07.392.516/0001-78</t>
  </si>
  <si>
    <t>82.981.051/0001-06</t>
  </si>
  <si>
    <t>171140.00</t>
  </si>
  <si>
    <t>49481.00</t>
  </si>
  <si>
    <t>01.899.776/0001-58</t>
  </si>
  <si>
    <t>247065.00</t>
  </si>
  <si>
    <t>08.741.352/0001-00</t>
  </si>
  <si>
    <t>180765.00</t>
  </si>
  <si>
    <t>2058.17</t>
  </si>
  <si>
    <t>461.34</t>
  </si>
  <si>
    <t>3.3.90.37</t>
  </si>
  <si>
    <t>00.482.840/0001-38</t>
  </si>
  <si>
    <t>794593.08</t>
  </si>
  <si>
    <t>34.028.316/0028-23</t>
  </si>
  <si>
    <t>1000000.00</t>
  </si>
  <si>
    <t>09.813.930/0001-39</t>
  </si>
  <si>
    <t>571900.32</t>
  </si>
  <si>
    <t>82.949.652/0001-31</t>
  </si>
  <si>
    <t>715830.00</t>
  </si>
  <si>
    <t>79.929.774/0001-51</t>
  </si>
  <si>
    <t>241782.00</t>
  </si>
  <si>
    <t>79.283.065/0001-41</t>
  </si>
  <si>
    <t>369204.72</t>
  </si>
  <si>
    <t>50.668.722/0019-16</t>
  </si>
  <si>
    <t>14064.72</t>
  </si>
  <si>
    <t>03.877.288/0001-75</t>
  </si>
  <si>
    <t>30000.00</t>
  </si>
  <si>
    <t>35.636.034/0001-51</t>
  </si>
  <si>
    <t>1.00</t>
  </si>
  <si>
    <t>3.3.90.33</t>
  </si>
  <si>
    <t>150000.00</t>
  </si>
  <si>
    <t>75.092.593/0013-04</t>
  </si>
  <si>
    <t>44920.92</t>
  </si>
  <si>
    <t>83.930.214/0001-94</t>
  </si>
  <si>
    <t>29012.40</t>
  </si>
  <si>
    <t>35550.00</t>
  </si>
  <si>
    <t>04.176.082/0001-80</t>
  </si>
  <si>
    <t>85.241.693/0001-67</t>
  </si>
  <si>
    <t>63462.00</t>
  </si>
  <si>
    <t>76.340.132/0001-24</t>
  </si>
  <si>
    <t>9786.60</t>
  </si>
  <si>
    <t>46850.00</t>
  </si>
  <si>
    <t>03.834.670/0001-00</t>
  </si>
  <si>
    <t>24583.80</t>
  </si>
  <si>
    <t>76.535.764/0001-43</t>
  </si>
  <si>
    <t>33.795.785/0001-95</t>
  </si>
  <si>
    <t>14980.34</t>
  </si>
  <si>
    <t>90.180.605/0001-02</t>
  </si>
  <si>
    <t>37.381.902/0001-25</t>
  </si>
  <si>
    <t>188017.20</t>
  </si>
  <si>
    <t>05.818.625/0001-89</t>
  </si>
  <si>
    <t>248761.77</t>
  </si>
  <si>
    <t>09.134.633/0001-67</t>
  </si>
  <si>
    <t>56090.00</t>
  </si>
  <si>
    <t>765.86</t>
  </si>
  <si>
    <t>1238950.00</t>
  </si>
  <si>
    <t>47250.00</t>
  </si>
  <si>
    <t>20703.68</t>
  </si>
  <si>
    <t>02.797.782/0001-67</t>
  </si>
  <si>
    <t>97138.92</t>
  </si>
  <si>
    <t>02.482.005/0001-23</t>
  </si>
  <si>
    <t>20.599.605/0001-58</t>
  </si>
  <si>
    <t>50469.84</t>
  </si>
  <si>
    <t>47988.00</t>
  </si>
  <si>
    <t>83.024.257/0001-00</t>
  </si>
  <si>
    <t>362.29</t>
  </si>
  <si>
    <t>82.743.287/0035-53</t>
  </si>
  <si>
    <t>65100.00</t>
  </si>
  <si>
    <t>04.198.254/0001-17</t>
  </si>
  <si>
    <t>59760.00</t>
  </si>
  <si>
    <t>846331.68</t>
  </si>
  <si>
    <t>812215.23</t>
  </si>
  <si>
    <t>76.361.492/0001-02</t>
  </si>
  <si>
    <t>426774.42</t>
  </si>
  <si>
    <t>11.955.729/0001-38</t>
  </si>
  <si>
    <t>116071.80</t>
  </si>
  <si>
    <t>2540000.00</t>
  </si>
  <si>
    <t>83.108.357/0001-15</t>
  </si>
  <si>
    <t>523.62</t>
  </si>
  <si>
    <t>2500.00</t>
  </si>
  <si>
    <t>08.044.656/0001-18</t>
  </si>
  <si>
    <t>650.00</t>
  </si>
  <si>
    <t>21.347.447/0001-01</t>
  </si>
  <si>
    <t>54284.28</t>
  </si>
  <si>
    <t>00.000.000/0001-91</t>
  </si>
  <si>
    <t>3222.16</t>
  </si>
  <si>
    <t>27.752.019/0001-40</t>
  </si>
  <si>
    <t>8195.00</t>
  </si>
  <si>
    <t>33.58</t>
  </si>
  <si>
    <t>80.067.739/0001-50</t>
  </si>
  <si>
    <t>3500.00</t>
  </si>
  <si>
    <t>00.000.000/4666-38</t>
  </si>
  <si>
    <t>07.797.967/0001-95</t>
  </si>
  <si>
    <t>8700.00</t>
  </si>
  <si>
    <t>82.951.310/0001-56</t>
  </si>
  <si>
    <t>83.021.808/0001-82</t>
  </si>
  <si>
    <t>1095.76</t>
  </si>
  <si>
    <t>07.649.811/0001-67</t>
  </si>
  <si>
    <t>1797.30</t>
  </si>
  <si>
    <t>33.154.265/0001-01</t>
  </si>
  <si>
    <t>9069.60</t>
  </si>
  <si>
    <t>286895.01</t>
  </si>
  <si>
    <t>05.969.672/0001-23</t>
  </si>
  <si>
    <t>92846.64</t>
  </si>
  <si>
    <t>90413.75</t>
  </si>
  <si>
    <t>82.777.301/0001-90</t>
  </si>
  <si>
    <t>603.04</t>
  </si>
  <si>
    <t>3632.18</t>
  </si>
  <si>
    <t>82.928.656/0001-33</t>
  </si>
  <si>
    <t>311.04</t>
  </si>
  <si>
    <t>1605.80</t>
  </si>
  <si>
    <t>4957072.19</t>
  </si>
  <si>
    <t>83.754.044/0001-34</t>
  </si>
  <si>
    <t>115.44</t>
  </si>
  <si>
    <t>4397.40</t>
  </si>
  <si>
    <t>14.744.431/0001-77</t>
  </si>
  <si>
    <t>82.909.409/0001-90</t>
  </si>
  <si>
    <t>2205.00</t>
  </si>
  <si>
    <t>369.38</t>
  </si>
  <si>
    <t>163560.30</t>
  </si>
  <si>
    <t>53318.22</t>
  </si>
  <si>
    <t>03.064.330/0001-39</t>
  </si>
  <si>
    <t>03.818.818/0001-04</t>
  </si>
  <si>
    <t>12700.00</t>
  </si>
  <si>
    <t>18.133.018/0001-27</t>
  </si>
  <si>
    <t>3380.00</t>
  </si>
  <si>
    <t>09.216.620/0001-37</t>
  </si>
  <si>
    <t>80000.00</t>
  </si>
  <si>
    <t>1165.34</t>
  </si>
  <si>
    <t>914.50</t>
  </si>
  <si>
    <t>01.554.285/0001-75</t>
  </si>
  <si>
    <t>6375.00</t>
  </si>
  <si>
    <t>27.785.481/0001-44</t>
  </si>
  <si>
    <t>6200.00</t>
  </si>
  <si>
    <t>03.603.739/0018-24</t>
  </si>
  <si>
    <t>286.80</t>
  </si>
  <si>
    <t>83.102.574/0001-06</t>
  </si>
  <si>
    <t>307.13</t>
  </si>
  <si>
    <t>44000.00</t>
  </si>
  <si>
    <t>012.088.791-62</t>
  </si>
  <si>
    <t>83.102.384/0001-80</t>
  </si>
  <si>
    <t>480.36</t>
  </si>
  <si>
    <t>SIGEO</t>
  </si>
  <si>
    <t>BASE</t>
  </si>
  <si>
    <t>2021NE000047</t>
  </si>
  <si>
    <t>2021NE000074</t>
  </si>
  <si>
    <t>2021NE000078</t>
  </si>
  <si>
    <t>2021NE000124</t>
  </si>
  <si>
    <t>2021NE000125</t>
  </si>
  <si>
    <t>2021NE000126</t>
  </si>
  <si>
    <t>2021NE000127</t>
  </si>
  <si>
    <t>2021NE000128</t>
  </si>
  <si>
    <t>2021NE000129</t>
  </si>
  <si>
    <t>2021NE000133</t>
  </si>
  <si>
    <t>2021NE000140</t>
  </si>
  <si>
    <t>2021NE000141</t>
  </si>
  <si>
    <t>2021NE000142</t>
  </si>
  <si>
    <t>2021NE000147</t>
  </si>
  <si>
    <t>2021NE000148</t>
  </si>
  <si>
    <t>2021NE000151</t>
  </si>
  <si>
    <t>2021NE000152</t>
  </si>
  <si>
    <t>2021NE000153</t>
  </si>
  <si>
    <t>2021NE000154</t>
  </si>
  <si>
    <t>2021NE000155</t>
  </si>
  <si>
    <t>2021NE000156</t>
  </si>
  <si>
    <t>2021NE000157</t>
  </si>
  <si>
    <t>2021NE000158</t>
  </si>
  <si>
    <t>2021NE000159</t>
  </si>
  <si>
    <t>2021NE000163</t>
  </si>
  <si>
    <t>2021NE000164</t>
  </si>
  <si>
    <t>Data para ADM</t>
  </si>
  <si>
    <t>Contratação de uso de postes (passagem da fibra óptica - locação CELESC) para conexão redundante entre o datacenter principal e auxiliar (Sede/Utrillo)</t>
  </si>
  <si>
    <t>-</t>
  </si>
  <si>
    <t>INTERNET - Contratação de acesso corporativo à internet - Link 2, como redundância em relação ao acesso principal</t>
  </si>
  <si>
    <t>SALA COFRE - Contratação de manutenção de sala cofre, que abriga o Datacenter principal, onde são armazenados todos os dados e os equipamentos de processamento de dados corporativos.</t>
  </si>
  <si>
    <t>Nuvem - Contratação de licença de uso de serviço de nuvem de comunicação e colaboração (Google)</t>
  </si>
  <si>
    <t>10601/2019</t>
  </si>
  <si>
    <t>INTERNET - Contratação de acesso principal corporativo à internet - LINK 1</t>
  </si>
  <si>
    <t>SEGURANÇA - Continuidade do serviço de suporte técnico do Sistema de Softwares de Segurança em uso nas unidades do TRT/SC (SENIOR) - 2021</t>
  </si>
  <si>
    <t>SEGURANÇA - Contratação de serviços de manutenção preventiva e corretiva, com eventual fornecimento de peças de reposição, para as câmeras IP e outros equipamentos que compõem o sistema de imagens de segurança.</t>
  </si>
  <si>
    <t>XXX</t>
  </si>
  <si>
    <t>Viabilizar a continuidade de audiências e sessões trabalhistas e das reuniões telepresenciais por meio de videoconferências (Zoom) - 2021</t>
  </si>
  <si>
    <t>Viabilizar a continuidade de audiências e sessões trabalhistas e das reuniões telepresenciais por meio de videoconferências (G Suite Enterprise) - 2021</t>
  </si>
  <si>
    <t>BANCO DE DADOS - Contratação de suporte e atualização de licenças Oracle, para os sistemas PROAD, SIGEP (continua o 8060/2016) - 2021</t>
  </si>
  <si>
    <t>Antivírus - Aquisição de licenças de solução de antivírus com suporte e atualização, para proteção contra ameaças externas (continua o 1366/2017, ID 15004) - 2021</t>
  </si>
  <si>
    <t>CERTIFICADOS PJ - Aquisição Certificados Digitais SSL (PJe, domínio trt12.jus.br e siscondj), obrigatório para estabelecer autenticação de confiança entre sistemas de informação. Exigido pela instituição bancária (BB).</t>
  </si>
  <si>
    <t>2021NE000293</t>
  </si>
  <si>
    <t>2021NE000243</t>
  </si>
  <si>
    <t>2021NE000474</t>
  </si>
  <si>
    <t>2021NE000174</t>
  </si>
  <si>
    <t>2021NE000165</t>
  </si>
  <si>
    <t>2021NE000338</t>
  </si>
  <si>
    <t>2021NE000312</t>
  </si>
  <si>
    <t>2021NE000428</t>
  </si>
  <si>
    <t>2021NE000387</t>
  </si>
  <si>
    <t>2021NE000313</t>
  </si>
  <si>
    <t>2021NE000332</t>
  </si>
  <si>
    <t>2021NE000311</t>
  </si>
  <si>
    <t>2021NE000199</t>
  </si>
  <si>
    <t>2021NE000193</t>
  </si>
  <si>
    <t>2021NE000000</t>
  </si>
  <si>
    <t>2021NE000194</t>
  </si>
  <si>
    <t>2021NE000190</t>
  </si>
  <si>
    <t>2021NE000235</t>
  </si>
  <si>
    <t>2021NE000445</t>
  </si>
  <si>
    <t>2021NE000403</t>
  </si>
  <si>
    <t>2021NE000219</t>
  </si>
  <si>
    <t>2021NE000254</t>
  </si>
  <si>
    <t>2021NE000328</t>
  </si>
  <si>
    <t>2021NE000460</t>
  </si>
  <si>
    <t>2021NE000302</t>
  </si>
  <si>
    <t>2021NE000333</t>
  </si>
  <si>
    <t>2021NE000386</t>
  </si>
  <si>
    <t>2021NE000438</t>
  </si>
  <si>
    <t>2021NE000468</t>
  </si>
  <si>
    <t>2021NE000469</t>
  </si>
  <si>
    <t>2021NE000454</t>
  </si>
  <si>
    <t>TRT</t>
  </si>
  <si>
    <t>TRT01</t>
  </si>
  <si>
    <t>Convite</t>
  </si>
  <si>
    <t>TRT02</t>
  </si>
  <si>
    <t>Tomada de preços</t>
  </si>
  <si>
    <t>TRT03</t>
  </si>
  <si>
    <t>Material de consumo</t>
  </si>
  <si>
    <t>TRT04</t>
  </si>
  <si>
    <t>Ativos de Segurança da Informação</t>
  </si>
  <si>
    <t>Pregão presencial</t>
  </si>
  <si>
    <t>TRT05</t>
  </si>
  <si>
    <t>TRT06</t>
  </si>
  <si>
    <t>Balanceador de Carga</t>
  </si>
  <si>
    <t>TRT07</t>
  </si>
  <si>
    <t>TRT08</t>
  </si>
  <si>
    <t>TRT09</t>
  </si>
  <si>
    <t>TRT10</t>
  </si>
  <si>
    <t>Licença de Antivírus</t>
  </si>
  <si>
    <t>TRT11</t>
  </si>
  <si>
    <t>TRT12</t>
  </si>
  <si>
    <t>Licença de Microsoft 365</t>
  </si>
  <si>
    <t>TRT13</t>
  </si>
  <si>
    <t>Licença de Sistema Operacional</t>
  </si>
  <si>
    <t>TRT14</t>
  </si>
  <si>
    <t>Licença de Suíte de Escritório</t>
  </si>
  <si>
    <t>TRT15</t>
  </si>
  <si>
    <t>TRT16</t>
  </si>
  <si>
    <t>TRT17</t>
  </si>
  <si>
    <t>Licenças para Soluções de Segurança da Informação</t>
  </si>
  <si>
    <t>TRT18</t>
  </si>
  <si>
    <t>TRT19</t>
  </si>
  <si>
    <t>TRT20</t>
  </si>
  <si>
    <t>Serviço de Monitoramento de Datacenter (NOC)</t>
  </si>
  <si>
    <t>TRT21</t>
  </si>
  <si>
    <t>TRT22</t>
  </si>
  <si>
    <t>TRT23</t>
  </si>
  <si>
    <t>Serviços Gerenciados de Segurança da Informação</t>
  </si>
  <si>
    <t>TRT24</t>
  </si>
  <si>
    <t>Servidor</t>
  </si>
  <si>
    <t>Telefone</t>
  </si>
  <si>
    <t>Telefone celular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</si>
</sst>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4">
    <numFmt numFmtId="164" formatCode="00000"/>
    <numFmt numFmtId="165" formatCode="0&quot;.&quot;0&quot;.&quot;00&quot;.&quot;00"/>
    <numFmt numFmtId="166" formatCode="dd/MM/yyyy"/>
    <numFmt numFmtId="167" formatCode="dd/mm/yyyy"/>
    <numFmt numFmtId="168" formatCode="m/d/yyyy h:mm:ss"/>
    <numFmt numFmtId="169" formatCode="000"/>
    <numFmt numFmtId="170" formatCode="#,##0.00000"/>
    <numFmt numFmtId="171" formatCode="0000"/>
    <numFmt numFmtId="172" formatCode="[$R$ -416]#,##0.00"/>
    <numFmt numFmtId="173" formatCode="0&quot;.&quot;0&quot;.&quot;00&quot;.&quot;00&quot;.&quot;00"/>
    <numFmt numFmtId="174" formatCode="00000000000000"/>
    <numFmt numFmtId="175" formatCode="d/m/yyyy"/>
    <numFmt numFmtId="176" formatCode="dd/mm/yyyy hh:mm"/>
    <numFmt numFmtId="177" formatCode="yyyy.m"/>
  </numFmts>
  <fonts count="46">
    <font>
      <sz val="10.0"/>
      <color rgb="FF000000"/>
      <name val="Arial"/>
    </font>
    <font>
      <sz val="10.0"/>
      <color rgb="FFFFFFFF"/>
      <name val="Arial"/>
    </font>
    <font>
      <b/>
      <sz val="10.0"/>
      <color rgb="FF000000"/>
      <name val="Arial"/>
    </font>
    <font>
      <b/>
      <color rgb="FF000000"/>
      <name val="Arial"/>
    </font>
    <font>
      <name val="Arial"/>
    </font>
    <font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sz val="10.0"/>
      <color rgb="FF000000"/>
      <name val="Arial"/>
    </font>
    <font>
      <u/>
      <color rgb="FF000000"/>
      <name val="Arial"/>
    </font>
    <font>
      <u/>
      <color rgb="FF0000FF"/>
      <name val="Arial"/>
    </font>
    <font>
      <u/>
      <color rgb="FF0000FF"/>
      <name val="Arial"/>
    </font>
    <font>
      <u/>
      <sz val="10.0"/>
      <color rgb="FF000000"/>
      <name val="Arial"/>
    </font>
    <font/>
    <font>
      <u/>
      <color rgb="FF0000FF"/>
    </font>
    <font>
      <b/>
    </font>
    <font>
      <u/>
      <color rgb="FF0000FF"/>
    </font>
    <font>
      <b/>
      <sz val="18.0"/>
    </font>
    <font>
      <b/>
      <color rgb="FFFFFFFF"/>
    </font>
    <font>
      <i/>
      <sz val="10.0"/>
    </font>
    <font>
      <b/>
      <color rgb="FF666666"/>
    </font>
    <font>
      <b/>
      <sz val="14.0"/>
    </font>
    <font>
      <b/>
      <color rgb="FF000000"/>
    </font>
    <font>
      <color rgb="FF000000"/>
    </font>
    <font>
      <sz val="9.0"/>
    </font>
    <font>
      <b/>
      <sz val="9.0"/>
    </font>
    <font>
      <sz val="11.0"/>
      <color rgb="FF000000"/>
      <name val="Arial"/>
    </font>
    <font>
      <sz val="11.0"/>
      <name val="Arial"/>
    </font>
    <font>
      <b/>
      <sz val="12.0"/>
    </font>
    <font>
      <sz val="11.0"/>
      <color rgb="FF000000"/>
      <name val="Inconsolata"/>
    </font>
    <font>
      <sz val="10.0"/>
      <name val="Arial"/>
    </font>
    <font>
      <b/>
      <sz val="10.0"/>
      <name val="Arial"/>
    </font>
    <font>
      <b/>
      <sz val="12.0"/>
      <color rgb="FF051656"/>
      <name val="Times New Roman"/>
    </font>
    <font>
      <sz val="10.0"/>
      <color rgb="FF000852"/>
      <name val="Times New Roman"/>
    </font>
    <font>
      <sz val="10.0"/>
      <color rgb="FF052874"/>
      <name val="Times New Roman"/>
    </font>
    <font>
      <sz val="10.0"/>
      <color rgb="FF052874"/>
      <name val="Cambria"/>
    </font>
    <font>
      <sz val="10.0"/>
      <color rgb="FF000852"/>
      <name val="Cambria"/>
    </font>
    <font>
      <sz val="9.0"/>
      <color rgb="FF000852"/>
      <name val="Times New Roman"/>
    </font>
    <font>
      <sz val="12.0"/>
    </font>
    <font>
      <sz val="11.0"/>
    </font>
    <font>
      <sz val="11.0"/>
      <color rgb="FF000000"/>
      <name val="Inherit"/>
    </font>
    <font>
      <sz val="11.0"/>
      <color rgb="FF212121"/>
      <name val="Arial"/>
    </font>
    <font>
      <b/>
      <name val="Inherit"/>
    </font>
    <font>
      <name val="Inherit"/>
    </font>
  </fonts>
  <fills count="31">
    <fill>
      <patternFill patternType="none"/>
    </fill>
    <fill>
      <patternFill patternType="lightGray"/>
    </fill>
    <fill>
      <patternFill patternType="solid">
        <fgColor rgb="FFD5A6BD"/>
        <bgColor rgb="FFD5A6BD"/>
      </patternFill>
    </fill>
    <fill>
      <patternFill patternType="solid">
        <fgColor rgb="FFD9D9D9"/>
        <bgColor rgb="FFD9D9D9"/>
      </patternFill>
    </fill>
    <fill>
      <patternFill patternType="solid">
        <fgColor rgb="FFB7B7B7"/>
        <bgColor rgb="FFB7B7B7"/>
      </patternFill>
    </fill>
    <fill>
      <patternFill patternType="solid">
        <fgColor rgb="FFC9DAF8"/>
        <bgColor rgb="FFC9DAF8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38761D"/>
        <bgColor rgb="FF38761D"/>
      </patternFill>
    </fill>
    <fill>
      <patternFill patternType="solid">
        <fgColor rgb="FFA64D79"/>
        <bgColor rgb="FFA64D79"/>
      </patternFill>
    </fill>
    <fill>
      <patternFill patternType="solid">
        <fgColor rgb="FF9FC5E8"/>
        <bgColor rgb="FF9FC5E8"/>
      </patternFill>
    </fill>
    <fill>
      <patternFill patternType="solid">
        <fgColor rgb="FFE6B8AF"/>
        <bgColor rgb="FFE6B8AF"/>
      </patternFill>
    </fill>
    <fill>
      <patternFill patternType="solid">
        <fgColor rgb="FFFF0000"/>
        <bgColor rgb="FFFF0000"/>
      </patternFill>
    </fill>
    <fill>
      <patternFill patternType="solid">
        <fgColor rgb="FFFFD966"/>
        <bgColor rgb="FFFFD966"/>
      </patternFill>
    </fill>
    <fill>
      <patternFill patternType="solid">
        <fgColor rgb="FFCFE2F3"/>
        <bgColor rgb="FFCFE2F3"/>
      </patternFill>
    </fill>
    <fill>
      <patternFill patternType="solid">
        <fgColor rgb="FFF4C7C3"/>
        <bgColor rgb="FFF4C7C3"/>
      </patternFill>
    </fill>
    <fill>
      <patternFill patternType="solid">
        <fgColor rgb="FFDD7E6B"/>
        <bgColor rgb="FFDD7E6B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FFFF00"/>
        <bgColor rgb="FFFFFF00"/>
      </patternFill>
    </fill>
    <fill>
      <patternFill patternType="solid">
        <fgColor rgb="FFFCE8B2"/>
        <bgColor rgb="FFFCE8B2"/>
      </patternFill>
    </fill>
    <fill>
      <patternFill patternType="solid">
        <fgColor rgb="FFF4CCCC"/>
        <bgColor rgb="FFF4CCCC"/>
      </patternFill>
    </fill>
    <fill>
      <patternFill patternType="solid">
        <fgColor rgb="FFCCCCCC"/>
        <bgColor rgb="FFCCCCCC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C27BA0"/>
        <bgColor rgb="FFC27BA0"/>
      </patternFill>
    </fill>
    <fill>
      <patternFill patternType="solid">
        <fgColor rgb="FF999999"/>
        <bgColor rgb="FF999999"/>
      </patternFill>
    </fill>
    <fill>
      <patternFill patternType="solid">
        <fgColor rgb="FFFFF2CC"/>
        <bgColor rgb="FFFFF2CC"/>
      </patternFill>
    </fill>
    <fill>
      <patternFill patternType="solid">
        <fgColor rgb="FFEFEFEF"/>
        <bgColor rgb="FFEFEFEF"/>
      </patternFill>
    </fill>
    <fill>
      <patternFill patternType="solid">
        <fgColor rgb="FFF9CB9C"/>
        <bgColor rgb="FFF9CB9C"/>
      </patternFill>
    </fill>
    <fill>
      <patternFill patternType="solid">
        <fgColor rgb="FFA4C2F4"/>
        <bgColor rgb="FFA4C2F4"/>
      </patternFill>
    </fill>
  </fills>
  <borders count="2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999999"/>
      </left>
      <right style="thin">
        <color rgb="FF999999"/>
      </right>
    </border>
    <border>
      <left style="thin">
        <color rgb="FF999999"/>
      </left>
      <right style="thin">
        <color rgb="FF999999"/>
      </right>
      <bottom style="thin">
        <color rgb="FF999999"/>
      </bottom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right style="thin">
        <color rgb="FF999999"/>
      </right>
      <top style="thin">
        <color rgb="FF999999"/>
      </top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1"/>
      </left>
      <right style="thin">
        <color rgb="FF000001"/>
      </right>
      <top style="thin">
        <color rgb="FF000001"/>
      </top>
      <bottom style="thin">
        <color rgb="FF000001"/>
      </bottom>
    </border>
    <border>
      <left style="thin">
        <color rgb="FF000001"/>
      </left>
      <right style="thin">
        <color rgb="FF000001"/>
      </right>
      <top style="thin">
        <color rgb="FF000001"/>
      </top>
    </border>
    <border>
      <left style="thin">
        <color rgb="FF000001"/>
      </left>
      <right style="thin">
        <color rgb="FF000001"/>
      </right>
    </border>
    <border>
      <left style="thin">
        <color rgb="FF000001"/>
      </left>
      <right style="thin">
        <color rgb="FF000001"/>
      </right>
      <bottom style="thin">
        <color rgb="FF000001"/>
      </bottom>
    </border>
  </borders>
  <cellStyleXfs count="1">
    <xf borderId="0" fillId="0" fontId="0" numFmtId="0" applyAlignment="1" applyFont="1"/>
  </cellStyleXfs>
  <cellXfs count="497">
    <xf borderId="0" fillId="0" fontId="0" numFmtId="0" xfId="0" applyAlignment="1" applyFont="1">
      <alignment readingOrder="0" shrinkToFit="0" vertical="bottom" wrapText="0"/>
    </xf>
    <xf borderId="1" fillId="2" fontId="0" numFmtId="164" xfId="0" applyAlignment="1" applyBorder="1" applyFill="1" applyFont="1" applyNumberFormat="1">
      <alignment horizontal="right" readingOrder="0" shrinkToFit="0" vertical="top" wrapText="1"/>
    </xf>
    <xf borderId="1" fillId="2" fontId="0" numFmtId="0" xfId="0" applyAlignment="1" applyBorder="1" applyFont="1">
      <alignment horizontal="left" readingOrder="0" shrinkToFit="0" vertical="top" wrapText="1"/>
    </xf>
    <xf borderId="1" fillId="3" fontId="0" numFmtId="0" xfId="0" applyAlignment="1" applyBorder="1" applyFill="1" applyFont="1">
      <alignment horizontal="left" readingOrder="0" shrinkToFit="0" vertical="top" wrapText="1"/>
    </xf>
    <xf borderId="1" fillId="4" fontId="0" numFmtId="0" xfId="0" applyAlignment="1" applyBorder="1" applyFill="1" applyFont="1">
      <alignment horizontal="left" readingOrder="0" shrinkToFit="0" vertical="top" wrapText="1"/>
    </xf>
    <xf borderId="1" fillId="4" fontId="0" numFmtId="49" xfId="0" applyAlignment="1" applyBorder="1" applyFont="1" applyNumberFormat="1">
      <alignment horizontal="left" readingOrder="0" shrinkToFit="0" vertical="top" wrapText="1"/>
    </xf>
    <xf borderId="1" fillId="4" fontId="0" numFmtId="165" xfId="0" applyAlignment="1" applyBorder="1" applyFont="1" applyNumberFormat="1">
      <alignment horizontal="right" readingOrder="0" shrinkToFit="0" vertical="top" wrapText="1"/>
    </xf>
    <xf borderId="1" fillId="4" fontId="0" numFmtId="1" xfId="0" applyAlignment="1" applyBorder="1" applyFont="1" applyNumberFormat="1">
      <alignment horizontal="right" readingOrder="0" shrinkToFit="0" vertical="top" wrapText="1"/>
    </xf>
    <xf borderId="1" fillId="4" fontId="0" numFmtId="164" xfId="0" applyAlignment="1" applyBorder="1" applyFont="1" applyNumberFormat="1">
      <alignment horizontal="right" readingOrder="0" shrinkToFit="0" vertical="top" wrapText="1"/>
    </xf>
    <xf borderId="1" fillId="4" fontId="0" numFmtId="164" xfId="0" applyAlignment="1" applyBorder="1" applyFont="1" applyNumberFormat="1">
      <alignment horizontal="left" readingOrder="0" shrinkToFit="0" vertical="top" wrapText="1"/>
    </xf>
    <xf borderId="1" fillId="5" fontId="0" numFmtId="0" xfId="0" applyAlignment="1" applyBorder="1" applyFill="1" applyFont="1">
      <alignment horizontal="left" readingOrder="0" shrinkToFit="0" vertical="top" wrapText="1"/>
    </xf>
    <xf borderId="1" fillId="6" fontId="0" numFmtId="0" xfId="0" applyAlignment="1" applyBorder="1" applyFill="1" applyFont="1">
      <alignment horizontal="left" readingOrder="0" shrinkToFit="0" vertical="top" wrapText="1"/>
    </xf>
    <xf borderId="1" fillId="6" fontId="0" numFmtId="0" xfId="0" applyAlignment="1" applyBorder="1" applyFont="1">
      <alignment horizontal="right" readingOrder="0" shrinkToFit="0" vertical="top" wrapText="1"/>
    </xf>
    <xf borderId="1" fillId="6" fontId="0" numFmtId="49" xfId="0" applyAlignment="1" applyBorder="1" applyFont="1" applyNumberFormat="1">
      <alignment horizontal="right" readingOrder="0" shrinkToFit="0" vertical="top" wrapText="1"/>
    </xf>
    <xf borderId="1" fillId="6" fontId="0" numFmtId="164" xfId="0" applyAlignment="1" applyBorder="1" applyFont="1" applyNumberFormat="1">
      <alignment horizontal="right" readingOrder="0" shrinkToFit="0" vertical="top" wrapText="1"/>
    </xf>
    <xf borderId="1" fillId="6" fontId="0" numFmtId="49" xfId="0" applyAlignment="1" applyBorder="1" applyFont="1" applyNumberFormat="1">
      <alignment horizontal="left" readingOrder="0" shrinkToFit="0" vertical="top" wrapText="1"/>
    </xf>
    <xf borderId="1" fillId="2" fontId="0" numFmtId="0" xfId="0" applyAlignment="1" applyBorder="1" applyFont="1">
      <alignment horizontal="right" readingOrder="0" shrinkToFit="0" vertical="top" wrapText="1"/>
    </xf>
    <xf borderId="1" fillId="2" fontId="0" numFmtId="4" xfId="0" applyAlignment="1" applyBorder="1" applyFont="1" applyNumberFormat="1">
      <alignment horizontal="left" readingOrder="0" shrinkToFit="0" vertical="top" wrapText="1"/>
    </xf>
    <xf borderId="1" fillId="7" fontId="0" numFmtId="3" xfId="0" applyAlignment="1" applyBorder="1" applyFill="1" applyFont="1" applyNumberFormat="1">
      <alignment horizontal="right" readingOrder="0" shrinkToFit="0" vertical="top" wrapText="1"/>
    </xf>
    <xf borderId="1" fillId="7" fontId="0" numFmtId="4" xfId="0" applyAlignment="1" applyBorder="1" applyFont="1" applyNumberFormat="1">
      <alignment horizontal="right" readingOrder="0" shrinkToFit="0" vertical="top" wrapText="1"/>
    </xf>
    <xf borderId="1" fillId="8" fontId="1" numFmtId="4" xfId="0" applyAlignment="1" applyBorder="1" applyFill="1" applyFont="1" applyNumberFormat="1">
      <alignment horizontal="left" readingOrder="0" shrinkToFit="0" vertical="top" wrapText="1"/>
    </xf>
    <xf borderId="1" fillId="8" fontId="1" numFmtId="4" xfId="0" applyAlignment="1" applyBorder="1" applyFont="1" applyNumberFormat="1">
      <alignment horizontal="right" readingOrder="0" shrinkToFit="0" vertical="top" wrapText="1"/>
    </xf>
    <xf borderId="1" fillId="6" fontId="2" numFmtId="4" xfId="0" applyAlignment="1" applyBorder="1" applyFont="1" applyNumberFormat="1">
      <alignment horizontal="right" readingOrder="0" shrinkToFit="0" vertical="top" wrapText="1"/>
    </xf>
    <xf borderId="1" fillId="5" fontId="0" numFmtId="0" xfId="0" applyAlignment="1" applyBorder="1" applyFont="1">
      <alignment horizontal="right" readingOrder="0" shrinkToFit="0" vertical="top" wrapText="1"/>
    </xf>
    <xf borderId="1" fillId="9" fontId="1" numFmtId="4" xfId="0" applyAlignment="1" applyBorder="1" applyFill="1" applyFont="1" applyNumberFormat="1">
      <alignment horizontal="right" readingOrder="0" shrinkToFit="0" vertical="top" wrapText="1"/>
    </xf>
    <xf borderId="1" fillId="9" fontId="1" numFmtId="1" xfId="0" applyAlignment="1" applyBorder="1" applyFont="1" applyNumberFormat="1">
      <alignment horizontal="right" readingOrder="0" shrinkToFit="0" vertical="top" wrapText="1"/>
    </xf>
    <xf borderId="1" fillId="9" fontId="1" numFmtId="0" xfId="0" applyAlignment="1" applyBorder="1" applyFont="1">
      <alignment horizontal="right" readingOrder="0" shrinkToFit="0" vertical="top" wrapText="1"/>
    </xf>
    <xf borderId="1" fillId="10" fontId="0" numFmtId="4" xfId="0" applyAlignment="1" applyBorder="1" applyFill="1" applyFont="1" applyNumberFormat="1">
      <alignment horizontal="right" readingOrder="0" shrinkToFit="0" vertical="top" wrapText="1"/>
    </xf>
    <xf borderId="1" fillId="7" fontId="0" numFmtId="1" xfId="0" applyAlignment="1" applyBorder="1" applyFont="1" applyNumberFormat="1">
      <alignment horizontal="right" readingOrder="0" shrinkToFit="0" vertical="top" wrapText="1"/>
    </xf>
    <xf borderId="1" fillId="8" fontId="1" numFmtId="0" xfId="0" applyAlignment="1" applyBorder="1" applyFont="1">
      <alignment horizontal="left" readingOrder="0" shrinkToFit="0" vertical="top" wrapText="1"/>
    </xf>
    <xf borderId="1" fillId="11" fontId="0" numFmtId="3" xfId="0" applyAlignment="1" applyBorder="1" applyFill="1" applyFont="1" applyNumberFormat="1">
      <alignment horizontal="right" readingOrder="0" shrinkToFit="0" vertical="top" wrapText="1"/>
    </xf>
    <xf borderId="1" fillId="11" fontId="0" numFmtId="0" xfId="0" applyAlignment="1" applyBorder="1" applyFont="1">
      <alignment horizontal="right" readingOrder="0" shrinkToFit="0" vertical="top" wrapText="1"/>
    </xf>
    <xf borderId="1" fillId="11" fontId="0" numFmtId="4" xfId="0" applyAlignment="1" applyBorder="1" applyFont="1" applyNumberFormat="1">
      <alignment horizontal="right" readingOrder="0" shrinkToFit="0" vertical="top" wrapText="1"/>
    </xf>
    <xf borderId="1" fillId="4" fontId="2" numFmtId="4" xfId="0" applyAlignment="1" applyBorder="1" applyFont="1" applyNumberFormat="1">
      <alignment horizontal="left" readingOrder="0" shrinkToFit="0" vertical="top" wrapText="1"/>
    </xf>
    <xf borderId="1" fillId="7" fontId="2" numFmtId="4" xfId="0" applyAlignment="1" applyBorder="1" applyFont="1" applyNumberFormat="1">
      <alignment horizontal="left" readingOrder="0" shrinkToFit="0" vertical="top" wrapText="1"/>
    </xf>
    <xf borderId="1" fillId="7" fontId="2" numFmtId="49" xfId="0" applyAlignment="1" applyBorder="1" applyFont="1" applyNumberFormat="1">
      <alignment horizontal="left" readingOrder="0" shrinkToFit="0" vertical="top" wrapText="1"/>
    </xf>
    <xf borderId="1" fillId="7" fontId="2" numFmtId="0" xfId="0" applyAlignment="1" applyBorder="1" applyFont="1">
      <alignment horizontal="right" readingOrder="0" shrinkToFit="0" vertical="top" wrapText="1"/>
    </xf>
    <xf borderId="1" fillId="7" fontId="2" numFmtId="1" xfId="0" applyAlignment="1" applyBorder="1" applyFont="1" applyNumberFormat="1">
      <alignment horizontal="right" readingOrder="0" shrinkToFit="0" vertical="top" wrapText="1"/>
    </xf>
    <xf borderId="1" fillId="12" fontId="2" numFmtId="0" xfId="0" applyAlignment="1" applyBorder="1" applyFill="1" applyFont="1">
      <alignment horizontal="right" readingOrder="0" shrinkToFit="0" vertical="top" wrapText="1"/>
    </xf>
    <xf borderId="1" fillId="13" fontId="2" numFmtId="4" xfId="0" applyAlignment="1" applyBorder="1" applyFill="1" applyFont="1" applyNumberFormat="1">
      <alignment horizontal="right" readingOrder="0" shrinkToFit="0" vertical="top" wrapText="1"/>
    </xf>
    <xf borderId="1" fillId="13" fontId="2" numFmtId="166" xfId="0" applyAlignment="1" applyBorder="1" applyFont="1" applyNumberFormat="1">
      <alignment horizontal="right" readingOrder="0" shrinkToFit="0" vertical="top" wrapText="1"/>
    </xf>
    <xf borderId="1" fillId="13" fontId="2" numFmtId="0" xfId="0" applyAlignment="1" applyBorder="1" applyFont="1">
      <alignment horizontal="left" readingOrder="0" shrinkToFit="0" vertical="top" wrapText="1"/>
    </xf>
    <xf borderId="1" fillId="14" fontId="2" numFmtId="4" xfId="0" applyAlignment="1" applyBorder="1" applyFill="1" applyFont="1" applyNumberFormat="1">
      <alignment horizontal="right" readingOrder="0" shrinkToFit="0" vertical="top" wrapText="1"/>
    </xf>
    <xf borderId="1" fillId="14" fontId="2" numFmtId="4" xfId="0" applyAlignment="1" applyBorder="1" applyFont="1" applyNumberFormat="1">
      <alignment horizontal="left" readingOrder="0" shrinkToFit="0" vertical="top" wrapText="1"/>
    </xf>
    <xf borderId="1" fillId="15" fontId="2" numFmtId="0" xfId="0" applyAlignment="1" applyBorder="1" applyFill="1" applyFont="1">
      <alignment horizontal="left" readingOrder="0" shrinkToFit="0" vertical="top" wrapText="1"/>
    </xf>
    <xf borderId="1" fillId="16" fontId="2" numFmtId="0" xfId="0" applyAlignment="1" applyBorder="1" applyFill="1" applyFont="1">
      <alignment horizontal="left" readingOrder="0" shrinkToFit="0" vertical="top" wrapText="1"/>
    </xf>
    <xf borderId="1" fillId="10" fontId="3" numFmtId="4" xfId="0" applyAlignment="1" applyBorder="1" applyFont="1" applyNumberFormat="1">
      <alignment horizontal="right" shrinkToFit="0" vertical="top" wrapText="1"/>
    </xf>
    <xf borderId="1" fillId="10" fontId="4" numFmtId="166" xfId="0" applyAlignment="1" applyBorder="1" applyFont="1" applyNumberFormat="1">
      <alignment horizontal="right" readingOrder="0" shrinkToFit="0" vertical="top" wrapText="1"/>
    </xf>
    <xf borderId="1" fillId="10" fontId="4" numFmtId="1" xfId="0" applyAlignment="1" applyBorder="1" applyFont="1" applyNumberFormat="1">
      <alignment horizontal="right" readingOrder="0" shrinkToFit="0" vertical="top" wrapText="1"/>
    </xf>
    <xf borderId="1" fillId="10" fontId="4" numFmtId="1" xfId="0" applyAlignment="1" applyBorder="1" applyFont="1" applyNumberFormat="1">
      <alignment horizontal="left" readingOrder="0" shrinkToFit="0" vertical="top" wrapText="1"/>
    </xf>
    <xf borderId="1" fillId="17" fontId="0" numFmtId="164" xfId="0" applyAlignment="1" applyBorder="1" applyFill="1" applyFont="1" applyNumberFormat="1">
      <alignment horizontal="right" readingOrder="0" shrinkToFit="0" vertical="top" wrapText="1"/>
    </xf>
    <xf borderId="1" fillId="12" fontId="2" numFmtId="0" xfId="0" applyAlignment="1" applyBorder="1" applyFont="1">
      <alignment horizontal="left" readingOrder="0" shrinkToFit="0" vertical="top" wrapText="1"/>
    </xf>
    <xf borderId="1" fillId="17" fontId="0" numFmtId="3" xfId="0" applyAlignment="1" applyBorder="1" applyFont="1" applyNumberFormat="1">
      <alignment horizontal="left" readingOrder="0" shrinkToFit="0" vertical="top" wrapText="1"/>
    </xf>
    <xf borderId="1" fillId="17" fontId="0" numFmtId="0" xfId="0" applyAlignment="1" applyBorder="1" applyFont="1">
      <alignment horizontal="left" readingOrder="0" shrinkToFit="0" vertical="top" wrapText="1"/>
    </xf>
    <xf borderId="1" fillId="17" fontId="0" numFmtId="49" xfId="0" applyAlignment="1" applyBorder="1" applyFont="1" applyNumberFormat="1">
      <alignment horizontal="left" readingOrder="0" shrinkToFit="0" vertical="top" wrapText="1"/>
    </xf>
    <xf borderId="1" fillId="17" fontId="0" numFmtId="165" xfId="0" applyAlignment="1" applyBorder="1" applyFont="1" applyNumberFormat="1">
      <alignment horizontal="right" readingOrder="0" shrinkToFit="0" vertical="top" wrapText="1"/>
    </xf>
    <xf borderId="1" fillId="17" fontId="0" numFmtId="1" xfId="0" applyAlignment="1" applyBorder="1" applyFont="1" applyNumberFormat="1">
      <alignment horizontal="right" readingOrder="0" shrinkToFit="0" vertical="top" wrapText="1"/>
    </xf>
    <xf borderId="1" fillId="17" fontId="0" numFmtId="0" xfId="0" applyAlignment="1" applyBorder="1" applyFont="1">
      <alignment horizontal="left" shrinkToFit="0" vertical="top" wrapText="1"/>
    </xf>
    <xf borderId="1" fillId="17" fontId="0" numFmtId="0" xfId="0" applyAlignment="1" applyBorder="1" applyFont="1">
      <alignment horizontal="right" readingOrder="0" shrinkToFit="0" vertical="top" wrapText="1"/>
    </xf>
    <xf borderId="1" fillId="17" fontId="0" numFmtId="49" xfId="0" applyAlignment="1" applyBorder="1" applyFont="1" applyNumberFormat="1">
      <alignment horizontal="right" readingOrder="0" shrinkToFit="0" vertical="top" wrapText="1"/>
    </xf>
    <xf borderId="1" fillId="17" fontId="5" numFmtId="164" xfId="0" applyAlignment="1" applyBorder="1" applyFont="1" applyNumberFormat="1">
      <alignment horizontal="right" shrinkToFit="0" vertical="top" wrapText="1"/>
    </xf>
    <xf borderId="1" fillId="17" fontId="5" numFmtId="49" xfId="0" applyAlignment="1" applyBorder="1" applyFont="1" applyNumberFormat="1">
      <alignment shrinkToFit="0" vertical="top" wrapText="1"/>
    </xf>
    <xf borderId="1" fillId="17" fontId="0" numFmtId="0" xfId="0" applyAlignment="1" applyBorder="1" applyFont="1">
      <alignment horizontal="right" shrinkToFit="0" vertical="top" wrapText="1"/>
    </xf>
    <xf borderId="1" fillId="17" fontId="0" numFmtId="166" xfId="0" applyAlignment="1" applyBorder="1" applyFont="1" applyNumberFormat="1">
      <alignment horizontal="right" readingOrder="0" shrinkToFit="0" vertical="top" wrapText="1"/>
    </xf>
    <xf borderId="1" fillId="17" fontId="0" numFmtId="4" xfId="0" applyAlignment="1" applyBorder="1" applyFont="1" applyNumberFormat="1">
      <alignment horizontal="left" readingOrder="0" shrinkToFit="0" vertical="top" wrapText="1"/>
    </xf>
    <xf borderId="1" fillId="17" fontId="0" numFmtId="3" xfId="0" applyAlignment="1" applyBorder="1" applyFont="1" applyNumberFormat="1">
      <alignment horizontal="right" readingOrder="0" shrinkToFit="0" vertical="top" wrapText="1"/>
    </xf>
    <xf borderId="1" fillId="17" fontId="0" numFmtId="4" xfId="0" applyAlignment="1" applyBorder="1" applyFont="1" applyNumberFormat="1">
      <alignment horizontal="right" readingOrder="0" shrinkToFit="0" vertical="top" wrapText="1"/>
    </xf>
    <xf borderId="1" fillId="17" fontId="0" numFmtId="164" xfId="0" applyAlignment="1" applyBorder="1" applyFont="1" applyNumberFormat="1">
      <alignment horizontal="left" readingOrder="0" shrinkToFit="0" vertical="top" wrapText="1"/>
    </xf>
    <xf borderId="1" fillId="17" fontId="0" numFmtId="166" xfId="0" applyAlignment="1" applyBorder="1" applyFont="1" applyNumberFormat="1">
      <alignment horizontal="right" shrinkToFit="0" vertical="top" wrapText="1"/>
    </xf>
    <xf borderId="1" fillId="17" fontId="5" numFmtId="4" xfId="0" applyAlignment="1" applyBorder="1" applyFont="1" applyNumberFormat="1">
      <alignment horizontal="right" shrinkToFit="0" vertical="top" wrapText="1"/>
    </xf>
    <xf borderId="1" fillId="17" fontId="4" numFmtId="166" xfId="0" applyAlignment="1" applyBorder="1" applyFont="1" applyNumberFormat="1">
      <alignment horizontal="right" shrinkToFit="0" vertical="top" wrapText="1"/>
    </xf>
    <xf borderId="1" fillId="17" fontId="4" numFmtId="1" xfId="0" applyAlignment="1" applyBorder="1" applyFont="1" applyNumberFormat="1">
      <alignment horizontal="right" shrinkToFit="0" vertical="top" wrapText="1"/>
    </xf>
    <xf borderId="1" fillId="17" fontId="4" numFmtId="1" xfId="0" applyAlignment="1" applyBorder="1" applyFont="1" applyNumberFormat="1">
      <alignment horizontal="left" shrinkToFit="0" vertical="top" wrapText="1"/>
    </xf>
    <xf borderId="1" fillId="17" fontId="0" numFmtId="164" xfId="0" applyAlignment="1" applyBorder="1" applyFont="1" applyNumberFormat="1">
      <alignment horizontal="right" readingOrder="0" shrinkToFit="0" vertical="top" wrapText="1"/>
    </xf>
    <xf borderId="1" fillId="7" fontId="5" numFmtId="0" xfId="0" applyAlignment="1" applyBorder="1" applyFont="1">
      <alignment horizontal="left" readingOrder="0" shrinkToFit="0" vertical="top" wrapText="1"/>
    </xf>
    <xf borderId="1" fillId="17" fontId="6" numFmtId="49" xfId="0" applyAlignment="1" applyBorder="1" applyFont="1" applyNumberFormat="1">
      <alignment horizontal="right" readingOrder="0" shrinkToFit="0" vertical="top" wrapText="1"/>
    </xf>
    <xf borderId="1" fillId="0" fontId="0" numFmtId="166" xfId="0" applyAlignment="1" applyBorder="1" applyFont="1" applyNumberFormat="1">
      <alignment horizontal="right" readingOrder="0" shrinkToFit="0" vertical="top" wrapText="1"/>
    </xf>
    <xf borderId="1" fillId="17" fontId="0" numFmtId="4" xfId="0" applyAlignment="1" applyBorder="1" applyFont="1" applyNumberFormat="1">
      <alignment horizontal="right" shrinkToFit="0" vertical="top" wrapText="1"/>
    </xf>
    <xf borderId="1" fillId="17" fontId="0" numFmtId="4" xfId="0" applyAlignment="1" applyBorder="1" applyFont="1" applyNumberFormat="1">
      <alignment horizontal="right" readingOrder="0" shrinkToFit="0" vertical="top" wrapText="1"/>
    </xf>
    <xf borderId="1" fillId="17" fontId="7" numFmtId="4" xfId="0" applyAlignment="1" applyBorder="1" applyFont="1" applyNumberFormat="1">
      <alignment horizontal="right" readingOrder="0" shrinkToFit="0" vertical="top" wrapText="1"/>
    </xf>
    <xf borderId="1" fillId="17" fontId="0" numFmtId="166" xfId="0" applyAlignment="1" applyBorder="1" applyFont="1" applyNumberFormat="1">
      <alignment horizontal="left" readingOrder="0" shrinkToFit="0" vertical="top" wrapText="1"/>
    </xf>
    <xf borderId="1" fillId="17" fontId="0" numFmtId="1" xfId="0" applyAlignment="1" applyBorder="1" applyFont="1" applyNumberFormat="1">
      <alignment horizontal="left" readingOrder="0" shrinkToFit="0" vertical="top" wrapText="1"/>
    </xf>
    <xf borderId="1" fillId="10" fontId="0" numFmtId="0" xfId="0" applyAlignment="1" applyBorder="1" applyFont="1">
      <alignment horizontal="left" readingOrder="0" shrinkToFit="0" vertical="top" wrapText="1"/>
    </xf>
    <xf borderId="1" fillId="10" fontId="0" numFmtId="166" xfId="0" applyAlignment="1" applyBorder="1" applyFont="1" applyNumberFormat="1">
      <alignment horizontal="right" readingOrder="0" shrinkToFit="0" vertical="top" wrapText="1"/>
    </xf>
    <xf borderId="1" fillId="17" fontId="8" numFmtId="4" xfId="0" applyAlignment="1" applyBorder="1" applyFont="1" applyNumberFormat="1">
      <alignment horizontal="left" readingOrder="0" shrinkToFit="0" vertical="top" wrapText="1"/>
    </xf>
    <xf borderId="1" fillId="6" fontId="0" numFmtId="166" xfId="0" applyAlignment="1" applyBorder="1" applyFont="1" applyNumberFormat="1">
      <alignment horizontal="right" readingOrder="0" shrinkToFit="0" vertical="top" wrapText="1"/>
    </xf>
    <xf borderId="1" fillId="6" fontId="0" numFmtId="1" xfId="0" applyAlignment="1" applyBorder="1" applyFont="1" applyNumberFormat="1">
      <alignment horizontal="right" readingOrder="0" shrinkToFit="0" vertical="top" wrapText="1"/>
    </xf>
    <xf borderId="1" fillId="0" fontId="0" numFmtId="4" xfId="0" applyAlignment="1" applyBorder="1" applyFont="1" applyNumberFormat="1">
      <alignment horizontal="right" readingOrder="0" shrinkToFit="0" vertical="top" wrapText="1"/>
    </xf>
    <xf borderId="1" fillId="0" fontId="0" numFmtId="1" xfId="0" applyAlignment="1" applyBorder="1" applyFont="1" applyNumberFormat="1">
      <alignment horizontal="right" readingOrder="0" shrinkToFit="0" vertical="top" wrapText="1"/>
    </xf>
    <xf borderId="1" fillId="6" fontId="0" numFmtId="1" xfId="0" applyAlignment="1" applyBorder="1" applyFont="1" applyNumberFormat="1">
      <alignment horizontal="right" readingOrder="0" shrinkToFit="0" vertical="top" wrapText="1"/>
    </xf>
    <xf borderId="1" fillId="18" fontId="0" numFmtId="0" xfId="0" applyAlignment="1" applyBorder="1" applyFill="1" applyFont="1">
      <alignment horizontal="left" readingOrder="0" shrinkToFit="0" vertical="top" wrapText="1"/>
    </xf>
    <xf borderId="1" fillId="7" fontId="4" numFmtId="166" xfId="0" applyAlignment="1" applyBorder="1" applyFont="1" applyNumberFormat="1">
      <alignment horizontal="right" readingOrder="0" shrinkToFit="0" vertical="top" wrapText="1"/>
    </xf>
    <xf borderId="1" fillId="7" fontId="4" numFmtId="1" xfId="0" applyAlignment="1" applyBorder="1" applyFont="1" applyNumberFormat="1">
      <alignment horizontal="right" readingOrder="0" shrinkToFit="0" vertical="top" wrapText="1"/>
    </xf>
    <xf borderId="1" fillId="7" fontId="0" numFmtId="166" xfId="0" applyAlignment="1" applyBorder="1" applyFont="1" applyNumberFormat="1">
      <alignment horizontal="right" readingOrder="0" shrinkToFit="0" vertical="top" wrapText="1"/>
    </xf>
    <xf borderId="1" fillId="17" fontId="0" numFmtId="4" xfId="0" applyAlignment="1" applyBorder="1" applyFont="1" applyNumberFormat="1">
      <alignment horizontal="right" shrinkToFit="0" vertical="top" wrapText="1"/>
    </xf>
    <xf borderId="1" fillId="17" fontId="9" numFmtId="4" xfId="0" applyAlignment="1" applyBorder="1" applyFont="1" applyNumberFormat="1">
      <alignment horizontal="right" readingOrder="0" shrinkToFit="0" vertical="top" wrapText="1"/>
    </xf>
    <xf borderId="1" fillId="17" fontId="0" numFmtId="3" xfId="0" applyAlignment="1" applyBorder="1" applyFont="1" applyNumberFormat="1">
      <alignment horizontal="left" shrinkToFit="0" vertical="top" wrapText="1"/>
    </xf>
    <xf borderId="1" fillId="17" fontId="0" numFmtId="167" xfId="0" applyAlignment="1" applyBorder="1" applyFont="1" applyNumberFormat="1">
      <alignment horizontal="right" readingOrder="0" shrinkToFit="0" vertical="top" wrapText="1"/>
    </xf>
    <xf borderId="1" fillId="17" fontId="0" numFmtId="4" xfId="0" applyAlignment="1" applyBorder="1" applyFont="1" applyNumberFormat="1">
      <alignment horizontal="left" shrinkToFit="0" vertical="top" wrapText="1"/>
    </xf>
    <xf borderId="1" fillId="17" fontId="0" numFmtId="49" xfId="0" applyAlignment="1" applyBorder="1" applyFont="1" applyNumberFormat="1">
      <alignment horizontal="left" shrinkToFit="0" vertical="top" wrapText="1"/>
    </xf>
    <xf borderId="1" fillId="17" fontId="0" numFmtId="1" xfId="0" applyAlignment="1" applyBorder="1" applyFont="1" applyNumberFormat="1">
      <alignment horizontal="right" shrinkToFit="0" vertical="top" wrapText="1"/>
    </xf>
    <xf borderId="1" fillId="12" fontId="0" numFmtId="3" xfId="0" applyAlignment="1" applyBorder="1" applyFont="1" applyNumberFormat="1">
      <alignment horizontal="left" readingOrder="0" shrinkToFit="0" vertical="top" wrapText="1"/>
    </xf>
    <xf borderId="1" fillId="7" fontId="0" numFmtId="0" xfId="0" applyAlignment="1" applyBorder="1" applyFont="1">
      <alignment horizontal="left" readingOrder="0" shrinkToFit="0" vertical="top" wrapText="1"/>
    </xf>
    <xf borderId="1" fillId="19" fontId="4" numFmtId="49" xfId="0" applyAlignment="1" applyBorder="1" applyFill="1" applyFont="1" applyNumberFormat="1">
      <alignment readingOrder="0" shrinkToFit="0" vertical="top" wrapText="1"/>
    </xf>
    <xf borderId="1" fillId="19" fontId="4" numFmtId="165" xfId="0" applyAlignment="1" applyBorder="1" applyFont="1" applyNumberFormat="1">
      <alignment horizontal="right" readingOrder="0" shrinkToFit="0" vertical="top" wrapText="1"/>
    </xf>
    <xf borderId="1" fillId="19" fontId="4" numFmtId="1" xfId="0" applyAlignment="1" applyBorder="1" applyFont="1" applyNumberFormat="1">
      <alignment horizontal="right" readingOrder="0" shrinkToFit="0" vertical="top" wrapText="1"/>
    </xf>
    <xf borderId="1" fillId="7" fontId="0" numFmtId="164" xfId="0" applyAlignment="1" applyBorder="1" applyFont="1" applyNumberFormat="1">
      <alignment horizontal="right" readingOrder="0" shrinkToFit="0" vertical="top" wrapText="1"/>
    </xf>
    <xf borderId="1" fillId="7" fontId="4" numFmtId="0" xfId="0" applyAlignment="1" applyBorder="1" applyFont="1">
      <alignment horizontal="right" readingOrder="0" shrinkToFit="0" vertical="top" wrapText="1"/>
    </xf>
    <xf borderId="1" fillId="7" fontId="4" numFmtId="0" xfId="0" applyAlignment="1" applyBorder="1" applyFont="1">
      <alignment readingOrder="0" shrinkToFit="0" vertical="top" wrapText="1"/>
    </xf>
    <xf borderId="1" fillId="12" fontId="0" numFmtId="49" xfId="0" applyAlignment="1" applyBorder="1" applyFont="1" applyNumberFormat="1">
      <alignment horizontal="left" readingOrder="0" shrinkToFit="0" vertical="top" wrapText="1"/>
    </xf>
    <xf borderId="1" fillId="7" fontId="4" numFmtId="166" xfId="0" applyAlignment="1" applyBorder="1" applyFont="1" applyNumberFormat="1">
      <alignment readingOrder="0" shrinkToFit="0" vertical="top" wrapText="1"/>
    </xf>
    <xf borderId="1" fillId="12" fontId="0" numFmtId="3" xfId="0" applyAlignment="1" applyBorder="1" applyFont="1" applyNumberFormat="1">
      <alignment horizontal="right" readingOrder="0" shrinkToFit="0" vertical="top" wrapText="1"/>
    </xf>
    <xf borderId="1" fillId="12" fontId="0" numFmtId="4" xfId="0" applyAlignment="1" applyBorder="1" applyFont="1" applyNumberFormat="1">
      <alignment horizontal="right" readingOrder="0" shrinkToFit="0" vertical="top" wrapText="1"/>
    </xf>
    <xf borderId="1" fillId="12" fontId="0" numFmtId="4" xfId="0" applyAlignment="1" applyBorder="1" applyFont="1" applyNumberFormat="1">
      <alignment horizontal="left" readingOrder="0" shrinkToFit="0" vertical="top" wrapText="1"/>
    </xf>
    <xf borderId="1" fillId="7" fontId="4" numFmtId="4" xfId="0" applyAlignment="1" applyBorder="1" applyFont="1" applyNumberFormat="1">
      <alignment horizontal="right" readingOrder="0" shrinkToFit="0" vertical="top" wrapText="1"/>
    </xf>
    <xf borderId="1" fillId="7" fontId="4" numFmtId="4" xfId="0" applyAlignment="1" applyBorder="1" applyFont="1" applyNumberFormat="1">
      <alignment horizontal="right" readingOrder="0" shrinkToFit="0" vertical="top" wrapText="1"/>
    </xf>
    <xf borderId="1" fillId="12" fontId="0" numFmtId="1" xfId="0" applyAlignment="1" applyBorder="1" applyFont="1" applyNumberFormat="1">
      <alignment horizontal="right" readingOrder="0" shrinkToFit="0" vertical="top" wrapText="1"/>
    </xf>
    <xf borderId="1" fillId="12" fontId="10" numFmtId="4" xfId="0" applyAlignment="1" applyBorder="1" applyFont="1" applyNumberFormat="1">
      <alignment horizontal="right" readingOrder="0" shrinkToFit="0" vertical="top" wrapText="1"/>
    </xf>
    <xf borderId="1" fillId="12" fontId="0" numFmtId="164" xfId="0" applyAlignment="1" applyBorder="1" applyFont="1" applyNumberFormat="1">
      <alignment horizontal="left" readingOrder="0" shrinkToFit="0" vertical="top" wrapText="1"/>
    </xf>
    <xf borderId="1" fillId="12" fontId="0" numFmtId="166" xfId="0" applyAlignment="1" applyBorder="1" applyFont="1" applyNumberFormat="1">
      <alignment horizontal="right" readingOrder="0" shrinkToFit="0" vertical="top" wrapText="1"/>
    </xf>
    <xf borderId="1" fillId="12" fontId="0" numFmtId="0" xfId="0" applyAlignment="1" applyBorder="1" applyFont="1">
      <alignment horizontal="left" readingOrder="0" shrinkToFit="0" vertical="top" wrapText="1"/>
    </xf>
    <xf borderId="1" fillId="12" fontId="0" numFmtId="1" xfId="0" applyAlignment="1" applyBorder="1" applyFont="1" applyNumberFormat="1">
      <alignment horizontal="left" readingOrder="0" shrinkToFit="0" vertical="top" wrapText="1"/>
    </xf>
    <xf borderId="1" fillId="12" fontId="0" numFmtId="166" xfId="0" applyAlignment="1" applyBorder="1" applyFont="1" applyNumberFormat="1">
      <alignment horizontal="left" readingOrder="0" shrinkToFit="0" vertical="top" wrapText="1"/>
    </xf>
    <xf borderId="1" fillId="7" fontId="0" numFmtId="167" xfId="0" applyAlignment="1" applyBorder="1" applyFont="1" applyNumberFormat="1">
      <alignment horizontal="right" readingOrder="0" shrinkToFit="0" vertical="top" wrapText="1"/>
    </xf>
    <xf borderId="1" fillId="20" fontId="5" numFmtId="164" xfId="0" applyAlignment="1" applyBorder="1" applyFill="1" applyFont="1" applyNumberFormat="1">
      <alignment horizontal="right" readingOrder="0" shrinkToFit="0" vertical="top" wrapText="1"/>
    </xf>
    <xf borderId="1" fillId="20" fontId="5" numFmtId="164" xfId="0" applyAlignment="1" applyBorder="1" applyFont="1" applyNumberFormat="1">
      <alignment horizontal="right" readingOrder="0" shrinkToFit="0" vertical="top" wrapText="1"/>
    </xf>
    <xf borderId="1" fillId="20" fontId="5" numFmtId="0" xfId="0" applyAlignment="1" applyBorder="1" applyFont="1">
      <alignment readingOrder="0" shrinkToFit="0" vertical="top" wrapText="1"/>
    </xf>
    <xf borderId="1" fillId="20" fontId="5" numFmtId="3" xfId="0" applyAlignment="1" applyBorder="1" applyFont="1" applyNumberFormat="1">
      <alignment shrinkToFit="0" vertical="top" wrapText="1"/>
    </xf>
    <xf borderId="1" fillId="20" fontId="5" numFmtId="3" xfId="0" applyAlignment="1" applyBorder="1" applyFont="1" applyNumberFormat="1">
      <alignment readingOrder="0" shrinkToFit="0" vertical="top" wrapText="1"/>
    </xf>
    <xf borderId="1" fillId="20" fontId="4" numFmtId="0" xfId="0" applyAlignment="1" applyBorder="1" applyFont="1">
      <alignment readingOrder="0" shrinkToFit="0" vertical="top" wrapText="1"/>
    </xf>
    <xf borderId="1" fillId="20" fontId="4" numFmtId="49" xfId="0" applyAlignment="1" applyBorder="1" applyFont="1" applyNumberFormat="1">
      <alignment readingOrder="0" shrinkToFit="0" vertical="top" wrapText="1"/>
    </xf>
    <xf borderId="1" fillId="20" fontId="5" numFmtId="165" xfId="0" applyAlignment="1" applyBorder="1" applyFont="1" applyNumberFormat="1">
      <alignment horizontal="right" shrinkToFit="0" vertical="top" wrapText="1"/>
    </xf>
    <xf borderId="1" fillId="20" fontId="5" numFmtId="1" xfId="0" applyAlignment="1" applyBorder="1" applyFont="1" applyNumberFormat="1">
      <alignment horizontal="right" readingOrder="0" shrinkToFit="0" vertical="top" wrapText="1"/>
    </xf>
    <xf borderId="1" fillId="20" fontId="5" numFmtId="1" xfId="0" applyAlignment="1" applyBorder="1" applyFont="1" applyNumberFormat="1">
      <alignment horizontal="right" shrinkToFit="0" vertical="top" wrapText="1"/>
    </xf>
    <xf borderId="1" fillId="20" fontId="4" numFmtId="164" xfId="0" applyAlignment="1" applyBorder="1" applyFont="1" applyNumberFormat="1">
      <alignment readingOrder="0" shrinkToFit="0" vertical="top" wrapText="1"/>
    </xf>
    <xf borderId="1" fillId="20" fontId="5" numFmtId="4" xfId="0" applyAlignment="1" applyBorder="1" applyFont="1" applyNumberFormat="1">
      <alignment shrinkToFit="0" vertical="top" wrapText="1"/>
    </xf>
    <xf borderId="1" fillId="20" fontId="5" numFmtId="0" xfId="0" applyAlignment="1" applyBorder="1" applyFont="1">
      <alignment shrinkToFit="0" vertical="top" wrapText="1"/>
    </xf>
    <xf borderId="1" fillId="20" fontId="4" numFmtId="0" xfId="0" applyAlignment="1" applyBorder="1" applyFont="1">
      <alignment horizontal="right" readingOrder="0" shrinkToFit="0" vertical="top" wrapText="1"/>
    </xf>
    <xf borderId="1" fillId="20" fontId="4" numFmtId="49" xfId="0" applyAlignment="1" applyBorder="1" applyFont="1" applyNumberFormat="1">
      <alignment horizontal="right" shrinkToFit="0" vertical="top" wrapText="1"/>
    </xf>
    <xf borderId="1" fillId="20" fontId="4" numFmtId="164" xfId="0" applyAlignment="1" applyBorder="1" applyFont="1" applyNumberFormat="1">
      <alignment shrinkToFit="0" vertical="top" wrapText="1"/>
    </xf>
    <xf borderId="1" fillId="20" fontId="4" numFmtId="49" xfId="0" applyAlignment="1" applyBorder="1" applyFont="1" applyNumberFormat="1">
      <alignment shrinkToFit="0" vertical="top" wrapText="1"/>
    </xf>
    <xf borderId="1" fillId="20" fontId="4" numFmtId="166" xfId="0" applyAlignment="1" applyBorder="1" applyFont="1" applyNumberFormat="1">
      <alignment horizontal="right" shrinkToFit="0" vertical="top" wrapText="1"/>
    </xf>
    <xf borderId="1" fillId="20" fontId="4" numFmtId="166" xfId="0" applyAlignment="1" applyBorder="1" applyFont="1" applyNumberFormat="1">
      <alignment horizontal="right" readingOrder="0" shrinkToFit="0" vertical="top" wrapText="1"/>
    </xf>
    <xf borderId="1" fillId="20" fontId="4" numFmtId="4" xfId="0" applyAlignment="1" applyBorder="1" applyFont="1" applyNumberFormat="1">
      <alignment readingOrder="0" shrinkToFit="0" vertical="top" wrapText="1"/>
    </xf>
    <xf borderId="1" fillId="20" fontId="4" numFmtId="3" xfId="0" applyAlignment="1" applyBorder="1" applyFont="1" applyNumberFormat="1">
      <alignment horizontal="right" readingOrder="0" shrinkToFit="0" vertical="top" wrapText="1"/>
    </xf>
    <xf borderId="1" fillId="20" fontId="4" numFmtId="4" xfId="0" applyAlignment="1" applyBorder="1" applyFont="1" applyNumberFormat="1">
      <alignment shrinkToFit="0" vertical="top" wrapText="1"/>
    </xf>
    <xf borderId="1" fillId="20" fontId="4" numFmtId="4" xfId="0" applyAlignment="1" applyBorder="1" applyFont="1" applyNumberFormat="1">
      <alignment horizontal="left" readingOrder="0" shrinkToFit="0" vertical="top" wrapText="1"/>
    </xf>
    <xf borderId="1" fillId="20" fontId="4" numFmtId="4" xfId="0" applyAlignment="1" applyBorder="1" applyFont="1" applyNumberFormat="1">
      <alignment shrinkToFit="0" vertical="top" wrapText="1"/>
    </xf>
    <xf borderId="1" fillId="20" fontId="4" numFmtId="4" xfId="0" applyAlignment="1" applyBorder="1" applyFont="1" applyNumberFormat="1">
      <alignment horizontal="right" readingOrder="0" shrinkToFit="0" vertical="top" wrapText="1"/>
    </xf>
    <xf borderId="1" fillId="20" fontId="4" numFmtId="4" xfId="0" applyAlignment="1" applyBorder="1" applyFont="1" applyNumberFormat="1">
      <alignment horizontal="right" readingOrder="0" shrinkToFit="0" vertical="top" wrapText="1"/>
    </xf>
    <xf borderId="1" fillId="20" fontId="4" numFmtId="4" xfId="0" applyAlignment="1" applyBorder="1" applyFont="1" applyNumberFormat="1">
      <alignment horizontal="right" shrinkToFit="0" vertical="top" wrapText="1"/>
    </xf>
    <xf borderId="1" fillId="20" fontId="4" numFmtId="1" xfId="0" applyAlignment="1" applyBorder="1" applyFont="1" applyNumberFormat="1">
      <alignment horizontal="right" readingOrder="0" shrinkToFit="0" vertical="top" wrapText="1"/>
    </xf>
    <xf borderId="1" fillId="20" fontId="4" numFmtId="1" xfId="0" applyAlignment="1" applyBorder="1" applyFont="1" applyNumberFormat="1">
      <alignment horizontal="right" shrinkToFit="0" vertical="top" wrapText="1"/>
    </xf>
    <xf borderId="1" fillId="20" fontId="4" numFmtId="3" xfId="0" applyAlignment="1" applyBorder="1" applyFont="1" applyNumberFormat="1">
      <alignment horizontal="right" shrinkToFit="0" vertical="top" wrapText="1"/>
    </xf>
    <xf borderId="1" fillId="20" fontId="5" numFmtId="3" xfId="0" applyAlignment="1" applyBorder="1" applyFont="1" applyNumberFormat="1">
      <alignment horizontal="right" shrinkToFit="0" vertical="top" wrapText="1"/>
    </xf>
    <xf borderId="1" fillId="20" fontId="4" numFmtId="164" xfId="0" applyAlignment="1" applyBorder="1" applyFont="1" applyNumberFormat="1">
      <alignment horizontal="left" readingOrder="0" shrinkToFit="0" vertical="top" wrapText="1"/>
    </xf>
    <xf borderId="1" fillId="20" fontId="4" numFmtId="166" xfId="0" applyAlignment="1" applyBorder="1" applyFont="1" applyNumberFormat="1">
      <alignment readingOrder="0" shrinkToFit="0" vertical="top" wrapText="1"/>
    </xf>
    <xf borderId="1" fillId="20" fontId="4" numFmtId="4" xfId="0" applyAlignment="1" applyBorder="1" applyFont="1" applyNumberFormat="1">
      <alignment horizontal="left" shrinkToFit="0" vertical="top" wrapText="1"/>
    </xf>
    <xf borderId="1" fillId="20" fontId="4" numFmtId="166" xfId="0" applyAlignment="1" applyBorder="1" applyFont="1" applyNumberFormat="1">
      <alignment shrinkToFit="0" vertical="top" wrapText="1"/>
    </xf>
    <xf borderId="1" fillId="20" fontId="5" numFmtId="4" xfId="0" applyAlignment="1" applyBorder="1" applyFont="1" applyNumberFormat="1">
      <alignment horizontal="right" readingOrder="0" shrinkToFit="0" vertical="top" wrapText="1"/>
    </xf>
    <xf borderId="1" fillId="20" fontId="5" numFmtId="166" xfId="0" applyAlignment="1" applyBorder="1" applyFont="1" applyNumberFormat="1">
      <alignment horizontal="right" readingOrder="0" shrinkToFit="0" vertical="top" wrapText="1"/>
    </xf>
    <xf borderId="1" fillId="20" fontId="4" numFmtId="0" xfId="0" applyAlignment="1" applyBorder="1" applyFont="1">
      <alignment horizontal="left" readingOrder="0" shrinkToFit="0" vertical="top" wrapText="1"/>
    </xf>
    <xf borderId="1" fillId="20" fontId="11" numFmtId="4" xfId="0" applyAlignment="1" applyBorder="1" applyFont="1" applyNumberFormat="1">
      <alignment horizontal="right" shrinkToFit="0" vertical="top" wrapText="1"/>
    </xf>
    <xf borderId="1" fillId="20" fontId="5" numFmtId="4" xfId="0" applyAlignment="1" applyBorder="1" applyFont="1" applyNumberFormat="1">
      <alignment horizontal="right" shrinkToFit="0" vertical="top" wrapText="1"/>
    </xf>
    <xf borderId="1" fillId="20" fontId="4" numFmtId="166" xfId="0" applyAlignment="1" applyBorder="1" applyFont="1" applyNumberFormat="1">
      <alignment horizontal="left" shrinkToFit="0" vertical="top" wrapText="1"/>
    </xf>
    <xf borderId="1" fillId="20" fontId="4" numFmtId="1" xfId="0" applyAlignment="1" applyBorder="1" applyFont="1" applyNumberFormat="1">
      <alignment horizontal="left" shrinkToFit="0" vertical="top" wrapText="1"/>
    </xf>
    <xf borderId="1" fillId="20" fontId="4" numFmtId="1" xfId="0" applyAlignment="1" applyBorder="1" applyFont="1" applyNumberFormat="1">
      <alignment horizontal="left" readingOrder="0" shrinkToFit="0" vertical="top" wrapText="1"/>
    </xf>
    <xf borderId="1" fillId="20" fontId="4" numFmtId="164" xfId="0" applyAlignment="1" applyBorder="1" applyFont="1" applyNumberFormat="1">
      <alignment horizontal="left" shrinkToFit="0" vertical="top" wrapText="1"/>
    </xf>
    <xf borderId="1" fillId="20" fontId="4" numFmtId="0" xfId="0" applyAlignment="1" applyBorder="1" applyFont="1">
      <alignment shrinkToFit="0" vertical="top" wrapText="1"/>
    </xf>
    <xf borderId="1" fillId="20" fontId="12" numFmtId="49" xfId="0" applyAlignment="1" applyBorder="1" applyFont="1" applyNumberFormat="1">
      <alignment horizontal="right" shrinkToFit="0" vertical="top" wrapText="1"/>
    </xf>
    <xf borderId="1" fillId="20" fontId="13" numFmtId="4" xfId="0" applyAlignment="1" applyBorder="1" applyFont="1" applyNumberFormat="1">
      <alignment horizontal="right" shrinkToFit="0" vertical="top" wrapText="1"/>
    </xf>
    <xf borderId="1" fillId="17" fontId="14" numFmtId="4" xfId="0" applyAlignment="1" applyBorder="1" applyFont="1" applyNumberFormat="1">
      <alignment horizontal="right" shrinkToFit="0" vertical="top" wrapText="1"/>
    </xf>
    <xf borderId="0" fillId="7" fontId="5" numFmtId="0" xfId="0" applyAlignment="1" applyFont="1">
      <alignment horizontal="left" readingOrder="0" shrinkToFit="0" vertical="top" wrapText="1"/>
    </xf>
    <xf borderId="0" fillId="0" fontId="15" numFmtId="0" xfId="0" applyAlignment="1" applyFont="1">
      <alignment readingOrder="0" vertical="top"/>
    </xf>
    <xf borderId="0" fillId="0" fontId="15" numFmtId="0" xfId="0" applyAlignment="1" applyFont="1">
      <alignment readingOrder="0" shrinkToFit="0" vertical="top" wrapText="1"/>
    </xf>
    <xf borderId="0" fillId="21" fontId="15" numFmtId="0" xfId="0" applyAlignment="1" applyFill="1" applyFont="1">
      <alignment readingOrder="0" shrinkToFit="0" vertical="top" wrapText="1"/>
    </xf>
    <xf borderId="0" fillId="21" fontId="15" numFmtId="0" xfId="0" applyAlignment="1" applyFont="1">
      <alignment readingOrder="0" vertical="top"/>
    </xf>
    <xf borderId="0" fillId="0" fontId="15" numFmtId="0" xfId="0" applyAlignment="1" applyFont="1">
      <alignment horizontal="right" readingOrder="0" vertical="top"/>
    </xf>
    <xf borderId="0" fillId="19" fontId="15" numFmtId="0" xfId="0" applyAlignment="1" applyFont="1">
      <alignment readingOrder="0" vertical="top"/>
    </xf>
    <xf borderId="0" fillId="19" fontId="15" numFmtId="0" xfId="0" applyAlignment="1" applyFont="1">
      <alignment horizontal="right" readingOrder="0" vertical="top"/>
    </xf>
    <xf borderId="0" fillId="0" fontId="15" numFmtId="0" xfId="0" applyAlignment="1" applyFont="1">
      <alignment vertical="top"/>
    </xf>
    <xf borderId="0" fillId="0" fontId="15" numFmtId="0" xfId="0" applyAlignment="1" applyFont="1">
      <alignment shrinkToFit="0" vertical="top" wrapText="1"/>
    </xf>
    <xf borderId="0" fillId="21" fontId="15" numFmtId="0" xfId="0" applyAlignment="1" applyFont="1">
      <alignment shrinkToFit="0" vertical="top" wrapText="1"/>
    </xf>
    <xf borderId="0" fillId="21" fontId="15" numFmtId="0" xfId="0" applyAlignment="1" applyFont="1">
      <alignment vertical="top"/>
    </xf>
    <xf borderId="0" fillId="0" fontId="15" numFmtId="0" xfId="0" applyAlignment="1" applyFont="1">
      <alignment horizontal="right" vertical="top"/>
    </xf>
    <xf borderId="0" fillId="19" fontId="15" numFmtId="0" xfId="0" applyAlignment="1" applyFont="1">
      <alignment vertical="top"/>
    </xf>
    <xf borderId="0" fillId="19" fontId="15" numFmtId="0" xfId="0" applyAlignment="1" applyFont="1">
      <alignment horizontal="right" vertical="top"/>
    </xf>
    <xf borderId="0" fillId="21" fontId="15" numFmtId="3" xfId="0" applyAlignment="1" applyFont="1" applyNumberFormat="1">
      <alignment vertical="top"/>
    </xf>
    <xf borderId="0" fillId="0" fontId="15" numFmtId="164" xfId="0" applyAlignment="1" applyFont="1" applyNumberFormat="1">
      <alignment horizontal="right" vertical="top"/>
    </xf>
    <xf borderId="0" fillId="0" fontId="15" numFmtId="166" xfId="0" applyAlignment="1" applyFont="1" applyNumberFormat="1">
      <alignment vertical="top"/>
    </xf>
    <xf borderId="0" fillId="0" fontId="15" numFmtId="4" xfId="0" applyAlignment="1" applyFont="1" applyNumberFormat="1">
      <alignment vertical="top"/>
    </xf>
    <xf borderId="0" fillId="21" fontId="15" numFmtId="1" xfId="0" applyAlignment="1" applyFont="1" applyNumberFormat="1">
      <alignment vertical="top"/>
    </xf>
    <xf borderId="0" fillId="19" fontId="15" numFmtId="1" xfId="0" applyAlignment="1" applyFont="1" applyNumberFormat="1">
      <alignment horizontal="right" vertical="top"/>
    </xf>
    <xf borderId="0" fillId="17" fontId="15" numFmtId="0" xfId="0" applyAlignment="1" applyFont="1">
      <alignment shrinkToFit="0" vertical="top" wrapText="1"/>
    </xf>
    <xf borderId="0" fillId="0" fontId="15" numFmtId="4" xfId="0" applyFont="1" applyNumberFormat="1"/>
    <xf borderId="0" fillId="3" fontId="15" numFmtId="4" xfId="0" applyAlignment="1" applyFont="1" applyNumberFormat="1">
      <alignment horizontal="right"/>
    </xf>
    <xf borderId="0" fillId="3" fontId="15" numFmtId="4" xfId="0" applyAlignment="1" applyFont="1" applyNumberFormat="1">
      <alignment horizontal="right" readingOrder="0"/>
    </xf>
    <xf borderId="0" fillId="7" fontId="15" numFmtId="4" xfId="0" applyAlignment="1" applyFont="1" applyNumberFormat="1">
      <alignment horizontal="right" readingOrder="0"/>
    </xf>
    <xf borderId="0" fillId="2" fontId="15" numFmtId="4" xfId="0" applyAlignment="1" applyFont="1" applyNumberFormat="1">
      <alignment horizontal="right" readingOrder="0"/>
    </xf>
    <xf borderId="0" fillId="0" fontId="15" numFmtId="4" xfId="0" applyAlignment="1" applyFont="1" applyNumberFormat="1">
      <alignment horizontal="right"/>
    </xf>
    <xf borderId="0" fillId="0" fontId="15" numFmtId="0" xfId="0" applyAlignment="1" applyFont="1">
      <alignment horizontal="right"/>
    </xf>
    <xf borderId="0" fillId="0" fontId="16" numFmtId="0" xfId="0" applyAlignment="1" applyFont="1">
      <alignment horizontal="right"/>
    </xf>
    <xf borderId="2" fillId="22" fontId="17" numFmtId="0" xfId="0" applyAlignment="1" applyBorder="1" applyFill="1" applyFont="1">
      <alignment horizontal="right" vertical="top"/>
    </xf>
    <xf borderId="2" fillId="22" fontId="17" numFmtId="0" xfId="0" applyAlignment="1" applyBorder="1" applyFont="1">
      <alignment shrinkToFit="0" vertical="top" wrapText="1"/>
    </xf>
    <xf borderId="2" fillId="22" fontId="17" numFmtId="0" xfId="0" applyAlignment="1" applyBorder="1" applyFont="1">
      <alignment vertical="top"/>
    </xf>
    <xf borderId="2" fillId="21" fontId="15" numFmtId="0" xfId="0" applyAlignment="1" applyBorder="1" applyFont="1">
      <alignment horizontal="right" vertical="top"/>
    </xf>
    <xf borderId="2" fillId="21" fontId="15" numFmtId="0" xfId="0" applyAlignment="1" applyBorder="1" applyFont="1">
      <alignment shrinkToFit="0" vertical="top" wrapText="1"/>
    </xf>
    <xf borderId="2" fillId="21" fontId="15" numFmtId="0" xfId="0" applyAlignment="1" applyBorder="1" applyFont="1">
      <alignment vertical="top"/>
    </xf>
    <xf borderId="2" fillId="21" fontId="15" numFmtId="0" xfId="0" applyAlignment="1" applyBorder="1" applyFont="1">
      <alignment readingOrder="0" vertical="top"/>
    </xf>
    <xf borderId="2" fillId="23" fontId="15" numFmtId="0" xfId="0" applyAlignment="1" applyBorder="1" applyFill="1" applyFont="1">
      <alignment horizontal="right" vertical="top"/>
    </xf>
    <xf borderId="2" fillId="23" fontId="15" numFmtId="0" xfId="0" applyAlignment="1" applyBorder="1" applyFont="1">
      <alignment shrinkToFit="0" vertical="top" wrapText="1"/>
    </xf>
    <xf borderId="2" fillId="23" fontId="15" numFmtId="0" xfId="0" applyAlignment="1" applyBorder="1" applyFont="1">
      <alignment vertical="top"/>
    </xf>
    <xf borderId="2" fillId="23" fontId="15" numFmtId="0" xfId="0" applyAlignment="1" applyBorder="1" applyFont="1">
      <alignment readingOrder="0" vertical="top"/>
    </xf>
    <xf borderId="2" fillId="23" fontId="15" numFmtId="0" xfId="0" applyAlignment="1" applyBorder="1" applyFont="1">
      <alignment horizontal="right" readingOrder="0" vertical="top"/>
    </xf>
    <xf borderId="2" fillId="24" fontId="15" numFmtId="0" xfId="0" applyAlignment="1" applyBorder="1" applyFill="1" applyFont="1">
      <alignment horizontal="right" vertical="top"/>
    </xf>
    <xf borderId="2" fillId="24" fontId="15" numFmtId="0" xfId="0" applyAlignment="1" applyBorder="1" applyFont="1">
      <alignment shrinkToFit="0" vertical="top" wrapText="1"/>
    </xf>
    <xf borderId="2" fillId="24" fontId="15" numFmtId="0" xfId="0" applyAlignment="1" applyBorder="1" applyFont="1">
      <alignment vertical="top"/>
    </xf>
    <xf borderId="2" fillId="24" fontId="15" numFmtId="0" xfId="0" applyAlignment="1" applyBorder="1" applyFont="1">
      <alignment readingOrder="0" vertical="top"/>
    </xf>
    <xf borderId="0" fillId="0" fontId="15" numFmtId="0" xfId="0" applyAlignment="1" applyFont="1">
      <alignment readingOrder="0"/>
    </xf>
    <xf borderId="0" fillId="0" fontId="15" numFmtId="0" xfId="0" applyAlignment="1" applyFont="1">
      <alignment readingOrder="0" shrinkToFit="0" wrapText="1"/>
    </xf>
    <xf borderId="0" fillId="25" fontId="15" numFmtId="164" xfId="0" applyAlignment="1" applyFill="1" applyFont="1" applyNumberFormat="1">
      <alignment readingOrder="0"/>
    </xf>
    <xf borderId="0" fillId="25" fontId="15" numFmtId="4" xfId="0" applyAlignment="1" applyFont="1" applyNumberFormat="1">
      <alignment readingOrder="0"/>
    </xf>
    <xf borderId="0" fillId="0" fontId="15" numFmtId="4" xfId="0" applyAlignment="1" applyFont="1" applyNumberFormat="1">
      <alignment readingOrder="0"/>
    </xf>
    <xf borderId="0" fillId="0" fontId="15" numFmtId="164" xfId="0" applyFont="1" applyNumberFormat="1"/>
    <xf borderId="0" fillId="21" fontId="15" numFmtId="0" xfId="0" applyAlignment="1" applyFont="1">
      <alignment readingOrder="0"/>
    </xf>
    <xf borderId="0" fillId="21" fontId="15" numFmtId="0" xfId="0" applyFont="1"/>
    <xf borderId="0" fillId="21" fontId="15" numFmtId="4" xfId="0" applyAlignment="1" applyFont="1" applyNumberFormat="1">
      <alignment readingOrder="0"/>
    </xf>
    <xf borderId="0" fillId="21" fontId="15" numFmtId="164" xfId="0" applyFont="1" applyNumberFormat="1"/>
    <xf borderId="0" fillId="21" fontId="15" numFmtId="4" xfId="0" applyFont="1" applyNumberFormat="1"/>
    <xf borderId="0" fillId="21" fontId="15" numFmtId="0" xfId="0" applyAlignment="1" applyFont="1">
      <alignment readingOrder="0"/>
    </xf>
    <xf borderId="0" fillId="0" fontId="15" numFmtId="164" xfId="0" applyAlignment="1" applyFont="1" applyNumberFormat="1">
      <alignment vertical="top"/>
    </xf>
    <xf borderId="0" fillId="0" fontId="15" numFmtId="165" xfId="0" applyAlignment="1" applyFont="1" applyNumberFormat="1">
      <alignment vertical="top"/>
    </xf>
    <xf borderId="0" fillId="0" fontId="15" numFmtId="1" xfId="0" applyAlignment="1" applyFont="1" applyNumberFormat="1">
      <alignment vertical="top"/>
    </xf>
    <xf borderId="0" fillId="0" fontId="15" numFmtId="3" xfId="0" applyAlignment="1" applyFont="1" applyNumberFormat="1">
      <alignment vertical="top"/>
    </xf>
    <xf borderId="0" fillId="0" fontId="18" numFmtId="0" xfId="0" applyAlignment="1" applyFont="1">
      <alignment vertical="top"/>
    </xf>
    <xf borderId="0" fillId="0" fontId="15" numFmtId="0" xfId="0" applyFont="1"/>
    <xf borderId="0" fillId="0" fontId="19" numFmtId="0" xfId="0" applyAlignment="1" applyFont="1">
      <alignment horizontal="left" readingOrder="0" vertical="bottom"/>
    </xf>
    <xf borderId="3" fillId="26" fontId="20" numFmtId="4" xfId="0" applyAlignment="1" applyBorder="1" applyFill="1" applyFont="1" applyNumberFormat="1">
      <alignment horizontal="right" readingOrder="0" vertical="top"/>
    </xf>
    <xf borderId="0" fillId="0" fontId="21" numFmtId="168" xfId="0" applyAlignment="1" applyFont="1" applyNumberFormat="1">
      <alignment horizontal="left" readingOrder="0" vertical="top"/>
    </xf>
    <xf borderId="0" fillId="0" fontId="19" numFmtId="0" xfId="0" applyAlignment="1" applyFont="1">
      <alignment horizontal="left" readingOrder="0" vertical="center"/>
    </xf>
    <xf borderId="0" fillId="0" fontId="15" numFmtId="0" xfId="0" applyAlignment="1" applyFont="1">
      <alignment horizontal="left" vertical="top"/>
    </xf>
    <xf borderId="0" fillId="0" fontId="15" numFmtId="4" xfId="0" applyAlignment="1" applyFont="1" applyNumberFormat="1">
      <alignment horizontal="right" readingOrder="0" vertical="top"/>
    </xf>
    <xf borderId="0" fillId="0" fontId="15" numFmtId="4" xfId="0" applyAlignment="1" applyFont="1" applyNumberFormat="1">
      <alignment horizontal="left"/>
    </xf>
    <xf borderId="4" fillId="17" fontId="22" numFmtId="4" xfId="0" applyAlignment="1" applyBorder="1" applyFont="1" applyNumberFormat="1">
      <alignment horizontal="right" vertical="top"/>
    </xf>
    <xf borderId="0" fillId="0" fontId="15" numFmtId="4" xfId="0" applyAlignment="1" applyFont="1" applyNumberFormat="1">
      <alignment horizontal="right" vertical="top"/>
    </xf>
    <xf borderId="5" fillId="3" fontId="17" numFmtId="0" xfId="0" applyAlignment="1" applyBorder="1" applyFont="1">
      <alignment horizontal="right" readingOrder="0" shrinkToFit="0" vertical="top" wrapText="1"/>
    </xf>
    <xf borderId="5" fillId="3" fontId="17" numFmtId="0" xfId="0" applyAlignment="1" applyBorder="1" applyFont="1">
      <alignment shrinkToFit="0" vertical="top" wrapText="1"/>
    </xf>
    <xf borderId="5" fillId="3" fontId="17" numFmtId="0" xfId="0" applyAlignment="1" applyBorder="1" applyFont="1">
      <alignment horizontal="left" shrinkToFit="0" vertical="top" wrapText="1"/>
    </xf>
    <xf borderId="5" fillId="3" fontId="17" numFmtId="0" xfId="0" applyAlignment="1" applyBorder="1" applyFont="1">
      <alignment horizontal="right" shrinkToFit="0" vertical="top" wrapText="1"/>
    </xf>
    <xf borderId="5" fillId="3" fontId="17" numFmtId="4" xfId="0" applyAlignment="1" applyBorder="1" applyFont="1" applyNumberFormat="1">
      <alignment horizontal="right" shrinkToFit="0" vertical="top" wrapText="1"/>
    </xf>
    <xf borderId="5" fillId="0" fontId="15" numFmtId="164" xfId="0" applyAlignment="1" applyBorder="1" applyFont="1" applyNumberFormat="1">
      <alignment horizontal="right" vertical="top"/>
    </xf>
    <xf borderId="5" fillId="0" fontId="15" numFmtId="0" xfId="0" applyAlignment="1" applyBorder="1" applyFont="1">
      <alignment shrinkToFit="0" vertical="top" wrapText="1"/>
    </xf>
    <xf borderId="5" fillId="0" fontId="15" numFmtId="0" xfId="0" applyAlignment="1" applyBorder="1" applyFont="1">
      <alignment vertical="top"/>
    </xf>
    <xf borderId="5" fillId="0" fontId="15" numFmtId="0" xfId="0" applyAlignment="1" applyBorder="1" applyFont="1">
      <alignment horizontal="left" vertical="top"/>
    </xf>
    <xf borderId="5" fillId="0" fontId="15" numFmtId="0" xfId="0" applyAlignment="1" applyBorder="1" applyFont="1">
      <alignment horizontal="right" vertical="top"/>
    </xf>
    <xf borderId="5" fillId="0" fontId="15" numFmtId="166" xfId="0" applyAlignment="1" applyBorder="1" applyFont="1" applyNumberFormat="1">
      <alignment horizontal="right" vertical="top"/>
    </xf>
    <xf borderId="5" fillId="0" fontId="15" numFmtId="4" xfId="0" applyAlignment="1" applyBorder="1" applyFont="1" applyNumberFormat="1">
      <alignment horizontal="right" vertical="top"/>
    </xf>
    <xf borderId="6" fillId="0" fontId="15" numFmtId="164" xfId="0" applyAlignment="1" applyBorder="1" applyFont="1" applyNumberFormat="1">
      <alignment horizontal="right" vertical="top"/>
    </xf>
    <xf borderId="6" fillId="0" fontId="15" numFmtId="0" xfId="0" applyAlignment="1" applyBorder="1" applyFont="1">
      <alignment shrinkToFit="0" vertical="top" wrapText="1"/>
    </xf>
    <xf borderId="6" fillId="0" fontId="15" numFmtId="0" xfId="0" applyAlignment="1" applyBorder="1" applyFont="1">
      <alignment vertical="top"/>
    </xf>
    <xf borderId="6" fillId="0" fontId="15" numFmtId="0" xfId="0" applyAlignment="1" applyBorder="1" applyFont="1">
      <alignment horizontal="left" vertical="top"/>
    </xf>
    <xf borderId="6" fillId="0" fontId="15" numFmtId="0" xfId="0" applyAlignment="1" applyBorder="1" applyFont="1">
      <alignment horizontal="right" vertical="top"/>
    </xf>
    <xf borderId="6" fillId="0" fontId="15" numFmtId="166" xfId="0" applyAlignment="1" applyBorder="1" applyFont="1" applyNumberFormat="1">
      <alignment horizontal="right" vertical="top"/>
    </xf>
    <xf borderId="6" fillId="0" fontId="15" numFmtId="4" xfId="0" applyAlignment="1" applyBorder="1" applyFont="1" applyNumberFormat="1">
      <alignment horizontal="right" vertical="top"/>
    </xf>
    <xf borderId="0" fillId="0" fontId="15" numFmtId="166" xfId="0" applyAlignment="1" applyFont="1" applyNumberFormat="1">
      <alignment horizontal="right" vertical="top"/>
    </xf>
    <xf borderId="0" fillId="0" fontId="15" numFmtId="3" xfId="0" applyAlignment="1" applyFont="1" applyNumberFormat="1">
      <alignment horizontal="right" readingOrder="0" vertical="top"/>
    </xf>
    <xf borderId="0" fillId="3" fontId="15" numFmtId="164" xfId="0" applyAlignment="1" applyFont="1" applyNumberFormat="1">
      <alignment readingOrder="0"/>
    </xf>
    <xf borderId="0" fillId="3" fontId="15" numFmtId="0" xfId="0" applyAlignment="1" applyFont="1">
      <alignment readingOrder="0"/>
    </xf>
    <xf borderId="0" fillId="3" fontId="15" numFmtId="0" xfId="0" applyFont="1"/>
    <xf borderId="0" fillId="27" fontId="15" numFmtId="0" xfId="0" applyAlignment="1" applyFill="1" applyFont="1">
      <alignment readingOrder="0"/>
    </xf>
    <xf borderId="0" fillId="0" fontId="19" numFmtId="164" xfId="0" applyAlignment="1" applyFont="1" applyNumberFormat="1">
      <alignment horizontal="left" readingOrder="0" shrinkToFit="0" vertical="center" wrapText="0"/>
    </xf>
    <xf borderId="0" fillId="0" fontId="23" numFmtId="164" xfId="0" applyAlignment="1" applyFont="1" applyNumberFormat="1">
      <alignment horizontal="left" readingOrder="0" shrinkToFit="0" vertical="center" wrapText="0"/>
    </xf>
    <xf borderId="0" fillId="0" fontId="23" numFmtId="0" xfId="0" applyAlignment="1" applyFont="1">
      <alignment horizontal="left" readingOrder="0" shrinkToFit="0" vertical="center" wrapText="0"/>
    </xf>
    <xf borderId="0" fillId="0" fontId="23" numFmtId="0" xfId="0" applyAlignment="1" applyFont="1">
      <alignment horizontal="right" readingOrder="0" shrinkToFit="0" vertical="center" wrapText="0"/>
    </xf>
    <xf borderId="0" fillId="0" fontId="23" numFmtId="3" xfId="0" applyAlignment="1" applyFont="1" applyNumberFormat="1">
      <alignment horizontal="left" readingOrder="0" shrinkToFit="0" vertical="center" wrapText="0"/>
    </xf>
    <xf borderId="0" fillId="0" fontId="23" numFmtId="3" xfId="0" applyAlignment="1" applyFont="1" applyNumberFormat="1">
      <alignment horizontal="right" readingOrder="0" shrinkToFit="0" vertical="center" wrapText="0"/>
    </xf>
    <xf borderId="0" fillId="0" fontId="23" numFmtId="3" xfId="0" applyAlignment="1" applyFont="1" applyNumberFormat="1">
      <alignment horizontal="left" readingOrder="0" shrinkToFit="0" vertical="center" wrapText="0"/>
    </xf>
    <xf borderId="0" fillId="0" fontId="23" numFmtId="166" xfId="0" applyAlignment="1" applyFont="1" applyNumberFormat="1">
      <alignment horizontal="left" readingOrder="0" shrinkToFit="0" vertical="center" wrapText="0"/>
    </xf>
    <xf borderId="0" fillId="0" fontId="15" numFmtId="164" xfId="0" applyFont="1" applyNumberFormat="1"/>
    <xf borderId="0" fillId="0" fontId="15" numFmtId="0" xfId="0" applyAlignment="1" applyFont="1">
      <alignment horizontal="right"/>
    </xf>
    <xf borderId="0" fillId="0" fontId="15" numFmtId="0" xfId="0" applyAlignment="1" applyFont="1">
      <alignment horizontal="left"/>
    </xf>
    <xf borderId="0" fillId="0" fontId="15" numFmtId="3" xfId="0" applyAlignment="1" applyFont="1" applyNumberFormat="1">
      <alignment horizontal="right"/>
    </xf>
    <xf borderId="0" fillId="0" fontId="15" numFmtId="3" xfId="0" applyAlignment="1" applyFont="1" applyNumberFormat="1">
      <alignment horizontal="left"/>
    </xf>
    <xf borderId="0" fillId="0" fontId="15" numFmtId="3" xfId="0" applyAlignment="1" applyFont="1" applyNumberFormat="1">
      <alignment horizontal="right" readingOrder="0"/>
    </xf>
    <xf borderId="1" fillId="3" fontId="24" numFmtId="4" xfId="0" applyAlignment="1" applyBorder="1" applyFont="1" applyNumberFormat="1">
      <alignment horizontal="right" readingOrder="0" shrinkToFit="0" vertical="top" wrapText="1"/>
    </xf>
    <xf borderId="0" fillId="3" fontId="24" numFmtId="4" xfId="0" applyAlignment="1" applyFont="1" applyNumberFormat="1">
      <alignment horizontal="right" readingOrder="0" shrinkToFit="0" vertical="top" wrapText="1"/>
    </xf>
    <xf borderId="1" fillId="7" fontId="25" numFmtId="164" xfId="0" applyBorder="1" applyFont="1" applyNumberFormat="1"/>
    <xf borderId="1" fillId="20" fontId="15" numFmtId="164" xfId="0" applyBorder="1" applyFont="1" applyNumberFormat="1"/>
    <xf borderId="0" fillId="0" fontId="15" numFmtId="3" xfId="0" applyAlignment="1" applyFont="1" applyNumberFormat="1">
      <alignment horizontal="right" readingOrder="0"/>
    </xf>
    <xf borderId="0" fillId="0" fontId="15" numFmtId="3" xfId="0" applyAlignment="1" applyFont="1" applyNumberFormat="1">
      <alignment horizontal="left" readingOrder="0"/>
    </xf>
    <xf borderId="1" fillId="10" fontId="15" numFmtId="164" xfId="0" applyBorder="1" applyFont="1" applyNumberFormat="1"/>
    <xf borderId="0" fillId="0" fontId="15" numFmtId="164" xfId="0" applyAlignment="1" applyFont="1" applyNumberFormat="1">
      <alignment horizontal="right" vertical="top"/>
    </xf>
    <xf borderId="0" fillId="0" fontId="15" numFmtId="0" xfId="0" applyAlignment="1" applyFont="1">
      <alignment horizontal="right" shrinkToFit="0" vertical="top" wrapText="1"/>
    </xf>
    <xf borderId="0" fillId="0" fontId="15" numFmtId="3" xfId="0" applyAlignment="1" applyFont="1" applyNumberFormat="1">
      <alignment horizontal="left" shrinkToFit="0" vertical="top" wrapText="1"/>
    </xf>
    <xf borderId="0" fillId="0" fontId="15" numFmtId="4" xfId="0" applyAlignment="1" applyFont="1" applyNumberFormat="1">
      <alignment horizontal="left" shrinkToFit="0" vertical="top" wrapText="1"/>
    </xf>
    <xf borderId="0" fillId="0" fontId="15" numFmtId="3" xfId="0" applyAlignment="1" applyFont="1" applyNumberFormat="1">
      <alignment horizontal="right" shrinkToFit="0" vertical="top" wrapText="1"/>
    </xf>
    <xf borderId="0" fillId="0" fontId="15" numFmtId="3" xfId="0" applyAlignment="1" applyFont="1" applyNumberFormat="1">
      <alignment horizontal="left" shrinkToFit="0" vertical="top" wrapText="1"/>
    </xf>
    <xf borderId="0" fillId="0" fontId="15" numFmtId="4" xfId="0" applyAlignment="1" applyFont="1" applyNumberFormat="1">
      <alignment horizontal="right" shrinkToFit="0" vertical="top" wrapText="1"/>
    </xf>
    <xf borderId="0" fillId="0" fontId="15" numFmtId="166" xfId="0" applyAlignment="1" applyFont="1" applyNumberFormat="1">
      <alignment horizontal="right" shrinkToFit="0" vertical="top" wrapText="1"/>
    </xf>
    <xf borderId="0" fillId="0" fontId="26" numFmtId="0" xfId="0" applyFont="1"/>
    <xf borderId="1" fillId="3" fontId="27" numFmtId="164" xfId="0" applyAlignment="1" applyBorder="1" applyFont="1" applyNumberFormat="1">
      <alignment horizontal="right" vertical="top"/>
    </xf>
    <xf borderId="1" fillId="3" fontId="27" numFmtId="0" xfId="0" applyAlignment="1" applyBorder="1" applyFont="1">
      <alignment shrinkToFit="0" vertical="top" wrapText="1"/>
    </xf>
    <xf borderId="1" fillId="3" fontId="27" numFmtId="0" xfId="0" applyAlignment="1" applyBorder="1" applyFont="1">
      <alignment horizontal="right" shrinkToFit="0" vertical="top" wrapText="1"/>
    </xf>
    <xf borderId="1" fillId="3" fontId="27" numFmtId="3" xfId="0" applyAlignment="1" applyBorder="1" applyFont="1" applyNumberFormat="1">
      <alignment horizontal="left" shrinkToFit="0" vertical="top" wrapText="1"/>
    </xf>
    <xf borderId="1" fillId="3" fontId="27" numFmtId="4" xfId="0" applyAlignment="1" applyBorder="1" applyFont="1" applyNumberFormat="1">
      <alignment horizontal="left" shrinkToFit="0" vertical="top" wrapText="1"/>
    </xf>
    <xf borderId="1" fillId="3" fontId="27" numFmtId="3" xfId="0" applyAlignment="1" applyBorder="1" applyFont="1" applyNumberFormat="1">
      <alignment horizontal="right" shrinkToFit="0" vertical="top" wrapText="1"/>
    </xf>
    <xf borderId="1" fillId="3" fontId="27" numFmtId="3" xfId="0" applyAlignment="1" applyBorder="1" applyFont="1" applyNumberFormat="1">
      <alignment horizontal="left" shrinkToFit="0" vertical="top" wrapText="1"/>
    </xf>
    <xf borderId="1" fillId="3" fontId="27" numFmtId="4" xfId="0" applyAlignment="1" applyBorder="1" applyFont="1" applyNumberFormat="1">
      <alignment horizontal="right" shrinkToFit="0" vertical="top" wrapText="1"/>
    </xf>
    <xf borderId="1" fillId="3" fontId="27" numFmtId="166" xfId="0" applyAlignment="1" applyBorder="1" applyFont="1" applyNumberFormat="1">
      <alignment horizontal="right" shrinkToFit="0" vertical="top" wrapText="1"/>
    </xf>
    <xf borderId="1" fillId="3" fontId="27" numFmtId="4" xfId="0" applyAlignment="1" applyBorder="1" applyFont="1" applyNumberFormat="1">
      <alignment horizontal="right" readingOrder="0" shrinkToFit="0" vertical="top" wrapText="1"/>
    </xf>
    <xf borderId="0" fillId="3" fontId="27" numFmtId="4" xfId="0" applyAlignment="1" applyFont="1" applyNumberFormat="1">
      <alignment horizontal="right" readingOrder="0" shrinkToFit="0" vertical="top" wrapText="1"/>
    </xf>
    <xf borderId="1" fillId="0" fontId="15" numFmtId="164" xfId="0" applyAlignment="1" applyBorder="1" applyFont="1" applyNumberFormat="1">
      <alignment horizontal="right" vertical="top"/>
    </xf>
    <xf borderId="1" fillId="0" fontId="15" numFmtId="0" xfId="0" applyAlignment="1" applyBorder="1" applyFont="1">
      <alignment shrinkToFit="0" vertical="top" wrapText="1"/>
    </xf>
    <xf borderId="1" fillId="0" fontId="15" numFmtId="0" xfId="0" applyAlignment="1" applyBorder="1" applyFont="1">
      <alignment horizontal="right" shrinkToFit="0" vertical="top" wrapText="1"/>
    </xf>
    <xf borderId="1" fillId="0" fontId="15" numFmtId="3" xfId="0" applyAlignment="1" applyBorder="1" applyFont="1" applyNumberFormat="1">
      <alignment horizontal="left" shrinkToFit="0" vertical="top" wrapText="1"/>
    </xf>
    <xf borderId="1" fillId="0" fontId="15" numFmtId="4" xfId="0" applyAlignment="1" applyBorder="1" applyFont="1" applyNumberFormat="1">
      <alignment horizontal="left" shrinkToFit="0" vertical="top" wrapText="1"/>
    </xf>
    <xf borderId="1" fillId="0" fontId="15" numFmtId="3" xfId="0" applyAlignment="1" applyBorder="1" applyFont="1" applyNumberFormat="1">
      <alignment horizontal="right" shrinkToFit="0" vertical="top" wrapText="1"/>
    </xf>
    <xf borderId="1" fillId="0" fontId="15" numFmtId="3" xfId="0" applyAlignment="1" applyBorder="1" applyFont="1" applyNumberFormat="1">
      <alignment horizontal="left" shrinkToFit="0" vertical="top" wrapText="1"/>
    </xf>
    <xf borderId="1" fillId="0" fontId="15" numFmtId="4" xfId="0" applyAlignment="1" applyBorder="1" applyFont="1" applyNumberFormat="1">
      <alignment horizontal="right" shrinkToFit="0" vertical="top" wrapText="1"/>
    </xf>
    <xf borderId="1" fillId="0" fontId="15" numFmtId="166" xfId="0" applyAlignment="1" applyBorder="1" applyFont="1" applyNumberFormat="1">
      <alignment horizontal="right" shrinkToFit="0" vertical="top" wrapText="1"/>
    </xf>
    <xf borderId="0" fillId="0" fontId="15" numFmtId="4" xfId="0" applyAlignment="1" applyFont="1" applyNumberFormat="1">
      <alignment horizontal="right" readingOrder="0" shrinkToFit="0" vertical="top" wrapText="1"/>
    </xf>
    <xf borderId="1" fillId="0" fontId="15" numFmtId="3" xfId="0" applyAlignment="1" applyBorder="1" applyFont="1" applyNumberFormat="1">
      <alignment horizontal="left" readingOrder="0" shrinkToFit="0" vertical="top" wrapText="1"/>
    </xf>
    <xf borderId="1" fillId="0" fontId="15" numFmtId="4" xfId="0" applyAlignment="1" applyBorder="1" applyFont="1" applyNumberFormat="1">
      <alignment horizontal="right" readingOrder="0" shrinkToFit="0" vertical="top" wrapText="1"/>
    </xf>
    <xf borderId="1" fillId="0" fontId="15" numFmtId="166" xfId="0" applyAlignment="1" applyBorder="1" applyFont="1" applyNumberFormat="1">
      <alignment horizontal="right" readingOrder="0" shrinkToFit="0" vertical="top" wrapText="1"/>
    </xf>
    <xf borderId="1" fillId="0" fontId="15" numFmtId="0" xfId="0" applyAlignment="1" applyBorder="1" applyFont="1">
      <alignment horizontal="right" readingOrder="0" shrinkToFit="0" vertical="top" wrapText="1"/>
    </xf>
    <xf borderId="0" fillId="0" fontId="15" numFmtId="169" xfId="0" applyFont="1" applyNumberFormat="1"/>
    <xf borderId="0" fillId="17" fontId="15" numFmtId="169" xfId="0" applyAlignment="1" applyFont="1" applyNumberFormat="1">
      <alignment shrinkToFit="0" wrapText="1"/>
    </xf>
    <xf borderId="0" fillId="17" fontId="17" numFmtId="4" xfId="0" applyAlignment="1" applyFont="1" applyNumberFormat="1">
      <alignment horizontal="right" readingOrder="0" shrinkToFit="0" vertical="top" wrapText="1"/>
    </xf>
    <xf borderId="0" fillId="0" fontId="15" numFmtId="4" xfId="0" applyAlignment="1" applyFont="1" applyNumberFormat="1">
      <alignment shrinkToFit="0" wrapText="1"/>
    </xf>
    <xf borderId="0" fillId="0" fontId="15" numFmtId="0" xfId="0" applyAlignment="1" applyFont="1">
      <alignment shrinkToFit="0" wrapText="1"/>
    </xf>
    <xf borderId="0" fillId="0" fontId="15" numFmtId="0" xfId="0" applyAlignment="1" applyFont="1">
      <alignment vertical="center"/>
    </xf>
    <xf borderId="0" fillId="17" fontId="19" numFmtId="0" xfId="0" applyAlignment="1" applyFont="1">
      <alignment readingOrder="0" shrinkToFit="0" vertical="center" wrapText="0"/>
    </xf>
    <xf borderId="0" fillId="0" fontId="15" numFmtId="0" xfId="0" applyAlignment="1" applyFont="1">
      <alignment vertical="center"/>
    </xf>
    <xf borderId="0" fillId="17" fontId="17" numFmtId="4" xfId="0" applyAlignment="1" applyFont="1" applyNumberFormat="1">
      <alignment horizontal="right" readingOrder="0" shrinkToFit="0" vertical="center" wrapText="1"/>
    </xf>
    <xf borderId="0" fillId="0" fontId="15" numFmtId="4" xfId="0" applyAlignment="1" applyFont="1" applyNumberFormat="1">
      <alignment shrinkToFit="0" vertical="center" wrapText="1"/>
    </xf>
    <xf borderId="0" fillId="0" fontId="15" numFmtId="0" xfId="0" applyAlignment="1" applyFont="1">
      <alignment shrinkToFit="0" vertical="center" wrapText="1"/>
    </xf>
    <xf borderId="7" fillId="3" fontId="15" numFmtId="169" xfId="0" applyAlignment="1" applyBorder="1" applyFont="1" applyNumberFormat="1">
      <alignment shrinkToFit="0" wrapText="1"/>
    </xf>
    <xf borderId="8" fillId="3" fontId="15" numFmtId="0" xfId="0" applyAlignment="1" applyBorder="1" applyFont="1">
      <alignment shrinkToFit="0" vertical="top" wrapText="1"/>
    </xf>
    <xf borderId="1" fillId="3" fontId="17" numFmtId="4" xfId="0" applyAlignment="1" applyBorder="1" applyFont="1" applyNumberFormat="1">
      <alignment horizontal="right" readingOrder="0" shrinkToFit="0" vertical="top" wrapText="1"/>
    </xf>
    <xf borderId="9" fillId="3" fontId="17" numFmtId="169" xfId="0" applyAlignment="1" applyBorder="1" applyFont="1" applyNumberFormat="1">
      <alignment readingOrder="0" vertical="center"/>
    </xf>
    <xf borderId="1" fillId="3" fontId="17" numFmtId="0" xfId="0" applyAlignment="1" applyBorder="1" applyFont="1">
      <alignment readingOrder="0" vertical="top"/>
    </xf>
    <xf borderId="1" fillId="21" fontId="17" numFmtId="4" xfId="0" applyAlignment="1" applyBorder="1" applyFont="1" applyNumberFormat="1">
      <alignment horizontal="right" readingOrder="0" vertical="top"/>
    </xf>
    <xf borderId="1" fillId="21" fontId="17" numFmtId="4" xfId="0" applyAlignment="1" applyBorder="1" applyFont="1" applyNumberFormat="1">
      <alignment horizontal="right" vertical="top"/>
    </xf>
    <xf borderId="10" fillId="0" fontId="15" numFmtId="0" xfId="0" applyBorder="1" applyFont="1"/>
    <xf borderId="1" fillId="28" fontId="17" numFmtId="0" xfId="0" applyAlignment="1" applyBorder="1" applyFill="1" applyFont="1">
      <alignment readingOrder="0" vertical="top"/>
    </xf>
    <xf borderId="1" fillId="21" fontId="15" numFmtId="4" xfId="0" applyAlignment="1" applyBorder="1" applyFont="1" applyNumberFormat="1">
      <alignment horizontal="right" vertical="top"/>
    </xf>
    <xf borderId="11" fillId="0" fontId="15" numFmtId="0" xfId="0" applyBorder="1" applyFont="1"/>
    <xf borderId="1" fillId="24" fontId="17" numFmtId="4" xfId="0" applyAlignment="1" applyBorder="1" applyFont="1" applyNumberFormat="1">
      <alignment horizontal="right" readingOrder="0" vertical="top"/>
    </xf>
    <xf borderId="1" fillId="24" fontId="17" numFmtId="4" xfId="0" applyAlignment="1" applyBorder="1" applyFont="1" applyNumberFormat="1">
      <alignment horizontal="right" vertical="top"/>
    </xf>
    <xf borderId="1" fillId="24" fontId="15" numFmtId="4" xfId="0" applyAlignment="1" applyBorder="1" applyFont="1" applyNumberFormat="1">
      <alignment horizontal="right" vertical="top"/>
    </xf>
    <xf borderId="1" fillId="27" fontId="17" numFmtId="4" xfId="0" applyAlignment="1" applyBorder="1" applyFont="1" applyNumberFormat="1">
      <alignment horizontal="right" vertical="top"/>
    </xf>
    <xf borderId="1" fillId="27" fontId="15" numFmtId="4" xfId="0" applyAlignment="1" applyBorder="1" applyFont="1" applyNumberFormat="1">
      <alignment horizontal="right" vertical="top"/>
    </xf>
    <xf borderId="0" fillId="0" fontId="15" numFmtId="170" xfId="0" applyFont="1" applyNumberFormat="1"/>
    <xf borderId="1" fillId="3" fontId="27" numFmtId="164" xfId="0" applyAlignment="1" applyBorder="1" applyFont="1" applyNumberFormat="1">
      <alignment horizontal="right" shrinkToFit="0" vertical="top" wrapText="1"/>
    </xf>
    <xf borderId="1" fillId="3" fontId="27" numFmtId="4" xfId="0" applyAlignment="1" applyBorder="1" applyFont="1" applyNumberFormat="1">
      <alignment horizontal="left" shrinkToFit="0" vertical="top" wrapText="0"/>
    </xf>
    <xf borderId="1" fillId="3" fontId="27" numFmtId="1" xfId="0" applyAlignment="1" applyBorder="1" applyFont="1" applyNumberFormat="1">
      <alignment horizontal="right" shrinkToFit="0" vertical="top" wrapText="1"/>
    </xf>
    <xf borderId="1" fillId="3" fontId="27" numFmtId="4" xfId="0" applyAlignment="1" applyBorder="1" applyFont="1" applyNumberFormat="1">
      <alignment horizontal="left" readingOrder="0" shrinkToFit="0" vertical="top" wrapText="0"/>
    </xf>
    <xf borderId="1" fillId="3" fontId="27" numFmtId="4" xfId="0" applyAlignment="1" applyBorder="1" applyFont="1" applyNumberFormat="1">
      <alignment horizontal="left" readingOrder="0" shrinkToFit="0" vertical="top" wrapText="1"/>
    </xf>
    <xf borderId="1" fillId="0" fontId="15" numFmtId="164" xfId="0" applyAlignment="1" applyBorder="1" applyFont="1" applyNumberFormat="1">
      <alignment horizontal="right" shrinkToFit="0" vertical="top" wrapText="1"/>
    </xf>
    <xf borderId="1" fillId="0" fontId="15" numFmtId="4" xfId="0" applyAlignment="1" applyBorder="1" applyFont="1" applyNumberFormat="1">
      <alignment horizontal="left" shrinkToFit="0" vertical="top" wrapText="0"/>
    </xf>
    <xf borderId="1" fillId="0" fontId="15" numFmtId="1" xfId="0" applyAlignment="1" applyBorder="1" applyFont="1" applyNumberFormat="1">
      <alignment horizontal="right" shrinkToFit="0" vertical="top" wrapText="1"/>
    </xf>
    <xf borderId="1" fillId="0" fontId="15" numFmtId="4" xfId="0" applyAlignment="1" applyBorder="1" applyFont="1" applyNumberFormat="1">
      <alignment horizontal="left" readingOrder="0" shrinkToFit="0" vertical="top" wrapText="0"/>
    </xf>
    <xf borderId="1" fillId="0" fontId="15" numFmtId="4" xfId="0" applyAlignment="1" applyBorder="1" applyFont="1" applyNumberFormat="1">
      <alignment horizontal="left" readingOrder="0" shrinkToFit="0" vertical="top" wrapText="1"/>
    </xf>
    <xf borderId="1" fillId="0" fontId="28" numFmtId="0" xfId="0" applyAlignment="1" applyBorder="1" applyFont="1">
      <alignment horizontal="left" readingOrder="0" shrinkToFit="0" vertical="top" wrapText="1"/>
    </xf>
    <xf borderId="0" fillId="0" fontId="29" numFmtId="0" xfId="0" applyFont="1"/>
    <xf borderId="1" fillId="0" fontId="28" numFmtId="0" xfId="0" applyAlignment="1" applyBorder="1" applyFont="1">
      <alignment horizontal="left" shrinkToFit="0" vertical="top" wrapText="1"/>
    </xf>
    <xf borderId="1" fillId="17" fontId="28" numFmtId="0" xfId="0" applyAlignment="1" applyBorder="1" applyFont="1">
      <alignment horizontal="left" shrinkToFit="0" vertical="top" wrapText="1"/>
    </xf>
    <xf borderId="1" fillId="0" fontId="29" numFmtId="0" xfId="0" applyAlignment="1" applyBorder="1" applyFont="1">
      <alignment horizontal="left" shrinkToFit="0" vertical="top" wrapText="1"/>
    </xf>
    <xf borderId="1" fillId="0" fontId="15" numFmtId="4" xfId="0" applyAlignment="1" applyBorder="1" applyFont="1" applyNumberFormat="1">
      <alignment horizontal="right" readingOrder="0" shrinkToFit="0" vertical="top" wrapText="0"/>
    </xf>
    <xf borderId="1" fillId="3" fontId="27" numFmtId="164" xfId="0" applyAlignment="1" applyBorder="1" applyFont="1" applyNumberFormat="1">
      <alignment horizontal="left" shrinkToFit="0" vertical="top" wrapText="1"/>
    </xf>
    <xf borderId="1" fillId="0" fontId="15" numFmtId="164" xfId="0" applyAlignment="1" applyBorder="1" applyFont="1" applyNumberFormat="1">
      <alignment horizontal="left" shrinkToFit="0" vertical="top" wrapText="1"/>
    </xf>
    <xf borderId="1" fillId="0" fontId="15" numFmtId="164" xfId="0" applyAlignment="1" applyBorder="1" applyFont="1" applyNumberFormat="1">
      <alignment horizontal="right" shrinkToFit="0" vertical="top" wrapText="1"/>
    </xf>
    <xf borderId="0" fillId="0" fontId="15" numFmtId="164" xfId="0" applyAlignment="1" applyFont="1" applyNumberFormat="1">
      <alignment horizontal="left" shrinkToFit="0" vertical="top" wrapText="1"/>
    </xf>
    <xf borderId="0" fillId="0" fontId="15" numFmtId="4" xfId="0" applyAlignment="1" applyFont="1" applyNumberFormat="1">
      <alignment horizontal="left" readingOrder="0" shrinkToFit="0" vertical="top" wrapText="1"/>
    </xf>
    <xf borderId="1" fillId="0" fontId="15" numFmtId="0" xfId="0" applyAlignment="1" applyBorder="1" applyFont="1">
      <alignment horizontal="left" shrinkToFit="0" vertical="top" wrapText="1"/>
    </xf>
    <xf borderId="0" fillId="0" fontId="19" numFmtId="164" xfId="0" applyAlignment="1" applyFont="1" applyNumberFormat="1">
      <alignment horizontal="left" readingOrder="0" shrinkToFit="0" vertical="bottom" wrapText="0"/>
    </xf>
    <xf borderId="0" fillId="0" fontId="23" numFmtId="164" xfId="0" applyAlignment="1" applyFont="1" applyNumberFormat="1">
      <alignment horizontal="right" readingOrder="0" shrinkToFit="0" vertical="center" wrapText="0"/>
    </xf>
    <xf borderId="0" fillId="0" fontId="30" numFmtId="0" xfId="0" applyAlignment="1" applyFont="1">
      <alignment horizontal="left" readingOrder="0" vertical="center"/>
    </xf>
    <xf borderId="0" fillId="0" fontId="21" numFmtId="0" xfId="0" applyAlignment="1" applyFont="1">
      <alignment horizontal="left" readingOrder="0" vertical="top"/>
    </xf>
    <xf borderId="1" fillId="3" fontId="27" numFmtId="0" xfId="0" applyAlignment="1" applyBorder="1" applyFont="1">
      <alignment horizontal="left" shrinkToFit="0" vertical="top" wrapText="1"/>
    </xf>
    <xf borderId="0" fillId="0" fontId="15" numFmtId="0" xfId="0" applyAlignment="1" applyFont="1">
      <alignment horizontal="left" shrinkToFit="0" vertical="top" wrapText="1"/>
    </xf>
    <xf borderId="0" fillId="0" fontId="15" numFmtId="164" xfId="0" applyAlignment="1" applyFont="1" applyNumberFormat="1">
      <alignment horizontal="right" shrinkToFit="0" vertical="top" wrapText="1"/>
    </xf>
    <xf borderId="0" fillId="0" fontId="15" numFmtId="0" xfId="0" applyAlignment="1" applyFont="1">
      <alignment readingOrder="0" vertical="top"/>
    </xf>
    <xf borderId="0" fillId="0" fontId="15" numFmtId="171" xfId="0" applyAlignment="1" applyFont="1" applyNumberFormat="1">
      <alignment readingOrder="0"/>
    </xf>
    <xf borderId="12" fillId="3" fontId="15" numFmtId="0" xfId="0" applyBorder="1" applyFont="1"/>
    <xf borderId="12" fillId="3" fontId="15" numFmtId="0" xfId="0" applyAlignment="1" applyBorder="1" applyFont="1">
      <alignment readingOrder="0"/>
    </xf>
    <xf borderId="12" fillId="0" fontId="15" numFmtId="0" xfId="0" applyBorder="1" applyFont="1"/>
    <xf borderId="12" fillId="0" fontId="15" numFmtId="0" xfId="0" applyAlignment="1" applyBorder="1" applyFont="1">
      <alignment readingOrder="0"/>
    </xf>
    <xf borderId="12" fillId="0" fontId="15" numFmtId="0" xfId="0" applyAlignment="1" applyBorder="1" applyFont="1">
      <alignment readingOrder="0"/>
    </xf>
    <xf borderId="12" fillId="0" fontId="15" numFmtId="0" xfId="0" applyBorder="1" applyFont="1"/>
    <xf borderId="1" fillId="3" fontId="17" numFmtId="0" xfId="0" applyAlignment="1" applyBorder="1" applyFont="1">
      <alignment readingOrder="0" shrinkToFit="0" vertical="top" wrapText="1"/>
    </xf>
    <xf borderId="1" fillId="21" fontId="15" numFmtId="0" xfId="0" applyAlignment="1" applyBorder="1" applyFont="1">
      <alignment readingOrder="0" shrinkToFit="0" vertical="top" wrapText="1"/>
    </xf>
    <xf borderId="1" fillId="21" fontId="15" numFmtId="0" xfId="0" applyAlignment="1" applyBorder="1" applyFont="1">
      <alignment readingOrder="0" vertical="top"/>
    </xf>
    <xf borderId="1" fillId="27" fontId="15" numFmtId="0" xfId="0" applyAlignment="1" applyBorder="1" applyFont="1">
      <alignment readingOrder="0" shrinkToFit="0" vertical="top" wrapText="1"/>
    </xf>
    <xf borderId="1" fillId="27" fontId="15" numFmtId="0" xfId="0" applyAlignment="1" applyBorder="1" applyFont="1">
      <alignment readingOrder="0" vertical="top"/>
    </xf>
    <xf borderId="1" fillId="5" fontId="15" numFmtId="0" xfId="0" applyAlignment="1" applyBorder="1" applyFont="1">
      <alignment readingOrder="0" shrinkToFit="0" vertical="top" wrapText="1"/>
    </xf>
    <xf borderId="0" fillId="17" fontId="31" numFmtId="0" xfId="0" applyFont="1"/>
    <xf borderId="1" fillId="28" fontId="17" numFmtId="0" xfId="0" applyAlignment="1" applyBorder="1" applyFont="1">
      <alignment readingOrder="0"/>
    </xf>
    <xf borderId="1" fillId="0" fontId="15" numFmtId="0" xfId="0" applyAlignment="1" applyBorder="1" applyFont="1">
      <alignment readingOrder="0"/>
    </xf>
    <xf borderId="1" fillId="23" fontId="15" numFmtId="0" xfId="0" applyAlignment="1" applyBorder="1" applyFont="1">
      <alignment readingOrder="0"/>
    </xf>
    <xf borderId="1" fillId="0" fontId="15" numFmtId="0" xfId="0" applyAlignment="1" applyBorder="1" applyFont="1">
      <alignment readingOrder="0"/>
    </xf>
    <xf borderId="1" fillId="0" fontId="15" numFmtId="0" xfId="0" applyAlignment="1" applyBorder="1" applyFont="1">
      <alignment vertical="top"/>
    </xf>
    <xf borderId="1" fillId="0" fontId="15" numFmtId="0" xfId="0" applyAlignment="1" applyBorder="1" applyFont="1">
      <alignment readingOrder="0" shrinkToFit="0" vertical="top" wrapText="1"/>
    </xf>
    <xf borderId="1" fillId="0" fontId="15" numFmtId="0" xfId="0" applyAlignment="1" applyBorder="1" applyFont="1">
      <alignment readingOrder="0" vertical="top"/>
    </xf>
    <xf borderId="1" fillId="0" fontId="15" numFmtId="0" xfId="0" applyBorder="1" applyFont="1"/>
    <xf borderId="0" fillId="0" fontId="15" numFmtId="172" xfId="0" applyFont="1" applyNumberFormat="1"/>
    <xf borderId="0" fillId="0" fontId="32" numFmtId="0" xfId="0" applyAlignment="1" applyFont="1">
      <alignment vertical="top"/>
    </xf>
    <xf borderId="0" fillId="0" fontId="32" numFmtId="0" xfId="0" applyAlignment="1" applyFont="1">
      <alignment horizontal="right" shrinkToFit="0" vertical="top" wrapText="1"/>
    </xf>
    <xf borderId="9" fillId="0" fontId="2" numFmtId="0" xfId="0" applyAlignment="1" applyBorder="1" applyFont="1">
      <alignment readingOrder="0" vertical="top"/>
    </xf>
    <xf borderId="13" fillId="0" fontId="2" numFmtId="0" xfId="0" applyAlignment="1" applyBorder="1" applyFont="1">
      <alignment horizontal="center" readingOrder="0" vertical="top"/>
    </xf>
    <xf borderId="14" fillId="0" fontId="15" numFmtId="0" xfId="0" applyBorder="1" applyFont="1"/>
    <xf borderId="15" fillId="0" fontId="15" numFmtId="0" xfId="0" applyBorder="1" applyFont="1"/>
    <xf borderId="9" fillId="0" fontId="33" numFmtId="0" xfId="0" applyAlignment="1" applyBorder="1" applyFont="1">
      <alignment horizontal="right" readingOrder="0" shrinkToFit="0" vertical="top" wrapText="1"/>
    </xf>
    <xf borderId="1" fillId="0" fontId="2" numFmtId="0" xfId="0" applyAlignment="1" applyBorder="1" applyFont="1">
      <alignment horizontal="right" readingOrder="0" vertical="top"/>
    </xf>
    <xf borderId="0" fillId="20" fontId="5" numFmtId="0" xfId="0" applyAlignment="1" applyFont="1">
      <alignment horizontal="left" readingOrder="0"/>
    </xf>
    <xf borderId="0" fillId="0" fontId="32" numFmtId="4" xfId="0" applyAlignment="1" applyFont="1" applyNumberFormat="1">
      <alignment vertical="top"/>
    </xf>
    <xf borderId="1" fillId="0" fontId="0" numFmtId="0" xfId="0" applyAlignment="1" applyBorder="1" applyFont="1">
      <alignment readingOrder="0" vertical="top"/>
    </xf>
    <xf borderId="1" fillId="0" fontId="0" numFmtId="0" xfId="0" applyAlignment="1" applyBorder="1" applyFont="1">
      <alignment horizontal="right" readingOrder="0" vertical="top"/>
    </xf>
    <xf borderId="1" fillId="0" fontId="32" numFmtId="0" xfId="0" applyAlignment="1" applyBorder="1" applyFont="1">
      <alignment horizontal="right" readingOrder="0" shrinkToFit="0" vertical="top" wrapText="1"/>
    </xf>
    <xf borderId="1" fillId="0" fontId="0" numFmtId="0" xfId="0" applyAlignment="1" applyBorder="1" applyFont="1">
      <alignment readingOrder="0" shrinkToFit="0" vertical="top" wrapText="1"/>
    </xf>
    <xf borderId="0" fillId="0" fontId="15" numFmtId="173" xfId="0" applyFont="1" applyNumberFormat="1"/>
    <xf borderId="16" fillId="0" fontId="34" numFmtId="0" xfId="0" applyAlignment="1" applyBorder="1" applyFont="1">
      <alignment horizontal="left" readingOrder="0" vertical="top"/>
    </xf>
    <xf borderId="17" fillId="0" fontId="15" numFmtId="0" xfId="0" applyAlignment="1" applyBorder="1" applyFont="1">
      <alignment readingOrder="0" vertical="top"/>
    </xf>
    <xf borderId="16" fillId="0" fontId="35" numFmtId="0" xfId="0" applyAlignment="1" applyBorder="1" applyFont="1">
      <alignment horizontal="left" readingOrder="0" vertical="top"/>
    </xf>
    <xf borderId="18" fillId="0" fontId="15" numFmtId="0" xfId="0" applyBorder="1" applyFont="1"/>
    <xf borderId="16" fillId="0" fontId="36" numFmtId="0" xfId="0" applyAlignment="1" applyBorder="1" applyFont="1">
      <alignment horizontal="left" readingOrder="0" vertical="top"/>
    </xf>
    <xf borderId="16" fillId="0" fontId="37" numFmtId="0" xfId="0" applyAlignment="1" applyBorder="1" applyFont="1">
      <alignment horizontal="left" readingOrder="0" vertical="top"/>
    </xf>
    <xf borderId="16" fillId="0" fontId="38" numFmtId="0" xfId="0" applyAlignment="1" applyBorder="1" applyFont="1">
      <alignment horizontal="left" readingOrder="0" vertical="top"/>
    </xf>
    <xf borderId="19" fillId="0" fontId="15" numFmtId="0" xfId="0" applyBorder="1" applyFont="1"/>
    <xf borderId="0" fillId="0" fontId="39" numFmtId="0" xfId="0" applyAlignment="1" applyFont="1">
      <alignment horizontal="left" readingOrder="0" vertical="top"/>
    </xf>
    <xf borderId="0" fillId="0" fontId="15" numFmtId="174" xfId="0" applyAlignment="1" applyFont="1" applyNumberFormat="1">
      <alignment readingOrder="0"/>
    </xf>
    <xf borderId="0" fillId="0" fontId="15" numFmtId="174" xfId="0" applyFont="1" applyNumberFormat="1"/>
    <xf borderId="0" fillId="0" fontId="15" numFmtId="3" xfId="0" applyAlignment="1" applyFont="1" applyNumberFormat="1">
      <alignment readingOrder="0"/>
    </xf>
    <xf borderId="1" fillId="3" fontId="17" numFmtId="0" xfId="0" applyAlignment="1" applyBorder="1" applyFont="1">
      <alignment horizontal="right" readingOrder="0" shrinkToFit="0" vertical="top" wrapText="1"/>
    </xf>
    <xf borderId="1" fillId="0" fontId="15" numFmtId="0" xfId="0" applyAlignment="1" applyBorder="1" applyFont="1">
      <alignment horizontal="right" readingOrder="0" shrinkToFit="0" vertical="top" wrapText="1"/>
    </xf>
    <xf borderId="1" fillId="0" fontId="15" numFmtId="0" xfId="0" applyAlignment="1" applyBorder="1" applyFont="1">
      <alignment readingOrder="0" shrinkToFit="0" vertical="top" wrapText="1"/>
    </xf>
    <xf borderId="0" fillId="0" fontId="15" numFmtId="1" xfId="0" applyAlignment="1" applyFont="1" applyNumberFormat="1">
      <alignment readingOrder="0"/>
    </xf>
    <xf borderId="0" fillId="0" fontId="15" numFmtId="1" xfId="0" applyAlignment="1" applyFont="1" applyNumberFormat="1">
      <alignment horizontal="right"/>
    </xf>
    <xf borderId="0" fillId="0" fontId="15" numFmtId="173" xfId="0" applyFont="1" applyNumberFormat="1"/>
    <xf borderId="1" fillId="3" fontId="28" numFmtId="173" xfId="0" applyAlignment="1" applyBorder="1" applyFont="1" applyNumberFormat="1">
      <alignment readingOrder="0"/>
    </xf>
    <xf borderId="0" fillId="3" fontId="40" numFmtId="0" xfId="0" applyAlignment="1" applyFont="1">
      <alignment readingOrder="0"/>
    </xf>
    <xf borderId="1" fillId="0" fontId="28" numFmtId="173" xfId="0" applyAlignment="1" applyBorder="1" applyFont="1" applyNumberFormat="1">
      <alignment readingOrder="0"/>
    </xf>
    <xf borderId="1" fillId="0" fontId="28" numFmtId="0" xfId="0" applyAlignment="1" applyBorder="1" applyFont="1">
      <alignment readingOrder="0"/>
    </xf>
    <xf borderId="0" fillId="0" fontId="41" numFmtId="0" xfId="0" applyFont="1"/>
    <xf borderId="0" fillId="27" fontId="15" numFmtId="0" xfId="0" applyAlignment="1" applyFont="1">
      <alignment readingOrder="0" shrinkToFit="0" wrapText="1"/>
    </xf>
    <xf borderId="1" fillId="14" fontId="41" numFmtId="0" xfId="0" applyAlignment="1" applyBorder="1" applyFont="1">
      <alignment readingOrder="0"/>
    </xf>
    <xf borderId="1" fillId="0" fontId="42" numFmtId="0" xfId="0" applyAlignment="1" applyBorder="1" applyFont="1">
      <alignment readingOrder="0"/>
    </xf>
    <xf borderId="1" fillId="0" fontId="43" numFmtId="173" xfId="0" applyAlignment="1" applyBorder="1" applyFont="1" applyNumberFormat="1">
      <alignment readingOrder="0"/>
    </xf>
    <xf borderId="1" fillId="0" fontId="43" numFmtId="0" xfId="0" applyAlignment="1" applyBorder="1" applyFont="1">
      <alignment readingOrder="0"/>
    </xf>
    <xf borderId="0" fillId="0" fontId="43" numFmtId="173" xfId="0" applyAlignment="1" applyFont="1" applyNumberFormat="1">
      <alignment readingOrder="0"/>
    </xf>
    <xf borderId="0" fillId="0" fontId="42" numFmtId="0" xfId="0" applyAlignment="1" applyFont="1">
      <alignment readingOrder="0"/>
    </xf>
    <xf borderId="0" fillId="3" fontId="15" numFmtId="0" xfId="0" applyAlignment="1" applyFont="1">
      <alignment horizontal="right" readingOrder="0"/>
    </xf>
    <xf borderId="0" fillId="0" fontId="15" numFmtId="0" xfId="0" applyAlignment="1" applyFont="1">
      <alignment horizontal="right" readingOrder="0"/>
    </xf>
    <xf borderId="0" fillId="0" fontId="15" numFmtId="0" xfId="0" applyAlignment="1" applyFont="1">
      <alignment readingOrder="0"/>
    </xf>
    <xf borderId="0" fillId="3" fontId="15" numFmtId="0" xfId="0" applyAlignment="1" applyFont="1">
      <alignment horizontal="right" readingOrder="0"/>
    </xf>
    <xf borderId="0" fillId="3" fontId="15" numFmtId="0" xfId="0" applyAlignment="1" applyFont="1">
      <alignment readingOrder="0"/>
    </xf>
    <xf borderId="0" fillId="0" fontId="15" numFmtId="167" xfId="0" applyAlignment="1" applyFont="1" applyNumberFormat="1">
      <alignment readingOrder="0"/>
    </xf>
    <xf borderId="0" fillId="0" fontId="15" numFmtId="175" xfId="0" applyAlignment="1" applyFont="1" applyNumberFormat="1">
      <alignment readingOrder="0"/>
    </xf>
    <xf borderId="0" fillId="0" fontId="15" numFmtId="176" xfId="0" applyAlignment="1" applyFont="1" applyNumberFormat="1">
      <alignment readingOrder="0"/>
    </xf>
    <xf borderId="0" fillId="0" fontId="15" numFmtId="177" xfId="0" applyAlignment="1" applyFont="1" applyNumberFormat="1">
      <alignment readingOrder="0"/>
    </xf>
    <xf borderId="0" fillId="7" fontId="15" numFmtId="0" xfId="0" applyAlignment="1" applyFont="1">
      <alignment readingOrder="0"/>
    </xf>
    <xf borderId="1" fillId="28" fontId="17" numFmtId="0" xfId="0" applyAlignment="1" applyBorder="1" applyFont="1">
      <alignment readingOrder="0" shrinkToFit="0" wrapText="1"/>
    </xf>
    <xf borderId="1" fillId="17" fontId="5" numFmtId="0" xfId="0" applyAlignment="1" applyBorder="1" applyFont="1">
      <alignment horizontal="left" readingOrder="0" shrinkToFit="0" wrapText="1"/>
    </xf>
    <xf borderId="1" fillId="17" fontId="5" numFmtId="0" xfId="0" applyAlignment="1" applyBorder="1" applyFont="1">
      <alignment horizontal="left" readingOrder="0" shrinkToFit="0" vertical="top" wrapText="0"/>
    </xf>
    <xf borderId="1" fillId="0" fontId="15" numFmtId="172" xfId="0" applyAlignment="1" applyBorder="1" applyFont="1" applyNumberFormat="1">
      <alignment readingOrder="0"/>
    </xf>
    <xf borderId="1" fillId="0" fontId="15" numFmtId="167" xfId="0" applyAlignment="1" applyBorder="1" applyFont="1" applyNumberFormat="1">
      <alignment readingOrder="0"/>
    </xf>
    <xf borderId="1" fillId="0" fontId="15" numFmtId="175" xfId="0" applyAlignment="1" applyBorder="1" applyFont="1" applyNumberFormat="1">
      <alignment readingOrder="0"/>
    </xf>
    <xf borderId="1" fillId="17" fontId="5" numFmtId="167" xfId="0" applyAlignment="1" applyBorder="1" applyFont="1" applyNumberFormat="1">
      <alignment horizontal="right" readingOrder="0" shrinkToFit="0" vertical="top" wrapText="0"/>
    </xf>
    <xf borderId="1" fillId="17" fontId="5" numFmtId="172" xfId="0" applyAlignment="1" applyBorder="1" applyFont="1" applyNumberFormat="1">
      <alignment horizontal="right" readingOrder="0" shrinkToFit="0" vertical="top" wrapText="0"/>
    </xf>
    <xf borderId="1" fillId="17" fontId="5" numFmtId="0" xfId="0" applyAlignment="1" applyBorder="1" applyFont="1">
      <alignment horizontal="right" readingOrder="0" shrinkToFit="0" vertical="top" wrapText="0"/>
    </xf>
    <xf borderId="1" fillId="17" fontId="5" numFmtId="0" xfId="0" applyAlignment="1" applyBorder="1" applyFont="1">
      <alignment horizontal="left" readingOrder="0" shrinkToFit="0" vertical="top" wrapText="1"/>
    </xf>
    <xf borderId="1" fillId="17" fontId="5" numFmtId="0" xfId="0" applyAlignment="1" applyBorder="1" applyFont="1">
      <alignment horizontal="left" shrinkToFit="0" vertical="top" wrapText="0"/>
    </xf>
    <xf borderId="1" fillId="24" fontId="5" numFmtId="0" xfId="0" applyAlignment="1" applyBorder="1" applyFont="1">
      <alignment horizontal="right" readingOrder="0" shrinkToFit="0" vertical="top" wrapText="0"/>
    </xf>
    <xf borderId="1" fillId="24" fontId="5" numFmtId="0" xfId="0" applyAlignment="1" applyBorder="1" applyFont="1">
      <alignment horizontal="left" readingOrder="0" shrinkToFit="0" vertical="top" wrapText="1"/>
    </xf>
    <xf borderId="1" fillId="24" fontId="5" numFmtId="0" xfId="0" applyAlignment="1" applyBorder="1" applyFont="1">
      <alignment horizontal="left" readingOrder="0" shrinkToFit="0" vertical="top" wrapText="0"/>
    </xf>
    <xf borderId="1" fillId="24" fontId="5" numFmtId="167" xfId="0" applyAlignment="1" applyBorder="1" applyFont="1" applyNumberFormat="1">
      <alignment horizontal="right" readingOrder="0" shrinkToFit="0" vertical="top" wrapText="0"/>
    </xf>
    <xf borderId="1" fillId="24" fontId="5" numFmtId="172" xfId="0" applyAlignment="1" applyBorder="1" applyFont="1" applyNumberFormat="1">
      <alignment horizontal="right" readingOrder="0" shrinkToFit="0" vertical="top" wrapText="0"/>
    </xf>
    <xf borderId="0" fillId="24" fontId="15" numFmtId="0" xfId="0" applyFont="1"/>
    <xf borderId="1" fillId="29" fontId="3" numFmtId="164" xfId="0" applyAlignment="1" applyBorder="1" applyFill="1" applyFont="1" applyNumberFormat="1">
      <alignment horizontal="right" shrinkToFit="0" vertical="top" wrapText="1"/>
    </xf>
    <xf borderId="0" fillId="5" fontId="3" numFmtId="0" xfId="0" applyAlignment="1" applyFont="1">
      <alignment horizontal="right" shrinkToFit="0" vertical="top" wrapText="1"/>
    </xf>
    <xf borderId="11" fillId="17" fontId="5" numFmtId="164" xfId="0" applyAlignment="1" applyBorder="1" applyFont="1" applyNumberFormat="1">
      <alignment horizontal="right" shrinkToFit="0" vertical="top" wrapText="0"/>
    </xf>
    <xf borderId="1" fillId="17" fontId="4" numFmtId="4" xfId="0" applyAlignment="1" applyBorder="1" applyFont="1" applyNumberFormat="1">
      <alignment vertical="top"/>
    </xf>
    <xf borderId="11" fillId="7" fontId="5" numFmtId="164" xfId="0" applyAlignment="1" applyBorder="1" applyFont="1" applyNumberFormat="1">
      <alignment horizontal="right" shrinkToFit="0" vertical="top" wrapText="0"/>
    </xf>
    <xf borderId="1" fillId="7" fontId="5" numFmtId="4" xfId="0" applyAlignment="1" applyBorder="1" applyFont="1" applyNumberFormat="1">
      <alignment horizontal="right" vertical="top"/>
    </xf>
    <xf borderId="11" fillId="20" fontId="5" numFmtId="164" xfId="0" applyAlignment="1" applyBorder="1" applyFont="1" applyNumberFormat="1">
      <alignment horizontal="right" shrinkToFit="0" vertical="top" wrapText="0"/>
    </xf>
    <xf borderId="1" fillId="20" fontId="5" numFmtId="4" xfId="0" applyAlignment="1" applyBorder="1" applyFont="1" applyNumberFormat="1">
      <alignment horizontal="right" vertical="top"/>
    </xf>
    <xf borderId="11" fillId="30" fontId="5" numFmtId="164" xfId="0" applyAlignment="1" applyBorder="1" applyFill="1" applyFont="1" applyNumberFormat="1">
      <alignment horizontal="right" shrinkToFit="0" vertical="top" wrapText="0"/>
    </xf>
    <xf borderId="1" fillId="30" fontId="5" numFmtId="4" xfId="0" applyAlignment="1" applyBorder="1" applyFont="1" applyNumberFormat="1">
      <alignment horizontal="right" vertical="top"/>
    </xf>
    <xf borderId="1" fillId="30" fontId="4" numFmtId="4" xfId="0" applyAlignment="1" applyBorder="1" applyFont="1" applyNumberFormat="1">
      <alignment horizontal="right" vertical="top"/>
    </xf>
    <xf borderId="1" fillId="30" fontId="4" numFmtId="4" xfId="0" applyAlignment="1" applyBorder="1" applyFont="1" applyNumberFormat="1">
      <alignment vertical="top"/>
    </xf>
    <xf borderId="1" fillId="20" fontId="4" numFmtId="4" xfId="0" applyAlignment="1" applyBorder="1" applyFont="1" applyNumberFormat="1">
      <alignment horizontal="right" vertical="top"/>
    </xf>
    <xf borderId="1" fillId="20" fontId="4" numFmtId="4" xfId="0" applyAlignment="1" applyBorder="1" applyFont="1" applyNumberFormat="1">
      <alignment vertical="top"/>
    </xf>
    <xf borderId="1" fillId="7" fontId="4" numFmtId="4" xfId="0" applyAlignment="1" applyBorder="1" applyFont="1" applyNumberFormat="1">
      <alignment horizontal="right" vertical="top"/>
    </xf>
    <xf borderId="1" fillId="7" fontId="4" numFmtId="4" xfId="0" applyAlignment="1" applyBorder="1" applyFont="1" applyNumberFormat="1">
      <alignment vertical="top"/>
    </xf>
    <xf borderId="0" fillId="17" fontId="44" numFmtId="0" xfId="0" applyAlignment="1" applyFont="1">
      <alignment readingOrder="0"/>
    </xf>
    <xf borderId="0" fillId="17" fontId="45" numFmtId="0" xfId="0" applyAlignment="1" applyFont="1">
      <alignment readingOrder="0"/>
    </xf>
    <xf borderId="0" fillId="17" fontId="5" numFmtId="0" xfId="0" applyAlignment="1" applyFont="1">
      <alignment horizontal="left" readingOrder="0"/>
    </xf>
  </cellXfs>
  <cellStyles count="1">
    <cellStyle xfId="0" name="Normal" builtinId="0"/>
  </cellStyles>
  <dxfs count="8">
    <dxf>
      <font/>
      <fill>
        <patternFill patternType="solid">
          <fgColor rgb="FFB6D7A8"/>
          <bgColor rgb="FFB6D7A8"/>
        </patternFill>
      </fill>
      <border/>
    </dxf>
    <dxf>
      <font/>
      <fill>
        <patternFill patternType="solid">
          <fgColor rgb="FFFCE8B2"/>
          <bgColor rgb="FFFCE8B2"/>
        </patternFill>
      </fill>
      <border/>
    </dxf>
    <dxf>
      <font/>
      <fill>
        <patternFill patternType="solid">
          <fgColor rgb="FFA4C2F4"/>
          <bgColor rgb="FFA4C2F4"/>
        </patternFill>
      </fill>
      <border/>
    </dxf>
    <dxf>
      <font/>
      <fill>
        <patternFill patternType="solid">
          <fgColor rgb="FFD9D9D9"/>
          <bgColor rgb="FFD9D9D9"/>
        </patternFill>
      </fill>
      <border/>
    </dxf>
    <dxf>
      <font/>
      <fill>
        <patternFill patternType="solid">
          <fgColor rgb="FFFFE599"/>
          <bgColor rgb="FFFFE599"/>
        </patternFill>
      </fill>
      <border/>
    </dxf>
    <dxf>
      <font/>
      <fill>
        <patternFill patternType="solid">
          <fgColor rgb="FF9FC5E8"/>
          <bgColor rgb="FF9FC5E8"/>
        </patternFill>
      </fill>
      <border/>
    </dxf>
    <dxf>
      <font/>
      <fill>
        <patternFill patternType="solid">
          <fgColor rgb="FFF4C7C3"/>
          <bgColor rgb="FFF4C7C3"/>
        </patternFill>
      </fill>
      <border/>
    </dxf>
    <dxf>
      <font>
        <color rgb="FFFF000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44" Type="http://schemas.openxmlformats.org/officeDocument/2006/relationships/worksheet" Target="worksheets/sheet42.xml"/><Relationship Id="rId43" Type="http://schemas.openxmlformats.org/officeDocument/2006/relationships/worksheet" Target="worksheets/sheet41.xml"/><Relationship Id="rId46" Type="http://schemas.openxmlformats.org/officeDocument/2006/relationships/worksheet" Target="worksheets/sheet44.xml"/><Relationship Id="rId45" Type="http://schemas.openxmlformats.org/officeDocument/2006/relationships/worksheet" Target="worksheets/sheet43.xml"/><Relationship Id="rId48" Type="http://schemas.openxmlformats.org/officeDocument/2006/relationships/worksheet" Target="worksheets/sheet46.xml"/><Relationship Id="rId47" Type="http://schemas.openxmlformats.org/officeDocument/2006/relationships/worksheet" Target="worksheets/sheet45.xml"/><Relationship Id="rId49" Type="http://schemas.openxmlformats.org/officeDocument/2006/relationships/worksheet" Target="worksheets/sheet47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33" Type="http://schemas.openxmlformats.org/officeDocument/2006/relationships/worksheet" Target="worksheets/sheet31.xml"/><Relationship Id="rId32" Type="http://schemas.openxmlformats.org/officeDocument/2006/relationships/worksheet" Target="worksheets/sheet30.xml"/><Relationship Id="rId35" Type="http://schemas.openxmlformats.org/officeDocument/2006/relationships/worksheet" Target="worksheets/sheet33.xml"/><Relationship Id="rId34" Type="http://schemas.openxmlformats.org/officeDocument/2006/relationships/worksheet" Target="worksheets/sheet32.xml"/><Relationship Id="rId37" Type="http://schemas.openxmlformats.org/officeDocument/2006/relationships/worksheet" Target="worksheets/sheet35.xml"/><Relationship Id="rId36" Type="http://schemas.openxmlformats.org/officeDocument/2006/relationships/worksheet" Target="worksheets/sheet34.xml"/><Relationship Id="rId39" Type="http://schemas.openxmlformats.org/officeDocument/2006/relationships/worksheet" Target="worksheets/sheet37.xml"/><Relationship Id="rId38" Type="http://schemas.openxmlformats.org/officeDocument/2006/relationships/worksheet" Target="worksheets/sheet36.xml"/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29" Type="http://schemas.openxmlformats.org/officeDocument/2006/relationships/worksheet" Target="worksheets/sheet27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51" Type="http://schemas.openxmlformats.org/officeDocument/2006/relationships/worksheet" Target="worksheets/sheet49.xml"/><Relationship Id="rId50" Type="http://schemas.openxmlformats.org/officeDocument/2006/relationships/worksheet" Target="worksheets/sheet48.xml"/><Relationship Id="rId53" Type="http://schemas.openxmlformats.org/officeDocument/2006/relationships/worksheet" Target="worksheets/sheet51.xml"/><Relationship Id="rId52" Type="http://schemas.openxmlformats.org/officeDocument/2006/relationships/worksheet" Target="worksheets/sheet50.xml"/><Relationship Id="rId55" Type="http://schemas.openxmlformats.org/officeDocument/2006/relationships/worksheet" Target="worksheets/sheet53.xml"/><Relationship Id="rId54" Type="http://schemas.openxmlformats.org/officeDocument/2006/relationships/worksheet" Target="worksheets/sheet52.xml"/><Relationship Id="rId56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CY71" sheet="Base de Dados"/>
  </cacheSource>
  <cacheFields>
    <cacheField name="Id" numFmtId="164">
      <sharedItems containsSemiMixedTypes="0" containsString="0" containsNumber="1" containsInteger="1">
        <n v="0.0"/>
        <n v="15017.0"/>
        <n v="15018.0"/>
        <n v="15019.0"/>
        <n v="15055.0"/>
        <n v="15056.0"/>
        <n v="15057.0"/>
        <n v="15060.0"/>
        <n v="15066.0"/>
        <n v="15070.0"/>
        <n v="15072.0"/>
        <n v="15099.0"/>
        <n v="15107.0"/>
        <n v="15151.0"/>
        <n v="15166.0"/>
        <n v="15201.0"/>
        <n v="15220.0"/>
        <n v="15244.0"/>
        <n v="15254.0"/>
        <n v="15259.0"/>
        <n v="15304.0"/>
        <n v="15306.0"/>
        <n v="15307.0"/>
        <n v="15308.0"/>
        <n v="15310.0"/>
        <n v="15311.0"/>
        <n v="15314.0"/>
        <n v="15315.0"/>
        <n v="15327.0"/>
        <n v="15329.0"/>
        <n v="15330.0"/>
        <n v="15332.0"/>
        <n v="15347.0"/>
        <n v="15349.0"/>
        <n v="15353.0"/>
        <n v="15355.0"/>
        <n v="15356.0"/>
        <n v="15357.0"/>
        <n v="15360.0"/>
        <n v="15361.0"/>
        <n v="15362.0"/>
        <n v="15364.0"/>
        <n v="15366.0"/>
        <n v="15367.0"/>
        <n v="15368.0"/>
        <n v="15369.0"/>
        <n v="15371.0"/>
        <n v="15373.0"/>
        <n v="15374.0"/>
        <n v="15376.0"/>
        <n v="15379.0"/>
        <n v="15380.0"/>
        <n v="15381.0"/>
        <n v="15382.0"/>
        <n v="15383.0"/>
        <n v="15384.0"/>
        <n v="15386.0"/>
        <n v="15387.0"/>
        <n v="15388.0"/>
        <n v="15389.0"/>
        <n v="15390.0"/>
        <n v="15391.0"/>
        <n v="15392.0"/>
        <n v="15393.0"/>
        <n v="15394.0"/>
        <n v="15895.0"/>
        <n v="15896.0"/>
        <n v="15897.0"/>
        <n v="15898.0"/>
        <n v="15899.0"/>
      </sharedItems>
    </cacheField>
    <cacheField name="Grupo" numFmtId="164">
      <sharedItems containsSemiMixedTypes="0" containsString="0" containsNumber="1" containsInteger="1">
        <n v="0.0"/>
        <n v="15018.0"/>
        <n v="15056.0"/>
        <n v="15060.0"/>
        <n v="15254.0"/>
        <n v="15304.0"/>
        <n v="15314.0"/>
        <n v="15353.0"/>
        <n v="15364.0"/>
        <n v="15373.0"/>
        <n v="15383.0"/>
        <n v="99999.0"/>
      </sharedItems>
    </cacheField>
    <cacheField name="Descrição" numFmtId="0">
      <sharedItems>
        <s v="NÃO APAGAR. Linha de fórmulas e parâmetros"/>
        <s v="NOBREAKS SURT - Suporte e manutenção dos nobreaks SURT 8kVA das Varas e Foros do interior "/>
        <s v="ASSYST - Contratação de suporte e atualização de licenças da solução de gerenciamento de serviços e registro de chamadas de TIC."/>
        <s v="NOBREAKS SUVT 2016 - Suporte e manutenção dos nobreaks SUVT 40kVA do Datacenter e dos foros da Capital, de São José e da sede (prorrogação emergencial em 2021)"/>
        <s v="CELESC - Contratação de uso de postes (passagem da fibra óptica - locação CELESC) para conexão redundante entre o datacenter principal e auxiliar (Sede/Utrillo)"/>
        <s v="REDE JT - Ciasc - Contratação de links de alto desempenho para as conexões de dados entre as unidades do TRT"/>
        <s v="INTERNET LINK 2 - Contratação de acesso corporativo à internet"/>
        <s v="CENTRAL DE SERVIÇOS - Contratação de serviços de suporte de TIC em 1º e 2º níveis - 2019, para fornecimento de técnicos terceirizados para atendimento aos chamados de TIC, no Estado."/>
        <s v="INTERNET MOVEL - Contratação de linhas de internet móvel. O quantitativo atual é de 151 e deve ser confirmado pelos estudos da contração (Ato CSJT 43/2013)."/>
        <s v="REDE JT - Alt - Contratação de links para conexão da sede com as unidades do interior do estado."/>
        <s v="NUVEM GOOGLE 1 - Contratação de licença de uso de serviço de nuvem de comunicação e colaboração"/>
        <s v="RESERVA - Fundo de reserva e materiais diversos, para despesas imprevisíveis e reserva para capacitação a ser transferida tempestivamente à SEDUC"/>
        <s v="SCANNER MANUTENÇÃO - Contratação de manutenção dos scanneres para remessa de processo ao TST - SECART (Kodak i4600 e Fujitsu fi-6800)"/>
        <s v="BANCO DE DADOS - Contratação de monitoramento remoto e suporte técnico para os bancos de dados Oracle, PostgreSQL e MySQL, contratado como item obrigatório do CSJT"/>
        <s v="ADOBE LICENÇAS - Manutenção da LICENÇA DE SOFTWARE PACOTE ADOBE - EJUD e SECOM (para 3 anos)"/>
        <s v="NOBREAKS BATERIAS CANCELADA - Aquisição de conjunto de baterias seladas para nobreaks (quantitativo será alvo de estudo no planejamento da contratação)"/>
        <s v="NOBREAKS SURT - Suporte e manutenção dos nobreaks de varas e foros (SURT 15kVA)"/>
        <s v="SERPRO - Contratação de serviço web de acesso a dados"/>
        <s v="CERTIFICADOS PJ - Aquisição Certificados Digitais SSL (PJe, domínio trt12.jus.br e siscondj), obrigatório para estabelecer autenticação de confiança entre sistemas de informação. Exigido pela instituição bancária (CERTISIGN)."/>
        <s v="INTERNET LINK 1 - Contratação de acesso corporativo à internet"/>
        <s v="BACKUP EQUIPAMENTOS - Aquisição de um novo equipamento para atualizar o sistema de backup do datacenter auxiliar."/>
        <s v="AUTOCAD LICENÇAS - Contratação/prorrogação de licanças de Autodesk AutoCAD Revit Suite"/>
        <s v="SKETCHUP PRO - Licença SketchUp Pro - Trimble (12 meses)"/>
        <s v="SEGURANÇA SUPORTE - Continuidade do serviço de suporte técnico do Sistema de Softwares de Segurança em uso nas unidades do TRT/SC (SENIOR)"/>
        <s v="SEGURANÇA - Aquisição de câmeras de CFTV e licenças de software para monitoramento de imagens"/>
        <s v="BACKUP FITAS - Aquisição de fitas com capacidade de 12TB (272 unidades) e de limpeza (20 unidades)."/>
        <s v="NOBREAKS SYMMETRA - Suporte e manutenção de nobreaks do datacenter - SYMMETRA"/>
        <s v="CERTIFICADOS PF - Aquisição de certificados digitais (tokens) para pessoa física, para todo o Estado"/>
        <s v="SWITCHES EQUIPAMENTOS - Ampliação da capacidade da rede SAN, que conecta os equipamentos servidores e sistema de backup às unidades de armazenamento."/>
        <s v="DRUPAL SUPORTE - Suporte técnico para o portal de internet e intranet do TRT12, em tecnologia DRUPAL 8"/>
        <s v="JT-FONE - Serviço de envio de mensagens SMS (JT-fone)"/>
        <s v="FÁBRICA - Contratação de fábrica de software para plataforma JEE"/>
        <s v="SEGURANÇA MANUTENÇÃO - Contratação de serviços de manutenção preventiva e corretiva, com eventual fornecimento de peças de reposição, para as câmeras IP e outros equipamentos que compõem o sistema de imagens de segurança."/>
        <s v="BI SOFTWARE - Contratação de uso de software em nuvem, para gerar relatórios e informações gerenciais para apoio à decisão e à gestão"/>
        <s v="AUDIÊNCIAS ZOOM - Viabilizar a continuidade de audiências, sessões e reuniões por meio de videoconferências (Zoom)"/>
        <s v="BANCO DE DADOS ORACLE - Contratação de suporte e atualização de licenças Oracle, para os sistemas PROAD, SIGEP"/>
        <s v="ANTIVÍRUS - Aquisição de licenças de solução de antivírus com suporte e atualização, para proteção contra ameaças externas (continua o 1366/2017, ID 15004)"/>
        <s v="NOBREAKS SUVT 2022 - Suporte e manutenção dos nobreaks SUVT 40kVA do Datacenter e dos foros da Capital, de São José e da sede (substitui o 15019; há indicativo preliminar de que a aquisição de novos equipamentos pode ser mais vantajosa, o que será definid"/>
        <s v="SIABI - Contratação de suporte técnico e atualização de licenças do software de gerenciamento de bibliotecas"/>
        <s v="MICROCOMPUTADORES - Aquisição de microcomputadores modelo mini desktop tipo 2 com wi-fi"/>
        <s v="IMPRESSORAS - Aquisição de impressoras de pequeno porte convencionais"/>
        <s v="SALA COFRE 2017 - Contratação de manutenção de sala cofre, que abriga o Datacenter principal, onde são armazenados todos os dados e os equipamentos de processamento de dados corporativos "/>
        <s v="MÍDIAS SERVIÇO - Contratação de serviço/espaço de armazenamento para mídias"/>
        <s v="MICROCOMPUTADORES - Aquisição de lote câmeras tipo webcam para uso em monitores convencionais"/>
        <s v="AUDIÊNCIAS - Solução para indexação e marcação de videoconferências das audiências "/>
        <s v="INTERNET LINK 3 - Contratação de acesso corporativo à internet (substitui LINK 1)"/>
        <s v="PRODENT - Contratação de suporte e atualização para licenças de software odontológico"/>
        <s v="SO SUPORTE - Contratação de suporte e operação de infraestrutura de TIC/PJe - PO CSJT, inclui suporte Linux, contrato obrigatório dedicado ao PJe"/>
        <s v="VIDEOCONFERÊNCIAS EQUIPAMENTOS - Aquisição de câmeras com microfone"/>
        <s v="NOBREAKS EQUIPAMENTOS - Aquisição de equipamentos de 8 e 10 kVA"/>
        <s v="NOBREAKS BATERIAS - Aquisição baterias dos Nobreaks de 40kVA (SUVT)"/>
        <s v="IMPRESSORAS MANUTENÇÃO - Contatação de manutenção de impressoras multifuncionais Lexmark MX722"/>
        <s v="INTERNET LINK 4 - Contratação de acesso corporativo à internet (substitui LINK 2)"/>
        <s v="NUVEM GOOGLE 2 - Contratação de licença de uso de serviço de nuvem de comunicação e colaboração (varas), com ampliação do serviço de armazenamento em nuvem, dado que várias contas têm extrapolado o limite de 30GB estabelecido no contrato 11741/2017."/>
        <s v="NUVEM GOOGLE - Contratação de licença de uso de serviço de nuvem de comunicação e colaboração (substitui 15072 e 15382)"/>
        <s v="SALA COFRE 2022 - Contratação de manutenção de sala cofre, que abriga o Datacenter principal, onde são armazenados todos os dados e os equipamentos de processamento de dados corporativos. "/>
        <s v="Manutenção das Licenças do Software ADOBE Photoshop, usados pela SECOM. As referidas licenças possuem prazo de vigência de 12 meses."/>
        <s v="VMWARE LICENÇA - Licença perpétua do VS7-EPL-C com suporte e subscrição Basic por 5 anos (item 2 do DOD)"/>
        <s v="VMWARE SUPORTE - Suporte e Subscrição Production e Basic, para o VMware vCenter Server 7 Standard for vSphere 7, por 5 anos (itens 1 e 3 do DOD)"/>
        <s v="ASSYST - Contratação de suporte e atualização de licenças da solução de gerenciamento de serviços e registro de chamadas de TIC (2022)"/>
        <s v="REDE JT CIASC - Contratação de links de alto desempenho para as conexões de dados entre as unidades do TRT - 2022"/>
        <s v="BACKUP SOFTWARE - Licença para software de backup"/>
        <s v="CENTRAL DE SERVIÇOS - Contratação de serviços de suporte de TIC em 1º e 2º níveis - 2019, para fornecimento de técnicos terceirizados para atendimento aos chamados de TIC, no Estado. (Reconhecimento de dívida de exercício anterior)"/>
        <s v="AUDIÊNCIAS - Viabilizar a continuidade de audiências, sessões e reuniões por meio de videoconferências (Zoom) (Reconhecimento de dívida de exercício anterior)"/>
        <s v="ASSYST - Contratação de suporte e atualização de licenças da solução de gerenciamento de serviços e registro de chamadas de TIC. (Reconhecimento de dívida de exercício anterior)"/>
        <s v="SO - Contratação de suporte e operação de infraestrutura de TIC/PJe - PO CSJT, inclui suporte Linux, contrato obrigatório dedicado ao PJe (Reconhecimento de dívida de exercício anterior)"/>
        <s v="CERTIFICADOS PJ - Aquisição Certificados Digitais SSL (PJe, domínio trt12.jus.br e siscondj), obrigatório para estabelecer autenticação de confiança entre sistemas de informação. Exigido pela instituição bancária (HZ PORTAIS)."/>
        <s v="SIABI MEMORIAL - Licenças e serviços de suporte técnico e manutenção para o SIABI (Sistema de software &#10;Automação de Bibliotecas, Arquivos, museus e Memoriais) com direito a versões &#10;atualizadas."/>
        <s v="NOBREAK EQUIPAMENTOS - Fornecimento de energia elétrica estabilizada e ininterrupta ao data center principal (equipamentos de 40 e 80 kVA)"/>
        <s v="NOBREAKS SYMMETRA - Suporte e manutenção de nobreaks do datacenter - SYMMETRA (complemento por mudança de CNPJ da contratada)"/>
      </sharedItems>
    </cacheField>
    <cacheField name="Justificativa " numFmtId="3">
      <sharedItems>
        <e v="#N/A"/>
        <s v="Contratação/prorrogação de contrato de prestação de serviço continuado de tecnologia da informação e telecomunicações que objetiva evitar interrupções na prestação jurisdicional, inclusive as previstas no Plano Continuidade de Negócios (PCN)."/>
        <s v="Contratação/prorrogação de contrato de prestação de serviço continuado de tecnologia da informação e telecomunicações que atende a projeto estratégico, garante a prestação jurisdicional, evita a interrupção da prestação administrativa e/ou atende a normat"/>
        <s v="Aquisição de produto, peça de reposição, material de consumo e/ou de serviço não continuado de tecnologia da informação e telecomunicações que objetiva evitar interrupções na prestação jurisdicional, inclusive as previstas no Plano Continuidade de Negócio"/>
        <s v="Aquisição de produto, peça de reposição, material de consumo e/ou de serviço não continuado de tecnologia da informação e telecomunicações desejável para a melhoria na prestação de serviços.&#10;&#10;"/>
        <s v="Contratação/prorrogação de contrato de prestação de serviço continuado de tecnologia da informação e telecomunicações desejável para a melhoria na prestação de serviços.&#10;&#10;"/>
        <s v="Aquisição de produto, peça de reposição, material de consumo e/ou de serviço não continuado de tecnologia da informação e telecomunicações que atende a projeto estratégico, garante a prestação jurisdicional, evita a interrupção da prestação administrativa"/>
      </sharedItems>
    </cacheField>
    <cacheField name="Objetivo Estratégico " numFmtId="3">
      <sharedItems>
        <s v="Informar"/>
        <s v="EJ08 - PROMOVER SERVIÇOS DE INFRAESTRUTURA E SOLUÇÕES CORPORATIVAS"/>
        <s v="EJ05 - APERFEIÇOAR A GOVERNANÇA E A GESTÃO"/>
        <s v="EJ04 - BUSCAR A INOVAÇÃO DE FORMA COLABORATIVA"/>
        <s v="PEI - APRIMORAR A GOVERNANÇA DE TIC E A PROTEÇÃO DE DADOS"/>
        <s v="EJ07 - APRIMORAR A SEGURANÇA DA INFORMAÇÃO E A GESTÃO DE DADOS"/>
        <s v="EJ02 - PROMOVER A TRANSFORMAÇÃO DIGITAL"/>
      </sharedItems>
    </cacheField>
    <cacheField name="Classificação CNJ" numFmtId="0">
      <sharedItems containsBlank="1">
        <m/>
        <s v="Contratação de serviços para o suporte à infraestrutura tecnológica"/>
        <s v="Contratação de serviços de suporte à microinformática"/>
        <s v="Aquisição de bens de infraestrutura tecnológica"/>
        <s v="Contratação de serviços para o desenvolvimento e a sustentação de software"/>
        <s v="Contratação de softwares para o desenvolvimento e a sustentação de software"/>
        <s v="Aquisição de bens de microinformática"/>
      </sharedItems>
    </cacheField>
    <cacheField name="Denominação Ampliada" numFmtId="3">
      <sharedItems>
        <s v="(ID PAAC 00000) NÃO APAGAR. Linha de fórmulas e parâmetros"/>
        <s v="(ID PAAC 15017) NOBREAKS SURT - Suporte e manutenção dos nobreaks SURT 8kVA das Varas e Foros do interior "/>
        <s v="(ID PAAC 15018) ASSYST - Contratação de suporte e atualização de licenças da solução de gerenciamento de serviços e registro de chamadas de TIC."/>
        <s v="(ID PAAC 15019) NOBREAKS SUVT 2016 - Suporte e manutenção dos nobreaks SUVT 40kVA do Datacenter e dos foros da Capital, de São José e da sede (prorrogação emergencial em 2021)"/>
        <s v="(ID PAAC 15055) CELESC - Contratação de uso de postes (passagem da fibra óptica - locação CELESC) para conexão redundante entre o datacenter principal e auxiliar (Sede/Utrillo)"/>
        <s v="(ID PAAC 15056) REDE JT - Ciasc - Contratação de links de alto desempenho para as conexões de dados entre as unidades do TRT"/>
        <s v="(ID PAAC 15057) INTERNET LINK 2 - Contratação de acesso corporativo à internet"/>
        <s v="(ID PAAC 15060) CENTRAL DE SERVIÇOS - Contratação de serviços de suporte de TIC em 1º e 2º níveis - 2019, para fornecimento de técnicos terceirizados para atendimento aos chamados de TIC, no Estado."/>
        <s v="(ID PAAC 15066) INTERNET MOVEL - Contratação de linhas de internet móvel. O quantitativo atual é de 151 e deve ser confirmado pelos estudos da contração (Ato CSJT 43/2013)."/>
        <s v="(ID PAAC 15070) REDE JT - Alt - Contratação de links para conexão da sede com as unidades do interior do estado."/>
        <s v="(ID PAAC 15072) NUVEM GOOGLE 1 - Contratação de licença de uso de serviço de nuvem de comunicação e colaboração"/>
        <s v="(ID PAAC 15099) RESERVA - Fundo de reserva e materiais diversos, para despesas imprevisíveis e reserva para capacitação a ser transferida tempestivamente à SEDUC"/>
        <s v="(ID PAAC 15107) SCANNER MANUTENÇÃO - Contratação de manutenção dos scanneres para remessa de processo ao TST - SECART (Kodak i4600 e Fujitsu fi-6800)"/>
        <s v="(ID PAAC 15151) BANCO DE DADOS - Contratação de monitoramento remoto e suporte técnico para os bancos de dados Oracle, PostgreSQL e MySQL, contratado como item obrigatório do CSJT"/>
        <s v="(ID PAAC 15166) ADOBE LICENÇAS - Manutenção da LICENÇA DE SOFTWARE PACOTE ADOBE - EJUD e SECOM (para 3 anos)"/>
        <s v="(ID PAAC 15201) NOBREAKS BATERIAS CANCELADA - Aquisição de conjunto de baterias seladas para nobreaks (quantitativo será alvo de estudo no planejamento da contratação)"/>
        <s v="(ID PAAC 15220) NOBREAKS SURT - Suporte e manutenção dos nobreaks de varas e foros (SURT 15kVA)"/>
        <s v="(ID PAAC 15244) SERPRO - Contratação de serviço web de acesso a dados"/>
        <s v="(ID PAAC 15254) CERTIFICADOS PJ - Aquisição Certificados Digitais SSL (PJe, domínio trt12.jus.br e siscondj), obrigatório para estabelecer autenticação de confiança entre sistemas de informação. Exigido pela instituição bancária (CERTISIGN)."/>
        <s v="(ID PAAC 15259) INTERNET LINK 1 - Contratação de acesso corporativo à internet"/>
        <s v="(ID PAAC 15304) BACKUP EQUIPAMENTOS - Aquisição de um novo equipamento para atualizar o sistema de backup do datacenter auxiliar."/>
        <s v="(ID PAAC 15306) AUTOCAD LICENÇAS - Contratação/prorrogação de licanças de Autodesk AutoCAD Revit Suite"/>
        <s v="(ID PAAC 15307) SKETCHUP PRO - Licença SketchUp Pro - Trimble (12 meses)"/>
        <s v="(ID PAAC 15308) SEGURANÇA SUPORTE - Continuidade do serviço de suporte técnico do Sistema de Softwares de Segurança em uso nas unidades do TRT/SC (SENIOR)"/>
        <s v="(ID PAAC 15310) SEGURANÇA - Aquisição de câmeras de CFTV e licenças de software para monitoramento de imagens"/>
        <s v="(ID PAAC 15311) BACKUP FITAS - Aquisição de fitas com capacidade de 12TB (272 unidades) e de limpeza (20 unidades)."/>
        <s v="(ID PAAC 15314) NOBREAKS SYMMETRA - Suporte e manutenção de nobreaks do datacenter - SYMMETRA"/>
        <s v="(ID PAAC 15315) CERTIFICADOS PF - Aquisição de certificados digitais (tokens) para pessoa física, para todo o Estado"/>
        <s v="(ID PAAC 15327) SWITCHES EQUIPAMENTOS - Ampliação da capacidade da rede SAN, que conecta os equipamentos servidores e sistema de backup às unidades de armazenamento."/>
        <s v="(ID PAAC 15329) DRUPAL SUPORTE - Suporte técnico para o portal de internet e intranet do TRT12, em tecnologia DRUPAL 8"/>
        <s v="(ID PAAC 15330) JT-FONE - Serviço de envio de mensagens SMS (JT-fone)"/>
        <s v="(ID PAAC 15332) FÁBRICA - Contratação de fábrica de software para plataforma JEE"/>
        <s v="(ID PAAC 15347) SEGURANÇA MANUTENÇÃO - Contratação de serviços de manutenção preventiva e corretiva, com eventual fornecimento de peças de reposição, para as câmeras IP e outros equipamentos que compõem o sistema de imagens de segurança."/>
        <s v="(ID PAAC 15349) BI SOFTWARE - Contratação de uso de software em nuvem, para gerar relatórios e informações gerenciais para apoio à decisão e à gestão"/>
        <s v="(ID PAAC 15353) AUDIÊNCIAS ZOOM - Viabilizar a continuidade de audiências, sessões e reuniões por meio de videoconferências (Zoom)"/>
        <s v="(ID PAAC 15355) BANCO DE DADOS ORACLE - Contratação de suporte e atualização de licenças Oracle, para os sistemas PROAD, SIGEP"/>
        <s v="(ID PAAC 15356) ANTIVÍRUS - Aquisição de licenças de solução de antivírus com suporte e atualização, para proteção contra ameaças externas (continua o 1366/2017, ID 15004)"/>
        <s v="(ID PAAC 15357) NOBREAKS SUVT 2022 - Suporte e manutenção dos nobreaks SUVT 40kVA do Datacenter e dos foros da Capital, de São José e da sede (substitui o 15019; há indicativo preliminar de que a aquisição de novos equipamentos pode ser mais vantajosa, o "/>
        <s v="(ID PAAC 15360) SIABI - Contratação de suporte técnico e atualização de licenças do software de gerenciamento de bibliotecas"/>
        <s v="(ID PAAC 15361) MICROCOMPUTADORES - Aquisição de microcomputadores modelo mini desktop tipo 2 com wi-fi"/>
        <s v="(ID PAAC 15362) IMPRESSORAS - Aquisição de impressoras de pequeno porte convencionais"/>
        <s v="(ID PAAC 15364) SALA COFRE 2017 - Contratação de manutenção de sala cofre, que abriga o Datacenter principal, onde são armazenados todos os dados e os equipamentos de processamento de dados corporativos "/>
        <s v="(ID PAAC 15366) MÍDIAS SERVIÇO - Contratação de serviço/espaço de armazenamento para mídias"/>
        <s v="(ID PAAC 15367) MICROCOMPUTADORES - Aquisição de lote câmeras tipo webcam para uso em monitores convencionais"/>
        <s v="(ID PAAC 15368) AUDIÊNCIAS - Solução para indexação e marcação de videoconferências das audiências "/>
        <s v="(ID PAAC 15369) INTERNET LINK 3 - Contratação de acesso corporativo à internet (substitui LINK 1)"/>
        <s v="(ID PAAC 15371) PRODENT - Contratação de suporte e atualização para licenças de software odontológico"/>
        <s v="(ID PAAC 15373) SO SUPORTE - Contratação de suporte e operação de infraestrutura de TIC/PJe - PO CSJT, inclui suporte Linux, contrato obrigatório dedicado ao PJe"/>
        <s v="(ID PAAC 15374) VIDEOCONFERÊNCIAS EQUIPAMENTOS - Aquisição de câmeras com microfone"/>
        <s v="(ID PAAC 15376) NOBREAKS EQUIPAMENTOS - Aquisição de equipamentos de 8 e 10 kVA"/>
        <s v="(ID PAAC 15379) NOBREAKS BATERIAS - Aquisição baterias dos Nobreaks de 40kVA (SUVT)"/>
        <s v="(ID PAAC 15380) IMPRESSORAS MANUTENÇÃO - Contatação de manutenção de impressoras multifuncionais Lexmark MX722"/>
        <s v="(ID PAAC 15381) INTERNET LINK 4 - Contratação de acesso corporativo à internet (substitui LINK 2)"/>
        <s v="(ID PAAC 15382) NUVEM GOOGLE 2 - Contratação de licença de uso de serviço de nuvem de comunicação e colaboração (varas), com ampliação do serviço de armazenamento em nuvem, dado que várias contas têm extrapolado o limite de 30GB estabelecido no contrato 1"/>
        <s v="(ID PAAC 15383) NUVEM GOOGLE - Contratação de licença de uso de serviço de nuvem de comunicação e colaboração (substitui 15072 e 15382)"/>
        <s v="(ID PAAC 15384) SALA COFRE 2022 - Contratação de manutenção de sala cofre, que abriga o Datacenter principal, onde são armazenados todos os dados e os equipamentos de processamento de dados corporativos. "/>
        <s v="(ID PAAC 15386) Manutenção das Licenças do Software ADOBE Photoshop, usados pela SECOM. As referidas licenças possuem prazo de vigência de 12 meses."/>
        <s v="(ID PAAC 15387) VMWARE LICENÇA - Licença perpétua do VS7-EPL-C com suporte e subscrição Basic por 5 anos (item 2 do DOD)"/>
        <s v="(ID PAAC 15388) VMWARE SUPORTE - Suporte e Subscrição Production e Basic, para o VMware vCenter Server 7 Standard for vSphere 7, por 5 anos (itens 1 e 3 do DOD)"/>
        <s v="(ID PAAC 15389) ASSYST - Contratação de suporte e atualização de licenças da solução de gerenciamento de serviços e registro de chamadas de TIC (2022)"/>
        <s v="(ID PAAC 15390) REDE JT CIASC - Contratação de links de alto desempenho para as conexões de dados entre as unidades do TRT - 2022"/>
        <s v="(ID PAAC 15391) BACKUP SOFTWARE - Licença para software de backup"/>
        <s v="(ID PAAC 15392) CENTRAL DE SERVIÇOS - Contratação de serviços de suporte de TIC em 1º e 2º níveis - 2019, para fornecimento de técnicos terceirizados para atendimento aos chamados de TIC, no Estado. (Reconhecimento de dívida de exercício anterior)"/>
        <s v="(ID PAAC 15393) AUDIÊNCIAS - Viabilizar a continuidade de audiências, sessões e reuniões por meio de videoconferências (Zoom) (Reconhecimento de dívida de exercício anterior)"/>
        <s v="(ID PAAC 15394) ASSYST - Contratação de suporte e atualização de licenças da solução de gerenciamento de serviços e registro de chamadas de TIC. (Reconhecimento de dívida de exercício anterior)"/>
        <s v="(ID PAAC 15895) SO - Contratação de suporte e operação de infraestrutura de TIC/PJe - PO CSJT, inclui suporte Linux, contrato obrigatório dedicado ao PJe (Reconhecimento de dívida de exercício anterior)"/>
        <s v="(ID PAAC 15896) CERTIFICADOS PJ - Aquisição Certificados Digitais SSL (PJe, domínio trt12.jus.br e siscondj), obrigatório para estabelecer autenticação de confiança entre sistemas de informação. Exigido pela instituição bancária (HZ PORTAIS)."/>
        <s v="(ID PAAC 15897) SIABI MEMORIAL - Licenças e serviços de suporte técnico e manutenção para o SIABI (Sistema de software &#10;Automação de Bibliotecas, Arquivos, museus e Memoriais) com direito a versões &#10;atualizadas."/>
        <s v="(ID PAAC 15898) NOBREAK EQUIPAMENTOS - Fornecimento de energia elétrica estabilizada e ininterrupta ao data center principal (equipamentos de 40 e 80 kVA)"/>
        <s v="(ID PAAC 15899) NOBREAKS SYMMETRA - Suporte e manutenção de nobreaks do datacenter - SYMMETRA (complemento por mudança de CNPJ da contratada)"/>
      </sharedItems>
    </cacheField>
    <cacheField name="Natureza" numFmtId="0">
      <sharedItems containsBlank="1">
        <m/>
        <s v="Continuado"/>
        <s v="Imediato"/>
      </sharedItems>
    </cacheField>
    <cacheField name="Demandante" numFmtId="0">
      <sharedItems containsBlank="1">
        <m/>
        <s v="SETIC"/>
        <s v="SECAP"/>
        <s v="EJUD SECOM"/>
        <s v="SECAJ"/>
        <s v="SPO"/>
        <s v="CPJUD"/>
        <s v="SSI"/>
        <s v="SEJUP"/>
        <s v="SAÚDE"/>
        <s v="SECOM"/>
      </sharedItems>
    </cacheField>
    <cacheField name="UGO" numFmtId="0">
      <sharedItems containsBlank="1">
        <m/>
        <s v="SETIC"/>
      </sharedItems>
    </cacheField>
    <cacheField name="Despesa" numFmtId="0">
      <sharedItems containsBlank="1">
        <m/>
        <s v="GND3"/>
        <s v="GND4"/>
      </sharedItems>
    </cacheField>
    <cacheField name="Código de Despesa" numFmtId="165">
      <sharedItems containsSemiMixedTypes="0" containsString="0" containsNumber="1" containsInteger="1">
        <n v="0.0"/>
      </sharedItems>
    </cacheField>
    <cacheField name="Sub de Despesa" numFmtId="0">
      <sharedItems containsString="0" containsBlank="1" containsNumber="1" containsInteger="1">
        <m/>
        <n v="3.3904012E7"/>
        <n v="3.3904007E7"/>
        <n v="3.3904011E7"/>
        <n v="3.3904013E7"/>
        <n v="3.390401E7"/>
        <n v="3.3904014E7"/>
        <n v="3.3904019E7"/>
        <n v="3.3903017E7"/>
        <n v="3.3904006E7"/>
        <n v="3.3904023E7"/>
        <n v="4.4905247E7"/>
        <n v="3.3903504E7"/>
        <n v="3.3904008E7"/>
        <n v="4.4905241E7"/>
        <n v="4.4905245E7"/>
        <n v="4.4905235E7"/>
        <n v="4.4904005E7"/>
      </sharedItems>
    </cacheField>
    <cacheField name="Reduzido do Empenho" numFmtId="1">
      <sharedItems containsSemiMixedTypes="0" containsString="0" containsNumber="1" containsInteger="1">
        <n v="0.0"/>
      </sharedItems>
    </cacheField>
    <cacheField name="Reduzido Previsto" numFmtId="0">
      <sharedItems containsString="0" containsBlank="1" containsNumber="1" containsInteger="1">
        <m/>
        <n v="168105.0"/>
        <n v="168107.0"/>
      </sharedItems>
    </cacheField>
    <cacheField name="CSJT" numFmtId="3">
      <sharedItems>
        <s v="Sim"/>
        <s v="Não"/>
      </sharedItems>
    </cacheField>
    <cacheField name="Prioridade" numFmtId="0">
      <sharedItems containsBlank="1">
        <m/>
        <s v="1 - Imprescindível"/>
        <s v="2 - Importante"/>
        <s v="3 - Desejável"/>
      </sharedItems>
    </cacheField>
    <cacheField name="Deliberação" numFmtId="0">
      <sharedItems containsBlank="1">
        <m/>
        <s v="4 - Cancelado"/>
        <s v="1 - Selecionado"/>
        <s v="5 - Próximo PCTIC"/>
      </sharedItems>
    </cacheField>
    <cacheField name="Anotações SETIC" numFmtId="0">
      <sharedItems containsBlank="1">
        <m/>
        <s v="há indicativo preliminar de que a aquisição de novos equipamentos pode ser mais vantajosa para o TRT, o que será definido pelo planejamento da contratação"/>
        <s v="Valores das linhas de base iniciais transferidos do ID 2020 15187"/>
        <s v="2021 ok SIGEO ok"/>
        <s v="Não entrou na POP 2022; verificar se haverá orçamento descentralizado (168107) ou se usará orçamento próprio (169105)"/>
      </sharedItems>
    </cacheField>
    <cacheField name="Observação " numFmtId="0">
      <sharedItems containsBlank="1">
        <m/>
        <s v="Prorrogação Emergencial"/>
        <s v="Transferido de 2021 para 2022"/>
        <s v="Juntada com o item 15382, cancelado, que será adiado para contrtação conjunta"/>
        <s v="substitui o 15364, que substituiu o 15059, após alteração na razão social e CNPJ em 2021"/>
      </sharedItems>
    </cacheField>
    <cacheField name="Situação (Fase)" numFmtId="0">
      <sharedItems containsBlank="1">
        <m/>
        <s v="01 - Não oficializado"/>
        <s v="99 - Orçamentário"/>
        <s v="07 - Concluída"/>
        <s v="05 - PB enviado"/>
        <s v="02 - DOD emitido"/>
      </sharedItems>
    </cacheField>
    <cacheField name="DOD" numFmtId="0">
      <sharedItems containsBlank="1">
        <m/>
        <s v="1293/2021"/>
        <s v="1287/2021"/>
        <s v="10620/2020"/>
        <s v="1891/2022"/>
        <s v="8147/2021"/>
        <s v="1964/2022"/>
        <s v="2265/2022"/>
        <s v="10812/2020"/>
        <s v="3731/2021"/>
        <s v="2836/2022"/>
        <s v="9109/2021"/>
        <s v="12196/2021"/>
        <s v="5595/2020"/>
        <s v="150/2022"/>
        <s v="3551/2021"/>
        <s v="532/2022"/>
        <s v="9944/2021"/>
        <s v="1358/2022"/>
        <s v="2407/2022"/>
        <s v="8623/2021"/>
        <s v="3569/2021"/>
        <s v="1175/2022"/>
        <s v="2207/2022"/>
        <s v="12180/2021"/>
        <s v="12634/2021"/>
        <s v="1353/2022"/>
        <s v="2754/2022"/>
        <s v="2760/2022"/>
      </sharedItems>
    </cacheField>
    <cacheField name="Contrato" numFmtId="0">
      <sharedItems containsBlank="1">
        <m/>
        <s v="5424/2017"/>
        <s v="3891/2017"/>
        <s v="12216/2016"/>
        <s v="1674/2021"/>
        <s v="5907/2017"/>
        <s v="280/2020"/>
        <s v="3995/2019"/>
        <s v="8560/2018"/>
        <s v="5910/2017"/>
        <s v="11741/2017"/>
        <s v="7373/2017"/>
        <s v="9447/2017"/>
        <s v="447/2022"/>
        <s v="7005/2020"/>
        <s v="14060/2018"/>
        <s v="2832/2022"/>
        <s v="8016/2019"/>
        <s v="10394/2021"/>
        <s v="7825/2020"/>
        <s v="5228/2020"/>
        <s v="4057/2020"/>
        <s v="12010/2020"/>
        <s v="1038/2021"/>
        <s v="9758/2021"/>
        <s v="9019/2021"/>
        <s v="148/2022"/>
        <s v="2689/2021"/>
        <s v="6133/2017"/>
        <s v="2049/2022"/>
        <s v="5707/2021"/>
        <s v="6789/2021"/>
        <s v="9240/2021"/>
        <s v="9016/2021"/>
      </sharedItems>
    </cacheField>
    <cacheField name="Área de TIC" numFmtId="0">
      <sharedItems containsBlank="1">
        <m/>
        <s v="SESUP"/>
        <s v="SEINFRA"/>
        <s v="SESUS"/>
        <s v="SETIC"/>
        <s v="SEDES"/>
      </sharedItems>
    </cacheField>
    <cacheField name="Modalidade (prazo)" numFmtId="0">
      <sharedItems containsBlank="1">
        <m/>
        <s v="PRE"/>
        <s v="ORÇAMENTO"/>
        <s v="PROR"/>
        <s v="DISPENSA_PELO_VALOR"/>
        <s v="ARP_PARTICIPACAO"/>
        <s v="INEXIGIBILIDADE"/>
        <s v="ARP_ADESAO"/>
        <s v="DISPENSA_DEMAIS_CASOS"/>
      </sharedItems>
    </cacheField>
    <cacheField name="Modalidade (contrato)" numFmtId="0">
      <sharedItems containsBlank="1">
        <m/>
        <s v="PRE"/>
        <s v="RP"/>
        <s v="CD"/>
      </sharedItems>
    </cacheField>
    <cacheField name="Processo Adm" numFmtId="49">
      <sharedItems>
        <s v=""/>
        <s v="PRE-5424/2017"/>
        <s v="RP-3891/2017"/>
        <s v="CD-12216/2016"/>
        <s v="CD-1674/2021"/>
        <s v="CD-5907/2017"/>
        <s v="PRE-280/2020"/>
        <s v="PRE-3995/2019"/>
        <s v="PRE-8560/2018"/>
        <s v="PRE-5910/2017"/>
        <s v="RP-11741/2017"/>
        <s v="PRE-7373/2017"/>
        <s v="PRE-9447/2017"/>
        <s v="RP-447/2022"/>
        <s v="PRE-7005/2020"/>
        <s v="CD-14060/2018"/>
        <s v="CD-2832/2022"/>
        <s v="PRE-8016/2019"/>
        <s v="PRE-10394/2021"/>
        <s v="CD-7825/2020"/>
        <s v="CD-5228/2020"/>
        <s v="PRE-4057/2020"/>
        <s v="RP-12010/2020"/>
        <s v="RP-1038/2021"/>
        <s v="CD-9758/2021"/>
        <s v="RP-9019/2021"/>
        <s v="CD-148/2022"/>
        <s v="CD-2689/2021"/>
        <s v="PRE-6133/2017"/>
        <s v="PRE-2049/2022"/>
        <s v="CD-5707/2021"/>
        <s v="PRE-6789/2021"/>
        <s v="PRE-9240/2021"/>
        <s v="PRE-9016/2021"/>
      </sharedItems>
    </cacheField>
    <cacheField name="CNPJ/CPF Fornec">
      <sharedItems containsMixedTypes="1" containsNumber="1" containsInteger="1">
        <e v="#N/A"/>
        <n v="7.8333640001E12"/>
        <n v="7.108509000282E12"/>
        <n v="8.33678300019E12"/>
        <n v="8.3043745000165E13"/>
        <n v="1.479874000012E13"/>
        <n v="6.556008000115E12"/>
        <n v="4.0432544000147E13"/>
        <n v="1.1508825000138E13"/>
        <n v="7.452760000189E12"/>
        <n v="1.1140607000193E13"/>
        <n v="4.198254000117E12"/>
        <n v="2.4798024000104E13"/>
        <n v="806030.0"/>
        <n v="1.554285000175E12"/>
        <n v="2.255187000108E12"/>
        <n v="8.0680093000181E13"/>
        <n v="4.1587502001209E13"/>
        <n v="2.3518065000129E13"/>
        <n v="5.9456277000176E13"/>
        <n v="1.707536000104E12"/>
        <n v="8.2743287003553E13"/>
        <n v="5.116014000199E12"/>
        <n v="3.698620000134E12"/>
        <n v="7.3922171000141E13"/>
        <n v="4.892991000115E12"/>
        <n v="3.727926500018E13"/>
      </sharedItems>
    </cacheField>
    <cacheField name="Razão Social" numFmtId="49">
      <sharedItems>
        <e v="#N/A"/>
        <s v="ACTIVE - TECNOLOGIA SERVICOS E CONSULTORIA EM INFORMATI"/>
        <s v="SCHNEIDER ELECTRIC IT BRASIL INDUSTRIA E COMERCIO DE E"/>
        <s v="CELESC DISTRIBUICAO S.A"/>
        <s v="CENTRO DE INFORMATICA E AUTOMACAO DO ESTADO DE SC S/A"/>
        <s v="ACESSOLINE TELECOMUNICACOES LTDA"/>
        <s v="C GALATI EIRELI"/>
        <s v="CLARO S.A."/>
        <s v="RJR SERVICOS DE INFORMATICA LTDA"/>
        <s v="VANTUTA PRESTACAO DE SERVICOS LTDA"/>
        <s v="BERTINI DO BRASIL LTDA."/>
        <s v="MCR SISTEMAS E CONSULTORIA LTDA"/>
        <s v="EFL SILVA MANUTENCAO DE NO-BREAKS E GERADORES"/>
        <s v="SERPRO - SEDE - BRASILIA"/>
        <s v="CERTISIGN CERTIFICADORA DIGITAL S.A"/>
        <s v="UNIFIQUE TELECOMUNICACOES S/A"/>
        <s v="SENIOR SISTEMAS S/A"/>
        <s v="LANLINK INFORMATICA LTDA"/>
        <s v="XP ON CONSULTORIA LTDA"/>
        <s v="ORACLE DO BRASIL SISTEMAS LTDA"/>
        <s v="ISH TECNOLOGIA S/A"/>
        <s v="SCHNEIDER ELECTRIC BRASIL LTDA"/>
        <s v="W J SERVICOS DE INFORMATICA LTDA"/>
        <s v="GREEN4T SOLUCOES TI LTDA."/>
        <s v="HARTSYSTEM SISTEMAS LTDA"/>
        <s v="TELTEC SOLUTIONS LTDA"/>
        <s v="HZ PORTAIS DE INTERNET LTDA"/>
      </sharedItems>
    </cacheField>
    <cacheField name="Data para Adm">
      <sharedItems containsDate="1" containsMixedTypes="1">
        <s v=""/>
        <d v="2022-04-01T00:00:00Z"/>
        <d v="2022-06-26T00:00:00Z"/>
        <d v="2022-02-03T00:00:00Z"/>
        <d v="2022-08-08T00:00:00Z"/>
        <d v="2022-10-25T00:00:00Z"/>
        <d v="2021-11-29T00:00:00Z"/>
        <d v="2021-11-10T00:00:00Z"/>
        <d v="2022-12-13T00:00:00Z"/>
        <d v="2022-08-22T00:00:00Z"/>
        <d v="2022-06-16T00:00:00Z"/>
        <d v="2023-02-01T00:00:00Z"/>
        <d v="2021-12-06T00:00:00Z"/>
        <d v="2022-05-14T00:00:00Z"/>
        <d v="2022-07-16T00:00:00Z"/>
        <d v="2023-12-27T00:00:00Z"/>
        <d v="2022-03-23T00:00:00Z"/>
        <d v="2022-06-14T00:00:00Z"/>
        <d v="2021-11-25T00:00:00Z"/>
        <d v="2022-07-14T00:00:00Z"/>
        <d v="2022-09-21T00:00:00Z"/>
        <d v="2022-07-03T00:00:00Z"/>
        <d v="2022-03-13T00:00:00Z"/>
        <d v="2021-11-19T00:00:00Z"/>
        <d v="2022-05-29T00:00:00Z"/>
        <d v="2021-11-11T00:00:00Z"/>
        <d v="2022-10-22T00:00:00Z"/>
        <d v="2022-01-31T00:00:00Z"/>
        <d v="2022-03-12T00:00:00Z"/>
        <d v="2022-10-01T00:00:00Z"/>
        <d v="2021-12-31T00:00:00Z"/>
        <d v="2022-08-11T00:00:00Z"/>
        <d v="2025-10-04T00:00:00Z"/>
        <d v="2022-06-21T00:00:00Z"/>
        <d v="2021-12-16T00:00:00Z"/>
        <d v="2022-05-17T00:00:00Z"/>
        <d v="2022-10-11T00:00:00Z"/>
        <d v="2022-06-13T00:00:00Z"/>
        <d v="2022-04-02T00:00:00Z"/>
        <d v="2022-03-27T00:00:00Z"/>
        <d v="2022-05-12T00:00:00Z"/>
        <d v="2022-08-06T00:00:00Z"/>
        <d v="2022-05-16T00:00:00Z"/>
        <d v="2022-02-11T00:00:00Z"/>
        <d v="2022-06-23T00:00:00Z"/>
        <d v="2024-05-23T00:00:00Z"/>
        <d v="2022-01-15T00:00:00Z"/>
        <d v="2022-10-29T00:00:00Z"/>
        <d v="2022-01-22T00:00:00Z"/>
        <d v="2022-01-14T00:00:00Z"/>
        <d v="2022-07-29T00:00:00Z"/>
        <d v="2023-01-15T00:00:00Z"/>
        <d v="2022-04-21T00:00:00Z"/>
      </sharedItems>
    </cacheField>
    <cacheField name="Data para objeto" numFmtId="0">
      <sharedItems containsDate="1" containsString="0" containsBlank="1">
        <m/>
        <d v="2022-07-20T00:00:00Z"/>
        <d v="2022-06-26T00:00:00Z"/>
        <d v="2022-02-03T00:00:00Z"/>
        <d v="2022-08-08T00:00:00Z"/>
        <d v="2022-10-25T00:00:00Z"/>
        <d v="2022-02-27T00:00:00Z"/>
        <d v="2022-02-08T00:00:00Z"/>
        <d v="2022-12-13T00:00:00Z"/>
        <d v="2022-09-01T00:00:00Z"/>
        <d v="2022-09-14T00:00:00Z"/>
        <d v="2023-02-01T00:00:00Z"/>
        <d v="2022-01-20T00:00:00Z"/>
        <d v="2022-10-14T00:00:00Z"/>
        <d v="2023-12-27T00:00:00Z"/>
        <d v="2022-04-02T00:00:00Z"/>
        <d v="2022-06-14T00:00:00Z"/>
        <d v="2022-03-15T00:00:00Z"/>
        <d v="2022-11-01T00:00:00Z"/>
        <d v="2022-10-01T00:00:00Z"/>
        <d v="2022-07-01T00:00:00Z"/>
        <d v="2022-02-17T00:00:00Z"/>
        <d v="2022-08-27T00:00:00Z"/>
        <d v="2022-03-01T00:00:00Z"/>
        <d v="2022-05-01T00:00:00Z"/>
        <d v="2022-06-30T00:00:00Z"/>
        <d v="2022-12-30T00:00:00Z"/>
        <d v="2022-03-31T00:00:00Z"/>
        <d v="2022-11-09T00:00:00Z"/>
        <d v="2025-10-04T00:00:00Z"/>
        <d v="2022-03-16T00:00:00Z"/>
        <d v="2022-10-11T00:00:00Z"/>
        <d v="2022-06-01T00:00:00Z"/>
        <d v="2022-07-15T00:00:00Z"/>
        <d v="2022-08-10T00:00:00Z"/>
        <d v="2022-11-04T00:00:00Z"/>
        <d v="2024-05-23T00:00:00Z"/>
        <d v="2022-02-01T00:00:00Z"/>
        <d v="2023-03-01T00:00:00Z"/>
      </sharedItems>
    </cacheField>
    <cacheField name="Responsável" numFmtId="4">
      <sharedItems>
        <e v="#N/A"/>
        <s v="Márcio César Jacinto&#10;Diretor do SESUP - Substituto"/>
        <s v="Anderson Bastos&#10;Diretor do SEINFRA"/>
        <s v="Alexandre de Lemos Dias&#10;Diretor do SESUS - Substituto"/>
        <s v="Lis Pavin Nemmen&#10;Assistente Chefe de Setor"/>
        <s v="Carlos Eduardo Mazzi&#10;Diretor do SEDES"/>
      </sharedItems>
    </cacheField>
    <cacheField name="Qtd Inicial" numFmtId="0">
      <sharedItems containsString="0" containsBlank="1" containsNumber="1" containsInteger="1">
        <m/>
        <n v="1.0"/>
        <n v="151.0"/>
        <n v="1800.0"/>
        <n v="4.0"/>
        <n v="2.0"/>
        <n v="292.0"/>
        <n v="200.0"/>
        <n v="700.0"/>
        <n v="85.0"/>
        <n v="25.0"/>
        <n v="3.0"/>
        <n v="2000.0"/>
        <n v="11.0"/>
        <n v="14.0"/>
        <n v="33.0"/>
      </sharedItems>
    </cacheField>
    <cacheField name="Valor Unitário Inicial" numFmtId="0">
      <sharedItems containsString="0" containsBlank="1" containsNumber="1">
        <m/>
        <n v="0.0"/>
        <n v="41901.183333333334"/>
        <n v="4494.4800000000005"/>
        <n v="338693.6"/>
        <n v="9350.0"/>
        <n v="891880.8"/>
        <n v="274.8"/>
        <n v="125208.18000000001"/>
        <n v="146.80837666666665"/>
        <n v="50000.0"/>
        <n v="17940.0"/>
        <n v="187200.0"/>
        <n v="14940.0"/>
        <n v="32390.399999999998"/>
        <n v="43954.44"/>
        <n v="945.0"/>
        <n v="6000.0"/>
        <n v="433000.0"/>
        <n v="34324.0"/>
        <n v="1881.0"/>
        <n v="64215.96"/>
        <n v="898.7808219178082"/>
        <n v="8886.37"/>
        <n v="42020.0"/>
        <n v="180000.0"/>
        <n v="76800.0"/>
        <n v="258600.0"/>
        <n v="11870.76"/>
        <n v="279.9996"/>
        <n v="314626.19999999995"/>
        <n v="192000.0"/>
        <n v="65100.0"/>
        <n v="7626.48"/>
        <n v="4339.0"/>
        <n v="1392.22"/>
        <n v="263192.44"/>
        <n v="10450.0"/>
        <n v="2992.44"/>
        <n v="42000.0"/>
        <n v="681.5"/>
        <n v="34741.542400000006"/>
        <n v="33333.333333333336"/>
        <n v="12000.0"/>
        <n v="22800.0"/>
        <n v="27.46"/>
        <n v="68091.65333333332"/>
        <n v="35909.09090909091"/>
        <n v="25154.285714285714"/>
        <n v="48752.125"/>
        <n v="10948.678787878789"/>
        <n v="11760.9"/>
        <n v="484.45"/>
        <n v="583.33"/>
        <n v="632.7"/>
        <n v="7785.68"/>
        <n v="266500.0"/>
        <n v="44431.85"/>
      </sharedItems>
    </cacheField>
    <cacheField name="Compartilhado" numFmtId="0">
      <sharedItems containsBlank="1">
        <m/>
        <s v="Não"/>
        <s v="Sim"/>
      </sharedItems>
    </cacheField>
    <cacheField name="Valor DOD" numFmtId="0">
      <sharedItems containsString="0" containsBlank="1" containsNumber="1">
        <m/>
        <n v="20000.0"/>
        <n v="433000.0"/>
        <n v="262444.0"/>
        <n v="331400.0"/>
        <n v="400000.0"/>
        <n v="258600.0"/>
        <n v="11895.6"/>
        <n v="56000.04"/>
        <n v="7000.0"/>
        <n v="3037300.0"/>
        <n v="2897.64"/>
        <n v="179640.0"/>
        <n v="439614.0"/>
        <n v="395000.0"/>
        <n v="352160.0"/>
        <n v="94869.0"/>
      </sharedItems>
    </cacheField>
    <cacheField name="Gestor do Contrato" numFmtId="4">
      <sharedItems containsBlank="1">
        <e v="#REF!"/>
        <s v="Pedro Paulo da Silva"/>
        <s v="Cláudio Zamparetti"/>
        <s v="Anderson Bastos"/>
        <s v="Gustavo Bestetti Ibarra"/>
        <m/>
        <s v="Laís Helena Vieira da Luz"/>
        <s v="Letícia Fernandes Furtado"/>
        <s v="Claudionor da Silva"/>
        <s v="Carlos Eduardo Mazzi"/>
        <s v="Roberto Masami Nakajo"/>
        <s v="Kátia Alberto Jeremias Monticelli"/>
        <s v="Dolores Cunha de Amorim Santos"/>
      </sharedItems>
    </cacheField>
    <cacheField name="5a Linha de Base" numFmtId="0">
      <sharedItems containsString="0" containsBlank="1">
        <m/>
      </sharedItems>
    </cacheField>
    <cacheField name="4a Linha de Base" numFmtId="0">
      <sharedItems containsString="0" containsBlank="1">
        <m/>
      </sharedItems>
    </cacheField>
    <cacheField name="3a Linha de Base" numFmtId="4">
      <sharedItems containsSemiMixedTypes="0" containsString="0" containsNumber="1">
        <n v="0.0"/>
        <n v="-48605.816666666666"/>
        <n v="-51898.666666666664"/>
        <n v="-0.5199999999995271"/>
        <n v="-361306.4"/>
        <n v="34841.80000000005"/>
        <n v="-7176.199999999997"/>
        <n v="-115744.92200000002"/>
        <n v="-12060.0"/>
        <n v="-26067.0"/>
        <n v="-13091.0"/>
        <n v="-1619.6000000000022"/>
        <n v="3662.4400000000023"/>
        <n v="-5380.0"/>
        <n v="49407.0"/>
        <n v="-5784.040000000001"/>
        <n v="-200000.0"/>
        <n v="-95993.63"/>
        <n v="1800.0"/>
        <n v="-10000.0"/>
        <n v="-1070.8799999999992"/>
        <n v="-1.0800000000017462"/>
        <n v="-5373.800000000047"/>
        <n v="92000.0"/>
        <n v="-3463.0"/>
        <n v="-2373.5200000000004"/>
        <n v="-18275.059999999998"/>
        <n v="-12350.0"/>
        <n v="-50.559999999999945"/>
        <n v="-65000.0"/>
        <n v="-36000.0"/>
        <n v="12350.0"/>
        <n v="-34000.0"/>
        <n v="39920.0"/>
        <n v="11798.153333333321"/>
        <n v="395000.0"/>
        <n v="352160.0"/>
        <n v="48752.125"/>
        <n v="361306.4"/>
        <n v="11760.9"/>
        <n v="484.45"/>
        <n v="620.92"/>
        <n v="583.33"/>
        <n v="1265.4"/>
        <n v="15571.36"/>
        <n v="533000.0"/>
        <n v="44431.85"/>
      </sharedItems>
    </cacheField>
    <cacheField name="2a Linha de Base - PCTIC 2022" numFmtId="4">
      <sharedItems containsString="0" containsBlank="1" containsNumber="1">
        <n v="0.0"/>
        <n v="90507.0"/>
        <n v="63120.0"/>
        <n v="4495.0"/>
        <n v="700000.0"/>
        <n v="9350.0"/>
        <n v="857039.0"/>
        <n v="48671.0"/>
        <n v="125208.18000000001"/>
        <n v="380000.0"/>
        <n v="50000.0"/>
        <n v="30000.0"/>
        <n v="213267.0"/>
        <n v="72851.0"/>
        <n v="34010.0"/>
        <n v="40292.0"/>
        <n v="7270.0"/>
        <n v="6000.0"/>
        <n v="433000.0"/>
        <n v="19241.0"/>
        <n v="1881.0"/>
        <n v="70000.0"/>
        <n v="200000.0"/>
        <n v="262444.0"/>
        <n v="104880.0"/>
        <n v="42020.0"/>
        <n v="360000.0"/>
        <n v="75000.0"/>
        <n v="10000.0"/>
        <n v="258600.0"/>
        <n v="12941.64"/>
        <n v="56001.0"/>
        <n v="320000.0"/>
        <n v="100000.0"/>
        <n v="68563.0"/>
        <n v="3037300.0"/>
        <n v="118338.70000000001"/>
        <n v="281467.5"/>
        <n v="22800.0"/>
        <n v="3043.0"/>
        <n v="42000.0"/>
        <n v="136300.0"/>
        <n v="868538.56"/>
        <n v="165000.0"/>
        <n v="48000.0"/>
        <n v="10450.0"/>
        <n v="34000.0"/>
        <n v="15000.0"/>
        <n v="56293.5"/>
        <m/>
      </sharedItems>
    </cacheField>
    <cacheField name="Empenho" numFmtId="0">
      <sharedItems containsBlank="1">
        <m/>
        <s v="2022NE000120"/>
        <s v="2022NE000099"/>
        <s v="2022NE000093"/>
        <s v="2022NE000121"/>
        <s v="2022NE000110"/>
        <s v="2022NE000128"/>
        <s v="2022NE000098"/>
        <s v="2022NE000122"/>
        <s v="2022NE000127"/>
        <s v="2022NE000097"/>
        <s v="2022NE000123"/>
        <s v="2022NE000191"/>
        <s v="2022NE000095"/>
        <s v="2022NE000104"/>
        <s v="2022NE000266"/>
        <s v="2022NE000096"/>
        <s v="2022NE000129"/>
        <s v="2022NE000229"/>
        <s v="2022NE000237"/>
        <s v="2022NE000105"/>
        <s v="2022NE000108"/>
        <s v="2022NE000124"/>
        <s v="2022NE000125"/>
        <s v="2022NE000190"/>
        <s v="2022NE000094"/>
        <s v="2022NE000126"/>
        <s v="2022NE000103"/>
        <s v="2022NE000107"/>
        <s v="2022NE000273"/>
        <s v="2022NE000117"/>
        <s v="2022NE000250"/>
        <s v="2022NE000100"/>
        <s v="2022NE000116"/>
        <s v="2022NE000267"/>
        <s v="2022NE000289"/>
      </sharedItems>
    </cacheField>
    <cacheField name="1a Linha de Base - POP 2022" numFmtId="4">
      <sharedItems containsString="0" containsBlank="1" containsNumber="1" containsInteger="1">
        <n v="0.0"/>
        <n v="43200.0"/>
        <n v="90507.0"/>
        <n v="4495.0"/>
        <n v="513000.0"/>
        <n v="12835.0"/>
        <n v="857039.0"/>
        <n v="48671.0"/>
        <n v="211610.0"/>
        <n v="400000.0"/>
        <n v="50000.0"/>
        <n v="30000.0"/>
        <n v="213267.0"/>
        <n v="72851.0"/>
        <n v="70000.0"/>
        <n v="34010.0"/>
        <n v="40292.0"/>
        <n v="7270.0"/>
        <n v="13617.0"/>
        <n v="19241.0"/>
        <n v="66000.0"/>
        <n v="200000.0"/>
        <n v="104880.0"/>
        <n v="42020.0"/>
        <n v="68250.0"/>
        <n v="258600.0"/>
        <n v="11871.0"/>
        <n v="56000.0"/>
        <n v="300000.0"/>
        <n v="126213.0"/>
        <n v="131683.0"/>
        <n v="8008.0"/>
        <n v="4472267.0"/>
        <n v="568600.0"/>
        <n v="337760.0"/>
        <n v="100000.0"/>
        <n v="75000.0"/>
        <n v="3043.0"/>
        <n v="84000.0"/>
        <m/>
      </sharedItems>
    </cacheField>
    <cacheField name="Valor Projetado Preliminar" numFmtId="0">
      <sharedItems containsString="0" containsBlank="1" containsNumber="1">
        <m/>
        <n v="0.0"/>
        <n v="41901.183333333334"/>
        <n v="11221.333333333334"/>
        <n v="4494.4800000000005"/>
        <n v="338693.6"/>
        <n v="9350.0"/>
        <n v="891880.8"/>
        <n v="41494.8"/>
        <n v="125208.18000000001"/>
        <n v="264255.078"/>
        <n v="50000.0"/>
        <n v="17940.0"/>
        <n v="187200.0"/>
        <n v="59760.0"/>
        <n v="32390.399999999998"/>
        <n v="43954.44"/>
        <n v="1890.0"/>
        <n v="6000.0"/>
        <n v="433000.0"/>
        <n v="68648.0"/>
        <n v="1881.0"/>
        <n v="64215.96"/>
        <n v="200000.0"/>
        <n v="262444.0"/>
        <n v="8886.37"/>
        <n v="42020.0"/>
        <n v="360000.0"/>
        <n v="76800.0"/>
        <n v="10000.0"/>
        <n v="400000.0"/>
        <n v="258600.0"/>
        <n v="11870.76"/>
        <n v="55999.92"/>
        <n v="314626.19999999995"/>
        <n v="192000.0"/>
        <n v="65100.0"/>
        <n v="7626.48"/>
        <n v="3037300.0"/>
        <n v="118338.70000000001"/>
        <n v="263192.44"/>
        <n v="10450.0"/>
        <n v="2992.44"/>
        <n v="42000.0"/>
        <n v="136300.0"/>
        <n v="868538.56"/>
        <n v="100000.0"/>
        <n v="12000.0"/>
        <n v="22800.0"/>
        <n v="39920.0"/>
        <n v="54920.0"/>
        <n v="68091.65333333332"/>
        <n v="18000.0"/>
        <n v="395000.0"/>
        <n v="352160.0"/>
        <n v="48752.125"/>
        <n v="361306.4"/>
        <n v="11760.9"/>
        <n v="484.45"/>
        <n v="620.92"/>
        <n v="583.33"/>
        <n v="1265.4"/>
        <n v="15571.36"/>
        <n v="533000.0"/>
        <n v="44431.85"/>
      </sharedItems>
    </cacheField>
    <cacheField name="Última Parcela 2021">
      <sharedItems containsBlank="1" containsMixedTypes="1" containsNumber="1">
        <m/>
        <s v="2021NE000129"/>
        <s v="2021NE000124"/>
        <s v="2021NE000159"/>
        <s v="2021NE000243"/>
        <s v="2021NE000147"/>
        <s v="2021NE000127"/>
        <s v="2021NE000332"/>
        <s v="2021NE000154"/>
        <s v="2021NE000445"/>
        <s v="2021NE000403"/>
        <s v="2021NE000328"/>
        <n v="7905.75"/>
      </sharedItems>
    </cacheField>
    <cacheField name="Valor Projetado" numFmtId="4">
      <sharedItems containsSemiMixedTypes="0" containsString="0" containsNumber="1">
        <n v="0.0"/>
        <n v="41901.183333333334"/>
        <n v="11221.333333333334"/>
        <n v="4494.4800000000005"/>
        <n v="338693.6"/>
        <n v="9350.0"/>
        <n v="891880.8"/>
        <n v="41494.8"/>
        <n v="125208.18000000001"/>
        <n v="264255.078"/>
        <n v="50000.0"/>
        <n v="17940.0"/>
        <n v="187200.0"/>
        <n v="59760.0"/>
        <n v="32390.399999999998"/>
        <n v="43954.44"/>
        <n v="1890.0"/>
        <n v="6000.0"/>
        <n v="433000.0"/>
        <n v="68648.0"/>
        <n v="1881.0"/>
        <n v="64215.96"/>
        <n v="262444.0"/>
        <n v="8886.37"/>
        <n v="42020.0"/>
        <n v="360000.0"/>
        <n v="76800.0"/>
        <n v="258600.0"/>
        <n v="11870.76"/>
        <n v="55999.92"/>
        <n v="314626.19999999995"/>
        <n v="192000.0"/>
        <n v="65100.0"/>
        <n v="7626.48"/>
        <n v="3037300.0"/>
        <n v="118338.70000000001"/>
        <n v="263192.44"/>
        <n v="10450.0"/>
        <n v="2992.44"/>
        <n v="42000.0"/>
        <n v="136300.0"/>
        <n v="868538.56"/>
        <n v="100000.0"/>
        <n v="12000.0"/>
        <n v="22800.0"/>
        <n v="54920.0"/>
        <n v="68091.65333333332"/>
        <n v="395000.0"/>
        <n v="352160.0"/>
        <n v="48752.125"/>
        <n v="361306.4"/>
        <n v="11760.9"/>
        <n v="484.45"/>
        <n v="620.92"/>
        <n v="583.33"/>
        <n v="1265.4"/>
        <n v="15571.36"/>
        <n v="533000.0"/>
        <n v="44431.85"/>
      </sharedItems>
    </cacheField>
    <cacheField name="Última Parcela" numFmtId="0">
      <sharedItems containsString="0" containsBlank="1" containsNumber="1">
        <m/>
        <n v="3204.27"/>
        <n v="7183.06"/>
        <n v="10520.0"/>
        <n v="374.54"/>
        <n v="46824.0"/>
        <n v="935.0"/>
        <n v="66809.71"/>
        <n v="3457.9"/>
        <n v="13912.02"/>
        <n v="23180.27"/>
        <n v="1495.0"/>
        <n v="15600.0"/>
        <n v="2699.2"/>
        <n v="3662.87"/>
        <n v="1000.0"/>
        <n v="5351.33"/>
        <n v="8886.37"/>
        <n v="3069.07"/>
        <n v="989.23"/>
        <n v="4666.66"/>
        <n v="26218.85"/>
        <n v="16000.0"/>
        <n v="0.0"/>
        <n v="635.54"/>
        <n v="28199.19"/>
        <n v="1900.0"/>
        <n v="249.37"/>
        <n v="3500.0"/>
      </sharedItems>
    </cacheField>
    <cacheField name="Parcelas para pedido de empenho" numFmtId="0">
      <sharedItems containsString="0" containsBlank="1" containsNumber="1">
        <m/>
        <n v="0.0"/>
        <n v="5.833333333333333"/>
        <n v="1.0666666666666667"/>
        <n v="12.0"/>
        <n v="7.2333333333333325"/>
        <n v="10.0"/>
        <n v="9.0"/>
        <n v="11.399999999999999"/>
        <n v="6.0"/>
        <n v="11.999999999999998"/>
        <n v="9.333333333333334"/>
      </sharedItems>
    </cacheField>
    <cacheField name="Projetado por qtd parcelas" numFmtId="4">
      <sharedItems containsSemiMixedTypes="0" containsString="0" containsNumber="1">
        <n v="0.0"/>
        <n v="41901.183333333334"/>
        <n v="11221.333333333334"/>
        <n v="4494.4800000000005"/>
        <n v="338693.6"/>
        <n v="9350.0"/>
        <n v="801716.52"/>
        <n v="41494.8"/>
        <n v="125208.18000000001"/>
        <n v="264255.078"/>
        <n v="17940.0"/>
        <n v="187200.0"/>
        <n v="32390.399999999998"/>
        <n v="43954.44"/>
        <n v="6000.0"/>
        <n v="64215.96"/>
        <n v="53318.22"/>
        <n v="11870.76"/>
        <n v="55999.92"/>
        <n v="314626.19999999995"/>
        <n v="192000.0"/>
        <n v="7626.48"/>
        <n v="263192.44"/>
        <n v="2992.44"/>
        <n v="42000.0"/>
        <n v="22800.0"/>
      </sharedItems>
    </cacheField>
    <cacheField name="Valor para pedido" numFmtId="4">
      <sharedItems containsString="0" containsBlank="1" containsNumber="1" containsInteger="1">
        <n v="0.0"/>
        <m/>
      </sharedItems>
    </cacheField>
    <cacheField name="Empenhado" numFmtId="4">
      <sharedItems containsSemiMixedTypes="0" containsString="0" containsNumber="1">
        <n v="0.0"/>
        <n v="41901.18"/>
        <n v="11221.33"/>
        <n v="4494.48"/>
        <n v="338693.6"/>
        <n v="9350.0"/>
        <n v="801716.52"/>
        <n v="41494.8"/>
        <n v="125208.18"/>
        <n v="264255.08"/>
        <n v="17940.0"/>
        <n v="187200.0"/>
        <n v="59760.0"/>
        <n v="32390.4"/>
        <n v="43954.44"/>
        <n v="1890.0"/>
        <n v="6000.0"/>
        <n v="64215.96"/>
        <n v="8886.37"/>
        <n v="6375.0"/>
        <n v="11870.76"/>
        <n v="55999.92"/>
        <n v="314626.2"/>
        <n v="192000.0"/>
        <n v="65100.0"/>
        <n v="7626.48"/>
        <n v="263192.44"/>
        <n v="2992.44"/>
        <n v="42000.0"/>
        <n v="22800.0"/>
        <n v="11760.9"/>
        <n v="484.45"/>
        <n v="620.92"/>
        <n v="583.33"/>
        <n v="1265.4"/>
        <n v="44431.85"/>
      </sharedItems>
    </cacheField>
    <cacheField name="Liquidado" numFmtId="4">
      <sharedItems containsSemiMixedTypes="0" containsString="0" containsNumber="1">
        <n v="0.0"/>
        <n v="21549.18"/>
        <n v="10520.0"/>
        <n v="1185.8399999999997"/>
        <n v="139068.95999999996"/>
        <n v="2805.0"/>
        <n v="148646.80000000005"/>
        <n v="10373.700000000004"/>
        <n v="41736.06"/>
        <n v="69540.81000000003"/>
        <n v="4485.0"/>
        <n v="46800.0"/>
        <n v="59760.0"/>
        <n v="8043.620000000003"/>
        <n v="11231.370000000003"/>
        <n v="3000.0"/>
        <n v="17608.019999999997"/>
        <n v="8886.37"/>
        <n v="4055.0"/>
        <n v="989.2299999999996"/>
        <n v="10335.659999999996"/>
        <n v="52437.70000000001"/>
        <n v="3589.8799999999974"/>
        <n v="1906.62"/>
        <n v="84597.57"/>
        <n v="748.1100000000001"/>
        <n v="10500.0"/>
        <n v="5700.0"/>
        <n v="11760.9"/>
        <n v="484.45"/>
        <n v="620.92"/>
        <n v="583.33"/>
      </sharedItems>
    </cacheField>
    <cacheField name="Saldo Empenhado" numFmtId="4">
      <sharedItems containsSemiMixedTypes="0" containsString="0" containsNumber="1">
        <n v="0.0"/>
        <n v="20352.0"/>
        <n v="701.33"/>
        <n v="3308.64"/>
        <n v="199624.64"/>
        <n v="6545.0"/>
        <n v="653069.72"/>
        <n v="31121.1"/>
        <n v="83472.12"/>
        <n v="194714.27"/>
        <n v="13455.0"/>
        <n v="140400.0"/>
        <n v="24346.78"/>
        <n v="32723.07"/>
        <n v="1890.0"/>
        <n v="3000.0"/>
        <n v="46607.94"/>
        <n v="2320.0"/>
        <n v="10881.53"/>
        <n v="45664.26"/>
        <n v="262188.5"/>
        <n v="192000.0"/>
        <n v="61510.12"/>
        <n v="5719.86"/>
        <n v="178594.87"/>
        <n v="2244.33"/>
        <n v="31500.0"/>
        <n v="17100.0"/>
        <n v="1265.4"/>
        <n v="44431.85"/>
      </sharedItems>
    </cacheField>
    <cacheField name="teste_1" numFmtId="4">
      <sharedItems>
        <s v=""/>
        <s v="PRE-5424/2017"/>
        <s v="RP-3891/2017"/>
        <s v="CD-12216/2016"/>
        <s v="CD-1674/2021"/>
        <s v="CD-5907/2017"/>
        <s v="PRE-280/2020"/>
        <s v="PRE-3995/2019"/>
        <s v="PRE-8560/2018"/>
        <s v="PRE-5910/2017"/>
        <s v="RP-11741/2017"/>
        <s v="PRE-7373/2017"/>
        <s v="PRE-9447/2017"/>
        <s v="RP-447/2022"/>
        <s v="PRE-7005/2020"/>
        <s v="CD-14060/2018"/>
        <s v="CD-2832/2022"/>
        <s v="PRE-8016/2019"/>
        <s v="PRE-10394/2021"/>
        <s v="CD-7825/2020"/>
        <s v="CD-5228/2020"/>
        <s v="PRE-4057/2020"/>
        <s v="RP-12010/2020"/>
        <s v="RP-1038/2021"/>
        <s v="CD-9758/2021"/>
        <s v="RP-9019/2021"/>
        <s v="CD-148/2022"/>
        <s v="CD-2689/2021"/>
        <s v="PRE-6133/2017"/>
        <s v="PRE-2049/2022"/>
        <s v="CD-5707/2021"/>
        <s v="PRE-6789/2021"/>
        <s v="PRE-9240/2021"/>
        <s v="PRE-9016/2021"/>
      </sharedItems>
    </cacheField>
    <cacheField name="ID SIGEO" numFmtId="0">
      <sharedItems containsString="0" containsBlank="1" containsNumber="1" containsInteger="1">
        <m/>
        <n v="1.51132022236925E14"/>
        <n v="1.51132022236939E14"/>
        <n v="1.5113202223692E14"/>
        <n v="1.51132022236927E14"/>
        <n v="1.51132022236928E14"/>
        <n v="1.51132022236916E14"/>
        <n v="1.51132022236931E14"/>
        <n v="1.51132022236926E14"/>
        <n v="1.51132022236944E14"/>
        <n v="1.51132022236946E14"/>
        <n v="1.51132022236923E14"/>
        <n v="1.51132022236937E14"/>
        <n v="1.51132022236935E14"/>
        <n v="1.51132022236915E14"/>
        <n v="1.51132022236922E14"/>
        <n v="1.51132022236929E14"/>
        <n v="1.5113202223695E14"/>
        <n v="1.5113202223693E14"/>
        <n v="1.51132022236932E14"/>
        <n v="1.51132022236919E14"/>
        <n v="1.51132022236914E14"/>
        <n v="1.51132022236912E14"/>
        <n v="1.51132022236951E14"/>
        <n v="1.51132022236911E14"/>
        <n v="1.51132022236942E14"/>
        <n v="1.51132022236917E14"/>
        <n v="1.51132022236945E14"/>
        <n v="1.51132022236918E14"/>
        <n v="1.51132022236936E14"/>
        <n v="1.51132022236934E14"/>
        <n v="1.51132022236924E14"/>
        <n v="1.5113202223694E14"/>
        <n v="1.51132022236947E14"/>
        <n v="1.51132022236948E14"/>
        <n v="1.51132022236921E14"/>
        <n v="1.51132022236943E14"/>
        <n v="1.51132022236913E14"/>
        <n v="1.51132022236933E14"/>
        <n v="1.51132022236941E14"/>
        <n v="1.51132022236938E14"/>
      </sharedItems>
    </cacheField>
    <cacheField name="Planilha Contratações CSJT" numFmtId="4">
      <sharedItems containsBlank="1">
        <s v="Sim"/>
        <s v="Não"/>
        <m/>
      </sharedItems>
    </cacheField>
    <cacheField name="Prorroga" numFmtId="0">
      <sharedItems containsBlank="1">
        <m/>
        <s v="Sim"/>
        <s v="Não"/>
      </sharedItems>
    </cacheField>
    <cacheField name="Emergencial Complemento" numFmtId="0">
      <sharedItems containsBlank="1">
        <m/>
        <s v="Complemento"/>
      </sharedItems>
    </cacheField>
    <cacheField name="teste_3" numFmtId="0">
      <sharedItems containsString="0" containsBlank="1">
        <m/>
      </sharedItems>
    </cacheField>
    <cacheField name="PAAC Pontuação" numFmtId="3">
      <sharedItems containsSemiMixedTypes="0" containsString="0" containsNumber="1" containsInteger="1">
        <n v="400000.0"/>
        <n v="300000.0"/>
        <n v="200000.0"/>
        <n v="100000.0"/>
      </sharedItems>
    </cacheField>
    <cacheField name="PAAC Prioridade" numFmtId="4">
      <sharedItems>
        <s v=""/>
        <s v="Alta"/>
        <s v="Média"/>
        <s v="Baixa"/>
      </sharedItems>
    </cacheField>
    <cacheField name="teste_4" numFmtId="0">
      <sharedItems containsString="0" containsBlank="1">
        <m/>
      </sharedItems>
    </cacheField>
    <cacheField name="Unidade" numFmtId="4">
      <sharedItems>
        <s v="unidade"/>
        <s v="ano"/>
      </sharedItems>
    </cacheField>
    <cacheField name="Modalidade Final" numFmtId="164">
      <sharedItems containsBlank="1">
        <e v="#N/A"/>
        <s v="P. Eletrônico"/>
        <s v="ARP Participante"/>
        <m/>
        <s v="Inexigibilidade"/>
        <s v="Dispensa"/>
        <s v="PRE"/>
      </sharedItems>
    </cacheField>
    <cacheField name="PAAC Modalidade" numFmtId="3">
      <sharedItems>
        <b v="0"/>
        <s v="CANCELADO"/>
        <s v="ORÇAMENTO"/>
        <s v="PROR"/>
        <s v="DISPENSA_PELO_VALOR"/>
        <s v="ARP_PARTICIPACAO"/>
        <s v="PRE"/>
        <s v="INEXIGIBILIDADE"/>
        <s v="ARP_ADESAO"/>
        <s v="DISPENSA_DEMAIS_CASOS"/>
        <s v="PRÓXIMO PAAC"/>
      </sharedItems>
    </cacheField>
    <cacheField name="PAAC Data do DOD">
      <sharedItems containsDate="1" containsBlank="1" containsMixedTypes="1">
        <s v="Informar"/>
        <m/>
        <d v="2021-02-01T00:00:00Z"/>
        <d v="2021-11-29T00:00:00Z"/>
        <d v="2021-12-10T00:00:00Z"/>
        <d v="2020-10-19T00:00:00Z"/>
        <d v="2022-03-23T00:00:00Z"/>
        <d v="2021-09-25T00:00:00Z"/>
        <d v="2022-01-17T00:00:00Z"/>
        <d v="2020-06-09T00:00:00Z"/>
        <d v="2020-12-02T00:00:00Z"/>
        <d v="2022-01-30T00:00:00Z"/>
        <d v="2022-02-13T00:00:00Z"/>
        <d v="2021-10-16T00:00:00Z"/>
        <d v="2020-05-13T00:00:00Z"/>
        <d v="2022-02-27T00:00:00Z"/>
        <d v="2021-11-01T00:00:00Z"/>
      </sharedItems>
    </cacheField>
    <cacheField name="PAAC Data do PB">
      <sharedItems containsDate="1" containsBlank="1" containsMixedTypes="1">
        <s v="Informar"/>
        <m/>
        <d v="2021-02-28T00:00:00Z"/>
        <d v="2021-12-29T00:00:00Z"/>
        <d v="2022-12-10T00:00:00Z"/>
        <d v="2022-01-19T00:00:00Z"/>
        <d v="2022-03-23T00:00:00Z"/>
        <d v="2021-10-25T00:00:00Z"/>
        <d v="2022-02-17T00:00:00Z"/>
        <d v="2021-01-11T00:00:00Z"/>
        <d v="2022-01-30T00:00:00Z"/>
        <d v="2022-03-13T00:00:00Z"/>
        <d v="2021-12-16T00:00:00Z"/>
        <d v="2021-02-10T00:00:00Z"/>
        <d v="2022-03-27T00:00:00Z"/>
        <d v="2021-11-15T00:00:00Z"/>
      </sharedItems>
    </cacheField>
    <cacheField name="PAAC Valor do ETP">
      <sharedItems containsBlank="1" containsMixedTypes="1" containsNumber="1">
        <s v="Informar"/>
        <m/>
        <n v="59760.0"/>
        <n v="1890.0"/>
        <n v="55999.92"/>
        <n v="65100.0"/>
        <n v="1265.4"/>
      </sharedItems>
    </cacheField>
    <cacheField name="PAAC Valor Final">
      <sharedItems containsBlank="1" containsMixedTypes="1" containsNumber="1">
        <s v="Informar"/>
        <m/>
        <n v="801716.52"/>
        <n v="41494.8"/>
        <n v="59760.0"/>
        <n v="1890.0"/>
        <n v="8886.37"/>
        <n v="55999.92"/>
        <n v="65100.0"/>
        <n v="7626.48"/>
        <n v="335760.0"/>
        <n v="1265.4"/>
        <n v="44431.85"/>
      </sharedItems>
    </cacheField>
    <cacheField name="PAAC Valor Final TCU&#10;">
      <sharedItems containsBlank="1" containsMixedTypes="1" containsNumber="1">
        <s v="Informar"/>
        <m/>
        <n v="801716.52"/>
        <n v="41494.8"/>
        <n v="59760.0"/>
        <n v="1890.0"/>
        <n v="8886.37"/>
        <n v="4639000.0"/>
        <n v="55999.92"/>
        <n v="119663.0"/>
        <n v="7626.48"/>
        <n v="335760.0"/>
        <n v="1265.4"/>
        <n v="44431.85"/>
      </sharedItems>
    </cacheField>
    <cacheField name="PAAC Valor Inicial" numFmtId="4">
      <sharedItems containsSemiMixedTypes="0" containsString="0" containsNumber="1">
        <n v="0.0"/>
        <n v="41901.183333333334"/>
        <n v="11221.333333333334"/>
        <n v="4494.4800000000005"/>
        <n v="338693.6"/>
        <n v="9350.0"/>
        <n v="891880.8"/>
        <n v="41494.8"/>
        <n v="125208.18000000001"/>
        <n v="264255.078"/>
        <n v="50000.0"/>
        <n v="17940.0"/>
        <n v="187200.0"/>
        <n v="59760.0"/>
        <n v="32390.399999999998"/>
        <n v="43954.44"/>
        <n v="1890.0"/>
        <n v="6000.0"/>
        <n v="433000.0"/>
        <n v="68648.0"/>
        <n v="1881.0"/>
        <n v="64215.96"/>
        <n v="262444.0"/>
        <n v="8886.37"/>
        <n v="42020.0"/>
        <n v="360000.0"/>
        <n v="76800.0"/>
        <n v="258600.0"/>
        <n v="11870.76"/>
        <n v="55999.92"/>
        <n v="314626.19999999995"/>
        <n v="192000.0"/>
        <n v="65100.0"/>
        <n v="7626.48"/>
        <n v="3037300.0"/>
        <n v="118338.70000000001"/>
        <n v="263192.44"/>
        <n v="10450.0"/>
        <n v="2992.44"/>
        <n v="42000.0"/>
        <n v="136300.0"/>
        <n v="868538.56"/>
        <n v="100000.0"/>
        <n v="12000.0"/>
        <n v="22800.0"/>
        <n v="54920.0"/>
        <n v="68091.65333333332"/>
        <n v="395000.0"/>
        <n v="352160.0"/>
        <n v="48752.125"/>
        <n v="361306.4"/>
        <n v="11760.9"/>
        <n v="484.45"/>
        <n v="620.92"/>
        <n v="583.33"/>
        <n v="1265.4"/>
        <n v="15571.36"/>
        <n v="533000.0"/>
        <n v="44431.85"/>
      </sharedItems>
    </cacheField>
    <cacheField name="PAAC Valor Inicial TCU" numFmtId="0">
      <sharedItems containsString="0" containsBlank="1" containsNumber="1">
        <m/>
        <n v="891880.8"/>
        <n v="41494.8"/>
        <n v="17940.0"/>
        <n v="59760.0"/>
        <n v="32390.399999999998"/>
        <n v="1890.0"/>
        <n v="433000.0"/>
        <n v="68648.0"/>
        <n v="1881.0"/>
        <n v="64215.96"/>
        <n v="262444.0"/>
        <n v="106636.44"/>
        <n v="42020.0"/>
        <n v="360000.0"/>
        <n v="76800.0"/>
        <n v="4639000.0"/>
        <n v="258600.0"/>
        <n v="11870.76"/>
        <n v="55999.92"/>
        <n v="314626.19999999995"/>
        <n v="119663.0"/>
        <n v="7626.48"/>
        <n v="3037300.0"/>
        <n v="118338.70000000001"/>
        <n v="335760.0"/>
        <n v="200000.0"/>
        <n v="10450.0"/>
        <n v="2992.44"/>
        <n v="42000.0"/>
        <n v="136300.0"/>
        <n v="868538.56"/>
        <n v="100000.0"/>
        <n v="48000.0"/>
        <n v="39920.0"/>
        <n v="15000.0"/>
        <n v="306412.44"/>
        <n v="395000.0"/>
        <n v="352160.0"/>
        <n v="94869.0"/>
        <n v="867135.36"/>
        <n v="400000.0"/>
        <n v="1265.4"/>
      </sharedItems>
    </cacheField>
    <cacheField name="Descrição do Grupo de Despesa" numFmtId="4">
      <sharedItems>
        <e v="#N/A"/>
        <s v="Manutenção e conservação de equipamentos de TIC"/>
        <s v="Manutenção corretiva/adaptativa e sustentação softwares"/>
        <s v="Suporte de infraestrutura de TIC"/>
        <s v="Comunicação de dados e redes em geral"/>
        <s v="Suporte a usuários de TIC"/>
        <s v="Telefonia fixa e móvel - pacote de comunicação de dados"/>
        <s v="Computação em nuvem - software como serviço (SAAS)"/>
        <s v="Material de TIC (consumo)"/>
        <s v="Locação de softwares"/>
        <s v="Emissão de Certificados Digitais"/>
        <s v="Equipamentos de TIC - telefonia"/>
        <s v="Consultoria em tecnologia da informação e comunicação"/>
        <s v="Desenvolvimento de software"/>
        <s v="Equipamentos de TIC - computadores"/>
        <s v="Equipamentos de TIC - impressoras"/>
        <s v="Material de TIC (permanente)"/>
        <s v="Aquisição de software pronto"/>
      </sharedItems>
    </cacheField>
    <cacheField name="Item do Planejamento PO (CSJT ATO 71)" numFmtId="0">
      <sharedItems containsBlank="1">
        <m/>
        <s v="INFRA - Solução Integrada de Gerenciamento de Serviços (Suporte)"/>
        <s v="INFRA - Serviços de Telecomunicação de Dados e Voz - Rede-JT"/>
        <s v="INFRA-PJe - Servidor de Banco de Dados Postgres (Suporte)"/>
        <s v="INFRA - Plataforma de Banco de Dados Oracle (Suporte)"/>
        <s v="SEGURANÇA - Solução de Antivírus (Suporte)"/>
        <s v="INFRA - Serviços de Manutenção e Suporte das Soluções de Segurança Física dos Datacenters da Justiça do Trabalho (Salas-Cofre)"/>
        <s v="INFRA-PJe - Sistema Operacional (Suporte)"/>
      </sharedItems>
    </cacheField>
    <cacheField name="Denominação PO do CSJT de 2018" numFmtId="0">
      <sharedItems containsBlank="1">
        <m/>
        <s v="11 - ASSYST - SOLUÇÃO DE GERENCIAMENTO DE SERVIÇOS"/>
        <s v="01 - REDE JT"/>
        <s v="06 - POSTGRESQL - Suporte ao Banco de Dados para Pje"/>
        <s v="04 - SALA-COFRE Suporte e Manutenção"/>
        <s v="08 - LINUX - Suporte para o Sistema Operacional para o Pje"/>
      </sharedItems>
    </cacheField>
    <cacheField name="teste_5" numFmtId="0">
      <sharedItems containsString="0" containsBlank="1">
        <m/>
      </sharedItems>
    </cacheField>
    <cacheField name="Denominação CSJT (Ato 71)" numFmtId="0">
      <sharedItems containsBlank="1">
        <m/>
        <s v="Solução Integrada de Gerenciamento de Serviços (Suporte)"/>
        <s v="Serviços de Telecomunicação de Dados e Voz - Rede-JT"/>
        <s v="Servidor de Banco de Dados Postgres (Suporte)"/>
        <s v="Plataforma de Banco de Dados Oracle (Suporte)"/>
        <s v="Solução de Antivírus (Suporte)"/>
        <s v="Serviços de Manutenção e Suporte das Soluções de Segurança Física dos Datacenters da Justiça do Trabalho (Salas-Cofre)"/>
        <s v="Sistema Operacional (Suporte)"/>
      </sharedItems>
    </cacheField>
    <cacheField name="Despacho no PROAD" numFmtId="0">
      <sharedItems containsDate="1" containsString="0" containsBlank="1">
        <m/>
        <d v="2020-11-05T14:18:01Z"/>
      </sharedItems>
    </cacheField>
    <cacheField name="Solicitação NE no PROAD" numFmtId="0">
      <sharedItems containsString="0" containsBlank="1">
        <m/>
      </sharedItems>
    </cacheField>
    <cacheField name="DS_CONTA" numFmtId="49">
      <sharedItems>
        <e v="#N/A"/>
        <s v="Apreciação de Causas na Justiça do Trabalho"/>
        <s v="Manutenção e Gestão dos Serviços de Tecnologia da Informação"/>
      </sharedItems>
    </cacheField>
    <cacheField name="Denominação para Solicitação de NE" numFmtId="49">
      <sharedItems>
        <s v=" - "/>
        <s v="INFRA - Solução Integrada de Gerenciamento de Serviços (Suporte) - Solução Integrada de Gerenciamento de Serviços (Suporte)"/>
        <s v="INFRA - Serviços de Telecomunicação de Dados e Voz - Rede-JT - Serviços de Telecomunicação de Dados e Voz - Rede-JT"/>
        <s v="INFRA-PJe - Servidor de Banco de Dados Postgres (Suporte) - Servidor de Banco de Dados Postgres (Suporte)"/>
        <s v="INFRA - Plataforma de Banco de Dados Oracle (Suporte) - Plataforma de Banco de Dados Oracle (Suporte)"/>
        <s v="SEGURANÇA - Solução de Antivírus (Suporte) - Solução de Antivírus (Suporte)"/>
        <s v="INFRA - Serviços de Manutenção e Suporte das Soluções de Segurança Física dos Datacenters da Justiça do Trabalho (Salas-Cofre) - Serviços de Manutenção e Suporte das Soluções de Segurança Física dos Datacenters da Justiça do Trabalho (Salas-Cofre)"/>
        <s v="INFRA-PJe - Sistema Operacional (Suporte) - Sistema Operacional (Suporte)"/>
      </sharedItems>
    </cacheField>
    <cacheField name="DS_NATUREZA" numFmtId="49">
      <sharedItems>
        <e v="#N/A"/>
        <s v="SERVIÇOS DE TECNOLOGIA DA INFORMAÇÃO E COMUNICAÇÃO - TIC"/>
        <s v="MATERIAL DE CONSUMO"/>
        <s v="EQUIPAMENTOS E MATERIAL PERMANENTE"/>
        <s v="SERVIÇOS DE CONSULTORIA"/>
        <s v="SERVIÇOS DE TECNOLOGIA DA INFORMAÇÃO E COMUNICAÇÃO – PJ"/>
      </sharedItems>
    </cacheField>
    <cacheField name="teste_6" numFmtId="0">
      <sharedItems containsString="0" containsBlank="1">
        <m/>
      </sharedItems>
    </cacheField>
    <cacheField name="DS_SUBITEM" numFmtId="49">
      <sharedItems>
        <e v="#N/A"/>
        <s v="MANUTENÇÃO E CONSERVAÇÃO DE EQUIPAMENTOS DE TIC"/>
        <s v="MANUTENÇÃO CORRETIVA/ADAPTATIVA E SUSTENTAÇÃO SOFTWARES"/>
        <s v="SUPORTE DE INFRAESTRUTURA DE TIC"/>
        <s v="COMUNICAÇÃO DE DADOS E REDES EM GERAL"/>
        <s v="SUPORTE A USUÁRIOS DE TIC"/>
        <s v="TELEFONIA FIXA E MÓVEL - PACOTE DE COMUNICAÇÃO DE DADOS"/>
        <s v="COMPUTAÇÃO EM NUVEM - SOFTWARE COMO SERVIÇO (SAAS)"/>
        <s v="MATERIAL DE TIC (CONSUMO)"/>
        <s v="LOCAÇÃO DE SOFTWARES"/>
        <s v="EMISSÃO DE CERTIFICADOS DIGITAIS"/>
        <s v="EQUIPAMENTOS DE TIC - TELEFONIA"/>
        <s v="CONSULTORIA EM TECNOLOGIA DA INFORMAÇÃO E COMUNICAÇÃO"/>
        <s v="DESENVOLVIMENTO DE SOFTWARE"/>
        <s v="EQUIPAMENTOS DE TIC – COMPUTADORES"/>
        <s v="EQUIPAMENTOS DE TIC - IMPRESSORAS"/>
        <s v="MATERIAL DE TIC (PERMANENTE)"/>
        <s v="AQUISIÇÃO DE SOFTWARE PRONTO"/>
      </sharedItems>
    </cacheField>
    <cacheField name="2020&#10;Data limite para envio à Administração" numFmtId="0">
      <sharedItems containsDate="1" containsString="0" containsBlank="1">
        <m/>
        <d v="2023-03-30T00:00:00Z"/>
        <d v="2023-05-12T00:00:00Z"/>
        <d v="2022-11-23T00:00:00Z"/>
        <d v="2023-07-12T00:00:00Z"/>
        <d v="2023-03-11T00:00:00Z"/>
        <d v="2022-11-09T00:00:00Z"/>
        <d v="2023-03-10T00:00:00Z"/>
        <d v="2023-06-11T00:00:00Z"/>
        <d v="2023-03-25T00:00:00Z"/>
        <d v="2023-02-09T00:00:00Z"/>
        <d v="2023-06-21T00:00:00Z"/>
      </sharedItems>
    </cacheField>
    <cacheField name="2020&#10;Data limite para disponibilização do objeto (próxima vigência/ entrega)" numFmtId="166">
      <sharedItems containsSemiMixedTypes="0" containsDate="1" containsString="0">
        <d v="1900-12-30T00:00:00Z"/>
        <d v="2023-07-20T00:00:00Z"/>
        <d v="2023-06-26T00:00:00Z"/>
        <d v="2023-02-03T00:00:00Z"/>
        <d v="2023-08-08T00:00:00Z"/>
        <d v="2023-10-25T00:00:00Z"/>
        <d v="2023-02-27T00:00:00Z"/>
        <d v="2023-02-08T00:00:00Z"/>
        <d v="2023-12-13T00:00:00Z"/>
        <d v="2023-09-01T00:00:00Z"/>
        <d v="2023-09-14T00:00:00Z"/>
        <d v="2024-02-01T00:00:00Z"/>
        <d v="2023-01-20T00:00:00Z"/>
        <d v="2023-10-14T00:00:00Z"/>
        <d v="2024-12-26T00:00:00Z"/>
        <d v="2023-04-02T00:00:00Z"/>
        <d v="2023-06-14T00:00:00Z"/>
        <d v="2023-03-15T00:00:00Z"/>
        <d v="2023-11-01T00:00:00Z"/>
        <d v="2023-10-01T00:00:00Z"/>
        <d v="2023-07-01T00:00:00Z"/>
        <d v="2023-02-17T00:00:00Z"/>
        <d v="2023-08-27T00:00:00Z"/>
        <d v="2023-03-01T00:00:00Z"/>
        <d v="2023-05-01T00:00:00Z"/>
        <d v="2023-06-30T00:00:00Z"/>
        <d v="2023-12-30T00:00:00Z"/>
        <d v="2023-03-31T00:00:00Z"/>
        <d v="2023-11-09T00:00:00Z"/>
        <d v="2026-10-04T00:00:00Z"/>
        <d v="2023-03-16T00:00:00Z"/>
        <d v="2023-10-11T00:00:00Z"/>
        <d v="2023-06-01T00:00:00Z"/>
        <d v="2023-07-15T00:00:00Z"/>
        <d v="2023-08-10T00:00:00Z"/>
        <d v="2023-11-04T00:00:00Z"/>
        <d v="2025-05-23T00:00:00Z"/>
        <d v="2023-02-01T00:00:00Z"/>
        <d v="2024-02-29T00:00:00Z"/>
      </sharedItems>
    </cacheField>
    <cacheField name="2020&#10;Modalidade para Prazo de Envio do PB" numFmtId="0">
      <sharedItems containsBlank="1">
        <m/>
        <s v="PRE"/>
        <s v="ORÇAMENTO"/>
        <s v="PROR"/>
        <s v="DISPENSA_PELO_VALOR"/>
        <s v="ARP_PARTICIPACAO"/>
        <s v="INEXIGIBILIDADE"/>
        <s v="ARP_ADESAO"/>
        <s v="DISPENSA_DEMAIS_CASOS"/>
      </sharedItems>
    </cacheField>
    <cacheField name="Valor para POP 2022" numFmtId="0">
      <sharedItems containsString="0" containsBlank="1" containsNumber="1">
        <m/>
        <n v="38451.24"/>
        <n v="85575.8"/>
        <n v="4494.4800000000005"/>
        <n v="448387.98"/>
        <n v="12223.0"/>
        <n v="816226.68"/>
        <n v="46343.28"/>
        <n v="155809.08000000002"/>
        <n v="400000.0"/>
        <n v="50000.0"/>
        <n v="17940.0"/>
        <n v="213267.0"/>
        <n v="23115.0"/>
        <n v="15000.0"/>
        <n v="32390.4"/>
        <n v="40291.57"/>
        <n v="7270.0"/>
        <n v="12968.0"/>
        <n v="66000.0"/>
        <n v="99885.0"/>
        <n v="42020.0"/>
        <n v="65000.0"/>
        <n v="927800.0"/>
        <n v="258600.0"/>
        <n v="11870.76"/>
        <n v="51383.37"/>
        <n v="300000.0"/>
        <n v="126240.0"/>
        <n v="7296.36"/>
        <n v="335760.0"/>
        <n v="2897.64"/>
        <n v="179640.0"/>
      </sharedItems>
    </cacheField>
    <cacheField name="Data Almejada para o Objeto em 2022" numFmtId="0">
      <sharedItems containsDate="1" containsString="0" containsBlank="1">
        <m/>
        <d v="2022-07-20T00:00:00Z"/>
        <d v="2022-06-26T00:00:00Z"/>
        <d v="2022-02-27T00:00:00Z"/>
        <d v="2022-04-08T00:00:00Z"/>
        <d v="2022-10-25T00:00:00Z"/>
        <d v="2023-02-27T00:00:00Z"/>
        <d v="2023-02-08T00:00:00Z"/>
        <d v="2022-10-02T00:00:00Z"/>
        <d v="2022-02-13T00:00:00Z"/>
        <d v="2022-09-01T00:00:00Z"/>
        <d v="2022-09-14T00:00:00Z"/>
        <d v="2022-05-31T00:00:00Z"/>
        <d v="2022-11-05T00:00:00Z"/>
        <d v="2022-10-14T00:00:00Z"/>
        <d v="2023-12-27T00:00:00Z"/>
        <d v="2022-06-13T00:00:00Z"/>
        <d v="2022-10-01T00:00:00Z"/>
        <d v="2022-02-17T00:00:00Z"/>
        <d v="2022-08-27T00:00:00Z"/>
        <d v="2022-12-14T00:00:00Z"/>
        <d v="2022-05-01T00:00:00Z"/>
        <d v="2021-06-30T00:00:00Z"/>
        <d v="2022-12-30T00:00:00Z"/>
        <d v="2022-03-31T00:00:00Z"/>
        <d v="2022-11-09T00:00:00Z"/>
        <d v="2022-04-10T00:00:00Z"/>
        <d v="2022-12-05T00:00:00Z"/>
        <d v="2022-03-16T00:00:00Z"/>
        <d v="2022-10-10T00:00:00Z"/>
        <d v="2022-08-08T00:00:00Z"/>
        <d v="2022-08-01T00:00:00Z"/>
      </sharedItems>
    </cacheField>
    <cacheField name="Modadlidade prevista para 2022" numFmtId="0">
      <sharedItems containsBlank="1">
        <m/>
        <s v="PROR"/>
        <s v="ARP_PARTICIPACAO"/>
        <s v="DISP_INEX"/>
        <s v="PRE"/>
        <s v="ORÇAMENTO"/>
      </sharedItems>
    </cacheField>
    <cacheField name="Iniciativa Nacional" numFmtId="0">
      <sharedItems containsBlank="1">
        <m/>
        <s v="x"/>
      </sharedItems>
    </cacheField>
    <cacheField name="Link do PROAD" numFmtId="4">
      <sharedItems>
        <s v=""/>
        <s v="PRE-5424/2017"/>
        <s v="RP-3891/2017"/>
        <s v="CD-12216/2016"/>
        <s v="CD-1674/2021"/>
        <s v="CD-5907/2017"/>
        <s v="PRE-280/2020"/>
        <s v="PRE-3995/2019"/>
        <s v="PRE-8560/2018"/>
        <s v="PRE-5910/2017"/>
        <s v="RP-11741/2017"/>
        <s v="PRE-7373/2017"/>
        <s v="PRE-9447/2017"/>
        <s v="RP-447/2022"/>
        <s v="PRE-7005/2020"/>
        <s v="CD-14060/2018"/>
        <s v="CD-2832/2022"/>
        <s v="PRE-8016/2019"/>
        <s v="PRE-10394/2021"/>
        <s v="CD-7825/2020"/>
        <s v="CD-5228/2020"/>
        <s v="PRE-4057/2020"/>
        <s v="RP-12010/2020"/>
        <s v="RP-1038/2021"/>
        <s v="CD-9758/2021"/>
        <s v="RP-9019/2021"/>
        <s v="CD-148/2022"/>
        <s v="CD-2689/2021"/>
        <s v="PRE-6133/2017"/>
        <s v="PRE-2049/2022"/>
        <s v="CD-5707/2021"/>
        <s v="PRE-6789/2021"/>
        <s v="PRE-9240/2021"/>
        <s v="PRE-9016/2021"/>
      </sharedItems>
    </cacheField>
    <cacheField name="teste_7" numFmtId="0">
      <sharedItems containsBlank="1">
        <m/>
        <s v="https://www.trt12.jus.br/proad/pages/fichadoprocesso.xhtml?numeroProtocolo=3891&amp;numeroAno=2017&amp;tab=tabFichaDocumento"/>
        <s v="https://www.trt12.jus.br/proad/pages/fichadoprocesso.xhtml?numeroProtocolo=5907&amp;numeroAno=2017&amp;tab=tabFichaDocumento"/>
        <s v="https://www.trt12.jus.br/proad/pages/fichadoprocesso.xhtml?numeroProtocolo=3995&amp;numeroAno=2019&amp;tab=tabFichaDocumento"/>
        <s v="https://www.trt12.jus.br/proad/pages/fichadoprocesso.xhtml?numeroProtocolo=5910&amp;numeroAno=2017&amp;tab=tabFichaDocumento"/>
        <s v="https://www.trt12.jus.br/proad/pages/fichadoprocesso.xhtml?numeroProtocolo=11741&amp;numeroAno=2017&amp;tab=tabFichaDocumento"/>
        <s v="https://www.trt12.jus.br/proad/pages/fichadoprocesso.xhtml?numeroProtocolo=9447&amp;numeroAno=2017&amp;tab=tabFichaDocumento"/>
        <s v="https://www.trt12.jus.br/proad/pages/fichadoprocesso.xhtml?numeroProtocolo=7825&amp;numeroAno=2020&amp;tab=tabFichaDocumento"/>
        <s v="https://www.trt12.jus.br/proad/pages/fichadoprocesso.xhtml?numeroProtocolo=5228&amp;numeroAno=2020&amp;tab=tabFichaDocumento"/>
        <s v="https://www.trt12.jus.br/proad/pages/fichadoprocesso.xhtml?numeroProtocolo=9758&amp;numeroAno=2021&amp;tab=tabFichaDocumento"/>
        <s v="https://www.trt12.jus.br/proad/pages/fichadoprocesso.xhtml?numeroProtocolo=9019&amp;numeroAno=2021&amp;tab=tabFichaDocumento"/>
        <s v="https://www.trt12.jus.br/proad/pages/fichadoprocesso.xhtml?numeroProtocolo=6133&amp;numeroAno=2017&amp;tab=tabFichaDocumento"/>
      </sharedItems>
    </cacheField>
    <cacheField name="teste_8" numFmtId="0">
      <sharedItems containsString="0" containsBlank="1">
        <m/>
      </sharedItems>
    </cacheField>
    <cacheField name="teste_9" numFmtId="0">
      <sharedItems containsString="0" containsBlank="1">
        <m/>
      </sharedItems>
    </cacheField>
    <cacheField name="Grupo de Despesa Lançado na POP 2021" numFmtId="0">
      <sharedItems containsBlank="1">
        <m/>
        <s v="GND3"/>
      </sharedItems>
    </cacheField>
    <cacheField name=" " numFmtId="0">
      <sharedItems containsString="0" containsBlank="1">
        <m/>
      </sharedItems>
    </cacheField>
    <cacheField name=" 2" numFmtId="0">
      <sharedItems containsString="0" containsBlank="1">
        <m/>
      </sharedItems>
    </cacheField>
    <cacheField name=" 3" numFmtId="0">
      <sharedItems containsString="0" containsBlank="1">
        <m/>
      </sharedItems>
    </cacheField>
    <cacheField name="Liquidado como RP" numFmtId="4">
      <sharedItems containsSemiMixedTypes="0" containsString="0" containsNumber="1">
        <n v="0.0"/>
        <n v="20352.0"/>
        <n v="701.33"/>
        <n v="3308.64"/>
        <n v="199624.64"/>
        <n v="6545.0"/>
        <n v="653069.72"/>
        <n v="31121.1"/>
        <n v="83472.12"/>
        <n v="194714.27"/>
        <n v="13455.0"/>
        <n v="140400.0"/>
        <n v="24346.78"/>
        <n v="32723.07"/>
        <n v="1890.0"/>
        <n v="3000.0"/>
        <n v="46607.94"/>
        <n v="2320.0"/>
        <n v="10881.53"/>
        <n v="45664.26"/>
        <n v="262188.5"/>
        <n v="192000.0"/>
        <n v="61510.12"/>
        <n v="5719.86"/>
        <n v="178594.87"/>
        <n v="2244.33"/>
        <n v="31500.0"/>
        <n v="17100.0"/>
        <n v="1265.4"/>
        <n v="44431.85"/>
      </sharedItems>
    </cacheField>
    <cacheField name="Saldo" numFmtId="4">
      <sharedItems containsSemiMixedTypes="0" containsString="0" containsNumber="1" containsInteger="1">
        <n v="0.0"/>
      </sharedItems>
    </cacheField>
    <cacheField name="Emissão da Nota de Empenho">
      <sharedItems containsDate="1" containsMixedTypes="1">
        <e v="#N/A"/>
        <d v="2022-01-27T00:00:00Z"/>
        <d v="2022-01-18T00:00:00Z"/>
        <d v="2022-01-17T00:00:00Z"/>
        <d v="2022-01-20T00:00:00Z"/>
        <d v="2022-02-04T00:00:00Z"/>
        <d v="2022-01-19T00:00:00Z"/>
        <d v="2022-03-04T00:00:00Z"/>
        <d v="2022-03-07T00:00:00Z"/>
        <d v="2022-02-02T00:00:00Z"/>
        <d v="2022-01-24T00:00:00Z"/>
      </sharedItems>
    </cacheField>
    <cacheField name="Bimestre da Nota de Empenho" numFmtId="0">
      <sharedItems containsString="0" containsBlank="1" containsNumber="1" containsInteger="1">
        <m/>
        <n v="1.0"/>
        <n v="2.0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Conciliação PROAD-SIGEO" cacheId="0" dataCaption="" compact="0" compactData="0">
  <location ref="A1:B36" firstHeaderRow="0" firstDataRow="1" firstDataCol="0"/>
  <pivotFields>
    <pivotField name="Id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t="default"/>
      </items>
    </pivotField>
    <pivotField name="Grupo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Descriçã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t="default"/>
      </items>
    </pivotField>
    <pivotField name="Justificativa " compact="0" numFmtId="3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Objetivo Estratégico " compact="0" numFmtId="3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Classificação CNJ" compact="0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Denominação Ampliada" compact="0" numFmtId="3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t="default"/>
      </items>
    </pivotField>
    <pivotField name="Natureza" compact="0" outline="0" multipleItemSelectionAllowed="1" showAll="0">
      <items>
        <item x="0"/>
        <item x="1"/>
        <item x="2"/>
        <item t="default"/>
      </items>
    </pivotField>
    <pivotField name="Demandant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name="UGO" compact="0" outline="0" multipleItemSelectionAllowed="1" showAll="0">
      <items>
        <item x="0"/>
        <item x="1"/>
        <item t="default"/>
      </items>
    </pivotField>
    <pivotField name="Despesa" compact="0" outline="0" multipleItemSelectionAllowed="1" showAll="0">
      <items>
        <item x="0"/>
        <item x="1"/>
        <item x="2"/>
        <item t="default"/>
      </items>
    </pivotField>
    <pivotField name="Código de Despesa" compact="0" numFmtId="165" outline="0" multipleItemSelectionAllowed="1" showAll="0">
      <items>
        <item x="0"/>
        <item t="default"/>
      </items>
    </pivotField>
    <pivotField name="Sub de Despesa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name="Reduzido do Empenho" compact="0" numFmtId="1" outline="0" multipleItemSelectionAllowed="1" showAll="0">
      <items>
        <item x="0"/>
        <item t="default"/>
      </items>
    </pivotField>
    <pivotField name="Reduzido Previsto" compact="0" outline="0" multipleItemSelectionAllowed="1" showAll="0">
      <items>
        <item x="0"/>
        <item x="1"/>
        <item x="2"/>
        <item t="default"/>
      </items>
    </pivotField>
    <pivotField name="CSJT" compact="0" numFmtId="3" outline="0" multipleItemSelectionAllowed="1" showAll="0">
      <items>
        <item x="0"/>
        <item x="1"/>
        <item t="default"/>
      </items>
    </pivotField>
    <pivotField name="Prioridade" compact="0" outline="0" multipleItemSelectionAllowed="1" showAll="0">
      <items>
        <item x="0"/>
        <item x="1"/>
        <item x="2"/>
        <item x="3"/>
        <item t="default"/>
      </items>
    </pivotField>
    <pivotField name="Deliberação" compact="0" outline="0" multipleItemSelectionAllowed="1" showAll="0">
      <items>
        <item x="0"/>
        <item x="1"/>
        <item x="2"/>
        <item x="3"/>
        <item t="default"/>
      </items>
    </pivotField>
    <pivotField name="Anotações SETIC" compact="0" outline="0" multipleItemSelectionAllowed="1" showAll="0">
      <items>
        <item x="0"/>
        <item x="1"/>
        <item x="2"/>
        <item x="3"/>
        <item x="4"/>
        <item t="default"/>
      </items>
    </pivotField>
    <pivotField name="Observação " compact="0" outline="0" multipleItemSelectionAllowed="1" showAll="0">
      <items>
        <item x="0"/>
        <item x="1"/>
        <item x="2"/>
        <item x="3"/>
        <item x="4"/>
        <item t="default"/>
      </items>
    </pivotField>
    <pivotField name="Situação (Fase)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DO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name="Contrato" axis="axisRow" compact="0" outline="0" multipleItemSelectionAllowed="1" showAll="0" sortType="ascending">
      <items>
        <item x="0"/>
        <item x="23"/>
        <item x="18"/>
        <item x="10"/>
        <item x="22"/>
        <item x="3"/>
        <item x="15"/>
        <item x="26"/>
        <item x="4"/>
        <item x="29"/>
        <item x="27"/>
        <item x="6"/>
        <item x="16"/>
        <item x="2"/>
        <item x="7"/>
        <item x="21"/>
        <item x="13"/>
        <item x="20"/>
        <item x="1"/>
        <item x="30"/>
        <item x="5"/>
        <item x="9"/>
        <item x="28"/>
        <item x="31"/>
        <item x="14"/>
        <item x="11"/>
        <item x="19"/>
        <item x="17"/>
        <item x="8"/>
        <item x="33"/>
        <item x="25"/>
        <item x="32"/>
        <item x="12"/>
        <item x="24"/>
        <item t="default"/>
      </items>
    </pivotField>
    <pivotField name="Área de TIC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Modalidade (prazo)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t="default"/>
      </items>
    </pivotField>
    <pivotField name="Modalidade (contrato)" compact="0" outline="0" multipleItemSelectionAllowed="1" showAll="0">
      <items>
        <item x="0"/>
        <item x="1"/>
        <item x="2"/>
        <item x="3"/>
        <item t="default"/>
      </items>
    </pivotField>
    <pivotField name="Processo Ad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CNPJ/CPF Fornec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name="Razão Social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name="Data para Adm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name="Data para objet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name="Responsável" compact="0" numFmtId="4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Qtd Inicia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name="Valor Unitário Inicia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name="Compartilhado" compact="0" outline="0" multipleItemSelectionAllowed="1" showAll="0">
      <items>
        <item x="0"/>
        <item x="1"/>
        <item x="2"/>
        <item t="default"/>
      </items>
    </pivotField>
    <pivotField name="Valor DO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name="Gestor do Contrato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name="5a Linha de Base" compact="0" outline="0" multipleItemSelectionAllowed="1" showAll="0">
      <items>
        <item x="0"/>
        <item t="default"/>
      </items>
    </pivotField>
    <pivotField name="4a Linha de Base" compact="0" outline="0" multipleItemSelectionAllowed="1" showAll="0">
      <items>
        <item x="0"/>
        <item t="default"/>
      </items>
    </pivotField>
    <pivotField name="3a Linha de Base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name="2a Linha de Base - PCTIC 2022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name="Empenh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name="1a Linha de Base - POP 2022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name="Valor Projetado Preliminar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t="default"/>
      </items>
    </pivotField>
    <pivotField name="Última Parcela 202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name="Valor Projetado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name="Última Parcela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name="Parcelas para pedido de empenh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Projetado por qtd parcelas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name="Valor para pedido" compact="0" numFmtId="4" outline="0" multipleItemSelectionAllowed="1" showAll="0">
      <items>
        <item x="0"/>
        <item x="1"/>
        <item t="default"/>
      </items>
    </pivotField>
    <pivotField name="Empenhado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name="Liquidado" dataField="1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name="Saldo Empenhado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name="teste_1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ID SIGE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name="Planilha Contratações CSJT" compact="0" numFmtId="4" outline="0" multipleItemSelectionAllowed="1" showAll="0">
      <items>
        <item x="0"/>
        <item x="1"/>
        <item x="2"/>
        <item t="default"/>
      </items>
    </pivotField>
    <pivotField name="Prorroga" compact="0" outline="0" multipleItemSelectionAllowed="1" showAll="0">
      <items>
        <item x="0"/>
        <item x="1"/>
        <item x="2"/>
        <item t="default"/>
      </items>
    </pivotField>
    <pivotField name="Emergencial Complemento" compact="0" outline="0" multipleItemSelectionAllowed="1" showAll="0">
      <items>
        <item x="0"/>
        <item x="1"/>
        <item t="default"/>
      </items>
    </pivotField>
    <pivotField name="teste_3" compact="0" outline="0" multipleItemSelectionAllowed="1" showAll="0">
      <items>
        <item x="0"/>
        <item t="default"/>
      </items>
    </pivotField>
    <pivotField name="PAAC Pontuação" compact="0" numFmtId="3" outline="0" multipleItemSelectionAllowed="1" showAll="0">
      <items>
        <item x="0"/>
        <item x="1"/>
        <item x="2"/>
        <item x="3"/>
        <item t="default"/>
      </items>
    </pivotField>
    <pivotField name="PAAC Prioridade" compact="0" numFmtId="4" outline="0" multipleItemSelectionAllowed="1" showAll="0">
      <items>
        <item x="0"/>
        <item x="1"/>
        <item x="2"/>
        <item x="3"/>
        <item t="default"/>
      </items>
    </pivotField>
    <pivotField name="teste_4" compact="0" outline="0" multipleItemSelectionAllowed="1" showAll="0">
      <items>
        <item x="0"/>
        <item t="default"/>
      </items>
    </pivotField>
    <pivotField name="Unidade" compact="0" numFmtId="4" outline="0" multipleItemSelectionAllowed="1" showAll="0">
      <items>
        <item x="0"/>
        <item x="1"/>
        <item t="default"/>
      </items>
    </pivotField>
    <pivotField name="Modalidade Final" compact="0" numFmtId="164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PAAC Modalidade" compact="0" numFmtId="3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name="PAAC Data do DOD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name="PAAC Data do PB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name="PAAC Valor do ETP" compact="0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PAAC Valor Fina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name="PAAC Valor Final TCU&#10;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ame="PAAC Valor Inicial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name="PAAC Valor Inicial TCU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name="Descrição do Grupo de Despesa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name="Item do Planejamento PO (CSJT ATO 71)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Denominação PO do CSJT de 2018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teste_5" compact="0" outline="0" multipleItemSelectionAllowed="1" showAll="0">
      <items>
        <item x="0"/>
        <item t="default"/>
      </items>
    </pivotField>
    <pivotField name="Denominação CSJT (Ato 71)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Despacho no PROAD" compact="0" outline="0" multipleItemSelectionAllowed="1" showAll="0">
      <items>
        <item x="0"/>
        <item x="1"/>
        <item t="default"/>
      </items>
    </pivotField>
    <pivotField name="Solicitação NE no PROAD" compact="0" outline="0" multipleItemSelectionAllowed="1" showAll="0">
      <items>
        <item x="0"/>
        <item t="default"/>
      </items>
    </pivotField>
    <pivotField name="DS_CONTA" compact="0" numFmtId="49" outline="0" multipleItemSelectionAllowed="1" showAll="0">
      <items>
        <item x="0"/>
        <item x="1"/>
        <item x="2"/>
        <item t="default"/>
      </items>
    </pivotField>
    <pivotField name="Denominação para Solicitação de NE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DS_NATUREZA" compact="0" numFmtId="49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teste_6" compact="0" outline="0" multipleItemSelectionAllowed="1" showAll="0">
      <items>
        <item x="0"/>
        <item t="default"/>
      </items>
    </pivotField>
    <pivotField name="DS_SUB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name="2020&#10;Data limite para envio à Administraçã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2020&#10;Data limite para disponibilização do objeto (próxima vigência/ entrega)" compact="0" numFmtId="166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name="2020&#10;Modalidade para Prazo de Envio do PB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t="default"/>
      </items>
    </pivotField>
    <pivotField name="Valor para POP 2022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name="Data Almejada para o Objeto em 2022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name="Modadlidade prevista para 2022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Iniciativa Nacional" compact="0" outline="0" multipleItemSelectionAllowed="1" showAll="0">
      <items>
        <item x="0"/>
        <item x="1"/>
        <item t="default"/>
      </items>
    </pivotField>
    <pivotField name="Link do PROAD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teste_7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teste_8" compact="0" outline="0" multipleItemSelectionAllowed="1" showAll="0">
      <items>
        <item x="0"/>
        <item t="default"/>
      </items>
    </pivotField>
    <pivotField name="teste_9" compact="0" outline="0" multipleItemSelectionAllowed="1" showAll="0">
      <items>
        <item x="0"/>
        <item t="default"/>
      </items>
    </pivotField>
    <pivotField name="Grupo de Despesa Lançado na POP 2021" compact="0" outline="0" multipleItemSelectionAllowed="1" showAll="0">
      <items>
        <item x="0"/>
        <item x="1"/>
        <item t="default"/>
      </items>
    </pivotField>
    <pivotField name=" " compact="0" outline="0" multipleItemSelectionAllowed="1" showAll="0">
      <items>
        <item x="0"/>
        <item t="default"/>
      </items>
    </pivotField>
    <pivotField name=" 2" compact="0" outline="0" multipleItemSelectionAllowed="1" showAll="0">
      <items>
        <item x="0"/>
        <item t="default"/>
      </items>
    </pivotField>
    <pivotField name=" 3" compact="0" outline="0" multipleItemSelectionAllowed="1" showAll="0">
      <items>
        <item x="0"/>
        <item t="default"/>
      </items>
    </pivotField>
    <pivotField name="Liquidado como RP" compact="0" numFmtId="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name="Saldo" compact="0" numFmtId="4" outline="0" multipleItemSelectionAllowed="1" showAll="0">
      <items>
        <item x="0"/>
        <item t="default"/>
      </items>
    </pivotField>
    <pivotField name="Emissão da Nota de Empenh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name="Bimestre da Nota de Empenho" compact="0" outline="0" multipleItemSelectionAllowed="1" showAll="0">
      <items>
        <item x="0"/>
        <item x="1"/>
        <item x="2"/>
        <item t="default"/>
      </items>
    </pivotField>
  </pivotFields>
  <rowFields>
    <field x="22"/>
  </rowFields>
  <dataFields>
    <dataField name="Liq NE 2022" fld="51" baseField="0"/>
  </dataFields>
</pivotTableDefinition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proad.trt12.jus.br/proad/pages/fichadoprocesso.xhtml?faces-redirect=true&amp;numeroProtocolo=9447&amp;numeroAno=2017" TargetMode="External"/><Relationship Id="rId42" Type="http://schemas.openxmlformats.org/officeDocument/2006/relationships/hyperlink" Target="https://www.trt12.jus.br/proad/pages/fichadoprocesso.xhtml?numeroProtocolo=9447&amp;numeroAno=2017&amp;tab=tabFichaDocumento" TargetMode="External"/><Relationship Id="rId41" Type="http://schemas.openxmlformats.org/officeDocument/2006/relationships/hyperlink" Target="https://proad.trt12.jus.br/proad/pages/fichadoprocesso.xhtml?faces-redirect=true&amp;numeroProtocolo=9447&amp;numeroAno=2017" TargetMode="External"/><Relationship Id="rId44" Type="http://schemas.openxmlformats.org/officeDocument/2006/relationships/hyperlink" Target="https://proad.trt12.jus.br/proad/pages/fichadoprocesso.xhtml?faces-redirect=true&amp;numeroProtocolo=447&amp;numeroAno=2022" TargetMode="External"/><Relationship Id="rId43" Type="http://schemas.openxmlformats.org/officeDocument/2006/relationships/hyperlink" Target="https://www.trt12.jus.br/proad/pages/fichadoprocesso.xhtml?numeroProtocolo=9447&amp;numeroAno=2017&amp;tab=tabFichaDocumento" TargetMode="External"/><Relationship Id="rId46" Type="http://schemas.openxmlformats.org/officeDocument/2006/relationships/hyperlink" Target="https://www.trt12.jus.br/proad/pages/fichadoprocesso.xhtml?numeroProtocolo=447&amp;numeroAno=2022&amp;tab=tabFichaDocumento" TargetMode="External"/><Relationship Id="rId45" Type="http://schemas.openxmlformats.org/officeDocument/2006/relationships/hyperlink" Target="https://proad.trt12.jus.br/proad/pages/fichadoprocesso.xhtml?faces-redirect=true&amp;numeroProtocolo=447&amp;numeroAno=2022" TargetMode="External"/><Relationship Id="rId107" Type="http://schemas.openxmlformats.org/officeDocument/2006/relationships/hyperlink" Target="https://proad.trt12.jus.br/proad/pages/fichadoprocesso.xhtml?faces-redirect=true&amp;numeroProtocolo=6789&amp;numeroAno=2021" TargetMode="External"/><Relationship Id="rId106" Type="http://schemas.openxmlformats.org/officeDocument/2006/relationships/hyperlink" Target="https://proad.trt12.jus.br/proad/pages/fichadoprocesso.xhtml?faces-redirect=true&amp;numeroProtocolo=6789&amp;numeroAno=2021" TargetMode="External"/><Relationship Id="rId105" Type="http://schemas.openxmlformats.org/officeDocument/2006/relationships/hyperlink" Target="https://www.trt12.jus.br/proad/pages/fichadoprocesso.xhtml?numeroProtocolo=5707&amp;numeroAno=2021&amp;tab=tabFichaDocumento" TargetMode="External"/><Relationship Id="rId104" Type="http://schemas.openxmlformats.org/officeDocument/2006/relationships/hyperlink" Target="https://proad.trt12.jus.br/proad/pages/fichadoprocesso.xhtml?faces-redirect=true&amp;numeroProtocolo=5707&amp;numeroAno=2021" TargetMode="External"/><Relationship Id="rId109" Type="http://schemas.openxmlformats.org/officeDocument/2006/relationships/hyperlink" Target="https://proad.trt12.jus.br/proad/pages/fichadoprocesso.xhtml?faces-redirect=true&amp;numeroProtocolo=9240&amp;numeroAno=2021" TargetMode="External"/><Relationship Id="rId108" Type="http://schemas.openxmlformats.org/officeDocument/2006/relationships/hyperlink" Target="https://www.trt12.jus.br/proad/pages/fichadoprocesso.xhtml?numeroProtocolo=6789&amp;numeroAno=2021&amp;tab=tabFichaDocumento" TargetMode="External"/><Relationship Id="rId48" Type="http://schemas.openxmlformats.org/officeDocument/2006/relationships/hyperlink" Target="https://proad.trt12.jus.br/proad/pages/fichadoprocesso.xhtml?faces-redirect=true&amp;numeroProtocolo=7005&amp;numeroAno=2020" TargetMode="External"/><Relationship Id="rId47" Type="http://schemas.openxmlformats.org/officeDocument/2006/relationships/hyperlink" Target="https://proad.trt12.jus.br/proad/pages/fichadoprocesso.xhtml?faces-redirect=true&amp;numeroProtocolo=7005&amp;numeroAno=2020" TargetMode="External"/><Relationship Id="rId49" Type="http://schemas.openxmlformats.org/officeDocument/2006/relationships/hyperlink" Target="https://www.trt12.jus.br/proad/pages/fichadoprocesso.xhtml?numeroProtocolo=7005&amp;numeroAno=2020&amp;tab=tabFichaDocumento" TargetMode="External"/><Relationship Id="rId103" Type="http://schemas.openxmlformats.org/officeDocument/2006/relationships/hyperlink" Target="https://proad.trt12.jus.br/proad/pages/fichadoprocesso.xhtml?faces-redirect=true&amp;numeroProtocolo=5707&amp;numeroAno=2021" TargetMode="External"/><Relationship Id="rId102" Type="http://schemas.openxmlformats.org/officeDocument/2006/relationships/hyperlink" Target="https://www.trt12.jus.br/proad/pages/fichadoprocesso.xhtml?numeroProtocolo=2049&amp;numeroAno=2022&amp;tab=tabFichaDocumento" TargetMode="External"/><Relationship Id="rId101" Type="http://schemas.openxmlformats.org/officeDocument/2006/relationships/hyperlink" Target="https://proad.trt12.jus.br/proad/pages/fichadoprocesso.xhtml?faces-redirect=true&amp;numeroProtocolo=2049&amp;numeroAno=2022" TargetMode="External"/><Relationship Id="rId100" Type="http://schemas.openxmlformats.org/officeDocument/2006/relationships/hyperlink" Target="https://proad.trt12.jus.br/proad/pages/fichadoprocesso.xhtml?faces-redirect=true&amp;numeroProtocolo=2049&amp;numeroAno=2022" TargetMode="External"/><Relationship Id="rId31" Type="http://schemas.openxmlformats.org/officeDocument/2006/relationships/hyperlink" Target="https://www.trt12.jus.br/proad/pages/fichadoprocesso.xhtml?numeroProtocolo=5910&amp;numeroAno=2017&amp;tab=tabFichaDocumento" TargetMode="External"/><Relationship Id="rId30" Type="http://schemas.openxmlformats.org/officeDocument/2006/relationships/hyperlink" Target="https://proad.trt12.jus.br/proad/pages/fichadoprocesso.xhtml?faces-redirect=true&amp;numeroProtocolo=5910&amp;numeroAno=2017" TargetMode="External"/><Relationship Id="rId33" Type="http://schemas.openxmlformats.org/officeDocument/2006/relationships/hyperlink" Target="https://proad.trt12.jus.br/proad/pages/fichadoprocesso.xhtml?faces-redirect=true&amp;numeroProtocolo=11741&amp;numeroAno=2017" TargetMode="External"/><Relationship Id="rId32" Type="http://schemas.openxmlformats.org/officeDocument/2006/relationships/hyperlink" Target="https://www.trt12.jus.br/proad/pages/fichadoprocesso.xhtml?numeroProtocolo=5910&amp;numeroAno=2017&amp;tab=tabFichaDocumento" TargetMode="External"/><Relationship Id="rId35" Type="http://schemas.openxmlformats.org/officeDocument/2006/relationships/hyperlink" Target="https://www.trt12.jus.br/proad/pages/fichadoprocesso.xhtml?numeroProtocolo=11741&amp;numeroAno=2017&amp;tab=tabFichaDocumento" TargetMode="External"/><Relationship Id="rId34" Type="http://schemas.openxmlformats.org/officeDocument/2006/relationships/hyperlink" Target="https://proad.trt12.jus.br/proad/pages/fichadoprocesso.xhtml?faces-redirect=true&amp;numeroProtocolo=11741&amp;numeroAno=2017" TargetMode="External"/><Relationship Id="rId37" Type="http://schemas.openxmlformats.org/officeDocument/2006/relationships/hyperlink" Target="https://proad.trt12.jus.br/proad/pages/fichadoprocesso.xhtml?faces-redirect=true&amp;numeroProtocolo=7373&amp;numeroAno=2017" TargetMode="External"/><Relationship Id="rId36" Type="http://schemas.openxmlformats.org/officeDocument/2006/relationships/hyperlink" Target="https://www.trt12.jus.br/proad/pages/fichadoprocesso.xhtml?numeroProtocolo=11741&amp;numeroAno=2017&amp;tab=tabFichaDocumento" TargetMode="External"/><Relationship Id="rId39" Type="http://schemas.openxmlformats.org/officeDocument/2006/relationships/hyperlink" Target="https://www.trt12.jus.br/proad/pages/fichadoprocesso.xhtml?numeroProtocolo=7373&amp;numeroAno=2017&amp;tab=tabFichaDocumento" TargetMode="External"/><Relationship Id="rId38" Type="http://schemas.openxmlformats.org/officeDocument/2006/relationships/hyperlink" Target="https://proad.trt12.jus.br/proad/pages/fichadoprocesso.xhtml?faces-redirect=true&amp;numeroProtocolo=7373&amp;numeroAno=2017" TargetMode="External"/><Relationship Id="rId20" Type="http://schemas.openxmlformats.org/officeDocument/2006/relationships/hyperlink" Target="https://proad.trt12.jus.br/proad/pages/fichadoprocesso.xhtml?faces-redirect=true&amp;numeroProtocolo=280&amp;numeroAno=2020" TargetMode="External"/><Relationship Id="rId22" Type="http://schemas.openxmlformats.org/officeDocument/2006/relationships/hyperlink" Target="https://proad.trt12.jus.br/proad/pages/fichadoprocesso.xhtml?faces-redirect=true&amp;numeroProtocolo=3995&amp;numeroAno=2019" TargetMode="External"/><Relationship Id="rId21" Type="http://schemas.openxmlformats.org/officeDocument/2006/relationships/hyperlink" Target="https://www.trt12.jus.br/proad/pages/fichadoprocesso.xhtml?numeroProtocolo=280&amp;numeroAno=2020&amp;tab=tabFichaDocumento" TargetMode="External"/><Relationship Id="rId24" Type="http://schemas.openxmlformats.org/officeDocument/2006/relationships/hyperlink" Target="https://www.trt12.jus.br/proad/pages/fichadoprocesso.xhtml?numeroProtocolo=3995&amp;numeroAno=2019&amp;tab=tabFichaDocumento" TargetMode="External"/><Relationship Id="rId23" Type="http://schemas.openxmlformats.org/officeDocument/2006/relationships/hyperlink" Target="https://proad.trt12.jus.br/proad/pages/fichadoprocesso.xhtml?faces-redirect=true&amp;numeroProtocolo=3995&amp;numeroAno=2019" TargetMode="External"/><Relationship Id="rId129" Type="http://schemas.openxmlformats.org/officeDocument/2006/relationships/hyperlink" Target="https://www.trt12.jus.br/proad/pages/fichadoprocesso.xhtml?numeroProtocolo=2832&amp;numeroAno=2022&amp;tab=tabFichaDocumento" TargetMode="External"/><Relationship Id="rId128" Type="http://schemas.openxmlformats.org/officeDocument/2006/relationships/hyperlink" Target="https://proad.trt12.jus.br/proad/pages/fichadoprocesso.xhtml?faces-redirect=true&amp;numeroProtocolo=2832&amp;numeroAno=2022" TargetMode="External"/><Relationship Id="rId127" Type="http://schemas.openxmlformats.org/officeDocument/2006/relationships/hyperlink" Target="https://proad.trt12.jus.br/proad/pages/fichadoprocesso.xhtml?faces-redirect=true&amp;numeroProtocolo=2832&amp;numeroAno=2022" TargetMode="External"/><Relationship Id="rId126" Type="http://schemas.openxmlformats.org/officeDocument/2006/relationships/hyperlink" Target="https://www.trt12.jus.br/proad/pages/fichadoprocesso.xhtml?numeroProtocolo=6789&amp;numeroAno=2021&amp;tab=tabFichaDocumento" TargetMode="External"/><Relationship Id="rId26" Type="http://schemas.openxmlformats.org/officeDocument/2006/relationships/hyperlink" Target="https://proad.trt12.jus.br/proad/pages/fichadoprocesso.xhtml?faces-redirect=true&amp;numeroProtocolo=8560&amp;numeroAno=2018" TargetMode="External"/><Relationship Id="rId121" Type="http://schemas.openxmlformats.org/officeDocument/2006/relationships/hyperlink" Target="https://proad.trt12.jus.br/proad/pages/fichadoprocesso.xhtml?faces-redirect=true&amp;numeroProtocolo=3891&amp;numeroAno=2017" TargetMode="External"/><Relationship Id="rId25" Type="http://schemas.openxmlformats.org/officeDocument/2006/relationships/hyperlink" Target="https://www.trt12.jus.br/proad/pages/fichadoprocesso.xhtml?numeroProtocolo=3995&amp;numeroAno=2019&amp;tab=tabFichaDocumento" TargetMode="External"/><Relationship Id="rId120" Type="http://schemas.openxmlformats.org/officeDocument/2006/relationships/hyperlink" Target="https://www.trt12.jus.br/proad/pages/fichadoprocesso.xhtml?numeroProtocolo=1038&amp;numeroAno=2021&amp;tab=tabFichaDocumento" TargetMode="External"/><Relationship Id="rId28" Type="http://schemas.openxmlformats.org/officeDocument/2006/relationships/hyperlink" Target="https://www.trt12.jus.br/proad/pages/fichadoprocesso.xhtml?numeroProtocolo=8560&amp;numeroAno=2018&amp;tab=tabFichaDocumento" TargetMode="External"/><Relationship Id="rId27" Type="http://schemas.openxmlformats.org/officeDocument/2006/relationships/hyperlink" Target="https://proad.trt12.jus.br/proad/pages/fichadoprocesso.xhtml?faces-redirect=true&amp;numeroProtocolo=8560&amp;numeroAno=2018" TargetMode="External"/><Relationship Id="rId125" Type="http://schemas.openxmlformats.org/officeDocument/2006/relationships/hyperlink" Target="https://proad.trt12.jus.br/proad/pages/fichadoprocesso.xhtml?faces-redirect=true&amp;numeroProtocolo=6789&amp;numeroAno=2021" TargetMode="External"/><Relationship Id="rId29" Type="http://schemas.openxmlformats.org/officeDocument/2006/relationships/hyperlink" Target="https://proad.trt12.jus.br/proad/pages/fichadoprocesso.xhtml?faces-redirect=true&amp;numeroProtocolo=5910&amp;numeroAno=2017" TargetMode="External"/><Relationship Id="rId124" Type="http://schemas.openxmlformats.org/officeDocument/2006/relationships/hyperlink" Target="https://proad.trt12.jus.br/proad/pages/fichadoprocesso.xhtml?faces-redirect=true&amp;numeroProtocolo=6789&amp;numeroAno=2021" TargetMode="External"/><Relationship Id="rId123" Type="http://schemas.openxmlformats.org/officeDocument/2006/relationships/hyperlink" Target="https://www.trt12.jus.br/proad/pages/fichadoprocesso.xhtml?numeroProtocolo=3891&amp;numeroAno=2017&amp;tab=tabFichaDocumento" TargetMode="External"/><Relationship Id="rId122" Type="http://schemas.openxmlformats.org/officeDocument/2006/relationships/hyperlink" Target="https://proad.trt12.jus.br/proad/pages/fichadoprocesso.xhtml?faces-redirect=true&amp;numeroProtocolo=3891&amp;numeroAno=2017" TargetMode="External"/><Relationship Id="rId95" Type="http://schemas.openxmlformats.org/officeDocument/2006/relationships/hyperlink" Target="https://www.trt12.jus.br/proad/pages/fichadoprocesso.xhtml?numeroProtocolo=2689&amp;numeroAno=2021&amp;tab=tabFichaDocumento" TargetMode="External"/><Relationship Id="rId94" Type="http://schemas.openxmlformats.org/officeDocument/2006/relationships/hyperlink" Target="https://proad.trt12.jus.br/proad/pages/fichadoprocesso.xhtml?faces-redirect=true&amp;numeroProtocolo=2689&amp;numeroAno=2021" TargetMode="External"/><Relationship Id="rId97" Type="http://schemas.openxmlformats.org/officeDocument/2006/relationships/hyperlink" Target="https://proad.trt12.jus.br/proad/pages/fichadoprocesso.xhtml?faces-redirect=true&amp;numeroProtocolo=6133&amp;numeroAno=2017" TargetMode="External"/><Relationship Id="rId96" Type="http://schemas.openxmlformats.org/officeDocument/2006/relationships/hyperlink" Target="https://proad.trt12.jus.br/proad/pages/fichadoprocesso.xhtml?faces-redirect=true&amp;numeroProtocolo=6133&amp;numeroAno=2017" TargetMode="External"/><Relationship Id="rId11" Type="http://schemas.openxmlformats.org/officeDocument/2006/relationships/hyperlink" Target="https://www.trt12.jus.br/proad/pages/fichadoprocesso.xhtml?numeroProtocolo=12216&amp;numeroAno=2016&amp;tab=tabFichaDocumento" TargetMode="External"/><Relationship Id="rId99" Type="http://schemas.openxmlformats.org/officeDocument/2006/relationships/hyperlink" Target="https://www.trt12.jus.br/proad/pages/fichadoprocesso.xhtml?numeroProtocolo=6133&amp;numeroAno=2017&amp;tab=tabFichaDocumento" TargetMode="External"/><Relationship Id="rId10" Type="http://schemas.openxmlformats.org/officeDocument/2006/relationships/hyperlink" Target="https://proad.trt12.jus.br/proad/pages/fichadoprocesso.xhtml?faces-redirect=true&amp;numeroProtocolo=12216&amp;numeroAno=2016" TargetMode="External"/><Relationship Id="rId98" Type="http://schemas.openxmlformats.org/officeDocument/2006/relationships/hyperlink" Target="https://www.trt12.jus.br/proad/pages/fichadoprocesso.xhtml?numeroProtocolo=6133&amp;numeroAno=2017&amp;tab=tabFichaDocumento" TargetMode="External"/><Relationship Id="rId13" Type="http://schemas.openxmlformats.org/officeDocument/2006/relationships/hyperlink" Target="https://proad.trt12.jus.br/proad/pages/fichadoprocesso.xhtml?faces-redirect=true&amp;numeroProtocolo=1674&amp;numeroAno=2021" TargetMode="External"/><Relationship Id="rId12" Type="http://schemas.openxmlformats.org/officeDocument/2006/relationships/hyperlink" Target="https://proad.trt12.jus.br/proad/pages/fichadoprocesso.xhtml?faces-redirect=true&amp;numeroProtocolo=1674&amp;numeroAno=2021" TargetMode="External"/><Relationship Id="rId91" Type="http://schemas.openxmlformats.org/officeDocument/2006/relationships/hyperlink" Target="https://proad.trt12.jus.br/proad/pages/fichadoprocesso.xhtml?faces-redirect=true&amp;numeroProtocolo=148&amp;numeroAno=2022" TargetMode="External"/><Relationship Id="rId90" Type="http://schemas.openxmlformats.org/officeDocument/2006/relationships/hyperlink" Target="https://proad.trt12.jus.br/proad/pages/fichadoprocesso.xhtml?faces-redirect=true&amp;numeroProtocolo=148&amp;numeroAno=2022" TargetMode="External"/><Relationship Id="rId93" Type="http://schemas.openxmlformats.org/officeDocument/2006/relationships/hyperlink" Target="https://proad.trt12.jus.br/proad/pages/fichadoprocesso.xhtml?faces-redirect=true&amp;numeroProtocolo=2689&amp;numeroAno=2021" TargetMode="External"/><Relationship Id="rId92" Type="http://schemas.openxmlformats.org/officeDocument/2006/relationships/hyperlink" Target="https://www.trt12.jus.br/proad/pages/fichadoprocesso.xhtml?numeroProtocolo=148&amp;numeroAno=2022&amp;tab=tabFichaDocumento" TargetMode="External"/><Relationship Id="rId118" Type="http://schemas.openxmlformats.org/officeDocument/2006/relationships/hyperlink" Target="https://proad.trt12.jus.br/proad/pages/fichadoprocesso.xhtml?faces-redirect=true&amp;numeroProtocolo=1038&amp;numeroAno=2021" TargetMode="External"/><Relationship Id="rId117" Type="http://schemas.openxmlformats.org/officeDocument/2006/relationships/hyperlink" Target="https://www.trt12.jus.br/proad/pages/fichadoprocesso.xhtml?numeroProtocolo=3995&amp;numeroAno=2019&amp;tab=tabFichaDocumento" TargetMode="External"/><Relationship Id="rId116" Type="http://schemas.openxmlformats.org/officeDocument/2006/relationships/hyperlink" Target="https://proad.trt12.jus.br/proad/pages/fichadoprocesso.xhtml?faces-redirect=true&amp;numeroProtocolo=3995&amp;numeroAno=2019" TargetMode="External"/><Relationship Id="rId115" Type="http://schemas.openxmlformats.org/officeDocument/2006/relationships/hyperlink" Target="https://proad.trt12.jus.br/proad/pages/fichadoprocesso.xhtml?faces-redirect=true&amp;numeroProtocolo=3995&amp;numeroAno=2019" TargetMode="External"/><Relationship Id="rId119" Type="http://schemas.openxmlformats.org/officeDocument/2006/relationships/hyperlink" Target="https://proad.trt12.jus.br/proad/pages/fichadoprocesso.xhtml?faces-redirect=true&amp;numeroProtocolo=1038&amp;numeroAno=2021" TargetMode="External"/><Relationship Id="rId15" Type="http://schemas.openxmlformats.org/officeDocument/2006/relationships/hyperlink" Target="https://proad.trt12.jus.br/proad/pages/fichadoprocesso.xhtml?faces-redirect=true&amp;numeroProtocolo=5907&amp;numeroAno=2017" TargetMode="External"/><Relationship Id="rId110" Type="http://schemas.openxmlformats.org/officeDocument/2006/relationships/hyperlink" Target="https://proad.trt12.jus.br/proad/pages/fichadoprocesso.xhtml?faces-redirect=true&amp;numeroProtocolo=9240&amp;numeroAno=2021" TargetMode="External"/><Relationship Id="rId14" Type="http://schemas.openxmlformats.org/officeDocument/2006/relationships/hyperlink" Target="https://www.trt12.jus.br/proad/pages/fichadoprocesso.xhtml?numeroProtocolo=1674&amp;numeroAno=2021&amp;tab=tabFichaDocumento" TargetMode="External"/><Relationship Id="rId17" Type="http://schemas.openxmlformats.org/officeDocument/2006/relationships/hyperlink" Target="https://www.trt12.jus.br/proad/pages/fichadoprocesso.xhtml?numeroProtocolo=5907&amp;numeroAno=2017&amp;tab=tabFichaDocumento" TargetMode="External"/><Relationship Id="rId16" Type="http://schemas.openxmlformats.org/officeDocument/2006/relationships/hyperlink" Target="https://proad.trt12.jus.br/proad/pages/fichadoprocesso.xhtml?faces-redirect=true&amp;numeroProtocolo=5907&amp;numeroAno=2017" TargetMode="External"/><Relationship Id="rId19" Type="http://schemas.openxmlformats.org/officeDocument/2006/relationships/hyperlink" Target="https://proad.trt12.jus.br/proad/pages/fichadoprocesso.xhtml?faces-redirect=true&amp;numeroProtocolo=280&amp;numeroAno=2020" TargetMode="External"/><Relationship Id="rId114" Type="http://schemas.openxmlformats.org/officeDocument/2006/relationships/hyperlink" Target="https://www.trt12.jus.br/proad/pages/fichadoprocesso.xhtml?numeroProtocolo=9016&amp;numeroAno=2021&amp;tab=tabFichaDocumento" TargetMode="External"/><Relationship Id="rId18" Type="http://schemas.openxmlformats.org/officeDocument/2006/relationships/hyperlink" Target="https://www.trt12.jus.br/proad/pages/fichadoprocesso.xhtml?numeroProtocolo=5907&amp;numeroAno=2017&amp;tab=tabFichaDocumento" TargetMode="External"/><Relationship Id="rId113" Type="http://schemas.openxmlformats.org/officeDocument/2006/relationships/hyperlink" Target="https://proad.trt12.jus.br/proad/pages/fichadoprocesso.xhtml?faces-redirect=true&amp;numeroProtocolo=9016&amp;numeroAno=2021" TargetMode="External"/><Relationship Id="rId112" Type="http://schemas.openxmlformats.org/officeDocument/2006/relationships/hyperlink" Target="https://proad.trt12.jus.br/proad/pages/fichadoprocesso.xhtml?faces-redirect=true&amp;numeroProtocolo=9016&amp;numeroAno=2021" TargetMode="External"/><Relationship Id="rId111" Type="http://schemas.openxmlformats.org/officeDocument/2006/relationships/hyperlink" Target="https://www.trt12.jus.br/proad/pages/fichadoprocesso.xhtml?numeroProtocolo=9240&amp;numeroAno=2021&amp;tab=tabFichaDocumento" TargetMode="External"/><Relationship Id="rId84" Type="http://schemas.openxmlformats.org/officeDocument/2006/relationships/hyperlink" Target="https://www.trt12.jus.br/proad/pages/fichadoprocesso.xhtml?numeroProtocolo=9758&amp;numeroAno=2021&amp;tab=tabFichaDocumento" TargetMode="External"/><Relationship Id="rId83" Type="http://schemas.openxmlformats.org/officeDocument/2006/relationships/hyperlink" Target="https://proad.trt12.jus.br/proad/pages/fichadoprocesso.xhtml?faces-redirect=true&amp;numeroProtocolo=9758&amp;numeroAno=2021" TargetMode="External"/><Relationship Id="rId86" Type="http://schemas.openxmlformats.org/officeDocument/2006/relationships/hyperlink" Target="https://proad.trt12.jus.br/proad/pages/fichadoprocesso.xhtml?faces-redirect=true&amp;numeroProtocolo=9019&amp;numeroAno=2021" TargetMode="External"/><Relationship Id="rId85" Type="http://schemas.openxmlformats.org/officeDocument/2006/relationships/hyperlink" Target="https://www.trt12.jus.br/proad/pages/fichadoprocesso.xhtml?numeroProtocolo=9758&amp;numeroAno=2021&amp;tab=tabFichaDocumento" TargetMode="External"/><Relationship Id="rId88" Type="http://schemas.openxmlformats.org/officeDocument/2006/relationships/hyperlink" Target="https://www.trt12.jus.br/proad/pages/fichadoprocesso.xhtml?numeroProtocolo=9019&amp;numeroAno=2021&amp;tab=tabFichaDocumento" TargetMode="External"/><Relationship Id="rId87" Type="http://schemas.openxmlformats.org/officeDocument/2006/relationships/hyperlink" Target="https://proad.trt12.jus.br/proad/pages/fichadoprocesso.xhtml?faces-redirect=true&amp;numeroProtocolo=9019&amp;numeroAno=2021" TargetMode="External"/><Relationship Id="rId89" Type="http://schemas.openxmlformats.org/officeDocument/2006/relationships/hyperlink" Target="https://www.trt12.jus.br/proad/pages/fichadoprocesso.xhtml?numeroProtocolo=9019&amp;numeroAno=2021&amp;tab=tabFichaDocumento" TargetMode="External"/><Relationship Id="rId80" Type="http://schemas.openxmlformats.org/officeDocument/2006/relationships/hyperlink" Target="https://proad.trt12.jus.br/proad/pages/fichadoprocesso.xhtml?faces-redirect=true&amp;numeroProtocolo=1038&amp;numeroAno=2021" TargetMode="External"/><Relationship Id="rId82" Type="http://schemas.openxmlformats.org/officeDocument/2006/relationships/hyperlink" Target="https://proad.trt12.jus.br/proad/pages/fichadoprocesso.xhtml?faces-redirect=true&amp;numeroProtocolo=9758&amp;numeroAno=2021" TargetMode="External"/><Relationship Id="rId81" Type="http://schemas.openxmlformats.org/officeDocument/2006/relationships/hyperlink" Target="https://www.trt12.jus.br/proad/pages/fichadoprocesso.xhtml?numeroProtocolo=1038&amp;numeroAno=2021&amp;tab=tabFichaDocumento" TargetMode="External"/><Relationship Id="rId1" Type="http://schemas.openxmlformats.org/officeDocument/2006/relationships/comments" Target="../comments1.xml"/><Relationship Id="rId2" Type="http://schemas.openxmlformats.org/officeDocument/2006/relationships/hyperlink" Target="https://proad.trt12.jus.br/proad/pages/fichadoprocesso.xhtml?faces-redirect=true&amp;numeroProtocolo=5424&amp;numeroAno=2017" TargetMode="External"/><Relationship Id="rId3" Type="http://schemas.openxmlformats.org/officeDocument/2006/relationships/hyperlink" Target="https://proad.trt12.jus.br/proad/pages/fichadoprocesso.xhtml?faces-redirect=true&amp;numeroProtocolo=5424&amp;numeroAno=2017" TargetMode="External"/><Relationship Id="rId4" Type="http://schemas.openxmlformats.org/officeDocument/2006/relationships/hyperlink" Target="https://www.trt12.jus.br/proad/pages/fichadoprocesso.xhtml?numeroProtocolo=5424&amp;numeroAno=2017&amp;tab=tabFichaDocumento" TargetMode="External"/><Relationship Id="rId9" Type="http://schemas.openxmlformats.org/officeDocument/2006/relationships/hyperlink" Target="https://proad.trt12.jus.br/proad/pages/fichadoprocesso.xhtml?faces-redirect=true&amp;numeroProtocolo=12216&amp;numeroAno=2016" TargetMode="External"/><Relationship Id="rId5" Type="http://schemas.openxmlformats.org/officeDocument/2006/relationships/hyperlink" Target="https://proad.trt12.jus.br/proad/pages/fichadoprocesso.xhtml?faces-redirect=true&amp;numeroProtocolo=3891&amp;numeroAno=2017" TargetMode="External"/><Relationship Id="rId6" Type="http://schemas.openxmlformats.org/officeDocument/2006/relationships/hyperlink" Target="https://proad.trt12.jus.br/proad/pages/fichadoprocesso.xhtml?faces-redirect=true&amp;numeroProtocolo=3891&amp;numeroAno=2017" TargetMode="External"/><Relationship Id="rId7" Type="http://schemas.openxmlformats.org/officeDocument/2006/relationships/hyperlink" Target="https://www.trt12.jus.br/proad/pages/fichadoprocesso.xhtml?numeroProtocolo=3891&amp;numeroAno=2017&amp;tab=tabFichaDocumento" TargetMode="External"/><Relationship Id="rId8" Type="http://schemas.openxmlformats.org/officeDocument/2006/relationships/hyperlink" Target="https://www.trt12.jus.br/proad/pages/fichadoprocesso.xhtml?numeroProtocolo=3891&amp;numeroAno=2017&amp;tab=tabFichaDocumento" TargetMode="External"/><Relationship Id="rId73" Type="http://schemas.openxmlformats.org/officeDocument/2006/relationships/hyperlink" Target="https://proad.trt12.jus.br/proad/pages/fichadoprocesso.xhtml?faces-redirect=true&amp;numeroProtocolo=4057&amp;numeroAno=2020" TargetMode="External"/><Relationship Id="rId72" Type="http://schemas.openxmlformats.org/officeDocument/2006/relationships/hyperlink" Target="https://www.trt12.jus.br/proad/pages/fichadoprocesso.xhtml?numeroProtocolo=5228&amp;numeroAno=2020&amp;tab=tabFichaDocumento" TargetMode="External"/><Relationship Id="rId75" Type="http://schemas.openxmlformats.org/officeDocument/2006/relationships/hyperlink" Target="https://www.trt12.jus.br/proad/pages/fichadoprocesso.xhtml?numeroProtocolo=4057&amp;numeroAno=2020&amp;tab=tabFichaDocumento" TargetMode="External"/><Relationship Id="rId74" Type="http://schemas.openxmlformats.org/officeDocument/2006/relationships/hyperlink" Target="https://proad.trt12.jus.br/proad/pages/fichadoprocesso.xhtml?faces-redirect=true&amp;numeroProtocolo=4057&amp;numeroAno=2020" TargetMode="External"/><Relationship Id="rId77" Type="http://schemas.openxmlformats.org/officeDocument/2006/relationships/hyperlink" Target="https://proad.trt12.jus.br/proad/pages/fichadoprocesso.xhtml?faces-redirect=true&amp;numeroProtocolo=12010&amp;numeroAno=2020" TargetMode="External"/><Relationship Id="rId76" Type="http://schemas.openxmlformats.org/officeDocument/2006/relationships/hyperlink" Target="https://proad.trt12.jus.br/proad/pages/fichadoprocesso.xhtml?faces-redirect=true&amp;numeroProtocolo=12010&amp;numeroAno=2020" TargetMode="External"/><Relationship Id="rId79" Type="http://schemas.openxmlformats.org/officeDocument/2006/relationships/hyperlink" Target="https://proad.trt12.jus.br/proad/pages/fichadoprocesso.xhtml?faces-redirect=true&amp;numeroProtocolo=1038&amp;numeroAno=2021" TargetMode="External"/><Relationship Id="rId78" Type="http://schemas.openxmlformats.org/officeDocument/2006/relationships/hyperlink" Target="https://www.trt12.jus.br/proad/pages/fichadoprocesso.xhtml?numeroProtocolo=12010&amp;numeroAno=2020&amp;tab=tabFichaDocumento" TargetMode="External"/><Relationship Id="rId71" Type="http://schemas.openxmlformats.org/officeDocument/2006/relationships/hyperlink" Target="https://www.trt12.jus.br/proad/pages/fichadoprocesso.xhtml?numeroProtocolo=5228&amp;numeroAno=2020&amp;tab=tabFichaDocumento" TargetMode="External"/><Relationship Id="rId70" Type="http://schemas.openxmlformats.org/officeDocument/2006/relationships/hyperlink" Target="https://proad.trt12.jus.br/proad/pages/fichadoprocesso.xhtml?faces-redirect=true&amp;numeroProtocolo=5228&amp;numeroAno=2020" TargetMode="External"/><Relationship Id="rId132" Type="http://schemas.openxmlformats.org/officeDocument/2006/relationships/hyperlink" Target="https://www.trt12.jus.br/proad/pages/fichadoprocesso.xhtml?numeroProtocolo=5228&amp;numeroAno=2020&amp;tab=tabFichaDocumento" TargetMode="External"/><Relationship Id="rId131" Type="http://schemas.openxmlformats.org/officeDocument/2006/relationships/hyperlink" Target="https://proad.trt12.jus.br/proad/pages/fichadoprocesso.xhtml?faces-redirect=true&amp;numeroProtocolo=5228&amp;numeroAno=2020" TargetMode="External"/><Relationship Id="rId130" Type="http://schemas.openxmlformats.org/officeDocument/2006/relationships/hyperlink" Target="https://proad.trt12.jus.br/proad/pages/fichadoprocesso.xhtml?faces-redirect=true&amp;numeroProtocolo=5228&amp;numeroAno=2020" TargetMode="External"/><Relationship Id="rId134" Type="http://schemas.openxmlformats.org/officeDocument/2006/relationships/vmlDrawing" Target="../drawings/vmlDrawing1.vml"/><Relationship Id="rId133" Type="http://schemas.openxmlformats.org/officeDocument/2006/relationships/drawing" Target="../drawings/drawing1.xml"/><Relationship Id="rId62" Type="http://schemas.openxmlformats.org/officeDocument/2006/relationships/hyperlink" Target="https://proad.trt12.jus.br/proad/pages/fichadoprocesso.xhtml?faces-redirect=true&amp;numeroProtocolo=7825&amp;numeroAno=2020" TargetMode="External"/><Relationship Id="rId61" Type="http://schemas.openxmlformats.org/officeDocument/2006/relationships/hyperlink" Target="https://www.trt12.jus.br/proad/pages/fichadoprocesso.xhtml?numeroProtocolo=10394&amp;numeroAno=2021&amp;tab=tabFichaDocumento" TargetMode="External"/><Relationship Id="rId64" Type="http://schemas.openxmlformats.org/officeDocument/2006/relationships/hyperlink" Target="https://www.trt12.jus.br/proad/pages/fichadoprocesso.xhtml?numeroProtocolo=7825&amp;numeroAno=2020&amp;tab=tabFichaDocumento" TargetMode="External"/><Relationship Id="rId63" Type="http://schemas.openxmlformats.org/officeDocument/2006/relationships/hyperlink" Target="https://proad.trt12.jus.br/proad/pages/fichadoprocesso.xhtml?faces-redirect=true&amp;numeroProtocolo=7825&amp;numeroAno=2020" TargetMode="External"/><Relationship Id="rId66" Type="http://schemas.openxmlformats.org/officeDocument/2006/relationships/hyperlink" Target="https://proad.trt12.jus.br/proad/pages/fichadoprocesso.xhtml?faces-redirect=true&amp;numeroProtocolo=10394&amp;numeroAno=2021" TargetMode="External"/><Relationship Id="rId65" Type="http://schemas.openxmlformats.org/officeDocument/2006/relationships/hyperlink" Target="https://www.trt12.jus.br/proad/pages/fichadoprocesso.xhtml?numeroProtocolo=7825&amp;numeroAno=2020&amp;tab=tabFichaDocumento" TargetMode="External"/><Relationship Id="rId68" Type="http://schemas.openxmlformats.org/officeDocument/2006/relationships/hyperlink" Target="https://www.trt12.jus.br/proad/pages/fichadoprocesso.xhtml?numeroProtocolo=10394&amp;numeroAno=2021&amp;tab=tabFichaDocumento" TargetMode="External"/><Relationship Id="rId67" Type="http://schemas.openxmlformats.org/officeDocument/2006/relationships/hyperlink" Target="https://proad.trt12.jus.br/proad/pages/fichadoprocesso.xhtml?faces-redirect=true&amp;numeroProtocolo=10394&amp;numeroAno=2021" TargetMode="External"/><Relationship Id="rId60" Type="http://schemas.openxmlformats.org/officeDocument/2006/relationships/hyperlink" Target="https://proad.trt12.jus.br/proad/pages/fichadoprocesso.xhtml?faces-redirect=true&amp;numeroProtocolo=10394&amp;numeroAno=2021" TargetMode="External"/><Relationship Id="rId69" Type="http://schemas.openxmlformats.org/officeDocument/2006/relationships/hyperlink" Target="https://proad.trt12.jus.br/proad/pages/fichadoprocesso.xhtml?faces-redirect=true&amp;numeroProtocolo=5228&amp;numeroAno=2020" TargetMode="External"/><Relationship Id="rId51" Type="http://schemas.openxmlformats.org/officeDocument/2006/relationships/hyperlink" Target="https://proad.trt12.jus.br/proad/pages/fichadoprocesso.xhtml?faces-redirect=true&amp;numeroProtocolo=14060&amp;numeroAno=2018" TargetMode="External"/><Relationship Id="rId50" Type="http://schemas.openxmlformats.org/officeDocument/2006/relationships/hyperlink" Target="https://proad.trt12.jus.br/proad/pages/fichadoprocesso.xhtml?faces-redirect=true&amp;numeroProtocolo=14060&amp;numeroAno=2018" TargetMode="External"/><Relationship Id="rId53" Type="http://schemas.openxmlformats.org/officeDocument/2006/relationships/hyperlink" Target="https://proad.trt12.jus.br/proad/pages/fichadoprocesso.xhtml?faces-redirect=true&amp;numeroProtocolo=2832&amp;numeroAno=2022" TargetMode="External"/><Relationship Id="rId52" Type="http://schemas.openxmlformats.org/officeDocument/2006/relationships/hyperlink" Target="https://www.trt12.jus.br/proad/pages/fichadoprocesso.xhtml?numeroProtocolo=14060&amp;numeroAno=2018&amp;tab=tabFichaDocumento" TargetMode="External"/><Relationship Id="rId55" Type="http://schemas.openxmlformats.org/officeDocument/2006/relationships/hyperlink" Target="https://www.trt12.jus.br/proad/pages/fichadoprocesso.xhtml?numeroProtocolo=2832&amp;numeroAno=2022&amp;tab=tabFichaDocumento" TargetMode="External"/><Relationship Id="rId54" Type="http://schemas.openxmlformats.org/officeDocument/2006/relationships/hyperlink" Target="https://proad.trt12.jus.br/proad/pages/fichadoprocesso.xhtml?faces-redirect=true&amp;numeroProtocolo=2832&amp;numeroAno=2022" TargetMode="External"/><Relationship Id="rId57" Type="http://schemas.openxmlformats.org/officeDocument/2006/relationships/hyperlink" Target="https://proad.trt12.jus.br/proad/pages/fichadoprocesso.xhtml?faces-redirect=true&amp;numeroProtocolo=8016&amp;numeroAno=2019" TargetMode="External"/><Relationship Id="rId56" Type="http://schemas.openxmlformats.org/officeDocument/2006/relationships/hyperlink" Target="https://proad.trt12.jus.br/proad/pages/fichadoprocesso.xhtml?faces-redirect=true&amp;numeroProtocolo=8016&amp;numeroAno=2019" TargetMode="External"/><Relationship Id="rId59" Type="http://schemas.openxmlformats.org/officeDocument/2006/relationships/hyperlink" Target="https://proad.trt12.jus.br/proad/pages/fichadoprocesso.xhtml?faces-redirect=true&amp;numeroProtocolo=10394&amp;numeroAno=2021" TargetMode="External"/><Relationship Id="rId58" Type="http://schemas.openxmlformats.org/officeDocument/2006/relationships/hyperlink" Target="https://www.trt12.jus.br/proad/pages/fichadoprocesso.xhtml?numeroProtocolo=8016&amp;numeroAno=2019&amp;tab=tabFichaDocumento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29.xml"/><Relationship Id="rId3" Type="http://schemas.openxmlformats.org/officeDocument/2006/relationships/vmlDrawing" Target="../drawings/vmlDrawing4.vml"/></Relationships>
</file>

<file path=xl/worksheets/_rels/sheet3.xml.rels><?xml version="1.0" encoding="UTF-8" standalone="yes"?><Relationships xmlns="http://schemas.openxmlformats.org/package/2006/relationships"><Relationship Id="rId31" Type="http://schemas.openxmlformats.org/officeDocument/2006/relationships/hyperlink" Target="https://proad.trt12.jus.br/proad/pages/fichadoprocesso.xhtml?faces-redirect=true&amp;numeroProtocolo=9019&amp;numeroAno=2021&amp;tab=tabFichaDocumento" TargetMode="External"/><Relationship Id="rId30" Type="http://schemas.openxmlformats.org/officeDocument/2006/relationships/hyperlink" Target="https://proad.trt12.jus.br/proad/pages/fichadoprocesso.xhtml?faces-redirect=true&amp;numeroProtocolo=9016&amp;numeroAno=2021&amp;tab=tabFichaDocumento" TargetMode="External"/><Relationship Id="rId33" Type="http://schemas.openxmlformats.org/officeDocument/2006/relationships/hyperlink" Target="https://proad.trt12.jus.br/proad/pages/fichadoprocesso.xhtml?faces-redirect=true&amp;numeroProtocolo=9447&amp;numeroAno=2017&amp;tab=tabFichaDocumento" TargetMode="External"/><Relationship Id="rId32" Type="http://schemas.openxmlformats.org/officeDocument/2006/relationships/hyperlink" Target="https://proad.trt12.jus.br/proad/pages/fichadoprocesso.xhtml?faces-redirect=true&amp;numeroProtocolo=9240&amp;numeroAno=2021&amp;tab=tabFichaDocumento" TargetMode="External"/><Relationship Id="rId35" Type="http://schemas.openxmlformats.org/officeDocument/2006/relationships/drawing" Target="../drawings/drawing3.xml"/><Relationship Id="rId34" Type="http://schemas.openxmlformats.org/officeDocument/2006/relationships/hyperlink" Target="https://proad.trt12.jus.br/proad/pages/fichadoprocesso.xhtml?faces-redirect=true&amp;numeroProtocolo=9758&amp;numeroAno=2021&amp;tab=tabFichaDocumento" TargetMode="External"/><Relationship Id="rId20" Type="http://schemas.openxmlformats.org/officeDocument/2006/relationships/hyperlink" Target="https://proad.trt12.jus.br/proad/pages/fichadoprocesso.xhtml?faces-redirect=true&amp;numeroProtocolo=5707&amp;numeroAno=2021&amp;tab=tabFichaDocumento" TargetMode="External"/><Relationship Id="rId22" Type="http://schemas.openxmlformats.org/officeDocument/2006/relationships/hyperlink" Target="https://proad.trt12.jus.br/proad/pages/fichadoprocesso.xhtml?faces-redirect=true&amp;numeroProtocolo=5910&amp;numeroAno=2017&amp;tab=tabFichaDocumento" TargetMode="External"/><Relationship Id="rId21" Type="http://schemas.openxmlformats.org/officeDocument/2006/relationships/hyperlink" Target="https://proad.trt12.jus.br/proad/pages/fichadoprocesso.xhtml?faces-redirect=true&amp;numeroProtocolo=5907&amp;numeroAno=2017&amp;tab=tabFichaDocumento" TargetMode="External"/><Relationship Id="rId24" Type="http://schemas.openxmlformats.org/officeDocument/2006/relationships/hyperlink" Target="https://proad.trt12.jus.br/proad/pages/fichadoprocesso.xhtml?faces-redirect=true&amp;numeroProtocolo=6789&amp;numeroAno=2021&amp;tab=tabFichaDocumento" TargetMode="External"/><Relationship Id="rId23" Type="http://schemas.openxmlformats.org/officeDocument/2006/relationships/hyperlink" Target="https://proad.trt12.jus.br/proad/pages/fichadoprocesso.xhtml?faces-redirect=true&amp;numeroProtocolo=6133&amp;numeroAno=2017&amp;tab=tabFichaDocumento" TargetMode="External"/><Relationship Id="rId26" Type="http://schemas.openxmlformats.org/officeDocument/2006/relationships/hyperlink" Target="https://proad.trt12.jus.br/proad/pages/fichadoprocesso.xhtml?faces-redirect=true&amp;numeroProtocolo=7373&amp;numeroAno=2017&amp;tab=tabFichaDocumento" TargetMode="External"/><Relationship Id="rId25" Type="http://schemas.openxmlformats.org/officeDocument/2006/relationships/hyperlink" Target="https://proad.trt12.jus.br/proad/pages/fichadoprocesso.xhtml?faces-redirect=true&amp;numeroProtocolo=7005&amp;numeroAno=2020&amp;tab=tabFichaDocumento" TargetMode="External"/><Relationship Id="rId28" Type="http://schemas.openxmlformats.org/officeDocument/2006/relationships/hyperlink" Target="https://proad.trt12.jus.br/proad/pages/fichadoprocesso.xhtml?faces-redirect=true&amp;numeroProtocolo=8016&amp;numeroAno=2019&amp;tab=tabFichaDocumento" TargetMode="External"/><Relationship Id="rId27" Type="http://schemas.openxmlformats.org/officeDocument/2006/relationships/hyperlink" Target="https://proad.trt12.jus.br/proad/pages/fichadoprocesso.xhtml?faces-redirect=true&amp;numeroProtocolo=7825&amp;numeroAno=2020&amp;tab=tabFichaDocumento" TargetMode="External"/><Relationship Id="rId29" Type="http://schemas.openxmlformats.org/officeDocument/2006/relationships/hyperlink" Target="https://proad.trt12.jus.br/proad/pages/fichadoprocesso.xhtml?faces-redirect=true&amp;numeroProtocolo=8560&amp;numeroAno=2018&amp;tab=tabFichaDocumento" TargetMode="External"/><Relationship Id="rId11" Type="http://schemas.openxmlformats.org/officeDocument/2006/relationships/hyperlink" Target="https://proad.trt12.jus.br/proad/pages/fichadoprocesso.xhtml?faces-redirect=true&amp;numeroProtocolo=2689&amp;numeroAno=2021&amp;tab=tabFichaDocumento" TargetMode="External"/><Relationship Id="rId10" Type="http://schemas.openxmlformats.org/officeDocument/2006/relationships/hyperlink" Target="https://proad.trt12.jus.br/proad/pages/fichadoprocesso.xhtml?faces-redirect=true&amp;numeroProtocolo=2049&amp;numeroAno=2022&amp;tab=tabFichaDocumento" TargetMode="External"/><Relationship Id="rId13" Type="http://schemas.openxmlformats.org/officeDocument/2006/relationships/hyperlink" Target="https://proad.trt12.jus.br/proad/pages/fichadoprocesso.xhtml?faces-redirect=true&amp;numeroProtocolo=2832&amp;numeroAno=2022&amp;tab=tabFichaDocumento" TargetMode="External"/><Relationship Id="rId12" Type="http://schemas.openxmlformats.org/officeDocument/2006/relationships/hyperlink" Target="https://proad.trt12.jus.br/proad/pages/fichadoprocesso.xhtml?faces-redirect=true&amp;numeroProtocolo=280&amp;numeroAno=2020&amp;tab=tabFichaDocumento" TargetMode="External"/><Relationship Id="rId15" Type="http://schemas.openxmlformats.org/officeDocument/2006/relationships/hyperlink" Target="https://proad.trt12.jus.br/proad/pages/fichadoprocesso.xhtml?faces-redirect=true&amp;numeroProtocolo=3995&amp;numeroAno=2019&amp;tab=tabFichaDocumento" TargetMode="External"/><Relationship Id="rId14" Type="http://schemas.openxmlformats.org/officeDocument/2006/relationships/hyperlink" Target="https://proad.trt12.jus.br/proad/pages/fichadoprocesso.xhtml?faces-redirect=true&amp;numeroProtocolo=3891&amp;numeroAno=2017&amp;tab=tabFichaDocumento" TargetMode="External"/><Relationship Id="rId17" Type="http://schemas.openxmlformats.org/officeDocument/2006/relationships/hyperlink" Target="https://proad.trt12.jus.br/proad/pages/fichadoprocesso.xhtml?faces-redirect=true&amp;numeroProtocolo=447&amp;numeroAno=2022&amp;tab=tabFichaDocumento" TargetMode="External"/><Relationship Id="rId16" Type="http://schemas.openxmlformats.org/officeDocument/2006/relationships/hyperlink" Target="https://proad.trt12.jus.br/proad/pages/fichadoprocesso.xhtml?faces-redirect=true&amp;numeroProtocolo=4057&amp;numeroAno=2020&amp;tab=tabFichaDocumento" TargetMode="External"/><Relationship Id="rId19" Type="http://schemas.openxmlformats.org/officeDocument/2006/relationships/hyperlink" Target="https://proad.trt12.jus.br/proad/pages/fichadoprocesso.xhtml?faces-redirect=true&amp;numeroProtocolo=5424&amp;numeroAno=2017&amp;tab=tabFichaDocumento" TargetMode="External"/><Relationship Id="rId18" Type="http://schemas.openxmlformats.org/officeDocument/2006/relationships/hyperlink" Target="https://proad.trt12.jus.br/proad/pages/fichadoprocesso.xhtml?faces-redirect=true&amp;numeroProtocolo=5228&amp;numeroAno=2020&amp;tab=tabFichaDocumento" TargetMode="External"/><Relationship Id="rId1" Type="http://schemas.openxmlformats.org/officeDocument/2006/relationships/pivotTable" Target="../pivotTables/pivotTable1.xml"/><Relationship Id="rId2" Type="http://schemas.openxmlformats.org/officeDocument/2006/relationships/hyperlink" Target="https://proad.trt12.jus.br/proad/pages/fichadoprocesso.xhtml?faces-redirect=true&amp;numeroProtocolo=1038&amp;numeroAno=2021&amp;tab=tabFichaDocumento" TargetMode="External"/><Relationship Id="rId3" Type="http://schemas.openxmlformats.org/officeDocument/2006/relationships/hyperlink" Target="https://proad.trt12.jus.br/proad/pages/fichadoprocesso.xhtml?faces-redirect=true&amp;numeroProtocolo=10394&amp;numeroAno=2021&amp;tab=tabFichaDocumento" TargetMode="External"/><Relationship Id="rId4" Type="http://schemas.openxmlformats.org/officeDocument/2006/relationships/hyperlink" Target="https://proad.trt12.jus.br/proad/pages/fichadoprocesso.xhtml?faces-redirect=true&amp;numeroProtocolo=11741&amp;numeroAno=2017&amp;tab=tabFichaDocumento" TargetMode="External"/><Relationship Id="rId9" Type="http://schemas.openxmlformats.org/officeDocument/2006/relationships/hyperlink" Target="https://proad.trt12.jus.br/proad/pages/fichadoprocesso.xhtml?faces-redirect=true&amp;numeroProtocolo=1674&amp;numeroAno=2021&amp;tab=tabFichaDocumento" TargetMode="External"/><Relationship Id="rId5" Type="http://schemas.openxmlformats.org/officeDocument/2006/relationships/hyperlink" Target="https://proad.trt12.jus.br/proad/pages/fichadoprocesso.xhtml?faces-redirect=true&amp;numeroProtocolo=12010&amp;numeroAno=2020&amp;tab=tabFichaDocumento" TargetMode="External"/><Relationship Id="rId6" Type="http://schemas.openxmlformats.org/officeDocument/2006/relationships/hyperlink" Target="https://proad.trt12.jus.br/proad/pages/fichadoprocesso.xhtml?faces-redirect=true&amp;numeroProtocolo=12216&amp;numeroAno=2016&amp;tab=tabFichaDocumento" TargetMode="External"/><Relationship Id="rId7" Type="http://schemas.openxmlformats.org/officeDocument/2006/relationships/hyperlink" Target="https://proad.trt12.jus.br/proad/pages/fichadoprocesso.xhtml?faces-redirect=true&amp;numeroProtocolo=14060&amp;numeroAno=2018&amp;tab=tabFichaDocumento" TargetMode="External"/><Relationship Id="rId8" Type="http://schemas.openxmlformats.org/officeDocument/2006/relationships/hyperlink" Target="https://proad.trt12.jus.br/proad/pages/fichadoprocesso.xhtml?faces-redirect=true&amp;numeroProtocolo=148&amp;numeroAno=2022&amp;tab=tabFichaDocumento" TargetMode="Externa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6.xml.rels><?xml version="1.0" encoding="UTF-8" standalone="yes"?><Relationships xmlns="http://schemas.openxmlformats.org/package/2006/relationships"><Relationship Id="rId11" Type="http://schemas.openxmlformats.org/officeDocument/2006/relationships/hyperlink" Target="https://www.trt12.jus.br/proad/pages/fichadoprocesso.xhtml?numeroProtocolo=6133&amp;numeroAno=2017&amp;tab=tabFichaDocumento" TargetMode="External"/><Relationship Id="rId10" Type="http://schemas.openxmlformats.org/officeDocument/2006/relationships/hyperlink" Target="https://www.trt12.jus.br/proad/pages/fichadoprocesso.xhtml?numeroProtocolo=9019&amp;numeroAno=2021&amp;tab=tabFichaDocumento" TargetMode="External"/><Relationship Id="rId12" Type="http://schemas.openxmlformats.org/officeDocument/2006/relationships/drawing" Target="../drawings/drawing6.xml"/><Relationship Id="rId1" Type="http://schemas.openxmlformats.org/officeDocument/2006/relationships/hyperlink" Target="https://www.trt12.jus.br/proad/pages/fichadoprocesso.xhtml?numeroProtocolo=3891&amp;numeroAno=2017&amp;tab=tabFichaDocumento" TargetMode="External"/><Relationship Id="rId2" Type="http://schemas.openxmlformats.org/officeDocument/2006/relationships/hyperlink" Target="https://www.trt12.jus.br/proad/pages/fichadoprocesso.xhtml?numeroProtocolo=5907&amp;numeroAno=2017&amp;tab=tabFichaDocumento" TargetMode="External"/><Relationship Id="rId3" Type="http://schemas.openxmlformats.org/officeDocument/2006/relationships/hyperlink" Target="https://www.trt12.jus.br/proad/pages/fichadoprocesso.xhtml?numeroProtocolo=3995&amp;numeroAno=2019&amp;tab=tabFichaDocumento" TargetMode="External"/><Relationship Id="rId4" Type="http://schemas.openxmlformats.org/officeDocument/2006/relationships/hyperlink" Target="https://www.trt12.jus.br/proad/pages/fichadoprocesso.xhtml?numeroProtocolo=5910&amp;numeroAno=2017&amp;tab=tabFichaDocumento" TargetMode="External"/><Relationship Id="rId9" Type="http://schemas.openxmlformats.org/officeDocument/2006/relationships/hyperlink" Target="https://www.trt12.jus.br/proad/pages/fichadoprocesso.xhtml?numeroProtocolo=9758&amp;numeroAno=2021&amp;tab=tabFichaDocumento" TargetMode="External"/><Relationship Id="rId5" Type="http://schemas.openxmlformats.org/officeDocument/2006/relationships/hyperlink" Target="https://www.trt12.jus.br/proad/pages/fichadoprocesso.xhtml?numeroProtocolo=11741&amp;numeroAno=2017&amp;tab=tabFichaDocumento" TargetMode="External"/><Relationship Id="rId6" Type="http://schemas.openxmlformats.org/officeDocument/2006/relationships/hyperlink" Target="https://www.trt12.jus.br/proad/pages/fichadoprocesso.xhtml?numeroProtocolo=9447&amp;numeroAno=2017&amp;tab=tabFichaDocumento" TargetMode="External"/><Relationship Id="rId7" Type="http://schemas.openxmlformats.org/officeDocument/2006/relationships/hyperlink" Target="https://www.trt12.jus.br/proad/pages/fichadoprocesso.xhtml?numeroProtocolo=7825&amp;numeroAno=2020&amp;tab=tabFichaDocumento" TargetMode="External"/><Relationship Id="rId8" Type="http://schemas.openxmlformats.org/officeDocument/2006/relationships/hyperlink" Target="https://www.trt12.jus.br/proad/pages/fichadoprocesso.xhtml?numeroProtocolo=5228&amp;numeroAno=2020&amp;tab=tabFichaDocumento" TargetMode="Externa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</sheetPr>
  <sheetViews>
    <sheetView workbookViewId="0">
      <pane xSplit="3.0" ySplit="1.0" topLeftCell="D2" activePane="bottomRight" state="frozen"/>
      <selection activeCell="D1" sqref="D1" pane="topRight"/>
      <selection activeCell="A2" sqref="A2" pane="bottomLeft"/>
      <selection activeCell="D2" sqref="D2" pane="bottomRight"/>
    </sheetView>
  </sheetViews>
  <sheetFormatPr customHeight="1" defaultColWidth="12.63" defaultRowHeight="15.75"/>
  <cols>
    <col customWidth="1" min="1" max="2" width="7.13"/>
    <col customWidth="1" min="3" max="3" width="26.0"/>
    <col customWidth="1" min="4" max="6" width="34.0"/>
    <col customWidth="1" min="7" max="7" width="36.38"/>
    <col customWidth="1" min="8" max="8" width="14.0"/>
    <col customWidth="1" min="9" max="9" width="13.38"/>
    <col customWidth="1" min="10" max="13" width="12.25"/>
    <col customWidth="1" min="14" max="15" width="13.38"/>
    <col customWidth="1" min="16" max="16" width="12.25"/>
    <col customWidth="1" min="17" max="17" width="19.5"/>
    <col customWidth="1" min="18" max="18" width="18.25"/>
    <col customWidth="1" min="19" max="19" width="19.75"/>
    <col customWidth="1" min="20" max="20" width="28.5"/>
    <col customWidth="1" min="21" max="21" width="23.0"/>
    <col customWidth="1" min="22" max="23" width="14.13"/>
    <col customWidth="1" min="24" max="24" width="14.63"/>
    <col customWidth="1" min="25" max="25" width="27.75"/>
    <col customWidth="1" min="26" max="26" width="12.88"/>
    <col customWidth="1" min="27" max="27" width="17.88"/>
    <col customWidth="1" min="28" max="28" width="14.13"/>
    <col customWidth="1" min="29" max="29" width="16.5"/>
    <col customWidth="1" min="30" max="30" width="15.5"/>
    <col customWidth="1" min="31" max="31" width="17.0"/>
    <col customWidth="1" min="32" max="32" width="15.0"/>
    <col customWidth="1" min="33" max="33" width="10.38"/>
    <col customWidth="1" min="34" max="34" width="12.38"/>
    <col customWidth="1" min="35" max="35" width="15.25"/>
    <col customWidth="1" min="36" max="36" width="13.88"/>
    <col customWidth="1" min="37" max="37" width="20.88"/>
    <col customWidth="1" min="38" max="39" width="14.88"/>
    <col customWidth="1" min="40" max="41" width="13.88"/>
    <col customWidth="1" min="42" max="42" width="17.38"/>
    <col customWidth="1" min="43" max="44" width="14.88"/>
    <col customWidth="1" min="45" max="45" width="13.0"/>
    <col customWidth="1" min="46" max="46" width="14.88"/>
    <col customWidth="1" min="47" max="47" width="13.0"/>
    <col customWidth="1" min="48" max="48" width="17.0"/>
    <col customWidth="1" min="49" max="53" width="13.0"/>
    <col customWidth="1" min="54" max="54" width="14.5"/>
    <col customWidth="1" min="55" max="55" width="20.5"/>
    <col customWidth="1" min="56" max="57" width="15.13"/>
    <col customWidth="1" min="58" max="58" width="15.0"/>
    <col customWidth="1" min="59" max="59" width="13.0"/>
    <col customWidth="1" min="60" max="60" width="13.88"/>
    <col customWidth="1" min="61" max="61" width="14.5"/>
    <col customWidth="1" min="62" max="62" width="14.88"/>
    <col customWidth="1" min="63" max="63" width="15.13"/>
    <col customWidth="1" min="64" max="64" width="13.88"/>
    <col customWidth="1" min="65" max="65" width="19.13"/>
    <col customWidth="1" min="66" max="72" width="16.5"/>
    <col customWidth="1" min="73" max="73" width="48.75"/>
    <col customWidth="1" min="74" max="83" width="16.25"/>
    <col customWidth="1" min="84" max="84" width="17.63"/>
    <col customWidth="1" min="85" max="87" width="16.25"/>
    <col customWidth="1" min="88" max="90" width="15.0"/>
    <col customWidth="1" min="91" max="91" width="14.13"/>
    <col customWidth="1" min="92" max="92" width="15.38"/>
    <col customWidth="1" min="93" max="93" width="22.38"/>
    <col customWidth="1" min="94" max="94" width="19.88"/>
    <col customWidth="1" min="95" max="95" width="22.38"/>
    <col customWidth="1" min="96" max="103" width="11.0"/>
    <col customWidth="1" min="104" max="104" width="29.75"/>
    <col customWidth="1" min="105" max="105" width="20.88"/>
    <col customWidth="1" min="106" max="106" width="37.38"/>
    <col customWidth="1" min="107" max="110" width="17.88"/>
    <col customWidth="1" min="111" max="111" width="18.0"/>
    <col customWidth="1" min="112" max="112" width="11.0"/>
  </cols>
  <sheetData>
    <row r="1" ht="81.0" customHeight="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7" t="s">
        <v>13</v>
      </c>
      <c r="O1" s="8" t="s">
        <v>14</v>
      </c>
      <c r="P1" s="9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1" t="s">
        <v>20</v>
      </c>
      <c r="V1" s="12" t="s">
        <v>21</v>
      </c>
      <c r="W1" s="12" t="s">
        <v>22</v>
      </c>
      <c r="X1" s="11" t="s">
        <v>23</v>
      </c>
      <c r="Y1" s="11" t="s">
        <v>24</v>
      </c>
      <c r="Z1" s="11" t="s">
        <v>25</v>
      </c>
      <c r="AA1" s="13" t="s">
        <v>26</v>
      </c>
      <c r="AB1" s="14" t="s">
        <v>27</v>
      </c>
      <c r="AC1" s="15" t="s">
        <v>28</v>
      </c>
      <c r="AD1" s="16" t="s">
        <v>29</v>
      </c>
      <c r="AE1" s="16" t="s">
        <v>30</v>
      </c>
      <c r="AF1" s="17" t="s">
        <v>31</v>
      </c>
      <c r="AG1" s="18" t="s">
        <v>32</v>
      </c>
      <c r="AH1" s="19" t="s">
        <v>33</v>
      </c>
      <c r="AI1" s="20" t="s">
        <v>34</v>
      </c>
      <c r="AJ1" s="19" t="s">
        <v>35</v>
      </c>
      <c r="AK1" s="17" t="s">
        <v>36</v>
      </c>
      <c r="AL1" s="21" t="s">
        <v>37</v>
      </c>
      <c r="AM1" s="21" t="s">
        <v>38</v>
      </c>
      <c r="AN1" s="22" t="s">
        <v>39</v>
      </c>
      <c r="AO1" s="21" t="s">
        <v>40</v>
      </c>
      <c r="AP1" s="23" t="s">
        <v>41</v>
      </c>
      <c r="AQ1" s="21" t="s">
        <v>42</v>
      </c>
      <c r="AR1" s="19" t="s">
        <v>43</v>
      </c>
      <c r="AS1" s="24" t="s">
        <v>44</v>
      </c>
      <c r="AT1" s="21" t="s">
        <v>45</v>
      </c>
      <c r="AU1" s="24" t="s">
        <v>46</v>
      </c>
      <c r="AV1" s="25" t="s">
        <v>47</v>
      </c>
      <c r="AW1" s="26" t="s">
        <v>48</v>
      </c>
      <c r="AX1" s="26" t="s">
        <v>49</v>
      </c>
      <c r="AY1" s="27" t="s">
        <v>50</v>
      </c>
      <c r="AZ1" s="27" t="s">
        <v>51</v>
      </c>
      <c r="BA1" s="27" t="s">
        <v>52</v>
      </c>
      <c r="BB1" s="21" t="s">
        <v>53</v>
      </c>
      <c r="BC1" s="28" t="s">
        <v>54</v>
      </c>
      <c r="BD1" s="29" t="s">
        <v>55</v>
      </c>
      <c r="BE1" s="11" t="s">
        <v>56</v>
      </c>
      <c r="BF1" s="11" t="s">
        <v>57</v>
      </c>
      <c r="BG1" s="30" t="s">
        <v>58</v>
      </c>
      <c r="BH1" s="30" t="s">
        <v>59</v>
      </c>
      <c r="BI1" s="30" t="s">
        <v>60</v>
      </c>
      <c r="BJ1" s="30" t="s">
        <v>61</v>
      </c>
      <c r="BK1" s="30" t="s">
        <v>62</v>
      </c>
      <c r="BL1" s="11" t="s">
        <v>63</v>
      </c>
      <c r="BM1" s="30" t="s">
        <v>64</v>
      </c>
      <c r="BN1" s="31" t="s">
        <v>65</v>
      </c>
      <c r="BO1" s="31" t="s">
        <v>66</v>
      </c>
      <c r="BP1" s="32" t="s">
        <v>67</v>
      </c>
      <c r="BQ1" s="30" t="s">
        <v>68</v>
      </c>
      <c r="BR1" s="30" t="s">
        <v>69</v>
      </c>
      <c r="BS1" s="30" t="s">
        <v>70</v>
      </c>
      <c r="BT1" s="30" t="s">
        <v>71</v>
      </c>
      <c r="BU1" s="33" t="s">
        <v>72</v>
      </c>
      <c r="BV1" s="34" t="s">
        <v>73</v>
      </c>
      <c r="BW1" s="35" t="s">
        <v>74</v>
      </c>
      <c r="BX1" s="35" t="s">
        <v>75</v>
      </c>
      <c r="BY1" s="35" t="s">
        <v>76</v>
      </c>
      <c r="BZ1" s="36" t="s">
        <v>77</v>
      </c>
      <c r="CA1" s="35" t="s">
        <v>78</v>
      </c>
      <c r="CB1" s="35" t="s">
        <v>79</v>
      </c>
      <c r="CC1" s="35" t="s">
        <v>80</v>
      </c>
      <c r="CD1" s="35" t="s">
        <v>81</v>
      </c>
      <c r="CE1" s="37" t="s">
        <v>82</v>
      </c>
      <c r="CF1" s="35" t="s">
        <v>83</v>
      </c>
      <c r="CG1" s="38" t="s">
        <v>84</v>
      </c>
      <c r="CH1" s="38" t="s">
        <v>85</v>
      </c>
      <c r="CI1" s="38" t="s">
        <v>86</v>
      </c>
      <c r="CJ1" s="39" t="s">
        <v>87</v>
      </c>
      <c r="CK1" s="40" t="s">
        <v>88</v>
      </c>
      <c r="CL1" s="41" t="s">
        <v>89</v>
      </c>
      <c r="CM1" s="41" t="s">
        <v>90</v>
      </c>
      <c r="CN1" s="42" t="s">
        <v>91</v>
      </c>
      <c r="CO1" s="43" t="s">
        <v>92</v>
      </c>
      <c r="CP1" s="42" t="s">
        <v>93</v>
      </c>
      <c r="CQ1" s="44" t="s">
        <v>94</v>
      </c>
      <c r="CR1" s="45" t="s">
        <v>95</v>
      </c>
      <c r="CS1" s="45" t="s">
        <v>96</v>
      </c>
      <c r="CT1" s="45" t="s">
        <v>96</v>
      </c>
      <c r="CU1" s="45" t="s">
        <v>96</v>
      </c>
      <c r="CV1" s="46" t="s">
        <v>97</v>
      </c>
      <c r="CW1" s="46" t="s">
        <v>98</v>
      </c>
      <c r="CX1" s="47" t="s">
        <v>99</v>
      </c>
      <c r="CY1" s="48" t="s">
        <v>100</v>
      </c>
      <c r="CZ1" s="49"/>
      <c r="DA1" s="49"/>
      <c r="DB1" s="49" t="s">
        <v>101</v>
      </c>
      <c r="DC1" s="49" t="s">
        <v>102</v>
      </c>
      <c r="DD1" s="49" t="s">
        <v>103</v>
      </c>
      <c r="DE1" s="49" t="s">
        <v>104</v>
      </c>
      <c r="DF1" s="49" t="s">
        <v>105</v>
      </c>
      <c r="DG1" s="49" t="s">
        <v>106</v>
      </c>
      <c r="DH1" s="48" t="s">
        <v>107</v>
      </c>
    </row>
    <row r="2" ht="31.5" customHeight="1">
      <c r="A2" s="50">
        <v>0.0</v>
      </c>
      <c r="B2" s="50">
        <v>0.0</v>
      </c>
      <c r="C2" s="51" t="s">
        <v>108</v>
      </c>
      <c r="D2" s="52" t="str">
        <f t="array" ref="D2:D71">VLOOKUP(H2:H71,Justificativas!A7:B11,2,0) &amp; VLOOKUP(Q2:Q71,Justificativas!A1:B6,2,0) </f>
        <v>#N/A</v>
      </c>
      <c r="E2" s="52" t="s">
        <v>109</v>
      </c>
      <c r="F2" s="52"/>
      <c r="G2" s="52" t="str">
        <f>IFERROR(__xludf.DUMMYFUNCTION("arrayformula(""(ID PAAC "" &amp; TO_TEXT(A2:A71) &amp; "") "" &amp; C2:C71)"),"(ID PAAC 00000) NÃO APAGAR. Linha de fórmulas e parâmetros")</f>
        <v>(ID PAAC 00000) NÃO APAGAR. Linha de fórmulas e parâmetros</v>
      </c>
      <c r="H2" s="53"/>
      <c r="I2" s="53"/>
      <c r="J2" s="53"/>
      <c r="K2" s="54"/>
      <c r="L2" s="55">
        <f t="array" ref="L2:L71">iferror(VLOOKUP(AP2:AP71,'NE SIGEO'!C1:AA3384,13,0),0)</f>
        <v>0</v>
      </c>
      <c r="M2" s="56"/>
      <c r="N2" s="56">
        <f t="array" ref="N2:N71">iferror(VLOOKUP(AP2:AP71,'NE SIGEO'!C1:AA3384,11,0),0)</f>
        <v>0</v>
      </c>
      <c r="O2" s="50"/>
      <c r="P2" s="52" t="str">
        <f t="array" ref="P2:P71">if(O2:O71=168105,"Não","Sim")</f>
        <v>Sim</v>
      </c>
      <c r="Q2" s="53"/>
      <c r="R2" s="53"/>
      <c r="S2" s="53"/>
      <c r="T2" s="53"/>
      <c r="U2" s="57"/>
      <c r="V2" s="58"/>
      <c r="W2" s="58"/>
      <c r="X2" s="53"/>
      <c r="Y2" s="53"/>
      <c r="Z2" s="53"/>
      <c r="AA2" s="59" t="str">
        <f t="array" ref="AA2:AA71">HYPERLINK("https://proad.trt12.jus.br/proad/pages/fichadoprocesso.xhtml?faces-redirect=true&amp;numeroProtocolo="&amp;LEFT(W2:W71,FIND("/",W2:W71)-1)&amp;"&amp;numeroAno="&amp;RIGHT(W2:W71,4),if(W2:W71&lt;&gt;"",Z2:Z71 &amp; "-" &amp; W2:W71,""))</f>
        <v/>
      </c>
      <c r="AB2" s="60" t="str">
        <f t="array" ref="AB2:AB71">VLOOKUP(AP2:AP71,fEmpenho2020!B2:S71,7,0)</f>
        <v>#N/A</v>
      </c>
      <c r="AC2" s="61" t="str">
        <f t="array" ref="AC2:AC71">VLOOKUP(AP2:AP71,fEmpenho2020!B2:S71,6,0)</f>
        <v>#N/A</v>
      </c>
      <c r="AD2" s="62" t="str">
        <f t="array" ref="AD2:AD71">if(AE2:AE71&lt;&gt;"",iferror(AE2:AE71-VLOOKUP(Y2:Y71,'Deliberação-Modalidade'!B:C,2,0)),"")</f>
        <v/>
      </c>
      <c r="AE2" s="63"/>
      <c r="AF2" s="64" t="str">
        <f t="array" ref="AF2:AF71">VLOOKUP(X2:X71,'Areas de TIC'!A:C,2,0)&amp;CHAR(10)&amp;VLOOKUP(X2:X71,'Areas de TIC'!A:C,3,0)</f>
        <v>#N/A</v>
      </c>
      <c r="AG2" s="65"/>
      <c r="AH2" s="66" t="str">
        <f t="array" ref="AH2:AH71">iferror(AT2:AT71/AG2:AG71)</f>
        <v/>
      </c>
      <c r="AI2" s="64"/>
      <c r="AJ2" s="66"/>
      <c r="AK2" s="66" t="str">
        <f t="array" ref="AK2:AK3">iferror(VLOOKUP(A2:A71,Gestores!1:40,5,0))</f>
        <v>#REF!</v>
      </c>
      <c r="AL2" s="66"/>
      <c r="AM2" s="66"/>
      <c r="AN2" s="66">
        <f t="array" ref="AN2:AN71">AT2:AT71-AO2:AO71</f>
        <v>0</v>
      </c>
      <c r="AO2" s="66">
        <v>0.0</v>
      </c>
      <c r="AP2" s="58"/>
      <c r="AQ2" s="66">
        <f t="array" ref="AQ2:AQ71">IFERROR(VLOOKUP(A2:A71,'POP 2022 - 09112021'!AN:AO,2,0),0)</f>
        <v>0</v>
      </c>
      <c r="AR2" s="66"/>
      <c r="AS2" s="66" t="str">
        <f>VLOOKUP(A2,'Cópia de ult parc 2021'!A:B,2,0)</f>
        <v/>
      </c>
      <c r="AT2" s="66">
        <f t="array" ref="AT2:AT71">IF(R2:R71&lt;&gt;"1 - Selecionado",0,AR2:AR71)</f>
        <v>0</v>
      </c>
      <c r="AU2" s="66"/>
      <c r="AV2" s="56"/>
      <c r="AW2" s="66">
        <f t="array" ref="AW2:AW71">AV2:AV71*AU2:AU71</f>
        <v>0</v>
      </c>
      <c r="AX2" s="66">
        <v>0.0</v>
      </c>
      <c r="AY2" s="66">
        <f t="array" ref="AY2:AY71">iferror(VLOOKUP(AP2:AP71,fEmpenho2020!B1:S71,17,0),0)</f>
        <v>0</v>
      </c>
      <c r="AZ2" s="66">
        <f t="array" ref="AZ2:AZ71">AY2:AY71-BA2:BA71</f>
        <v>0</v>
      </c>
      <c r="BA2" s="66">
        <f t="array" ref="BA2:BA71">iferror(VLOOKUP(AP2:AP71,fEmpenho2020!B1:S71,18,0),0)</f>
        <v>0</v>
      </c>
      <c r="BB2" s="66" t="str">
        <f t="array" ref="BB2:BB71">HYPERLINK("https://proad.trt12.jus.br/proad/pages/fichadoprocesso.xhtml?faces-redirect=true&amp;numeroProtocolo="&amp;LEFT(W2:W71,FIND("/",W2:W71)-1)&amp;"&amp;numeroAno="&amp;RIGHT(W2:W71,4),if(W2:W71&lt;&gt;"",Z2:Z71 &amp; "-" &amp; W2:W71,""))</f>
        <v/>
      </c>
      <c r="BC2" s="56" t="str">
        <f t="array" ref="BC2:BC71">IFERROR(VLOOKUP(A2:A71,'POP 2022 - 09112021'!$AN:$AQ,4,0))</f>
        <v/>
      </c>
      <c r="BD2" s="64" t="s">
        <v>110</v>
      </c>
      <c r="BE2" s="66"/>
      <c r="BF2" s="64"/>
      <c r="BG2" s="65"/>
      <c r="BH2" s="65">
        <f t="array" ref="BH2:BH71">BG2:BG71+(4-left(Q2:Q71,1))*100000</f>
        <v>400000</v>
      </c>
      <c r="BI2" s="64" t="str">
        <f t="array" ref="BI2:BI71">if(H2:H71="Reserva","Não se aplica",if(Q2:Q71="1 - Imprescindível","Alta",if(Q2:Q71="2 - Importante","Média",if(Q2:Q71="3 - Desejável","Baixa",""))))</f>
        <v/>
      </c>
      <c r="BJ2" s="65"/>
      <c r="BK2" s="64" t="str">
        <f t="array" ref="BK2:BK71">if(H2:H71="Continuado","ano","unidade")</f>
        <v>unidade</v>
      </c>
      <c r="BL2" s="67" t="e">
        <v>#N/A</v>
      </c>
      <c r="BM2" s="52" t="b">
        <f t="array" ref="BM2:BM71">if(R2:R71="3 - Não Selecionado","AG_ORÇAMENTO",if(R2:R71="5 - Próximo PCTIC","PRÓXIMO PAAC",if(R2:R71="4 - Cancelado","CANCELADO",if(R2:R71="1 - Selecionado",if(U2:U71="99 - Orçamentário","ORÇAMENTO",Y2:Y71)))))</f>
        <v>0</v>
      </c>
      <c r="BN2" s="63" t="s">
        <v>109</v>
      </c>
      <c r="BO2" s="63" t="s">
        <v>109</v>
      </c>
      <c r="BP2" s="66" t="s">
        <v>109</v>
      </c>
      <c r="BQ2" s="66" t="s">
        <v>109</v>
      </c>
      <c r="BR2" s="66" t="s">
        <v>109</v>
      </c>
      <c r="BS2" s="66">
        <f t="array" ref="BS2:BS71">AT2:AT71</f>
        <v>0</v>
      </c>
      <c r="BT2" s="66"/>
      <c r="BU2" s="64" t="str">
        <f t="array" ref="BU2:BU71">VLOOKUP(M2:M71,'Atualização Contas de Despesa'!$19:$96,2,0)</f>
        <v>#N/A</v>
      </c>
      <c r="BV2" s="66"/>
      <c r="BW2" s="66"/>
      <c r="BX2" s="54"/>
      <c r="BY2" s="54"/>
      <c r="BZ2" s="63"/>
      <c r="CA2" s="54"/>
      <c r="CB2" s="54" t="str">
        <f t="array" ref="CB2:CB71">VLOOKUP(O2:O71,Ptres!1:8090,2,0)</f>
        <v>#N/A</v>
      </c>
      <c r="CC2" s="54" t="str">
        <f t="array" ref="CC2:CC71">BV2:BV71 &amp; " - " &amp; BY2:BY71</f>
        <v> - </v>
      </c>
      <c r="CD2" s="54" t="str">
        <f t="array" ref="CD2:CD71">VLOOKUP(VALUE(LEFT(""&amp;M2:M71,6)),'Descrição Natureza'!$A:$B,2,0)</f>
        <v>#N/A</v>
      </c>
      <c r="CE2" s="56"/>
      <c r="CF2" s="54" t="str">
        <f t="array" ref="CF2:CF71">VLOOKUP(M2:M71,'Descrição Subitem'!$A:$B,2,0)</f>
        <v>#N/A</v>
      </c>
      <c r="CG2" s="68" t="str">
        <f t="array" ref="CG2:CG71">if(CH2:CH71&lt;&gt;"",iferror(CH2:CH71-VLOOKUP(CI2:CI71,Modalidades!A:C,3,0)),"")</f>
        <v/>
      </c>
      <c r="CH2" s="63">
        <f t="array" ref="CH2:CH71">AE2:AE71+365</f>
        <v>365</v>
      </c>
      <c r="CI2" s="63" t="str">
        <f t="array" ref="CI2:CI71">Y2:Y71</f>
        <v/>
      </c>
      <c r="CJ2" s="66"/>
      <c r="CK2" s="63"/>
      <c r="CL2" s="66"/>
      <c r="CM2" s="64"/>
      <c r="CN2" s="66" t="str">
        <f t="array" ref="CN2:CN71">HYPERLINK("https://www.trt12.jus.br/proad/pages/fichadoprocesso.xhtml?numeroProtocolo="&amp;mid(AA2:AA71,FIND("-",AA2:AA71,1)+1,FIND("/",AA2:AA71,1)-FIND("-",AA2:AA71,1)-1)&amp;"&amp;numeroAno="&amp;right(AA2:AA71,4)&amp;"&amp;tab=tabFichaDocumento",AA2:AA71)</f>
        <v/>
      </c>
      <c r="CO2" s="66"/>
      <c r="CP2" s="66"/>
      <c r="CQ2" s="66"/>
      <c r="CR2" s="66"/>
      <c r="CS2" s="66"/>
      <c r="CT2" s="66"/>
      <c r="CU2" s="66"/>
      <c r="CV2" s="69">
        <f t="array" ref="CV2:CV71">IFERROR(BA2:BA71-CW2:CW71,0)</f>
        <v>0</v>
      </c>
      <c r="CW2" s="69">
        <f t="array" ref="CW2:CW71">VALUE(IFERROR(VLOOKUP(AP2:AP71&amp;"",fRestosAPagar!$D$1:$V71,19,0)))</f>
        <v>0</v>
      </c>
      <c r="CX2" s="70" t="str">
        <f t="array" ref="CX2:CX71">VLOOKUP(AP2:AP71,fNotasDeEmpenho!A2:C71,3,0)</f>
        <v>#N/A</v>
      </c>
      <c r="CY2" s="71" t="str">
        <f t="array" ref="CY2:CY71">iferror(INT((MONTH(CX2:CX71)-1)/2)+1)</f>
        <v/>
      </c>
      <c r="CZ2" s="72" t="str">
        <f>IFERROR(__xludf.DUMMYFUNCTION("ARRAYFORMULA(SUBSTITUTE(REGEXEXTRACT(C2:C71, ""[A-Z ÇÃÊÍ0-9]+""),"" - "", """"))"),"NÃO APAGAR")</f>
        <v>NÃO APAGAR</v>
      </c>
      <c r="DA2" s="72" t="str">
        <f>IFERROR(__xludf.DUMMYFUNCTION("ARRAYFORMULA(SUBSTITUTE(REGEXEXTRACT(C2:C71, "" - .+""),"" - "", """"))"),"#N/A")</f>
        <v>#N/A</v>
      </c>
      <c r="DB2" s="72"/>
      <c r="DC2" s="71"/>
      <c r="DD2" s="71"/>
      <c r="DE2" s="72"/>
      <c r="DF2" s="72"/>
      <c r="DG2" s="71"/>
      <c r="DH2" s="71"/>
    </row>
    <row r="3" ht="16.5" customHeight="1">
      <c r="A3" s="73">
        <v>15017.0</v>
      </c>
      <c r="B3" s="50">
        <v>0.0</v>
      </c>
      <c r="C3" s="53" t="s">
        <v>111</v>
      </c>
      <c r="D3" s="52" t="s">
        <v>112</v>
      </c>
      <c r="E3" s="52" t="s">
        <v>113</v>
      </c>
      <c r="F3" s="52" t="s">
        <v>114</v>
      </c>
      <c r="G3" s="52" t="str">
        <f>IFERROR(__xludf.DUMMYFUNCTION("""COMPUTED_VALUE"""),"(ID PAAC 15017) NOBREAKS SURT - Suporte e manutenção dos nobreaks SURT 8kVA das Varas e Foros do interior ")</f>
        <v>(ID PAAC 15017) NOBREAKS SURT - Suporte e manutenção dos nobreaks SURT 8kVA das Varas e Foros do interior </v>
      </c>
      <c r="H3" s="53" t="s">
        <v>115</v>
      </c>
      <c r="I3" s="53" t="s">
        <v>116</v>
      </c>
      <c r="J3" s="53" t="s">
        <v>116</v>
      </c>
      <c r="K3" s="54" t="s">
        <v>117</v>
      </c>
      <c r="L3" s="55">
        <v>0.0</v>
      </c>
      <c r="M3" s="56">
        <v>3.3904012E7</v>
      </c>
      <c r="N3" s="56">
        <v>0.0</v>
      </c>
      <c r="O3" s="50">
        <v>168105.0</v>
      </c>
      <c r="P3" s="64" t="s">
        <v>118</v>
      </c>
      <c r="Q3" s="53" t="s">
        <v>119</v>
      </c>
      <c r="R3" s="53" t="s">
        <v>120</v>
      </c>
      <c r="S3" s="74" t="s">
        <v>121</v>
      </c>
      <c r="T3" s="74"/>
      <c r="U3" s="53" t="s">
        <v>122</v>
      </c>
      <c r="V3" s="58"/>
      <c r="W3" s="58" t="s">
        <v>123</v>
      </c>
      <c r="X3" s="53" t="s">
        <v>124</v>
      </c>
      <c r="Y3" s="53" t="s">
        <v>125</v>
      </c>
      <c r="Z3" s="53" t="s">
        <v>125</v>
      </c>
      <c r="AA3" s="75" t="s">
        <v>126</v>
      </c>
      <c r="AB3" s="50" t="e">
        <v>#N/A</v>
      </c>
      <c r="AC3" s="54" t="e">
        <v>#N/A</v>
      </c>
      <c r="AD3" s="76">
        <v>44652.0</v>
      </c>
      <c r="AE3" s="63">
        <v>44762.0</v>
      </c>
      <c r="AF3" s="64" t="s">
        <v>127</v>
      </c>
      <c r="AG3" s="65">
        <v>1.0</v>
      </c>
      <c r="AH3" s="77">
        <v>0.0</v>
      </c>
      <c r="AI3" s="64" t="s">
        <v>118</v>
      </c>
      <c r="AJ3" s="66"/>
      <c r="AK3" s="64" t="s">
        <v>128</v>
      </c>
      <c r="AL3" s="78"/>
      <c r="AM3" s="78"/>
      <c r="AN3" s="78">
        <v>0.0</v>
      </c>
      <c r="AO3" s="78">
        <v>0.0</v>
      </c>
      <c r="AP3" s="58"/>
      <c r="AQ3" s="78">
        <v>43200.0</v>
      </c>
      <c r="AR3" s="66">
        <v>0.0</v>
      </c>
      <c r="AS3" s="66"/>
      <c r="AT3" s="66">
        <v>0.0</v>
      </c>
      <c r="AU3" s="66">
        <v>3204.27</v>
      </c>
      <c r="AV3" s="56">
        <v>0.0</v>
      </c>
      <c r="AW3" s="66">
        <v>0.0</v>
      </c>
      <c r="AX3" s="66">
        <v>0.0</v>
      </c>
      <c r="AY3" s="77">
        <v>0.0</v>
      </c>
      <c r="AZ3" s="66">
        <v>0.0</v>
      </c>
      <c r="BA3" s="66">
        <v>0.0</v>
      </c>
      <c r="BB3" s="79" t="s">
        <v>126</v>
      </c>
      <c r="BC3" s="56">
        <v>1.51132022236925E14</v>
      </c>
      <c r="BD3" s="64" t="s">
        <v>118</v>
      </c>
      <c r="BE3" s="66" t="s">
        <v>110</v>
      </c>
      <c r="BF3" s="64"/>
      <c r="BG3" s="65"/>
      <c r="BH3" s="65">
        <v>300000.0</v>
      </c>
      <c r="BI3" s="64" t="s">
        <v>129</v>
      </c>
      <c r="BJ3" s="65"/>
      <c r="BK3" s="64" t="s">
        <v>130</v>
      </c>
      <c r="BL3" s="67" t="s">
        <v>131</v>
      </c>
      <c r="BM3" s="64" t="s">
        <v>132</v>
      </c>
      <c r="BN3" s="63"/>
      <c r="BO3" s="63"/>
      <c r="BP3" s="66"/>
      <c r="BQ3" s="66"/>
      <c r="BR3" s="66"/>
      <c r="BS3" s="66">
        <v>0.0</v>
      </c>
      <c r="BT3" s="66"/>
      <c r="BU3" s="64" t="s">
        <v>133</v>
      </c>
      <c r="BV3" s="64"/>
      <c r="BW3" s="66"/>
      <c r="BX3" s="54"/>
      <c r="BY3" s="54"/>
      <c r="BZ3" s="63"/>
      <c r="CA3" s="54"/>
      <c r="CB3" s="54" t="s">
        <v>134</v>
      </c>
      <c r="CC3" s="54" t="s">
        <v>135</v>
      </c>
      <c r="CD3" s="54" t="s">
        <v>136</v>
      </c>
      <c r="CE3" s="56"/>
      <c r="CF3" s="54" t="s">
        <v>137</v>
      </c>
      <c r="CG3" s="63">
        <v>45015.0</v>
      </c>
      <c r="CH3" s="63">
        <v>45127.0</v>
      </c>
      <c r="CI3" s="63" t="s">
        <v>125</v>
      </c>
      <c r="CJ3" s="66">
        <v>38451.24</v>
      </c>
      <c r="CK3" s="63">
        <v>44762.0</v>
      </c>
      <c r="CL3" s="66" t="s">
        <v>138</v>
      </c>
      <c r="CM3" s="53" t="s">
        <v>139</v>
      </c>
      <c r="CN3" s="79" t="s">
        <v>126</v>
      </c>
      <c r="CO3" s="64"/>
      <c r="CP3" s="66"/>
      <c r="CQ3" s="80"/>
      <c r="CR3" s="80" t="s">
        <v>117</v>
      </c>
      <c r="CS3" s="80"/>
      <c r="CT3" s="80"/>
      <c r="CU3" s="80"/>
      <c r="CV3" s="66">
        <v>0.0</v>
      </c>
      <c r="CW3" s="66">
        <v>0.0</v>
      </c>
      <c r="CX3" s="63" t="e">
        <v>#N/A</v>
      </c>
      <c r="CY3" s="56"/>
      <c r="CZ3" s="81" t="str">
        <f>IFERROR(__xludf.DUMMYFUNCTION("""COMPUTED_VALUE"""),"NOBREAKS SURT ")</f>
        <v>NOBREAKS SURT </v>
      </c>
      <c r="DA3" s="56" t="str">
        <f>IFERROR(__xludf.DUMMYFUNCTION("""COMPUTED_VALUE"""),"Suporte e manutenção dos nobreaks SURT 8kVA das Varas e Foros do interior ")</f>
        <v>Suporte e manutenção dos nobreaks SURT 8kVA das Varas e Foros do interior </v>
      </c>
      <c r="DB3" s="56"/>
      <c r="DC3" s="56"/>
      <c r="DD3" s="56"/>
      <c r="DE3" s="56"/>
      <c r="DF3" s="56"/>
      <c r="DG3" s="56"/>
      <c r="DH3" s="56"/>
    </row>
    <row r="4" ht="16.5" customHeight="1">
      <c r="A4" s="73">
        <v>15018.0</v>
      </c>
      <c r="B4" s="50">
        <v>15018.0</v>
      </c>
      <c r="C4" s="53" t="s">
        <v>140</v>
      </c>
      <c r="D4" s="52" t="s">
        <v>141</v>
      </c>
      <c r="E4" s="52" t="s">
        <v>142</v>
      </c>
      <c r="F4" s="52" t="s">
        <v>114</v>
      </c>
      <c r="G4" s="52" t="str">
        <f>IFERROR(__xludf.DUMMYFUNCTION("""COMPUTED_VALUE"""),"(ID PAAC 15018) ASSYST - Contratação de suporte e atualização de licenças da solução de gerenciamento de serviços e registro de chamadas de TIC.")</f>
        <v>(ID PAAC 15018) ASSYST - Contratação de suporte e atualização de licenças da solução de gerenciamento de serviços e registro de chamadas de TIC.</v>
      </c>
      <c r="H4" s="53" t="s">
        <v>115</v>
      </c>
      <c r="I4" s="53" t="s">
        <v>116</v>
      </c>
      <c r="J4" s="53" t="s">
        <v>116</v>
      </c>
      <c r="K4" s="54" t="s">
        <v>117</v>
      </c>
      <c r="L4" s="55">
        <v>0.0</v>
      </c>
      <c r="M4" s="56">
        <v>3.3904007E7</v>
      </c>
      <c r="N4" s="56">
        <v>0.0</v>
      </c>
      <c r="O4" s="50">
        <v>168107.0</v>
      </c>
      <c r="P4" s="64" t="s">
        <v>110</v>
      </c>
      <c r="Q4" s="53" t="s">
        <v>143</v>
      </c>
      <c r="R4" s="53" t="s">
        <v>144</v>
      </c>
      <c r="S4" s="53"/>
      <c r="T4" s="53"/>
      <c r="U4" s="82" t="s">
        <v>145</v>
      </c>
      <c r="V4" s="58"/>
      <c r="W4" s="58" t="s">
        <v>146</v>
      </c>
      <c r="X4" s="53" t="s">
        <v>124</v>
      </c>
      <c r="Y4" s="53" t="s">
        <v>147</v>
      </c>
      <c r="Z4" s="53" t="s">
        <v>148</v>
      </c>
      <c r="AA4" s="75" t="s">
        <v>149</v>
      </c>
      <c r="AB4" s="50">
        <v>7.8333640001E12</v>
      </c>
      <c r="AC4" s="54" t="s">
        <v>150</v>
      </c>
      <c r="AD4" s="83">
        <v>44738.0</v>
      </c>
      <c r="AE4" s="63">
        <v>44738.0</v>
      </c>
      <c r="AF4" s="64" t="s">
        <v>127</v>
      </c>
      <c r="AG4" s="65">
        <v>1.0</v>
      </c>
      <c r="AH4" s="66">
        <v>41901.183333333334</v>
      </c>
      <c r="AI4" s="64" t="s">
        <v>118</v>
      </c>
      <c r="AJ4" s="66"/>
      <c r="AK4" s="64" t="s">
        <v>151</v>
      </c>
      <c r="AL4" s="66"/>
      <c r="AM4" s="66"/>
      <c r="AN4" s="66">
        <v>-48605.816666666666</v>
      </c>
      <c r="AO4" s="66">
        <v>90507.0</v>
      </c>
      <c r="AP4" s="58" t="s">
        <v>152</v>
      </c>
      <c r="AQ4" s="66">
        <v>90507.0</v>
      </c>
      <c r="AR4" s="66">
        <v>41901.183333333334</v>
      </c>
      <c r="AS4" s="66" t="str">
        <f>VLOOKUP(A4,'Cópia de ult parc 2021'!A:B,2,0)</f>
        <v>2021NE000129</v>
      </c>
      <c r="AT4" s="66">
        <v>41901.183333333334</v>
      </c>
      <c r="AU4" s="66">
        <v>7183.06</v>
      </c>
      <c r="AV4" s="56">
        <v>5.833333333333333</v>
      </c>
      <c r="AW4" s="66">
        <v>41901.183333333334</v>
      </c>
      <c r="AX4" s="66">
        <v>0.0</v>
      </c>
      <c r="AY4" s="66">
        <v>41901.18</v>
      </c>
      <c r="AZ4" s="66">
        <v>21549.18</v>
      </c>
      <c r="BA4" s="66">
        <v>20352.0</v>
      </c>
      <c r="BB4" s="79" t="s">
        <v>149</v>
      </c>
      <c r="BC4" s="56">
        <v>1.51132022236939E14</v>
      </c>
      <c r="BD4" s="64" t="s">
        <v>118</v>
      </c>
      <c r="BE4" s="66" t="s">
        <v>118</v>
      </c>
      <c r="BF4" s="64"/>
      <c r="BG4" s="65"/>
      <c r="BH4" s="65">
        <v>200000.0</v>
      </c>
      <c r="BI4" s="64" t="s">
        <v>153</v>
      </c>
      <c r="BJ4" s="65"/>
      <c r="BK4" s="64" t="s">
        <v>130</v>
      </c>
      <c r="BL4" s="67" t="s">
        <v>154</v>
      </c>
      <c r="BM4" s="64" t="s">
        <v>147</v>
      </c>
      <c r="BN4" s="63"/>
      <c r="BO4" s="63"/>
      <c r="BP4" s="66"/>
      <c r="BQ4" s="66"/>
      <c r="BR4" s="66"/>
      <c r="BS4" s="66">
        <v>41901.183333333334</v>
      </c>
      <c r="BT4" s="66"/>
      <c r="BU4" s="64" t="s">
        <v>155</v>
      </c>
      <c r="BV4" s="64" t="s">
        <v>156</v>
      </c>
      <c r="BW4" s="64" t="s">
        <v>157</v>
      </c>
      <c r="BX4" s="54"/>
      <c r="BY4" s="54" t="s">
        <v>158</v>
      </c>
      <c r="BZ4" s="63"/>
      <c r="CA4" s="54"/>
      <c r="CB4" s="54" t="s">
        <v>159</v>
      </c>
      <c r="CC4" s="54" t="s">
        <v>160</v>
      </c>
      <c r="CD4" s="54" t="s">
        <v>136</v>
      </c>
      <c r="CE4" s="56"/>
      <c r="CF4" s="54" t="s">
        <v>161</v>
      </c>
      <c r="CG4" s="63"/>
      <c r="CH4" s="63">
        <v>45103.0</v>
      </c>
      <c r="CI4" s="63" t="s">
        <v>147</v>
      </c>
      <c r="CJ4" s="66">
        <v>85575.8</v>
      </c>
      <c r="CK4" s="63">
        <v>44738.0</v>
      </c>
      <c r="CL4" s="64" t="s">
        <v>162</v>
      </c>
      <c r="CM4" s="53" t="s">
        <v>139</v>
      </c>
      <c r="CN4" s="79" t="s">
        <v>149</v>
      </c>
      <c r="CO4" s="84" t="s">
        <v>163</v>
      </c>
      <c r="CP4" s="66"/>
      <c r="CQ4" s="80"/>
      <c r="CR4" s="80" t="s">
        <v>117</v>
      </c>
      <c r="CS4" s="80"/>
      <c r="CT4" s="80"/>
      <c r="CU4" s="80"/>
      <c r="CV4" s="66">
        <v>20352.0</v>
      </c>
      <c r="CW4" s="66">
        <v>0.0</v>
      </c>
      <c r="CX4" s="63">
        <v>44588.0</v>
      </c>
      <c r="CY4" s="56">
        <v>1.0</v>
      </c>
      <c r="CZ4" s="81" t="str">
        <f>IFERROR(__xludf.DUMMYFUNCTION("""COMPUTED_VALUE"""),"ASSYST ")</f>
        <v>ASSYST </v>
      </c>
      <c r="DA4" s="56" t="str">
        <f>IFERROR(__xludf.DUMMYFUNCTION("""COMPUTED_VALUE"""),"Contratação de suporte e atualização de licenças da solução de gerenciamento de serviços e registro de chamadas de TIC.")</f>
        <v>Contratação de suporte e atualização de licenças da solução de gerenciamento de serviços e registro de chamadas de TIC.</v>
      </c>
      <c r="DB4" s="56"/>
      <c r="DC4" s="56"/>
      <c r="DD4" s="56"/>
      <c r="DE4" s="56"/>
      <c r="DF4" s="56"/>
      <c r="DG4" s="56"/>
      <c r="DH4" s="56"/>
    </row>
    <row r="5" ht="16.5" customHeight="1">
      <c r="A5" s="73">
        <v>15019.0</v>
      </c>
      <c r="B5" s="50">
        <v>0.0</v>
      </c>
      <c r="C5" s="53" t="s">
        <v>164</v>
      </c>
      <c r="D5" s="52" t="s">
        <v>112</v>
      </c>
      <c r="E5" s="52" t="s">
        <v>113</v>
      </c>
      <c r="F5" s="52" t="s">
        <v>114</v>
      </c>
      <c r="G5" s="52" t="str">
        <f>IFERROR(__xludf.DUMMYFUNCTION("""COMPUTED_VALUE"""),"(ID PAAC 15019) NOBREAKS SUVT 2016 - Suporte e manutenção dos nobreaks SUVT 40kVA do Datacenter e dos foros da Capital, de São José e da sede (prorrogação emergencial em 2021)")</f>
        <v>(ID PAAC 15019) NOBREAKS SUVT 2016 - Suporte e manutenção dos nobreaks SUVT 40kVA do Datacenter e dos foros da Capital, de São José e da sede (prorrogação emergencial em 2021)</v>
      </c>
      <c r="H5" s="53" t="s">
        <v>115</v>
      </c>
      <c r="I5" s="53" t="s">
        <v>116</v>
      </c>
      <c r="J5" s="53" t="s">
        <v>116</v>
      </c>
      <c r="K5" s="54" t="s">
        <v>117</v>
      </c>
      <c r="L5" s="55">
        <v>0.0</v>
      </c>
      <c r="M5" s="56">
        <v>3.3904012E7</v>
      </c>
      <c r="N5" s="56">
        <v>0.0</v>
      </c>
      <c r="O5" s="50">
        <v>168105.0</v>
      </c>
      <c r="P5" s="64" t="s">
        <v>118</v>
      </c>
      <c r="Q5" s="53" t="s">
        <v>119</v>
      </c>
      <c r="R5" s="53" t="s">
        <v>144</v>
      </c>
      <c r="S5" s="53"/>
      <c r="T5" s="53" t="s">
        <v>165</v>
      </c>
      <c r="U5" s="53" t="s">
        <v>145</v>
      </c>
      <c r="V5" s="58"/>
      <c r="W5" s="58" t="s">
        <v>166</v>
      </c>
      <c r="X5" s="53" t="s">
        <v>124</v>
      </c>
      <c r="Y5" s="53" t="s">
        <v>147</v>
      </c>
      <c r="Z5" s="53" t="s">
        <v>167</v>
      </c>
      <c r="AA5" s="75" t="s">
        <v>168</v>
      </c>
      <c r="AB5" s="50">
        <v>7.108509000282E12</v>
      </c>
      <c r="AC5" s="54" t="s">
        <v>169</v>
      </c>
      <c r="AD5" s="85">
        <v>44595.0</v>
      </c>
      <c r="AE5" s="85">
        <v>44595.0</v>
      </c>
      <c r="AF5" s="64" t="s">
        <v>127</v>
      </c>
      <c r="AG5" s="65"/>
      <c r="AH5" s="66"/>
      <c r="AI5" s="64" t="s">
        <v>118</v>
      </c>
      <c r="AJ5" s="66"/>
      <c r="AK5" s="64" t="s">
        <v>151</v>
      </c>
      <c r="AL5" s="66"/>
      <c r="AM5" s="66"/>
      <c r="AN5" s="66">
        <v>-51898.666666666664</v>
      </c>
      <c r="AO5" s="66">
        <v>63120.0</v>
      </c>
      <c r="AP5" s="58" t="s">
        <v>170</v>
      </c>
      <c r="AQ5" s="66">
        <v>0.0</v>
      </c>
      <c r="AR5" s="66">
        <v>11221.333333333334</v>
      </c>
      <c r="AS5" s="66"/>
      <c r="AT5" s="66">
        <v>11221.333333333334</v>
      </c>
      <c r="AU5" s="66">
        <v>10520.0</v>
      </c>
      <c r="AV5" s="86">
        <f>1+(2/30)</f>
        <v>1.066666667</v>
      </c>
      <c r="AW5" s="87">
        <v>11221.333333333334</v>
      </c>
      <c r="AX5" s="87">
        <v>0.0</v>
      </c>
      <c r="AY5" s="66">
        <v>11221.33</v>
      </c>
      <c r="AZ5" s="87">
        <v>10520.0</v>
      </c>
      <c r="BA5" s="87">
        <v>701.33</v>
      </c>
      <c r="BB5" s="79" t="s">
        <v>168</v>
      </c>
      <c r="BC5" s="88"/>
      <c r="BD5" s="64" t="s">
        <v>118</v>
      </c>
      <c r="BE5" s="66"/>
      <c r="BF5" s="64"/>
      <c r="BG5" s="65"/>
      <c r="BH5" s="65">
        <v>300000.0</v>
      </c>
      <c r="BI5" s="64" t="s">
        <v>129</v>
      </c>
      <c r="BJ5" s="65"/>
      <c r="BK5" s="64" t="s">
        <v>130</v>
      </c>
      <c r="BL5" s="67"/>
      <c r="BM5" s="64" t="s">
        <v>147</v>
      </c>
      <c r="BN5" s="63"/>
      <c r="BO5" s="63"/>
      <c r="BP5" s="66"/>
      <c r="BQ5" s="66"/>
      <c r="BR5" s="66"/>
      <c r="BS5" s="66">
        <v>11221.333333333334</v>
      </c>
      <c r="BT5" s="66"/>
      <c r="BU5" s="64" t="s">
        <v>133</v>
      </c>
      <c r="BV5" s="64"/>
      <c r="BW5" s="66"/>
      <c r="BX5" s="54"/>
      <c r="BY5" s="54"/>
      <c r="BZ5" s="63"/>
      <c r="CA5" s="54"/>
      <c r="CB5" s="54" t="s">
        <v>134</v>
      </c>
      <c r="CC5" s="54" t="s">
        <v>135</v>
      </c>
      <c r="CD5" s="54" t="s">
        <v>136</v>
      </c>
      <c r="CE5" s="56"/>
      <c r="CF5" s="54" t="s">
        <v>137</v>
      </c>
      <c r="CG5" s="63"/>
      <c r="CH5" s="63">
        <v>44960.0</v>
      </c>
      <c r="CI5" s="63" t="s">
        <v>147</v>
      </c>
      <c r="CJ5" s="66"/>
      <c r="CK5" s="63"/>
      <c r="CL5" s="66"/>
      <c r="CM5" s="53"/>
      <c r="CN5" s="79" t="s">
        <v>168</v>
      </c>
      <c r="CO5" s="64"/>
      <c r="CP5" s="66"/>
      <c r="CQ5" s="80"/>
      <c r="CR5" s="80"/>
      <c r="CS5" s="80"/>
      <c r="CT5" s="80"/>
      <c r="CU5" s="80"/>
      <c r="CV5" s="66">
        <v>701.33</v>
      </c>
      <c r="CW5" s="66">
        <v>0.0</v>
      </c>
      <c r="CX5" s="63">
        <v>44579.0</v>
      </c>
      <c r="CY5" s="56">
        <v>1.0</v>
      </c>
      <c r="CZ5" s="81" t="str">
        <f>IFERROR(__xludf.DUMMYFUNCTION("""COMPUTED_VALUE"""),"NOBREAKS SUVT 2016 ")</f>
        <v>NOBREAKS SUVT 2016 </v>
      </c>
      <c r="DA5" s="56" t="str">
        <f>IFERROR(__xludf.DUMMYFUNCTION("""COMPUTED_VALUE"""),"Suporte e manutenção dos nobreaks SUVT 40kVA do Datacenter e dos foros da Capital, de São José e da sede (prorrogação emergencial em 2021)")</f>
        <v>Suporte e manutenção dos nobreaks SUVT 40kVA do Datacenter e dos foros da Capital, de São José e da sede (prorrogação emergencial em 2021)</v>
      </c>
      <c r="DB5" s="56"/>
      <c r="DC5" s="56"/>
      <c r="DD5" s="56"/>
      <c r="DE5" s="56"/>
      <c r="DF5" s="56"/>
      <c r="DG5" s="56"/>
      <c r="DH5" s="56"/>
    </row>
    <row r="6" ht="16.5" customHeight="1">
      <c r="A6" s="73">
        <v>15055.0</v>
      </c>
      <c r="B6" s="50">
        <v>0.0</v>
      </c>
      <c r="C6" s="53" t="s">
        <v>171</v>
      </c>
      <c r="D6" s="52" t="s">
        <v>112</v>
      </c>
      <c r="E6" s="52" t="s">
        <v>113</v>
      </c>
      <c r="F6" s="52" t="s">
        <v>114</v>
      </c>
      <c r="G6" s="52" t="str">
        <f>IFERROR(__xludf.DUMMYFUNCTION("""COMPUTED_VALUE"""),"(ID PAAC 15055) CELESC - Contratação de uso de postes (passagem da fibra óptica - locação CELESC) para conexão redundante entre o datacenter principal e auxiliar (Sede/Utrillo)")</f>
        <v>(ID PAAC 15055) CELESC - Contratação de uso de postes (passagem da fibra óptica - locação CELESC) para conexão redundante entre o datacenter principal e auxiliar (Sede/Utrillo)</v>
      </c>
      <c r="H6" s="53" t="s">
        <v>115</v>
      </c>
      <c r="I6" s="53" t="s">
        <v>116</v>
      </c>
      <c r="J6" s="53" t="s">
        <v>116</v>
      </c>
      <c r="K6" s="54" t="s">
        <v>117</v>
      </c>
      <c r="L6" s="55">
        <v>0.0</v>
      </c>
      <c r="M6" s="56">
        <v>3.3904011E7</v>
      </c>
      <c r="N6" s="56">
        <v>0.0</v>
      </c>
      <c r="O6" s="50">
        <v>168105.0</v>
      </c>
      <c r="P6" s="64" t="s">
        <v>118</v>
      </c>
      <c r="Q6" s="53" t="s">
        <v>119</v>
      </c>
      <c r="R6" s="53" t="s">
        <v>144</v>
      </c>
      <c r="S6" s="53"/>
      <c r="T6" s="53"/>
      <c r="U6" s="53" t="s">
        <v>145</v>
      </c>
      <c r="V6" s="58"/>
      <c r="W6" s="58" t="s">
        <v>172</v>
      </c>
      <c r="X6" s="53" t="s">
        <v>173</v>
      </c>
      <c r="Y6" s="53" t="s">
        <v>147</v>
      </c>
      <c r="Z6" s="53" t="s">
        <v>167</v>
      </c>
      <c r="AA6" s="75" t="s">
        <v>174</v>
      </c>
      <c r="AB6" s="50">
        <v>8.33678300019E12</v>
      </c>
      <c r="AC6" s="54" t="s">
        <v>175</v>
      </c>
      <c r="AD6" s="85" t="s">
        <v>176</v>
      </c>
      <c r="AE6" s="85"/>
      <c r="AF6" s="64" t="s">
        <v>177</v>
      </c>
      <c r="AG6" s="65">
        <v>1.0</v>
      </c>
      <c r="AH6" s="66">
        <v>4494.4800000000005</v>
      </c>
      <c r="AI6" s="64" t="s">
        <v>118</v>
      </c>
      <c r="AJ6" s="66"/>
      <c r="AK6" s="64" t="s">
        <v>178</v>
      </c>
      <c r="AL6" s="66"/>
      <c r="AM6" s="66"/>
      <c r="AN6" s="66">
        <v>-0.5199999999995271</v>
      </c>
      <c r="AO6" s="66">
        <v>4495.0</v>
      </c>
      <c r="AP6" s="58" t="s">
        <v>179</v>
      </c>
      <c r="AQ6" s="66">
        <v>4495.0</v>
      </c>
      <c r="AR6" s="66">
        <v>4494.4800000000005</v>
      </c>
      <c r="AS6" s="66"/>
      <c r="AT6" s="66">
        <v>4494.4800000000005</v>
      </c>
      <c r="AU6" s="66">
        <v>374.54</v>
      </c>
      <c r="AV6" s="89">
        <v>12.0</v>
      </c>
      <c r="AW6" s="87">
        <v>4494.4800000000005</v>
      </c>
      <c r="AX6" s="87">
        <v>0.0</v>
      </c>
      <c r="AY6" s="66">
        <v>4494.48</v>
      </c>
      <c r="AZ6" s="87">
        <v>1185.8399999999997</v>
      </c>
      <c r="BA6" s="87">
        <v>3308.64</v>
      </c>
      <c r="BB6" s="79" t="s">
        <v>174</v>
      </c>
      <c r="BC6" s="88">
        <v>1.5113202223692E14</v>
      </c>
      <c r="BD6" s="64" t="s">
        <v>118</v>
      </c>
      <c r="BE6" s="66" t="s">
        <v>118</v>
      </c>
      <c r="BF6" s="64"/>
      <c r="BG6" s="65"/>
      <c r="BH6" s="65">
        <v>300000.0</v>
      </c>
      <c r="BI6" s="64" t="s">
        <v>129</v>
      </c>
      <c r="BJ6" s="65"/>
      <c r="BK6" s="64" t="s">
        <v>130</v>
      </c>
      <c r="BL6" s="67" t="s">
        <v>180</v>
      </c>
      <c r="BM6" s="64" t="s">
        <v>147</v>
      </c>
      <c r="BN6" s="63">
        <v>44228.0</v>
      </c>
      <c r="BO6" s="63">
        <v>44255.0</v>
      </c>
      <c r="BP6" s="66"/>
      <c r="BQ6" s="66"/>
      <c r="BR6" s="66"/>
      <c r="BS6" s="66">
        <v>4494.4800000000005</v>
      </c>
      <c r="BT6" s="66"/>
      <c r="BU6" s="64" t="s">
        <v>181</v>
      </c>
      <c r="BV6" s="64"/>
      <c r="BW6" s="66"/>
      <c r="BX6" s="54"/>
      <c r="BY6" s="54"/>
      <c r="BZ6" s="63"/>
      <c r="CA6" s="54"/>
      <c r="CB6" s="54" t="s">
        <v>134</v>
      </c>
      <c r="CC6" s="54" t="s">
        <v>135</v>
      </c>
      <c r="CD6" s="54" t="s">
        <v>136</v>
      </c>
      <c r="CE6" s="56"/>
      <c r="CF6" s="54" t="s">
        <v>182</v>
      </c>
      <c r="CG6" s="63"/>
      <c r="CH6" s="63">
        <v>365.0</v>
      </c>
      <c r="CI6" s="63" t="s">
        <v>147</v>
      </c>
      <c r="CJ6" s="66">
        <v>4494.4800000000005</v>
      </c>
      <c r="CK6" s="63">
        <v>44619.0</v>
      </c>
      <c r="CL6" s="66" t="s">
        <v>138</v>
      </c>
      <c r="CM6" s="53" t="s">
        <v>139</v>
      </c>
      <c r="CN6" s="79" t="s">
        <v>174</v>
      </c>
      <c r="CO6" s="64"/>
      <c r="CP6" s="66"/>
      <c r="CQ6" s="80"/>
      <c r="CR6" s="80" t="s">
        <v>117</v>
      </c>
      <c r="CS6" s="80"/>
      <c r="CT6" s="80"/>
      <c r="CU6" s="80"/>
      <c r="CV6" s="66">
        <v>3308.64</v>
      </c>
      <c r="CW6" s="66">
        <v>0.0</v>
      </c>
      <c r="CX6" s="63">
        <v>44578.0</v>
      </c>
      <c r="CY6" s="56">
        <v>1.0</v>
      </c>
      <c r="CZ6" s="81" t="str">
        <f>IFERROR(__xludf.DUMMYFUNCTION("""COMPUTED_VALUE"""),"CELESC ")</f>
        <v>CELESC </v>
      </c>
      <c r="DA6" s="56" t="str">
        <f>IFERROR(__xludf.DUMMYFUNCTION("""COMPUTED_VALUE"""),"Contratação de uso de postes (passagem da fibra ópticalocação CELESC) para conexão redundante entre o datacenter principal e auxiliar (Sede/Utrillo)")</f>
        <v>Contratação de uso de postes (passagem da fibra ópticalocação CELESC) para conexão redundante entre o datacenter principal e auxiliar (Sede/Utrillo)</v>
      </c>
      <c r="DB6" s="56"/>
      <c r="DC6" s="56"/>
      <c r="DD6" s="56"/>
      <c r="DE6" s="56"/>
      <c r="DF6" s="56"/>
      <c r="DG6" s="56"/>
      <c r="DH6" s="56"/>
    </row>
    <row r="7" ht="16.5" customHeight="1">
      <c r="A7" s="73">
        <v>15056.0</v>
      </c>
      <c r="B7" s="50">
        <v>15056.0</v>
      </c>
      <c r="C7" s="53" t="s">
        <v>183</v>
      </c>
      <c r="D7" s="52" t="s">
        <v>112</v>
      </c>
      <c r="E7" s="52" t="s">
        <v>113</v>
      </c>
      <c r="F7" s="52" t="s">
        <v>114</v>
      </c>
      <c r="G7" s="52" t="str">
        <f>IFERROR(__xludf.DUMMYFUNCTION("""COMPUTED_VALUE"""),"(ID PAAC 15056) REDE JT - Ciasc - Contratação de links de alto desempenho para as conexões de dados entre as unidades do TRT")</f>
        <v>(ID PAAC 15056) REDE JT - Ciasc - Contratação de links de alto desempenho para as conexões de dados entre as unidades do TRT</v>
      </c>
      <c r="H7" s="53" t="s">
        <v>115</v>
      </c>
      <c r="I7" s="53" t="s">
        <v>116</v>
      </c>
      <c r="J7" s="53" t="s">
        <v>116</v>
      </c>
      <c r="K7" s="54" t="s">
        <v>117</v>
      </c>
      <c r="L7" s="55">
        <v>0.0</v>
      </c>
      <c r="M7" s="56">
        <v>3.3904013E7</v>
      </c>
      <c r="N7" s="56">
        <v>0.0</v>
      </c>
      <c r="O7" s="50">
        <v>168107.0</v>
      </c>
      <c r="P7" s="64" t="s">
        <v>110</v>
      </c>
      <c r="Q7" s="53" t="s">
        <v>119</v>
      </c>
      <c r="R7" s="53" t="s">
        <v>144</v>
      </c>
      <c r="S7" s="53"/>
      <c r="T7" s="53"/>
      <c r="U7" s="82" t="s">
        <v>145</v>
      </c>
      <c r="V7" s="58"/>
      <c r="W7" s="58" t="s">
        <v>184</v>
      </c>
      <c r="X7" s="53" t="s">
        <v>173</v>
      </c>
      <c r="Y7" s="53" t="s">
        <v>147</v>
      </c>
      <c r="Z7" s="53" t="s">
        <v>167</v>
      </c>
      <c r="AA7" s="75" t="s">
        <v>185</v>
      </c>
      <c r="AB7" s="50">
        <v>8.3043745000165E13</v>
      </c>
      <c r="AC7" s="54" t="s">
        <v>186</v>
      </c>
      <c r="AD7" s="83">
        <v>44781.0</v>
      </c>
      <c r="AE7" s="63">
        <v>44781.0</v>
      </c>
      <c r="AF7" s="64" t="s">
        <v>177</v>
      </c>
      <c r="AG7" s="65">
        <v>1.0</v>
      </c>
      <c r="AH7" s="66">
        <v>338693.6</v>
      </c>
      <c r="AI7" s="64" t="s">
        <v>118</v>
      </c>
      <c r="AJ7" s="66"/>
      <c r="AK7" s="64" t="s">
        <v>178</v>
      </c>
      <c r="AL7" s="78"/>
      <c r="AM7" s="78"/>
      <c r="AN7" s="78">
        <v>-361306.4</v>
      </c>
      <c r="AO7" s="78">
        <v>700000.0</v>
      </c>
      <c r="AP7" s="58" t="s">
        <v>187</v>
      </c>
      <c r="AQ7" s="78">
        <v>513000.0</v>
      </c>
      <c r="AR7" s="66">
        <v>338693.6</v>
      </c>
      <c r="AS7" s="66" t="str">
        <f>VLOOKUP(A7,'Cópia de ult parc 2021'!A:B,2,0)</f>
        <v>2021NE000124</v>
      </c>
      <c r="AT7" s="66">
        <v>338693.6</v>
      </c>
      <c r="AU7" s="66">
        <v>46824.0</v>
      </c>
      <c r="AV7" s="56">
        <v>7.2333333333333325</v>
      </c>
      <c r="AW7" s="66">
        <v>338693.6</v>
      </c>
      <c r="AX7" s="66">
        <v>0.0</v>
      </c>
      <c r="AY7" s="66">
        <v>338693.6</v>
      </c>
      <c r="AZ7" s="66">
        <v>139068.95999999996</v>
      </c>
      <c r="BA7" s="66">
        <v>199624.64</v>
      </c>
      <c r="BB7" s="79" t="s">
        <v>185</v>
      </c>
      <c r="BC7" s="56">
        <v>1.51132022236927E14</v>
      </c>
      <c r="BD7" s="64" t="s">
        <v>118</v>
      </c>
      <c r="BE7" s="66" t="s">
        <v>118</v>
      </c>
      <c r="BF7" s="64"/>
      <c r="BG7" s="65"/>
      <c r="BH7" s="65">
        <v>300000.0</v>
      </c>
      <c r="BI7" s="64" t="s">
        <v>129</v>
      </c>
      <c r="BJ7" s="65"/>
      <c r="BK7" s="64" t="s">
        <v>130</v>
      </c>
      <c r="BL7" s="67" t="s">
        <v>188</v>
      </c>
      <c r="BM7" s="64" t="s">
        <v>147</v>
      </c>
      <c r="BN7" s="63"/>
      <c r="BO7" s="63"/>
      <c r="BP7" s="66"/>
      <c r="BQ7" s="66"/>
      <c r="BR7" s="66"/>
      <c r="BS7" s="66">
        <v>338693.6</v>
      </c>
      <c r="BT7" s="66"/>
      <c r="BU7" s="64" t="s">
        <v>189</v>
      </c>
      <c r="BV7" s="64" t="s">
        <v>190</v>
      </c>
      <c r="BW7" s="64" t="s">
        <v>191</v>
      </c>
      <c r="BX7" s="54"/>
      <c r="BY7" s="54" t="s">
        <v>192</v>
      </c>
      <c r="BZ7" s="63"/>
      <c r="CA7" s="54"/>
      <c r="CB7" s="54" t="s">
        <v>159</v>
      </c>
      <c r="CC7" s="54" t="s">
        <v>193</v>
      </c>
      <c r="CD7" s="54" t="s">
        <v>136</v>
      </c>
      <c r="CE7" s="56"/>
      <c r="CF7" s="54" t="s">
        <v>194</v>
      </c>
      <c r="CG7" s="63"/>
      <c r="CH7" s="63">
        <v>45146.0</v>
      </c>
      <c r="CI7" s="63" t="s">
        <v>147</v>
      </c>
      <c r="CJ7" s="66">
        <v>448387.98</v>
      </c>
      <c r="CK7" s="63">
        <v>44659.0</v>
      </c>
      <c r="CL7" s="64" t="s">
        <v>195</v>
      </c>
      <c r="CM7" s="53" t="s">
        <v>139</v>
      </c>
      <c r="CN7" s="79" t="s">
        <v>185</v>
      </c>
      <c r="CO7" s="84" t="s">
        <v>196</v>
      </c>
      <c r="CP7" s="66"/>
      <c r="CQ7" s="80"/>
      <c r="CR7" s="80" t="s">
        <v>117</v>
      </c>
      <c r="CS7" s="80"/>
      <c r="CT7" s="80"/>
      <c r="CU7" s="80"/>
      <c r="CV7" s="66">
        <v>199624.64</v>
      </c>
      <c r="CW7" s="66">
        <v>0.0</v>
      </c>
      <c r="CX7" s="63">
        <v>44588.0</v>
      </c>
      <c r="CY7" s="56">
        <v>1.0</v>
      </c>
      <c r="CZ7" s="81" t="str">
        <f>IFERROR(__xludf.DUMMYFUNCTION("""COMPUTED_VALUE"""),"REDE JT ")</f>
        <v>REDE JT </v>
      </c>
      <c r="DA7" s="56" t="str">
        <f>IFERROR(__xludf.DUMMYFUNCTION("""COMPUTED_VALUE"""),"CiascContratação de links de alto desempenho para as conexões de dados entre as unidades do TRT")</f>
        <v>CiascContratação de links de alto desempenho para as conexões de dados entre as unidades do TRT</v>
      </c>
      <c r="DB7" s="56"/>
      <c r="DC7" s="56"/>
      <c r="DD7" s="56"/>
      <c r="DE7" s="56"/>
      <c r="DF7" s="56"/>
      <c r="DG7" s="56"/>
      <c r="DH7" s="56"/>
    </row>
    <row r="8" ht="16.5" customHeight="1">
      <c r="A8" s="73">
        <v>15057.0</v>
      </c>
      <c r="B8" s="50">
        <v>0.0</v>
      </c>
      <c r="C8" s="53" t="s">
        <v>197</v>
      </c>
      <c r="D8" s="52" t="s">
        <v>112</v>
      </c>
      <c r="E8" s="52" t="s">
        <v>113</v>
      </c>
      <c r="F8" s="52" t="s">
        <v>114</v>
      </c>
      <c r="G8" s="52" t="str">
        <f>IFERROR(__xludf.DUMMYFUNCTION("""COMPUTED_VALUE"""),"(ID PAAC 15057) INTERNET LINK 2 - Contratação de acesso corporativo à internet")</f>
        <v>(ID PAAC 15057) INTERNET LINK 2 - Contratação de acesso corporativo à internet</v>
      </c>
      <c r="H8" s="53" t="s">
        <v>115</v>
      </c>
      <c r="I8" s="53" t="s">
        <v>116</v>
      </c>
      <c r="J8" s="53" t="s">
        <v>116</v>
      </c>
      <c r="K8" s="54" t="s">
        <v>117</v>
      </c>
      <c r="L8" s="55">
        <v>0.0</v>
      </c>
      <c r="M8" s="56">
        <v>3.3904013E7</v>
      </c>
      <c r="N8" s="56">
        <v>0.0</v>
      </c>
      <c r="O8" s="50">
        <v>168105.0</v>
      </c>
      <c r="P8" s="64" t="s">
        <v>118</v>
      </c>
      <c r="Q8" s="53" t="s">
        <v>119</v>
      </c>
      <c r="R8" s="53" t="s">
        <v>144</v>
      </c>
      <c r="S8" s="53"/>
      <c r="T8" s="53"/>
      <c r="U8" s="90" t="s">
        <v>145</v>
      </c>
      <c r="V8" s="58"/>
      <c r="W8" s="58" t="s">
        <v>198</v>
      </c>
      <c r="X8" s="53" t="s">
        <v>173</v>
      </c>
      <c r="Y8" s="53" t="s">
        <v>147</v>
      </c>
      <c r="Z8" s="53" t="s">
        <v>125</v>
      </c>
      <c r="AA8" s="75" t="s">
        <v>199</v>
      </c>
      <c r="AB8" s="50">
        <v>1.479874000012E13</v>
      </c>
      <c r="AC8" s="54" t="s">
        <v>200</v>
      </c>
      <c r="AD8" s="85">
        <v>44859.0</v>
      </c>
      <c r="AE8" s="63">
        <v>44859.0</v>
      </c>
      <c r="AF8" s="64" t="s">
        <v>177</v>
      </c>
      <c r="AG8" s="65">
        <v>1.0</v>
      </c>
      <c r="AH8" s="66">
        <v>9350.0</v>
      </c>
      <c r="AI8" s="64" t="s">
        <v>118</v>
      </c>
      <c r="AJ8" s="66"/>
      <c r="AK8" s="64" t="s">
        <v>178</v>
      </c>
      <c r="AL8" s="78"/>
      <c r="AM8" s="78"/>
      <c r="AN8" s="78">
        <v>0.0</v>
      </c>
      <c r="AO8" s="78">
        <v>9350.0</v>
      </c>
      <c r="AP8" s="58" t="s">
        <v>201</v>
      </c>
      <c r="AQ8" s="78">
        <v>12835.0</v>
      </c>
      <c r="AR8" s="66">
        <v>9350.0</v>
      </c>
      <c r="AS8" s="66"/>
      <c r="AT8" s="66">
        <v>9350.0</v>
      </c>
      <c r="AU8" s="66">
        <v>935.0</v>
      </c>
      <c r="AV8" s="56">
        <v>10.0</v>
      </c>
      <c r="AW8" s="66">
        <v>9350.0</v>
      </c>
      <c r="AX8" s="66">
        <v>0.0</v>
      </c>
      <c r="AY8" s="66">
        <v>9350.0</v>
      </c>
      <c r="AZ8" s="66">
        <v>2805.0</v>
      </c>
      <c r="BA8" s="66">
        <v>6545.0</v>
      </c>
      <c r="BB8" s="79" t="s">
        <v>199</v>
      </c>
      <c r="BC8" s="56">
        <v>1.51132022236928E14</v>
      </c>
      <c r="BD8" s="64" t="s">
        <v>118</v>
      </c>
      <c r="BE8" s="66" t="s">
        <v>110</v>
      </c>
      <c r="BF8" s="64"/>
      <c r="BG8" s="65"/>
      <c r="BH8" s="65">
        <v>300000.0</v>
      </c>
      <c r="BI8" s="64" t="s">
        <v>129</v>
      </c>
      <c r="BJ8" s="65"/>
      <c r="BK8" s="64" t="s">
        <v>130</v>
      </c>
      <c r="BL8" s="67" t="s">
        <v>131</v>
      </c>
      <c r="BM8" s="64" t="s">
        <v>147</v>
      </c>
      <c r="BN8" s="63"/>
      <c r="BO8" s="63"/>
      <c r="BP8" s="66"/>
      <c r="BQ8" s="66"/>
      <c r="BR8" s="66"/>
      <c r="BS8" s="66">
        <v>9350.0</v>
      </c>
      <c r="BT8" s="66"/>
      <c r="BU8" s="64" t="s">
        <v>189</v>
      </c>
      <c r="BV8" s="64"/>
      <c r="BW8" s="66"/>
      <c r="BX8" s="54"/>
      <c r="BY8" s="54"/>
      <c r="BZ8" s="63"/>
      <c r="CA8" s="54"/>
      <c r="CB8" s="54" t="s">
        <v>134</v>
      </c>
      <c r="CC8" s="54" t="s">
        <v>135</v>
      </c>
      <c r="CD8" s="54" t="s">
        <v>136</v>
      </c>
      <c r="CE8" s="56"/>
      <c r="CF8" s="54" t="s">
        <v>194</v>
      </c>
      <c r="CG8" s="63"/>
      <c r="CH8" s="63">
        <v>45224.0</v>
      </c>
      <c r="CI8" s="63" t="s">
        <v>147</v>
      </c>
      <c r="CJ8" s="66">
        <v>12223.0</v>
      </c>
      <c r="CK8" s="63">
        <v>44859.0</v>
      </c>
      <c r="CL8" s="64" t="s">
        <v>138</v>
      </c>
      <c r="CM8" s="53" t="s">
        <v>139</v>
      </c>
      <c r="CN8" s="79" t="s">
        <v>199</v>
      </c>
      <c r="CO8" s="64"/>
      <c r="CP8" s="66"/>
      <c r="CQ8" s="80"/>
      <c r="CR8" s="80" t="s">
        <v>117</v>
      </c>
      <c r="CS8" s="80"/>
      <c r="CT8" s="80"/>
      <c r="CU8" s="80"/>
      <c r="CV8" s="66">
        <v>6545.0</v>
      </c>
      <c r="CW8" s="66">
        <v>0.0</v>
      </c>
      <c r="CX8" s="63">
        <v>44581.0</v>
      </c>
      <c r="CY8" s="56">
        <v>1.0</v>
      </c>
      <c r="CZ8" s="81" t="str">
        <f>IFERROR(__xludf.DUMMYFUNCTION("""COMPUTED_VALUE"""),"INTERNET LINK 2 ")</f>
        <v>INTERNET LINK 2 </v>
      </c>
      <c r="DA8" s="56" t="str">
        <f>IFERROR(__xludf.DUMMYFUNCTION("""COMPUTED_VALUE"""),"Contratação de acesso corporativo à internet")</f>
        <v>Contratação de acesso corporativo à internet</v>
      </c>
      <c r="DB8" s="56"/>
      <c r="DC8" s="56"/>
      <c r="DD8" s="56"/>
      <c r="DE8" s="56"/>
      <c r="DF8" s="56"/>
      <c r="DG8" s="56"/>
      <c r="DH8" s="56"/>
    </row>
    <row r="9" ht="16.5" customHeight="1">
      <c r="A9" s="73">
        <v>15060.0</v>
      </c>
      <c r="B9" s="50">
        <v>15060.0</v>
      </c>
      <c r="C9" s="53" t="s">
        <v>202</v>
      </c>
      <c r="D9" s="52" t="s">
        <v>112</v>
      </c>
      <c r="E9" s="52" t="s">
        <v>142</v>
      </c>
      <c r="F9" s="52" t="s">
        <v>203</v>
      </c>
      <c r="G9" s="52" t="str">
        <f>IFERROR(__xludf.DUMMYFUNCTION("""COMPUTED_VALUE"""),"(ID PAAC 15060) CENTRAL DE SERVIÇOS - Contratação de serviços de suporte de TIC em 1º e 2º níveis - 2019, para fornecimento de técnicos terceirizados para atendimento aos chamados de TIC, no Estado.")</f>
        <v>(ID PAAC 15060) CENTRAL DE SERVIÇOS - Contratação de serviços de suporte de TIC em 1º e 2º níveis - 2019, para fornecimento de técnicos terceirizados para atendimento aos chamados de TIC, no Estado.</v>
      </c>
      <c r="H9" s="53" t="s">
        <v>115</v>
      </c>
      <c r="I9" s="53" t="s">
        <v>116</v>
      </c>
      <c r="J9" s="53" t="s">
        <v>116</v>
      </c>
      <c r="K9" s="54" t="s">
        <v>117</v>
      </c>
      <c r="L9" s="55">
        <v>0.0</v>
      </c>
      <c r="M9" s="56">
        <v>3.390401E7</v>
      </c>
      <c r="N9" s="56">
        <v>0.0</v>
      </c>
      <c r="O9" s="50">
        <v>168105.0</v>
      </c>
      <c r="P9" s="64" t="s">
        <v>118</v>
      </c>
      <c r="Q9" s="53" t="s">
        <v>119</v>
      </c>
      <c r="R9" s="53" t="s">
        <v>144</v>
      </c>
      <c r="S9" s="53"/>
      <c r="T9" s="53"/>
      <c r="U9" s="82" t="s">
        <v>204</v>
      </c>
      <c r="V9" s="58" t="s">
        <v>205</v>
      </c>
      <c r="W9" s="58" t="s">
        <v>206</v>
      </c>
      <c r="X9" s="53" t="s">
        <v>124</v>
      </c>
      <c r="Y9" s="53" t="s">
        <v>138</v>
      </c>
      <c r="Z9" s="53" t="s">
        <v>125</v>
      </c>
      <c r="AA9" s="75" t="s">
        <v>207</v>
      </c>
      <c r="AB9" s="50">
        <v>6.556008000115E12</v>
      </c>
      <c r="AC9" s="54" t="s">
        <v>208</v>
      </c>
      <c r="AD9" s="83">
        <v>44529.0</v>
      </c>
      <c r="AE9" s="63">
        <v>44619.0</v>
      </c>
      <c r="AF9" s="64" t="s">
        <v>127</v>
      </c>
      <c r="AG9" s="65">
        <v>1.0</v>
      </c>
      <c r="AH9" s="66">
        <v>891880.8</v>
      </c>
      <c r="AI9" s="64" t="s">
        <v>118</v>
      </c>
      <c r="AJ9" s="66"/>
      <c r="AK9" s="64" t="s">
        <v>151</v>
      </c>
      <c r="AL9" s="66"/>
      <c r="AM9" s="66"/>
      <c r="AN9" s="66">
        <v>34841.80000000005</v>
      </c>
      <c r="AO9" s="66">
        <v>857039.0</v>
      </c>
      <c r="AP9" s="58" t="s">
        <v>209</v>
      </c>
      <c r="AQ9" s="66">
        <v>857039.0</v>
      </c>
      <c r="AR9" s="66">
        <v>891880.8</v>
      </c>
      <c r="AS9" s="66" t="str">
        <f>VLOOKUP(A9,'Cópia de ult parc 2021'!A:B,2,0)</f>
        <v>2021NE000159</v>
      </c>
      <c r="AT9" s="66">
        <v>891880.8</v>
      </c>
      <c r="AU9" s="66">
        <v>66809.71</v>
      </c>
      <c r="AV9" s="56">
        <v>12.0</v>
      </c>
      <c r="AW9" s="66">
        <v>801716.52</v>
      </c>
      <c r="AX9" s="66">
        <v>0.0</v>
      </c>
      <c r="AY9" s="66">
        <v>801716.52</v>
      </c>
      <c r="AZ9" s="66">
        <v>148646.80000000005</v>
      </c>
      <c r="BA9" s="66">
        <v>653069.72</v>
      </c>
      <c r="BB9" s="79" t="s">
        <v>207</v>
      </c>
      <c r="BC9" s="56">
        <v>1.51132022236916E14</v>
      </c>
      <c r="BD9" s="64" t="s">
        <v>110</v>
      </c>
      <c r="BE9" s="66" t="s">
        <v>110</v>
      </c>
      <c r="BF9" s="64"/>
      <c r="BG9" s="65"/>
      <c r="BH9" s="65">
        <v>300000.0</v>
      </c>
      <c r="BI9" s="64" t="s">
        <v>129</v>
      </c>
      <c r="BJ9" s="65"/>
      <c r="BK9" s="64" t="s">
        <v>130</v>
      </c>
      <c r="BL9" s="67" t="s">
        <v>131</v>
      </c>
      <c r="BM9" s="64" t="s">
        <v>138</v>
      </c>
      <c r="BN9" s="63">
        <v>44529.0</v>
      </c>
      <c r="BO9" s="63">
        <v>44559.0</v>
      </c>
      <c r="BP9" s="66"/>
      <c r="BQ9" s="66">
        <v>801716.52</v>
      </c>
      <c r="BR9" s="66">
        <v>801716.52</v>
      </c>
      <c r="BS9" s="66">
        <v>891880.8</v>
      </c>
      <c r="BT9" s="66">
        <v>891880.8</v>
      </c>
      <c r="BU9" s="64" t="s">
        <v>210</v>
      </c>
      <c r="BV9" s="64"/>
      <c r="BW9" s="66"/>
      <c r="BX9" s="54"/>
      <c r="BY9" s="54"/>
      <c r="BZ9" s="63"/>
      <c r="CA9" s="54"/>
      <c r="CB9" s="54" t="s">
        <v>134</v>
      </c>
      <c r="CC9" s="54" t="s">
        <v>135</v>
      </c>
      <c r="CD9" s="54" t="s">
        <v>136</v>
      </c>
      <c r="CE9" s="56"/>
      <c r="CF9" s="54" t="s">
        <v>211</v>
      </c>
      <c r="CG9" s="63"/>
      <c r="CH9" s="63">
        <v>44984.0</v>
      </c>
      <c r="CI9" s="63" t="s">
        <v>138</v>
      </c>
      <c r="CJ9" s="66">
        <v>816226.68</v>
      </c>
      <c r="CK9" s="63">
        <v>44984.0</v>
      </c>
      <c r="CL9" s="66" t="s">
        <v>138</v>
      </c>
      <c r="CM9" s="53" t="s">
        <v>139</v>
      </c>
      <c r="CN9" s="79" t="s">
        <v>207</v>
      </c>
      <c r="CO9" s="84" t="s">
        <v>212</v>
      </c>
      <c r="CP9" s="66"/>
      <c r="CQ9" s="80"/>
      <c r="CR9" s="80" t="s">
        <v>117</v>
      </c>
      <c r="CS9" s="80"/>
      <c r="CT9" s="80"/>
      <c r="CU9" s="80"/>
      <c r="CV9" s="66">
        <v>653069.72</v>
      </c>
      <c r="CW9" s="66">
        <v>0.0</v>
      </c>
      <c r="CX9" s="63">
        <v>44588.0</v>
      </c>
      <c r="CY9" s="56">
        <v>1.0</v>
      </c>
      <c r="CZ9" s="81" t="str">
        <f>IFERROR(__xludf.DUMMYFUNCTION("""COMPUTED_VALUE"""),"CENTRAL DE SERVIÇOS ")</f>
        <v>CENTRAL DE SERVIÇOS </v>
      </c>
      <c r="DA9" s="81" t="str">
        <f>IFERROR(__xludf.DUMMYFUNCTION("""COMPUTED_VALUE"""),"Contratação de serviços de suporte de TIC em 1º e 2º níveis2019, para fornecimento de técnicos terceirizados para atendimento aos chamados de TIC, no Estado.")</f>
        <v>Contratação de serviços de suporte de TIC em 1º e 2º níveis2019, para fornecimento de técnicos terceirizados para atendimento aos chamados de TIC, no Estado.</v>
      </c>
      <c r="DB9" s="81" t="s">
        <v>213</v>
      </c>
      <c r="DC9" s="81" t="s">
        <v>214</v>
      </c>
      <c r="DD9" s="81" t="s">
        <v>215</v>
      </c>
      <c r="DE9" s="81" t="s">
        <v>216</v>
      </c>
      <c r="DF9" s="81" t="s">
        <v>118</v>
      </c>
      <c r="DG9" s="81" t="s">
        <v>217</v>
      </c>
      <c r="DH9" s="56"/>
    </row>
    <row r="10" ht="16.5" customHeight="1">
      <c r="A10" s="73">
        <v>15066.0</v>
      </c>
      <c r="B10" s="50">
        <v>0.0</v>
      </c>
      <c r="C10" s="53" t="s">
        <v>218</v>
      </c>
      <c r="D10" s="52" t="s">
        <v>141</v>
      </c>
      <c r="E10" s="52" t="s">
        <v>219</v>
      </c>
      <c r="F10" s="52" t="s">
        <v>203</v>
      </c>
      <c r="G10" s="52" t="str">
        <f>IFERROR(__xludf.DUMMYFUNCTION("""COMPUTED_VALUE"""),"(ID PAAC 15066) INTERNET MOVEL - Contratação de linhas de internet móvel. O quantitativo atual é de 151 e deve ser confirmado pelos estudos da contração (Ato CSJT 43/2013).")</f>
        <v>(ID PAAC 15066) INTERNET MOVEL - Contratação de linhas de internet móvel. O quantitativo atual é de 151 e deve ser confirmado pelos estudos da contração (Ato CSJT 43/2013).</v>
      </c>
      <c r="H10" s="53" t="s">
        <v>115</v>
      </c>
      <c r="I10" s="53" t="s">
        <v>116</v>
      </c>
      <c r="J10" s="53" t="s">
        <v>116</v>
      </c>
      <c r="K10" s="54" t="s">
        <v>117</v>
      </c>
      <c r="L10" s="55">
        <v>0.0</v>
      </c>
      <c r="M10" s="56">
        <v>3.3904014E7</v>
      </c>
      <c r="N10" s="56">
        <v>0.0</v>
      </c>
      <c r="O10" s="50">
        <v>168105.0</v>
      </c>
      <c r="P10" s="64" t="s">
        <v>118</v>
      </c>
      <c r="Q10" s="53" t="s">
        <v>143</v>
      </c>
      <c r="R10" s="53" t="s">
        <v>144</v>
      </c>
      <c r="S10" s="53"/>
      <c r="T10" s="53"/>
      <c r="U10" s="82" t="s">
        <v>204</v>
      </c>
      <c r="V10" s="58" t="s">
        <v>220</v>
      </c>
      <c r="W10" s="58" t="s">
        <v>221</v>
      </c>
      <c r="X10" s="53" t="s">
        <v>124</v>
      </c>
      <c r="Y10" s="53" t="s">
        <v>138</v>
      </c>
      <c r="Z10" s="53" t="s">
        <v>125</v>
      </c>
      <c r="AA10" s="75" t="s">
        <v>222</v>
      </c>
      <c r="AB10" s="50">
        <v>4.0432544000147E13</v>
      </c>
      <c r="AC10" s="54" t="s">
        <v>223</v>
      </c>
      <c r="AD10" s="83">
        <v>44510.0</v>
      </c>
      <c r="AE10" s="91">
        <v>44600.0</v>
      </c>
      <c r="AF10" s="64" t="s">
        <v>127</v>
      </c>
      <c r="AG10" s="65">
        <v>151.0</v>
      </c>
      <c r="AH10" s="66">
        <v>274.8</v>
      </c>
      <c r="AI10" s="64" t="s">
        <v>118</v>
      </c>
      <c r="AJ10" s="66"/>
      <c r="AK10" s="64" t="s">
        <v>128</v>
      </c>
      <c r="AL10" s="66"/>
      <c r="AM10" s="66"/>
      <c r="AN10" s="66">
        <v>-7176.199999999997</v>
      </c>
      <c r="AO10" s="66">
        <v>48671.0</v>
      </c>
      <c r="AP10" s="58" t="s">
        <v>224</v>
      </c>
      <c r="AQ10" s="66">
        <v>48671.0</v>
      </c>
      <c r="AR10" s="66">
        <v>41494.8</v>
      </c>
      <c r="AS10" s="66"/>
      <c r="AT10" s="66">
        <v>41494.8</v>
      </c>
      <c r="AU10" s="66">
        <v>3457.9</v>
      </c>
      <c r="AV10" s="92">
        <v>12.0</v>
      </c>
      <c r="AW10" s="66">
        <v>41494.8</v>
      </c>
      <c r="AX10" s="66">
        <v>0.0</v>
      </c>
      <c r="AY10" s="66">
        <v>41494.8</v>
      </c>
      <c r="AZ10" s="66">
        <v>10373.700000000004</v>
      </c>
      <c r="BA10" s="66">
        <v>31121.1</v>
      </c>
      <c r="BB10" s="79" t="s">
        <v>222</v>
      </c>
      <c r="BC10" s="56">
        <v>1.51132022236931E14</v>
      </c>
      <c r="BD10" s="64" t="s">
        <v>110</v>
      </c>
      <c r="BE10" s="66" t="s">
        <v>110</v>
      </c>
      <c r="BF10" s="64"/>
      <c r="BG10" s="65"/>
      <c r="BH10" s="65">
        <v>200000.0</v>
      </c>
      <c r="BI10" s="64" t="s">
        <v>153</v>
      </c>
      <c r="BJ10" s="65"/>
      <c r="BK10" s="64" t="s">
        <v>130</v>
      </c>
      <c r="BL10" s="67" t="s">
        <v>131</v>
      </c>
      <c r="BM10" s="64" t="s">
        <v>138</v>
      </c>
      <c r="BN10" s="63">
        <v>44540.0</v>
      </c>
      <c r="BO10" s="63">
        <v>44905.0</v>
      </c>
      <c r="BP10" s="66"/>
      <c r="BQ10" s="66">
        <v>41494.8</v>
      </c>
      <c r="BR10" s="66">
        <v>41494.8</v>
      </c>
      <c r="BS10" s="66">
        <v>41494.8</v>
      </c>
      <c r="BT10" s="66">
        <v>41494.8</v>
      </c>
      <c r="BU10" s="64" t="s">
        <v>225</v>
      </c>
      <c r="BV10" s="64"/>
      <c r="BW10" s="66"/>
      <c r="BX10" s="54"/>
      <c r="BY10" s="54"/>
      <c r="BZ10" s="63"/>
      <c r="CA10" s="54"/>
      <c r="CB10" s="54" t="s">
        <v>134</v>
      </c>
      <c r="CC10" s="54" t="s">
        <v>135</v>
      </c>
      <c r="CD10" s="54" t="s">
        <v>136</v>
      </c>
      <c r="CE10" s="56"/>
      <c r="CF10" s="54" t="s">
        <v>226</v>
      </c>
      <c r="CG10" s="63"/>
      <c r="CH10" s="63">
        <v>44965.0</v>
      </c>
      <c r="CI10" s="63" t="s">
        <v>138</v>
      </c>
      <c r="CJ10" s="66">
        <v>46343.28</v>
      </c>
      <c r="CK10" s="63">
        <v>44965.0</v>
      </c>
      <c r="CL10" s="66" t="s">
        <v>125</v>
      </c>
      <c r="CM10" s="53" t="s">
        <v>139</v>
      </c>
      <c r="CN10" s="79" t="s">
        <v>222</v>
      </c>
      <c r="CO10" s="64"/>
      <c r="CP10" s="66"/>
      <c r="CQ10" s="80"/>
      <c r="CR10" s="80" t="s">
        <v>117</v>
      </c>
      <c r="CS10" s="80"/>
      <c r="CT10" s="80"/>
      <c r="CU10" s="80"/>
      <c r="CV10" s="66">
        <v>31121.1</v>
      </c>
      <c r="CW10" s="66">
        <v>0.0</v>
      </c>
      <c r="CX10" s="63">
        <v>44579.0</v>
      </c>
      <c r="CY10" s="56">
        <v>1.0</v>
      </c>
      <c r="CZ10" s="81" t="str">
        <f>IFERROR(__xludf.DUMMYFUNCTION("""COMPUTED_VALUE"""),"INTERNET MOVEL ")</f>
        <v>INTERNET MOVEL </v>
      </c>
      <c r="DA10" s="81" t="str">
        <f>IFERROR(__xludf.DUMMYFUNCTION("""COMPUTED_VALUE"""),"Contratação de linhas de internet móvel. O quantitativo atual é de 151 e deve ser confirmado pelos estudos da contração (Ato CSJT 43/2013).")</f>
        <v>Contratação de linhas de internet móvel. O quantitativo atual é de 151 e deve ser confirmado pelos estudos da contração (Ato CSJT 43/2013).</v>
      </c>
      <c r="DB10" s="81" t="s">
        <v>227</v>
      </c>
      <c r="DC10" s="81" t="s">
        <v>214</v>
      </c>
      <c r="DD10" s="81" t="s">
        <v>215</v>
      </c>
      <c r="DE10" s="81" t="s">
        <v>216</v>
      </c>
      <c r="DF10" s="81" t="s">
        <v>118</v>
      </c>
      <c r="DG10" s="81" t="s">
        <v>217</v>
      </c>
      <c r="DH10" s="56"/>
    </row>
    <row r="11" ht="16.5" customHeight="1">
      <c r="A11" s="73">
        <v>15070.0</v>
      </c>
      <c r="B11" s="50">
        <v>0.0</v>
      </c>
      <c r="C11" s="53" t="s">
        <v>228</v>
      </c>
      <c r="D11" s="52" t="s">
        <v>112</v>
      </c>
      <c r="E11" s="52" t="s">
        <v>113</v>
      </c>
      <c r="F11" s="52" t="s">
        <v>114</v>
      </c>
      <c r="G11" s="52" t="str">
        <f>IFERROR(__xludf.DUMMYFUNCTION("""COMPUTED_VALUE"""),"(ID PAAC 15070) REDE JT - Alt - Contratação de links para conexão da sede com as unidades do interior do estado.")</f>
        <v>(ID PAAC 15070) REDE JT - Alt - Contratação de links para conexão da sede com as unidades do interior do estado.</v>
      </c>
      <c r="H11" s="53" t="s">
        <v>115</v>
      </c>
      <c r="I11" s="53" t="s">
        <v>116</v>
      </c>
      <c r="J11" s="53" t="s">
        <v>116</v>
      </c>
      <c r="K11" s="54" t="s">
        <v>117</v>
      </c>
      <c r="L11" s="55">
        <v>0.0</v>
      </c>
      <c r="M11" s="56">
        <v>3.3904013E7</v>
      </c>
      <c r="N11" s="56">
        <v>0.0</v>
      </c>
      <c r="O11" s="50">
        <v>168107.0</v>
      </c>
      <c r="P11" s="64" t="s">
        <v>110</v>
      </c>
      <c r="Q11" s="53" t="s">
        <v>119</v>
      </c>
      <c r="R11" s="53" t="s">
        <v>144</v>
      </c>
      <c r="S11" s="53"/>
      <c r="T11" s="53"/>
      <c r="U11" s="90" t="s">
        <v>145</v>
      </c>
      <c r="V11" s="58"/>
      <c r="W11" s="58" t="s">
        <v>229</v>
      </c>
      <c r="X11" s="53" t="s">
        <v>173</v>
      </c>
      <c r="Y11" s="53" t="s">
        <v>147</v>
      </c>
      <c r="Z11" s="53" t="s">
        <v>125</v>
      </c>
      <c r="AA11" s="75" t="s">
        <v>230</v>
      </c>
      <c r="AB11" s="50">
        <v>1.479874000012E13</v>
      </c>
      <c r="AC11" s="54" t="s">
        <v>200</v>
      </c>
      <c r="AD11" s="93" t="s">
        <v>176</v>
      </c>
      <c r="AE11" s="63"/>
      <c r="AF11" s="64" t="s">
        <v>177</v>
      </c>
      <c r="AG11" s="65">
        <v>1.0</v>
      </c>
      <c r="AH11" s="77">
        <v>125208.18000000001</v>
      </c>
      <c r="AI11" s="64" t="s">
        <v>118</v>
      </c>
      <c r="AJ11" s="78"/>
      <c r="AK11" s="64" t="s">
        <v>178</v>
      </c>
      <c r="AL11" s="94"/>
      <c r="AM11" s="94"/>
      <c r="AN11" s="78">
        <v>0.0</v>
      </c>
      <c r="AO11" s="78">
        <v>125208.18000000001</v>
      </c>
      <c r="AP11" s="58" t="s">
        <v>231</v>
      </c>
      <c r="AQ11" s="94">
        <v>211610.0</v>
      </c>
      <c r="AR11" s="66">
        <v>125208.18000000001</v>
      </c>
      <c r="AS11" s="66" t="str">
        <f>VLOOKUP(A11,'Cópia de ult parc 2021'!A:B,2,0)</f>
        <v>2021NE000243</v>
      </c>
      <c r="AT11" s="66">
        <v>125208.18000000001</v>
      </c>
      <c r="AU11" s="66">
        <v>13912.02</v>
      </c>
      <c r="AV11" s="56">
        <v>9.0</v>
      </c>
      <c r="AW11" s="66">
        <v>125208.18000000001</v>
      </c>
      <c r="AX11" s="66">
        <v>0.0</v>
      </c>
      <c r="AY11" s="77">
        <v>125208.18</v>
      </c>
      <c r="AZ11" s="66">
        <v>41736.06</v>
      </c>
      <c r="BA11" s="66">
        <v>83472.12</v>
      </c>
      <c r="BB11" s="79" t="s">
        <v>230</v>
      </c>
      <c r="BC11" s="56">
        <v>1.51132022236926E14</v>
      </c>
      <c r="BD11" s="64" t="s">
        <v>118</v>
      </c>
      <c r="BE11" s="66" t="s">
        <v>118</v>
      </c>
      <c r="BF11" s="64"/>
      <c r="BG11" s="65"/>
      <c r="BH11" s="65">
        <v>300000.0</v>
      </c>
      <c r="BI11" s="64" t="s">
        <v>129</v>
      </c>
      <c r="BJ11" s="65"/>
      <c r="BK11" s="64" t="s">
        <v>130</v>
      </c>
      <c r="BL11" s="67"/>
      <c r="BM11" s="64" t="s">
        <v>147</v>
      </c>
      <c r="BN11" s="63"/>
      <c r="BO11" s="63"/>
      <c r="BP11" s="66"/>
      <c r="BQ11" s="66"/>
      <c r="BR11" s="66"/>
      <c r="BS11" s="66">
        <v>125208.18000000001</v>
      </c>
      <c r="BT11" s="66"/>
      <c r="BU11" s="64" t="s">
        <v>189</v>
      </c>
      <c r="BV11" s="64" t="s">
        <v>190</v>
      </c>
      <c r="BW11" s="66"/>
      <c r="BX11" s="54"/>
      <c r="BY11" s="54" t="s">
        <v>192</v>
      </c>
      <c r="BZ11" s="63"/>
      <c r="CA11" s="54"/>
      <c r="CB11" s="54" t="s">
        <v>159</v>
      </c>
      <c r="CC11" s="54" t="s">
        <v>193</v>
      </c>
      <c r="CD11" s="54" t="s">
        <v>136</v>
      </c>
      <c r="CE11" s="56"/>
      <c r="CF11" s="54" t="s">
        <v>194</v>
      </c>
      <c r="CG11" s="63"/>
      <c r="CH11" s="63">
        <v>365.0</v>
      </c>
      <c r="CI11" s="63" t="s">
        <v>147</v>
      </c>
      <c r="CJ11" s="66">
        <v>155809.08000000002</v>
      </c>
      <c r="CK11" s="63">
        <v>44836.0</v>
      </c>
      <c r="CL11" s="66" t="s">
        <v>138</v>
      </c>
      <c r="CM11" s="53" t="s">
        <v>139</v>
      </c>
      <c r="CN11" s="79" t="s">
        <v>230</v>
      </c>
      <c r="CO11" s="84" t="s">
        <v>232</v>
      </c>
      <c r="CP11" s="66"/>
      <c r="CQ11" s="80"/>
      <c r="CR11" s="80"/>
      <c r="CS11" s="80"/>
      <c r="CT11" s="80"/>
      <c r="CU11" s="80"/>
      <c r="CV11" s="66">
        <v>83472.12</v>
      </c>
      <c r="CW11" s="66">
        <v>0.0</v>
      </c>
      <c r="CX11" s="63">
        <v>44588.0</v>
      </c>
      <c r="CY11" s="56">
        <v>1.0</v>
      </c>
      <c r="CZ11" s="81" t="str">
        <f>IFERROR(__xludf.DUMMYFUNCTION("""COMPUTED_VALUE"""),"REDE JT ")</f>
        <v>REDE JT </v>
      </c>
      <c r="DA11" s="56" t="str">
        <f>IFERROR(__xludf.DUMMYFUNCTION("""COMPUTED_VALUE"""),"AltContratação de links para conexão da sede com as unidades do interior do estado.")</f>
        <v>AltContratação de links para conexão da sede com as unidades do interior do estado.</v>
      </c>
      <c r="DB11" s="56"/>
      <c r="DC11" s="56"/>
      <c r="DD11" s="56"/>
      <c r="DE11" s="56"/>
      <c r="DF11" s="56"/>
      <c r="DG11" s="56"/>
      <c r="DH11" s="56"/>
    </row>
    <row r="12" ht="16.5" customHeight="1">
      <c r="A12" s="73">
        <v>15072.0</v>
      </c>
      <c r="B12" s="50">
        <v>0.0</v>
      </c>
      <c r="C12" s="53" t="s">
        <v>233</v>
      </c>
      <c r="D12" s="52" t="s">
        <v>112</v>
      </c>
      <c r="E12" s="52" t="s">
        <v>113</v>
      </c>
      <c r="F12" s="52" t="s">
        <v>114</v>
      </c>
      <c r="G12" s="52" t="str">
        <f>IFERROR(__xludf.DUMMYFUNCTION("""COMPUTED_VALUE"""),"(ID PAAC 15072) NUVEM GOOGLE 1 - Contratação de licença de uso de serviço de nuvem de comunicação e colaboração")</f>
        <v>(ID PAAC 15072) NUVEM GOOGLE 1 - Contratação de licença de uso de serviço de nuvem de comunicação e colaboração</v>
      </c>
      <c r="H12" s="53" t="s">
        <v>115</v>
      </c>
      <c r="I12" s="53" t="s">
        <v>116</v>
      </c>
      <c r="J12" s="53" t="s">
        <v>116</v>
      </c>
      <c r="K12" s="54" t="s">
        <v>117</v>
      </c>
      <c r="L12" s="55">
        <v>0.0</v>
      </c>
      <c r="M12" s="56">
        <v>3.3904019E7</v>
      </c>
      <c r="N12" s="56">
        <v>0.0</v>
      </c>
      <c r="O12" s="50">
        <v>168105.0</v>
      </c>
      <c r="P12" s="64" t="s">
        <v>118</v>
      </c>
      <c r="Q12" s="53" t="s">
        <v>119</v>
      </c>
      <c r="R12" s="53" t="s">
        <v>144</v>
      </c>
      <c r="S12" s="53"/>
      <c r="T12" s="53"/>
      <c r="U12" s="90" t="s">
        <v>145</v>
      </c>
      <c r="V12" s="58"/>
      <c r="W12" s="58" t="s">
        <v>234</v>
      </c>
      <c r="X12" s="53" t="s">
        <v>173</v>
      </c>
      <c r="Y12" s="53" t="s">
        <v>147</v>
      </c>
      <c r="Z12" s="53" t="s">
        <v>148</v>
      </c>
      <c r="AA12" s="75" t="s">
        <v>235</v>
      </c>
      <c r="AB12" s="50">
        <v>1.1508825000138E13</v>
      </c>
      <c r="AC12" s="54" t="s">
        <v>236</v>
      </c>
      <c r="AD12" s="93">
        <v>44908.0</v>
      </c>
      <c r="AE12" s="63">
        <v>44908.0</v>
      </c>
      <c r="AF12" s="64" t="s">
        <v>177</v>
      </c>
      <c r="AG12" s="65">
        <v>1800.0</v>
      </c>
      <c r="AH12" s="77">
        <v>146.80837666666665</v>
      </c>
      <c r="AI12" s="64" t="s">
        <v>118</v>
      </c>
      <c r="AJ12" s="78"/>
      <c r="AK12" s="64" t="s">
        <v>237</v>
      </c>
      <c r="AL12" s="94"/>
      <c r="AM12" s="94"/>
      <c r="AN12" s="78">
        <v>-115744.92200000002</v>
      </c>
      <c r="AO12" s="78">
        <v>380000.0</v>
      </c>
      <c r="AP12" s="58" t="s">
        <v>238</v>
      </c>
      <c r="AQ12" s="94">
        <v>400000.0</v>
      </c>
      <c r="AR12" s="66">
        <v>264255.078</v>
      </c>
      <c r="AS12" s="66" t="str">
        <f>VLOOKUP(A12,'Cópia de ult parc 2021'!A:B,2,0)</f>
        <v>2021NE000147</v>
      </c>
      <c r="AT12" s="66">
        <v>264255.078</v>
      </c>
      <c r="AU12" s="66">
        <v>23180.27</v>
      </c>
      <c r="AV12" s="56">
        <v>11.399999999999999</v>
      </c>
      <c r="AW12" s="66">
        <v>264255.078</v>
      </c>
      <c r="AX12" s="66">
        <v>0.0</v>
      </c>
      <c r="AY12" s="77">
        <v>264255.08</v>
      </c>
      <c r="AZ12" s="66">
        <v>69540.81000000003</v>
      </c>
      <c r="BA12" s="66">
        <v>194714.27</v>
      </c>
      <c r="BB12" s="95" t="s">
        <v>235</v>
      </c>
      <c r="BC12" s="56">
        <v>1.51132022236944E14</v>
      </c>
      <c r="BD12" s="64" t="s">
        <v>118</v>
      </c>
      <c r="BE12" s="66" t="s">
        <v>110</v>
      </c>
      <c r="BF12" s="64"/>
      <c r="BG12" s="65"/>
      <c r="BH12" s="65">
        <v>300000.0</v>
      </c>
      <c r="BI12" s="64" t="s">
        <v>129</v>
      </c>
      <c r="BJ12" s="65"/>
      <c r="BK12" s="64" t="s">
        <v>130</v>
      </c>
      <c r="BL12" s="67" t="s">
        <v>154</v>
      </c>
      <c r="BM12" s="64" t="s">
        <v>147</v>
      </c>
      <c r="BN12" s="63"/>
      <c r="BO12" s="63"/>
      <c r="BP12" s="66"/>
      <c r="BQ12" s="66"/>
      <c r="BR12" s="66"/>
      <c r="BS12" s="66">
        <v>264255.078</v>
      </c>
      <c r="BT12" s="66"/>
      <c r="BU12" s="64" t="s">
        <v>239</v>
      </c>
      <c r="BV12" s="64"/>
      <c r="BW12" s="66"/>
      <c r="BX12" s="54"/>
      <c r="BY12" s="54"/>
      <c r="BZ12" s="63"/>
      <c r="CA12" s="54"/>
      <c r="CB12" s="54" t="s">
        <v>134</v>
      </c>
      <c r="CC12" s="54" t="s">
        <v>135</v>
      </c>
      <c r="CD12" s="54" t="s">
        <v>136</v>
      </c>
      <c r="CE12" s="56"/>
      <c r="CF12" s="54" t="s">
        <v>240</v>
      </c>
      <c r="CG12" s="63"/>
      <c r="CH12" s="63">
        <v>45273.0</v>
      </c>
      <c r="CI12" s="63" t="s">
        <v>147</v>
      </c>
      <c r="CJ12" s="66">
        <v>400000.0</v>
      </c>
      <c r="CK12" s="63">
        <v>44605.0</v>
      </c>
      <c r="CL12" s="64" t="s">
        <v>162</v>
      </c>
      <c r="CM12" s="53" t="s">
        <v>139</v>
      </c>
      <c r="CN12" s="79" t="s">
        <v>235</v>
      </c>
      <c r="CO12" s="84" t="s">
        <v>241</v>
      </c>
      <c r="CP12" s="66"/>
      <c r="CQ12" s="80"/>
      <c r="CR12" s="80" t="s">
        <v>117</v>
      </c>
      <c r="CS12" s="80"/>
      <c r="CT12" s="80"/>
      <c r="CU12" s="80"/>
      <c r="CV12" s="66">
        <v>194714.27</v>
      </c>
      <c r="CW12" s="66">
        <v>0.0</v>
      </c>
      <c r="CX12" s="63">
        <v>44588.0</v>
      </c>
      <c r="CY12" s="56">
        <v>1.0</v>
      </c>
      <c r="CZ12" s="81" t="str">
        <f>IFERROR(__xludf.DUMMYFUNCTION("""COMPUTED_VALUE"""),"NUVEM GOOGLE 1 ")</f>
        <v>NUVEM GOOGLE 1 </v>
      </c>
      <c r="DA12" s="56" t="str">
        <f>IFERROR(__xludf.DUMMYFUNCTION("""COMPUTED_VALUE"""),"Contratação de licença de uso de serviço de nuvem de comunicação e colaboração")</f>
        <v>Contratação de licença de uso de serviço de nuvem de comunicação e colaboração</v>
      </c>
      <c r="DB12" s="56"/>
      <c r="DC12" s="56"/>
      <c r="DD12" s="56"/>
      <c r="DE12" s="56"/>
      <c r="DF12" s="56"/>
      <c r="DG12" s="56"/>
      <c r="DH12" s="56"/>
    </row>
    <row r="13" ht="16.5" customHeight="1">
      <c r="A13" s="73">
        <v>15099.0</v>
      </c>
      <c r="B13" s="50">
        <v>0.0</v>
      </c>
      <c r="C13" s="53" t="s">
        <v>242</v>
      </c>
      <c r="D13" s="52" t="s">
        <v>243</v>
      </c>
      <c r="E13" s="96" t="s">
        <v>244</v>
      </c>
      <c r="F13" s="52" t="s">
        <v>203</v>
      </c>
      <c r="G13" s="52" t="str">
        <f>IFERROR(__xludf.DUMMYFUNCTION("""COMPUTED_VALUE"""),"(ID PAAC 15099) RESERVA - Fundo de reserva e materiais diversos, para despesas imprevisíveis e reserva para capacitação a ser transferida tempestivamente à SEDUC")</f>
        <v>(ID PAAC 15099) RESERVA - Fundo de reserva e materiais diversos, para despesas imprevisíveis e reserva para capacitação a ser transferida tempestivamente à SEDUC</v>
      </c>
      <c r="H13" s="53" t="s">
        <v>245</v>
      </c>
      <c r="I13" s="53" t="s">
        <v>116</v>
      </c>
      <c r="J13" s="53" t="s">
        <v>116</v>
      </c>
      <c r="K13" s="54" t="s">
        <v>117</v>
      </c>
      <c r="L13" s="55">
        <v>0.0</v>
      </c>
      <c r="M13" s="56">
        <v>3.3903017E7</v>
      </c>
      <c r="N13" s="56">
        <v>0.0</v>
      </c>
      <c r="O13" s="50">
        <v>168105.0</v>
      </c>
      <c r="P13" s="52" t="s">
        <v>118</v>
      </c>
      <c r="Q13" s="53" t="s">
        <v>119</v>
      </c>
      <c r="R13" s="53" t="s">
        <v>144</v>
      </c>
      <c r="S13" s="53"/>
      <c r="T13" s="53"/>
      <c r="U13" s="82" t="s">
        <v>122</v>
      </c>
      <c r="V13" s="58"/>
      <c r="W13" s="58"/>
      <c r="X13" s="53" t="s">
        <v>124</v>
      </c>
      <c r="Y13" s="53" t="s">
        <v>246</v>
      </c>
      <c r="Z13" s="53" t="s">
        <v>167</v>
      </c>
      <c r="AA13" s="59" t="s">
        <v>176</v>
      </c>
      <c r="AB13" s="50" t="e">
        <v>#N/A</v>
      </c>
      <c r="AC13" s="54" t="e">
        <v>#N/A</v>
      </c>
      <c r="AD13" s="97">
        <v>44795.0</v>
      </c>
      <c r="AE13" s="63">
        <v>44805.0</v>
      </c>
      <c r="AF13" s="64" t="s">
        <v>127</v>
      </c>
      <c r="AG13" s="65">
        <v>1.0</v>
      </c>
      <c r="AH13" s="66">
        <v>50000.0</v>
      </c>
      <c r="AI13" s="64" t="s">
        <v>118</v>
      </c>
      <c r="AJ13" s="66"/>
      <c r="AK13" s="94"/>
      <c r="AL13" s="78"/>
      <c r="AM13" s="78"/>
      <c r="AN13" s="78">
        <v>0.0</v>
      </c>
      <c r="AO13" s="94">
        <v>50000.0</v>
      </c>
      <c r="AP13" s="58"/>
      <c r="AQ13" s="78">
        <v>50000.0</v>
      </c>
      <c r="AR13" s="66">
        <v>50000.0</v>
      </c>
      <c r="AS13" s="66"/>
      <c r="AT13" s="77">
        <v>50000.0</v>
      </c>
      <c r="AU13" s="77"/>
      <c r="AV13" s="56"/>
      <c r="AW13" s="66">
        <v>0.0</v>
      </c>
      <c r="AX13" s="66">
        <v>0.0</v>
      </c>
      <c r="AY13" s="77">
        <v>0.0</v>
      </c>
      <c r="AZ13" s="66">
        <v>0.0</v>
      </c>
      <c r="BA13" s="66">
        <v>0.0</v>
      </c>
      <c r="BB13" s="66" t="s">
        <v>176</v>
      </c>
      <c r="BC13" s="56">
        <v>1.51132022236946E14</v>
      </c>
      <c r="BD13" s="64" t="s">
        <v>118</v>
      </c>
      <c r="BE13" s="66" t="s">
        <v>118</v>
      </c>
      <c r="BF13" s="64"/>
      <c r="BG13" s="65"/>
      <c r="BH13" s="65">
        <v>300000.0</v>
      </c>
      <c r="BI13" s="64" t="s">
        <v>129</v>
      </c>
      <c r="BJ13" s="65"/>
      <c r="BK13" s="64" t="s">
        <v>247</v>
      </c>
      <c r="BL13" s="67"/>
      <c r="BM13" s="52" t="s">
        <v>246</v>
      </c>
      <c r="BN13" s="63"/>
      <c r="BO13" s="63"/>
      <c r="BP13" s="66"/>
      <c r="BQ13" s="66"/>
      <c r="BR13" s="66"/>
      <c r="BS13" s="66">
        <v>50000.0</v>
      </c>
      <c r="BT13" s="66"/>
      <c r="BU13" s="98" t="s">
        <v>248</v>
      </c>
      <c r="BV13" s="77"/>
      <c r="BW13" s="77"/>
      <c r="BX13" s="99"/>
      <c r="BY13" s="99"/>
      <c r="BZ13" s="63"/>
      <c r="CA13" s="54"/>
      <c r="CB13" s="99" t="s">
        <v>134</v>
      </c>
      <c r="CC13" s="99" t="s">
        <v>135</v>
      </c>
      <c r="CD13" s="99" t="s">
        <v>249</v>
      </c>
      <c r="CE13" s="100"/>
      <c r="CF13" s="99" t="s">
        <v>250</v>
      </c>
      <c r="CG13" s="68"/>
      <c r="CH13" s="68">
        <v>45170.0</v>
      </c>
      <c r="CI13" s="68" t="s">
        <v>246</v>
      </c>
      <c r="CJ13" s="77">
        <v>50000.0</v>
      </c>
      <c r="CK13" s="63">
        <v>44805.0</v>
      </c>
      <c r="CL13" s="66" t="s">
        <v>195</v>
      </c>
      <c r="CM13" s="64" t="s">
        <v>139</v>
      </c>
      <c r="CN13" s="66" t="s">
        <v>176</v>
      </c>
      <c r="CO13" s="66"/>
      <c r="CP13" s="66"/>
      <c r="CQ13" s="64"/>
      <c r="CR13" s="64" t="s">
        <v>117</v>
      </c>
      <c r="CS13" s="64"/>
      <c r="CT13" s="64"/>
      <c r="CU13" s="64"/>
      <c r="CV13" s="66">
        <v>0.0</v>
      </c>
      <c r="CW13" s="66">
        <v>0.0</v>
      </c>
      <c r="CX13" s="63" t="e">
        <v>#N/A</v>
      </c>
      <c r="CY13" s="56"/>
      <c r="CZ13" s="81" t="str">
        <f>IFERROR(__xludf.DUMMYFUNCTION("""COMPUTED_VALUE"""),"RESERVA ")</f>
        <v>RESERVA </v>
      </c>
      <c r="DA13" s="56" t="str">
        <f>IFERROR(__xludf.DUMMYFUNCTION("""COMPUTED_VALUE"""),"Fundo de reserva e materiais diversos, para despesas imprevisíveis e reserva para capacitação a ser transferida tempestivamente à SEDUC")</f>
        <v>Fundo de reserva e materiais diversos, para despesas imprevisíveis e reserva para capacitação a ser transferida tempestivamente à SEDUC</v>
      </c>
      <c r="DB13" s="56"/>
      <c r="DC13" s="56"/>
      <c r="DD13" s="56"/>
      <c r="DE13" s="56"/>
      <c r="DF13" s="56"/>
      <c r="DG13" s="56"/>
      <c r="DH13" s="56"/>
    </row>
    <row r="14" ht="16.5" customHeight="1">
      <c r="A14" s="73">
        <v>15107.0</v>
      </c>
      <c r="B14" s="50">
        <v>0.0</v>
      </c>
      <c r="C14" s="53" t="s">
        <v>251</v>
      </c>
      <c r="D14" s="52" t="s">
        <v>112</v>
      </c>
      <c r="E14" s="52" t="s">
        <v>142</v>
      </c>
      <c r="F14" s="52" t="s">
        <v>203</v>
      </c>
      <c r="G14" s="52" t="str">
        <f>IFERROR(__xludf.DUMMYFUNCTION("""COMPUTED_VALUE"""),"(ID PAAC 15107) SCANNER MANUTENÇÃO - Contratação de manutenção dos scanneres para remessa de processo ao TST - SECART (Kodak i4600 e Fujitsu fi-6800)")</f>
        <v>(ID PAAC 15107) SCANNER MANUTENÇÃO - Contratação de manutenção dos scanneres para remessa de processo ao TST - SECART (Kodak i4600 e Fujitsu fi-6800)</v>
      </c>
      <c r="H14" s="53" t="s">
        <v>115</v>
      </c>
      <c r="I14" s="53" t="s">
        <v>252</v>
      </c>
      <c r="J14" s="53" t="s">
        <v>116</v>
      </c>
      <c r="K14" s="54" t="s">
        <v>117</v>
      </c>
      <c r="L14" s="55">
        <v>0.0</v>
      </c>
      <c r="M14" s="56">
        <v>3.3904012E7</v>
      </c>
      <c r="N14" s="56">
        <v>0.0</v>
      </c>
      <c r="O14" s="50">
        <v>168105.0</v>
      </c>
      <c r="P14" s="64" t="s">
        <v>118</v>
      </c>
      <c r="Q14" s="53" t="s">
        <v>119</v>
      </c>
      <c r="R14" s="53" t="s">
        <v>144</v>
      </c>
      <c r="S14" s="53"/>
      <c r="T14" s="53"/>
      <c r="U14" s="53" t="s">
        <v>122</v>
      </c>
      <c r="V14" s="58"/>
      <c r="W14" s="58" t="s">
        <v>253</v>
      </c>
      <c r="X14" s="53" t="s">
        <v>124</v>
      </c>
      <c r="Y14" s="53" t="s">
        <v>138</v>
      </c>
      <c r="Z14" s="53" t="s">
        <v>125</v>
      </c>
      <c r="AA14" s="75" t="s">
        <v>254</v>
      </c>
      <c r="AB14" s="50">
        <v>7.452760000189E12</v>
      </c>
      <c r="AC14" s="54" t="s">
        <v>255</v>
      </c>
      <c r="AD14" s="83">
        <v>44728.0</v>
      </c>
      <c r="AE14" s="63">
        <v>44818.0</v>
      </c>
      <c r="AF14" s="64" t="s">
        <v>127</v>
      </c>
      <c r="AG14" s="65">
        <v>1.0</v>
      </c>
      <c r="AH14" s="66">
        <v>17940.0</v>
      </c>
      <c r="AI14" s="64" t="s">
        <v>118</v>
      </c>
      <c r="AJ14" s="66"/>
      <c r="AK14" s="64" t="s">
        <v>256</v>
      </c>
      <c r="AL14" s="78"/>
      <c r="AM14" s="78"/>
      <c r="AN14" s="78">
        <v>-12060.0</v>
      </c>
      <c r="AO14" s="78">
        <v>30000.0</v>
      </c>
      <c r="AP14" s="58" t="s">
        <v>257</v>
      </c>
      <c r="AQ14" s="78">
        <v>30000.0</v>
      </c>
      <c r="AR14" s="66">
        <v>17940.0</v>
      </c>
      <c r="AS14" s="66"/>
      <c r="AT14" s="66">
        <v>17940.0</v>
      </c>
      <c r="AU14" s="66">
        <v>1495.0</v>
      </c>
      <c r="AV14" s="56">
        <v>12.0</v>
      </c>
      <c r="AW14" s="66">
        <v>17940.0</v>
      </c>
      <c r="AX14" s="66">
        <v>0.0</v>
      </c>
      <c r="AY14" s="66">
        <v>17940.0</v>
      </c>
      <c r="AZ14" s="66">
        <v>4485.0</v>
      </c>
      <c r="BA14" s="66">
        <v>13455.0</v>
      </c>
      <c r="BB14" s="79" t="s">
        <v>254</v>
      </c>
      <c r="BC14" s="56">
        <v>1.51132022236923E14</v>
      </c>
      <c r="BD14" s="64" t="s">
        <v>110</v>
      </c>
      <c r="BE14" s="66" t="s">
        <v>110</v>
      </c>
      <c r="BF14" s="64"/>
      <c r="BG14" s="65"/>
      <c r="BH14" s="65">
        <v>300000.0</v>
      </c>
      <c r="BI14" s="64" t="s">
        <v>129</v>
      </c>
      <c r="BJ14" s="65"/>
      <c r="BK14" s="64" t="s">
        <v>130</v>
      </c>
      <c r="BL14" s="67" t="s">
        <v>131</v>
      </c>
      <c r="BM14" s="64" t="s">
        <v>138</v>
      </c>
      <c r="BN14" s="83"/>
      <c r="BO14" s="63"/>
      <c r="BP14" s="66"/>
      <c r="BQ14" s="66"/>
      <c r="BR14" s="66"/>
      <c r="BS14" s="66">
        <v>17940.0</v>
      </c>
      <c r="BT14" s="66">
        <v>17940.0</v>
      </c>
      <c r="BU14" s="64" t="s">
        <v>133</v>
      </c>
      <c r="BV14" s="64"/>
      <c r="BW14" s="66"/>
      <c r="BX14" s="54"/>
      <c r="BY14" s="54"/>
      <c r="BZ14" s="63"/>
      <c r="CA14" s="54"/>
      <c r="CB14" s="54" t="s">
        <v>134</v>
      </c>
      <c r="CC14" s="54" t="s">
        <v>135</v>
      </c>
      <c r="CD14" s="54" t="s">
        <v>136</v>
      </c>
      <c r="CE14" s="56"/>
      <c r="CF14" s="54" t="s">
        <v>137</v>
      </c>
      <c r="CG14" s="63"/>
      <c r="CH14" s="63">
        <v>45183.0</v>
      </c>
      <c r="CI14" s="63" t="s">
        <v>138</v>
      </c>
      <c r="CJ14" s="66">
        <v>17940.0</v>
      </c>
      <c r="CK14" s="63">
        <v>44818.0</v>
      </c>
      <c r="CL14" s="66" t="s">
        <v>138</v>
      </c>
      <c r="CM14" s="53" t="s">
        <v>139</v>
      </c>
      <c r="CN14" s="79" t="s">
        <v>254</v>
      </c>
      <c r="CO14" s="64"/>
      <c r="CP14" s="66"/>
      <c r="CQ14" s="80"/>
      <c r="CR14" s="80" t="s">
        <v>117</v>
      </c>
      <c r="CS14" s="80"/>
      <c r="CT14" s="80"/>
      <c r="CU14" s="80"/>
      <c r="CV14" s="66">
        <v>13455.0</v>
      </c>
      <c r="CW14" s="66">
        <v>0.0</v>
      </c>
      <c r="CX14" s="63">
        <v>44579.0</v>
      </c>
      <c r="CY14" s="56">
        <v>1.0</v>
      </c>
      <c r="CZ14" s="81" t="str">
        <f>IFERROR(__xludf.DUMMYFUNCTION("""COMPUTED_VALUE"""),"SCANNER MANUTENÇÃO ")</f>
        <v>SCANNER MANUTENÇÃO </v>
      </c>
      <c r="DA14" s="81" t="str">
        <f>IFERROR(__xludf.DUMMYFUNCTION("""COMPUTED_VALUE"""),"Contratação de manutenção dos scanneres para remessa de processo ao TSTSECART (Kodak i4600 e Fujitsu fi-6800)")</f>
        <v>Contratação de manutenção dos scanneres para remessa de processo ao TSTSECART (Kodak i4600 e Fujitsu fi-6800)</v>
      </c>
      <c r="DB14" s="81" t="s">
        <v>258</v>
      </c>
      <c r="DC14" s="81" t="s">
        <v>214</v>
      </c>
      <c r="DD14" s="81" t="s">
        <v>215</v>
      </c>
      <c r="DE14" s="81" t="s">
        <v>216</v>
      </c>
      <c r="DF14" s="81" t="s">
        <v>118</v>
      </c>
      <c r="DG14" s="81" t="s">
        <v>217</v>
      </c>
      <c r="DH14" s="56"/>
    </row>
    <row r="15" ht="16.5" customHeight="1">
      <c r="A15" s="73">
        <v>15151.0</v>
      </c>
      <c r="B15" s="50">
        <v>0.0</v>
      </c>
      <c r="C15" s="53" t="s">
        <v>259</v>
      </c>
      <c r="D15" s="52" t="s">
        <v>112</v>
      </c>
      <c r="E15" s="52" t="s">
        <v>113</v>
      </c>
      <c r="F15" s="52" t="s">
        <v>114</v>
      </c>
      <c r="G15" s="52" t="str">
        <f>IFERROR(__xludf.DUMMYFUNCTION("""COMPUTED_VALUE"""),"(ID PAAC 15151) BANCO DE DADOS - Contratação de monitoramento remoto e suporte técnico para os bancos de dados Oracle, PostgreSQL e MySQL, contratado como item obrigatório do CSJT")</f>
        <v>(ID PAAC 15151) BANCO DE DADOS - Contratação de monitoramento remoto e suporte técnico para os bancos de dados Oracle, PostgreSQL e MySQL, contratado como item obrigatório do CSJT</v>
      </c>
      <c r="H15" s="53" t="s">
        <v>115</v>
      </c>
      <c r="I15" s="53" t="s">
        <v>116</v>
      </c>
      <c r="J15" s="53" t="s">
        <v>116</v>
      </c>
      <c r="K15" s="54" t="s">
        <v>117</v>
      </c>
      <c r="L15" s="55">
        <v>0.0</v>
      </c>
      <c r="M15" s="56">
        <v>3.3904007E7</v>
      </c>
      <c r="N15" s="56">
        <v>0.0</v>
      </c>
      <c r="O15" s="50">
        <v>168107.0</v>
      </c>
      <c r="P15" s="64" t="s">
        <v>110</v>
      </c>
      <c r="Q15" s="53" t="s">
        <v>119</v>
      </c>
      <c r="R15" s="53" t="s">
        <v>144</v>
      </c>
      <c r="S15" s="53"/>
      <c r="T15" s="53"/>
      <c r="U15" s="53" t="s">
        <v>145</v>
      </c>
      <c r="V15" s="58"/>
      <c r="W15" s="58" t="s">
        <v>260</v>
      </c>
      <c r="X15" s="53" t="s">
        <v>173</v>
      </c>
      <c r="Y15" s="53" t="s">
        <v>147</v>
      </c>
      <c r="Z15" s="53" t="s">
        <v>125</v>
      </c>
      <c r="AA15" s="75" t="s">
        <v>261</v>
      </c>
      <c r="AB15" s="50">
        <v>1.1140607000193E13</v>
      </c>
      <c r="AC15" s="54" t="s">
        <v>262</v>
      </c>
      <c r="AD15" s="93">
        <v>44958.0</v>
      </c>
      <c r="AE15" s="63">
        <v>44958.0</v>
      </c>
      <c r="AF15" s="64" t="s">
        <v>177</v>
      </c>
      <c r="AG15" s="65">
        <v>1.0</v>
      </c>
      <c r="AH15" s="66">
        <v>187200.0</v>
      </c>
      <c r="AI15" s="64" t="s">
        <v>110</v>
      </c>
      <c r="AJ15" s="66"/>
      <c r="AK15" s="64" t="s">
        <v>178</v>
      </c>
      <c r="AL15" s="78"/>
      <c r="AM15" s="78"/>
      <c r="AN15" s="78">
        <v>-26067.0</v>
      </c>
      <c r="AO15" s="78">
        <v>213267.0</v>
      </c>
      <c r="AP15" s="58" t="s">
        <v>263</v>
      </c>
      <c r="AQ15" s="78">
        <v>213267.0</v>
      </c>
      <c r="AR15" s="66">
        <v>187200.0</v>
      </c>
      <c r="AS15" s="66" t="str">
        <f>VLOOKUP(A15,'Cópia de ult parc 2021'!A:B,2,0)</f>
        <v>2021NE000127</v>
      </c>
      <c r="AT15" s="66">
        <v>187200.0</v>
      </c>
      <c r="AU15" s="66">
        <v>15600.0</v>
      </c>
      <c r="AV15" s="56">
        <v>12.0</v>
      </c>
      <c r="AW15" s="19">
        <v>187200.0</v>
      </c>
      <c r="AX15" s="19">
        <v>0.0</v>
      </c>
      <c r="AY15" s="66">
        <v>187200.0</v>
      </c>
      <c r="AZ15" s="19">
        <v>46800.0</v>
      </c>
      <c r="BA15" s="19">
        <v>140400.0</v>
      </c>
      <c r="BB15" s="79" t="s">
        <v>261</v>
      </c>
      <c r="BC15" s="28">
        <v>1.51132022236937E14</v>
      </c>
      <c r="BD15" s="64" t="s">
        <v>118</v>
      </c>
      <c r="BE15" s="66" t="s">
        <v>110</v>
      </c>
      <c r="BF15" s="64"/>
      <c r="BG15" s="65"/>
      <c r="BH15" s="65">
        <v>300000.0</v>
      </c>
      <c r="BI15" s="64" t="s">
        <v>129</v>
      </c>
      <c r="BJ15" s="65"/>
      <c r="BK15" s="64" t="s">
        <v>130</v>
      </c>
      <c r="BL15" s="67" t="s">
        <v>131</v>
      </c>
      <c r="BM15" s="64" t="s">
        <v>147</v>
      </c>
      <c r="BN15" s="63"/>
      <c r="BO15" s="63"/>
      <c r="BP15" s="66"/>
      <c r="BQ15" s="66"/>
      <c r="BR15" s="66"/>
      <c r="BS15" s="66">
        <v>187200.0</v>
      </c>
      <c r="BT15" s="66"/>
      <c r="BU15" s="64" t="s">
        <v>155</v>
      </c>
      <c r="BV15" s="64" t="s">
        <v>264</v>
      </c>
      <c r="BW15" s="64" t="s">
        <v>265</v>
      </c>
      <c r="BX15" s="54"/>
      <c r="BY15" s="54" t="s">
        <v>266</v>
      </c>
      <c r="BZ15" s="63"/>
      <c r="CA15" s="54"/>
      <c r="CB15" s="54" t="s">
        <v>159</v>
      </c>
      <c r="CC15" s="54" t="s">
        <v>267</v>
      </c>
      <c r="CD15" s="54" t="s">
        <v>136</v>
      </c>
      <c r="CE15" s="56"/>
      <c r="CF15" s="54" t="s">
        <v>161</v>
      </c>
      <c r="CG15" s="63"/>
      <c r="CH15" s="63">
        <v>45323.0</v>
      </c>
      <c r="CI15" s="63" t="s">
        <v>147</v>
      </c>
      <c r="CJ15" s="66">
        <v>213267.0</v>
      </c>
      <c r="CK15" s="63">
        <v>44712.0</v>
      </c>
      <c r="CL15" s="66" t="s">
        <v>138</v>
      </c>
      <c r="CM15" s="53" t="s">
        <v>139</v>
      </c>
      <c r="CN15" s="79" t="s">
        <v>261</v>
      </c>
      <c r="CO15" s="84" t="s">
        <v>268</v>
      </c>
      <c r="CP15" s="66"/>
      <c r="CQ15" s="80"/>
      <c r="CR15" s="80" t="s">
        <v>117</v>
      </c>
      <c r="CS15" s="80"/>
      <c r="CT15" s="80"/>
      <c r="CU15" s="80"/>
      <c r="CV15" s="66">
        <v>140400.0</v>
      </c>
      <c r="CW15" s="66">
        <v>0.0</v>
      </c>
      <c r="CX15" s="63">
        <v>44588.0</v>
      </c>
      <c r="CY15" s="56">
        <v>1.0</v>
      </c>
      <c r="CZ15" s="81" t="str">
        <f>IFERROR(__xludf.DUMMYFUNCTION("""COMPUTED_VALUE"""),"BANCO DE DADOS ")</f>
        <v>BANCO DE DADOS </v>
      </c>
      <c r="DA15" s="56" t="str">
        <f>IFERROR(__xludf.DUMMYFUNCTION("""COMPUTED_VALUE"""),"Contratação de monitoramento remoto e suporte técnico para os bancos de dados Oracle, PostgreSQL e MySQL, contratado como item obrigatório do CSJT")</f>
        <v>Contratação de monitoramento remoto e suporte técnico para os bancos de dados Oracle, PostgreSQL e MySQL, contratado como item obrigatório do CSJT</v>
      </c>
      <c r="DB15" s="56"/>
      <c r="DC15" s="56"/>
      <c r="DD15" s="56"/>
      <c r="DE15" s="56"/>
      <c r="DF15" s="56"/>
      <c r="DG15" s="56"/>
      <c r="DH15" s="56"/>
    </row>
    <row r="16" ht="16.5" customHeight="1">
      <c r="A16" s="73">
        <v>15166.0</v>
      </c>
      <c r="B16" s="50">
        <v>0.0</v>
      </c>
      <c r="C16" s="53" t="s">
        <v>269</v>
      </c>
      <c r="D16" s="101" t="s">
        <v>141</v>
      </c>
      <c r="E16" s="101" t="s">
        <v>142</v>
      </c>
      <c r="F16" s="101" t="s">
        <v>203</v>
      </c>
      <c r="G16" s="101" t="str">
        <f>IFERROR(__xludf.DUMMYFUNCTION("""COMPUTED_VALUE"""),"(ID PAAC 15166) ADOBE LICENÇAS - Manutenção da LICENÇA DE SOFTWARE PACOTE ADOBE - EJUD e SECOM (para 3 anos)")</f>
        <v>(ID PAAC 15166) ADOBE LICENÇAS - Manutenção da LICENÇA DE SOFTWARE PACOTE ADOBE - EJUD e SECOM (para 3 anos)</v>
      </c>
      <c r="H16" s="53" t="s">
        <v>115</v>
      </c>
      <c r="I16" s="53" t="s">
        <v>270</v>
      </c>
      <c r="J16" s="102" t="s">
        <v>116</v>
      </c>
      <c r="K16" s="103" t="s">
        <v>117</v>
      </c>
      <c r="L16" s="104">
        <v>0.0</v>
      </c>
      <c r="M16" s="105">
        <v>3.3904006E7</v>
      </c>
      <c r="N16" s="105">
        <v>0.0</v>
      </c>
      <c r="O16" s="106">
        <v>168105.0</v>
      </c>
      <c r="P16" s="101" t="s">
        <v>118</v>
      </c>
      <c r="Q16" s="53" t="s">
        <v>143</v>
      </c>
      <c r="R16" s="53" t="s">
        <v>144</v>
      </c>
      <c r="S16" s="53"/>
      <c r="T16" s="53"/>
      <c r="U16" s="90" t="s">
        <v>204</v>
      </c>
      <c r="V16" s="107" t="s">
        <v>271</v>
      </c>
      <c r="W16" s="58" t="s">
        <v>272</v>
      </c>
      <c r="X16" s="108" t="s">
        <v>124</v>
      </c>
      <c r="Y16" s="53" t="s">
        <v>162</v>
      </c>
      <c r="Z16" s="53" t="s">
        <v>148</v>
      </c>
      <c r="AA16" s="75" t="s">
        <v>273</v>
      </c>
      <c r="AB16" s="50">
        <v>4.198254000117E12</v>
      </c>
      <c r="AC16" s="109" t="s">
        <v>274</v>
      </c>
      <c r="AD16" s="85">
        <v>44536.0</v>
      </c>
      <c r="AE16" s="110">
        <v>44581.0</v>
      </c>
      <c r="AF16" s="64" t="s">
        <v>127</v>
      </c>
      <c r="AG16" s="111">
        <v>4.0</v>
      </c>
      <c r="AH16" s="112">
        <v>14940.0</v>
      </c>
      <c r="AI16" s="113" t="s">
        <v>118</v>
      </c>
      <c r="AJ16" s="114">
        <v>20000.0</v>
      </c>
      <c r="AK16" s="64"/>
      <c r="AL16" s="115"/>
      <c r="AM16" s="115"/>
      <c r="AN16" s="115">
        <v>-13091.0</v>
      </c>
      <c r="AO16" s="115">
        <v>72851.0</v>
      </c>
      <c r="AP16" s="58" t="s">
        <v>275</v>
      </c>
      <c r="AQ16" s="115">
        <v>72851.0</v>
      </c>
      <c r="AR16" s="112">
        <v>59760.0</v>
      </c>
      <c r="AS16" s="114"/>
      <c r="AT16" s="112">
        <v>59760.0</v>
      </c>
      <c r="AU16" s="112"/>
      <c r="AV16" s="116">
        <v>0.0</v>
      </c>
      <c r="AW16" s="66">
        <v>0.0</v>
      </c>
      <c r="AX16" s="66">
        <v>0.0</v>
      </c>
      <c r="AY16" s="112">
        <v>59760.0</v>
      </c>
      <c r="AZ16" s="66">
        <v>59760.0</v>
      </c>
      <c r="BA16" s="66">
        <v>0.0</v>
      </c>
      <c r="BB16" s="117" t="s">
        <v>273</v>
      </c>
      <c r="BC16" s="56">
        <v>1.51132022236935E14</v>
      </c>
      <c r="BD16" s="113" t="s">
        <v>110</v>
      </c>
      <c r="BE16" s="112" t="s">
        <v>118</v>
      </c>
      <c r="BF16" s="113"/>
      <c r="BG16" s="111"/>
      <c r="BH16" s="111">
        <v>200000.0</v>
      </c>
      <c r="BI16" s="113" t="s">
        <v>153</v>
      </c>
      <c r="BJ16" s="111"/>
      <c r="BK16" s="113" t="s">
        <v>130</v>
      </c>
      <c r="BL16" s="118" t="s">
        <v>188</v>
      </c>
      <c r="BM16" s="101" t="s">
        <v>162</v>
      </c>
      <c r="BN16" s="119">
        <v>44123.0</v>
      </c>
      <c r="BO16" s="119">
        <v>44580.0</v>
      </c>
      <c r="BP16" s="112">
        <v>59760.0</v>
      </c>
      <c r="BQ16" s="112">
        <v>59760.0</v>
      </c>
      <c r="BR16" s="112">
        <v>59760.0</v>
      </c>
      <c r="BS16" s="112">
        <v>59760.0</v>
      </c>
      <c r="BT16" s="112">
        <v>59760.0</v>
      </c>
      <c r="BU16" s="113" t="s">
        <v>276</v>
      </c>
      <c r="BV16" s="112"/>
      <c r="BW16" s="112"/>
      <c r="BX16" s="109"/>
      <c r="BY16" s="109"/>
      <c r="BZ16" s="119"/>
      <c r="CA16" s="109"/>
      <c r="CB16" s="109" t="s">
        <v>134</v>
      </c>
      <c r="CC16" s="109" t="s">
        <v>135</v>
      </c>
      <c r="CD16" s="109" t="s">
        <v>136</v>
      </c>
      <c r="CE16" s="116"/>
      <c r="CF16" s="109" t="s">
        <v>277</v>
      </c>
      <c r="CG16" s="119"/>
      <c r="CH16" s="119">
        <v>44946.0</v>
      </c>
      <c r="CI16" s="119" t="s">
        <v>162</v>
      </c>
      <c r="CJ16" s="112">
        <v>23115.0</v>
      </c>
      <c r="CK16" s="119">
        <v>44870.0</v>
      </c>
      <c r="CL16" s="112" t="s">
        <v>125</v>
      </c>
      <c r="CM16" s="120" t="s">
        <v>139</v>
      </c>
      <c r="CN16" s="117" t="s">
        <v>273</v>
      </c>
      <c r="CO16" s="112"/>
      <c r="CP16" s="112"/>
      <c r="CQ16" s="120"/>
      <c r="CR16" s="120" t="s">
        <v>117</v>
      </c>
      <c r="CS16" s="120"/>
      <c r="CT16" s="120"/>
      <c r="CU16" s="120"/>
      <c r="CV16" s="112">
        <v>0.0</v>
      </c>
      <c r="CW16" s="112">
        <v>0.0</v>
      </c>
      <c r="CX16" s="119">
        <v>44596.0</v>
      </c>
      <c r="CY16" s="116">
        <v>1.0</v>
      </c>
      <c r="CZ16" s="121" t="str">
        <f>IFERROR(__xludf.DUMMYFUNCTION("""COMPUTED_VALUE"""),"ADOBE LICENÇAS ")</f>
        <v>ADOBE LICENÇAS </v>
      </c>
      <c r="DA16" s="121" t="str">
        <f>IFERROR(__xludf.DUMMYFUNCTION("""COMPUTED_VALUE"""),"Manutenção da LICENÇA DE SOFTWARE PACOTE ADOBEEJUD e SECOM (para 3 anos)")</f>
        <v>Manutenção da LICENÇA DE SOFTWARE PACOTE ADOBEEJUD e SECOM (para 3 anos)</v>
      </c>
      <c r="DB16" s="121" t="s">
        <v>278</v>
      </c>
      <c r="DC16" s="121" t="s">
        <v>214</v>
      </c>
      <c r="DD16" s="121" t="s">
        <v>215</v>
      </c>
      <c r="DE16" s="121" t="s">
        <v>216</v>
      </c>
      <c r="DF16" s="121" t="s">
        <v>110</v>
      </c>
      <c r="DG16" s="121" t="s">
        <v>279</v>
      </c>
      <c r="DH16" s="116"/>
    </row>
    <row r="17" ht="16.5" customHeight="1">
      <c r="A17" s="73">
        <v>15201.0</v>
      </c>
      <c r="B17" s="50">
        <v>0.0</v>
      </c>
      <c r="C17" s="53" t="s">
        <v>280</v>
      </c>
      <c r="D17" s="52" t="s">
        <v>243</v>
      </c>
      <c r="E17" s="52" t="s">
        <v>113</v>
      </c>
      <c r="F17" s="52" t="s">
        <v>203</v>
      </c>
      <c r="G17" s="52" t="str">
        <f>IFERROR(__xludf.DUMMYFUNCTION("""COMPUTED_VALUE"""),"(ID PAAC 15201) NOBREAKS BATERIAS CANCELADA - Aquisição de conjunto de baterias seladas para nobreaks (quantitativo será alvo de estudo no planejamento da contratação)")</f>
        <v>(ID PAAC 15201) NOBREAKS BATERIAS CANCELADA - Aquisição de conjunto de baterias seladas para nobreaks (quantitativo será alvo de estudo no planejamento da contratação)</v>
      </c>
      <c r="H17" s="53" t="s">
        <v>245</v>
      </c>
      <c r="I17" s="53" t="s">
        <v>116</v>
      </c>
      <c r="J17" s="53" t="s">
        <v>116</v>
      </c>
      <c r="K17" s="54" t="s">
        <v>117</v>
      </c>
      <c r="L17" s="55">
        <v>0.0</v>
      </c>
      <c r="M17" s="56">
        <v>3.3904007E7</v>
      </c>
      <c r="N17" s="56">
        <v>0.0</v>
      </c>
      <c r="O17" s="56">
        <v>168105.0</v>
      </c>
      <c r="P17" s="64" t="s">
        <v>118</v>
      </c>
      <c r="Q17" s="53" t="s">
        <v>119</v>
      </c>
      <c r="R17" s="53" t="s">
        <v>120</v>
      </c>
      <c r="S17" s="53"/>
      <c r="T17" s="53"/>
      <c r="U17" s="82" t="s">
        <v>122</v>
      </c>
      <c r="V17" s="58"/>
      <c r="W17" s="58"/>
      <c r="X17" s="53" t="s">
        <v>124</v>
      </c>
      <c r="Y17" s="53" t="s">
        <v>125</v>
      </c>
      <c r="Z17" s="53" t="s">
        <v>125</v>
      </c>
      <c r="AA17" s="59" t="s">
        <v>176</v>
      </c>
      <c r="AB17" s="50" t="e">
        <v>#N/A</v>
      </c>
      <c r="AC17" s="54" t="e">
        <v>#N/A</v>
      </c>
      <c r="AD17" s="83">
        <v>44695.0</v>
      </c>
      <c r="AE17" s="63">
        <v>44805.0</v>
      </c>
      <c r="AF17" s="64" t="s">
        <v>127</v>
      </c>
      <c r="AG17" s="65">
        <v>1.0</v>
      </c>
      <c r="AH17" s="66">
        <v>0.0</v>
      </c>
      <c r="AI17" s="64" t="s">
        <v>118</v>
      </c>
      <c r="AJ17" s="66"/>
      <c r="AK17" s="66"/>
      <c r="AL17" s="66"/>
      <c r="AM17" s="66"/>
      <c r="AN17" s="66">
        <v>0.0</v>
      </c>
      <c r="AO17" s="66">
        <v>0.0</v>
      </c>
      <c r="AP17" s="58"/>
      <c r="AQ17" s="66">
        <v>70000.0</v>
      </c>
      <c r="AR17" s="66">
        <v>0.0</v>
      </c>
      <c r="AS17" s="66"/>
      <c r="AT17" s="66">
        <v>0.0</v>
      </c>
      <c r="AU17" s="66"/>
      <c r="AV17" s="56"/>
      <c r="AW17" s="66">
        <v>0.0</v>
      </c>
      <c r="AX17" s="66">
        <v>0.0</v>
      </c>
      <c r="AY17" s="66">
        <v>0.0</v>
      </c>
      <c r="AZ17" s="66">
        <v>0.0</v>
      </c>
      <c r="BA17" s="66">
        <v>0.0</v>
      </c>
      <c r="BB17" s="66" t="s">
        <v>176</v>
      </c>
      <c r="BC17" s="56">
        <v>1.51132022236915E14</v>
      </c>
      <c r="BD17" s="64" t="s">
        <v>118</v>
      </c>
      <c r="BE17" s="66" t="s">
        <v>118</v>
      </c>
      <c r="BF17" s="64"/>
      <c r="BG17" s="65"/>
      <c r="BH17" s="65">
        <v>300000.0</v>
      </c>
      <c r="BI17" s="64" t="s">
        <v>129</v>
      </c>
      <c r="BJ17" s="65"/>
      <c r="BK17" s="64" t="s">
        <v>247</v>
      </c>
      <c r="BL17" s="67"/>
      <c r="BM17" s="64" t="s">
        <v>132</v>
      </c>
      <c r="BN17" s="63"/>
      <c r="BO17" s="63"/>
      <c r="BP17" s="66"/>
      <c r="BQ17" s="66"/>
      <c r="BR17" s="66"/>
      <c r="BS17" s="66">
        <v>0.0</v>
      </c>
      <c r="BT17" s="66"/>
      <c r="BU17" s="64" t="s">
        <v>155</v>
      </c>
      <c r="BV17" s="66"/>
      <c r="BW17" s="66"/>
      <c r="BX17" s="54"/>
      <c r="BY17" s="54"/>
      <c r="BZ17" s="68"/>
      <c r="CA17" s="54"/>
      <c r="CB17" s="54" t="s">
        <v>134</v>
      </c>
      <c r="CC17" s="54" t="s">
        <v>135</v>
      </c>
      <c r="CD17" s="54" t="s">
        <v>136</v>
      </c>
      <c r="CE17" s="56"/>
      <c r="CF17" s="54" t="s">
        <v>161</v>
      </c>
      <c r="CG17" s="63">
        <v>45058.0</v>
      </c>
      <c r="CH17" s="63">
        <v>45170.0</v>
      </c>
      <c r="CI17" s="63" t="s">
        <v>125</v>
      </c>
      <c r="CJ17" s="66">
        <v>15000.0</v>
      </c>
      <c r="CK17" s="119">
        <v>44805.0</v>
      </c>
      <c r="CL17" s="112" t="s">
        <v>125</v>
      </c>
      <c r="CM17" s="120" t="s">
        <v>139</v>
      </c>
      <c r="CN17" s="112" t="s">
        <v>176</v>
      </c>
      <c r="CO17" s="113"/>
      <c r="CP17" s="112"/>
      <c r="CQ17" s="122"/>
      <c r="CR17" s="122"/>
      <c r="CS17" s="122"/>
      <c r="CT17" s="122"/>
      <c r="CU17" s="122"/>
      <c r="CV17" s="112">
        <v>0.0</v>
      </c>
      <c r="CW17" s="112">
        <v>0.0</v>
      </c>
      <c r="CX17" s="119" t="e">
        <v>#N/A</v>
      </c>
      <c r="CY17" s="116"/>
      <c r="CZ17" s="121" t="str">
        <f>IFERROR(__xludf.DUMMYFUNCTION("""COMPUTED_VALUE"""),"NOBREAKS BATERIAS CANCELADA ")</f>
        <v>NOBREAKS BATERIAS CANCELADA </v>
      </c>
      <c r="DA17" s="116" t="str">
        <f>IFERROR(__xludf.DUMMYFUNCTION("""COMPUTED_VALUE"""),"Aquisição de conjunto de baterias seladas para nobreaks (quantitativo será alvo de estudo no planejamento da contratação)")</f>
        <v>Aquisição de conjunto de baterias seladas para nobreaks (quantitativo será alvo de estudo no planejamento da contratação)</v>
      </c>
      <c r="DB17" s="116"/>
      <c r="DC17" s="116"/>
      <c r="DD17" s="116"/>
      <c r="DE17" s="116"/>
      <c r="DF17" s="116"/>
      <c r="DG17" s="116"/>
      <c r="DH17" s="116"/>
    </row>
    <row r="18" ht="16.5" customHeight="1">
      <c r="A18" s="73">
        <v>15220.0</v>
      </c>
      <c r="B18" s="50">
        <v>0.0</v>
      </c>
      <c r="C18" s="53" t="s">
        <v>281</v>
      </c>
      <c r="D18" s="52" t="s">
        <v>112</v>
      </c>
      <c r="E18" s="52" t="s">
        <v>113</v>
      </c>
      <c r="F18" s="52" t="s">
        <v>114</v>
      </c>
      <c r="G18" s="52" t="str">
        <f>IFERROR(__xludf.DUMMYFUNCTION("""COMPUTED_VALUE"""),"(ID PAAC 15220) NOBREAKS SURT - Suporte e manutenção dos nobreaks de varas e foros (SURT 15kVA)")</f>
        <v>(ID PAAC 15220) NOBREAKS SURT - Suporte e manutenção dos nobreaks de varas e foros (SURT 15kVA)</v>
      </c>
      <c r="H18" s="53" t="s">
        <v>115</v>
      </c>
      <c r="I18" s="53" t="s">
        <v>116</v>
      </c>
      <c r="J18" s="53" t="s">
        <v>116</v>
      </c>
      <c r="K18" s="54" t="s">
        <v>117</v>
      </c>
      <c r="L18" s="55">
        <v>0.0</v>
      </c>
      <c r="M18" s="56">
        <v>3.3904012E7</v>
      </c>
      <c r="N18" s="56">
        <v>0.0</v>
      </c>
      <c r="O18" s="50">
        <v>168105.0</v>
      </c>
      <c r="P18" s="64" t="s">
        <v>118</v>
      </c>
      <c r="Q18" s="53" t="s">
        <v>119</v>
      </c>
      <c r="R18" s="53" t="s">
        <v>144</v>
      </c>
      <c r="S18" s="53"/>
      <c r="T18" s="53"/>
      <c r="U18" s="82" t="s">
        <v>122</v>
      </c>
      <c r="V18" s="58"/>
      <c r="W18" s="58" t="s">
        <v>282</v>
      </c>
      <c r="X18" s="53" t="s">
        <v>124</v>
      </c>
      <c r="Y18" s="53" t="s">
        <v>138</v>
      </c>
      <c r="Z18" s="53" t="s">
        <v>125</v>
      </c>
      <c r="AA18" s="75" t="s">
        <v>283</v>
      </c>
      <c r="AB18" s="50">
        <v>2.4798024000104E13</v>
      </c>
      <c r="AC18" s="54" t="s">
        <v>284</v>
      </c>
      <c r="AD18" s="83">
        <v>44758.0</v>
      </c>
      <c r="AE18" s="63">
        <v>44848.0</v>
      </c>
      <c r="AF18" s="64" t="s">
        <v>127</v>
      </c>
      <c r="AG18" s="65">
        <v>1.0</v>
      </c>
      <c r="AH18" s="66">
        <v>32390.399999999998</v>
      </c>
      <c r="AI18" s="64" t="s">
        <v>118</v>
      </c>
      <c r="AJ18" s="66"/>
      <c r="AK18" s="64" t="s">
        <v>128</v>
      </c>
      <c r="AL18" s="66"/>
      <c r="AM18" s="66"/>
      <c r="AN18" s="66">
        <v>-1619.6000000000022</v>
      </c>
      <c r="AO18" s="66">
        <v>34010.0</v>
      </c>
      <c r="AP18" s="58" t="s">
        <v>285</v>
      </c>
      <c r="AQ18" s="66">
        <v>34010.0</v>
      </c>
      <c r="AR18" s="66">
        <v>32390.399999999998</v>
      </c>
      <c r="AS18" s="66"/>
      <c r="AT18" s="66">
        <v>32390.399999999998</v>
      </c>
      <c r="AU18" s="66">
        <v>2699.2</v>
      </c>
      <c r="AV18" s="56">
        <v>12.0</v>
      </c>
      <c r="AW18" s="66">
        <v>32390.399999999998</v>
      </c>
      <c r="AX18" s="66">
        <v>0.0</v>
      </c>
      <c r="AY18" s="66">
        <v>32390.4</v>
      </c>
      <c r="AZ18" s="66">
        <v>8043.620000000003</v>
      </c>
      <c r="BA18" s="66">
        <v>24346.78</v>
      </c>
      <c r="BB18" s="79" t="s">
        <v>283</v>
      </c>
      <c r="BC18" s="56">
        <v>1.51132022236922E14</v>
      </c>
      <c r="BD18" s="64" t="s">
        <v>110</v>
      </c>
      <c r="BE18" s="66" t="s">
        <v>110</v>
      </c>
      <c r="BF18" s="64"/>
      <c r="BG18" s="65"/>
      <c r="BH18" s="65">
        <v>300000.0</v>
      </c>
      <c r="BI18" s="64" t="s">
        <v>129</v>
      </c>
      <c r="BJ18" s="65"/>
      <c r="BK18" s="64" t="s">
        <v>130</v>
      </c>
      <c r="BL18" s="67" t="s">
        <v>131</v>
      </c>
      <c r="BM18" s="64" t="s">
        <v>138</v>
      </c>
      <c r="BN18" s="63"/>
      <c r="BO18" s="63"/>
      <c r="BP18" s="66"/>
      <c r="BQ18" s="66"/>
      <c r="BR18" s="66"/>
      <c r="BS18" s="66">
        <v>32390.399999999998</v>
      </c>
      <c r="BT18" s="66">
        <v>32390.399999999998</v>
      </c>
      <c r="BU18" s="64" t="s">
        <v>133</v>
      </c>
      <c r="BV18" s="66"/>
      <c r="BW18" s="66"/>
      <c r="BX18" s="54"/>
      <c r="BY18" s="54"/>
      <c r="BZ18" s="68"/>
      <c r="CA18" s="54"/>
      <c r="CB18" s="54" t="s">
        <v>134</v>
      </c>
      <c r="CC18" s="54" t="s">
        <v>135</v>
      </c>
      <c r="CD18" s="54" t="s">
        <v>136</v>
      </c>
      <c r="CE18" s="56"/>
      <c r="CF18" s="54" t="s">
        <v>137</v>
      </c>
      <c r="CG18" s="63"/>
      <c r="CH18" s="63">
        <v>45213.0</v>
      </c>
      <c r="CI18" s="63" t="s">
        <v>138</v>
      </c>
      <c r="CJ18" s="66">
        <v>32390.4</v>
      </c>
      <c r="CK18" s="119">
        <v>44848.0</v>
      </c>
      <c r="CL18" s="112" t="s">
        <v>138</v>
      </c>
      <c r="CM18" s="120" t="s">
        <v>139</v>
      </c>
      <c r="CN18" s="117" t="s">
        <v>283</v>
      </c>
      <c r="CO18" s="113"/>
      <c r="CP18" s="112"/>
      <c r="CQ18" s="122"/>
      <c r="CR18" s="122" t="s">
        <v>117</v>
      </c>
      <c r="CS18" s="122"/>
      <c r="CT18" s="122"/>
      <c r="CU18" s="122"/>
      <c r="CV18" s="112">
        <v>24346.78</v>
      </c>
      <c r="CW18" s="112">
        <v>0.0</v>
      </c>
      <c r="CX18" s="119">
        <v>44579.0</v>
      </c>
      <c r="CY18" s="116">
        <v>1.0</v>
      </c>
      <c r="CZ18" s="121" t="str">
        <f>IFERROR(__xludf.DUMMYFUNCTION("""COMPUTED_VALUE"""),"NOBREAKS SURT ")</f>
        <v>NOBREAKS SURT </v>
      </c>
      <c r="DA18" s="121" t="str">
        <f>IFERROR(__xludf.DUMMYFUNCTION("""COMPUTED_VALUE"""),"Suporte e manutenção dos nobreaks de varas e foros (SURT 15kVA)")</f>
        <v>Suporte e manutenção dos nobreaks de varas e foros (SURT 15kVA)</v>
      </c>
      <c r="DB18" s="121" t="s">
        <v>258</v>
      </c>
      <c r="DC18" s="121" t="s">
        <v>214</v>
      </c>
      <c r="DD18" s="121" t="s">
        <v>215</v>
      </c>
      <c r="DE18" s="121" t="s">
        <v>216</v>
      </c>
      <c r="DF18" s="121" t="s">
        <v>118</v>
      </c>
      <c r="DG18" s="121" t="s">
        <v>217</v>
      </c>
      <c r="DH18" s="116"/>
    </row>
    <row r="19" ht="16.5" customHeight="1">
      <c r="A19" s="73">
        <v>15244.0</v>
      </c>
      <c r="B19" s="50">
        <v>0.0</v>
      </c>
      <c r="C19" s="53" t="s">
        <v>286</v>
      </c>
      <c r="D19" s="52" t="s">
        <v>112</v>
      </c>
      <c r="E19" s="52" t="s">
        <v>142</v>
      </c>
      <c r="F19" s="52" t="s">
        <v>203</v>
      </c>
      <c r="G19" s="52" t="str">
        <f>IFERROR(__xludf.DUMMYFUNCTION("""COMPUTED_VALUE"""),"(ID PAAC 15244) SERPRO - Contratação de serviço web de acesso a dados")</f>
        <v>(ID PAAC 15244) SERPRO - Contratação de serviço web de acesso a dados</v>
      </c>
      <c r="H19" s="53" t="s">
        <v>115</v>
      </c>
      <c r="I19" s="53" t="s">
        <v>287</v>
      </c>
      <c r="J19" s="53" t="s">
        <v>116</v>
      </c>
      <c r="K19" s="54" t="s">
        <v>117</v>
      </c>
      <c r="L19" s="55">
        <v>0.0</v>
      </c>
      <c r="M19" s="56">
        <v>3.3904013E7</v>
      </c>
      <c r="N19" s="56">
        <v>0.0</v>
      </c>
      <c r="O19" s="50">
        <v>168105.0</v>
      </c>
      <c r="P19" s="64" t="s">
        <v>118</v>
      </c>
      <c r="Q19" s="53" t="s">
        <v>119</v>
      </c>
      <c r="R19" s="53" t="s">
        <v>144</v>
      </c>
      <c r="S19" s="53"/>
      <c r="T19" s="53"/>
      <c r="U19" s="90" t="s">
        <v>145</v>
      </c>
      <c r="V19" s="58"/>
      <c r="W19" s="58" t="s">
        <v>288</v>
      </c>
      <c r="X19" s="53" t="s">
        <v>289</v>
      </c>
      <c r="Y19" s="53" t="s">
        <v>147</v>
      </c>
      <c r="Z19" s="53" t="s">
        <v>167</v>
      </c>
      <c r="AA19" s="75" t="s">
        <v>290</v>
      </c>
      <c r="AB19" s="50">
        <v>806030.0</v>
      </c>
      <c r="AC19" s="54" t="s">
        <v>291</v>
      </c>
      <c r="AD19" s="93">
        <v>45287.0</v>
      </c>
      <c r="AE19" s="63">
        <v>45287.0</v>
      </c>
      <c r="AF19" s="64" t="s">
        <v>292</v>
      </c>
      <c r="AG19" s="65">
        <v>1.0</v>
      </c>
      <c r="AH19" s="66">
        <v>43954.44</v>
      </c>
      <c r="AI19" s="64" t="s">
        <v>118</v>
      </c>
      <c r="AJ19" s="66"/>
      <c r="AK19" s="64" t="s">
        <v>293</v>
      </c>
      <c r="AL19" s="78"/>
      <c r="AM19" s="78"/>
      <c r="AN19" s="78">
        <v>3662.4400000000023</v>
      </c>
      <c r="AO19" s="78">
        <v>40292.0</v>
      </c>
      <c r="AP19" s="58" t="s">
        <v>294</v>
      </c>
      <c r="AQ19" s="78">
        <v>40292.0</v>
      </c>
      <c r="AR19" s="66">
        <v>43954.44</v>
      </c>
      <c r="AS19" s="66"/>
      <c r="AT19" s="66">
        <v>43954.44</v>
      </c>
      <c r="AU19" s="66">
        <v>3662.87</v>
      </c>
      <c r="AV19" s="56">
        <v>12.0</v>
      </c>
      <c r="AW19" s="66">
        <v>43954.44</v>
      </c>
      <c r="AX19" s="66">
        <v>0.0</v>
      </c>
      <c r="AY19" s="66">
        <v>43954.44</v>
      </c>
      <c r="AZ19" s="66">
        <v>11231.370000000003</v>
      </c>
      <c r="BA19" s="66">
        <v>32723.07</v>
      </c>
      <c r="BB19" s="79" t="s">
        <v>290</v>
      </c>
      <c r="BC19" s="56">
        <v>1.51132022236929E14</v>
      </c>
      <c r="BD19" s="64" t="s">
        <v>118</v>
      </c>
      <c r="BE19" s="66" t="s">
        <v>118</v>
      </c>
      <c r="BF19" s="64"/>
      <c r="BG19" s="65"/>
      <c r="BH19" s="65">
        <v>300000.0</v>
      </c>
      <c r="BI19" s="64" t="s">
        <v>129</v>
      </c>
      <c r="BJ19" s="65"/>
      <c r="BK19" s="64" t="s">
        <v>130</v>
      </c>
      <c r="BL19" s="67" t="s">
        <v>188</v>
      </c>
      <c r="BM19" s="64" t="s">
        <v>147</v>
      </c>
      <c r="BN19" s="63"/>
      <c r="BO19" s="63"/>
      <c r="BP19" s="66"/>
      <c r="BQ19" s="66"/>
      <c r="BR19" s="66"/>
      <c r="BS19" s="66">
        <v>43954.44</v>
      </c>
      <c r="BT19" s="66"/>
      <c r="BU19" s="64" t="s">
        <v>189</v>
      </c>
      <c r="BV19" s="66"/>
      <c r="BW19" s="66"/>
      <c r="BX19" s="54"/>
      <c r="BY19" s="54"/>
      <c r="BZ19" s="63"/>
      <c r="CA19" s="54"/>
      <c r="CB19" s="54" t="s">
        <v>134</v>
      </c>
      <c r="CC19" s="54" t="s">
        <v>135</v>
      </c>
      <c r="CD19" s="54" t="s">
        <v>136</v>
      </c>
      <c r="CE19" s="56"/>
      <c r="CF19" s="54" t="s">
        <v>194</v>
      </c>
      <c r="CG19" s="63"/>
      <c r="CH19" s="63">
        <v>45652.0</v>
      </c>
      <c r="CI19" s="63" t="s">
        <v>147</v>
      </c>
      <c r="CJ19" s="66">
        <v>40291.57</v>
      </c>
      <c r="CK19" s="119">
        <v>45287.0</v>
      </c>
      <c r="CL19" s="113" t="s">
        <v>147</v>
      </c>
      <c r="CM19" s="120" t="s">
        <v>139</v>
      </c>
      <c r="CN19" s="117" t="s">
        <v>290</v>
      </c>
      <c r="CO19" s="113"/>
      <c r="CP19" s="112"/>
      <c r="CQ19" s="122"/>
      <c r="CR19" s="122" t="s">
        <v>117</v>
      </c>
      <c r="CS19" s="122"/>
      <c r="CT19" s="122"/>
      <c r="CU19" s="122"/>
      <c r="CV19" s="112">
        <v>32723.07</v>
      </c>
      <c r="CW19" s="112">
        <v>0.0</v>
      </c>
      <c r="CX19" s="119">
        <v>44580.0</v>
      </c>
      <c r="CY19" s="116">
        <v>1.0</v>
      </c>
      <c r="CZ19" s="121" t="str">
        <f>IFERROR(__xludf.DUMMYFUNCTION("""COMPUTED_VALUE"""),"SERPRO ")</f>
        <v>SERPRO </v>
      </c>
      <c r="DA19" s="116" t="str">
        <f>IFERROR(__xludf.DUMMYFUNCTION("""COMPUTED_VALUE"""),"Contratação de serviço web de acesso a dados")</f>
        <v>Contratação de serviço web de acesso a dados</v>
      </c>
      <c r="DB19" s="116"/>
      <c r="DC19" s="116"/>
      <c r="DD19" s="116"/>
      <c r="DE19" s="116"/>
      <c r="DF19" s="116"/>
      <c r="DG19" s="116"/>
      <c r="DH19" s="116"/>
    </row>
    <row r="20" ht="104.25" customHeight="1">
      <c r="A20" s="73">
        <v>15254.0</v>
      </c>
      <c r="B20" s="50">
        <v>15254.0</v>
      </c>
      <c r="C20" s="53" t="s">
        <v>295</v>
      </c>
      <c r="D20" s="52" t="s">
        <v>243</v>
      </c>
      <c r="E20" s="52" t="s">
        <v>113</v>
      </c>
      <c r="F20" s="52" t="s">
        <v>203</v>
      </c>
      <c r="G20" s="52" t="str">
        <f>IFERROR(__xludf.DUMMYFUNCTION("""COMPUTED_VALUE"""),"(ID PAAC 15254) CERTIFICADOS PJ - Aquisição Certificados Digitais SSL (PJe, domínio trt12.jus.br e siscondj), obrigatório para estabelecer autenticação de confiança entre sistemas de informação. Exigido pela instituição bancária (CERTISIGN).")</f>
        <v>(ID PAAC 15254) CERTIFICADOS PJ - Aquisição Certificados Digitais SSL (PJe, domínio trt12.jus.br e siscondj), obrigatório para estabelecer autenticação de confiança entre sistemas de informação. Exigido pela instituição bancária (CERTISIGN).</v>
      </c>
      <c r="H20" s="53" t="s">
        <v>245</v>
      </c>
      <c r="I20" s="53" t="s">
        <v>116</v>
      </c>
      <c r="J20" s="53" t="s">
        <v>116</v>
      </c>
      <c r="K20" s="54" t="s">
        <v>117</v>
      </c>
      <c r="L20" s="55">
        <v>0.0</v>
      </c>
      <c r="M20" s="56">
        <v>3.3904023E7</v>
      </c>
      <c r="N20" s="56">
        <v>0.0</v>
      </c>
      <c r="O20" s="50">
        <v>168105.0</v>
      </c>
      <c r="P20" s="64" t="s">
        <v>118</v>
      </c>
      <c r="Q20" s="53" t="s">
        <v>119</v>
      </c>
      <c r="R20" s="53" t="s">
        <v>144</v>
      </c>
      <c r="S20" s="53"/>
      <c r="T20" s="53"/>
      <c r="U20" s="53" t="s">
        <v>204</v>
      </c>
      <c r="V20" s="58" t="s">
        <v>296</v>
      </c>
      <c r="W20" s="58" t="s">
        <v>297</v>
      </c>
      <c r="X20" s="53" t="s">
        <v>173</v>
      </c>
      <c r="Y20" s="53" t="s">
        <v>246</v>
      </c>
      <c r="Z20" s="53" t="s">
        <v>167</v>
      </c>
      <c r="AA20" s="75" t="s">
        <v>298</v>
      </c>
      <c r="AB20" s="50">
        <v>1.554285000175E12</v>
      </c>
      <c r="AC20" s="54" t="s">
        <v>299</v>
      </c>
      <c r="AD20" s="93">
        <v>44643.0</v>
      </c>
      <c r="AE20" s="63">
        <v>44653.0</v>
      </c>
      <c r="AF20" s="64" t="s">
        <v>177</v>
      </c>
      <c r="AG20" s="65">
        <v>2.0</v>
      </c>
      <c r="AH20" s="66">
        <v>945.0</v>
      </c>
      <c r="AI20" s="64" t="s">
        <v>118</v>
      </c>
      <c r="AJ20" s="66"/>
      <c r="AK20" s="78"/>
      <c r="AL20" s="78"/>
      <c r="AM20" s="78"/>
      <c r="AN20" s="78">
        <v>-5380.0</v>
      </c>
      <c r="AO20" s="78">
        <v>7270.0</v>
      </c>
      <c r="AP20" s="58" t="s">
        <v>300</v>
      </c>
      <c r="AQ20" s="78">
        <v>7270.0</v>
      </c>
      <c r="AR20" s="66">
        <v>1890.0</v>
      </c>
      <c r="AS20" s="66"/>
      <c r="AT20" s="66">
        <v>1890.0</v>
      </c>
      <c r="AU20" s="66"/>
      <c r="AV20" s="56"/>
      <c r="AW20" s="19">
        <v>0.0</v>
      </c>
      <c r="AX20" s="19">
        <v>0.0</v>
      </c>
      <c r="AY20" s="66">
        <v>1890.0</v>
      </c>
      <c r="AZ20" s="19">
        <v>0.0</v>
      </c>
      <c r="BA20" s="19">
        <v>1890.0</v>
      </c>
      <c r="BB20" s="79" t="s">
        <v>298</v>
      </c>
      <c r="BC20" s="28">
        <v>1.5113202223695E14</v>
      </c>
      <c r="BD20" s="64" t="s">
        <v>110</v>
      </c>
      <c r="BE20" s="66" t="s">
        <v>118</v>
      </c>
      <c r="BF20" s="64"/>
      <c r="BG20" s="65"/>
      <c r="BH20" s="65">
        <v>300000.0</v>
      </c>
      <c r="BI20" s="64" t="s">
        <v>129</v>
      </c>
      <c r="BJ20" s="65"/>
      <c r="BK20" s="64" t="s">
        <v>247</v>
      </c>
      <c r="BL20" s="67" t="s">
        <v>188</v>
      </c>
      <c r="BM20" s="64" t="s">
        <v>246</v>
      </c>
      <c r="BN20" s="63">
        <v>44643.0</v>
      </c>
      <c r="BO20" s="63">
        <v>44643.0</v>
      </c>
      <c r="BP20" s="66">
        <v>1890.0</v>
      </c>
      <c r="BQ20" s="66">
        <v>1890.0</v>
      </c>
      <c r="BR20" s="66">
        <v>1890.0</v>
      </c>
      <c r="BS20" s="66">
        <v>1890.0</v>
      </c>
      <c r="BT20" s="66">
        <v>1890.0</v>
      </c>
      <c r="BU20" s="64" t="s">
        <v>301</v>
      </c>
      <c r="BV20" s="64"/>
      <c r="BW20" s="64"/>
      <c r="BX20" s="54"/>
      <c r="BY20" s="54"/>
      <c r="BZ20" s="63"/>
      <c r="CA20" s="54"/>
      <c r="CB20" s="54" t="s">
        <v>134</v>
      </c>
      <c r="CC20" s="54" t="s">
        <v>135</v>
      </c>
      <c r="CD20" s="54" t="s">
        <v>136</v>
      </c>
      <c r="CE20" s="56"/>
      <c r="CF20" s="54" t="s">
        <v>302</v>
      </c>
      <c r="CG20" s="63"/>
      <c r="CH20" s="63">
        <v>45018.0</v>
      </c>
      <c r="CI20" s="63" t="s">
        <v>246</v>
      </c>
      <c r="CJ20" s="66">
        <v>7270.0</v>
      </c>
      <c r="CK20" s="119">
        <v>44805.0</v>
      </c>
      <c r="CL20" s="112" t="s">
        <v>195</v>
      </c>
      <c r="CM20" s="113" t="s">
        <v>139</v>
      </c>
      <c r="CN20" s="117" t="s">
        <v>298</v>
      </c>
      <c r="CO20" s="112"/>
      <c r="CP20" s="112"/>
      <c r="CQ20" s="113"/>
      <c r="CR20" s="113" t="s">
        <v>117</v>
      </c>
      <c r="CS20" s="113"/>
      <c r="CT20" s="113"/>
      <c r="CU20" s="113"/>
      <c r="CV20" s="112">
        <v>1890.0</v>
      </c>
      <c r="CW20" s="112">
        <v>0.0</v>
      </c>
      <c r="CX20" s="119" t="e">
        <v>#N/A</v>
      </c>
      <c r="CY20" s="116"/>
      <c r="CZ20" s="121" t="str">
        <f>IFERROR(__xludf.DUMMYFUNCTION("""COMPUTED_VALUE"""),"CERTIFICADOS PJ ")</f>
        <v>CERTIFICADOS PJ </v>
      </c>
      <c r="DA20" s="121" t="str">
        <f>IFERROR(__xludf.DUMMYFUNCTION("""COMPUTED_VALUE"""),"Aquisição Certificados Digitais SSL (PJe, domínio trt12.jus.br e siscondj), obrigatório para estabelecer autenticação de confiança entre sistemas de informação. Exigido pela instituição bancária (CERTISIGN).")</f>
        <v>Aquisição Certificados Digitais SSL (PJe, domínio trt12.jus.br e siscondj), obrigatório para estabelecer autenticação de confiança entre sistemas de informação. Exigido pela instituição bancária (CERTISIGN).</v>
      </c>
      <c r="DB20" s="121" t="s">
        <v>303</v>
      </c>
      <c r="DC20" s="121" t="s">
        <v>214</v>
      </c>
      <c r="DD20" s="121" t="s">
        <v>215</v>
      </c>
      <c r="DE20" s="121" t="s">
        <v>304</v>
      </c>
      <c r="DF20" s="121" t="s">
        <v>118</v>
      </c>
      <c r="DG20" s="121" t="s">
        <v>279</v>
      </c>
      <c r="DH20" s="116"/>
    </row>
    <row r="21" ht="16.5" customHeight="1">
      <c r="A21" s="73">
        <v>15259.0</v>
      </c>
      <c r="B21" s="50">
        <v>0.0</v>
      </c>
      <c r="C21" s="53" t="s">
        <v>305</v>
      </c>
      <c r="D21" s="52" t="s">
        <v>112</v>
      </c>
      <c r="E21" s="52" t="s">
        <v>113</v>
      </c>
      <c r="F21" s="52" t="s">
        <v>114</v>
      </c>
      <c r="G21" s="52" t="str">
        <f>IFERROR(__xludf.DUMMYFUNCTION("""COMPUTED_VALUE"""),"(ID PAAC 15259) INTERNET LINK 1 - Contratação de acesso corporativo à internet")</f>
        <v>(ID PAAC 15259) INTERNET LINK 1 - Contratação de acesso corporativo à internet</v>
      </c>
      <c r="H21" s="53" t="s">
        <v>115</v>
      </c>
      <c r="I21" s="53" t="s">
        <v>116</v>
      </c>
      <c r="J21" s="53" t="s">
        <v>116</v>
      </c>
      <c r="K21" s="54" t="s">
        <v>117</v>
      </c>
      <c r="L21" s="55">
        <v>0.0</v>
      </c>
      <c r="M21" s="56">
        <v>3.3904013E7</v>
      </c>
      <c r="N21" s="56">
        <v>0.0</v>
      </c>
      <c r="O21" s="50">
        <v>168105.0</v>
      </c>
      <c r="P21" s="64" t="s">
        <v>118</v>
      </c>
      <c r="Q21" s="53" t="s">
        <v>119</v>
      </c>
      <c r="R21" s="53" t="s">
        <v>144</v>
      </c>
      <c r="S21" s="53"/>
      <c r="T21" s="53"/>
      <c r="U21" s="82" t="s">
        <v>145</v>
      </c>
      <c r="V21" s="58"/>
      <c r="W21" s="58" t="s">
        <v>306</v>
      </c>
      <c r="X21" s="53" t="s">
        <v>173</v>
      </c>
      <c r="Y21" s="53" t="s">
        <v>147</v>
      </c>
      <c r="Z21" s="53" t="s">
        <v>125</v>
      </c>
      <c r="AA21" s="75" t="s">
        <v>307</v>
      </c>
      <c r="AB21" s="50">
        <v>2.255187000108E12</v>
      </c>
      <c r="AC21" s="54" t="s">
        <v>308</v>
      </c>
      <c r="AD21" s="83">
        <v>44726.0</v>
      </c>
      <c r="AE21" s="63">
        <v>44726.0</v>
      </c>
      <c r="AF21" s="64" t="s">
        <v>177</v>
      </c>
      <c r="AG21" s="65">
        <v>1.0</v>
      </c>
      <c r="AH21" s="66">
        <v>6000.0</v>
      </c>
      <c r="AI21" s="64" t="s">
        <v>118</v>
      </c>
      <c r="AJ21" s="66"/>
      <c r="AK21" s="64" t="s">
        <v>178</v>
      </c>
      <c r="AL21" s="78"/>
      <c r="AM21" s="78"/>
      <c r="AN21" s="78">
        <v>0.0</v>
      </c>
      <c r="AO21" s="78">
        <v>6000.0</v>
      </c>
      <c r="AP21" s="58" t="s">
        <v>309</v>
      </c>
      <c r="AQ21" s="78">
        <v>13617.0</v>
      </c>
      <c r="AR21" s="66">
        <v>6000.0</v>
      </c>
      <c r="AS21" s="66"/>
      <c r="AT21" s="66">
        <v>6000.0</v>
      </c>
      <c r="AU21" s="66">
        <v>1000.0</v>
      </c>
      <c r="AV21" s="56">
        <v>6.0</v>
      </c>
      <c r="AW21" s="66">
        <v>6000.0</v>
      </c>
      <c r="AX21" s="66">
        <v>0.0</v>
      </c>
      <c r="AY21" s="87">
        <v>6000.0</v>
      </c>
      <c r="AZ21" s="66">
        <v>3000.0</v>
      </c>
      <c r="BA21" s="66">
        <v>3000.0</v>
      </c>
      <c r="BB21" s="79" t="s">
        <v>307</v>
      </c>
      <c r="BC21" s="56">
        <v>1.5113202223693E14</v>
      </c>
      <c r="BD21" s="64" t="s">
        <v>118</v>
      </c>
      <c r="BE21" s="66" t="s">
        <v>110</v>
      </c>
      <c r="BF21" s="64"/>
      <c r="BG21" s="65"/>
      <c r="BH21" s="65">
        <v>300000.0</v>
      </c>
      <c r="BI21" s="64" t="s">
        <v>129</v>
      </c>
      <c r="BJ21" s="65"/>
      <c r="BK21" s="64" t="s">
        <v>130</v>
      </c>
      <c r="BL21" s="67" t="s">
        <v>131</v>
      </c>
      <c r="BM21" s="64" t="s">
        <v>147</v>
      </c>
      <c r="BN21" s="63"/>
      <c r="BO21" s="63"/>
      <c r="BP21" s="66"/>
      <c r="BQ21" s="66"/>
      <c r="BR21" s="66"/>
      <c r="BS21" s="66">
        <v>6000.0</v>
      </c>
      <c r="BT21" s="66"/>
      <c r="BU21" s="64" t="s">
        <v>189</v>
      </c>
      <c r="BV21" s="64"/>
      <c r="BW21" s="66"/>
      <c r="BX21" s="54"/>
      <c r="BY21" s="54"/>
      <c r="BZ21" s="63"/>
      <c r="CA21" s="54"/>
      <c r="CB21" s="54" t="s">
        <v>134</v>
      </c>
      <c r="CC21" s="54" t="s">
        <v>135</v>
      </c>
      <c r="CD21" s="54" t="s">
        <v>136</v>
      </c>
      <c r="CE21" s="56"/>
      <c r="CF21" s="54" t="s">
        <v>194</v>
      </c>
      <c r="CG21" s="63"/>
      <c r="CH21" s="63">
        <v>45091.0</v>
      </c>
      <c r="CI21" s="63" t="s">
        <v>147</v>
      </c>
      <c r="CJ21" s="66">
        <v>12968.0</v>
      </c>
      <c r="CK21" s="63">
        <v>44725.0</v>
      </c>
      <c r="CL21" s="64" t="s">
        <v>138</v>
      </c>
      <c r="CM21" s="53" t="s">
        <v>139</v>
      </c>
      <c r="CN21" s="79" t="s">
        <v>307</v>
      </c>
      <c r="CO21" s="64"/>
      <c r="CP21" s="66"/>
      <c r="CQ21" s="80"/>
      <c r="CR21" s="80" t="s">
        <v>117</v>
      </c>
      <c r="CS21" s="80"/>
      <c r="CT21" s="80"/>
      <c r="CU21" s="80"/>
      <c r="CV21" s="66">
        <v>3000.0</v>
      </c>
      <c r="CW21" s="66">
        <v>0.0</v>
      </c>
      <c r="CX21" s="63">
        <v>44579.0</v>
      </c>
      <c r="CY21" s="56">
        <v>1.0</v>
      </c>
      <c r="CZ21" s="81" t="str">
        <f>IFERROR(__xludf.DUMMYFUNCTION("""COMPUTED_VALUE"""),"INTERNET LINK 1 ")</f>
        <v>INTERNET LINK 1 </v>
      </c>
      <c r="DA21" s="56" t="str">
        <f>IFERROR(__xludf.DUMMYFUNCTION("""COMPUTED_VALUE"""),"Contratação de acesso corporativo à internet")</f>
        <v>Contratação de acesso corporativo à internet</v>
      </c>
      <c r="DB21" s="56"/>
      <c r="DC21" s="56"/>
      <c r="DD21" s="56"/>
      <c r="DE21" s="56"/>
      <c r="DF21" s="56"/>
      <c r="DG21" s="56"/>
      <c r="DH21" s="56"/>
    </row>
    <row r="22" ht="16.5" customHeight="1">
      <c r="A22" s="73">
        <v>15304.0</v>
      </c>
      <c r="B22" s="50">
        <v>15304.0</v>
      </c>
      <c r="C22" s="53" t="s">
        <v>310</v>
      </c>
      <c r="D22" s="52" t="s">
        <v>243</v>
      </c>
      <c r="E22" s="52" t="s">
        <v>311</v>
      </c>
      <c r="F22" s="52" t="s">
        <v>312</v>
      </c>
      <c r="G22" s="52" t="str">
        <f>IFERROR(__xludf.DUMMYFUNCTION("""COMPUTED_VALUE"""),"(ID PAAC 15304) BACKUP EQUIPAMENTOS - Aquisição de um novo equipamento para atualizar o sistema de backup do datacenter auxiliar.")</f>
        <v>(ID PAAC 15304) BACKUP EQUIPAMENTOS - Aquisição de um novo equipamento para atualizar o sistema de backup do datacenter auxiliar.</v>
      </c>
      <c r="H22" s="53" t="s">
        <v>245</v>
      </c>
      <c r="I22" s="53" t="s">
        <v>116</v>
      </c>
      <c r="J22" s="53" t="s">
        <v>116</v>
      </c>
      <c r="K22" s="54" t="s">
        <v>313</v>
      </c>
      <c r="L22" s="55">
        <v>0.0</v>
      </c>
      <c r="M22" s="56"/>
      <c r="N22" s="56">
        <v>0.0</v>
      </c>
      <c r="O22" s="50">
        <v>168105.0</v>
      </c>
      <c r="P22" s="64" t="s">
        <v>118</v>
      </c>
      <c r="Q22" s="53" t="s">
        <v>119</v>
      </c>
      <c r="R22" s="53" t="s">
        <v>144</v>
      </c>
      <c r="S22" s="53"/>
      <c r="T22" s="53" t="s">
        <v>314</v>
      </c>
      <c r="U22" s="82" t="s">
        <v>315</v>
      </c>
      <c r="V22" s="58" t="s">
        <v>316</v>
      </c>
      <c r="W22" s="58" t="s">
        <v>317</v>
      </c>
      <c r="X22" s="53" t="s">
        <v>173</v>
      </c>
      <c r="Y22" s="53" t="s">
        <v>125</v>
      </c>
      <c r="Z22" s="53" t="s">
        <v>125</v>
      </c>
      <c r="AA22" s="75" t="s">
        <v>318</v>
      </c>
      <c r="AB22" s="50" t="e">
        <v>#N/A</v>
      </c>
      <c r="AC22" s="54" t="e">
        <v>#N/A</v>
      </c>
      <c r="AD22" s="83">
        <v>44525.0</v>
      </c>
      <c r="AE22" s="63">
        <v>44635.0</v>
      </c>
      <c r="AF22" s="64" t="s">
        <v>177</v>
      </c>
      <c r="AG22" s="65">
        <v>1.0</v>
      </c>
      <c r="AH22" s="66">
        <v>433000.0</v>
      </c>
      <c r="AI22" s="64" t="s">
        <v>118</v>
      </c>
      <c r="AJ22" s="66">
        <v>433000.0</v>
      </c>
      <c r="AK22" s="78"/>
      <c r="AL22" s="78"/>
      <c r="AM22" s="78"/>
      <c r="AN22" s="78">
        <v>0.0</v>
      </c>
      <c r="AO22" s="78">
        <v>433000.0</v>
      </c>
      <c r="AP22" s="58"/>
      <c r="AQ22" s="78">
        <v>0.0</v>
      </c>
      <c r="AR22" s="66">
        <v>433000.0</v>
      </c>
      <c r="AS22" s="66"/>
      <c r="AT22" s="66">
        <v>433000.0</v>
      </c>
      <c r="AU22" s="66"/>
      <c r="AV22" s="56"/>
      <c r="AW22" s="66">
        <v>0.0</v>
      </c>
      <c r="AX22" s="66">
        <v>0.0</v>
      </c>
      <c r="AY22" s="87">
        <v>0.0</v>
      </c>
      <c r="AZ22" s="66">
        <v>0.0</v>
      </c>
      <c r="BA22" s="66">
        <v>0.0</v>
      </c>
      <c r="BB22" s="79" t="s">
        <v>318</v>
      </c>
      <c r="BC22" s="56"/>
      <c r="BD22" s="64" t="s">
        <v>110</v>
      </c>
      <c r="BE22" s="66"/>
      <c r="BF22" s="64"/>
      <c r="BG22" s="65"/>
      <c r="BH22" s="65">
        <v>300000.0</v>
      </c>
      <c r="BI22" s="64" t="s">
        <v>129</v>
      </c>
      <c r="BJ22" s="65"/>
      <c r="BK22" s="64" t="s">
        <v>247</v>
      </c>
      <c r="BL22" s="67"/>
      <c r="BM22" s="64" t="s">
        <v>125</v>
      </c>
      <c r="BN22" s="63">
        <v>44464.0</v>
      </c>
      <c r="BO22" s="63">
        <v>44494.0</v>
      </c>
      <c r="BP22" s="66"/>
      <c r="BQ22" s="66"/>
      <c r="BR22" s="66"/>
      <c r="BS22" s="66">
        <v>433000.0</v>
      </c>
      <c r="BT22" s="66">
        <v>433000.0</v>
      </c>
      <c r="BU22" s="64" t="e">
        <v>#N/A</v>
      </c>
      <c r="BV22" s="64"/>
      <c r="BW22" s="66"/>
      <c r="BX22" s="54"/>
      <c r="BY22" s="54"/>
      <c r="BZ22" s="63"/>
      <c r="CA22" s="54"/>
      <c r="CB22" s="54" t="s">
        <v>134</v>
      </c>
      <c r="CC22" s="54" t="s">
        <v>135</v>
      </c>
      <c r="CD22" s="54" t="e">
        <v>#N/A</v>
      </c>
      <c r="CE22" s="56"/>
      <c r="CF22" s="54" t="e">
        <v>#N/A</v>
      </c>
      <c r="CG22" s="63">
        <v>44888.0</v>
      </c>
      <c r="CH22" s="63">
        <v>45000.0</v>
      </c>
      <c r="CI22" s="63" t="s">
        <v>125</v>
      </c>
      <c r="CJ22" s="66"/>
      <c r="CK22" s="63"/>
      <c r="CL22" s="64"/>
      <c r="CM22" s="53"/>
      <c r="CN22" s="79" t="s">
        <v>318</v>
      </c>
      <c r="CO22" s="64"/>
      <c r="CP22" s="66"/>
      <c r="CQ22" s="80"/>
      <c r="CR22" s="80"/>
      <c r="CS22" s="80"/>
      <c r="CT22" s="80"/>
      <c r="CU22" s="80"/>
      <c r="CV22" s="66">
        <v>0.0</v>
      </c>
      <c r="CW22" s="66">
        <v>0.0</v>
      </c>
      <c r="CX22" s="63" t="e">
        <v>#N/A</v>
      </c>
      <c r="CY22" s="56"/>
      <c r="CZ22" s="81" t="str">
        <f>IFERROR(__xludf.DUMMYFUNCTION("""COMPUTED_VALUE"""),"BACKUP EQUIPAMENTOS ")</f>
        <v>BACKUP EQUIPAMENTOS </v>
      </c>
      <c r="DA22" s="81" t="str">
        <f>IFERROR(__xludf.DUMMYFUNCTION("""COMPUTED_VALUE"""),"Aquisição de um novo equipamento para atualizar o sistema de backup do datacenter auxiliar.")</f>
        <v>Aquisição de um novo equipamento para atualizar o sistema de backup do datacenter auxiliar.</v>
      </c>
      <c r="DB22" s="81" t="s">
        <v>319</v>
      </c>
      <c r="DC22" s="81" t="s">
        <v>320</v>
      </c>
      <c r="DD22" s="81" t="s">
        <v>321</v>
      </c>
      <c r="DE22" s="81" t="s">
        <v>216</v>
      </c>
      <c r="DF22" s="81" t="s">
        <v>118</v>
      </c>
      <c r="DG22" s="81" t="s">
        <v>279</v>
      </c>
      <c r="DH22" s="56">
        <v>15311.0</v>
      </c>
    </row>
    <row r="23" ht="16.5" customHeight="1">
      <c r="A23" s="73">
        <v>15306.0</v>
      </c>
      <c r="B23" s="50">
        <v>0.0</v>
      </c>
      <c r="C23" s="53" t="s">
        <v>322</v>
      </c>
      <c r="D23" s="52" t="s">
        <v>323</v>
      </c>
      <c r="E23" s="52" t="s">
        <v>142</v>
      </c>
      <c r="F23" s="52" t="s">
        <v>203</v>
      </c>
      <c r="G23" s="52" t="str">
        <f>IFERROR(__xludf.DUMMYFUNCTION("""COMPUTED_VALUE"""),"(ID PAAC 15306) AUTOCAD LICENÇAS - Contratação/prorrogação de licanças de Autodesk AutoCAD Revit Suite")</f>
        <v>(ID PAAC 15306) AUTOCAD LICENÇAS - Contratação/prorrogação de licanças de Autodesk AutoCAD Revit Suite</v>
      </c>
      <c r="H23" s="53" t="s">
        <v>245</v>
      </c>
      <c r="I23" s="53" t="s">
        <v>324</v>
      </c>
      <c r="J23" s="53" t="s">
        <v>116</v>
      </c>
      <c r="K23" s="54" t="s">
        <v>117</v>
      </c>
      <c r="L23" s="55">
        <v>0.0</v>
      </c>
      <c r="M23" s="56">
        <v>3.3904006E7</v>
      </c>
      <c r="N23" s="56">
        <v>0.0</v>
      </c>
      <c r="O23" s="50">
        <v>168105.0</v>
      </c>
      <c r="P23" s="64" t="s">
        <v>118</v>
      </c>
      <c r="Q23" s="53" t="s">
        <v>325</v>
      </c>
      <c r="R23" s="53" t="s">
        <v>144</v>
      </c>
      <c r="S23" s="53"/>
      <c r="T23" s="53"/>
      <c r="U23" s="82" t="s">
        <v>326</v>
      </c>
      <c r="V23" s="58" t="s">
        <v>327</v>
      </c>
      <c r="W23" s="58"/>
      <c r="X23" s="53" t="s">
        <v>124</v>
      </c>
      <c r="Y23" s="53" t="s">
        <v>125</v>
      </c>
      <c r="Z23" s="53" t="s">
        <v>125</v>
      </c>
      <c r="AA23" s="59" t="s">
        <v>176</v>
      </c>
      <c r="AB23" s="50" t="e">
        <v>#N/A</v>
      </c>
      <c r="AC23" s="54" t="e">
        <v>#N/A</v>
      </c>
      <c r="AD23" s="83">
        <v>44756.0</v>
      </c>
      <c r="AE23" s="63">
        <v>44866.0</v>
      </c>
      <c r="AF23" s="64" t="s">
        <v>127</v>
      </c>
      <c r="AG23" s="65">
        <v>2.0</v>
      </c>
      <c r="AH23" s="66">
        <v>34324.0</v>
      </c>
      <c r="AI23" s="64" t="s">
        <v>118</v>
      </c>
      <c r="AJ23" s="66"/>
      <c r="AK23" s="78"/>
      <c r="AL23" s="78"/>
      <c r="AM23" s="78"/>
      <c r="AN23" s="78">
        <v>49407.0</v>
      </c>
      <c r="AO23" s="78">
        <v>19241.0</v>
      </c>
      <c r="AP23" s="58"/>
      <c r="AQ23" s="78">
        <v>19241.0</v>
      </c>
      <c r="AR23" s="66">
        <v>68648.0</v>
      </c>
      <c r="AS23" s="66"/>
      <c r="AT23" s="66">
        <v>68648.0</v>
      </c>
      <c r="AU23" s="66"/>
      <c r="AV23" s="56"/>
      <c r="AW23" s="66">
        <v>0.0</v>
      </c>
      <c r="AX23" s="66">
        <v>0.0</v>
      </c>
      <c r="AY23" s="87">
        <v>0.0</v>
      </c>
      <c r="AZ23" s="66">
        <v>0.0</v>
      </c>
      <c r="BA23" s="66">
        <v>0.0</v>
      </c>
      <c r="BB23" s="66" t="s">
        <v>176</v>
      </c>
      <c r="BC23" s="56">
        <v>1.51132022236932E14</v>
      </c>
      <c r="BD23" s="64" t="s">
        <v>110</v>
      </c>
      <c r="BE23" s="66"/>
      <c r="BF23" s="64"/>
      <c r="BG23" s="65"/>
      <c r="BH23" s="65">
        <v>100000.0</v>
      </c>
      <c r="BI23" s="64" t="s">
        <v>328</v>
      </c>
      <c r="BJ23" s="65"/>
      <c r="BK23" s="64" t="s">
        <v>247</v>
      </c>
      <c r="BL23" s="67"/>
      <c r="BM23" s="64" t="s">
        <v>125</v>
      </c>
      <c r="BN23" s="63"/>
      <c r="BO23" s="63"/>
      <c r="BP23" s="66"/>
      <c r="BQ23" s="66"/>
      <c r="BR23" s="66"/>
      <c r="BS23" s="66">
        <v>68648.0</v>
      </c>
      <c r="BT23" s="66">
        <v>68648.0</v>
      </c>
      <c r="BU23" s="64" t="s">
        <v>276</v>
      </c>
      <c r="BV23" s="64"/>
      <c r="BW23" s="66"/>
      <c r="BX23" s="54"/>
      <c r="BY23" s="54"/>
      <c r="BZ23" s="63"/>
      <c r="CA23" s="54"/>
      <c r="CB23" s="54" t="s">
        <v>134</v>
      </c>
      <c r="CC23" s="54" t="s">
        <v>135</v>
      </c>
      <c r="CD23" s="54" t="s">
        <v>136</v>
      </c>
      <c r="CE23" s="56"/>
      <c r="CF23" s="54" t="s">
        <v>277</v>
      </c>
      <c r="CG23" s="63">
        <v>45119.0</v>
      </c>
      <c r="CH23" s="63">
        <v>45231.0</v>
      </c>
      <c r="CI23" s="63" t="s">
        <v>125</v>
      </c>
      <c r="CJ23" s="66"/>
      <c r="CK23" s="63"/>
      <c r="CL23" s="64"/>
      <c r="CM23" s="53"/>
      <c r="CN23" s="66" t="s">
        <v>176</v>
      </c>
      <c r="CO23" s="64"/>
      <c r="CP23" s="66"/>
      <c r="CQ23" s="80"/>
      <c r="CR23" s="80"/>
      <c r="CS23" s="80"/>
      <c r="CT23" s="80"/>
      <c r="CU23" s="80"/>
      <c r="CV23" s="66">
        <v>0.0</v>
      </c>
      <c r="CW23" s="66">
        <v>0.0</v>
      </c>
      <c r="CX23" s="63" t="e">
        <v>#N/A</v>
      </c>
      <c r="CY23" s="56"/>
      <c r="CZ23" s="81" t="str">
        <f>IFERROR(__xludf.DUMMYFUNCTION("""COMPUTED_VALUE"""),"AUTOCAD LICENÇAS ")</f>
        <v>AUTOCAD LICENÇAS </v>
      </c>
      <c r="DA23" s="81" t="str">
        <f>IFERROR(__xludf.DUMMYFUNCTION("""COMPUTED_VALUE"""),"Contratação/prorrogação de licanças de Autodesk AutoCAD Revit Suite")</f>
        <v>Contratação/prorrogação de licanças de Autodesk AutoCAD Revit Suite</v>
      </c>
      <c r="DB23" s="81" t="s">
        <v>278</v>
      </c>
      <c r="DC23" s="81" t="s">
        <v>214</v>
      </c>
      <c r="DD23" s="81" t="s">
        <v>215</v>
      </c>
      <c r="DE23" s="81" t="s">
        <v>216</v>
      </c>
      <c r="DF23" s="81" t="s">
        <v>118</v>
      </c>
      <c r="DG23" s="81" t="s">
        <v>279</v>
      </c>
      <c r="DH23" s="56"/>
    </row>
    <row r="24" ht="16.5" customHeight="1">
      <c r="A24" s="73">
        <v>15307.0</v>
      </c>
      <c r="B24" s="50">
        <v>0.0</v>
      </c>
      <c r="C24" s="53" t="s">
        <v>329</v>
      </c>
      <c r="D24" s="52" t="s">
        <v>330</v>
      </c>
      <c r="E24" s="52" t="s">
        <v>142</v>
      </c>
      <c r="F24" s="52" t="s">
        <v>203</v>
      </c>
      <c r="G24" s="52" t="str">
        <f>IFERROR(__xludf.DUMMYFUNCTION("""COMPUTED_VALUE"""),"(ID PAAC 15307) SKETCHUP PRO - Licença SketchUp Pro - Trimble (12 meses)")</f>
        <v>(ID PAAC 15307) SKETCHUP PRO - Licença SketchUp Pro - Trimble (12 meses)</v>
      </c>
      <c r="H24" s="53" t="s">
        <v>115</v>
      </c>
      <c r="I24" s="53" t="s">
        <v>324</v>
      </c>
      <c r="J24" s="53" t="s">
        <v>116</v>
      </c>
      <c r="K24" s="54" t="s">
        <v>117</v>
      </c>
      <c r="L24" s="55">
        <v>0.0</v>
      </c>
      <c r="M24" s="56">
        <v>3.3904006E7</v>
      </c>
      <c r="N24" s="56">
        <v>0.0</v>
      </c>
      <c r="O24" s="50">
        <v>168105.0</v>
      </c>
      <c r="P24" s="64" t="s">
        <v>118</v>
      </c>
      <c r="Q24" s="53" t="s">
        <v>325</v>
      </c>
      <c r="R24" s="53" t="s">
        <v>144</v>
      </c>
      <c r="S24" s="53"/>
      <c r="T24" s="53"/>
      <c r="U24" s="82" t="s">
        <v>326</v>
      </c>
      <c r="V24" s="58" t="s">
        <v>331</v>
      </c>
      <c r="W24" s="58"/>
      <c r="X24" s="53" t="s">
        <v>124</v>
      </c>
      <c r="Y24" s="53" t="s">
        <v>246</v>
      </c>
      <c r="Z24" s="53" t="s">
        <v>167</v>
      </c>
      <c r="AA24" s="59" t="s">
        <v>176</v>
      </c>
      <c r="AB24" s="50" t="e">
        <v>#N/A</v>
      </c>
      <c r="AC24" s="54" t="e">
        <v>#N/A</v>
      </c>
      <c r="AD24" s="83">
        <v>44825.0</v>
      </c>
      <c r="AE24" s="63">
        <v>44835.0</v>
      </c>
      <c r="AF24" s="64" t="s">
        <v>127</v>
      </c>
      <c r="AG24" s="65">
        <v>1.0</v>
      </c>
      <c r="AH24" s="66">
        <v>1881.0</v>
      </c>
      <c r="AI24" s="64" t="s">
        <v>118</v>
      </c>
      <c r="AJ24" s="66"/>
      <c r="AK24" s="64"/>
      <c r="AL24" s="78"/>
      <c r="AM24" s="78"/>
      <c r="AN24" s="78">
        <v>0.0</v>
      </c>
      <c r="AO24" s="78">
        <v>1881.0</v>
      </c>
      <c r="AP24" s="58"/>
      <c r="AQ24" s="78">
        <v>0.0</v>
      </c>
      <c r="AR24" s="66">
        <v>1881.0</v>
      </c>
      <c r="AS24" s="66"/>
      <c r="AT24" s="66">
        <v>1881.0</v>
      </c>
      <c r="AU24" s="66"/>
      <c r="AV24" s="56"/>
      <c r="AW24" s="66">
        <v>0.0</v>
      </c>
      <c r="AX24" s="66">
        <v>0.0</v>
      </c>
      <c r="AY24" s="87">
        <v>0.0</v>
      </c>
      <c r="AZ24" s="66">
        <v>0.0</v>
      </c>
      <c r="BA24" s="66">
        <v>0.0</v>
      </c>
      <c r="BB24" s="66" t="s">
        <v>176</v>
      </c>
      <c r="BC24" s="56"/>
      <c r="BD24" s="64" t="s">
        <v>110</v>
      </c>
      <c r="BE24" s="66"/>
      <c r="BF24" s="64"/>
      <c r="BG24" s="65"/>
      <c r="BH24" s="65">
        <v>100000.0</v>
      </c>
      <c r="BI24" s="64" t="s">
        <v>328</v>
      </c>
      <c r="BJ24" s="65"/>
      <c r="BK24" s="64" t="s">
        <v>130</v>
      </c>
      <c r="BL24" s="67"/>
      <c r="BM24" s="64" t="s">
        <v>246</v>
      </c>
      <c r="BN24" s="63"/>
      <c r="BO24" s="63"/>
      <c r="BP24" s="66"/>
      <c r="BQ24" s="66"/>
      <c r="BR24" s="66"/>
      <c r="BS24" s="66">
        <v>1881.0</v>
      </c>
      <c r="BT24" s="66">
        <v>1881.0</v>
      </c>
      <c r="BU24" s="64" t="s">
        <v>276</v>
      </c>
      <c r="BV24" s="64"/>
      <c r="BW24" s="66"/>
      <c r="BX24" s="54"/>
      <c r="BY24" s="54"/>
      <c r="BZ24" s="63"/>
      <c r="CA24" s="54"/>
      <c r="CB24" s="54" t="s">
        <v>134</v>
      </c>
      <c r="CC24" s="54" t="s">
        <v>135</v>
      </c>
      <c r="CD24" s="54" t="s">
        <v>136</v>
      </c>
      <c r="CE24" s="56"/>
      <c r="CF24" s="54" t="s">
        <v>277</v>
      </c>
      <c r="CG24" s="63"/>
      <c r="CH24" s="63">
        <v>45200.0</v>
      </c>
      <c r="CI24" s="63" t="s">
        <v>246</v>
      </c>
      <c r="CJ24" s="66"/>
      <c r="CK24" s="63"/>
      <c r="CL24" s="64"/>
      <c r="CM24" s="53"/>
      <c r="CN24" s="66" t="s">
        <v>176</v>
      </c>
      <c r="CO24" s="64"/>
      <c r="CP24" s="66"/>
      <c r="CQ24" s="80"/>
      <c r="CR24" s="80"/>
      <c r="CS24" s="80"/>
      <c r="CT24" s="80"/>
      <c r="CU24" s="80"/>
      <c r="CV24" s="66">
        <v>0.0</v>
      </c>
      <c r="CW24" s="66">
        <v>0.0</v>
      </c>
      <c r="CX24" s="63" t="e">
        <v>#N/A</v>
      </c>
      <c r="CY24" s="56"/>
      <c r="CZ24" s="81" t="str">
        <f>IFERROR(__xludf.DUMMYFUNCTION("""COMPUTED_VALUE"""),"SKETCHUP PRO ")</f>
        <v>SKETCHUP PRO </v>
      </c>
      <c r="DA24" s="81" t="str">
        <f>IFERROR(__xludf.DUMMYFUNCTION("""COMPUTED_VALUE"""),"Licença SketchUp ProTrimble (12 meses)")</f>
        <v>Licença SketchUp ProTrimble (12 meses)</v>
      </c>
      <c r="DB24" s="81" t="s">
        <v>278</v>
      </c>
      <c r="DC24" s="81" t="s">
        <v>214</v>
      </c>
      <c r="DD24" s="81" t="s">
        <v>215</v>
      </c>
      <c r="DE24" s="81" t="s">
        <v>304</v>
      </c>
      <c r="DF24" s="81" t="s">
        <v>118</v>
      </c>
      <c r="DG24" s="81" t="s">
        <v>279</v>
      </c>
      <c r="DH24" s="56"/>
    </row>
    <row r="25" ht="16.5" customHeight="1">
      <c r="A25" s="73">
        <v>15308.0</v>
      </c>
      <c r="B25" s="50">
        <v>0.0</v>
      </c>
      <c r="C25" s="53" t="s">
        <v>332</v>
      </c>
      <c r="D25" s="52" t="s">
        <v>141</v>
      </c>
      <c r="E25" s="52" t="s">
        <v>113</v>
      </c>
      <c r="F25" s="52" t="s">
        <v>114</v>
      </c>
      <c r="G25" s="52" t="str">
        <f>IFERROR(__xludf.DUMMYFUNCTION("""COMPUTED_VALUE"""),"(ID PAAC 15308) SEGURANÇA SUPORTE - Continuidade do serviço de suporte técnico do Sistema de Softwares de Segurança em uso nas unidades do TRT/SC (SENIOR)")</f>
        <v>(ID PAAC 15308) SEGURANÇA SUPORTE - Continuidade do serviço de suporte técnico do Sistema de Softwares de Segurança em uso nas unidades do TRT/SC (SENIOR)</v>
      </c>
      <c r="H25" s="53" t="s">
        <v>115</v>
      </c>
      <c r="I25" s="53" t="s">
        <v>333</v>
      </c>
      <c r="J25" s="53" t="s">
        <v>116</v>
      </c>
      <c r="K25" s="54" t="s">
        <v>117</v>
      </c>
      <c r="L25" s="55">
        <v>0.0</v>
      </c>
      <c r="M25" s="56">
        <v>3.3904011E7</v>
      </c>
      <c r="N25" s="56">
        <v>0.0</v>
      </c>
      <c r="O25" s="50">
        <v>168105.0</v>
      </c>
      <c r="P25" s="64" t="s">
        <v>118</v>
      </c>
      <c r="Q25" s="53" t="s">
        <v>143</v>
      </c>
      <c r="R25" s="53" t="s">
        <v>144</v>
      </c>
      <c r="S25" s="53"/>
      <c r="T25" s="53"/>
      <c r="U25" s="90" t="s">
        <v>122</v>
      </c>
      <c r="V25" s="58"/>
      <c r="W25" s="58" t="s">
        <v>334</v>
      </c>
      <c r="X25" s="53" t="s">
        <v>173</v>
      </c>
      <c r="Y25" s="53" t="s">
        <v>138</v>
      </c>
      <c r="Z25" s="53" t="s">
        <v>167</v>
      </c>
      <c r="AA25" s="75" t="s">
        <v>335</v>
      </c>
      <c r="AB25" s="50">
        <v>8.0680093000181E13</v>
      </c>
      <c r="AC25" s="54" t="s">
        <v>336</v>
      </c>
      <c r="AD25" s="123">
        <v>44745.0</v>
      </c>
      <c r="AE25" s="63">
        <v>44835.0</v>
      </c>
      <c r="AF25" s="64" t="s">
        <v>177</v>
      </c>
      <c r="AG25" s="65">
        <v>1.0</v>
      </c>
      <c r="AH25" s="66">
        <v>64215.96</v>
      </c>
      <c r="AI25" s="64" t="s">
        <v>118</v>
      </c>
      <c r="AJ25" s="66"/>
      <c r="AK25" s="64" t="s">
        <v>337</v>
      </c>
      <c r="AL25" s="78"/>
      <c r="AM25" s="78"/>
      <c r="AN25" s="78">
        <v>-5784.040000000001</v>
      </c>
      <c r="AO25" s="78">
        <v>70000.0</v>
      </c>
      <c r="AP25" s="58" t="s">
        <v>338</v>
      </c>
      <c r="AQ25" s="78">
        <v>66000.0</v>
      </c>
      <c r="AR25" s="66">
        <v>64215.96</v>
      </c>
      <c r="AS25" s="66" t="str">
        <f>VLOOKUP(A25,'Cópia de ult parc 2021'!A:B,2,0)</f>
        <v>2021NE000332</v>
      </c>
      <c r="AT25" s="66">
        <v>64215.96</v>
      </c>
      <c r="AU25" s="66">
        <v>5351.33</v>
      </c>
      <c r="AV25" s="56">
        <v>12.0</v>
      </c>
      <c r="AW25" s="66">
        <v>64215.96</v>
      </c>
      <c r="AX25" s="66">
        <v>0.0</v>
      </c>
      <c r="AY25" s="66">
        <v>64215.96</v>
      </c>
      <c r="AZ25" s="66">
        <v>17608.019999999997</v>
      </c>
      <c r="BA25" s="66">
        <v>46607.94</v>
      </c>
      <c r="BB25" s="79" t="s">
        <v>335</v>
      </c>
      <c r="BC25" s="56">
        <v>1.51132022236919E14</v>
      </c>
      <c r="BD25" s="64" t="s">
        <v>110</v>
      </c>
      <c r="BE25" s="66" t="s">
        <v>110</v>
      </c>
      <c r="BF25" s="64"/>
      <c r="BG25" s="65"/>
      <c r="BH25" s="65">
        <v>200000.0</v>
      </c>
      <c r="BI25" s="64" t="s">
        <v>153</v>
      </c>
      <c r="BJ25" s="65"/>
      <c r="BK25" s="64" t="s">
        <v>130</v>
      </c>
      <c r="BL25" s="67" t="s">
        <v>131</v>
      </c>
      <c r="BM25" s="64" t="s">
        <v>138</v>
      </c>
      <c r="BN25" s="63"/>
      <c r="BO25" s="63"/>
      <c r="BP25" s="66"/>
      <c r="BQ25" s="66"/>
      <c r="BR25" s="66"/>
      <c r="BS25" s="66">
        <v>64215.96</v>
      </c>
      <c r="BT25" s="66">
        <v>64215.96</v>
      </c>
      <c r="BU25" s="64" t="s">
        <v>181</v>
      </c>
      <c r="BV25" s="64"/>
      <c r="BW25" s="64"/>
      <c r="BX25" s="54"/>
      <c r="BY25" s="54"/>
      <c r="BZ25" s="63"/>
      <c r="CA25" s="54"/>
      <c r="CB25" s="54" t="s">
        <v>134</v>
      </c>
      <c r="CC25" s="54" t="s">
        <v>135</v>
      </c>
      <c r="CD25" s="54" t="s">
        <v>136</v>
      </c>
      <c r="CE25" s="56"/>
      <c r="CF25" s="54" t="s">
        <v>182</v>
      </c>
      <c r="CG25" s="63"/>
      <c r="CH25" s="63">
        <v>45200.0</v>
      </c>
      <c r="CI25" s="63" t="s">
        <v>138</v>
      </c>
      <c r="CJ25" s="66">
        <v>66000.0</v>
      </c>
      <c r="CK25" s="63">
        <v>44835.0</v>
      </c>
      <c r="CL25" s="66" t="s">
        <v>138</v>
      </c>
      <c r="CM25" s="53" t="s">
        <v>139</v>
      </c>
      <c r="CN25" s="79" t="s">
        <v>335</v>
      </c>
      <c r="CO25" s="84" t="s">
        <v>339</v>
      </c>
      <c r="CP25" s="66"/>
      <c r="CQ25" s="80"/>
      <c r="CR25" s="80" t="s">
        <v>117</v>
      </c>
      <c r="CS25" s="80"/>
      <c r="CT25" s="80"/>
      <c r="CU25" s="80"/>
      <c r="CV25" s="66">
        <v>46607.94</v>
      </c>
      <c r="CW25" s="66">
        <v>0.0</v>
      </c>
      <c r="CX25" s="63">
        <v>44588.0</v>
      </c>
      <c r="CY25" s="56">
        <v>1.0</v>
      </c>
      <c r="CZ25" s="81" t="str">
        <f>IFERROR(__xludf.DUMMYFUNCTION("""COMPUTED_VALUE"""),"SEGURANÇA SUPORTE ")</f>
        <v>SEGURANÇA SUPORTE </v>
      </c>
      <c r="DA25" s="81" t="str">
        <f>IFERROR(__xludf.DUMMYFUNCTION("""COMPUTED_VALUE"""),"Continuidade do serviço de suporte técnico do Sistema de Softwares de Segurança em uso nas unidades do TRT/SC (SENIOR)")</f>
        <v>Continuidade do serviço de suporte técnico do Sistema de Softwares de Segurança em uso nas unidades do TRT/SC (SENIOR)</v>
      </c>
      <c r="DB25" s="81" t="s">
        <v>340</v>
      </c>
      <c r="DC25" s="81" t="s">
        <v>214</v>
      </c>
      <c r="DD25" s="81" t="s">
        <v>215</v>
      </c>
      <c r="DE25" s="81" t="s">
        <v>180</v>
      </c>
      <c r="DF25" s="81" t="s">
        <v>118</v>
      </c>
      <c r="DG25" s="81" t="s">
        <v>217</v>
      </c>
      <c r="DH25" s="56"/>
    </row>
    <row r="26" ht="16.5" customHeight="1">
      <c r="A26" s="73">
        <v>15310.0</v>
      </c>
      <c r="B26" s="50">
        <v>0.0</v>
      </c>
      <c r="C26" s="53" t="s">
        <v>341</v>
      </c>
      <c r="D26" s="52" t="s">
        <v>342</v>
      </c>
      <c r="E26" s="52" t="s">
        <v>113</v>
      </c>
      <c r="F26" s="52" t="s">
        <v>203</v>
      </c>
      <c r="G26" s="52" t="str">
        <f>IFERROR(__xludf.DUMMYFUNCTION("""COMPUTED_VALUE"""),"(ID PAAC 15310) SEGURANÇA - Aquisição de câmeras de CFTV e licenças de software para monitoramento de imagens")</f>
        <v>(ID PAAC 15310) SEGURANÇA - Aquisição de câmeras de CFTV e licenças de software para monitoramento de imagens</v>
      </c>
      <c r="H26" s="53" t="s">
        <v>245</v>
      </c>
      <c r="I26" s="53" t="s">
        <v>343</v>
      </c>
      <c r="J26" s="53" t="s">
        <v>116</v>
      </c>
      <c r="K26" s="54" t="s">
        <v>313</v>
      </c>
      <c r="L26" s="55">
        <v>0.0</v>
      </c>
      <c r="M26" s="56"/>
      <c r="N26" s="56">
        <v>0.0</v>
      </c>
      <c r="O26" s="50">
        <v>168105.0</v>
      </c>
      <c r="P26" s="64" t="s">
        <v>118</v>
      </c>
      <c r="Q26" s="53" t="s">
        <v>143</v>
      </c>
      <c r="R26" s="53" t="s">
        <v>120</v>
      </c>
      <c r="S26" s="53"/>
      <c r="T26" s="53"/>
      <c r="U26" s="82" t="s">
        <v>326</v>
      </c>
      <c r="V26" s="58" t="s">
        <v>344</v>
      </c>
      <c r="W26" s="58"/>
      <c r="X26" s="53" t="s">
        <v>173</v>
      </c>
      <c r="Y26" s="53" t="s">
        <v>125</v>
      </c>
      <c r="Z26" s="53" t="s">
        <v>125</v>
      </c>
      <c r="AA26" s="59" t="s">
        <v>176</v>
      </c>
      <c r="AB26" s="50" t="e">
        <v>#N/A</v>
      </c>
      <c r="AC26" s="54" t="e">
        <v>#N/A</v>
      </c>
      <c r="AD26" s="83">
        <v>44633.0</v>
      </c>
      <c r="AE26" s="63">
        <v>44743.0</v>
      </c>
      <c r="AF26" s="64" t="s">
        <v>177</v>
      </c>
      <c r="AG26" s="65">
        <v>1.0</v>
      </c>
      <c r="AH26" s="66">
        <v>0.0</v>
      </c>
      <c r="AI26" s="64" t="s">
        <v>118</v>
      </c>
      <c r="AJ26" s="66"/>
      <c r="AK26" s="66"/>
      <c r="AL26" s="66"/>
      <c r="AM26" s="66"/>
      <c r="AN26" s="66">
        <v>-200000.0</v>
      </c>
      <c r="AO26" s="66">
        <v>200000.0</v>
      </c>
      <c r="AP26" s="58"/>
      <c r="AQ26" s="66">
        <v>200000.0</v>
      </c>
      <c r="AR26" s="66">
        <v>200000.0</v>
      </c>
      <c r="AS26" s="66"/>
      <c r="AT26" s="66">
        <v>0.0</v>
      </c>
      <c r="AU26" s="66"/>
      <c r="AV26" s="56"/>
      <c r="AW26" s="66">
        <v>0.0</v>
      </c>
      <c r="AX26" s="66">
        <v>0.0</v>
      </c>
      <c r="AY26" s="66">
        <v>0.0</v>
      </c>
      <c r="AZ26" s="66">
        <v>0.0</v>
      </c>
      <c r="BA26" s="66">
        <v>0.0</v>
      </c>
      <c r="BB26" s="66" t="s">
        <v>176</v>
      </c>
      <c r="BC26" s="56">
        <v>1.51132022236914E14</v>
      </c>
      <c r="BD26" s="64" t="s">
        <v>118</v>
      </c>
      <c r="BE26" s="66"/>
      <c r="BF26" s="64"/>
      <c r="BG26" s="65"/>
      <c r="BH26" s="65">
        <v>200000.0</v>
      </c>
      <c r="BI26" s="64" t="s">
        <v>153</v>
      </c>
      <c r="BJ26" s="65"/>
      <c r="BK26" s="64" t="s">
        <v>247</v>
      </c>
      <c r="BL26" s="67"/>
      <c r="BM26" s="64" t="s">
        <v>132</v>
      </c>
      <c r="BN26" s="63"/>
      <c r="BO26" s="63"/>
      <c r="BP26" s="66"/>
      <c r="BQ26" s="66"/>
      <c r="BR26" s="66"/>
      <c r="BS26" s="66">
        <v>0.0</v>
      </c>
      <c r="BT26" s="66"/>
      <c r="BU26" s="64" t="e">
        <v>#N/A</v>
      </c>
      <c r="BV26" s="64"/>
      <c r="BW26" s="66"/>
      <c r="BX26" s="54"/>
      <c r="BY26" s="54"/>
      <c r="BZ26" s="63"/>
      <c r="CA26" s="54"/>
      <c r="CB26" s="54" t="s">
        <v>134</v>
      </c>
      <c r="CC26" s="54" t="s">
        <v>135</v>
      </c>
      <c r="CD26" s="54" t="e">
        <v>#N/A</v>
      </c>
      <c r="CE26" s="56"/>
      <c r="CF26" s="54" t="e">
        <v>#N/A</v>
      </c>
      <c r="CG26" s="63">
        <v>44996.0</v>
      </c>
      <c r="CH26" s="63">
        <v>45108.0</v>
      </c>
      <c r="CI26" s="63" t="s">
        <v>125</v>
      </c>
      <c r="CJ26" s="66"/>
      <c r="CK26" s="63"/>
      <c r="CL26" s="64"/>
      <c r="CM26" s="53"/>
      <c r="CN26" s="66" t="s">
        <v>176</v>
      </c>
      <c r="CO26" s="64"/>
      <c r="CP26" s="66"/>
      <c r="CQ26" s="80"/>
      <c r="CR26" s="80"/>
      <c r="CS26" s="80"/>
      <c r="CT26" s="80"/>
      <c r="CU26" s="80"/>
      <c r="CV26" s="66">
        <v>0.0</v>
      </c>
      <c r="CW26" s="66">
        <v>0.0</v>
      </c>
      <c r="CX26" s="63" t="e">
        <v>#N/A</v>
      </c>
      <c r="CY26" s="56"/>
      <c r="CZ26" s="81" t="str">
        <f>IFERROR(__xludf.DUMMYFUNCTION("""COMPUTED_VALUE"""),"SEGURANÇA ")</f>
        <v>SEGURANÇA </v>
      </c>
      <c r="DA26" s="56" t="str">
        <f>IFERROR(__xludf.DUMMYFUNCTION("""COMPUTED_VALUE"""),"Aquisição de câmeras de CFTV e licenças de software para monitoramento de imagens")</f>
        <v>Aquisição de câmeras de CFTV e licenças de software para monitoramento de imagens</v>
      </c>
      <c r="DB26" s="56"/>
      <c r="DC26" s="56"/>
      <c r="DD26" s="56"/>
      <c r="DE26" s="56"/>
      <c r="DF26" s="56"/>
      <c r="DG26" s="56"/>
      <c r="DH26" s="56"/>
    </row>
    <row r="27" ht="16.5" customHeight="1">
      <c r="A27" s="73">
        <v>15311.0</v>
      </c>
      <c r="B27" s="50">
        <v>15304.0</v>
      </c>
      <c r="C27" s="53" t="s">
        <v>345</v>
      </c>
      <c r="D27" s="52" t="s">
        <v>243</v>
      </c>
      <c r="E27" s="52" t="s">
        <v>311</v>
      </c>
      <c r="F27" s="52" t="s">
        <v>114</v>
      </c>
      <c r="G27" s="52" t="str">
        <f>IFERROR(__xludf.DUMMYFUNCTION("""COMPUTED_VALUE"""),"(ID PAAC 15311) BACKUP FITAS - Aquisição de fitas com capacidade de 12TB (272 unidades) e de limpeza (20 unidades).")</f>
        <v>(ID PAAC 15311) BACKUP FITAS - Aquisição de fitas com capacidade de 12TB (272 unidades) e de limpeza (20 unidades).</v>
      </c>
      <c r="H27" s="53" t="s">
        <v>245</v>
      </c>
      <c r="I27" s="53" t="s">
        <v>116</v>
      </c>
      <c r="J27" s="53" t="s">
        <v>116</v>
      </c>
      <c r="K27" s="54" t="s">
        <v>117</v>
      </c>
      <c r="L27" s="55">
        <v>0.0</v>
      </c>
      <c r="M27" s="56"/>
      <c r="N27" s="56">
        <v>0.0</v>
      </c>
      <c r="O27" s="50">
        <v>168107.0</v>
      </c>
      <c r="P27" s="64" t="s">
        <v>110</v>
      </c>
      <c r="Q27" s="53" t="s">
        <v>119</v>
      </c>
      <c r="R27" s="53" t="s">
        <v>144</v>
      </c>
      <c r="S27" s="53"/>
      <c r="T27" s="53" t="s">
        <v>314</v>
      </c>
      <c r="U27" s="82" t="s">
        <v>315</v>
      </c>
      <c r="V27" s="58" t="s">
        <v>316</v>
      </c>
      <c r="W27" s="58" t="s">
        <v>317</v>
      </c>
      <c r="X27" s="53" t="s">
        <v>173</v>
      </c>
      <c r="Y27" s="53" t="s">
        <v>125</v>
      </c>
      <c r="Z27" s="53" t="s">
        <v>125</v>
      </c>
      <c r="AA27" s="75" t="s">
        <v>318</v>
      </c>
      <c r="AB27" s="50" t="e">
        <v>#N/A</v>
      </c>
      <c r="AC27" s="54" t="e">
        <v>#N/A</v>
      </c>
      <c r="AD27" s="83">
        <v>44525.0</v>
      </c>
      <c r="AE27" s="63">
        <v>44635.0</v>
      </c>
      <c r="AF27" s="64" t="s">
        <v>177</v>
      </c>
      <c r="AG27" s="65">
        <f>272+20</f>
        <v>292</v>
      </c>
      <c r="AH27" s="66">
        <v>898.7808219178082</v>
      </c>
      <c r="AI27" s="64" t="s">
        <v>118</v>
      </c>
      <c r="AJ27" s="66">
        <v>262444.0</v>
      </c>
      <c r="AK27" s="66"/>
      <c r="AL27" s="66"/>
      <c r="AM27" s="66"/>
      <c r="AN27" s="66">
        <v>0.0</v>
      </c>
      <c r="AO27" s="66">
        <v>262444.0</v>
      </c>
      <c r="AP27" s="58"/>
      <c r="AQ27" s="66">
        <v>0.0</v>
      </c>
      <c r="AR27" s="66">
        <v>262444.0</v>
      </c>
      <c r="AS27" s="66"/>
      <c r="AT27" s="66">
        <v>262444.0</v>
      </c>
      <c r="AU27" s="66"/>
      <c r="AV27" s="56"/>
      <c r="AW27" s="66">
        <v>0.0</v>
      </c>
      <c r="AX27" s="66">
        <v>0.0</v>
      </c>
      <c r="AY27" s="66">
        <v>0.0</v>
      </c>
      <c r="AZ27" s="66">
        <v>0.0</v>
      </c>
      <c r="BA27" s="66">
        <v>0.0</v>
      </c>
      <c r="BB27" s="79" t="s">
        <v>318</v>
      </c>
      <c r="BC27" s="56"/>
      <c r="BD27" s="64" t="s">
        <v>110</v>
      </c>
      <c r="BE27" s="66"/>
      <c r="BF27" s="64"/>
      <c r="BG27" s="65"/>
      <c r="BH27" s="65">
        <v>300000.0</v>
      </c>
      <c r="BI27" s="64" t="s">
        <v>129</v>
      </c>
      <c r="BJ27" s="65"/>
      <c r="BK27" s="64" t="s">
        <v>247</v>
      </c>
      <c r="BL27" s="67"/>
      <c r="BM27" s="64" t="s">
        <v>125</v>
      </c>
      <c r="BN27" s="63">
        <v>44464.0</v>
      </c>
      <c r="BO27" s="63">
        <v>44494.0</v>
      </c>
      <c r="BP27" s="66"/>
      <c r="BQ27" s="66"/>
      <c r="BR27" s="66"/>
      <c r="BS27" s="66">
        <v>262444.0</v>
      </c>
      <c r="BT27" s="66">
        <v>262444.0</v>
      </c>
      <c r="BU27" s="64" t="e">
        <v>#N/A</v>
      </c>
      <c r="BV27" s="64"/>
      <c r="BW27" s="66"/>
      <c r="BX27" s="54"/>
      <c r="BY27" s="54"/>
      <c r="BZ27" s="63"/>
      <c r="CA27" s="54"/>
      <c r="CB27" s="54" t="s">
        <v>159</v>
      </c>
      <c r="CC27" s="54" t="s">
        <v>135</v>
      </c>
      <c r="CD27" s="54" t="e">
        <v>#N/A</v>
      </c>
      <c r="CE27" s="56"/>
      <c r="CF27" s="54" t="e">
        <v>#N/A</v>
      </c>
      <c r="CG27" s="63">
        <v>44888.0</v>
      </c>
      <c r="CH27" s="63">
        <v>45000.0</v>
      </c>
      <c r="CI27" s="63" t="s">
        <v>125</v>
      </c>
      <c r="CJ27" s="66"/>
      <c r="CK27" s="63"/>
      <c r="CL27" s="64"/>
      <c r="CM27" s="53"/>
      <c r="CN27" s="79" t="s">
        <v>318</v>
      </c>
      <c r="CO27" s="64"/>
      <c r="CP27" s="66"/>
      <c r="CQ27" s="80"/>
      <c r="CR27" s="80"/>
      <c r="CS27" s="80"/>
      <c r="CT27" s="80"/>
      <c r="CU27" s="80"/>
      <c r="CV27" s="66">
        <v>0.0</v>
      </c>
      <c r="CW27" s="66">
        <v>0.0</v>
      </c>
      <c r="CX27" s="63" t="e">
        <v>#N/A</v>
      </c>
      <c r="CY27" s="56"/>
      <c r="CZ27" s="81" t="str">
        <f>IFERROR(__xludf.DUMMYFUNCTION("""COMPUTED_VALUE"""),"BACKUP FITAS ")</f>
        <v>BACKUP FITAS </v>
      </c>
      <c r="DA27" s="81" t="str">
        <f>IFERROR(__xludf.DUMMYFUNCTION("""COMPUTED_VALUE"""),"Aquisição de fitas com capacidade de 12TB (272 unidades) e de limpeza (20 unidades).")</f>
        <v>Aquisição de fitas com capacidade de 12TB (272 unidades) e de limpeza (20 unidades).</v>
      </c>
      <c r="DB27" s="81" t="s">
        <v>319</v>
      </c>
      <c r="DC27" s="81" t="s">
        <v>346</v>
      </c>
      <c r="DD27" s="81" t="s">
        <v>215</v>
      </c>
      <c r="DE27" s="81" t="s">
        <v>216</v>
      </c>
      <c r="DF27" s="81" t="s">
        <v>118</v>
      </c>
      <c r="DG27" s="81" t="s">
        <v>279</v>
      </c>
      <c r="DH27" s="56">
        <v>15304.0</v>
      </c>
    </row>
    <row r="28" ht="16.5" customHeight="1">
      <c r="A28" s="73">
        <v>15314.0</v>
      </c>
      <c r="B28" s="50">
        <v>15314.0</v>
      </c>
      <c r="C28" s="53" t="s">
        <v>347</v>
      </c>
      <c r="D28" s="52" t="s">
        <v>112</v>
      </c>
      <c r="E28" s="52" t="s">
        <v>113</v>
      </c>
      <c r="F28" s="52" t="s">
        <v>114</v>
      </c>
      <c r="G28" s="52" t="str">
        <f>IFERROR(__xludf.DUMMYFUNCTION("""COMPUTED_VALUE"""),"(ID PAAC 15314) NOBREAKS SYMMETRA - Suporte e manutenção de nobreaks do datacenter - SYMMETRA")</f>
        <v>(ID PAAC 15314) NOBREAKS SYMMETRA - Suporte e manutenção de nobreaks do datacenter - SYMMETRA</v>
      </c>
      <c r="H28" s="53" t="s">
        <v>115</v>
      </c>
      <c r="I28" s="53" t="s">
        <v>116</v>
      </c>
      <c r="J28" s="53" t="s">
        <v>116</v>
      </c>
      <c r="K28" s="54" t="s">
        <v>117</v>
      </c>
      <c r="L28" s="55">
        <v>0.0</v>
      </c>
      <c r="M28" s="56">
        <v>3.3904012E7</v>
      </c>
      <c r="N28" s="56">
        <v>0.0</v>
      </c>
      <c r="O28" s="50">
        <v>168105.0</v>
      </c>
      <c r="P28" s="64" t="s">
        <v>118</v>
      </c>
      <c r="Q28" s="53" t="s">
        <v>119</v>
      </c>
      <c r="R28" s="53" t="s">
        <v>144</v>
      </c>
      <c r="S28" s="53"/>
      <c r="T28" s="53"/>
      <c r="U28" s="82" t="s">
        <v>204</v>
      </c>
      <c r="V28" s="58" t="s">
        <v>348</v>
      </c>
      <c r="W28" s="58" t="s">
        <v>349</v>
      </c>
      <c r="X28" s="53" t="s">
        <v>124</v>
      </c>
      <c r="Y28" s="53" t="s">
        <v>138</v>
      </c>
      <c r="Z28" s="53" t="s">
        <v>167</v>
      </c>
      <c r="AA28" s="75" t="s">
        <v>350</v>
      </c>
      <c r="AB28" s="50">
        <v>7.108509000282E12</v>
      </c>
      <c r="AC28" s="54" t="s">
        <v>169</v>
      </c>
      <c r="AD28" s="83">
        <v>44519.0</v>
      </c>
      <c r="AE28" s="63">
        <v>44609.0</v>
      </c>
      <c r="AF28" s="64" t="s">
        <v>127</v>
      </c>
      <c r="AG28" s="65">
        <v>1.0</v>
      </c>
      <c r="AH28" s="66">
        <v>8886.37</v>
      </c>
      <c r="AI28" s="64" t="s">
        <v>118</v>
      </c>
      <c r="AJ28" s="66"/>
      <c r="AK28" s="64" t="s">
        <v>128</v>
      </c>
      <c r="AL28" s="66"/>
      <c r="AM28" s="66"/>
      <c r="AN28" s="66">
        <v>-95993.63</v>
      </c>
      <c r="AO28" s="66">
        <v>104880.0</v>
      </c>
      <c r="AP28" s="58" t="s">
        <v>351</v>
      </c>
      <c r="AQ28" s="66">
        <v>104880.0</v>
      </c>
      <c r="AR28" s="66">
        <v>8886.37</v>
      </c>
      <c r="AS28" s="66" t="str">
        <f>VLOOKUP(A28,'Cópia de ult parc 2021'!A:B,2,0)</f>
        <v>2021NE000154</v>
      </c>
      <c r="AT28" s="66">
        <v>8886.37</v>
      </c>
      <c r="AU28" s="66">
        <v>8886.37</v>
      </c>
      <c r="AV28" s="56">
        <v>6.0</v>
      </c>
      <c r="AW28" s="66">
        <v>53318.22</v>
      </c>
      <c r="AX28" s="66">
        <v>0.0</v>
      </c>
      <c r="AY28" s="66">
        <v>8886.37</v>
      </c>
      <c r="AZ28" s="66">
        <v>8886.37</v>
      </c>
      <c r="BA28" s="66">
        <v>0.0</v>
      </c>
      <c r="BB28" s="79" t="s">
        <v>350</v>
      </c>
      <c r="BC28" s="56">
        <v>1.51132022236912E14</v>
      </c>
      <c r="BD28" s="64" t="s">
        <v>110</v>
      </c>
      <c r="BE28" s="66" t="s">
        <v>110</v>
      </c>
      <c r="BF28" s="64"/>
      <c r="BG28" s="65"/>
      <c r="BH28" s="65">
        <v>300000.0</v>
      </c>
      <c r="BI28" s="64" t="s">
        <v>129</v>
      </c>
      <c r="BJ28" s="65"/>
      <c r="BK28" s="64" t="s">
        <v>130</v>
      </c>
      <c r="BL28" s="67"/>
      <c r="BM28" s="64" t="s">
        <v>138</v>
      </c>
      <c r="BN28" s="63">
        <v>44578.0</v>
      </c>
      <c r="BO28" s="63">
        <v>44609.0</v>
      </c>
      <c r="BP28" s="66"/>
      <c r="BQ28" s="66">
        <v>8886.37</v>
      </c>
      <c r="BR28" s="66">
        <v>8886.37</v>
      </c>
      <c r="BS28" s="66">
        <v>8886.37</v>
      </c>
      <c r="BT28" s="66">
        <v>106636.44</v>
      </c>
      <c r="BU28" s="64" t="s">
        <v>133</v>
      </c>
      <c r="BV28" s="64"/>
      <c r="BW28" s="66"/>
      <c r="BX28" s="54"/>
      <c r="BY28" s="54"/>
      <c r="BZ28" s="63"/>
      <c r="CA28" s="54"/>
      <c r="CB28" s="54" t="s">
        <v>134</v>
      </c>
      <c r="CC28" s="54" t="s">
        <v>135</v>
      </c>
      <c r="CD28" s="54" t="s">
        <v>136</v>
      </c>
      <c r="CE28" s="56"/>
      <c r="CF28" s="54" t="s">
        <v>137</v>
      </c>
      <c r="CG28" s="63"/>
      <c r="CH28" s="63">
        <v>44974.0</v>
      </c>
      <c r="CI28" s="63" t="s">
        <v>138</v>
      </c>
      <c r="CJ28" s="66">
        <v>99885.0</v>
      </c>
      <c r="CK28" s="63">
        <v>44609.0</v>
      </c>
      <c r="CL28" s="64" t="s">
        <v>138</v>
      </c>
      <c r="CM28" s="53" t="s">
        <v>139</v>
      </c>
      <c r="CN28" s="79" t="s">
        <v>350</v>
      </c>
      <c r="CO28" s="84" t="s">
        <v>352</v>
      </c>
      <c r="CP28" s="66"/>
      <c r="CQ28" s="80"/>
      <c r="CR28" s="80" t="s">
        <v>117</v>
      </c>
      <c r="CS28" s="80"/>
      <c r="CT28" s="80"/>
      <c r="CU28" s="80"/>
      <c r="CV28" s="66">
        <v>0.0</v>
      </c>
      <c r="CW28" s="66">
        <v>0.0</v>
      </c>
      <c r="CX28" s="63">
        <v>44624.0</v>
      </c>
      <c r="CY28" s="56">
        <v>2.0</v>
      </c>
      <c r="CZ28" s="81" t="str">
        <f>IFERROR(__xludf.DUMMYFUNCTION("""COMPUTED_VALUE"""),"NOBREAKS SYMMETRA ")</f>
        <v>NOBREAKS SYMMETRA </v>
      </c>
      <c r="DA28" s="81" t="str">
        <f>IFERROR(__xludf.DUMMYFUNCTION("""COMPUTED_VALUE"""),"Suporte e manutenção de nobreaks do datacenterSYMMETRA")</f>
        <v>Suporte e manutenção de nobreaks do datacenterSYMMETRA</v>
      </c>
      <c r="DB28" s="81" t="s">
        <v>258</v>
      </c>
      <c r="DC28" s="81" t="s">
        <v>214</v>
      </c>
      <c r="DD28" s="81" t="s">
        <v>215</v>
      </c>
      <c r="DE28" s="81" t="s">
        <v>180</v>
      </c>
      <c r="DF28" s="81" t="s">
        <v>118</v>
      </c>
      <c r="DG28" s="81" t="s">
        <v>217</v>
      </c>
      <c r="DH28" s="56"/>
    </row>
    <row r="29" ht="16.5" customHeight="1">
      <c r="A29" s="73">
        <v>15315.0</v>
      </c>
      <c r="B29" s="50">
        <v>0.0</v>
      </c>
      <c r="C29" s="53" t="s">
        <v>353</v>
      </c>
      <c r="D29" s="52" t="s">
        <v>243</v>
      </c>
      <c r="E29" s="52" t="s">
        <v>142</v>
      </c>
      <c r="F29" s="52" t="s">
        <v>203</v>
      </c>
      <c r="G29" s="52" t="str">
        <f>IFERROR(__xludf.DUMMYFUNCTION("""COMPUTED_VALUE"""),"(ID PAAC 15315) CERTIFICADOS PF - Aquisição de certificados digitais (tokens) para pessoa física, para todo o Estado")</f>
        <v>(ID PAAC 15315) CERTIFICADOS PF - Aquisição de certificados digitais (tokens) para pessoa física, para todo o Estado</v>
      </c>
      <c r="H29" s="53" t="s">
        <v>245</v>
      </c>
      <c r="I29" s="53" t="s">
        <v>116</v>
      </c>
      <c r="J29" s="53" t="s">
        <v>116</v>
      </c>
      <c r="K29" s="54" t="s">
        <v>117</v>
      </c>
      <c r="L29" s="55">
        <v>0.0</v>
      </c>
      <c r="M29" s="56">
        <v>3.3904023E7</v>
      </c>
      <c r="N29" s="56">
        <v>0.0</v>
      </c>
      <c r="O29" s="50">
        <v>168105.0</v>
      </c>
      <c r="P29" s="64" t="s">
        <v>118</v>
      </c>
      <c r="Q29" s="53" t="s">
        <v>119</v>
      </c>
      <c r="R29" s="53" t="s">
        <v>144</v>
      </c>
      <c r="S29" s="53"/>
      <c r="T29" s="53"/>
      <c r="U29" s="82" t="s">
        <v>326</v>
      </c>
      <c r="V29" s="58" t="s">
        <v>354</v>
      </c>
      <c r="W29" s="58" t="s">
        <v>355</v>
      </c>
      <c r="X29" s="53" t="s">
        <v>116</v>
      </c>
      <c r="Y29" s="53" t="s">
        <v>138</v>
      </c>
      <c r="Z29" s="53" t="s">
        <v>125</v>
      </c>
      <c r="AA29" s="75" t="s">
        <v>356</v>
      </c>
      <c r="AB29" s="50">
        <v>1.554285000175E12</v>
      </c>
      <c r="AC29" s="54" t="s">
        <v>299</v>
      </c>
      <c r="AD29" s="83">
        <v>44710.0</v>
      </c>
      <c r="AE29" s="63">
        <v>44800.0</v>
      </c>
      <c r="AF29" s="64" t="s">
        <v>357</v>
      </c>
      <c r="AG29" s="65">
        <v>1.0</v>
      </c>
      <c r="AH29" s="66">
        <v>42020.0</v>
      </c>
      <c r="AI29" s="64" t="s">
        <v>118</v>
      </c>
      <c r="AJ29" s="66"/>
      <c r="AK29" s="78"/>
      <c r="AL29" s="94"/>
      <c r="AM29" s="94"/>
      <c r="AN29" s="78">
        <v>0.0</v>
      </c>
      <c r="AO29" s="78">
        <v>42020.0</v>
      </c>
      <c r="AP29" s="58" t="s">
        <v>358</v>
      </c>
      <c r="AQ29" s="94">
        <v>42020.0</v>
      </c>
      <c r="AR29" s="66">
        <v>42020.0</v>
      </c>
      <c r="AS29" s="66"/>
      <c r="AT29" s="66">
        <v>42020.0</v>
      </c>
      <c r="AU29" s="66"/>
      <c r="AV29" s="56">
        <v>0.0</v>
      </c>
      <c r="AW29" s="66">
        <v>0.0</v>
      </c>
      <c r="AX29" s="66">
        <v>0.0</v>
      </c>
      <c r="AY29" s="87">
        <v>6375.0</v>
      </c>
      <c r="AZ29" s="66">
        <v>4055.0</v>
      </c>
      <c r="BA29" s="66">
        <v>2320.0</v>
      </c>
      <c r="BB29" s="79" t="s">
        <v>356</v>
      </c>
      <c r="BC29" s="56">
        <v>1.51132022236951E14</v>
      </c>
      <c r="BD29" s="64" t="s">
        <v>110</v>
      </c>
      <c r="BE29" s="66" t="s">
        <v>110</v>
      </c>
      <c r="BF29" s="64"/>
      <c r="BG29" s="65"/>
      <c r="BH29" s="65">
        <v>300000.0</v>
      </c>
      <c r="BI29" s="64" t="s">
        <v>129</v>
      </c>
      <c r="BJ29" s="65"/>
      <c r="BK29" s="64" t="s">
        <v>247</v>
      </c>
      <c r="BL29" s="67" t="s">
        <v>131</v>
      </c>
      <c r="BM29" s="64" t="s">
        <v>138</v>
      </c>
      <c r="BN29" s="63"/>
      <c r="BO29" s="63"/>
      <c r="BP29" s="66"/>
      <c r="BQ29" s="66"/>
      <c r="BR29" s="66"/>
      <c r="BS29" s="66">
        <v>42020.0</v>
      </c>
      <c r="BT29" s="66">
        <v>42020.0</v>
      </c>
      <c r="BU29" s="64" t="s">
        <v>301</v>
      </c>
      <c r="BV29" s="64"/>
      <c r="BW29" s="66"/>
      <c r="BX29" s="54"/>
      <c r="BY29" s="54"/>
      <c r="BZ29" s="63"/>
      <c r="CA29" s="54"/>
      <c r="CB29" s="54" t="s">
        <v>134</v>
      </c>
      <c r="CC29" s="54" t="s">
        <v>135</v>
      </c>
      <c r="CD29" s="54" t="s">
        <v>136</v>
      </c>
      <c r="CE29" s="56"/>
      <c r="CF29" s="54" t="s">
        <v>302</v>
      </c>
      <c r="CG29" s="63"/>
      <c r="CH29" s="63">
        <v>45165.0</v>
      </c>
      <c r="CI29" s="63" t="s">
        <v>138</v>
      </c>
      <c r="CJ29" s="66">
        <v>42020.0</v>
      </c>
      <c r="CK29" s="63">
        <v>44800.0</v>
      </c>
      <c r="CL29" s="66" t="s">
        <v>138</v>
      </c>
      <c r="CM29" s="53" t="s">
        <v>139</v>
      </c>
      <c r="CN29" s="79" t="s">
        <v>356</v>
      </c>
      <c r="CO29" s="64"/>
      <c r="CP29" s="66"/>
      <c r="CQ29" s="80"/>
      <c r="CR29" s="80" t="s">
        <v>117</v>
      </c>
      <c r="CS29" s="80"/>
      <c r="CT29" s="80"/>
      <c r="CU29" s="80"/>
      <c r="CV29" s="66">
        <v>2320.0</v>
      </c>
      <c r="CW29" s="66">
        <v>0.0</v>
      </c>
      <c r="CX29" s="63">
        <v>44627.0</v>
      </c>
      <c r="CY29" s="56">
        <v>2.0</v>
      </c>
      <c r="CZ29" s="81" t="str">
        <f>IFERROR(__xludf.DUMMYFUNCTION("""COMPUTED_VALUE"""),"CERTIFICADOS PF ")</f>
        <v>CERTIFICADOS PF </v>
      </c>
      <c r="DA29" s="81" t="str">
        <f>IFERROR(__xludf.DUMMYFUNCTION("""COMPUTED_VALUE"""),"Aquisição de certificados digitais (tokens) para pessoa física, para todo o Estado")</f>
        <v>Aquisição de certificados digitais (tokens) para pessoa física, para todo o Estado</v>
      </c>
      <c r="DB29" s="81" t="s">
        <v>303</v>
      </c>
      <c r="DC29" s="81" t="s">
        <v>214</v>
      </c>
      <c r="DD29" s="81" t="s">
        <v>215</v>
      </c>
      <c r="DE29" s="81" t="s">
        <v>216</v>
      </c>
      <c r="DF29" s="81" t="s">
        <v>118</v>
      </c>
      <c r="DG29" s="81" t="s">
        <v>217</v>
      </c>
      <c r="DH29" s="56"/>
    </row>
    <row r="30" ht="16.5" customHeight="1">
      <c r="A30" s="124">
        <v>15327.0</v>
      </c>
      <c r="B30" s="125">
        <v>0.0</v>
      </c>
      <c r="C30" s="126" t="s">
        <v>359</v>
      </c>
      <c r="D30" s="127" t="s">
        <v>243</v>
      </c>
      <c r="E30" s="128" t="s">
        <v>311</v>
      </c>
      <c r="F30" s="128" t="s">
        <v>312</v>
      </c>
      <c r="G30" s="127" t="str">
        <f>IFERROR(__xludf.DUMMYFUNCTION("""COMPUTED_VALUE"""),"(ID PAAC 15327) SWITCHES EQUIPAMENTOS - Ampliação da capacidade da rede SAN, que conecta os equipamentos servidores e sistema de backup às unidades de armazenamento.")</f>
        <v>(ID PAAC 15327) SWITCHES EQUIPAMENTOS - Ampliação da capacidade da rede SAN, que conecta os equipamentos servidores e sistema de backup às unidades de armazenamento.</v>
      </c>
      <c r="H30" s="126" t="s">
        <v>245</v>
      </c>
      <c r="I30" s="126" t="s">
        <v>116</v>
      </c>
      <c r="J30" s="129" t="s">
        <v>116</v>
      </c>
      <c r="K30" s="130" t="s">
        <v>313</v>
      </c>
      <c r="L30" s="131">
        <v>0.0</v>
      </c>
      <c r="M30" s="132">
        <v>4.4905247E7</v>
      </c>
      <c r="N30" s="133">
        <v>0.0</v>
      </c>
      <c r="O30" s="134">
        <v>168105.0</v>
      </c>
      <c r="P30" s="135" t="s">
        <v>118</v>
      </c>
      <c r="Q30" s="126" t="s">
        <v>119</v>
      </c>
      <c r="R30" s="126" t="s">
        <v>144</v>
      </c>
      <c r="S30" s="136"/>
      <c r="T30" s="129" t="s">
        <v>314</v>
      </c>
      <c r="U30" s="126" t="s">
        <v>326</v>
      </c>
      <c r="V30" s="137" t="s">
        <v>360</v>
      </c>
      <c r="W30" s="137"/>
      <c r="X30" s="126" t="s">
        <v>173</v>
      </c>
      <c r="Y30" s="126" t="s">
        <v>125</v>
      </c>
      <c r="Z30" s="126" t="s">
        <v>125</v>
      </c>
      <c r="AA30" s="138" t="s">
        <v>176</v>
      </c>
      <c r="AB30" s="139" t="e">
        <v>#N/A</v>
      </c>
      <c r="AC30" s="140" t="e">
        <v>#N/A</v>
      </c>
      <c r="AD30" s="141">
        <v>44695.0</v>
      </c>
      <c r="AE30" s="142">
        <v>44805.0</v>
      </c>
      <c r="AF30" s="143" t="s">
        <v>177</v>
      </c>
      <c r="AG30" s="144">
        <v>2.0</v>
      </c>
      <c r="AH30" s="145">
        <v>180000.0</v>
      </c>
      <c r="AI30" s="146" t="s">
        <v>118</v>
      </c>
      <c r="AJ30" s="143">
        <v>331400.0</v>
      </c>
      <c r="AK30" s="147"/>
      <c r="AL30" s="148"/>
      <c r="AM30" s="148"/>
      <c r="AN30" s="147">
        <v>0.0</v>
      </c>
      <c r="AO30" s="147">
        <v>360000.0</v>
      </c>
      <c r="AP30" s="137"/>
      <c r="AQ30" s="148">
        <v>0.0</v>
      </c>
      <c r="AR30" s="149">
        <v>360000.0</v>
      </c>
      <c r="AS30" s="149"/>
      <c r="AT30" s="150">
        <v>360000.0</v>
      </c>
      <c r="AU30" s="149"/>
      <c r="AV30" s="151"/>
      <c r="AW30" s="145">
        <v>0.0</v>
      </c>
      <c r="AX30" s="143">
        <v>0.0</v>
      </c>
      <c r="AY30" s="150">
        <v>0.0</v>
      </c>
      <c r="AZ30" s="150">
        <v>0.0</v>
      </c>
      <c r="BA30" s="145">
        <v>0.0</v>
      </c>
      <c r="BB30" s="150" t="s">
        <v>176</v>
      </c>
      <c r="BC30" s="152"/>
      <c r="BD30" s="146" t="s">
        <v>110</v>
      </c>
      <c r="BE30" s="149"/>
      <c r="BF30" s="145"/>
      <c r="BG30" s="153"/>
      <c r="BH30" s="154">
        <v>300000.0</v>
      </c>
      <c r="BI30" s="135" t="s">
        <v>129</v>
      </c>
      <c r="BJ30" s="154"/>
      <c r="BK30" s="135" t="s">
        <v>247</v>
      </c>
      <c r="BL30" s="155"/>
      <c r="BM30" s="135" t="s">
        <v>125</v>
      </c>
      <c r="BN30" s="156"/>
      <c r="BO30" s="156"/>
      <c r="BP30" s="145"/>
      <c r="BQ30" s="145"/>
      <c r="BR30" s="145"/>
      <c r="BS30" s="145">
        <v>360000.0</v>
      </c>
      <c r="BT30" s="145">
        <v>360000.0</v>
      </c>
      <c r="BU30" s="157" t="s">
        <v>361</v>
      </c>
      <c r="BV30" s="145"/>
      <c r="BW30" s="145"/>
      <c r="BX30" s="140"/>
      <c r="BY30" s="140"/>
      <c r="BZ30" s="142"/>
      <c r="CA30" s="140"/>
      <c r="CB30" s="140" t="s">
        <v>134</v>
      </c>
      <c r="CC30" s="140" t="s">
        <v>135</v>
      </c>
      <c r="CD30" s="140" t="s">
        <v>362</v>
      </c>
      <c r="CE30" s="133"/>
      <c r="CF30" s="140" t="s">
        <v>363</v>
      </c>
      <c r="CG30" s="141">
        <v>45058.0</v>
      </c>
      <c r="CH30" s="141">
        <v>45170.0</v>
      </c>
      <c r="CI30" s="158" t="s">
        <v>125</v>
      </c>
      <c r="CJ30" s="159"/>
      <c r="CK30" s="160"/>
      <c r="CL30" s="159"/>
      <c r="CM30" s="161"/>
      <c r="CN30" s="162" t="s">
        <v>176</v>
      </c>
      <c r="CO30" s="135"/>
      <c r="CP30" s="163"/>
      <c r="CQ30" s="164"/>
      <c r="CR30" s="164"/>
      <c r="CS30" s="164"/>
      <c r="CT30" s="164"/>
      <c r="CU30" s="164"/>
      <c r="CV30" s="150">
        <v>0.0</v>
      </c>
      <c r="CW30" s="150">
        <v>0.0</v>
      </c>
      <c r="CX30" s="141" t="e">
        <v>#N/A</v>
      </c>
      <c r="CY30" s="152"/>
      <c r="CZ30" s="165" t="str">
        <f>IFERROR(__xludf.DUMMYFUNCTION("""COMPUTED_VALUE"""),"SWITCHES EQUIPAMENTOS ")</f>
        <v>SWITCHES EQUIPAMENTOS </v>
      </c>
      <c r="DA30" s="165" t="str">
        <f>IFERROR(__xludf.DUMMYFUNCTION("""COMPUTED_VALUE"""),"Ampliação da capacidade da rede SAN, que conecta os equipamentos servidores e sistema de backup às unidades de armazenamento.")</f>
        <v>Ampliação da capacidade da rede SAN, que conecta os equipamentos servidores e sistema de backup às unidades de armazenamento.</v>
      </c>
      <c r="DB30" s="166" t="s">
        <v>364</v>
      </c>
      <c r="DC30" s="166" t="s">
        <v>320</v>
      </c>
      <c r="DD30" s="166" t="s">
        <v>321</v>
      </c>
      <c r="DE30" s="166" t="s">
        <v>216</v>
      </c>
      <c r="DF30" s="166" t="s">
        <v>118</v>
      </c>
      <c r="DG30" s="166" t="s">
        <v>279</v>
      </c>
      <c r="DH30" s="152"/>
    </row>
    <row r="31" ht="16.5" customHeight="1">
      <c r="A31" s="124">
        <v>15329.0</v>
      </c>
      <c r="B31" s="125">
        <v>0.0</v>
      </c>
      <c r="C31" s="126" t="s">
        <v>365</v>
      </c>
      <c r="D31" s="127" t="s">
        <v>141</v>
      </c>
      <c r="E31" s="128" t="s">
        <v>142</v>
      </c>
      <c r="F31" s="128" t="s">
        <v>366</v>
      </c>
      <c r="G31" s="127" t="str">
        <f>IFERROR(__xludf.DUMMYFUNCTION("""COMPUTED_VALUE"""),"(ID PAAC 15329) DRUPAL SUPORTE - Suporte técnico para o portal de internet e intranet do TRT12, em tecnologia DRUPAL 8")</f>
        <v>(ID PAAC 15329) DRUPAL SUPORTE - Suporte técnico para o portal de internet e intranet do TRT12, em tecnologia DRUPAL 8</v>
      </c>
      <c r="H31" s="126" t="s">
        <v>115</v>
      </c>
      <c r="I31" s="126" t="s">
        <v>116</v>
      </c>
      <c r="J31" s="129" t="s">
        <v>116</v>
      </c>
      <c r="K31" s="130" t="s">
        <v>117</v>
      </c>
      <c r="L31" s="131">
        <v>0.0</v>
      </c>
      <c r="M31" s="132">
        <v>3.3903504E7</v>
      </c>
      <c r="N31" s="133">
        <v>0.0</v>
      </c>
      <c r="O31" s="134">
        <v>168105.0</v>
      </c>
      <c r="P31" s="135" t="s">
        <v>118</v>
      </c>
      <c r="Q31" s="126" t="s">
        <v>143</v>
      </c>
      <c r="R31" s="126" t="s">
        <v>144</v>
      </c>
      <c r="S31" s="136"/>
      <c r="T31" s="129"/>
      <c r="U31" s="126" t="s">
        <v>326</v>
      </c>
      <c r="V31" s="137" t="s">
        <v>367</v>
      </c>
      <c r="W31" s="137"/>
      <c r="X31" s="126" t="s">
        <v>368</v>
      </c>
      <c r="Y31" s="126" t="s">
        <v>125</v>
      </c>
      <c r="Z31" s="126" t="s">
        <v>125</v>
      </c>
      <c r="AA31" s="138" t="s">
        <v>176</v>
      </c>
      <c r="AB31" s="139" t="e">
        <v>#N/A</v>
      </c>
      <c r="AC31" s="140" t="e">
        <v>#N/A</v>
      </c>
      <c r="AD31" s="141">
        <v>44511.0</v>
      </c>
      <c r="AE31" s="142">
        <v>44621.0</v>
      </c>
      <c r="AF31" s="143" t="s">
        <v>369</v>
      </c>
      <c r="AG31" s="144">
        <v>1.0</v>
      </c>
      <c r="AH31" s="145">
        <v>76800.0</v>
      </c>
      <c r="AI31" s="146" t="s">
        <v>118</v>
      </c>
      <c r="AJ31" s="143"/>
      <c r="AK31" s="147" t="s">
        <v>370</v>
      </c>
      <c r="AL31" s="148"/>
      <c r="AM31" s="148"/>
      <c r="AN31" s="147">
        <v>1800.0</v>
      </c>
      <c r="AO31" s="147">
        <v>75000.0</v>
      </c>
      <c r="AP31" s="137"/>
      <c r="AQ31" s="148">
        <v>68250.0</v>
      </c>
      <c r="AR31" s="149">
        <v>76800.0</v>
      </c>
      <c r="AS31" s="149"/>
      <c r="AT31" s="150">
        <v>76800.0</v>
      </c>
      <c r="AU31" s="149">
        <v>3069.07</v>
      </c>
      <c r="AV31" s="151">
        <v>0.0</v>
      </c>
      <c r="AW31" s="145">
        <v>0.0</v>
      </c>
      <c r="AX31" s="143">
        <v>0.0</v>
      </c>
      <c r="AY31" s="150">
        <v>0.0</v>
      </c>
      <c r="AZ31" s="150">
        <v>0.0</v>
      </c>
      <c r="BA31" s="145">
        <v>0.0</v>
      </c>
      <c r="BB31" s="150" t="s">
        <v>176</v>
      </c>
      <c r="BC31" s="152">
        <v>1.51132022236911E14</v>
      </c>
      <c r="BD31" s="146" t="s">
        <v>110</v>
      </c>
      <c r="BE31" s="149" t="s">
        <v>118</v>
      </c>
      <c r="BF31" s="145"/>
      <c r="BG31" s="153"/>
      <c r="BH31" s="154">
        <v>200000.0</v>
      </c>
      <c r="BI31" s="135" t="s">
        <v>153</v>
      </c>
      <c r="BJ31" s="154"/>
      <c r="BK31" s="135" t="s">
        <v>130</v>
      </c>
      <c r="BL31" s="155" t="s">
        <v>131</v>
      </c>
      <c r="BM31" s="135" t="s">
        <v>125</v>
      </c>
      <c r="BN31" s="156"/>
      <c r="BO31" s="156"/>
      <c r="BP31" s="145"/>
      <c r="BQ31" s="145"/>
      <c r="BR31" s="145"/>
      <c r="BS31" s="145">
        <v>76800.0</v>
      </c>
      <c r="BT31" s="145">
        <v>76800.0</v>
      </c>
      <c r="BU31" s="157" t="s">
        <v>371</v>
      </c>
      <c r="BV31" s="145"/>
      <c r="BW31" s="145"/>
      <c r="BX31" s="140"/>
      <c r="BY31" s="140"/>
      <c r="BZ31" s="142"/>
      <c r="CA31" s="140"/>
      <c r="CB31" s="140" t="s">
        <v>134</v>
      </c>
      <c r="CC31" s="140" t="s">
        <v>135</v>
      </c>
      <c r="CD31" s="140" t="s">
        <v>372</v>
      </c>
      <c r="CE31" s="133"/>
      <c r="CF31" s="140" t="s">
        <v>373</v>
      </c>
      <c r="CG31" s="141">
        <v>44874.0</v>
      </c>
      <c r="CH31" s="141">
        <v>44986.0</v>
      </c>
      <c r="CI31" s="158" t="s">
        <v>125</v>
      </c>
      <c r="CJ31" s="159">
        <v>65000.0</v>
      </c>
      <c r="CK31" s="160">
        <v>44909.0</v>
      </c>
      <c r="CL31" s="159" t="s">
        <v>138</v>
      </c>
      <c r="CM31" s="161" t="s">
        <v>139</v>
      </c>
      <c r="CN31" s="162" t="s">
        <v>176</v>
      </c>
      <c r="CO31" s="135"/>
      <c r="CP31" s="163"/>
      <c r="CQ31" s="164"/>
      <c r="CR31" s="164"/>
      <c r="CS31" s="164"/>
      <c r="CT31" s="164"/>
      <c r="CU31" s="164"/>
      <c r="CV31" s="150">
        <v>0.0</v>
      </c>
      <c r="CW31" s="150">
        <v>0.0</v>
      </c>
      <c r="CX31" s="141" t="e">
        <v>#N/A</v>
      </c>
      <c r="CY31" s="152"/>
      <c r="CZ31" s="165" t="str">
        <f>IFERROR(__xludf.DUMMYFUNCTION("""COMPUTED_VALUE"""),"DRUPAL SUPORTE ")</f>
        <v>DRUPAL SUPORTE </v>
      </c>
      <c r="DA31" s="165" t="str">
        <f>IFERROR(__xludf.DUMMYFUNCTION("""COMPUTED_VALUE"""),"Suporte técnico para o portal de internet e intranet do TRT12, em tecnologia DRUPAL 8")</f>
        <v>Suporte técnico para o portal de internet e intranet do TRT12, em tecnologia DRUPAL 8</v>
      </c>
      <c r="DB31" s="166" t="s">
        <v>340</v>
      </c>
      <c r="DC31" s="166" t="s">
        <v>214</v>
      </c>
      <c r="DD31" s="166" t="s">
        <v>215</v>
      </c>
      <c r="DE31" s="166" t="s">
        <v>216</v>
      </c>
      <c r="DF31" s="166" t="s">
        <v>118</v>
      </c>
      <c r="DG31" s="166" t="s">
        <v>279</v>
      </c>
      <c r="DH31" s="152"/>
    </row>
    <row r="32" ht="16.5" customHeight="1">
      <c r="A32" s="124">
        <v>15330.0</v>
      </c>
      <c r="B32" s="125">
        <v>0.0</v>
      </c>
      <c r="C32" s="126" t="s">
        <v>374</v>
      </c>
      <c r="D32" s="127" t="s">
        <v>323</v>
      </c>
      <c r="E32" s="128" t="s">
        <v>219</v>
      </c>
      <c r="F32" s="128" t="s">
        <v>114</v>
      </c>
      <c r="G32" s="127" t="str">
        <f>IFERROR(__xludf.DUMMYFUNCTION("""COMPUTED_VALUE"""),"(ID PAAC 15330) JT-FONE - Serviço de envio de mensagens SMS (JT-fone)")</f>
        <v>(ID PAAC 15330) JT-FONE - Serviço de envio de mensagens SMS (JT-fone)</v>
      </c>
      <c r="H32" s="126" t="s">
        <v>245</v>
      </c>
      <c r="I32" s="126" t="s">
        <v>116</v>
      </c>
      <c r="J32" s="129" t="s">
        <v>116</v>
      </c>
      <c r="K32" s="130" t="s">
        <v>117</v>
      </c>
      <c r="L32" s="131">
        <v>0.0</v>
      </c>
      <c r="M32" s="132"/>
      <c r="N32" s="133">
        <v>0.0</v>
      </c>
      <c r="O32" s="134">
        <v>168105.0</v>
      </c>
      <c r="P32" s="135" t="s">
        <v>118</v>
      </c>
      <c r="Q32" s="126" t="s">
        <v>325</v>
      </c>
      <c r="R32" s="126" t="s">
        <v>120</v>
      </c>
      <c r="S32" s="136"/>
      <c r="T32" s="129" t="s">
        <v>314</v>
      </c>
      <c r="U32" s="126" t="s">
        <v>326</v>
      </c>
      <c r="V32" s="137" t="s">
        <v>375</v>
      </c>
      <c r="W32" s="137"/>
      <c r="X32" s="126" t="s">
        <v>173</v>
      </c>
      <c r="Y32" s="126" t="s">
        <v>246</v>
      </c>
      <c r="Z32" s="126" t="s">
        <v>167</v>
      </c>
      <c r="AA32" s="138" t="s">
        <v>176</v>
      </c>
      <c r="AB32" s="139" t="e">
        <v>#N/A</v>
      </c>
      <c r="AC32" s="140" t="e">
        <v>#N/A</v>
      </c>
      <c r="AD32" s="141">
        <v>44856.0</v>
      </c>
      <c r="AE32" s="142">
        <v>44866.0</v>
      </c>
      <c r="AF32" s="143" t="s">
        <v>177</v>
      </c>
      <c r="AG32" s="144">
        <v>1.0</v>
      </c>
      <c r="AH32" s="145">
        <v>0.0</v>
      </c>
      <c r="AI32" s="146" t="s">
        <v>118</v>
      </c>
      <c r="AJ32" s="145"/>
      <c r="AK32" s="147"/>
      <c r="AL32" s="148"/>
      <c r="AM32" s="148"/>
      <c r="AN32" s="147">
        <v>-10000.0</v>
      </c>
      <c r="AO32" s="147">
        <v>10000.0</v>
      </c>
      <c r="AP32" s="137"/>
      <c r="AQ32" s="148">
        <v>0.0</v>
      </c>
      <c r="AR32" s="149">
        <v>10000.0</v>
      </c>
      <c r="AS32" s="149"/>
      <c r="AT32" s="150">
        <v>0.0</v>
      </c>
      <c r="AU32" s="149"/>
      <c r="AV32" s="151"/>
      <c r="AW32" s="145">
        <v>0.0</v>
      </c>
      <c r="AX32" s="143">
        <v>0.0</v>
      </c>
      <c r="AY32" s="150">
        <v>0.0</v>
      </c>
      <c r="AZ32" s="150">
        <v>0.0</v>
      </c>
      <c r="BA32" s="145">
        <v>0.0</v>
      </c>
      <c r="BB32" s="150" t="s">
        <v>176</v>
      </c>
      <c r="BC32" s="152"/>
      <c r="BD32" s="146" t="s">
        <v>118</v>
      </c>
      <c r="BE32" s="149"/>
      <c r="BF32" s="145"/>
      <c r="BG32" s="153"/>
      <c r="BH32" s="154">
        <v>100000.0</v>
      </c>
      <c r="BI32" s="135" t="s">
        <v>328</v>
      </c>
      <c r="BJ32" s="154"/>
      <c r="BK32" s="135" t="s">
        <v>247</v>
      </c>
      <c r="BL32" s="155"/>
      <c r="BM32" s="135" t="s">
        <v>132</v>
      </c>
      <c r="BN32" s="156"/>
      <c r="BO32" s="156"/>
      <c r="BP32" s="145"/>
      <c r="BQ32" s="145"/>
      <c r="BR32" s="145"/>
      <c r="BS32" s="145">
        <v>0.0</v>
      </c>
      <c r="BT32" s="145"/>
      <c r="BU32" s="157" t="e">
        <v>#N/A</v>
      </c>
      <c r="BV32" s="145"/>
      <c r="BW32" s="145"/>
      <c r="BX32" s="140"/>
      <c r="BY32" s="140"/>
      <c r="BZ32" s="142"/>
      <c r="CA32" s="140"/>
      <c r="CB32" s="140" t="s">
        <v>134</v>
      </c>
      <c r="CC32" s="140" t="s">
        <v>135</v>
      </c>
      <c r="CD32" s="140" t="e">
        <v>#N/A</v>
      </c>
      <c r="CE32" s="133"/>
      <c r="CF32" s="140" t="e">
        <v>#N/A</v>
      </c>
      <c r="CG32" s="141"/>
      <c r="CH32" s="141">
        <v>45231.0</v>
      </c>
      <c r="CI32" s="158" t="s">
        <v>246</v>
      </c>
      <c r="CJ32" s="159"/>
      <c r="CK32" s="160"/>
      <c r="CL32" s="159"/>
      <c r="CM32" s="161"/>
      <c r="CN32" s="162" t="s">
        <v>176</v>
      </c>
      <c r="CO32" s="135"/>
      <c r="CP32" s="163"/>
      <c r="CQ32" s="164"/>
      <c r="CR32" s="164"/>
      <c r="CS32" s="164"/>
      <c r="CT32" s="164"/>
      <c r="CU32" s="164"/>
      <c r="CV32" s="150">
        <v>0.0</v>
      </c>
      <c r="CW32" s="150">
        <v>0.0</v>
      </c>
      <c r="CX32" s="141" t="e">
        <v>#N/A</v>
      </c>
      <c r="CY32" s="152"/>
      <c r="CZ32" s="165" t="str">
        <f>IFERROR(__xludf.DUMMYFUNCTION("""COMPUTED_VALUE"""),"JT")</f>
        <v>JT</v>
      </c>
      <c r="DA32" s="152" t="str">
        <f>IFERROR(__xludf.DUMMYFUNCTION("""COMPUTED_VALUE"""),"Serviço de envio de mensagens SMS (JT-fone)")</f>
        <v>Serviço de envio de mensagens SMS (JT-fone)</v>
      </c>
      <c r="DB32" s="152"/>
      <c r="DC32" s="152"/>
      <c r="DD32" s="152"/>
      <c r="DE32" s="152"/>
      <c r="DF32" s="152"/>
      <c r="DG32" s="152"/>
      <c r="DH32" s="152"/>
    </row>
    <row r="33" ht="16.5" customHeight="1">
      <c r="A33" s="124">
        <v>15332.0</v>
      </c>
      <c r="B33" s="125">
        <v>0.0</v>
      </c>
      <c r="C33" s="126" t="s">
        <v>376</v>
      </c>
      <c r="D33" s="127" t="s">
        <v>141</v>
      </c>
      <c r="E33" s="127" t="s">
        <v>377</v>
      </c>
      <c r="F33" s="128" t="s">
        <v>366</v>
      </c>
      <c r="G33" s="127" t="str">
        <f>IFERROR(__xludf.DUMMYFUNCTION("""COMPUTED_VALUE"""),"(ID PAAC 15332) FÁBRICA - Contratação de fábrica de software para plataforma JEE")</f>
        <v>(ID PAAC 15332) FÁBRICA - Contratação de fábrica de software para plataforma JEE</v>
      </c>
      <c r="H33" s="126" t="s">
        <v>115</v>
      </c>
      <c r="I33" s="126" t="s">
        <v>116</v>
      </c>
      <c r="J33" s="129" t="s">
        <v>116</v>
      </c>
      <c r="K33" s="130" t="s">
        <v>117</v>
      </c>
      <c r="L33" s="131">
        <v>0.0</v>
      </c>
      <c r="M33" s="132">
        <v>3.3904008E7</v>
      </c>
      <c r="N33" s="133">
        <v>0.0</v>
      </c>
      <c r="O33" s="134">
        <v>168105.0</v>
      </c>
      <c r="P33" s="135" t="s">
        <v>118</v>
      </c>
      <c r="Q33" s="126" t="s">
        <v>143</v>
      </c>
      <c r="R33" s="126" t="s">
        <v>120</v>
      </c>
      <c r="S33" s="136"/>
      <c r="T33" s="129"/>
      <c r="U33" s="126" t="s">
        <v>122</v>
      </c>
      <c r="V33" s="137"/>
      <c r="W33" s="137"/>
      <c r="X33" s="126" t="s">
        <v>368</v>
      </c>
      <c r="Y33" s="126" t="s">
        <v>138</v>
      </c>
      <c r="Z33" s="126" t="s">
        <v>125</v>
      </c>
      <c r="AA33" s="138" t="s">
        <v>176</v>
      </c>
      <c r="AB33" s="139" t="e">
        <v>#N/A</v>
      </c>
      <c r="AC33" s="140" t="e">
        <v>#N/A</v>
      </c>
      <c r="AD33" s="141">
        <v>44592.0</v>
      </c>
      <c r="AE33" s="142">
        <v>44682.0</v>
      </c>
      <c r="AF33" s="143" t="s">
        <v>369</v>
      </c>
      <c r="AG33" s="144">
        <v>1.0</v>
      </c>
      <c r="AH33" s="145">
        <v>0.0</v>
      </c>
      <c r="AI33" s="146" t="s">
        <v>118</v>
      </c>
      <c r="AJ33" s="143">
        <v>400000.0</v>
      </c>
      <c r="AK33" s="143"/>
      <c r="AL33" s="148"/>
      <c r="AM33" s="148"/>
      <c r="AN33" s="147">
        <v>0.0</v>
      </c>
      <c r="AO33" s="147">
        <v>0.0</v>
      </c>
      <c r="AP33" s="137"/>
      <c r="AQ33" s="148">
        <v>400000.0</v>
      </c>
      <c r="AR33" s="149">
        <f>400000</f>
        <v>400000</v>
      </c>
      <c r="AS33" s="149"/>
      <c r="AT33" s="150">
        <v>0.0</v>
      </c>
      <c r="AU33" s="150"/>
      <c r="AV33" s="151">
        <v>0.0</v>
      </c>
      <c r="AW33" s="145">
        <v>0.0</v>
      </c>
      <c r="AX33" s="143">
        <v>0.0</v>
      </c>
      <c r="AY33" s="150">
        <v>0.0</v>
      </c>
      <c r="AZ33" s="150">
        <v>0.0</v>
      </c>
      <c r="BA33" s="145">
        <v>0.0</v>
      </c>
      <c r="BB33" s="150" t="s">
        <v>176</v>
      </c>
      <c r="BC33" s="152">
        <v>1.51132022236942E14</v>
      </c>
      <c r="BD33" s="146" t="s">
        <v>118</v>
      </c>
      <c r="BE33" s="149" t="s">
        <v>118</v>
      </c>
      <c r="BF33" s="145"/>
      <c r="BG33" s="153"/>
      <c r="BH33" s="154">
        <v>200000.0</v>
      </c>
      <c r="BI33" s="135" t="s">
        <v>153</v>
      </c>
      <c r="BJ33" s="154"/>
      <c r="BK33" s="135" t="s">
        <v>130</v>
      </c>
      <c r="BL33" s="167"/>
      <c r="BM33" s="135" t="s">
        <v>132</v>
      </c>
      <c r="BN33" s="156">
        <v>43991.0</v>
      </c>
      <c r="BO33" s="156">
        <v>44207.0</v>
      </c>
      <c r="BP33" s="145"/>
      <c r="BQ33" s="145"/>
      <c r="BR33" s="143">
        <v>4639000.0</v>
      </c>
      <c r="BS33" s="145">
        <v>0.0</v>
      </c>
      <c r="BT33" s="143">
        <v>4639000.0</v>
      </c>
      <c r="BU33" s="157" t="s">
        <v>378</v>
      </c>
      <c r="BV33" s="145"/>
      <c r="BW33" s="145"/>
      <c r="BX33" s="140"/>
      <c r="BY33" s="140"/>
      <c r="BZ33" s="142"/>
      <c r="CA33" s="140"/>
      <c r="CB33" s="140" t="s">
        <v>134</v>
      </c>
      <c r="CC33" s="140" t="s">
        <v>135</v>
      </c>
      <c r="CD33" s="140" t="s">
        <v>136</v>
      </c>
      <c r="CE33" s="133"/>
      <c r="CF33" s="140" t="s">
        <v>379</v>
      </c>
      <c r="CG33" s="141"/>
      <c r="CH33" s="141">
        <v>45047.0</v>
      </c>
      <c r="CI33" s="158" t="s">
        <v>138</v>
      </c>
      <c r="CJ33" s="163">
        <v>927800.0</v>
      </c>
      <c r="CK33" s="160">
        <v>44682.0</v>
      </c>
      <c r="CL33" s="159" t="s">
        <v>138</v>
      </c>
      <c r="CM33" s="161" t="s">
        <v>139</v>
      </c>
      <c r="CN33" s="162" t="s">
        <v>176</v>
      </c>
      <c r="CO33" s="135"/>
      <c r="CP33" s="163"/>
      <c r="CQ33" s="164"/>
      <c r="CR33" s="164"/>
      <c r="CS33" s="164"/>
      <c r="CT33" s="164"/>
      <c r="CU33" s="164"/>
      <c r="CV33" s="150">
        <v>0.0</v>
      </c>
      <c r="CW33" s="150">
        <v>0.0</v>
      </c>
      <c r="CX33" s="141" t="e">
        <v>#N/A</v>
      </c>
      <c r="CY33" s="152"/>
      <c r="CZ33" s="165" t="str">
        <f>IFERROR(__xludf.DUMMYFUNCTION("""COMPUTED_VALUE"""),"F")</f>
        <v>F</v>
      </c>
      <c r="DA33" s="152" t="str">
        <f>IFERROR(__xludf.DUMMYFUNCTION("""COMPUTED_VALUE"""),"Contratação de fábrica de software para plataforma JEE")</f>
        <v>Contratação de fábrica de software para plataforma JEE</v>
      </c>
      <c r="DB33" s="152"/>
      <c r="DC33" s="152"/>
      <c r="DD33" s="152"/>
      <c r="DE33" s="152"/>
      <c r="DF33" s="152"/>
      <c r="DG33" s="152"/>
      <c r="DH33" s="152"/>
    </row>
    <row r="34" ht="16.5" customHeight="1">
      <c r="A34" s="124">
        <v>15347.0</v>
      </c>
      <c r="B34" s="125">
        <v>0.0</v>
      </c>
      <c r="C34" s="126" t="s">
        <v>380</v>
      </c>
      <c r="D34" s="127" t="s">
        <v>141</v>
      </c>
      <c r="E34" s="127" t="s">
        <v>113</v>
      </c>
      <c r="F34" s="128" t="s">
        <v>203</v>
      </c>
      <c r="G34" s="127" t="str">
        <f>IFERROR(__xludf.DUMMYFUNCTION("""COMPUTED_VALUE"""),"(ID PAAC 15347) SEGURANÇA MANUTENÇÃO - Contratação de serviços de manutenção preventiva e corretiva, com eventual fornecimento de peças de reposição, para as câmeras IP e outros equipamentos que compõem o sistema de imagens de segurança.")</f>
        <v>(ID PAAC 15347) SEGURANÇA MANUTENÇÃO - Contratação de serviços de manutenção preventiva e corretiva, com eventual fornecimento de peças de reposição, para as câmeras IP e outros equipamentos que compõem o sistema de imagens de segurança.</v>
      </c>
      <c r="H34" s="126" t="s">
        <v>115</v>
      </c>
      <c r="I34" s="126" t="s">
        <v>333</v>
      </c>
      <c r="J34" s="129" t="s">
        <v>116</v>
      </c>
      <c r="K34" s="130" t="s">
        <v>117</v>
      </c>
      <c r="L34" s="131">
        <v>0.0</v>
      </c>
      <c r="M34" s="132">
        <v>3.3904011E7</v>
      </c>
      <c r="N34" s="133">
        <v>0.0</v>
      </c>
      <c r="O34" s="134">
        <v>168105.0</v>
      </c>
      <c r="P34" s="135" t="s">
        <v>118</v>
      </c>
      <c r="Q34" s="126" t="s">
        <v>143</v>
      </c>
      <c r="R34" s="126" t="s">
        <v>144</v>
      </c>
      <c r="S34" s="136"/>
      <c r="T34" s="168"/>
      <c r="U34" s="126" t="s">
        <v>122</v>
      </c>
      <c r="V34" s="137"/>
      <c r="W34" s="137"/>
      <c r="X34" s="126" t="s">
        <v>173</v>
      </c>
      <c r="Y34" s="126" t="s">
        <v>125</v>
      </c>
      <c r="Z34" s="126" t="s">
        <v>125</v>
      </c>
      <c r="AA34" s="138" t="s">
        <v>176</v>
      </c>
      <c r="AB34" s="139" t="e">
        <v>#N/A</v>
      </c>
      <c r="AC34" s="140" t="e">
        <v>#N/A</v>
      </c>
      <c r="AD34" s="141">
        <v>44632.0</v>
      </c>
      <c r="AE34" s="142">
        <v>44742.0</v>
      </c>
      <c r="AF34" s="143" t="s">
        <v>177</v>
      </c>
      <c r="AG34" s="144">
        <v>1.0</v>
      </c>
      <c r="AH34" s="145">
        <v>258600.0</v>
      </c>
      <c r="AI34" s="146" t="s">
        <v>118</v>
      </c>
      <c r="AJ34" s="145">
        <v>258600.0</v>
      </c>
      <c r="AK34" s="143"/>
      <c r="AL34" s="148"/>
      <c r="AM34" s="148"/>
      <c r="AN34" s="147">
        <v>0.0</v>
      </c>
      <c r="AO34" s="147">
        <v>258600.0</v>
      </c>
      <c r="AP34" s="137"/>
      <c r="AQ34" s="148">
        <v>258600.0</v>
      </c>
      <c r="AR34" s="150">
        <v>258600.0</v>
      </c>
      <c r="AS34" s="149"/>
      <c r="AT34" s="150">
        <v>258600.0</v>
      </c>
      <c r="AU34" s="150"/>
      <c r="AV34" s="151">
        <v>0.0</v>
      </c>
      <c r="AW34" s="145">
        <v>0.0</v>
      </c>
      <c r="AX34" s="143">
        <v>0.0</v>
      </c>
      <c r="AY34" s="150">
        <v>0.0</v>
      </c>
      <c r="AZ34" s="150">
        <v>0.0</v>
      </c>
      <c r="BA34" s="145">
        <v>0.0</v>
      </c>
      <c r="BB34" s="150" t="s">
        <v>176</v>
      </c>
      <c r="BC34" s="152">
        <v>1.51132022236917E14</v>
      </c>
      <c r="BD34" s="146" t="s">
        <v>110</v>
      </c>
      <c r="BE34" s="149" t="s">
        <v>118</v>
      </c>
      <c r="BF34" s="145"/>
      <c r="BG34" s="153"/>
      <c r="BH34" s="154">
        <v>200000.0</v>
      </c>
      <c r="BI34" s="135" t="s">
        <v>153</v>
      </c>
      <c r="BJ34" s="154"/>
      <c r="BK34" s="135" t="s">
        <v>130</v>
      </c>
      <c r="BL34" s="155"/>
      <c r="BM34" s="135" t="s">
        <v>125</v>
      </c>
      <c r="BN34" s="156">
        <v>44167.0</v>
      </c>
      <c r="BO34" s="156"/>
      <c r="BP34" s="145"/>
      <c r="BQ34" s="145"/>
      <c r="BR34" s="145"/>
      <c r="BS34" s="145">
        <v>258600.0</v>
      </c>
      <c r="BT34" s="145">
        <v>258600.0</v>
      </c>
      <c r="BU34" s="157" t="s">
        <v>181</v>
      </c>
      <c r="BV34" s="145"/>
      <c r="BW34" s="145"/>
      <c r="BX34" s="140"/>
      <c r="BY34" s="140"/>
      <c r="BZ34" s="142"/>
      <c r="CA34" s="140"/>
      <c r="CB34" s="140" t="s">
        <v>134</v>
      </c>
      <c r="CC34" s="140" t="s">
        <v>135</v>
      </c>
      <c r="CD34" s="140" t="s">
        <v>136</v>
      </c>
      <c r="CE34" s="133"/>
      <c r="CF34" s="140" t="s">
        <v>182</v>
      </c>
      <c r="CG34" s="141">
        <v>44995.0</v>
      </c>
      <c r="CH34" s="141">
        <v>45107.0</v>
      </c>
      <c r="CI34" s="158" t="s">
        <v>125</v>
      </c>
      <c r="CJ34" s="163">
        <v>258600.0</v>
      </c>
      <c r="CK34" s="160">
        <v>44377.0</v>
      </c>
      <c r="CL34" s="159" t="s">
        <v>125</v>
      </c>
      <c r="CM34" s="161" t="s">
        <v>139</v>
      </c>
      <c r="CN34" s="162" t="s">
        <v>176</v>
      </c>
      <c r="CO34" s="135"/>
      <c r="CP34" s="163"/>
      <c r="CQ34" s="164"/>
      <c r="CR34" s="164"/>
      <c r="CS34" s="164"/>
      <c r="CT34" s="164"/>
      <c r="CU34" s="164"/>
      <c r="CV34" s="150">
        <v>0.0</v>
      </c>
      <c r="CW34" s="150">
        <v>0.0</v>
      </c>
      <c r="CX34" s="141" t="e">
        <v>#N/A</v>
      </c>
      <c r="CY34" s="152"/>
      <c r="CZ34" s="165" t="str">
        <f>IFERROR(__xludf.DUMMYFUNCTION("""COMPUTED_VALUE"""),"SEGURANÇA MANUTENÇÃO ")</f>
        <v>SEGURANÇA MANUTENÇÃO </v>
      </c>
      <c r="DA34" s="165" t="str">
        <f>IFERROR(__xludf.DUMMYFUNCTION("""COMPUTED_VALUE"""),"Contratação de serviços de manutenção preventiva e corretiva, com eventual fornecimento de peças de reposição, para as câmeras IP e outros equipamentos que compõem o sistema de imagens de segurança.")</f>
        <v>Contratação de serviços de manutenção preventiva e corretiva, com eventual fornecimento de peças de reposição, para as câmeras IP e outros equipamentos que compõem o sistema de imagens de segurança.</v>
      </c>
      <c r="DB34" s="166" t="s">
        <v>258</v>
      </c>
      <c r="DC34" s="166" t="s">
        <v>214</v>
      </c>
      <c r="DD34" s="166" t="s">
        <v>215</v>
      </c>
      <c r="DE34" s="166" t="s">
        <v>216</v>
      </c>
      <c r="DF34" s="166" t="s">
        <v>118</v>
      </c>
      <c r="DG34" s="166" t="s">
        <v>279</v>
      </c>
      <c r="DH34" s="152"/>
    </row>
    <row r="35" ht="16.5" customHeight="1">
      <c r="A35" s="73">
        <v>15349.0</v>
      </c>
      <c r="B35" s="50">
        <v>0.0</v>
      </c>
      <c r="C35" s="53" t="s">
        <v>381</v>
      </c>
      <c r="D35" s="52" t="s">
        <v>141</v>
      </c>
      <c r="E35" s="52" t="s">
        <v>219</v>
      </c>
      <c r="F35" s="52" t="s">
        <v>382</v>
      </c>
      <c r="G35" s="52" t="str">
        <f>IFERROR(__xludf.DUMMYFUNCTION("""COMPUTED_VALUE"""),"(ID PAAC 15349) BI SOFTWARE - Contratação de uso de software em nuvem, para gerar relatórios e informações gerenciais para apoio à decisão e à gestão")</f>
        <v>(ID PAAC 15349) BI SOFTWARE - Contratação de uso de software em nuvem, para gerar relatórios e informações gerenciais para apoio à decisão e à gestão</v>
      </c>
      <c r="H35" s="53" t="s">
        <v>115</v>
      </c>
      <c r="I35" s="53" t="s">
        <v>116</v>
      </c>
      <c r="J35" s="53" t="s">
        <v>116</v>
      </c>
      <c r="K35" s="54" t="s">
        <v>117</v>
      </c>
      <c r="L35" s="55">
        <v>0.0</v>
      </c>
      <c r="M35" s="56">
        <v>3.3904019E7</v>
      </c>
      <c r="N35" s="56">
        <v>0.0</v>
      </c>
      <c r="O35" s="50">
        <v>168105.0</v>
      </c>
      <c r="P35" s="52" t="s">
        <v>118</v>
      </c>
      <c r="Q35" s="53" t="s">
        <v>143</v>
      </c>
      <c r="R35" s="53" t="s">
        <v>144</v>
      </c>
      <c r="S35" s="53" t="s">
        <v>383</v>
      </c>
      <c r="T35" s="53"/>
      <c r="U35" s="82" t="s">
        <v>122</v>
      </c>
      <c r="V35" s="58"/>
      <c r="W35" s="58" t="s">
        <v>384</v>
      </c>
      <c r="X35" s="53" t="s">
        <v>289</v>
      </c>
      <c r="Y35" s="53" t="s">
        <v>138</v>
      </c>
      <c r="Z35" s="53" t="s">
        <v>148</v>
      </c>
      <c r="AA35" s="75" t="s">
        <v>385</v>
      </c>
      <c r="AB35" s="50">
        <v>4.1587502001209E13</v>
      </c>
      <c r="AC35" s="54" t="s">
        <v>386</v>
      </c>
      <c r="AD35" s="83">
        <v>44835.0</v>
      </c>
      <c r="AE35" s="63">
        <v>44925.0</v>
      </c>
      <c r="AF35" s="64" t="s">
        <v>292</v>
      </c>
      <c r="AG35" s="65">
        <v>1.0</v>
      </c>
      <c r="AH35" s="66">
        <v>11870.76</v>
      </c>
      <c r="AI35" s="64" t="s">
        <v>118</v>
      </c>
      <c r="AJ35" s="66">
        <v>11895.6</v>
      </c>
      <c r="AK35" s="64" t="s">
        <v>151</v>
      </c>
      <c r="AL35" s="66"/>
      <c r="AM35" s="66"/>
      <c r="AN35" s="66">
        <v>-1070.8799999999992</v>
      </c>
      <c r="AO35" s="66">
        <v>12941.64</v>
      </c>
      <c r="AP35" s="58" t="s">
        <v>387</v>
      </c>
      <c r="AQ35" s="66">
        <v>11871.0</v>
      </c>
      <c r="AR35" s="66">
        <v>11870.76</v>
      </c>
      <c r="AS35" s="66"/>
      <c r="AT35" s="66">
        <v>11870.76</v>
      </c>
      <c r="AU35" s="66">
        <v>989.23</v>
      </c>
      <c r="AV35" s="56">
        <v>12.0</v>
      </c>
      <c r="AW35" s="66">
        <v>11870.76</v>
      </c>
      <c r="AX35" s="66">
        <v>0.0</v>
      </c>
      <c r="AY35" s="66">
        <v>11870.76</v>
      </c>
      <c r="AZ35" s="66">
        <v>989.2299999999996</v>
      </c>
      <c r="BA35" s="66">
        <v>10881.53</v>
      </c>
      <c r="BB35" s="79" t="s">
        <v>385</v>
      </c>
      <c r="BC35" s="56">
        <v>1.51132022236945E14</v>
      </c>
      <c r="BD35" s="64" t="s">
        <v>110</v>
      </c>
      <c r="BE35" s="66" t="s">
        <v>110</v>
      </c>
      <c r="BF35" s="64"/>
      <c r="BG35" s="65"/>
      <c r="BH35" s="65">
        <v>200000.0</v>
      </c>
      <c r="BI35" s="64" t="s">
        <v>153</v>
      </c>
      <c r="BJ35" s="65"/>
      <c r="BK35" s="64" t="s">
        <v>130</v>
      </c>
      <c r="BL35" s="67"/>
      <c r="BM35" s="52" t="s">
        <v>138</v>
      </c>
      <c r="BN35" s="63"/>
      <c r="BO35" s="63"/>
      <c r="BP35" s="66"/>
      <c r="BQ35" s="66"/>
      <c r="BR35" s="66"/>
      <c r="BS35" s="66">
        <v>11870.76</v>
      </c>
      <c r="BT35" s="66">
        <v>11870.76</v>
      </c>
      <c r="BU35" s="64" t="s">
        <v>239</v>
      </c>
      <c r="BV35" s="64"/>
      <c r="BW35" s="66"/>
      <c r="BX35" s="54"/>
      <c r="BY35" s="54"/>
      <c r="BZ35" s="63"/>
      <c r="CA35" s="54"/>
      <c r="CB35" s="54" t="s">
        <v>134</v>
      </c>
      <c r="CC35" s="54" t="s">
        <v>135</v>
      </c>
      <c r="CD35" s="54" t="s">
        <v>136</v>
      </c>
      <c r="CE35" s="56"/>
      <c r="CF35" s="54" t="s">
        <v>240</v>
      </c>
      <c r="CG35" s="63"/>
      <c r="CH35" s="63">
        <v>45290.0</v>
      </c>
      <c r="CI35" s="63" t="s">
        <v>138</v>
      </c>
      <c r="CJ35" s="66">
        <v>11870.76</v>
      </c>
      <c r="CK35" s="63">
        <v>44925.0</v>
      </c>
      <c r="CL35" s="66" t="s">
        <v>138</v>
      </c>
      <c r="CM35" s="53" t="s">
        <v>139</v>
      </c>
      <c r="CN35" s="79" t="s">
        <v>385</v>
      </c>
      <c r="CO35" s="64"/>
      <c r="CP35" s="66"/>
      <c r="CQ35" s="80"/>
      <c r="CR35" s="80"/>
      <c r="CS35" s="80"/>
      <c r="CT35" s="80"/>
      <c r="CU35" s="80"/>
      <c r="CV35" s="66">
        <v>10881.53</v>
      </c>
      <c r="CW35" s="66">
        <v>0.0</v>
      </c>
      <c r="CX35" s="63">
        <v>44580.0</v>
      </c>
      <c r="CY35" s="56">
        <v>1.0</v>
      </c>
      <c r="CZ35" s="81" t="str">
        <f>IFERROR(__xludf.DUMMYFUNCTION("""COMPUTED_VALUE"""),"BI SOFTWARE ")</f>
        <v>BI SOFTWARE </v>
      </c>
      <c r="DA35" s="81" t="str">
        <f>IFERROR(__xludf.DUMMYFUNCTION("""COMPUTED_VALUE"""),"Contratação de uso de software em nuvem, para gerar relatórios e informações gerenciais para apoio à decisão e à gestão")</f>
        <v>Contratação de uso de software em nuvem, para gerar relatórios e informações gerenciais para apoio à decisão e à gestão</v>
      </c>
      <c r="DB35" s="81" t="s">
        <v>278</v>
      </c>
      <c r="DC35" s="81" t="s">
        <v>214</v>
      </c>
      <c r="DD35" s="81" t="s">
        <v>215</v>
      </c>
      <c r="DE35" s="81" t="s">
        <v>216</v>
      </c>
      <c r="DF35" s="81" t="s">
        <v>110</v>
      </c>
      <c r="DG35" s="81" t="s">
        <v>217</v>
      </c>
      <c r="DH35" s="56"/>
    </row>
    <row r="36" ht="16.5" customHeight="1">
      <c r="A36" s="124">
        <v>15353.0</v>
      </c>
      <c r="B36" s="125">
        <v>15353.0</v>
      </c>
      <c r="C36" s="126" t="s">
        <v>388</v>
      </c>
      <c r="D36" s="127" t="s">
        <v>112</v>
      </c>
      <c r="E36" s="127" t="s">
        <v>219</v>
      </c>
      <c r="F36" s="128" t="s">
        <v>203</v>
      </c>
      <c r="G36" s="127" t="str">
        <f>IFERROR(__xludf.DUMMYFUNCTION("""COMPUTED_VALUE"""),"(ID PAAC 15353) AUDIÊNCIAS ZOOM - Viabilizar a continuidade de audiências, sessões e reuniões por meio de videoconferências (Zoom)")</f>
        <v>(ID PAAC 15353) AUDIÊNCIAS ZOOM - Viabilizar a continuidade de audiências, sessões e reuniões por meio de videoconferências (Zoom)</v>
      </c>
      <c r="H36" s="126" t="s">
        <v>115</v>
      </c>
      <c r="I36" s="126" t="s">
        <v>116</v>
      </c>
      <c r="J36" s="129" t="s">
        <v>116</v>
      </c>
      <c r="K36" s="130" t="s">
        <v>117</v>
      </c>
      <c r="L36" s="131">
        <v>0.0</v>
      </c>
      <c r="M36" s="132">
        <v>3.3904019E7</v>
      </c>
      <c r="N36" s="133">
        <v>0.0</v>
      </c>
      <c r="O36" s="134">
        <v>168107.0</v>
      </c>
      <c r="P36" s="135" t="s">
        <v>110</v>
      </c>
      <c r="Q36" s="126" t="s">
        <v>119</v>
      </c>
      <c r="R36" s="126" t="s">
        <v>144</v>
      </c>
      <c r="S36" s="136"/>
      <c r="T36" s="129"/>
      <c r="U36" s="126" t="s">
        <v>204</v>
      </c>
      <c r="V36" s="137" t="s">
        <v>389</v>
      </c>
      <c r="W36" s="137" t="s">
        <v>390</v>
      </c>
      <c r="X36" s="126" t="s">
        <v>173</v>
      </c>
      <c r="Y36" s="126" t="s">
        <v>138</v>
      </c>
      <c r="Z36" s="126" t="s">
        <v>148</v>
      </c>
      <c r="AA36" s="169" t="s">
        <v>391</v>
      </c>
      <c r="AB36" s="139">
        <v>2.3518065000129E13</v>
      </c>
      <c r="AC36" s="140" t="s">
        <v>392</v>
      </c>
      <c r="AD36" s="141">
        <v>44561.0</v>
      </c>
      <c r="AE36" s="142">
        <v>44651.0</v>
      </c>
      <c r="AF36" s="143" t="s">
        <v>177</v>
      </c>
      <c r="AG36" s="144">
        <v>200.0</v>
      </c>
      <c r="AH36" s="145">
        <v>279.9996</v>
      </c>
      <c r="AI36" s="146" t="s">
        <v>118</v>
      </c>
      <c r="AJ36" s="145">
        <v>56000.04</v>
      </c>
      <c r="AK36" s="143" t="s">
        <v>393</v>
      </c>
      <c r="AL36" s="148"/>
      <c r="AM36" s="148"/>
      <c r="AN36" s="147">
        <v>-1.0800000000017462</v>
      </c>
      <c r="AO36" s="147">
        <v>56001.0</v>
      </c>
      <c r="AP36" s="137" t="s">
        <v>394</v>
      </c>
      <c r="AQ36" s="148">
        <v>56000.0</v>
      </c>
      <c r="AR36" s="150">
        <v>55999.92</v>
      </c>
      <c r="AS36" s="149"/>
      <c r="AT36" s="150">
        <v>55999.92</v>
      </c>
      <c r="AU36" s="149">
        <v>4666.66</v>
      </c>
      <c r="AV36" s="151">
        <v>12.0</v>
      </c>
      <c r="AW36" s="145">
        <v>55999.92</v>
      </c>
      <c r="AX36" s="143">
        <v>0.0</v>
      </c>
      <c r="AY36" s="150">
        <v>55999.92</v>
      </c>
      <c r="AZ36" s="150">
        <v>10335.659999999996</v>
      </c>
      <c r="BA36" s="145">
        <v>45664.26</v>
      </c>
      <c r="BB36" s="170" t="s">
        <v>391</v>
      </c>
      <c r="BC36" s="152">
        <v>1.51132022236918E14</v>
      </c>
      <c r="BD36" s="146" t="s">
        <v>110</v>
      </c>
      <c r="BE36" s="149" t="s">
        <v>118</v>
      </c>
      <c r="BF36" s="145"/>
      <c r="BG36" s="153"/>
      <c r="BH36" s="154">
        <v>300000.0</v>
      </c>
      <c r="BI36" s="135" t="s">
        <v>129</v>
      </c>
      <c r="BJ36" s="154"/>
      <c r="BK36" s="135" t="s">
        <v>130</v>
      </c>
      <c r="BL36" s="167"/>
      <c r="BM36" s="135" t="s">
        <v>138</v>
      </c>
      <c r="BN36" s="158">
        <v>44591.0</v>
      </c>
      <c r="BO36" s="158">
        <v>44591.0</v>
      </c>
      <c r="BP36" s="145">
        <v>55999.92</v>
      </c>
      <c r="BQ36" s="145">
        <v>55999.92</v>
      </c>
      <c r="BR36" s="145">
        <v>55999.92</v>
      </c>
      <c r="BS36" s="145">
        <v>55999.92</v>
      </c>
      <c r="BT36" s="145">
        <v>55999.92</v>
      </c>
      <c r="BU36" s="157" t="s">
        <v>239</v>
      </c>
      <c r="BV36" s="146" t="s">
        <v>190</v>
      </c>
      <c r="BW36" s="145"/>
      <c r="BX36" s="140"/>
      <c r="BY36" s="130" t="s">
        <v>192</v>
      </c>
      <c r="BZ36" s="142"/>
      <c r="CA36" s="140"/>
      <c r="CB36" s="140" t="s">
        <v>159</v>
      </c>
      <c r="CC36" s="140" t="s">
        <v>193</v>
      </c>
      <c r="CD36" s="140" t="s">
        <v>136</v>
      </c>
      <c r="CE36" s="133"/>
      <c r="CF36" s="140" t="s">
        <v>240</v>
      </c>
      <c r="CG36" s="141"/>
      <c r="CH36" s="141">
        <v>45016.0</v>
      </c>
      <c r="CI36" s="158" t="s">
        <v>138</v>
      </c>
      <c r="CJ36" s="163">
        <v>51383.37</v>
      </c>
      <c r="CK36" s="160">
        <v>44651.0</v>
      </c>
      <c r="CL36" s="159" t="s">
        <v>138</v>
      </c>
      <c r="CM36" s="161" t="s">
        <v>139</v>
      </c>
      <c r="CN36" s="162" t="s">
        <v>391</v>
      </c>
      <c r="CO36" s="135"/>
      <c r="CP36" s="163"/>
      <c r="CQ36" s="164"/>
      <c r="CR36" s="164"/>
      <c r="CS36" s="164"/>
      <c r="CT36" s="164"/>
      <c r="CU36" s="164"/>
      <c r="CV36" s="150">
        <v>45664.26</v>
      </c>
      <c r="CW36" s="150">
        <v>0.0</v>
      </c>
      <c r="CX36" s="141">
        <v>44581.0</v>
      </c>
      <c r="CY36" s="152">
        <v>1.0</v>
      </c>
      <c r="CZ36" s="165" t="str">
        <f>IFERROR(__xludf.DUMMYFUNCTION("""COMPUTED_VALUE"""),"AUDIÊNCIAS ZOOM ")</f>
        <v>AUDIÊNCIAS ZOOM </v>
      </c>
      <c r="DA36" s="165" t="str">
        <f>IFERROR(__xludf.DUMMYFUNCTION("""COMPUTED_VALUE"""),"Viabilizar a continuidade de audiências, sessões e reuniões por meio de videoconferências (Zoom)")</f>
        <v>Viabilizar a continuidade de audiências, sessões e reuniões por meio de videoconferências (Zoom)</v>
      </c>
      <c r="DB36" s="166" t="s">
        <v>278</v>
      </c>
      <c r="DC36" s="166" t="s">
        <v>214</v>
      </c>
      <c r="DD36" s="166" t="s">
        <v>215</v>
      </c>
      <c r="DE36" s="166" t="s">
        <v>216</v>
      </c>
      <c r="DF36" s="166" t="s">
        <v>110</v>
      </c>
      <c r="DG36" s="166" t="s">
        <v>217</v>
      </c>
      <c r="DH36" s="152"/>
    </row>
    <row r="37" ht="16.5" customHeight="1">
      <c r="A37" s="73">
        <v>15355.0</v>
      </c>
      <c r="B37" s="50">
        <v>0.0</v>
      </c>
      <c r="C37" s="53" t="s">
        <v>395</v>
      </c>
      <c r="D37" s="52" t="s">
        <v>112</v>
      </c>
      <c r="E37" s="52" t="s">
        <v>113</v>
      </c>
      <c r="F37" s="52" t="s">
        <v>114</v>
      </c>
      <c r="G37" s="52" t="str">
        <f>IFERROR(__xludf.DUMMYFUNCTION("""COMPUTED_VALUE"""),"(ID PAAC 15355) BANCO DE DADOS ORACLE - Contratação de suporte e atualização de licenças Oracle, para os sistemas PROAD, SIGEP")</f>
        <v>(ID PAAC 15355) BANCO DE DADOS ORACLE - Contratação de suporte e atualização de licenças Oracle, para os sistemas PROAD, SIGEP</v>
      </c>
      <c r="H37" s="53" t="s">
        <v>115</v>
      </c>
      <c r="I37" s="53" t="s">
        <v>116</v>
      </c>
      <c r="J37" s="53" t="s">
        <v>116</v>
      </c>
      <c r="K37" s="54" t="s">
        <v>117</v>
      </c>
      <c r="L37" s="55">
        <v>0.0</v>
      </c>
      <c r="M37" s="56">
        <v>3.3904007E7</v>
      </c>
      <c r="N37" s="56">
        <v>0.0</v>
      </c>
      <c r="O37" s="50">
        <v>168107.0</v>
      </c>
      <c r="P37" s="64" t="s">
        <v>110</v>
      </c>
      <c r="Q37" s="53" t="s">
        <v>119</v>
      </c>
      <c r="R37" s="53" t="s">
        <v>144</v>
      </c>
      <c r="S37" s="53"/>
      <c r="T37" s="53"/>
      <c r="U37" s="90" t="s">
        <v>122</v>
      </c>
      <c r="V37" s="58"/>
      <c r="W37" s="58" t="s">
        <v>396</v>
      </c>
      <c r="X37" s="53" t="s">
        <v>173</v>
      </c>
      <c r="Y37" s="53" t="s">
        <v>138</v>
      </c>
      <c r="Z37" s="53" t="s">
        <v>167</v>
      </c>
      <c r="AA37" s="75" t="s">
        <v>397</v>
      </c>
      <c r="AB37" s="50">
        <v>5.9456277000176E13</v>
      </c>
      <c r="AC37" s="54" t="s">
        <v>398</v>
      </c>
      <c r="AD37" s="85">
        <v>44784.0</v>
      </c>
      <c r="AE37" s="63">
        <v>44874.0</v>
      </c>
      <c r="AF37" s="64" t="s">
        <v>177</v>
      </c>
      <c r="AG37" s="65">
        <v>1.0</v>
      </c>
      <c r="AH37" s="66">
        <v>314626.19999999995</v>
      </c>
      <c r="AI37" s="64" t="s">
        <v>118</v>
      </c>
      <c r="AJ37" s="66"/>
      <c r="AK37" s="64" t="s">
        <v>178</v>
      </c>
      <c r="AL37" s="78"/>
      <c r="AM37" s="78"/>
      <c r="AN37" s="78">
        <v>-5373.800000000047</v>
      </c>
      <c r="AO37" s="94">
        <v>320000.0</v>
      </c>
      <c r="AP37" s="58" t="s">
        <v>399</v>
      </c>
      <c r="AQ37" s="78">
        <v>300000.0</v>
      </c>
      <c r="AR37" s="66">
        <v>314626.19999999995</v>
      </c>
      <c r="AS37" s="66" t="str">
        <f>VLOOKUP(A37,'Cópia de ult parc 2021'!A:B,2,0)</f>
        <v>2021NE000445</v>
      </c>
      <c r="AT37" s="77">
        <v>314626.19999999995</v>
      </c>
      <c r="AU37" s="66">
        <v>26218.85</v>
      </c>
      <c r="AV37" s="56">
        <v>11.999999999999998</v>
      </c>
      <c r="AW37" s="112">
        <v>314626.19999999995</v>
      </c>
      <c r="AX37" s="112">
        <v>0.0</v>
      </c>
      <c r="AY37" s="66">
        <v>314626.2</v>
      </c>
      <c r="AZ37" s="112">
        <v>52437.70000000001</v>
      </c>
      <c r="BA37" s="112">
        <v>262188.5</v>
      </c>
      <c r="BB37" s="171" t="s">
        <v>397</v>
      </c>
      <c r="BC37" s="116">
        <v>1.51132022236936E14</v>
      </c>
      <c r="BD37" s="64" t="s">
        <v>110</v>
      </c>
      <c r="BE37" s="66" t="s">
        <v>118</v>
      </c>
      <c r="BF37" s="64"/>
      <c r="BG37" s="65"/>
      <c r="BH37" s="65">
        <v>300000.0</v>
      </c>
      <c r="BI37" s="64" t="s">
        <v>129</v>
      </c>
      <c r="BJ37" s="65"/>
      <c r="BK37" s="64" t="s">
        <v>130</v>
      </c>
      <c r="BL37" s="67"/>
      <c r="BM37" s="64" t="s">
        <v>138</v>
      </c>
      <c r="BN37" s="63"/>
      <c r="BO37" s="63"/>
      <c r="BP37" s="66"/>
      <c r="BQ37" s="66"/>
      <c r="BR37" s="66"/>
      <c r="BS37" s="66">
        <v>314626.19999999995</v>
      </c>
      <c r="BT37" s="77">
        <v>314626.19999999995</v>
      </c>
      <c r="BU37" s="64" t="s">
        <v>155</v>
      </c>
      <c r="BV37" s="64" t="s">
        <v>400</v>
      </c>
      <c r="BW37" s="54"/>
      <c r="BX37" s="54"/>
      <c r="BY37" s="54" t="s">
        <v>401</v>
      </c>
      <c r="BZ37" s="63"/>
      <c r="CA37" s="54"/>
      <c r="CB37" s="54" t="s">
        <v>159</v>
      </c>
      <c r="CC37" s="54" t="s">
        <v>402</v>
      </c>
      <c r="CD37" s="54" t="s">
        <v>136</v>
      </c>
      <c r="CE37" s="56"/>
      <c r="CF37" s="54" t="s">
        <v>161</v>
      </c>
      <c r="CG37" s="63"/>
      <c r="CH37" s="63">
        <v>45239.0</v>
      </c>
      <c r="CI37" s="63" t="s">
        <v>138</v>
      </c>
      <c r="CJ37" s="66">
        <v>300000.0</v>
      </c>
      <c r="CK37" s="63">
        <v>44874.0</v>
      </c>
      <c r="CL37" s="66" t="s">
        <v>138</v>
      </c>
      <c r="CM37" s="53" t="s">
        <v>139</v>
      </c>
      <c r="CN37" s="79" t="s">
        <v>397</v>
      </c>
      <c r="CO37" s="84" t="s">
        <v>403</v>
      </c>
      <c r="CP37" s="66"/>
      <c r="CQ37" s="80"/>
      <c r="CR37" s="80"/>
      <c r="CS37" s="80"/>
      <c r="CT37" s="80"/>
      <c r="CU37" s="80"/>
      <c r="CV37" s="66">
        <v>262188.5</v>
      </c>
      <c r="CW37" s="66">
        <v>0.0</v>
      </c>
      <c r="CX37" s="63">
        <v>44588.0</v>
      </c>
      <c r="CY37" s="56">
        <v>1.0</v>
      </c>
      <c r="CZ37" s="81" t="str">
        <f>IFERROR(__xludf.DUMMYFUNCTION("""COMPUTED_VALUE"""),"BANCO DE DADOS ORACLE ")</f>
        <v>BANCO DE DADOS ORACLE </v>
      </c>
      <c r="DA37" s="81" t="str">
        <f>IFERROR(__xludf.DUMMYFUNCTION("""COMPUTED_VALUE"""),"Contratação de suporte e atualização de licenças Oracle, para os sistemas PROAD, SIGEP")</f>
        <v>Contratação de suporte e atualização de licenças Oracle, para os sistemas PROAD, SIGEP</v>
      </c>
      <c r="DB37" s="81" t="s">
        <v>404</v>
      </c>
      <c r="DC37" s="81" t="s">
        <v>214</v>
      </c>
      <c r="DD37" s="81" t="s">
        <v>215</v>
      </c>
      <c r="DE37" s="81" t="s">
        <v>180</v>
      </c>
      <c r="DF37" s="81" t="s">
        <v>118</v>
      </c>
      <c r="DG37" s="81" t="s">
        <v>217</v>
      </c>
      <c r="DH37" s="56"/>
    </row>
    <row r="38" ht="16.5" customHeight="1">
      <c r="A38" s="73">
        <v>15356.0</v>
      </c>
      <c r="B38" s="50">
        <v>0.0</v>
      </c>
      <c r="C38" s="53" t="s">
        <v>405</v>
      </c>
      <c r="D38" s="52" t="s">
        <v>112</v>
      </c>
      <c r="E38" s="52" t="s">
        <v>311</v>
      </c>
      <c r="F38" s="52" t="s">
        <v>203</v>
      </c>
      <c r="G38" s="52" t="str">
        <f>IFERROR(__xludf.DUMMYFUNCTION("""COMPUTED_VALUE"""),"(ID PAAC 15356) ANTIVÍRUS - Aquisição de licenças de solução de antivírus com suporte e atualização, para proteção contra ameaças externas (continua o 1366/2017, ID 15004)")</f>
        <v>(ID PAAC 15356) ANTIVÍRUS - Aquisição de licenças de solução de antivírus com suporte e atualização, para proteção contra ameaças externas (continua o 1366/2017, ID 15004)</v>
      </c>
      <c r="H38" s="53" t="s">
        <v>115</v>
      </c>
      <c r="I38" s="53" t="s">
        <v>116</v>
      </c>
      <c r="J38" s="53" t="s">
        <v>116</v>
      </c>
      <c r="K38" s="54" t="s">
        <v>117</v>
      </c>
      <c r="L38" s="55">
        <v>0.0</v>
      </c>
      <c r="M38" s="56">
        <v>3.3904006E7</v>
      </c>
      <c r="N38" s="56">
        <v>0.0</v>
      </c>
      <c r="O38" s="50">
        <v>168107.0</v>
      </c>
      <c r="P38" s="64" t="s">
        <v>110</v>
      </c>
      <c r="Q38" s="53" t="s">
        <v>119</v>
      </c>
      <c r="R38" s="53" t="s">
        <v>144</v>
      </c>
      <c r="S38" s="53" t="s">
        <v>406</v>
      </c>
      <c r="T38" s="53"/>
      <c r="U38" s="90" t="s">
        <v>145</v>
      </c>
      <c r="V38" s="58"/>
      <c r="W38" s="58" t="s">
        <v>407</v>
      </c>
      <c r="X38" s="53" t="s">
        <v>173</v>
      </c>
      <c r="Y38" s="53" t="s">
        <v>147</v>
      </c>
      <c r="Z38" s="53" t="s">
        <v>148</v>
      </c>
      <c r="AA38" s="75" t="s">
        <v>408</v>
      </c>
      <c r="AB38" s="50">
        <v>1.707536000104E12</v>
      </c>
      <c r="AC38" s="54" t="s">
        <v>409</v>
      </c>
      <c r="AD38" s="93">
        <v>45934.0</v>
      </c>
      <c r="AE38" s="63">
        <v>45934.0</v>
      </c>
      <c r="AF38" s="64" t="s">
        <v>177</v>
      </c>
      <c r="AG38" s="65">
        <v>1.0</v>
      </c>
      <c r="AH38" s="66">
        <v>192000.0</v>
      </c>
      <c r="AI38" s="64" t="s">
        <v>118</v>
      </c>
      <c r="AJ38" s="66"/>
      <c r="AK38" s="64" t="s">
        <v>178</v>
      </c>
      <c r="AL38" s="78"/>
      <c r="AM38" s="78"/>
      <c r="AN38" s="78">
        <v>92000.0</v>
      </c>
      <c r="AO38" s="78">
        <v>100000.0</v>
      </c>
      <c r="AP38" s="58" t="s">
        <v>410</v>
      </c>
      <c r="AQ38" s="78">
        <v>126213.0</v>
      </c>
      <c r="AR38" s="66">
        <v>192000.0</v>
      </c>
      <c r="AS38" s="66" t="str">
        <f>VLOOKUP(A38,'Cópia de ult parc 2021'!A:B,2,0)</f>
        <v>2021NE000403</v>
      </c>
      <c r="AT38" s="66">
        <v>192000.0</v>
      </c>
      <c r="AU38" s="66">
        <v>16000.0</v>
      </c>
      <c r="AV38" s="56">
        <v>12.0</v>
      </c>
      <c r="AW38" s="66">
        <v>192000.0</v>
      </c>
      <c r="AX38" s="66">
        <v>0.0</v>
      </c>
      <c r="AY38" s="66">
        <v>192000.0</v>
      </c>
      <c r="AZ38" s="66">
        <v>0.0</v>
      </c>
      <c r="BA38" s="66">
        <v>192000.0</v>
      </c>
      <c r="BB38" s="79" t="s">
        <v>408</v>
      </c>
      <c r="BC38" s="56">
        <v>1.51132022236934E14</v>
      </c>
      <c r="BD38" s="64" t="s">
        <v>118</v>
      </c>
      <c r="BE38" s="66"/>
      <c r="BF38" s="64"/>
      <c r="BG38" s="65"/>
      <c r="BH38" s="65">
        <v>300000.0</v>
      </c>
      <c r="BI38" s="64" t="s">
        <v>129</v>
      </c>
      <c r="BJ38" s="65"/>
      <c r="BK38" s="64" t="s">
        <v>130</v>
      </c>
      <c r="BL38" s="67"/>
      <c r="BM38" s="64" t="s">
        <v>147</v>
      </c>
      <c r="BN38" s="63"/>
      <c r="BO38" s="63"/>
      <c r="BP38" s="66"/>
      <c r="BQ38" s="66"/>
      <c r="BR38" s="66"/>
      <c r="BS38" s="66">
        <v>192000.0</v>
      </c>
      <c r="BT38" s="66"/>
      <c r="BU38" s="64" t="s">
        <v>276</v>
      </c>
      <c r="BV38" s="64" t="s">
        <v>411</v>
      </c>
      <c r="BW38" s="66"/>
      <c r="BX38" s="54"/>
      <c r="BY38" s="54" t="s">
        <v>412</v>
      </c>
      <c r="BZ38" s="63"/>
      <c r="CA38" s="54"/>
      <c r="CB38" s="54" t="s">
        <v>159</v>
      </c>
      <c r="CC38" s="54" t="s">
        <v>413</v>
      </c>
      <c r="CD38" s="54" t="s">
        <v>136</v>
      </c>
      <c r="CE38" s="56"/>
      <c r="CF38" s="54" t="s">
        <v>277</v>
      </c>
      <c r="CG38" s="63"/>
      <c r="CH38" s="63">
        <v>46299.0</v>
      </c>
      <c r="CI38" s="63" t="s">
        <v>147</v>
      </c>
      <c r="CJ38" s="66">
        <v>400000.0</v>
      </c>
      <c r="CK38" s="63">
        <v>44661.0</v>
      </c>
      <c r="CL38" s="66" t="s">
        <v>138</v>
      </c>
      <c r="CM38" s="53" t="s">
        <v>139</v>
      </c>
      <c r="CN38" s="79" t="s">
        <v>408</v>
      </c>
      <c r="CO38" s="84" t="s">
        <v>414</v>
      </c>
      <c r="CP38" s="66"/>
      <c r="CQ38" s="80"/>
      <c r="CR38" s="80"/>
      <c r="CS38" s="80"/>
      <c r="CT38" s="80"/>
      <c r="CU38" s="80"/>
      <c r="CV38" s="66">
        <v>192000.0</v>
      </c>
      <c r="CW38" s="66">
        <v>0.0</v>
      </c>
      <c r="CX38" s="63">
        <v>44588.0</v>
      </c>
      <c r="CY38" s="56">
        <v>1.0</v>
      </c>
      <c r="CZ38" s="81" t="str">
        <f>IFERROR(__xludf.DUMMYFUNCTION("""COMPUTED_VALUE"""),"ANTIVÍRUS ")</f>
        <v>ANTIVÍRUS </v>
      </c>
      <c r="DA38" s="56" t="str">
        <f>IFERROR(__xludf.DUMMYFUNCTION("""COMPUTED_VALUE"""),"Aquisição de licenças de solução de antivírus com suporte e atualização, para proteção contra ameaças externas (continua o 1366/2017, ID 15004)")</f>
        <v>Aquisição de licenças de solução de antivírus com suporte e atualização, para proteção contra ameaças externas (continua o 1366/2017, ID 15004)</v>
      </c>
      <c r="DB38" s="56"/>
      <c r="DC38" s="56"/>
      <c r="DD38" s="56"/>
      <c r="DE38" s="56"/>
      <c r="DF38" s="56"/>
      <c r="DG38" s="56"/>
      <c r="DH38" s="56"/>
    </row>
    <row r="39" ht="16.5" customHeight="1">
      <c r="A39" s="73">
        <v>15357.0</v>
      </c>
      <c r="B39" s="50">
        <v>0.0</v>
      </c>
      <c r="C39" s="53" t="s">
        <v>415</v>
      </c>
      <c r="D39" s="52" t="s">
        <v>112</v>
      </c>
      <c r="E39" s="52" t="s">
        <v>113</v>
      </c>
      <c r="F39" s="52" t="s">
        <v>114</v>
      </c>
      <c r="G39" s="52" t="str">
        <f>IFERROR(__xludf.DUMMYFUNCTION("""COMPUTED_VALUE"""),"(ID PAAC 15357) NOBREAKS SUVT 2022 - Suporte e manutenção dos nobreaks SUVT 40kVA do Datacenter e dos foros da Capital, de São José e da sede (substitui o 15019; há indicativo preliminar de que a aquisição de novos equipamentos pode ser mais vantajosa, o "&amp;"que será definido pelo planejamento da contratação)")</f>
        <v>(ID PAAC 15357) 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H39" s="53" t="s">
        <v>115</v>
      </c>
      <c r="I39" s="53" t="s">
        <v>116</v>
      </c>
      <c r="J39" s="53" t="s">
        <v>116</v>
      </c>
      <c r="K39" s="54" t="s">
        <v>117</v>
      </c>
      <c r="L39" s="55">
        <v>0.0</v>
      </c>
      <c r="M39" s="56">
        <v>3.3904012E7</v>
      </c>
      <c r="N39" s="56">
        <v>0.0</v>
      </c>
      <c r="O39" s="50">
        <v>168105.0</v>
      </c>
      <c r="P39" s="64" t="s">
        <v>118</v>
      </c>
      <c r="Q39" s="53" t="s">
        <v>119</v>
      </c>
      <c r="R39" s="53" t="s">
        <v>144</v>
      </c>
      <c r="S39" s="53"/>
      <c r="T39" s="53"/>
      <c r="U39" s="90" t="s">
        <v>204</v>
      </c>
      <c r="V39" s="58" t="s">
        <v>416</v>
      </c>
      <c r="W39" s="58" t="s">
        <v>417</v>
      </c>
      <c r="X39" s="53" t="s">
        <v>124</v>
      </c>
      <c r="Y39" s="53" t="s">
        <v>418</v>
      </c>
      <c r="Z39" s="53" t="s">
        <v>167</v>
      </c>
      <c r="AA39" s="75" t="s">
        <v>419</v>
      </c>
      <c r="AB39" s="50">
        <v>8.2743287003553E13</v>
      </c>
      <c r="AC39" s="54" t="s">
        <v>420</v>
      </c>
      <c r="AD39" s="93">
        <v>44733.0</v>
      </c>
      <c r="AE39" s="63">
        <v>44743.0</v>
      </c>
      <c r="AF39" s="64" t="s">
        <v>127</v>
      </c>
      <c r="AG39" s="65">
        <v>1.0</v>
      </c>
      <c r="AH39" s="66">
        <v>65100.0</v>
      </c>
      <c r="AI39" s="64" t="s">
        <v>118</v>
      </c>
      <c r="AJ39" s="66"/>
      <c r="AK39" s="64"/>
      <c r="AL39" s="78"/>
      <c r="AM39" s="78"/>
      <c r="AN39" s="78">
        <v>-3463.0</v>
      </c>
      <c r="AO39" s="78">
        <v>68563.0</v>
      </c>
      <c r="AP39" s="58" t="s">
        <v>421</v>
      </c>
      <c r="AQ39" s="78">
        <v>131683.0</v>
      </c>
      <c r="AR39" s="66">
        <v>65100.0</v>
      </c>
      <c r="AS39" s="66"/>
      <c r="AT39" s="66">
        <v>65100.0</v>
      </c>
      <c r="AU39" s="66">
        <v>0.0</v>
      </c>
      <c r="AV39" s="56">
        <v>0.0</v>
      </c>
      <c r="AW39" s="66">
        <v>0.0</v>
      </c>
      <c r="AX39" s="66">
        <v>0.0</v>
      </c>
      <c r="AY39" s="66">
        <v>65100.0</v>
      </c>
      <c r="AZ39" s="66">
        <v>3589.8799999999974</v>
      </c>
      <c r="BA39" s="66">
        <v>61510.12</v>
      </c>
      <c r="BB39" s="79" t="s">
        <v>419</v>
      </c>
      <c r="BC39" s="56">
        <v>1.51132022236924E14</v>
      </c>
      <c r="BD39" s="64" t="s">
        <v>110</v>
      </c>
      <c r="BE39" s="66" t="s">
        <v>118</v>
      </c>
      <c r="BF39" s="64"/>
      <c r="BG39" s="65"/>
      <c r="BH39" s="65">
        <v>300000.0</v>
      </c>
      <c r="BI39" s="64" t="s">
        <v>129</v>
      </c>
      <c r="BJ39" s="65"/>
      <c r="BK39" s="64" t="s">
        <v>130</v>
      </c>
      <c r="BL39" s="67"/>
      <c r="BM39" s="64" t="s">
        <v>418</v>
      </c>
      <c r="BN39" s="63">
        <v>44605.0</v>
      </c>
      <c r="BO39" s="63">
        <v>44633.0</v>
      </c>
      <c r="BP39" s="66">
        <v>65100.0</v>
      </c>
      <c r="BQ39" s="66">
        <v>65100.0</v>
      </c>
      <c r="BR39" s="66">
        <v>119663.0</v>
      </c>
      <c r="BS39" s="66">
        <v>65100.0</v>
      </c>
      <c r="BT39" s="66">
        <v>119663.0</v>
      </c>
      <c r="BU39" s="64" t="s">
        <v>133</v>
      </c>
      <c r="BV39" s="66"/>
      <c r="BW39" s="66"/>
      <c r="BX39" s="54"/>
      <c r="BY39" s="54"/>
      <c r="BZ39" s="63"/>
      <c r="CA39" s="54"/>
      <c r="CB39" s="54" t="s">
        <v>134</v>
      </c>
      <c r="CC39" s="54" t="s">
        <v>135</v>
      </c>
      <c r="CD39" s="54" t="s">
        <v>136</v>
      </c>
      <c r="CE39" s="56"/>
      <c r="CF39" s="54" t="s">
        <v>137</v>
      </c>
      <c r="CG39" s="63"/>
      <c r="CH39" s="63">
        <v>45108.0</v>
      </c>
      <c r="CI39" s="63" t="s">
        <v>418</v>
      </c>
      <c r="CJ39" s="66">
        <v>126240.0</v>
      </c>
      <c r="CK39" s="63">
        <v>44900.0</v>
      </c>
      <c r="CL39" s="64" t="s">
        <v>138</v>
      </c>
      <c r="CM39" s="53" t="s">
        <v>139</v>
      </c>
      <c r="CN39" s="79" t="s">
        <v>419</v>
      </c>
      <c r="CO39" s="64"/>
      <c r="CP39" s="66"/>
      <c r="CQ39" s="80"/>
      <c r="CR39" s="80"/>
      <c r="CS39" s="80"/>
      <c r="CT39" s="80"/>
      <c r="CU39" s="80"/>
      <c r="CV39" s="66">
        <v>61510.12</v>
      </c>
      <c r="CW39" s="66">
        <v>0.0</v>
      </c>
      <c r="CX39" s="63">
        <v>44594.0</v>
      </c>
      <c r="CY39" s="56">
        <v>1.0</v>
      </c>
      <c r="CZ39" s="81" t="str">
        <f>IFERROR(__xludf.DUMMYFUNCTION("""COMPUTED_VALUE"""),"NOBREAKS SUVT 2022 ")</f>
        <v>NOBREAKS SUVT 2022 </v>
      </c>
      <c r="DA39" s="81" t="str">
        <f>IFERROR(__xludf.DUMMYFUNCTION("""COMPUTED_VALUE"""),"Suporte e manutenção dos nobreaks SUVT 40kVA do Datacenter e dos foros da Capital, de São José e da sede (substitui o 15019; há indicativo preliminar de que a aquisição de novos equipamentos pode ser mais vantajosa, o que será definido pelo planejamento d"&amp;"a contratação)")</f>
        <v>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DB39" s="81" t="s">
        <v>258</v>
      </c>
      <c r="DC39" s="81" t="s">
        <v>214</v>
      </c>
      <c r="DD39" s="81" t="s">
        <v>215</v>
      </c>
      <c r="DE39" s="81" t="s">
        <v>180</v>
      </c>
      <c r="DF39" s="81" t="s">
        <v>118</v>
      </c>
      <c r="DG39" s="81" t="s">
        <v>279</v>
      </c>
      <c r="DH39" s="56"/>
    </row>
    <row r="40" ht="16.5" customHeight="1">
      <c r="A40" s="73">
        <v>15360.0</v>
      </c>
      <c r="B40" s="50">
        <v>0.0</v>
      </c>
      <c r="C40" s="53" t="s">
        <v>422</v>
      </c>
      <c r="D40" s="52" t="s">
        <v>141</v>
      </c>
      <c r="E40" s="52" t="s">
        <v>142</v>
      </c>
      <c r="F40" s="52" t="s">
        <v>203</v>
      </c>
      <c r="G40" s="52" t="str">
        <f>IFERROR(__xludf.DUMMYFUNCTION("""COMPUTED_VALUE"""),"(ID PAAC 15360) SIABI - Contratação de suporte técnico e atualização de licenças do software de gerenciamento de bibliotecas")</f>
        <v>(ID PAAC 15360) SIABI - Contratação de suporte técnico e atualização de licenças do software de gerenciamento de bibliotecas</v>
      </c>
      <c r="H40" s="53" t="s">
        <v>115</v>
      </c>
      <c r="I40" s="53" t="s">
        <v>423</v>
      </c>
      <c r="J40" s="53" t="s">
        <v>116</v>
      </c>
      <c r="K40" s="54" t="s">
        <v>117</v>
      </c>
      <c r="L40" s="55">
        <v>0.0</v>
      </c>
      <c r="M40" s="56">
        <v>3.3904007E7</v>
      </c>
      <c r="N40" s="56">
        <v>0.0</v>
      </c>
      <c r="O40" s="50">
        <v>168105.0</v>
      </c>
      <c r="P40" s="64" t="s">
        <v>118</v>
      </c>
      <c r="Q40" s="53" t="s">
        <v>143</v>
      </c>
      <c r="R40" s="53" t="s">
        <v>144</v>
      </c>
      <c r="S40" s="53"/>
      <c r="T40" s="53"/>
      <c r="U40" s="53" t="s">
        <v>204</v>
      </c>
      <c r="V40" s="107" t="s">
        <v>424</v>
      </c>
      <c r="W40" s="58" t="s">
        <v>425</v>
      </c>
      <c r="X40" s="53" t="s">
        <v>124</v>
      </c>
      <c r="Y40" s="53" t="s">
        <v>138</v>
      </c>
      <c r="Z40" s="53" t="s">
        <v>167</v>
      </c>
      <c r="AA40" s="75" t="s">
        <v>426</v>
      </c>
      <c r="AB40" s="50">
        <v>5.116014000199E12</v>
      </c>
      <c r="AC40" s="54" t="s">
        <v>427</v>
      </c>
      <c r="AD40" s="83">
        <v>44546.0</v>
      </c>
      <c r="AE40" s="91">
        <v>44636.0</v>
      </c>
      <c r="AF40" s="64" t="s">
        <v>127</v>
      </c>
      <c r="AG40" s="65">
        <v>1.0</v>
      </c>
      <c r="AH40" s="77">
        <v>7626.48</v>
      </c>
      <c r="AI40" s="64" t="s">
        <v>118</v>
      </c>
      <c r="AJ40" s="114">
        <v>7000.0</v>
      </c>
      <c r="AK40" s="64" t="s">
        <v>428</v>
      </c>
      <c r="AL40" s="115"/>
      <c r="AM40" s="115"/>
      <c r="AN40" s="115">
        <v>-2373.5200000000004</v>
      </c>
      <c r="AO40" s="115">
        <v>10000.0</v>
      </c>
      <c r="AP40" s="58" t="s">
        <v>429</v>
      </c>
      <c r="AQ40" s="115">
        <v>8008.0</v>
      </c>
      <c r="AR40" s="77">
        <v>7626.48</v>
      </c>
      <c r="AS40" s="66"/>
      <c r="AT40" s="66">
        <v>7626.48</v>
      </c>
      <c r="AU40" s="66">
        <v>635.54</v>
      </c>
      <c r="AV40" s="92">
        <v>12.0</v>
      </c>
      <c r="AW40" s="66">
        <v>7626.48</v>
      </c>
      <c r="AX40" s="66">
        <v>0.0</v>
      </c>
      <c r="AY40" s="77">
        <v>7626.48</v>
      </c>
      <c r="AZ40" s="66">
        <v>1906.62</v>
      </c>
      <c r="BA40" s="66">
        <v>5719.86</v>
      </c>
      <c r="BB40" s="79" t="s">
        <v>426</v>
      </c>
      <c r="BC40" s="56">
        <v>1.5113202223694E14</v>
      </c>
      <c r="BD40" s="64" t="s">
        <v>110</v>
      </c>
      <c r="BE40" s="66" t="s">
        <v>110</v>
      </c>
      <c r="BF40" s="64"/>
      <c r="BG40" s="65"/>
      <c r="BH40" s="65">
        <v>200000.0</v>
      </c>
      <c r="BI40" s="64" t="s">
        <v>153</v>
      </c>
      <c r="BJ40" s="65"/>
      <c r="BK40" s="64" t="s">
        <v>130</v>
      </c>
      <c r="BL40" s="67" t="s">
        <v>180</v>
      </c>
      <c r="BM40" s="64" t="s">
        <v>138</v>
      </c>
      <c r="BN40" s="63">
        <v>44485.0</v>
      </c>
      <c r="BO40" s="63">
        <v>44546.0</v>
      </c>
      <c r="BP40" s="66"/>
      <c r="BQ40" s="66">
        <v>7626.48</v>
      </c>
      <c r="BR40" s="66">
        <v>7626.48</v>
      </c>
      <c r="BS40" s="66">
        <v>7626.48</v>
      </c>
      <c r="BT40" s="66">
        <v>7626.48</v>
      </c>
      <c r="BU40" s="64" t="s">
        <v>155</v>
      </c>
      <c r="BV40" s="64"/>
      <c r="BW40" s="66"/>
      <c r="BX40" s="54"/>
      <c r="BY40" s="54"/>
      <c r="BZ40" s="68">
        <v>44140.59585268519</v>
      </c>
      <c r="CA40" s="54"/>
      <c r="CB40" s="54" t="s">
        <v>134</v>
      </c>
      <c r="CC40" s="54" t="s">
        <v>135</v>
      </c>
      <c r="CD40" s="54" t="s">
        <v>136</v>
      </c>
      <c r="CE40" s="56"/>
      <c r="CF40" s="54" t="s">
        <v>161</v>
      </c>
      <c r="CG40" s="63"/>
      <c r="CH40" s="63">
        <v>45001.0</v>
      </c>
      <c r="CI40" s="63" t="s">
        <v>138</v>
      </c>
      <c r="CJ40" s="66">
        <v>7296.36</v>
      </c>
      <c r="CK40" s="63">
        <v>44636.0</v>
      </c>
      <c r="CL40" s="64" t="s">
        <v>195</v>
      </c>
      <c r="CM40" s="53" t="s">
        <v>139</v>
      </c>
      <c r="CN40" s="79" t="s">
        <v>426</v>
      </c>
      <c r="CO40" s="64"/>
      <c r="CP40" s="66"/>
      <c r="CQ40" s="80"/>
      <c r="CR40" s="80" t="s">
        <v>117</v>
      </c>
      <c r="CS40" s="80"/>
      <c r="CT40" s="80"/>
      <c r="CU40" s="80"/>
      <c r="CV40" s="66">
        <v>5719.86</v>
      </c>
      <c r="CW40" s="66">
        <v>0.0</v>
      </c>
      <c r="CX40" s="63">
        <v>44579.0</v>
      </c>
      <c r="CY40" s="56">
        <v>1.0</v>
      </c>
      <c r="CZ40" s="81" t="str">
        <f>IFERROR(__xludf.DUMMYFUNCTION("""COMPUTED_VALUE"""),"SIABI ")</f>
        <v>SIABI </v>
      </c>
      <c r="DA40" s="81" t="str">
        <f>IFERROR(__xludf.DUMMYFUNCTION("""COMPUTED_VALUE"""),"Contratação de suporte técnico e atualização de licenças do software de gerenciamento de bibliotecas")</f>
        <v>Contratação de suporte técnico e atualização de licenças do software de gerenciamento de bibliotecas</v>
      </c>
      <c r="DB40" s="81" t="s">
        <v>278</v>
      </c>
      <c r="DC40" s="81" t="s">
        <v>214</v>
      </c>
      <c r="DD40" s="81" t="s">
        <v>215</v>
      </c>
      <c r="DE40" s="81" t="s">
        <v>180</v>
      </c>
      <c r="DF40" s="81" t="s">
        <v>118</v>
      </c>
      <c r="DG40" s="81" t="s">
        <v>217</v>
      </c>
      <c r="DH40" s="56"/>
    </row>
    <row r="41" ht="16.5" customHeight="1">
      <c r="A41" s="73">
        <v>15361.0</v>
      </c>
      <c r="B41" s="50">
        <v>0.0</v>
      </c>
      <c r="C41" s="53" t="s">
        <v>430</v>
      </c>
      <c r="D41" s="52" t="s">
        <v>342</v>
      </c>
      <c r="E41" s="52" t="s">
        <v>142</v>
      </c>
      <c r="F41" s="52" t="s">
        <v>431</v>
      </c>
      <c r="G41" s="52" t="str">
        <f>IFERROR(__xludf.DUMMYFUNCTION("""COMPUTED_VALUE"""),"(ID PAAC 15361) MICROCOMPUTADORES - Aquisição de microcomputadores modelo mini desktop tipo 2 com wi-fi")</f>
        <v>(ID PAAC 15361) MICROCOMPUTADORES - Aquisição de microcomputadores modelo mini desktop tipo 2 com wi-fi</v>
      </c>
      <c r="H41" s="53" t="s">
        <v>245</v>
      </c>
      <c r="I41" s="53" t="s">
        <v>116</v>
      </c>
      <c r="J41" s="53" t="s">
        <v>116</v>
      </c>
      <c r="K41" s="54" t="s">
        <v>313</v>
      </c>
      <c r="L41" s="55">
        <v>0.0</v>
      </c>
      <c r="M41" s="56">
        <v>4.4905241E7</v>
      </c>
      <c r="N41" s="56">
        <v>0.0</v>
      </c>
      <c r="O41" s="50">
        <v>168105.0</v>
      </c>
      <c r="P41" s="64" t="s">
        <v>118</v>
      </c>
      <c r="Q41" s="53" t="s">
        <v>143</v>
      </c>
      <c r="R41" s="53" t="s">
        <v>144</v>
      </c>
      <c r="S41" s="53"/>
      <c r="T41" s="53"/>
      <c r="U41" s="82" t="s">
        <v>326</v>
      </c>
      <c r="V41" s="58" t="s">
        <v>432</v>
      </c>
      <c r="W41" s="58"/>
      <c r="X41" s="53" t="s">
        <v>124</v>
      </c>
      <c r="Y41" s="53" t="s">
        <v>162</v>
      </c>
      <c r="Z41" s="53" t="s">
        <v>148</v>
      </c>
      <c r="AA41" s="59" t="s">
        <v>176</v>
      </c>
      <c r="AB41" s="50" t="e">
        <v>#N/A</v>
      </c>
      <c r="AC41" s="54" t="e">
        <v>#N/A</v>
      </c>
      <c r="AD41" s="83">
        <v>44698.0</v>
      </c>
      <c r="AE41" s="63">
        <v>44743.0</v>
      </c>
      <c r="AF41" s="64" t="s">
        <v>127</v>
      </c>
      <c r="AG41" s="65">
        <v>700.0</v>
      </c>
      <c r="AH41" s="66">
        <v>4339.0</v>
      </c>
      <c r="AI41" s="64" t="s">
        <v>118</v>
      </c>
      <c r="AJ41" s="66">
        <v>3037300.0</v>
      </c>
      <c r="AK41" s="66"/>
      <c r="AL41" s="66"/>
      <c r="AM41" s="66"/>
      <c r="AN41" s="66">
        <v>0.0</v>
      </c>
      <c r="AO41" s="66">
        <v>3037300.0</v>
      </c>
      <c r="AP41" s="58"/>
      <c r="AQ41" s="66">
        <v>4472267.0</v>
      </c>
      <c r="AR41" s="66">
        <v>3037300.0</v>
      </c>
      <c r="AS41" s="66"/>
      <c r="AT41" s="66">
        <v>3037300.0</v>
      </c>
      <c r="AU41" s="66"/>
      <c r="AV41" s="56"/>
      <c r="AW41" s="66">
        <v>0.0</v>
      </c>
      <c r="AX41" s="66">
        <v>0.0</v>
      </c>
      <c r="AY41" s="66">
        <v>0.0</v>
      </c>
      <c r="AZ41" s="66">
        <v>0.0</v>
      </c>
      <c r="BA41" s="66">
        <v>0.0</v>
      </c>
      <c r="BB41" s="66" t="s">
        <v>176</v>
      </c>
      <c r="BC41" s="56">
        <v>1.51132022236947E14</v>
      </c>
      <c r="BD41" s="64" t="s">
        <v>110</v>
      </c>
      <c r="BE41" s="66"/>
      <c r="BF41" s="64"/>
      <c r="BG41" s="65"/>
      <c r="BH41" s="65">
        <v>200000.0</v>
      </c>
      <c r="BI41" s="64" t="s">
        <v>153</v>
      </c>
      <c r="BJ41" s="65"/>
      <c r="BK41" s="64" t="s">
        <v>247</v>
      </c>
      <c r="BL41" s="67"/>
      <c r="BM41" s="64" t="s">
        <v>162</v>
      </c>
      <c r="BN41" s="63"/>
      <c r="BO41" s="63"/>
      <c r="BP41" s="66"/>
      <c r="BQ41" s="66"/>
      <c r="BR41" s="66"/>
      <c r="BS41" s="66">
        <v>3037300.0</v>
      </c>
      <c r="BT41" s="66">
        <v>3037300.0</v>
      </c>
      <c r="BU41" s="64" t="s">
        <v>433</v>
      </c>
      <c r="BV41" s="64"/>
      <c r="BW41" s="64"/>
      <c r="BX41" s="54"/>
      <c r="BY41" s="54"/>
      <c r="BZ41" s="63"/>
      <c r="CA41" s="54"/>
      <c r="CB41" s="54" t="s">
        <v>134</v>
      </c>
      <c r="CC41" s="54" t="s">
        <v>135</v>
      </c>
      <c r="CD41" s="54" t="s">
        <v>362</v>
      </c>
      <c r="CE41" s="56"/>
      <c r="CF41" s="54" t="s">
        <v>434</v>
      </c>
      <c r="CG41" s="63"/>
      <c r="CH41" s="63">
        <v>45108.0</v>
      </c>
      <c r="CI41" s="63" t="s">
        <v>162</v>
      </c>
      <c r="CJ41" s="66"/>
      <c r="CK41" s="63"/>
      <c r="CL41" s="64"/>
      <c r="CM41" s="53"/>
      <c r="CN41" s="66" t="s">
        <v>176</v>
      </c>
      <c r="CO41" s="64"/>
      <c r="CP41" s="66"/>
      <c r="CQ41" s="80"/>
      <c r="CR41" s="80"/>
      <c r="CS41" s="80"/>
      <c r="CT41" s="80"/>
      <c r="CU41" s="80"/>
      <c r="CV41" s="66">
        <v>0.0</v>
      </c>
      <c r="CW41" s="66">
        <v>0.0</v>
      </c>
      <c r="CX41" s="63" t="e">
        <v>#N/A</v>
      </c>
      <c r="CY41" s="56"/>
      <c r="CZ41" s="81" t="str">
        <f>IFERROR(__xludf.DUMMYFUNCTION("""COMPUTED_VALUE"""),"MICROCOMPUTADORES ")</f>
        <v>MICROCOMPUTADORES </v>
      </c>
      <c r="DA41" s="81" t="str">
        <f>IFERROR(__xludf.DUMMYFUNCTION("""COMPUTED_VALUE"""),"Aquisição de microcomputadores modelo mini desktop tipo 2 com wi-fi")</f>
        <v>Aquisição de microcomputadores modelo mini desktop tipo 2 com wi-fi</v>
      </c>
      <c r="DB41" s="81" t="s">
        <v>435</v>
      </c>
      <c r="DC41" s="81" t="s">
        <v>320</v>
      </c>
      <c r="DD41" s="81" t="s">
        <v>321</v>
      </c>
      <c r="DE41" s="81" t="s">
        <v>216</v>
      </c>
      <c r="DF41" s="81" t="s">
        <v>110</v>
      </c>
      <c r="DG41" s="81" t="s">
        <v>279</v>
      </c>
      <c r="DH41" s="56"/>
    </row>
    <row r="42" ht="16.5" customHeight="1">
      <c r="A42" s="73">
        <v>15362.0</v>
      </c>
      <c r="B42" s="50">
        <v>0.0</v>
      </c>
      <c r="C42" s="53" t="s">
        <v>436</v>
      </c>
      <c r="D42" s="52" t="s">
        <v>342</v>
      </c>
      <c r="E42" s="52" t="s">
        <v>142</v>
      </c>
      <c r="F42" s="52" t="s">
        <v>431</v>
      </c>
      <c r="G42" s="52" t="str">
        <f>IFERROR(__xludf.DUMMYFUNCTION("""COMPUTED_VALUE"""),"(ID PAAC 15362) IMPRESSORAS - Aquisição de impressoras de pequeno porte convencionais")</f>
        <v>(ID PAAC 15362) IMPRESSORAS - Aquisição de impressoras de pequeno porte convencionais</v>
      </c>
      <c r="H42" s="53" t="s">
        <v>245</v>
      </c>
      <c r="I42" s="53" t="s">
        <v>116</v>
      </c>
      <c r="J42" s="53" t="s">
        <v>116</v>
      </c>
      <c r="K42" s="54" t="s">
        <v>313</v>
      </c>
      <c r="L42" s="55">
        <v>0.0</v>
      </c>
      <c r="M42" s="56">
        <v>4.4905245E7</v>
      </c>
      <c r="N42" s="56">
        <v>0.0</v>
      </c>
      <c r="O42" s="50">
        <v>168105.0</v>
      </c>
      <c r="P42" s="64" t="s">
        <v>118</v>
      </c>
      <c r="Q42" s="53" t="s">
        <v>143</v>
      </c>
      <c r="R42" s="53" t="s">
        <v>144</v>
      </c>
      <c r="S42" s="53"/>
      <c r="T42" s="53"/>
      <c r="U42" s="53" t="s">
        <v>122</v>
      </c>
      <c r="V42" s="58"/>
      <c r="W42" s="58"/>
      <c r="X42" s="53" t="s">
        <v>124</v>
      </c>
      <c r="Y42" s="53" t="s">
        <v>162</v>
      </c>
      <c r="Z42" s="53" t="s">
        <v>148</v>
      </c>
      <c r="AA42" s="59" t="s">
        <v>176</v>
      </c>
      <c r="AB42" s="50" t="e">
        <v>#N/A</v>
      </c>
      <c r="AC42" s="54" t="e">
        <v>#N/A</v>
      </c>
      <c r="AD42" s="83">
        <v>44698.0</v>
      </c>
      <c r="AE42" s="63">
        <v>44743.0</v>
      </c>
      <c r="AF42" s="64" t="s">
        <v>127</v>
      </c>
      <c r="AG42" s="65">
        <v>85.0</v>
      </c>
      <c r="AH42" s="66">
        <v>1392.22</v>
      </c>
      <c r="AI42" s="64" t="s">
        <v>118</v>
      </c>
      <c r="AJ42" s="66"/>
      <c r="AK42" s="78"/>
      <c r="AL42" s="78"/>
      <c r="AM42" s="78"/>
      <c r="AN42" s="78">
        <v>0.0</v>
      </c>
      <c r="AO42" s="78">
        <v>118338.70000000001</v>
      </c>
      <c r="AP42" s="58"/>
      <c r="AQ42" s="78">
        <v>568600.0</v>
      </c>
      <c r="AR42" s="66">
        <f>428714.7-307698-2678</f>
        <v>118338.7</v>
      </c>
      <c r="AS42" s="66"/>
      <c r="AT42" s="66">
        <v>118338.70000000001</v>
      </c>
      <c r="AU42" s="66"/>
      <c r="AV42" s="56"/>
      <c r="AW42" s="66">
        <v>0.0</v>
      </c>
      <c r="AX42" s="66">
        <v>0.0</v>
      </c>
      <c r="AY42" s="66">
        <v>0.0</v>
      </c>
      <c r="AZ42" s="66">
        <v>0.0</v>
      </c>
      <c r="BA42" s="66">
        <v>0.0</v>
      </c>
      <c r="BB42" s="66" t="s">
        <v>176</v>
      </c>
      <c r="BC42" s="56">
        <v>1.51132022236948E14</v>
      </c>
      <c r="BD42" s="64" t="s">
        <v>110</v>
      </c>
      <c r="BE42" s="66"/>
      <c r="BF42" s="64"/>
      <c r="BG42" s="65"/>
      <c r="BH42" s="65">
        <v>200000.0</v>
      </c>
      <c r="BI42" s="64" t="s">
        <v>153</v>
      </c>
      <c r="BJ42" s="65"/>
      <c r="BK42" s="64" t="s">
        <v>247</v>
      </c>
      <c r="BL42" s="67"/>
      <c r="BM42" s="64" t="s">
        <v>162</v>
      </c>
      <c r="BN42" s="83"/>
      <c r="BO42" s="63"/>
      <c r="BP42" s="66"/>
      <c r="BQ42" s="66"/>
      <c r="BR42" s="66"/>
      <c r="BS42" s="66">
        <v>118338.70000000001</v>
      </c>
      <c r="BT42" s="66">
        <v>118338.70000000001</v>
      </c>
      <c r="BU42" s="64" t="s">
        <v>437</v>
      </c>
      <c r="BV42" s="64"/>
      <c r="BW42" s="66"/>
      <c r="BX42" s="54"/>
      <c r="BY42" s="54"/>
      <c r="BZ42" s="63"/>
      <c r="CA42" s="54"/>
      <c r="CB42" s="54" t="s">
        <v>134</v>
      </c>
      <c r="CC42" s="54" t="s">
        <v>135</v>
      </c>
      <c r="CD42" s="54" t="s">
        <v>362</v>
      </c>
      <c r="CE42" s="56"/>
      <c r="CF42" s="54" t="s">
        <v>438</v>
      </c>
      <c r="CG42" s="63"/>
      <c r="CH42" s="63">
        <v>45108.0</v>
      </c>
      <c r="CI42" s="63" t="s">
        <v>162</v>
      </c>
      <c r="CJ42" s="66"/>
      <c r="CK42" s="63"/>
      <c r="CL42" s="66"/>
      <c r="CM42" s="53"/>
      <c r="CN42" s="66" t="s">
        <v>176</v>
      </c>
      <c r="CO42" s="64"/>
      <c r="CP42" s="66"/>
      <c r="CQ42" s="80"/>
      <c r="CR42" s="80"/>
      <c r="CS42" s="80"/>
      <c r="CT42" s="80"/>
      <c r="CU42" s="80"/>
      <c r="CV42" s="66">
        <v>0.0</v>
      </c>
      <c r="CW42" s="66">
        <v>0.0</v>
      </c>
      <c r="CX42" s="63" t="e">
        <v>#N/A</v>
      </c>
      <c r="CY42" s="56"/>
      <c r="CZ42" s="81" t="str">
        <f>IFERROR(__xludf.DUMMYFUNCTION("""COMPUTED_VALUE"""),"IMPRESSORAS ")</f>
        <v>IMPRESSORAS </v>
      </c>
      <c r="DA42" s="81" t="str">
        <f>IFERROR(__xludf.DUMMYFUNCTION("""COMPUTED_VALUE"""),"Aquisição de impressoras de pequeno porte convencionais")</f>
        <v>Aquisição de impressoras de pequeno porte convencionais</v>
      </c>
      <c r="DB42" s="81" t="s">
        <v>435</v>
      </c>
      <c r="DC42" s="81" t="s">
        <v>320</v>
      </c>
      <c r="DD42" s="81" t="s">
        <v>321</v>
      </c>
      <c r="DE42" s="81" t="s">
        <v>216</v>
      </c>
      <c r="DF42" s="81" t="s">
        <v>110</v>
      </c>
      <c r="DG42" s="81" t="s">
        <v>279</v>
      </c>
      <c r="DH42" s="56"/>
    </row>
    <row r="43" ht="104.25" customHeight="1">
      <c r="A43" s="73">
        <v>15364.0</v>
      </c>
      <c r="B43" s="50">
        <v>15364.0</v>
      </c>
      <c r="C43" s="53" t="s">
        <v>439</v>
      </c>
      <c r="D43" s="52" t="s">
        <v>112</v>
      </c>
      <c r="E43" s="52" t="s">
        <v>113</v>
      </c>
      <c r="F43" s="52" t="s">
        <v>114</v>
      </c>
      <c r="G43" s="52" t="str">
        <f>IFERROR(__xludf.DUMMYFUNCTION("""COMPUTED_VALUE"""),"(ID PAAC 15364) SALA COFRE 2017 - Contratação de manutenção de sala cofre, que abriga o Datacenter principal, onde são armazenados todos os dados e os equipamentos de processamento de dados corporativos ")</f>
        <v>(ID PAAC 15364) SALA COFRE 2017 - Contratação de manutenção de sala cofre, que abriga o Datacenter principal, onde são armazenados todos os dados e os equipamentos de processamento de dados corporativos </v>
      </c>
      <c r="H43" s="53" t="s">
        <v>115</v>
      </c>
      <c r="I43" s="53" t="s">
        <v>116</v>
      </c>
      <c r="J43" s="53" t="s">
        <v>116</v>
      </c>
      <c r="K43" s="54" t="s">
        <v>117</v>
      </c>
      <c r="L43" s="55">
        <v>0.0</v>
      </c>
      <c r="M43" s="56">
        <v>3.3904011E7</v>
      </c>
      <c r="N43" s="56">
        <v>0.0</v>
      </c>
      <c r="O43" s="50">
        <v>168107.0</v>
      </c>
      <c r="P43" s="64" t="s">
        <v>110</v>
      </c>
      <c r="Q43" s="53" t="s">
        <v>119</v>
      </c>
      <c r="R43" s="53" t="s">
        <v>144</v>
      </c>
      <c r="S43" s="53"/>
      <c r="T43" s="53"/>
      <c r="U43" s="53" t="s">
        <v>145</v>
      </c>
      <c r="V43" s="58"/>
      <c r="W43" s="58" t="s">
        <v>440</v>
      </c>
      <c r="X43" s="53" t="s">
        <v>173</v>
      </c>
      <c r="Y43" s="53" t="s">
        <v>147</v>
      </c>
      <c r="Z43" s="53" t="s">
        <v>125</v>
      </c>
      <c r="AA43" s="75" t="s">
        <v>441</v>
      </c>
      <c r="AB43" s="50">
        <v>3.698620000134E12</v>
      </c>
      <c r="AC43" s="54" t="s">
        <v>442</v>
      </c>
      <c r="AD43" s="85">
        <v>44845.0</v>
      </c>
      <c r="AE43" s="63">
        <v>44845.0</v>
      </c>
      <c r="AF43" s="64" t="s">
        <v>177</v>
      </c>
      <c r="AG43" s="65">
        <v>1.0</v>
      </c>
      <c r="AH43" s="66">
        <v>263192.44</v>
      </c>
      <c r="AI43" s="64" t="s">
        <v>118</v>
      </c>
      <c r="AJ43" s="66"/>
      <c r="AK43" s="64" t="s">
        <v>178</v>
      </c>
      <c r="AL43" s="66"/>
      <c r="AM43" s="66"/>
      <c r="AN43" s="66">
        <v>-18275.059999999998</v>
      </c>
      <c r="AO43" s="66">
        <v>281467.5</v>
      </c>
      <c r="AP43" s="58" t="s">
        <v>443</v>
      </c>
      <c r="AQ43" s="66">
        <v>337760.0</v>
      </c>
      <c r="AR43" s="66">
        <v>263192.44</v>
      </c>
      <c r="AS43" s="66" t="str">
        <f>VLOOKUP(A43,'Cópia de ult parc 2021'!A:B,2,0)</f>
        <v>2021NE000328</v>
      </c>
      <c r="AT43" s="66">
        <v>263192.44</v>
      </c>
      <c r="AU43" s="66">
        <v>28199.19</v>
      </c>
      <c r="AV43" s="56">
        <v>9.333333333333334</v>
      </c>
      <c r="AW43" s="66">
        <v>263192.44</v>
      </c>
      <c r="AX43" s="66">
        <v>0.0</v>
      </c>
      <c r="AY43" s="66">
        <v>263192.44</v>
      </c>
      <c r="AZ43" s="66">
        <v>84597.57</v>
      </c>
      <c r="BA43" s="66">
        <v>178594.87</v>
      </c>
      <c r="BB43" s="79" t="s">
        <v>441</v>
      </c>
      <c r="BC43" s="56">
        <v>1.51132022236921E14</v>
      </c>
      <c r="BD43" s="64" t="s">
        <v>118</v>
      </c>
      <c r="BE43" s="66" t="s">
        <v>110</v>
      </c>
      <c r="BF43" s="64"/>
      <c r="BG43" s="65"/>
      <c r="BH43" s="65">
        <v>300000.0</v>
      </c>
      <c r="BI43" s="64" t="s">
        <v>129</v>
      </c>
      <c r="BJ43" s="65"/>
      <c r="BK43" s="64" t="s">
        <v>130</v>
      </c>
      <c r="BL43" s="67" t="s">
        <v>131</v>
      </c>
      <c r="BM43" s="64" t="s">
        <v>147</v>
      </c>
      <c r="BN43" s="63">
        <v>43964.0</v>
      </c>
      <c r="BO43" s="63">
        <v>44237.0</v>
      </c>
      <c r="BP43" s="66"/>
      <c r="BQ43" s="66">
        <v>335760.0</v>
      </c>
      <c r="BR43" s="66">
        <v>335760.0</v>
      </c>
      <c r="BS43" s="66">
        <v>263192.44</v>
      </c>
      <c r="BT43" s="66">
        <v>335760.0</v>
      </c>
      <c r="BU43" s="64" t="s">
        <v>181</v>
      </c>
      <c r="BV43" s="64" t="s">
        <v>444</v>
      </c>
      <c r="BW43" s="64" t="s">
        <v>445</v>
      </c>
      <c r="BX43" s="54"/>
      <c r="BY43" s="54" t="s">
        <v>446</v>
      </c>
      <c r="BZ43" s="63"/>
      <c r="CA43" s="54"/>
      <c r="CB43" s="54" t="s">
        <v>159</v>
      </c>
      <c r="CC43" s="54" t="s">
        <v>447</v>
      </c>
      <c r="CD43" s="54" t="s">
        <v>136</v>
      </c>
      <c r="CE43" s="56"/>
      <c r="CF43" s="54" t="s">
        <v>182</v>
      </c>
      <c r="CG43" s="63"/>
      <c r="CH43" s="63">
        <v>45210.0</v>
      </c>
      <c r="CI43" s="63" t="s">
        <v>147</v>
      </c>
      <c r="CJ43" s="66">
        <v>335760.0</v>
      </c>
      <c r="CK43" s="63">
        <v>44844.0</v>
      </c>
      <c r="CL43" s="66" t="s">
        <v>125</v>
      </c>
      <c r="CM43" s="53" t="s">
        <v>139</v>
      </c>
      <c r="CN43" s="79" t="s">
        <v>441</v>
      </c>
      <c r="CO43" s="84" t="s">
        <v>448</v>
      </c>
      <c r="CP43" s="66"/>
      <c r="CQ43" s="80"/>
      <c r="CR43" s="80" t="s">
        <v>117</v>
      </c>
      <c r="CS43" s="80"/>
      <c r="CT43" s="80"/>
      <c r="CU43" s="80"/>
      <c r="CV43" s="66">
        <v>178594.87</v>
      </c>
      <c r="CW43" s="66">
        <v>0.0</v>
      </c>
      <c r="CX43" s="63">
        <v>44588.0</v>
      </c>
      <c r="CY43" s="56">
        <v>1.0</v>
      </c>
      <c r="CZ43" s="81" t="str">
        <f>IFERROR(__xludf.DUMMYFUNCTION("""COMPUTED_VALUE"""),"SALA COFRE 2017 ")</f>
        <v>SALA COFRE 2017 </v>
      </c>
      <c r="DA43" s="56" t="str">
        <f>IFERROR(__xludf.DUMMYFUNCTION("""COMPUTED_VALUE"""),"Contratação de manutenção de sala cofre, que abriga o Datacenter principal, onde são armazenados todos os dados e os equipamentos de processamento de dados corporativos ")</f>
        <v>Contratação de manutenção de sala cofre, que abriga o Datacenter principal, onde são armazenados todos os dados e os equipamentos de processamento de dados corporativos </v>
      </c>
      <c r="DB43" s="56"/>
      <c r="DC43" s="56"/>
      <c r="DD43" s="56"/>
      <c r="DE43" s="56"/>
      <c r="DF43" s="56"/>
      <c r="DG43" s="56"/>
      <c r="DH43" s="56"/>
    </row>
    <row r="44" ht="16.5" customHeight="1">
      <c r="A44" s="73">
        <v>15366.0</v>
      </c>
      <c r="B44" s="50">
        <v>0.0</v>
      </c>
      <c r="C44" s="53" t="s">
        <v>449</v>
      </c>
      <c r="D44" s="52" t="s">
        <v>112</v>
      </c>
      <c r="E44" s="52" t="s">
        <v>113</v>
      </c>
      <c r="F44" s="52" t="s">
        <v>114</v>
      </c>
      <c r="G44" s="52" t="str">
        <f>IFERROR(__xludf.DUMMYFUNCTION("""COMPUTED_VALUE"""),"(ID PAAC 15366) MÍDIAS SERVIÇO - Contratação de serviço/espaço de armazenamento para mídias")</f>
        <v>(ID PAAC 15366) MÍDIAS SERVIÇO - Contratação de serviço/espaço de armazenamento para mídias</v>
      </c>
      <c r="H44" s="53" t="s">
        <v>115</v>
      </c>
      <c r="I44" s="53" t="s">
        <v>116</v>
      </c>
      <c r="J44" s="53" t="s">
        <v>116</v>
      </c>
      <c r="K44" s="54" t="s">
        <v>117</v>
      </c>
      <c r="L44" s="55">
        <v>0.0</v>
      </c>
      <c r="M44" s="56">
        <v>3.3904019E7</v>
      </c>
      <c r="N44" s="56">
        <v>0.0</v>
      </c>
      <c r="O44" s="50">
        <v>168105.0</v>
      </c>
      <c r="P44" s="64" t="s">
        <v>118</v>
      </c>
      <c r="Q44" s="53" t="s">
        <v>119</v>
      </c>
      <c r="R44" s="53" t="s">
        <v>120</v>
      </c>
      <c r="S44" s="53"/>
      <c r="T44" s="53"/>
      <c r="U44" s="53" t="s">
        <v>122</v>
      </c>
      <c r="V44" s="107"/>
      <c r="W44" s="58"/>
      <c r="X44" s="53" t="s">
        <v>173</v>
      </c>
      <c r="Y44" s="53" t="s">
        <v>125</v>
      </c>
      <c r="Z44" s="53" t="s">
        <v>125</v>
      </c>
      <c r="AA44" s="59" t="s">
        <v>176</v>
      </c>
      <c r="AB44" s="50" t="e">
        <v>#N/A</v>
      </c>
      <c r="AC44" s="54" t="e">
        <v>#N/A</v>
      </c>
      <c r="AD44" s="83">
        <v>44725.0</v>
      </c>
      <c r="AE44" s="91">
        <v>44835.0</v>
      </c>
      <c r="AF44" s="64" t="s">
        <v>177</v>
      </c>
      <c r="AG44" s="65">
        <v>1.0</v>
      </c>
      <c r="AH44" s="77">
        <v>0.0</v>
      </c>
      <c r="AI44" s="64" t="s">
        <v>118</v>
      </c>
      <c r="AJ44" s="114"/>
      <c r="AK44" s="64"/>
      <c r="AL44" s="115"/>
      <c r="AM44" s="115"/>
      <c r="AN44" s="115">
        <v>-200000.0</v>
      </c>
      <c r="AO44" s="115">
        <v>200000.0</v>
      </c>
      <c r="AP44" s="58"/>
      <c r="AQ44" s="115">
        <v>100000.0</v>
      </c>
      <c r="AR44" s="66">
        <v>200000.0</v>
      </c>
      <c r="AS44" s="66"/>
      <c r="AT44" s="66">
        <v>0.0</v>
      </c>
      <c r="AU44" s="66"/>
      <c r="AV44" s="92"/>
      <c r="AW44" s="66">
        <v>0.0</v>
      </c>
      <c r="AX44" s="66">
        <v>0.0</v>
      </c>
      <c r="AY44" s="77">
        <v>0.0</v>
      </c>
      <c r="AZ44" s="66">
        <v>0.0</v>
      </c>
      <c r="BA44" s="66">
        <v>0.0</v>
      </c>
      <c r="BB44" s="66" t="s">
        <v>176</v>
      </c>
      <c r="BC44" s="56">
        <v>1.51132022236943E14</v>
      </c>
      <c r="BD44" s="64" t="s">
        <v>118</v>
      </c>
      <c r="BE44" s="66"/>
      <c r="BF44" s="64"/>
      <c r="BG44" s="65"/>
      <c r="BH44" s="65">
        <v>300000.0</v>
      </c>
      <c r="BI44" s="64" t="s">
        <v>129</v>
      </c>
      <c r="BJ44" s="65"/>
      <c r="BK44" s="64" t="s">
        <v>130</v>
      </c>
      <c r="BL44" s="67"/>
      <c r="BM44" s="64" t="s">
        <v>132</v>
      </c>
      <c r="BN44" s="63"/>
      <c r="BO44" s="63"/>
      <c r="BP44" s="66"/>
      <c r="BQ44" s="66"/>
      <c r="BR44" s="66"/>
      <c r="BS44" s="66">
        <v>0.0</v>
      </c>
      <c r="BT44" s="66">
        <v>200000.0</v>
      </c>
      <c r="BU44" s="64" t="s">
        <v>239</v>
      </c>
      <c r="BV44" s="64"/>
      <c r="BW44" s="66"/>
      <c r="BX44" s="54"/>
      <c r="BY44" s="54"/>
      <c r="BZ44" s="68"/>
      <c r="CA44" s="54"/>
      <c r="CB44" s="54" t="s">
        <v>134</v>
      </c>
      <c r="CC44" s="54" t="s">
        <v>135</v>
      </c>
      <c r="CD44" s="54" t="s">
        <v>136</v>
      </c>
      <c r="CE44" s="56"/>
      <c r="CF44" s="54" t="s">
        <v>240</v>
      </c>
      <c r="CG44" s="63">
        <v>45088.0</v>
      </c>
      <c r="CH44" s="63">
        <v>45200.0</v>
      </c>
      <c r="CI44" s="63" t="s">
        <v>125</v>
      </c>
      <c r="CJ44" s="66"/>
      <c r="CK44" s="63"/>
      <c r="CL44" s="66"/>
      <c r="CM44" s="53"/>
      <c r="CN44" s="66" t="s">
        <v>176</v>
      </c>
      <c r="CO44" s="64"/>
      <c r="CP44" s="66"/>
      <c r="CQ44" s="80"/>
      <c r="CR44" s="80"/>
      <c r="CS44" s="80"/>
      <c r="CT44" s="80"/>
      <c r="CU44" s="80"/>
      <c r="CV44" s="66">
        <v>0.0</v>
      </c>
      <c r="CW44" s="66">
        <v>0.0</v>
      </c>
      <c r="CX44" s="63" t="e">
        <v>#N/A</v>
      </c>
      <c r="CY44" s="56"/>
      <c r="CZ44" s="81" t="str">
        <f>IFERROR(__xludf.DUMMYFUNCTION("""COMPUTED_VALUE"""),"MÍDIAS SERVIÇO ")</f>
        <v>MÍDIAS SERVIÇO </v>
      </c>
      <c r="DA44" s="81" t="str">
        <f>IFERROR(__xludf.DUMMYFUNCTION("""COMPUTED_VALUE"""),"Contratação de serviço/espaço de armazenamento para mídias")</f>
        <v>Contratação de serviço/espaço de armazenamento para mídias</v>
      </c>
      <c r="DB44" s="81" t="s">
        <v>450</v>
      </c>
      <c r="DC44" s="81" t="s">
        <v>214</v>
      </c>
      <c r="DD44" s="81" t="s">
        <v>215</v>
      </c>
      <c r="DE44" s="81" t="s">
        <v>216</v>
      </c>
      <c r="DF44" s="81" t="s">
        <v>118</v>
      </c>
      <c r="DG44" s="81" t="s">
        <v>279</v>
      </c>
      <c r="DH44" s="56"/>
    </row>
    <row r="45" ht="16.5" customHeight="1">
      <c r="A45" s="73">
        <v>15367.0</v>
      </c>
      <c r="B45" s="50">
        <v>0.0</v>
      </c>
      <c r="C45" s="53" t="s">
        <v>451</v>
      </c>
      <c r="D45" s="52" t="s">
        <v>323</v>
      </c>
      <c r="E45" s="52" t="s">
        <v>113</v>
      </c>
      <c r="F45" s="52" t="s">
        <v>203</v>
      </c>
      <c r="G45" s="52" t="str">
        <f>IFERROR(__xludf.DUMMYFUNCTION("""COMPUTED_VALUE"""),"(ID PAAC 15367) MICROCOMPUTADORES - Aquisição de lote câmeras tipo webcam para uso em monitores convencionais")</f>
        <v>(ID PAAC 15367) MICROCOMPUTADORES - Aquisição de lote câmeras tipo webcam para uso em monitores convencionais</v>
      </c>
      <c r="H45" s="53" t="s">
        <v>245</v>
      </c>
      <c r="I45" s="53" t="s">
        <v>116</v>
      </c>
      <c r="J45" s="53" t="s">
        <v>116</v>
      </c>
      <c r="K45" s="54" t="s">
        <v>117</v>
      </c>
      <c r="L45" s="55">
        <v>0.0</v>
      </c>
      <c r="M45" s="56"/>
      <c r="N45" s="56">
        <v>0.0</v>
      </c>
      <c r="O45" s="50">
        <v>168105.0</v>
      </c>
      <c r="P45" s="64" t="s">
        <v>118</v>
      </c>
      <c r="Q45" s="53" t="s">
        <v>325</v>
      </c>
      <c r="R45" s="53" t="s">
        <v>120</v>
      </c>
      <c r="S45" s="53"/>
      <c r="T45" s="53"/>
      <c r="U45" s="53" t="s">
        <v>122</v>
      </c>
      <c r="V45" s="107"/>
      <c r="W45" s="58"/>
      <c r="X45" s="53"/>
      <c r="Y45" s="53" t="s">
        <v>452</v>
      </c>
      <c r="Z45" s="53" t="s">
        <v>148</v>
      </c>
      <c r="AA45" s="59" t="s">
        <v>176</v>
      </c>
      <c r="AB45" s="50" t="e">
        <v>#N/A</v>
      </c>
      <c r="AC45" s="54" t="e">
        <v>#N/A</v>
      </c>
      <c r="AD45" s="83">
        <v>44653.0</v>
      </c>
      <c r="AE45" s="91">
        <v>44713.0</v>
      </c>
      <c r="AF45" s="64" t="e">
        <v>#N/A</v>
      </c>
      <c r="AG45" s="65">
        <v>1.0</v>
      </c>
      <c r="AH45" s="77">
        <v>0.0</v>
      </c>
      <c r="AI45" s="64" t="s">
        <v>118</v>
      </c>
      <c r="AJ45" s="114"/>
      <c r="AK45" s="115"/>
      <c r="AL45" s="115"/>
      <c r="AM45" s="115"/>
      <c r="AN45" s="115">
        <v>0.0</v>
      </c>
      <c r="AO45" s="115">
        <v>0.0</v>
      </c>
      <c r="AP45" s="58"/>
      <c r="AQ45" s="115">
        <v>75000.0</v>
      </c>
      <c r="AR45" s="66">
        <v>0.0</v>
      </c>
      <c r="AS45" s="66"/>
      <c r="AT45" s="66">
        <v>0.0</v>
      </c>
      <c r="AU45" s="66"/>
      <c r="AV45" s="92"/>
      <c r="AW45" s="66">
        <v>0.0</v>
      </c>
      <c r="AX45" s="66">
        <v>0.0</v>
      </c>
      <c r="AY45" s="77">
        <v>0.0</v>
      </c>
      <c r="AZ45" s="66">
        <v>0.0</v>
      </c>
      <c r="BA45" s="66">
        <v>0.0</v>
      </c>
      <c r="BB45" s="66" t="s">
        <v>176</v>
      </c>
      <c r="BC45" s="56">
        <v>1.51132022236913E14</v>
      </c>
      <c r="BD45" s="64" t="s">
        <v>118</v>
      </c>
      <c r="BE45" s="66"/>
      <c r="BF45" s="64"/>
      <c r="BG45" s="65"/>
      <c r="BH45" s="65">
        <v>100000.0</v>
      </c>
      <c r="BI45" s="64" t="s">
        <v>328</v>
      </c>
      <c r="BJ45" s="65"/>
      <c r="BK45" s="64" t="s">
        <v>247</v>
      </c>
      <c r="BL45" s="67"/>
      <c r="BM45" s="64" t="s">
        <v>132</v>
      </c>
      <c r="BN45" s="63"/>
      <c r="BO45" s="63"/>
      <c r="BP45" s="66"/>
      <c r="BQ45" s="66"/>
      <c r="BR45" s="66"/>
      <c r="BS45" s="66">
        <v>0.0</v>
      </c>
      <c r="BT45" s="66"/>
      <c r="BU45" s="64" t="e">
        <v>#N/A</v>
      </c>
      <c r="BV45" s="64"/>
      <c r="BW45" s="66"/>
      <c r="BX45" s="54"/>
      <c r="BY45" s="54"/>
      <c r="BZ45" s="68"/>
      <c r="CA45" s="54"/>
      <c r="CB45" s="54" t="s">
        <v>134</v>
      </c>
      <c r="CC45" s="54" t="s">
        <v>135</v>
      </c>
      <c r="CD45" s="54" t="e">
        <v>#N/A</v>
      </c>
      <c r="CE45" s="56"/>
      <c r="CF45" s="54" t="e">
        <v>#N/A</v>
      </c>
      <c r="CG45" s="63"/>
      <c r="CH45" s="63">
        <v>45078.0</v>
      </c>
      <c r="CI45" s="63" t="s">
        <v>452</v>
      </c>
      <c r="CJ45" s="66"/>
      <c r="CK45" s="63"/>
      <c r="CL45" s="66"/>
      <c r="CM45" s="53"/>
      <c r="CN45" s="66" t="s">
        <v>176</v>
      </c>
      <c r="CO45" s="64"/>
      <c r="CP45" s="66"/>
      <c r="CQ45" s="80"/>
      <c r="CR45" s="80"/>
      <c r="CS45" s="80"/>
      <c r="CT45" s="80"/>
      <c r="CU45" s="80"/>
      <c r="CV45" s="66">
        <v>0.0</v>
      </c>
      <c r="CW45" s="66">
        <v>0.0</v>
      </c>
      <c r="CX45" s="63" t="e">
        <v>#N/A</v>
      </c>
      <c r="CY45" s="56"/>
      <c r="CZ45" s="81" t="str">
        <f>IFERROR(__xludf.DUMMYFUNCTION("""COMPUTED_VALUE"""),"MICROCOMPUTADORES ")</f>
        <v>MICROCOMPUTADORES </v>
      </c>
      <c r="DA45" s="56" t="str">
        <f>IFERROR(__xludf.DUMMYFUNCTION("""COMPUTED_VALUE"""),"Aquisição de lote câmeras tipo webcam para uso em monitores convencionais")</f>
        <v>Aquisição de lote câmeras tipo webcam para uso em monitores convencionais</v>
      </c>
      <c r="DB45" s="56"/>
      <c r="DC45" s="56"/>
      <c r="DD45" s="56"/>
      <c r="DE45" s="56"/>
      <c r="DF45" s="56"/>
      <c r="DG45" s="56"/>
      <c r="DH45" s="56"/>
    </row>
    <row r="46" ht="16.5" customHeight="1">
      <c r="A46" s="73">
        <v>15368.0</v>
      </c>
      <c r="B46" s="50">
        <v>0.0</v>
      </c>
      <c r="C46" s="53" t="s">
        <v>453</v>
      </c>
      <c r="D46" s="52" t="s">
        <v>141</v>
      </c>
      <c r="E46" s="96" t="s">
        <v>219</v>
      </c>
      <c r="F46" s="52" t="s">
        <v>114</v>
      </c>
      <c r="G46" s="52" t="str">
        <f>IFERROR(__xludf.DUMMYFUNCTION("""COMPUTED_VALUE"""),"(ID PAAC 15368) AUDIÊNCIAS - Solução para indexação e marcação de videoconferências das audiências ")</f>
        <v>(ID PAAC 15368) AUDIÊNCIAS - Solução para indexação e marcação de videoconferências das audiências </v>
      </c>
      <c r="H46" s="53" t="s">
        <v>115</v>
      </c>
      <c r="I46" s="53" t="s">
        <v>116</v>
      </c>
      <c r="J46" s="53" t="s">
        <v>116</v>
      </c>
      <c r="K46" s="54" t="s">
        <v>117</v>
      </c>
      <c r="L46" s="55">
        <v>0.0</v>
      </c>
      <c r="M46" s="56">
        <v>3.3904006E7</v>
      </c>
      <c r="N46" s="56">
        <v>0.0</v>
      </c>
      <c r="O46" s="50">
        <v>168105.0</v>
      </c>
      <c r="P46" s="64" t="s">
        <v>118</v>
      </c>
      <c r="Q46" s="53" t="s">
        <v>143</v>
      </c>
      <c r="R46" s="53" t="s">
        <v>120</v>
      </c>
      <c r="S46" s="53"/>
      <c r="T46" s="53"/>
      <c r="U46" s="53" t="s">
        <v>122</v>
      </c>
      <c r="V46" s="107"/>
      <c r="W46" s="58"/>
      <c r="X46" s="53" t="s">
        <v>289</v>
      </c>
      <c r="Y46" s="53" t="s">
        <v>125</v>
      </c>
      <c r="Z46" s="53" t="s">
        <v>125</v>
      </c>
      <c r="AA46" s="59" t="s">
        <v>176</v>
      </c>
      <c r="AB46" s="50" t="e">
        <v>#N/A</v>
      </c>
      <c r="AC46" s="54" t="e">
        <v>#N/A</v>
      </c>
      <c r="AD46" s="83">
        <v>44511.0</v>
      </c>
      <c r="AE46" s="91">
        <v>44621.0</v>
      </c>
      <c r="AF46" s="64" t="s">
        <v>292</v>
      </c>
      <c r="AG46" s="65">
        <v>1.0</v>
      </c>
      <c r="AH46" s="77">
        <v>0.0</v>
      </c>
      <c r="AI46" s="64" t="s">
        <v>118</v>
      </c>
      <c r="AJ46" s="114"/>
      <c r="AK46" s="64"/>
      <c r="AL46" s="115"/>
      <c r="AM46" s="115"/>
      <c r="AN46" s="115">
        <v>0.0</v>
      </c>
      <c r="AO46" s="115">
        <v>0.0</v>
      </c>
      <c r="AP46" s="58"/>
      <c r="AQ46" s="115">
        <v>50000.0</v>
      </c>
      <c r="AR46" s="66">
        <v>0.0</v>
      </c>
      <c r="AS46" s="66"/>
      <c r="AT46" s="66">
        <v>0.0</v>
      </c>
      <c r="AU46" s="66"/>
      <c r="AV46" s="92"/>
      <c r="AW46" s="66">
        <v>0.0</v>
      </c>
      <c r="AX46" s="66">
        <v>0.0</v>
      </c>
      <c r="AY46" s="77">
        <v>0.0</v>
      </c>
      <c r="AZ46" s="66">
        <v>0.0</v>
      </c>
      <c r="BA46" s="66">
        <v>0.0</v>
      </c>
      <c r="BB46" s="66" t="s">
        <v>176</v>
      </c>
      <c r="BC46" s="56">
        <v>1.51132022236933E14</v>
      </c>
      <c r="BD46" s="64" t="s">
        <v>118</v>
      </c>
      <c r="BE46" s="66"/>
      <c r="BF46" s="64"/>
      <c r="BG46" s="65"/>
      <c r="BH46" s="65">
        <v>200000.0</v>
      </c>
      <c r="BI46" s="64" t="s">
        <v>153</v>
      </c>
      <c r="BJ46" s="65"/>
      <c r="BK46" s="64" t="s">
        <v>130</v>
      </c>
      <c r="BL46" s="67"/>
      <c r="BM46" s="64" t="s">
        <v>132</v>
      </c>
      <c r="BN46" s="63"/>
      <c r="BO46" s="63"/>
      <c r="BP46" s="66"/>
      <c r="BQ46" s="66"/>
      <c r="BR46" s="66"/>
      <c r="BS46" s="66">
        <v>0.0</v>
      </c>
      <c r="BT46" s="66"/>
      <c r="BU46" s="64" t="s">
        <v>276</v>
      </c>
      <c r="BV46" s="64"/>
      <c r="BW46" s="66"/>
      <c r="BX46" s="54"/>
      <c r="BY46" s="54"/>
      <c r="BZ46" s="68"/>
      <c r="CA46" s="54"/>
      <c r="CB46" s="54" t="s">
        <v>134</v>
      </c>
      <c r="CC46" s="54" t="s">
        <v>135</v>
      </c>
      <c r="CD46" s="54" t="s">
        <v>136</v>
      </c>
      <c r="CE46" s="56"/>
      <c r="CF46" s="54" t="s">
        <v>277</v>
      </c>
      <c r="CG46" s="63">
        <v>44874.0</v>
      </c>
      <c r="CH46" s="63">
        <v>44986.0</v>
      </c>
      <c r="CI46" s="63" t="s">
        <v>125</v>
      </c>
      <c r="CJ46" s="66"/>
      <c r="CK46" s="63"/>
      <c r="CL46" s="66"/>
      <c r="CM46" s="53"/>
      <c r="CN46" s="66" t="s">
        <v>176</v>
      </c>
      <c r="CO46" s="64"/>
      <c r="CP46" s="66"/>
      <c r="CQ46" s="80"/>
      <c r="CR46" s="80"/>
      <c r="CS46" s="80"/>
      <c r="CT46" s="80"/>
      <c r="CU46" s="80"/>
      <c r="CV46" s="66">
        <v>0.0</v>
      </c>
      <c r="CW46" s="66">
        <v>0.0</v>
      </c>
      <c r="CX46" s="63" t="e">
        <v>#N/A</v>
      </c>
      <c r="CY46" s="56"/>
      <c r="CZ46" s="81" t="str">
        <f>IFERROR(__xludf.DUMMYFUNCTION("""COMPUTED_VALUE"""),"AUDIÊNCIAS ")</f>
        <v>AUDIÊNCIAS </v>
      </c>
      <c r="DA46" s="56" t="str">
        <f>IFERROR(__xludf.DUMMYFUNCTION("""COMPUTED_VALUE"""),"Solução para indexação e marcação de videoconferências das audiências ")</f>
        <v>Solução para indexação e marcação de videoconferências das audiências </v>
      </c>
      <c r="DB46" s="56"/>
      <c r="DC46" s="56"/>
      <c r="DD46" s="56"/>
      <c r="DE46" s="56"/>
      <c r="DF46" s="56"/>
      <c r="DG46" s="56"/>
      <c r="DH46" s="56"/>
    </row>
    <row r="47" ht="16.5" customHeight="1">
      <c r="A47" s="73">
        <v>15369.0</v>
      </c>
      <c r="B47" s="50">
        <v>0.0</v>
      </c>
      <c r="C47" s="53" t="s">
        <v>454</v>
      </c>
      <c r="D47" s="52" t="s">
        <v>112</v>
      </c>
      <c r="E47" s="52" t="s">
        <v>113</v>
      </c>
      <c r="F47" s="52" t="s">
        <v>114</v>
      </c>
      <c r="G47" s="52" t="str">
        <f>IFERROR(__xludf.DUMMYFUNCTION("""COMPUTED_VALUE"""),"(ID PAAC 15369) INTERNET LINK 3 - Contratação de acesso corporativo à internet (substitui LINK 1)")</f>
        <v>(ID PAAC 15369) INTERNET LINK 3 - Contratação de acesso corporativo à internet (substitui LINK 1)</v>
      </c>
      <c r="H47" s="53" t="s">
        <v>115</v>
      </c>
      <c r="I47" s="53" t="s">
        <v>116</v>
      </c>
      <c r="J47" s="53" t="s">
        <v>116</v>
      </c>
      <c r="K47" s="54" t="s">
        <v>117</v>
      </c>
      <c r="L47" s="55">
        <v>0.0</v>
      </c>
      <c r="M47" s="56">
        <v>3.3904013E7</v>
      </c>
      <c r="N47" s="56">
        <v>0.0</v>
      </c>
      <c r="O47" s="50">
        <v>168105.0</v>
      </c>
      <c r="P47" s="64" t="s">
        <v>118</v>
      </c>
      <c r="Q47" s="53" t="s">
        <v>119</v>
      </c>
      <c r="R47" s="53" t="s">
        <v>144</v>
      </c>
      <c r="S47" s="53"/>
      <c r="T47" s="53"/>
      <c r="U47" s="53" t="s">
        <v>315</v>
      </c>
      <c r="V47" s="107" t="s">
        <v>455</v>
      </c>
      <c r="W47" s="58" t="s">
        <v>456</v>
      </c>
      <c r="X47" s="53" t="s">
        <v>173</v>
      </c>
      <c r="Y47" s="53" t="s">
        <v>125</v>
      </c>
      <c r="Z47" s="53" t="s">
        <v>125</v>
      </c>
      <c r="AA47" s="75" t="s">
        <v>457</v>
      </c>
      <c r="AB47" s="50" t="e">
        <v>#N/A</v>
      </c>
      <c r="AC47" s="54" t="e">
        <v>#N/A</v>
      </c>
      <c r="AD47" s="83">
        <v>44647.0</v>
      </c>
      <c r="AE47" s="91">
        <v>44757.0</v>
      </c>
      <c r="AF47" s="64" t="s">
        <v>177</v>
      </c>
      <c r="AG47" s="65">
        <v>1.0</v>
      </c>
      <c r="AH47" s="77">
        <v>10450.0</v>
      </c>
      <c r="AI47" s="64" t="s">
        <v>118</v>
      </c>
      <c r="AJ47" s="114"/>
      <c r="AK47" s="64" t="s">
        <v>178</v>
      </c>
      <c r="AL47" s="115"/>
      <c r="AM47" s="115"/>
      <c r="AN47" s="115">
        <v>-12350.0</v>
      </c>
      <c r="AO47" s="115">
        <v>22800.0</v>
      </c>
      <c r="AP47" s="58"/>
      <c r="AQ47" s="115">
        <v>0.0</v>
      </c>
      <c r="AR47" s="66">
        <v>10450.0</v>
      </c>
      <c r="AS47" s="66"/>
      <c r="AT47" s="66">
        <v>10450.0</v>
      </c>
      <c r="AU47" s="66">
        <v>1900.0</v>
      </c>
      <c r="AV47" s="92">
        <v>0.0</v>
      </c>
      <c r="AW47" s="66">
        <v>0.0</v>
      </c>
      <c r="AX47" s="66">
        <v>0.0</v>
      </c>
      <c r="AY47" s="77">
        <v>0.0</v>
      </c>
      <c r="AZ47" s="66">
        <v>0.0</v>
      </c>
      <c r="BA47" s="66">
        <v>0.0</v>
      </c>
      <c r="BB47" s="79" t="s">
        <v>457</v>
      </c>
      <c r="BC47" s="56"/>
      <c r="BD47" s="64" t="s">
        <v>110</v>
      </c>
      <c r="BE47" s="66"/>
      <c r="BF47" s="64"/>
      <c r="BG47" s="65"/>
      <c r="BH47" s="65">
        <v>300000.0</v>
      </c>
      <c r="BI47" s="64" t="s">
        <v>129</v>
      </c>
      <c r="BJ47" s="65"/>
      <c r="BK47" s="64" t="s">
        <v>130</v>
      </c>
      <c r="BL47" s="67"/>
      <c r="BM47" s="64" t="s">
        <v>125</v>
      </c>
      <c r="BN47" s="63">
        <v>44619.0</v>
      </c>
      <c r="BO47" s="63">
        <v>44647.0</v>
      </c>
      <c r="BP47" s="66"/>
      <c r="BQ47" s="66"/>
      <c r="BR47" s="66"/>
      <c r="BS47" s="66">
        <v>10450.0</v>
      </c>
      <c r="BT47" s="66">
        <v>10450.0</v>
      </c>
      <c r="BU47" s="64" t="s">
        <v>189</v>
      </c>
      <c r="BV47" s="64"/>
      <c r="BW47" s="66"/>
      <c r="BX47" s="54"/>
      <c r="BY47" s="54"/>
      <c r="BZ47" s="68"/>
      <c r="CA47" s="54"/>
      <c r="CB47" s="54" t="s">
        <v>134</v>
      </c>
      <c r="CC47" s="54" t="s">
        <v>135</v>
      </c>
      <c r="CD47" s="54" t="s">
        <v>136</v>
      </c>
      <c r="CE47" s="56"/>
      <c r="CF47" s="54" t="s">
        <v>194</v>
      </c>
      <c r="CG47" s="63">
        <v>45010.0</v>
      </c>
      <c r="CH47" s="63">
        <v>45122.0</v>
      </c>
      <c r="CI47" s="63" t="s">
        <v>125</v>
      </c>
      <c r="CJ47" s="66"/>
      <c r="CK47" s="63"/>
      <c r="CL47" s="66"/>
      <c r="CM47" s="53"/>
      <c r="CN47" s="79" t="s">
        <v>457</v>
      </c>
      <c r="CO47" s="64"/>
      <c r="CP47" s="66"/>
      <c r="CQ47" s="80"/>
      <c r="CR47" s="80"/>
      <c r="CS47" s="80"/>
      <c r="CT47" s="80"/>
      <c r="CU47" s="80"/>
      <c r="CV47" s="66">
        <v>0.0</v>
      </c>
      <c r="CW47" s="66">
        <v>0.0</v>
      </c>
      <c r="CX47" s="63" t="e">
        <v>#N/A</v>
      </c>
      <c r="CY47" s="56"/>
      <c r="CZ47" s="81" t="str">
        <f>IFERROR(__xludf.DUMMYFUNCTION("""COMPUTED_VALUE"""),"INTERNET LINK 3 ")</f>
        <v>INTERNET LINK 3 </v>
      </c>
      <c r="DA47" s="81" t="str">
        <f>IFERROR(__xludf.DUMMYFUNCTION("""COMPUTED_VALUE"""),"Contratação de acesso corporativo à internet (substitui LINK 1)")</f>
        <v>Contratação de acesso corporativo à internet (substitui LINK 1)</v>
      </c>
      <c r="DB47" s="81" t="s">
        <v>227</v>
      </c>
      <c r="DC47" s="81" t="s">
        <v>214</v>
      </c>
      <c r="DD47" s="81" t="s">
        <v>215</v>
      </c>
      <c r="DE47" s="81" t="s">
        <v>216</v>
      </c>
      <c r="DF47" s="81" t="s">
        <v>118</v>
      </c>
      <c r="DG47" s="81" t="s">
        <v>279</v>
      </c>
      <c r="DH47" s="56"/>
    </row>
    <row r="48" ht="16.5" customHeight="1">
      <c r="A48" s="73">
        <v>15371.0</v>
      </c>
      <c r="B48" s="50">
        <v>0.0</v>
      </c>
      <c r="C48" s="53" t="s">
        <v>458</v>
      </c>
      <c r="D48" s="52" t="s">
        <v>141</v>
      </c>
      <c r="E48" s="52" t="s">
        <v>142</v>
      </c>
      <c r="F48" s="52" t="s">
        <v>203</v>
      </c>
      <c r="G48" s="52" t="str">
        <f>IFERROR(__xludf.DUMMYFUNCTION("""COMPUTED_VALUE"""),"(ID PAAC 15371) PRODENT - Contratação de suporte e atualização para licenças de software odontológico")</f>
        <v>(ID PAAC 15371) PRODENT - Contratação de suporte e atualização para licenças de software odontológico</v>
      </c>
      <c r="H48" s="53" t="s">
        <v>115</v>
      </c>
      <c r="I48" s="53" t="s">
        <v>459</v>
      </c>
      <c r="J48" s="53" t="s">
        <v>116</v>
      </c>
      <c r="K48" s="54" t="s">
        <v>117</v>
      </c>
      <c r="L48" s="55">
        <v>0.0</v>
      </c>
      <c r="M48" s="56">
        <v>3.3904007E7</v>
      </c>
      <c r="N48" s="56">
        <v>0.0</v>
      </c>
      <c r="O48" s="50">
        <v>168105.0</v>
      </c>
      <c r="P48" s="64" t="s">
        <v>118</v>
      </c>
      <c r="Q48" s="53" t="s">
        <v>143</v>
      </c>
      <c r="R48" s="53" t="s">
        <v>144</v>
      </c>
      <c r="S48" s="53"/>
      <c r="T48" s="53"/>
      <c r="U48" s="90" t="s">
        <v>326</v>
      </c>
      <c r="V48" s="58" t="s">
        <v>460</v>
      </c>
      <c r="W48" s="58" t="s">
        <v>461</v>
      </c>
      <c r="X48" s="53" t="s">
        <v>124</v>
      </c>
      <c r="Y48" s="53" t="s">
        <v>138</v>
      </c>
      <c r="Z48" s="53" t="s">
        <v>167</v>
      </c>
      <c r="AA48" s="75" t="s">
        <v>462</v>
      </c>
      <c r="AB48" s="50">
        <v>7.3922171000141E13</v>
      </c>
      <c r="AC48" s="54" t="s">
        <v>463</v>
      </c>
      <c r="AD48" s="93">
        <v>44693.0</v>
      </c>
      <c r="AE48" s="63">
        <v>44783.0</v>
      </c>
      <c r="AF48" s="64" t="s">
        <v>127</v>
      </c>
      <c r="AG48" s="65">
        <v>1.0</v>
      </c>
      <c r="AH48" s="66">
        <v>2992.44</v>
      </c>
      <c r="AI48" s="64" t="s">
        <v>118</v>
      </c>
      <c r="AJ48" s="66">
        <v>2897.64</v>
      </c>
      <c r="AK48" s="64" t="s">
        <v>464</v>
      </c>
      <c r="AL48" s="78"/>
      <c r="AM48" s="78"/>
      <c r="AN48" s="78">
        <v>-50.559999999999945</v>
      </c>
      <c r="AO48" s="78">
        <v>3043.0</v>
      </c>
      <c r="AP48" s="58" t="s">
        <v>465</v>
      </c>
      <c r="AQ48" s="78">
        <v>3043.0</v>
      </c>
      <c r="AR48" s="66">
        <v>2992.44</v>
      </c>
      <c r="AS48" s="66"/>
      <c r="AT48" s="66">
        <v>2992.44</v>
      </c>
      <c r="AU48" s="66">
        <v>249.37</v>
      </c>
      <c r="AV48" s="56">
        <v>12.0</v>
      </c>
      <c r="AW48" s="66">
        <v>2992.44</v>
      </c>
      <c r="AX48" s="66">
        <v>0.0</v>
      </c>
      <c r="AY48" s="66">
        <v>2992.44</v>
      </c>
      <c r="AZ48" s="66">
        <v>748.1100000000001</v>
      </c>
      <c r="BA48" s="66">
        <v>2244.33</v>
      </c>
      <c r="BB48" s="79" t="s">
        <v>462</v>
      </c>
      <c r="BC48" s="56">
        <v>1.51132022236941E14</v>
      </c>
      <c r="BD48" s="64" t="s">
        <v>110</v>
      </c>
      <c r="BE48" s="66" t="s">
        <v>110</v>
      </c>
      <c r="BF48" s="64"/>
      <c r="BG48" s="65"/>
      <c r="BH48" s="65">
        <v>200000.0</v>
      </c>
      <c r="BI48" s="64" t="s">
        <v>153</v>
      </c>
      <c r="BJ48" s="65"/>
      <c r="BK48" s="64" t="s">
        <v>130</v>
      </c>
      <c r="BL48" s="67" t="s">
        <v>180</v>
      </c>
      <c r="BM48" s="64" t="s">
        <v>138</v>
      </c>
      <c r="BN48" s="63"/>
      <c r="BO48" s="63"/>
      <c r="BP48" s="66"/>
      <c r="BQ48" s="66"/>
      <c r="BR48" s="66"/>
      <c r="BS48" s="66">
        <v>2992.44</v>
      </c>
      <c r="BT48" s="66">
        <v>2992.44</v>
      </c>
      <c r="BU48" s="64" t="s">
        <v>155</v>
      </c>
      <c r="BV48" s="64"/>
      <c r="BW48" s="66"/>
      <c r="BX48" s="54"/>
      <c r="BY48" s="54"/>
      <c r="BZ48" s="63"/>
      <c r="CA48" s="54"/>
      <c r="CB48" s="54" t="s">
        <v>134</v>
      </c>
      <c r="CC48" s="54" t="s">
        <v>135</v>
      </c>
      <c r="CD48" s="54" t="s">
        <v>136</v>
      </c>
      <c r="CE48" s="56"/>
      <c r="CF48" s="54" t="s">
        <v>161</v>
      </c>
      <c r="CG48" s="63"/>
      <c r="CH48" s="63">
        <v>45148.0</v>
      </c>
      <c r="CI48" s="63" t="s">
        <v>138</v>
      </c>
      <c r="CJ48" s="66">
        <v>2897.64</v>
      </c>
      <c r="CK48" s="63">
        <v>44781.0</v>
      </c>
      <c r="CL48" s="66" t="s">
        <v>195</v>
      </c>
      <c r="CM48" s="53" t="s">
        <v>139</v>
      </c>
      <c r="CN48" s="79" t="s">
        <v>462</v>
      </c>
      <c r="CO48" s="64"/>
      <c r="CP48" s="66"/>
      <c r="CQ48" s="80"/>
      <c r="CR48" s="80" t="s">
        <v>117</v>
      </c>
      <c r="CS48" s="80"/>
      <c r="CT48" s="80"/>
      <c r="CU48" s="80"/>
      <c r="CV48" s="66">
        <v>2244.33</v>
      </c>
      <c r="CW48" s="66">
        <v>0.0</v>
      </c>
      <c r="CX48" s="63">
        <v>44580.0</v>
      </c>
      <c r="CY48" s="56">
        <v>1.0</v>
      </c>
      <c r="CZ48" s="81" t="str">
        <f>IFERROR(__xludf.DUMMYFUNCTION("""COMPUTED_VALUE"""),"PRODENT ")</f>
        <v>PRODENT </v>
      </c>
      <c r="DA48" s="81" t="str">
        <f>IFERROR(__xludf.DUMMYFUNCTION("""COMPUTED_VALUE"""),"Contratação de suporte e atualização para licenças de software odontológico")</f>
        <v>Contratação de suporte e atualização para licenças de software odontológico</v>
      </c>
      <c r="DB48" s="81" t="s">
        <v>278</v>
      </c>
      <c r="DC48" s="81" t="s">
        <v>214</v>
      </c>
      <c r="DD48" s="81" t="s">
        <v>215</v>
      </c>
      <c r="DE48" s="81" t="s">
        <v>304</v>
      </c>
      <c r="DF48" s="81" t="s">
        <v>118</v>
      </c>
      <c r="DG48" s="81" t="s">
        <v>217</v>
      </c>
      <c r="DH48" s="56"/>
    </row>
    <row r="49" ht="16.5" customHeight="1">
      <c r="A49" s="73">
        <v>15373.0</v>
      </c>
      <c r="B49" s="50">
        <v>15373.0</v>
      </c>
      <c r="C49" s="53" t="s">
        <v>466</v>
      </c>
      <c r="D49" s="52" t="s">
        <v>112</v>
      </c>
      <c r="E49" s="52" t="s">
        <v>113</v>
      </c>
      <c r="F49" s="52" t="s">
        <v>114</v>
      </c>
      <c r="G49" s="52" t="str">
        <f>IFERROR(__xludf.DUMMYFUNCTION("""COMPUTED_VALUE"""),"(ID PAAC 15373) SO SUPORTE - Contratação de suporte e operação de infraestrutura de TIC/PJe - PO CSJT, inclui suporte Linux, contrato obrigatório dedicado ao PJe")</f>
        <v>(ID PAAC 15373) SO SUPORTE - Contratação de suporte e operação de infraestrutura de TIC/PJe - PO CSJT, inclui suporte Linux, contrato obrigatório dedicado ao PJe</v>
      </c>
      <c r="H49" s="53" t="s">
        <v>115</v>
      </c>
      <c r="I49" s="53" t="s">
        <v>116</v>
      </c>
      <c r="J49" s="53" t="s">
        <v>116</v>
      </c>
      <c r="K49" s="54" t="s">
        <v>117</v>
      </c>
      <c r="L49" s="55">
        <v>0.0</v>
      </c>
      <c r="M49" s="56">
        <v>3.3904007E7</v>
      </c>
      <c r="N49" s="56">
        <v>0.0</v>
      </c>
      <c r="O49" s="50">
        <v>168107.0</v>
      </c>
      <c r="P49" s="52" t="s">
        <v>110</v>
      </c>
      <c r="Q49" s="53" t="s">
        <v>119</v>
      </c>
      <c r="R49" s="53" t="s">
        <v>144</v>
      </c>
      <c r="S49" s="53"/>
      <c r="T49" s="53"/>
      <c r="U49" s="90" t="s">
        <v>122</v>
      </c>
      <c r="V49" s="58"/>
      <c r="W49" s="58" t="s">
        <v>467</v>
      </c>
      <c r="X49" s="53" t="s">
        <v>173</v>
      </c>
      <c r="Y49" s="53" t="s">
        <v>138</v>
      </c>
      <c r="Z49" s="53" t="s">
        <v>125</v>
      </c>
      <c r="AA49" s="75" t="s">
        <v>468</v>
      </c>
      <c r="AB49" s="50">
        <v>4.892991000115E12</v>
      </c>
      <c r="AC49" s="54" t="s">
        <v>469</v>
      </c>
      <c r="AD49" s="93">
        <v>44779.0</v>
      </c>
      <c r="AE49" s="63">
        <v>44869.0</v>
      </c>
      <c r="AF49" s="64" t="s">
        <v>177</v>
      </c>
      <c r="AG49" s="65">
        <v>1.0</v>
      </c>
      <c r="AH49" s="66">
        <v>42000.0</v>
      </c>
      <c r="AI49" s="64" t="s">
        <v>118</v>
      </c>
      <c r="AJ49" s="66">
        <v>179640.0</v>
      </c>
      <c r="AK49" s="64" t="s">
        <v>178</v>
      </c>
      <c r="AL49" s="78"/>
      <c r="AM49" s="78"/>
      <c r="AN49" s="78">
        <v>0.0</v>
      </c>
      <c r="AO49" s="78">
        <v>42000.0</v>
      </c>
      <c r="AP49" s="58" t="s">
        <v>470</v>
      </c>
      <c r="AQ49" s="78">
        <v>84000.0</v>
      </c>
      <c r="AR49" s="66">
        <v>42000.0</v>
      </c>
      <c r="AS49" s="66"/>
      <c r="AT49" s="66">
        <v>42000.0</v>
      </c>
      <c r="AU49" s="66">
        <v>3500.0</v>
      </c>
      <c r="AV49" s="56">
        <v>12.0</v>
      </c>
      <c r="AW49" s="66">
        <v>42000.0</v>
      </c>
      <c r="AX49" s="66">
        <v>0.0</v>
      </c>
      <c r="AY49" s="66">
        <v>42000.0</v>
      </c>
      <c r="AZ49" s="66">
        <v>10500.0</v>
      </c>
      <c r="BA49" s="66">
        <v>31500.0</v>
      </c>
      <c r="BB49" s="79" t="s">
        <v>468</v>
      </c>
      <c r="BC49" s="56">
        <v>1.51132022236938E14</v>
      </c>
      <c r="BD49" s="64" t="s">
        <v>110</v>
      </c>
      <c r="BE49" s="66" t="s">
        <v>110</v>
      </c>
      <c r="BF49" s="64"/>
      <c r="BG49" s="65"/>
      <c r="BH49" s="65">
        <v>300000.0</v>
      </c>
      <c r="BI49" s="64" t="s">
        <v>129</v>
      </c>
      <c r="BJ49" s="65"/>
      <c r="BK49" s="64" t="s">
        <v>130</v>
      </c>
      <c r="BL49" s="67" t="s">
        <v>125</v>
      </c>
      <c r="BM49" s="52" t="s">
        <v>138</v>
      </c>
      <c r="BN49" s="63"/>
      <c r="BO49" s="63"/>
      <c r="BP49" s="66"/>
      <c r="BQ49" s="66"/>
      <c r="BR49" s="66"/>
      <c r="BS49" s="66">
        <v>42000.0</v>
      </c>
      <c r="BT49" s="66">
        <v>42000.0</v>
      </c>
      <c r="BU49" s="64" t="s">
        <v>155</v>
      </c>
      <c r="BV49" s="64" t="s">
        <v>471</v>
      </c>
      <c r="BW49" s="54" t="s">
        <v>472</v>
      </c>
      <c r="BX49" s="54"/>
      <c r="BY49" s="54" t="s">
        <v>473</v>
      </c>
      <c r="BZ49" s="63"/>
      <c r="CA49" s="54"/>
      <c r="CB49" s="54" t="s">
        <v>159</v>
      </c>
      <c r="CC49" s="54" t="s">
        <v>474</v>
      </c>
      <c r="CD49" s="54" t="s">
        <v>136</v>
      </c>
      <c r="CE49" s="56"/>
      <c r="CF49" s="54" t="s">
        <v>161</v>
      </c>
      <c r="CG49" s="63"/>
      <c r="CH49" s="63">
        <v>45234.0</v>
      </c>
      <c r="CI49" s="63" t="s">
        <v>138</v>
      </c>
      <c r="CJ49" s="66">
        <v>179640.0</v>
      </c>
      <c r="CK49" s="119">
        <v>44774.0</v>
      </c>
      <c r="CL49" s="112" t="s">
        <v>138</v>
      </c>
      <c r="CM49" s="120" t="s">
        <v>139</v>
      </c>
      <c r="CN49" s="117" t="s">
        <v>468</v>
      </c>
      <c r="CO49" s="113"/>
      <c r="CP49" s="112"/>
      <c r="CQ49" s="122"/>
      <c r="CR49" s="122" t="s">
        <v>117</v>
      </c>
      <c r="CS49" s="122"/>
      <c r="CT49" s="122"/>
      <c r="CU49" s="122"/>
      <c r="CV49" s="112">
        <v>31500.0</v>
      </c>
      <c r="CW49" s="112">
        <v>0.0</v>
      </c>
      <c r="CX49" s="119">
        <v>44581.0</v>
      </c>
      <c r="CY49" s="116">
        <v>1.0</v>
      </c>
      <c r="CZ49" s="121" t="str">
        <f>IFERROR(__xludf.DUMMYFUNCTION("""COMPUTED_VALUE"""),"SO SUPORTE ")</f>
        <v>SO SUPORTE </v>
      </c>
      <c r="DA49" s="121" t="str">
        <f>IFERROR(__xludf.DUMMYFUNCTION("""COMPUTED_VALUE"""),"Contratação de suporte e operação de infraestrutura de TIC/PJePO CSJT, inclui suporte Linux, contrato obrigatório dedicado ao PJe")</f>
        <v>Contratação de suporte e operação de infraestrutura de TIC/PJePO CSJT, inclui suporte Linux, contrato obrigatório dedicado ao PJe</v>
      </c>
      <c r="DB49" s="121" t="s">
        <v>340</v>
      </c>
      <c r="DC49" s="121" t="s">
        <v>214</v>
      </c>
      <c r="DD49" s="121" t="s">
        <v>215</v>
      </c>
      <c r="DE49" s="121" t="s">
        <v>216</v>
      </c>
      <c r="DF49" s="121" t="s">
        <v>118</v>
      </c>
      <c r="DG49" s="121" t="s">
        <v>217</v>
      </c>
      <c r="DH49" s="116"/>
    </row>
    <row r="50" ht="16.5" customHeight="1">
      <c r="A50" s="73">
        <v>15374.0</v>
      </c>
      <c r="B50" s="50">
        <v>0.0</v>
      </c>
      <c r="C50" s="53" t="s">
        <v>475</v>
      </c>
      <c r="D50" s="52" t="s">
        <v>342</v>
      </c>
      <c r="E50" s="52" t="s">
        <v>219</v>
      </c>
      <c r="F50" s="52" t="s">
        <v>114</v>
      </c>
      <c r="G50" s="52" t="str">
        <f>IFERROR(__xludf.DUMMYFUNCTION("""COMPUTED_VALUE"""),"(ID PAAC 15374) VIDEOCONFERÊNCIAS EQUIPAMENTOS - Aquisição de câmeras com microfone")</f>
        <v>(ID PAAC 15374) VIDEOCONFERÊNCIAS EQUIPAMENTOS - Aquisição de câmeras com microfone</v>
      </c>
      <c r="H50" s="53" t="s">
        <v>245</v>
      </c>
      <c r="I50" s="53" t="s">
        <v>116</v>
      </c>
      <c r="J50" s="53" t="s">
        <v>116</v>
      </c>
      <c r="K50" s="54" t="s">
        <v>117</v>
      </c>
      <c r="L50" s="55">
        <v>0.0</v>
      </c>
      <c r="M50" s="56"/>
      <c r="N50" s="56">
        <v>0.0</v>
      </c>
      <c r="O50" s="50">
        <v>168105.0</v>
      </c>
      <c r="P50" s="52" t="s">
        <v>118</v>
      </c>
      <c r="Q50" s="53" t="s">
        <v>143</v>
      </c>
      <c r="R50" s="53" t="s">
        <v>144</v>
      </c>
      <c r="S50" s="53"/>
      <c r="T50" s="53" t="s">
        <v>314</v>
      </c>
      <c r="U50" s="90" t="s">
        <v>326</v>
      </c>
      <c r="V50" s="58" t="s">
        <v>476</v>
      </c>
      <c r="W50" s="58"/>
      <c r="X50" s="53" t="s">
        <v>124</v>
      </c>
      <c r="Y50" s="53" t="s">
        <v>162</v>
      </c>
      <c r="Z50" s="53" t="s">
        <v>148</v>
      </c>
      <c r="AA50" s="59" t="s">
        <v>176</v>
      </c>
      <c r="AB50" s="50" t="e">
        <v>#N/A</v>
      </c>
      <c r="AC50" s="54" t="e">
        <v>#N/A</v>
      </c>
      <c r="AD50" s="93">
        <v>44697.0</v>
      </c>
      <c r="AE50" s="63">
        <v>44742.0</v>
      </c>
      <c r="AF50" s="64" t="s">
        <v>127</v>
      </c>
      <c r="AG50" s="65">
        <v>200.0</v>
      </c>
      <c r="AH50" s="66">
        <v>681.5</v>
      </c>
      <c r="AI50" s="64" t="s">
        <v>118</v>
      </c>
      <c r="AJ50" s="66">
        <v>439614.0</v>
      </c>
      <c r="AK50" s="78"/>
      <c r="AL50" s="78"/>
      <c r="AM50" s="78"/>
      <c r="AN50" s="78">
        <v>0.0</v>
      </c>
      <c r="AO50" s="78">
        <v>136300.0</v>
      </c>
      <c r="AP50" s="58"/>
      <c r="AQ50" s="78">
        <v>0.0</v>
      </c>
      <c r="AR50" s="66">
        <f>500*183+100*448</f>
        <v>136300</v>
      </c>
      <c r="AS50" s="66"/>
      <c r="AT50" s="66">
        <v>136300.0</v>
      </c>
      <c r="AU50" s="66"/>
      <c r="AV50" s="56"/>
      <c r="AW50" s="66">
        <v>0.0</v>
      </c>
      <c r="AX50" s="66">
        <v>0.0</v>
      </c>
      <c r="AY50" s="66">
        <v>0.0</v>
      </c>
      <c r="AZ50" s="66">
        <v>0.0</v>
      </c>
      <c r="BA50" s="66">
        <v>0.0</v>
      </c>
      <c r="BB50" s="66" t="s">
        <v>176</v>
      </c>
      <c r="BC50" s="56"/>
      <c r="BD50" s="64" t="s">
        <v>110</v>
      </c>
      <c r="BE50" s="66"/>
      <c r="BF50" s="64"/>
      <c r="BG50" s="65"/>
      <c r="BH50" s="65">
        <v>200000.0</v>
      </c>
      <c r="BI50" s="64" t="s">
        <v>153</v>
      </c>
      <c r="BJ50" s="65"/>
      <c r="BK50" s="64" t="s">
        <v>247</v>
      </c>
      <c r="BL50" s="67"/>
      <c r="BM50" s="52" t="s">
        <v>162</v>
      </c>
      <c r="BN50" s="63"/>
      <c r="BO50" s="63"/>
      <c r="BP50" s="66"/>
      <c r="BQ50" s="66"/>
      <c r="BR50" s="66"/>
      <c r="BS50" s="66">
        <v>136300.0</v>
      </c>
      <c r="BT50" s="66">
        <v>136300.0</v>
      </c>
      <c r="BU50" s="64" t="e">
        <v>#N/A</v>
      </c>
      <c r="BV50" s="64"/>
      <c r="BW50" s="54"/>
      <c r="BX50" s="54"/>
      <c r="BY50" s="54"/>
      <c r="BZ50" s="63"/>
      <c r="CA50" s="54"/>
      <c r="CB50" s="54" t="s">
        <v>134</v>
      </c>
      <c r="CC50" s="54" t="s">
        <v>135</v>
      </c>
      <c r="CD50" s="54" t="e">
        <v>#N/A</v>
      </c>
      <c r="CE50" s="56"/>
      <c r="CF50" s="54" t="e">
        <v>#N/A</v>
      </c>
      <c r="CG50" s="63"/>
      <c r="CH50" s="63">
        <v>45107.0</v>
      </c>
      <c r="CI50" s="63" t="s">
        <v>162</v>
      </c>
      <c r="CJ50" s="66"/>
      <c r="CK50" s="119"/>
      <c r="CL50" s="112"/>
      <c r="CM50" s="120"/>
      <c r="CN50" s="112" t="s">
        <v>176</v>
      </c>
      <c r="CO50" s="113"/>
      <c r="CP50" s="112"/>
      <c r="CQ50" s="122"/>
      <c r="CR50" s="122"/>
      <c r="CS50" s="122"/>
      <c r="CT50" s="122"/>
      <c r="CU50" s="122"/>
      <c r="CV50" s="112">
        <v>0.0</v>
      </c>
      <c r="CW50" s="112">
        <v>0.0</v>
      </c>
      <c r="CX50" s="119" t="e">
        <v>#N/A</v>
      </c>
      <c r="CY50" s="116"/>
      <c r="CZ50" s="121" t="str">
        <f>IFERROR(__xludf.DUMMYFUNCTION("""COMPUTED_VALUE"""),"VIDEOCONFERÊNCIAS EQUIPAMENTOS ")</f>
        <v>VIDEOCONFERÊNCIAS EQUIPAMENTOS </v>
      </c>
      <c r="DA50" s="121" t="str">
        <f>IFERROR(__xludf.DUMMYFUNCTION("""COMPUTED_VALUE"""),"Aquisição de câmeras com microfone")</f>
        <v>Aquisição de câmeras com microfone</v>
      </c>
      <c r="DB50" s="121" t="s">
        <v>435</v>
      </c>
      <c r="DC50" s="121" t="s">
        <v>346</v>
      </c>
      <c r="DD50" s="121" t="s">
        <v>215</v>
      </c>
      <c r="DE50" s="121" t="s">
        <v>216</v>
      </c>
      <c r="DF50" s="121" t="s">
        <v>110</v>
      </c>
      <c r="DG50" s="121" t="s">
        <v>279</v>
      </c>
      <c r="DH50" s="116"/>
    </row>
    <row r="51" ht="16.5" customHeight="1">
      <c r="A51" s="73">
        <v>15376.0</v>
      </c>
      <c r="B51" s="50">
        <v>0.0</v>
      </c>
      <c r="C51" s="53" t="s">
        <v>477</v>
      </c>
      <c r="D51" s="52" t="s">
        <v>243</v>
      </c>
      <c r="E51" s="52" t="s">
        <v>113</v>
      </c>
      <c r="F51" s="52" t="s">
        <v>312</v>
      </c>
      <c r="G51" s="52" t="str">
        <f>IFERROR(__xludf.DUMMYFUNCTION("""COMPUTED_VALUE"""),"(ID PAAC 15376) NOBREAKS EQUIPAMENTOS - Aquisição de equipamentos de 8 e 10 kVA")</f>
        <v>(ID PAAC 15376) NOBREAKS EQUIPAMENTOS - Aquisição de equipamentos de 8 e 10 kVA</v>
      </c>
      <c r="H51" s="53" t="s">
        <v>245</v>
      </c>
      <c r="I51" s="53" t="s">
        <v>116</v>
      </c>
      <c r="J51" s="53" t="s">
        <v>116</v>
      </c>
      <c r="K51" s="54" t="s">
        <v>313</v>
      </c>
      <c r="L51" s="55">
        <v>0.0</v>
      </c>
      <c r="M51" s="56">
        <v>4.4905235E7</v>
      </c>
      <c r="N51" s="56">
        <v>0.0</v>
      </c>
      <c r="O51" s="50">
        <v>168105.0</v>
      </c>
      <c r="P51" s="52" t="s">
        <v>118</v>
      </c>
      <c r="Q51" s="53" t="s">
        <v>119</v>
      </c>
      <c r="R51" s="53" t="s">
        <v>144</v>
      </c>
      <c r="S51" s="53"/>
      <c r="T51" s="53"/>
      <c r="U51" s="82" t="s">
        <v>315</v>
      </c>
      <c r="V51" s="58" t="s">
        <v>478</v>
      </c>
      <c r="W51" s="58" t="s">
        <v>479</v>
      </c>
      <c r="X51" s="53" t="s">
        <v>124</v>
      </c>
      <c r="Y51" s="53" t="s">
        <v>125</v>
      </c>
      <c r="Z51" s="53" t="s">
        <v>125</v>
      </c>
      <c r="AA51" s="75" t="s">
        <v>480</v>
      </c>
      <c r="AB51" s="50" t="e">
        <v>#N/A</v>
      </c>
      <c r="AC51" s="54" t="e">
        <v>#N/A</v>
      </c>
      <c r="AD51" s="83">
        <v>44603.0</v>
      </c>
      <c r="AE51" s="63">
        <v>44713.0</v>
      </c>
      <c r="AF51" s="64" t="s">
        <v>127</v>
      </c>
      <c r="AG51" s="65">
        <f>18+7</f>
        <v>25</v>
      </c>
      <c r="AH51" s="66">
        <v>34741.542400000006</v>
      </c>
      <c r="AI51" s="64" t="s">
        <v>118</v>
      </c>
      <c r="AJ51" s="66"/>
      <c r="AK51" s="66"/>
      <c r="AL51" s="66"/>
      <c r="AM51" s="66"/>
      <c r="AN51" s="66">
        <v>0.0</v>
      </c>
      <c r="AO51" s="66">
        <v>868538.56</v>
      </c>
      <c r="AP51" s="58"/>
      <c r="AQ51" s="66">
        <v>0.0</v>
      </c>
      <c r="AR51" s="66">
        <v>868538.56</v>
      </c>
      <c r="AS51" s="66"/>
      <c r="AT51" s="66">
        <v>868538.56</v>
      </c>
      <c r="AU51" s="66">
        <v>0.0</v>
      </c>
      <c r="AV51" s="56">
        <v>0.0</v>
      </c>
      <c r="AW51" s="66">
        <v>0.0</v>
      </c>
      <c r="AX51" s="66">
        <v>0.0</v>
      </c>
      <c r="AY51" s="66">
        <v>0.0</v>
      </c>
      <c r="AZ51" s="66">
        <v>0.0</v>
      </c>
      <c r="BA51" s="66">
        <v>0.0</v>
      </c>
      <c r="BB51" s="79" t="s">
        <v>480</v>
      </c>
      <c r="BC51" s="56"/>
      <c r="BD51" s="64" t="s">
        <v>110</v>
      </c>
      <c r="BE51" s="66" t="s">
        <v>118</v>
      </c>
      <c r="BF51" s="64"/>
      <c r="BG51" s="65"/>
      <c r="BH51" s="65">
        <v>300000.0</v>
      </c>
      <c r="BI51" s="64" t="s">
        <v>129</v>
      </c>
      <c r="BJ51" s="65"/>
      <c r="BK51" s="64" t="s">
        <v>247</v>
      </c>
      <c r="BL51" s="67"/>
      <c r="BM51" s="52" t="s">
        <v>125</v>
      </c>
      <c r="BN51" s="63">
        <v>44501.0</v>
      </c>
      <c r="BO51" s="63">
        <v>44515.0</v>
      </c>
      <c r="BP51" s="66"/>
      <c r="BQ51" s="66"/>
      <c r="BR51" s="66"/>
      <c r="BS51" s="66">
        <v>868538.56</v>
      </c>
      <c r="BT51" s="66">
        <v>868538.56</v>
      </c>
      <c r="BU51" s="64" t="s">
        <v>481</v>
      </c>
      <c r="BV51" s="64"/>
      <c r="BW51" s="66"/>
      <c r="BX51" s="54"/>
      <c r="BY51" s="54"/>
      <c r="BZ51" s="63"/>
      <c r="CA51" s="54"/>
      <c r="CB51" s="54" t="s">
        <v>134</v>
      </c>
      <c r="CC51" s="54" t="s">
        <v>135</v>
      </c>
      <c r="CD51" s="54" t="s">
        <v>362</v>
      </c>
      <c r="CE51" s="56"/>
      <c r="CF51" s="54" t="s">
        <v>482</v>
      </c>
      <c r="CG51" s="63">
        <v>44966.0</v>
      </c>
      <c r="CH51" s="63">
        <v>45078.0</v>
      </c>
      <c r="CI51" s="63" t="s">
        <v>125</v>
      </c>
      <c r="CJ51" s="66"/>
      <c r="CK51" s="63"/>
      <c r="CL51" s="66"/>
      <c r="CM51" s="53"/>
      <c r="CN51" s="79" t="s">
        <v>480</v>
      </c>
      <c r="CO51" s="64"/>
      <c r="CP51" s="66"/>
      <c r="CQ51" s="80"/>
      <c r="CR51" s="80"/>
      <c r="CS51" s="80"/>
      <c r="CT51" s="80"/>
      <c r="CU51" s="80"/>
      <c r="CV51" s="66">
        <v>0.0</v>
      </c>
      <c r="CW51" s="66">
        <v>0.0</v>
      </c>
      <c r="CX51" s="63" t="e">
        <v>#N/A</v>
      </c>
      <c r="CY51" s="56"/>
      <c r="CZ51" s="81" t="str">
        <f>IFERROR(__xludf.DUMMYFUNCTION("""COMPUTED_VALUE"""),"NOBREAKS EQUIPAMENTOS ")</f>
        <v>NOBREAKS EQUIPAMENTOS </v>
      </c>
      <c r="DA51" s="81" t="str">
        <f>IFERROR(__xludf.DUMMYFUNCTION("""COMPUTED_VALUE"""),"Aquisição de equipamentos de 8 e 10 kVA")</f>
        <v>Aquisição de equipamentos de 8 e 10 kVA</v>
      </c>
      <c r="DB51" s="81" t="s">
        <v>278</v>
      </c>
      <c r="DC51" s="81" t="s">
        <v>320</v>
      </c>
      <c r="DD51" s="81" t="s">
        <v>321</v>
      </c>
      <c r="DE51" s="81" t="s">
        <v>216</v>
      </c>
      <c r="DF51" s="81" t="s">
        <v>118</v>
      </c>
      <c r="DG51" s="81" t="s">
        <v>279</v>
      </c>
      <c r="DH51" s="56"/>
    </row>
    <row r="52" ht="16.5" customHeight="1">
      <c r="A52" s="73">
        <v>15379.0</v>
      </c>
      <c r="B52" s="50">
        <v>0.0</v>
      </c>
      <c r="C52" s="53" t="s">
        <v>483</v>
      </c>
      <c r="D52" s="52" t="s">
        <v>243</v>
      </c>
      <c r="E52" s="52" t="s">
        <v>113</v>
      </c>
      <c r="F52" s="52" t="s">
        <v>203</v>
      </c>
      <c r="G52" s="52" t="str">
        <f>IFERROR(__xludf.DUMMYFUNCTION("""COMPUTED_VALUE"""),"(ID PAAC 15379) NOBREAKS BATERIAS - Aquisição baterias dos Nobreaks de 40kVA (SUVT)")</f>
        <v>(ID PAAC 15379) NOBREAKS BATERIAS - Aquisição baterias dos Nobreaks de 40kVA (SUVT)</v>
      </c>
      <c r="H52" s="53" t="s">
        <v>245</v>
      </c>
      <c r="I52" s="53" t="s">
        <v>116</v>
      </c>
      <c r="J52" s="53" t="s">
        <v>116</v>
      </c>
      <c r="K52" s="54" t="s">
        <v>117</v>
      </c>
      <c r="L52" s="55">
        <v>0.0</v>
      </c>
      <c r="M52" s="56">
        <v>3.3904007E7</v>
      </c>
      <c r="N52" s="56">
        <v>0.0</v>
      </c>
      <c r="O52" s="56">
        <v>168105.0</v>
      </c>
      <c r="P52" s="64" t="s">
        <v>118</v>
      </c>
      <c r="Q52" s="53" t="s">
        <v>119</v>
      </c>
      <c r="R52" s="53" t="s">
        <v>144</v>
      </c>
      <c r="S52" s="53"/>
      <c r="T52" s="53"/>
      <c r="U52" s="82" t="s">
        <v>122</v>
      </c>
      <c r="V52" s="58"/>
      <c r="W52" s="58"/>
      <c r="X52" s="53" t="s">
        <v>124</v>
      </c>
      <c r="Y52" s="53" t="s">
        <v>418</v>
      </c>
      <c r="Z52" s="53" t="s">
        <v>167</v>
      </c>
      <c r="AA52" s="59" t="s">
        <v>176</v>
      </c>
      <c r="AB52" s="50" t="e">
        <v>#N/A</v>
      </c>
      <c r="AC52" s="54" t="e">
        <v>#N/A</v>
      </c>
      <c r="AD52" s="83">
        <v>44795.0</v>
      </c>
      <c r="AE52" s="63">
        <v>44805.0</v>
      </c>
      <c r="AF52" s="64" t="s">
        <v>127</v>
      </c>
      <c r="AG52" s="65">
        <v>3.0</v>
      </c>
      <c r="AH52" s="66">
        <v>33333.333333333336</v>
      </c>
      <c r="AI52" s="64" t="s">
        <v>118</v>
      </c>
      <c r="AJ52" s="66"/>
      <c r="AK52" s="66"/>
      <c r="AL52" s="66"/>
      <c r="AM52" s="66"/>
      <c r="AN52" s="66">
        <v>-65000.0</v>
      </c>
      <c r="AO52" s="66">
        <v>165000.0</v>
      </c>
      <c r="AP52" s="58"/>
      <c r="AQ52" s="66">
        <v>0.0</v>
      </c>
      <c r="AR52" s="66">
        <v>100000.0</v>
      </c>
      <c r="AS52" s="66"/>
      <c r="AT52" s="66">
        <v>100000.0</v>
      </c>
      <c r="AU52" s="66"/>
      <c r="AV52" s="56"/>
      <c r="AW52" s="66">
        <v>0.0</v>
      </c>
      <c r="AX52" s="66">
        <v>0.0</v>
      </c>
      <c r="AY52" s="66">
        <v>0.0</v>
      </c>
      <c r="AZ52" s="66">
        <v>0.0</v>
      </c>
      <c r="BA52" s="66">
        <v>0.0</v>
      </c>
      <c r="BB52" s="66" t="s">
        <v>176</v>
      </c>
      <c r="BC52" s="56"/>
      <c r="BD52" s="64" t="s">
        <v>110</v>
      </c>
      <c r="BE52" s="66"/>
      <c r="BF52" s="64"/>
      <c r="BG52" s="65"/>
      <c r="BH52" s="65">
        <v>300000.0</v>
      </c>
      <c r="BI52" s="64" t="s">
        <v>129</v>
      </c>
      <c r="BJ52" s="65"/>
      <c r="BK52" s="64" t="s">
        <v>247</v>
      </c>
      <c r="BL52" s="67"/>
      <c r="BM52" s="64" t="s">
        <v>418</v>
      </c>
      <c r="BN52" s="63"/>
      <c r="BO52" s="63"/>
      <c r="BP52" s="66"/>
      <c r="BQ52" s="66"/>
      <c r="BR52" s="66"/>
      <c r="BS52" s="66">
        <v>100000.0</v>
      </c>
      <c r="BT52" s="66">
        <v>100000.0</v>
      </c>
      <c r="BU52" s="64" t="s">
        <v>155</v>
      </c>
      <c r="BV52" s="66"/>
      <c r="BW52" s="66"/>
      <c r="BX52" s="54"/>
      <c r="BY52" s="54"/>
      <c r="BZ52" s="68"/>
      <c r="CA52" s="54"/>
      <c r="CB52" s="54" t="s">
        <v>134</v>
      </c>
      <c r="CC52" s="54" t="s">
        <v>135</v>
      </c>
      <c r="CD52" s="54" t="s">
        <v>136</v>
      </c>
      <c r="CE52" s="56"/>
      <c r="CF52" s="54" t="s">
        <v>161</v>
      </c>
      <c r="CG52" s="63"/>
      <c r="CH52" s="63">
        <v>45170.0</v>
      </c>
      <c r="CI52" s="63" t="s">
        <v>418</v>
      </c>
      <c r="CJ52" s="66"/>
      <c r="CK52" s="119"/>
      <c r="CL52" s="112"/>
      <c r="CM52" s="120"/>
      <c r="CN52" s="112" t="s">
        <v>176</v>
      </c>
      <c r="CO52" s="113"/>
      <c r="CP52" s="112"/>
      <c r="CQ52" s="122"/>
      <c r="CR52" s="122"/>
      <c r="CS52" s="122"/>
      <c r="CT52" s="122"/>
      <c r="CU52" s="122"/>
      <c r="CV52" s="112">
        <v>0.0</v>
      </c>
      <c r="CW52" s="112">
        <v>0.0</v>
      </c>
      <c r="CX52" s="119" t="e">
        <v>#N/A</v>
      </c>
      <c r="CY52" s="116"/>
      <c r="CZ52" s="121" t="str">
        <f>IFERROR(__xludf.DUMMYFUNCTION("""COMPUTED_VALUE"""),"NOBREAKS BATERIAS ")</f>
        <v>NOBREAKS BATERIAS </v>
      </c>
      <c r="DA52" s="121" t="str">
        <f>IFERROR(__xludf.DUMMYFUNCTION("""COMPUTED_VALUE"""),"Aquisição baterias dos Nobreaks de 40kVA (SUVT)")</f>
        <v>Aquisição baterias dos Nobreaks de 40kVA (SUVT)</v>
      </c>
      <c r="DB52" s="121" t="s">
        <v>278</v>
      </c>
      <c r="DC52" s="121" t="s">
        <v>346</v>
      </c>
      <c r="DD52" s="121" t="s">
        <v>215</v>
      </c>
      <c r="DE52" s="121" t="s">
        <v>180</v>
      </c>
      <c r="DF52" s="121" t="s">
        <v>118</v>
      </c>
      <c r="DG52" s="121" t="s">
        <v>279</v>
      </c>
      <c r="DH52" s="116"/>
    </row>
    <row r="53" ht="16.5" customHeight="1">
      <c r="A53" s="73">
        <v>15380.0</v>
      </c>
      <c r="B53" s="50">
        <v>0.0</v>
      </c>
      <c r="C53" s="53" t="s">
        <v>484</v>
      </c>
      <c r="D53" s="52" t="s">
        <v>141</v>
      </c>
      <c r="E53" s="52" t="s">
        <v>113</v>
      </c>
      <c r="F53" s="52" t="s">
        <v>114</v>
      </c>
      <c r="G53" s="52" t="str">
        <f>IFERROR(__xludf.DUMMYFUNCTION("""COMPUTED_VALUE"""),"(ID PAAC 15380) IMPRESSORAS MANUTENÇÃO - Contatação de manutenção de impressoras multifuncionais Lexmark MX722")</f>
        <v>(ID PAAC 15380) IMPRESSORAS MANUTENÇÃO - Contatação de manutenção de impressoras multifuncionais Lexmark MX722</v>
      </c>
      <c r="H53" s="53" t="s">
        <v>115</v>
      </c>
      <c r="I53" s="53" t="s">
        <v>116</v>
      </c>
      <c r="J53" s="53" t="s">
        <v>116</v>
      </c>
      <c r="K53" s="54" t="s">
        <v>117</v>
      </c>
      <c r="L53" s="55">
        <v>0.0</v>
      </c>
      <c r="M53" s="56">
        <v>3.3904012E7</v>
      </c>
      <c r="N53" s="56">
        <v>0.0</v>
      </c>
      <c r="O53" s="50">
        <v>168105.0</v>
      </c>
      <c r="P53" s="64" t="s">
        <v>118</v>
      </c>
      <c r="Q53" s="53" t="s">
        <v>143</v>
      </c>
      <c r="R53" s="53" t="s">
        <v>144</v>
      </c>
      <c r="S53" s="53"/>
      <c r="T53" s="53"/>
      <c r="U53" s="53" t="s">
        <v>122</v>
      </c>
      <c r="V53" s="58"/>
      <c r="W53" s="58"/>
      <c r="X53" s="53" t="s">
        <v>124</v>
      </c>
      <c r="Y53" s="53" t="s">
        <v>125</v>
      </c>
      <c r="Z53" s="53" t="s">
        <v>125</v>
      </c>
      <c r="AA53" s="59" t="s">
        <v>176</v>
      </c>
      <c r="AB53" s="50" t="e">
        <v>#N/A</v>
      </c>
      <c r="AC53" s="54" t="e">
        <v>#N/A</v>
      </c>
      <c r="AD53" s="85">
        <v>44735.0</v>
      </c>
      <c r="AE53" s="63">
        <v>44845.0</v>
      </c>
      <c r="AF53" s="64" t="s">
        <v>127</v>
      </c>
      <c r="AG53" s="65">
        <v>1.0</v>
      </c>
      <c r="AH53" s="66">
        <v>12000.0</v>
      </c>
      <c r="AI53" s="64" t="s">
        <v>118</v>
      </c>
      <c r="AJ53" s="66"/>
      <c r="AK53" s="64"/>
      <c r="AL53" s="66"/>
      <c r="AM53" s="66"/>
      <c r="AN53" s="66">
        <v>-36000.0</v>
      </c>
      <c r="AO53" s="66">
        <v>48000.0</v>
      </c>
      <c r="AP53" s="58"/>
      <c r="AQ53" s="66">
        <v>0.0</v>
      </c>
      <c r="AR53" s="66">
        <v>12000.0</v>
      </c>
      <c r="AS53" s="66"/>
      <c r="AT53" s="66">
        <v>12000.0</v>
      </c>
      <c r="AU53" s="66"/>
      <c r="AV53" s="56"/>
      <c r="AW53" s="66">
        <v>0.0</v>
      </c>
      <c r="AX53" s="66">
        <v>0.0</v>
      </c>
      <c r="AY53" s="66">
        <v>0.0</v>
      </c>
      <c r="AZ53" s="66">
        <v>0.0</v>
      </c>
      <c r="BA53" s="66">
        <v>0.0</v>
      </c>
      <c r="BB53" s="66" t="s">
        <v>176</v>
      </c>
      <c r="BC53" s="56"/>
      <c r="BD53" s="64" t="s">
        <v>110</v>
      </c>
      <c r="BE53" s="66"/>
      <c r="BF53" s="64"/>
      <c r="BG53" s="65"/>
      <c r="BH53" s="65">
        <v>200000.0</v>
      </c>
      <c r="BI53" s="64" t="s">
        <v>153</v>
      </c>
      <c r="BJ53" s="65"/>
      <c r="BK53" s="64" t="s">
        <v>130</v>
      </c>
      <c r="BL53" s="67"/>
      <c r="BM53" s="64" t="s">
        <v>125</v>
      </c>
      <c r="BN53" s="63"/>
      <c r="BO53" s="63"/>
      <c r="BP53" s="66"/>
      <c r="BQ53" s="66"/>
      <c r="BR53" s="66"/>
      <c r="BS53" s="66">
        <v>12000.0</v>
      </c>
      <c r="BT53" s="66">
        <v>48000.0</v>
      </c>
      <c r="BU53" s="64" t="s">
        <v>133</v>
      </c>
      <c r="BV53" s="64"/>
      <c r="BW53" s="64"/>
      <c r="BX53" s="54"/>
      <c r="BY53" s="54"/>
      <c r="BZ53" s="63"/>
      <c r="CA53" s="54"/>
      <c r="CB53" s="54" t="s">
        <v>134</v>
      </c>
      <c r="CC53" s="54" t="s">
        <v>135</v>
      </c>
      <c r="CD53" s="54" t="s">
        <v>136</v>
      </c>
      <c r="CE53" s="56"/>
      <c r="CF53" s="54" t="s">
        <v>137</v>
      </c>
      <c r="CG53" s="63">
        <v>45098.0</v>
      </c>
      <c r="CH53" s="63">
        <v>45210.0</v>
      </c>
      <c r="CI53" s="63" t="s">
        <v>125</v>
      </c>
      <c r="CJ53" s="66"/>
      <c r="CK53" s="63"/>
      <c r="CL53" s="66"/>
      <c r="CM53" s="53"/>
      <c r="CN53" s="66" t="s">
        <v>176</v>
      </c>
      <c r="CO53" s="64"/>
      <c r="CP53" s="66"/>
      <c r="CQ53" s="80"/>
      <c r="CR53" s="80"/>
      <c r="CS53" s="80"/>
      <c r="CT53" s="80"/>
      <c r="CU53" s="80"/>
      <c r="CV53" s="66">
        <v>0.0</v>
      </c>
      <c r="CW53" s="66">
        <v>0.0</v>
      </c>
      <c r="CX53" s="63" t="e">
        <v>#N/A</v>
      </c>
      <c r="CY53" s="56"/>
      <c r="CZ53" s="81" t="str">
        <f>IFERROR(__xludf.DUMMYFUNCTION("""COMPUTED_VALUE"""),"IMPRESSORAS MANUTENÇÃO ")</f>
        <v>IMPRESSORAS MANUTENÇÃO </v>
      </c>
      <c r="DA53" s="81" t="str">
        <f>IFERROR(__xludf.DUMMYFUNCTION("""COMPUTED_VALUE"""),"Contatação de manutenção de impressoras multifuncionais Lexmark MX722")</f>
        <v>Contatação de manutenção de impressoras multifuncionais Lexmark MX722</v>
      </c>
      <c r="DB53" s="81" t="s">
        <v>258</v>
      </c>
      <c r="DC53" s="81" t="s">
        <v>214</v>
      </c>
      <c r="DD53" s="81" t="s">
        <v>215</v>
      </c>
      <c r="DE53" s="81" t="s">
        <v>216</v>
      </c>
      <c r="DF53" s="81" t="s">
        <v>118</v>
      </c>
      <c r="DG53" s="81" t="s">
        <v>279</v>
      </c>
      <c r="DH53" s="56"/>
    </row>
    <row r="54" ht="16.5" customHeight="1">
      <c r="A54" s="73">
        <v>15381.0</v>
      </c>
      <c r="B54" s="50">
        <v>0.0</v>
      </c>
      <c r="C54" s="53" t="s">
        <v>485</v>
      </c>
      <c r="D54" s="52" t="s">
        <v>112</v>
      </c>
      <c r="E54" s="52" t="s">
        <v>113</v>
      </c>
      <c r="F54" s="52" t="s">
        <v>114</v>
      </c>
      <c r="G54" s="52" t="str">
        <f>IFERROR(__xludf.DUMMYFUNCTION("""COMPUTED_VALUE"""),"(ID PAAC 15381) INTERNET LINK 4 - Contratação de acesso corporativo à internet (substitui LINK 2)")</f>
        <v>(ID PAAC 15381) INTERNET LINK 4 - Contratação de acesso corporativo à internet (substitui LINK 2)</v>
      </c>
      <c r="H54" s="53" t="s">
        <v>115</v>
      </c>
      <c r="I54" s="53" t="s">
        <v>116</v>
      </c>
      <c r="J54" s="53" t="s">
        <v>116</v>
      </c>
      <c r="K54" s="54" t="s">
        <v>117</v>
      </c>
      <c r="L54" s="55">
        <v>0.0</v>
      </c>
      <c r="M54" s="56">
        <v>3.3904013E7</v>
      </c>
      <c r="N54" s="56">
        <v>0.0</v>
      </c>
      <c r="O54" s="50">
        <v>168105.0</v>
      </c>
      <c r="P54" s="64" t="s">
        <v>118</v>
      </c>
      <c r="Q54" s="53" t="s">
        <v>119</v>
      </c>
      <c r="R54" s="53" t="s">
        <v>144</v>
      </c>
      <c r="S54" s="53"/>
      <c r="T54" s="53"/>
      <c r="U54" s="53" t="s">
        <v>145</v>
      </c>
      <c r="V54" s="107"/>
      <c r="W54" s="58" t="s">
        <v>486</v>
      </c>
      <c r="X54" s="53" t="s">
        <v>173</v>
      </c>
      <c r="Y54" s="53" t="s">
        <v>147</v>
      </c>
      <c r="Z54" s="53" t="s">
        <v>125</v>
      </c>
      <c r="AA54" s="75" t="s">
        <v>487</v>
      </c>
      <c r="AB54" s="50">
        <v>1.479874000012E13</v>
      </c>
      <c r="AC54" s="54" t="s">
        <v>200</v>
      </c>
      <c r="AD54" s="83">
        <v>45435.0</v>
      </c>
      <c r="AE54" s="91">
        <v>45435.0</v>
      </c>
      <c r="AF54" s="64" t="s">
        <v>177</v>
      </c>
      <c r="AG54" s="65">
        <v>1.0</v>
      </c>
      <c r="AH54" s="77">
        <v>22800.0</v>
      </c>
      <c r="AI54" s="64" t="s">
        <v>118</v>
      </c>
      <c r="AJ54" s="114"/>
      <c r="AK54" s="64" t="s">
        <v>178</v>
      </c>
      <c r="AL54" s="115"/>
      <c r="AM54" s="115"/>
      <c r="AN54" s="115">
        <v>12350.0</v>
      </c>
      <c r="AO54" s="115">
        <v>10450.0</v>
      </c>
      <c r="AP54" s="58" t="s">
        <v>488</v>
      </c>
      <c r="AQ54" s="115">
        <v>0.0</v>
      </c>
      <c r="AR54" s="66">
        <v>22800.0</v>
      </c>
      <c r="AS54" s="66"/>
      <c r="AT54" s="66">
        <v>22800.0</v>
      </c>
      <c r="AU54" s="66">
        <v>1900.0</v>
      </c>
      <c r="AV54" s="92">
        <v>12.0</v>
      </c>
      <c r="AW54" s="66">
        <v>22800.0</v>
      </c>
      <c r="AX54" s="66">
        <v>0.0</v>
      </c>
      <c r="AY54" s="77">
        <v>22800.0</v>
      </c>
      <c r="AZ54" s="66">
        <v>5700.0</v>
      </c>
      <c r="BA54" s="66">
        <v>17100.0</v>
      </c>
      <c r="BB54" s="79" t="s">
        <v>487</v>
      </c>
      <c r="BC54" s="56"/>
      <c r="BD54" s="64" t="s">
        <v>118</v>
      </c>
      <c r="BE54" s="66"/>
      <c r="BF54" s="64"/>
      <c r="BG54" s="65"/>
      <c r="BH54" s="65">
        <v>300000.0</v>
      </c>
      <c r="BI54" s="64" t="s">
        <v>129</v>
      </c>
      <c r="BJ54" s="65"/>
      <c r="BK54" s="64" t="s">
        <v>130</v>
      </c>
      <c r="BL54" s="67"/>
      <c r="BM54" s="64" t="s">
        <v>147</v>
      </c>
      <c r="BN54" s="63"/>
      <c r="BO54" s="63"/>
      <c r="BP54" s="66"/>
      <c r="BQ54" s="66"/>
      <c r="BR54" s="66"/>
      <c r="BS54" s="66">
        <v>22800.0</v>
      </c>
      <c r="BT54" s="66"/>
      <c r="BU54" s="64" t="s">
        <v>189</v>
      </c>
      <c r="BV54" s="64"/>
      <c r="BW54" s="66"/>
      <c r="BX54" s="54"/>
      <c r="BY54" s="54"/>
      <c r="BZ54" s="68"/>
      <c r="CA54" s="54"/>
      <c r="CB54" s="54" t="s">
        <v>134</v>
      </c>
      <c r="CC54" s="54" t="s">
        <v>135</v>
      </c>
      <c r="CD54" s="54" t="s">
        <v>136</v>
      </c>
      <c r="CE54" s="56"/>
      <c r="CF54" s="54" t="s">
        <v>194</v>
      </c>
      <c r="CG54" s="63"/>
      <c r="CH54" s="63">
        <v>45800.0</v>
      </c>
      <c r="CI54" s="63" t="s">
        <v>147</v>
      </c>
      <c r="CJ54" s="66"/>
      <c r="CK54" s="63"/>
      <c r="CL54" s="66"/>
      <c r="CM54" s="53"/>
      <c r="CN54" s="79" t="s">
        <v>487</v>
      </c>
      <c r="CO54" s="64"/>
      <c r="CP54" s="66"/>
      <c r="CQ54" s="80"/>
      <c r="CR54" s="80"/>
      <c r="CS54" s="80"/>
      <c r="CT54" s="80"/>
      <c r="CU54" s="80"/>
      <c r="CV54" s="66">
        <v>17100.0</v>
      </c>
      <c r="CW54" s="66">
        <v>0.0</v>
      </c>
      <c r="CX54" s="63" t="e">
        <v>#N/A</v>
      </c>
      <c r="CY54" s="56"/>
      <c r="CZ54" s="81" t="str">
        <f>IFERROR(__xludf.DUMMYFUNCTION("""COMPUTED_VALUE"""),"INTERNET LINK 4 ")</f>
        <v>INTERNET LINK 4 </v>
      </c>
      <c r="DA54" s="56" t="str">
        <f>IFERROR(__xludf.DUMMYFUNCTION("""COMPUTED_VALUE"""),"Contratação de acesso corporativo à internet (substitui LINK 2)")</f>
        <v>Contratação de acesso corporativo à internet (substitui LINK 2)</v>
      </c>
      <c r="DB54" s="56"/>
      <c r="DC54" s="56"/>
      <c r="DD54" s="56"/>
      <c r="DE54" s="56"/>
      <c r="DF54" s="56"/>
      <c r="DG54" s="56"/>
      <c r="DH54" s="56"/>
    </row>
    <row r="55" ht="16.5" customHeight="1">
      <c r="A55" s="73">
        <v>15382.0</v>
      </c>
      <c r="B55" s="50">
        <v>15383.0</v>
      </c>
      <c r="C55" s="53" t="s">
        <v>489</v>
      </c>
      <c r="D55" s="52" t="s">
        <v>112</v>
      </c>
      <c r="E55" s="52" t="s">
        <v>113</v>
      </c>
      <c r="F55" s="52" t="s">
        <v>114</v>
      </c>
      <c r="G55" s="52" t="str">
        <f>IFERROR(__xludf.DUMMYFUNCTION("""COMPUTED_VALUE"""),"(ID PAAC 15382) NUVEM GOOGLE 2 - Contratação de licença de uso de serviço de nuvem de comunicação e colaboração (varas), com ampliação do serviço de armazenamento em nuvem, dado que várias contas têm extrapolado o limite de 30GB estabelecido no contrato 1"&amp;"1741/2017.")</f>
        <v>(ID PAAC 15382) NUVEM GOOGLE 2 - Contratação de licença de uso de serviço de nuvem de comunicação e colaboração (varas), com ampliação do serviço de armazenamento em nuvem, dado que várias contas têm extrapolado o limite de 30GB estabelecido no contrato 11741/2017.</v>
      </c>
      <c r="H55" s="53" t="s">
        <v>115</v>
      </c>
      <c r="I55" s="53" t="s">
        <v>116</v>
      </c>
      <c r="J55" s="53" t="s">
        <v>116</v>
      </c>
      <c r="K55" s="54" t="s">
        <v>117</v>
      </c>
      <c r="L55" s="55">
        <v>0.0</v>
      </c>
      <c r="M55" s="56">
        <v>3.3904019E7</v>
      </c>
      <c r="N55" s="56">
        <v>0.0</v>
      </c>
      <c r="O55" s="50">
        <v>168105.0</v>
      </c>
      <c r="P55" s="64" t="s">
        <v>118</v>
      </c>
      <c r="Q55" s="53" t="s">
        <v>119</v>
      </c>
      <c r="R55" s="53" t="s">
        <v>120</v>
      </c>
      <c r="S55" s="53"/>
      <c r="T55" s="53"/>
      <c r="U55" s="90" t="s">
        <v>326</v>
      </c>
      <c r="V55" s="58" t="s">
        <v>490</v>
      </c>
      <c r="W55" s="58"/>
      <c r="X55" s="53" t="s">
        <v>173</v>
      </c>
      <c r="Y55" s="53" t="s">
        <v>162</v>
      </c>
      <c r="Z55" s="53" t="s">
        <v>148</v>
      </c>
      <c r="AA55" s="59" t="s">
        <v>176</v>
      </c>
      <c r="AB55" s="50" t="e">
        <v>#N/A</v>
      </c>
      <c r="AC55" s="54" t="e">
        <v>#N/A</v>
      </c>
      <c r="AD55" s="93">
        <v>44576.0</v>
      </c>
      <c r="AE55" s="63">
        <v>44621.0</v>
      </c>
      <c r="AF55" s="64" t="s">
        <v>177</v>
      </c>
      <c r="AG55" s="65">
        <v>200.0</v>
      </c>
      <c r="AH55" s="77">
        <v>0.0</v>
      </c>
      <c r="AI55" s="64" t="s">
        <v>118</v>
      </c>
      <c r="AJ55" s="78"/>
      <c r="AK55" s="64"/>
      <c r="AL55" s="94"/>
      <c r="AM55" s="94"/>
      <c r="AN55" s="78">
        <v>-34000.0</v>
      </c>
      <c r="AO55" s="78">
        <v>34000.0</v>
      </c>
      <c r="AP55" s="58"/>
      <c r="AQ55" s="94">
        <v>0.0</v>
      </c>
      <c r="AR55" s="66">
        <v>39920.0</v>
      </c>
      <c r="AS55" s="66"/>
      <c r="AT55" s="66">
        <v>0.0</v>
      </c>
      <c r="AU55" s="66"/>
      <c r="AV55" s="56"/>
      <c r="AW55" s="66">
        <v>0.0</v>
      </c>
      <c r="AX55" s="66">
        <v>0.0</v>
      </c>
      <c r="AY55" s="77">
        <v>0.0</v>
      </c>
      <c r="AZ55" s="66">
        <v>0.0</v>
      </c>
      <c r="BA55" s="66">
        <v>0.0</v>
      </c>
      <c r="BB55" s="66" t="s">
        <v>176</v>
      </c>
      <c r="BC55" s="56"/>
      <c r="BD55" s="64" t="s">
        <v>118</v>
      </c>
      <c r="BE55" s="66"/>
      <c r="BF55" s="64"/>
      <c r="BG55" s="65"/>
      <c r="BH55" s="65">
        <v>300000.0</v>
      </c>
      <c r="BI55" s="64" t="s">
        <v>129</v>
      </c>
      <c r="BJ55" s="65"/>
      <c r="BK55" s="64" t="s">
        <v>130</v>
      </c>
      <c r="BL55" s="67"/>
      <c r="BM55" s="64" t="s">
        <v>132</v>
      </c>
      <c r="BN55" s="63"/>
      <c r="BO55" s="63"/>
      <c r="BP55" s="66"/>
      <c r="BQ55" s="66"/>
      <c r="BR55" s="66"/>
      <c r="BS55" s="66">
        <v>0.0</v>
      </c>
      <c r="BT55" s="66">
        <v>39920.0</v>
      </c>
      <c r="BU55" s="64" t="s">
        <v>239</v>
      </c>
      <c r="BV55" s="64"/>
      <c r="BW55" s="66"/>
      <c r="BX55" s="54"/>
      <c r="BY55" s="54"/>
      <c r="BZ55" s="63"/>
      <c r="CA55" s="54"/>
      <c r="CB55" s="54" t="s">
        <v>134</v>
      </c>
      <c r="CC55" s="54" t="s">
        <v>135</v>
      </c>
      <c r="CD55" s="54" t="s">
        <v>136</v>
      </c>
      <c r="CE55" s="56"/>
      <c r="CF55" s="54" t="s">
        <v>240</v>
      </c>
      <c r="CG55" s="63"/>
      <c r="CH55" s="63">
        <v>44986.0</v>
      </c>
      <c r="CI55" s="63" t="s">
        <v>162</v>
      </c>
      <c r="CJ55" s="66"/>
      <c r="CK55" s="63"/>
      <c r="CL55" s="64"/>
      <c r="CM55" s="53"/>
      <c r="CN55" s="66" t="s">
        <v>176</v>
      </c>
      <c r="CO55" s="64"/>
      <c r="CP55" s="66"/>
      <c r="CQ55" s="80"/>
      <c r="CR55" s="80"/>
      <c r="CS55" s="80"/>
      <c r="CT55" s="80"/>
      <c r="CU55" s="80"/>
      <c r="CV55" s="66">
        <v>0.0</v>
      </c>
      <c r="CW55" s="66">
        <v>0.0</v>
      </c>
      <c r="CX55" s="63" t="e">
        <v>#N/A</v>
      </c>
      <c r="CY55" s="56"/>
      <c r="CZ55" s="81" t="str">
        <f>IFERROR(__xludf.DUMMYFUNCTION("""COMPUTED_VALUE"""),"NUVEM GOOGLE 2 ")</f>
        <v>NUVEM GOOGLE 2 </v>
      </c>
      <c r="DA55" s="81" t="str">
        <f>IFERROR(__xludf.DUMMYFUNCTION("""COMPUTED_VALUE"""),"Contratação de licença de uso de serviço de nuvem de comunicação e colaboração (varas), com ampliação do serviço de armazenamento em nuvem, dado que várias contas têm extrapolado o limite de 30GB estabelecido no contrato 11741/2017.")</f>
        <v>Contratação de licença de uso de serviço de nuvem de comunicação e colaboração (varas), com ampliação do serviço de armazenamento em nuvem, dado que várias contas têm extrapolado o limite de 30GB estabelecido no contrato 11741/2017.</v>
      </c>
      <c r="DB55" s="81" t="s">
        <v>491</v>
      </c>
      <c r="DC55" s="81" t="s">
        <v>214</v>
      </c>
      <c r="DD55" s="81" t="s">
        <v>215</v>
      </c>
      <c r="DE55" s="81" t="s">
        <v>216</v>
      </c>
      <c r="DF55" s="81" t="s">
        <v>110</v>
      </c>
      <c r="DG55" s="81" t="s">
        <v>279</v>
      </c>
      <c r="DH55" s="56"/>
    </row>
    <row r="56" ht="16.5" customHeight="1">
      <c r="A56" s="73">
        <v>15383.0</v>
      </c>
      <c r="B56" s="50">
        <v>15383.0</v>
      </c>
      <c r="C56" s="53" t="s">
        <v>492</v>
      </c>
      <c r="D56" s="52" t="s">
        <v>112</v>
      </c>
      <c r="E56" s="52" t="s">
        <v>113</v>
      </c>
      <c r="F56" s="52" t="s">
        <v>114</v>
      </c>
      <c r="G56" s="52" t="str">
        <f>IFERROR(__xludf.DUMMYFUNCTION("""COMPUTED_VALUE"""),"(ID PAAC 15383) NUVEM GOOGLE - Contratação de licença de uso de serviço de nuvem de comunicação e colaboração (substitui 15072 e 15382)")</f>
        <v>(ID PAAC 15383) NUVEM GOOGLE - Contratação de licença de uso de serviço de nuvem de comunicação e colaboração (substitui 15072 e 15382)</v>
      </c>
      <c r="H56" s="53" t="s">
        <v>115</v>
      </c>
      <c r="I56" s="53" t="s">
        <v>116</v>
      </c>
      <c r="J56" s="53" t="s">
        <v>116</v>
      </c>
      <c r="K56" s="54" t="s">
        <v>117</v>
      </c>
      <c r="L56" s="55">
        <v>0.0</v>
      </c>
      <c r="M56" s="56">
        <v>3.3904019E7</v>
      </c>
      <c r="N56" s="56">
        <v>0.0</v>
      </c>
      <c r="O56" s="50">
        <v>168105.0</v>
      </c>
      <c r="P56" s="64" t="s">
        <v>118</v>
      </c>
      <c r="Q56" s="53" t="s">
        <v>119</v>
      </c>
      <c r="R56" s="53" t="s">
        <v>144</v>
      </c>
      <c r="S56" s="53"/>
      <c r="T56" s="53" t="s">
        <v>493</v>
      </c>
      <c r="U56" s="90" t="s">
        <v>122</v>
      </c>
      <c r="V56" s="58"/>
      <c r="W56" s="58"/>
      <c r="X56" s="53" t="s">
        <v>173</v>
      </c>
      <c r="Y56" s="53" t="s">
        <v>162</v>
      </c>
      <c r="Z56" s="53" t="s">
        <v>148</v>
      </c>
      <c r="AA56" s="59" t="s">
        <v>176</v>
      </c>
      <c r="AB56" s="50" t="e">
        <v>#N/A</v>
      </c>
      <c r="AC56" s="54" t="e">
        <v>#N/A</v>
      </c>
      <c r="AD56" s="93">
        <v>44863.0</v>
      </c>
      <c r="AE56" s="63">
        <v>44908.0</v>
      </c>
      <c r="AF56" s="64" t="s">
        <v>177</v>
      </c>
      <c r="AG56" s="65">
        <v>2000.0</v>
      </c>
      <c r="AH56" s="77">
        <v>27.46</v>
      </c>
      <c r="AI56" s="64" t="s">
        <v>118</v>
      </c>
      <c r="AJ56" s="78"/>
      <c r="AK56" s="64"/>
      <c r="AL56" s="94"/>
      <c r="AM56" s="94"/>
      <c r="AN56" s="78">
        <v>39920.0</v>
      </c>
      <c r="AO56" s="78">
        <v>15000.0</v>
      </c>
      <c r="AP56" s="58"/>
      <c r="AQ56" s="94">
        <v>0.0</v>
      </c>
      <c r="AR56" s="66">
        <f>15000+AR55</f>
        <v>54920</v>
      </c>
      <c r="AS56" s="66"/>
      <c r="AT56" s="66">
        <v>54920.0</v>
      </c>
      <c r="AU56" s="66"/>
      <c r="AV56" s="56"/>
      <c r="AW56" s="66">
        <v>0.0</v>
      </c>
      <c r="AX56" s="66">
        <v>0.0</v>
      </c>
      <c r="AY56" s="77">
        <v>0.0</v>
      </c>
      <c r="AZ56" s="66">
        <v>0.0</v>
      </c>
      <c r="BA56" s="66">
        <v>0.0</v>
      </c>
      <c r="BB56" s="66" t="s">
        <v>176</v>
      </c>
      <c r="BC56" s="56"/>
      <c r="BD56" s="64" t="s">
        <v>110</v>
      </c>
      <c r="BE56" s="66"/>
      <c r="BF56" s="64"/>
      <c r="BG56" s="65"/>
      <c r="BH56" s="65">
        <v>300000.0</v>
      </c>
      <c r="BI56" s="64" t="s">
        <v>129</v>
      </c>
      <c r="BJ56" s="65"/>
      <c r="BK56" s="64" t="s">
        <v>130</v>
      </c>
      <c r="BL56" s="67"/>
      <c r="BM56" s="64" t="s">
        <v>162</v>
      </c>
      <c r="BN56" s="63"/>
      <c r="BO56" s="63"/>
      <c r="BP56" s="66"/>
      <c r="BQ56" s="66"/>
      <c r="BR56" s="66"/>
      <c r="BS56" s="66">
        <v>54920.0</v>
      </c>
      <c r="BT56" s="66">
        <v>15000.0</v>
      </c>
      <c r="BU56" s="64" t="s">
        <v>239</v>
      </c>
      <c r="BV56" s="64"/>
      <c r="BW56" s="66"/>
      <c r="BX56" s="54"/>
      <c r="BY56" s="54"/>
      <c r="BZ56" s="63"/>
      <c r="CA56" s="54"/>
      <c r="CB56" s="54" t="s">
        <v>134</v>
      </c>
      <c r="CC56" s="54" t="s">
        <v>135</v>
      </c>
      <c r="CD56" s="54" t="s">
        <v>136</v>
      </c>
      <c r="CE56" s="56"/>
      <c r="CF56" s="54" t="s">
        <v>240</v>
      </c>
      <c r="CG56" s="63"/>
      <c r="CH56" s="63">
        <v>45273.0</v>
      </c>
      <c r="CI56" s="63" t="s">
        <v>162</v>
      </c>
      <c r="CJ56" s="66"/>
      <c r="CK56" s="63"/>
      <c r="CL56" s="64"/>
      <c r="CM56" s="53"/>
      <c r="CN56" s="66" t="s">
        <v>176</v>
      </c>
      <c r="CO56" s="64"/>
      <c r="CP56" s="66"/>
      <c r="CQ56" s="80"/>
      <c r="CR56" s="80"/>
      <c r="CS56" s="80"/>
      <c r="CT56" s="80"/>
      <c r="CU56" s="80"/>
      <c r="CV56" s="66">
        <v>0.0</v>
      </c>
      <c r="CW56" s="66">
        <v>0.0</v>
      </c>
      <c r="CX56" s="63" t="e">
        <v>#N/A</v>
      </c>
      <c r="CY56" s="56"/>
      <c r="CZ56" s="81" t="str">
        <f>IFERROR(__xludf.DUMMYFUNCTION("""COMPUTED_VALUE"""),"NUVEM GOOGLE ")</f>
        <v>NUVEM GOOGLE </v>
      </c>
      <c r="DA56" s="81" t="str">
        <f>IFERROR(__xludf.DUMMYFUNCTION("""COMPUTED_VALUE"""),"Contratação de licença de uso de serviço de nuvem de comunicação e colaboração (substitui 15072 e 15382)")</f>
        <v>Contratação de licença de uso de serviço de nuvem de comunicação e colaboração (substitui 15072 e 15382)</v>
      </c>
      <c r="DB56" s="81" t="s">
        <v>491</v>
      </c>
      <c r="DC56" s="81" t="s">
        <v>214</v>
      </c>
      <c r="DD56" s="81" t="s">
        <v>215</v>
      </c>
      <c r="DE56" s="81" t="s">
        <v>216</v>
      </c>
      <c r="DF56" s="81" t="s">
        <v>110</v>
      </c>
      <c r="DG56" s="81" t="s">
        <v>279</v>
      </c>
      <c r="DH56" s="56"/>
    </row>
    <row r="57" ht="16.5" customHeight="1">
      <c r="A57" s="73">
        <v>15384.0</v>
      </c>
      <c r="B57" s="50">
        <v>15364.0</v>
      </c>
      <c r="C57" s="53" t="s">
        <v>494</v>
      </c>
      <c r="D57" s="52" t="s">
        <v>112</v>
      </c>
      <c r="E57" s="52" t="s">
        <v>113</v>
      </c>
      <c r="F57" s="52" t="s">
        <v>114</v>
      </c>
      <c r="G57" s="52" t="str">
        <f>IFERROR(__xludf.DUMMYFUNCTION("""COMPUTED_VALUE"""),"(ID PAAC 15384) SALA COFRE 2022 - Contratação de manutenção de sala cofre, que abriga o Datacenter principal, onde são armazenados todos os dados e os equipamentos de processamento de dados corporativos. ")</f>
        <v>(ID PAAC 15384) SALA COFRE 2022 - Contratação de manutenção de sala cofre, que abriga o Datacenter principal, onde são armazenados todos os dados e os equipamentos de processamento de dados corporativos. </v>
      </c>
      <c r="H57" s="53" t="s">
        <v>115</v>
      </c>
      <c r="I57" s="53" t="s">
        <v>116</v>
      </c>
      <c r="J57" s="53" t="s">
        <v>116</v>
      </c>
      <c r="K57" s="54" t="s">
        <v>117</v>
      </c>
      <c r="L57" s="55">
        <v>0.0</v>
      </c>
      <c r="M57" s="56">
        <v>3.3904011E7</v>
      </c>
      <c r="N57" s="56">
        <v>0.0</v>
      </c>
      <c r="O57" s="50">
        <v>168107.0</v>
      </c>
      <c r="P57" s="64" t="s">
        <v>110</v>
      </c>
      <c r="Q57" s="53" t="s">
        <v>119</v>
      </c>
      <c r="R57" s="53" t="s">
        <v>144</v>
      </c>
      <c r="S57" s="53"/>
      <c r="T57" s="172" t="s">
        <v>495</v>
      </c>
      <c r="U57" s="90" t="s">
        <v>326</v>
      </c>
      <c r="V57" s="58" t="s">
        <v>496</v>
      </c>
      <c r="W57" s="58"/>
      <c r="X57" s="53" t="s">
        <v>173</v>
      </c>
      <c r="Y57" s="53" t="s">
        <v>125</v>
      </c>
      <c r="Z57" s="53" t="s">
        <v>125</v>
      </c>
      <c r="AA57" s="59" t="s">
        <v>176</v>
      </c>
      <c r="AB57" s="50" t="e">
        <v>#N/A</v>
      </c>
      <c r="AC57" s="54" t="e">
        <v>#N/A</v>
      </c>
      <c r="AD57" s="93">
        <v>44735.0</v>
      </c>
      <c r="AE57" s="63">
        <v>44845.0</v>
      </c>
      <c r="AF57" s="64" t="s">
        <v>177</v>
      </c>
      <c r="AG57" s="65">
        <v>1.0</v>
      </c>
      <c r="AH57" s="77">
        <v>68091.65333333332</v>
      </c>
      <c r="AI57" s="64" t="s">
        <v>118</v>
      </c>
      <c r="AJ57" s="78"/>
      <c r="AK57" s="64"/>
      <c r="AL57" s="94"/>
      <c r="AM57" s="94"/>
      <c r="AN57" s="78">
        <v>11798.153333333321</v>
      </c>
      <c r="AO57" s="78">
        <v>56293.5</v>
      </c>
      <c r="AP57" s="58"/>
      <c r="AQ57" s="94"/>
      <c r="AR57" s="66">
        <f>20/30*25534.37+2*25534.37</f>
        <v>68091.65333</v>
      </c>
      <c r="AS57" s="66"/>
      <c r="AT57" s="66">
        <v>68091.65333333332</v>
      </c>
      <c r="AU57" s="66"/>
      <c r="AV57" s="56"/>
      <c r="AW57" s="66">
        <v>0.0</v>
      </c>
      <c r="AX57" s="66">
        <v>0.0</v>
      </c>
      <c r="AY57" s="77">
        <v>0.0</v>
      </c>
      <c r="AZ57" s="66">
        <v>0.0</v>
      </c>
      <c r="BA57" s="66">
        <v>0.0</v>
      </c>
      <c r="BB57" s="66" t="s">
        <v>176</v>
      </c>
      <c r="BC57" s="56">
        <v>1.51132022236921E14</v>
      </c>
      <c r="BD57" s="64" t="s">
        <v>110</v>
      </c>
      <c r="BE57" s="66"/>
      <c r="BF57" s="64"/>
      <c r="BG57" s="65"/>
      <c r="BH57" s="65">
        <v>300000.0</v>
      </c>
      <c r="BI57" s="64" t="s">
        <v>129</v>
      </c>
      <c r="BJ57" s="65"/>
      <c r="BK57" s="64" t="s">
        <v>130</v>
      </c>
      <c r="BL57" s="67"/>
      <c r="BM57" s="64" t="s">
        <v>125</v>
      </c>
      <c r="BN57" s="63"/>
      <c r="BO57" s="63"/>
      <c r="BP57" s="66"/>
      <c r="BQ57" s="66"/>
      <c r="BR57" s="66"/>
      <c r="BS57" s="66">
        <v>68091.65333333332</v>
      </c>
      <c r="BT57" s="66">
        <f>12*25534.37</f>
        <v>306412.44</v>
      </c>
      <c r="BU57" s="64" t="s">
        <v>181</v>
      </c>
      <c r="BV57" s="64"/>
      <c r="BW57" s="66"/>
      <c r="BX57" s="54"/>
      <c r="BY57" s="54"/>
      <c r="BZ57" s="63"/>
      <c r="CA57" s="54"/>
      <c r="CB57" s="54" t="s">
        <v>159</v>
      </c>
      <c r="CC57" s="54" t="s">
        <v>135</v>
      </c>
      <c r="CD57" s="54" t="s">
        <v>136</v>
      </c>
      <c r="CE57" s="56"/>
      <c r="CF57" s="54" t="s">
        <v>182</v>
      </c>
      <c r="CG57" s="63">
        <v>45098.0</v>
      </c>
      <c r="CH57" s="63">
        <v>45210.0</v>
      </c>
      <c r="CI57" s="63" t="s">
        <v>125</v>
      </c>
      <c r="CJ57" s="66"/>
      <c r="CK57" s="63"/>
      <c r="CL57" s="64"/>
      <c r="CM57" s="53"/>
      <c r="CN57" s="66" t="s">
        <v>176</v>
      </c>
      <c r="CO57" s="64"/>
      <c r="CP57" s="66"/>
      <c r="CQ57" s="80"/>
      <c r="CR57" s="80"/>
      <c r="CS57" s="80"/>
      <c r="CT57" s="80"/>
      <c r="CU57" s="80"/>
      <c r="CV57" s="66">
        <v>0.0</v>
      </c>
      <c r="CW57" s="66">
        <v>0.0</v>
      </c>
      <c r="CX57" s="63" t="e">
        <v>#N/A</v>
      </c>
      <c r="CY57" s="56"/>
      <c r="CZ57" s="81" t="str">
        <f>IFERROR(__xludf.DUMMYFUNCTION("""COMPUTED_VALUE"""),"SALA COFRE 2022 ")</f>
        <v>SALA COFRE 2022 </v>
      </c>
      <c r="DA57" s="81" t="str">
        <f>IFERROR(__xludf.DUMMYFUNCTION("""COMPUTED_VALUE"""),"Contratação de manutenção de sala cofre, que abriga o Datacenter principal, onde são armazenados todos os dados e os equipamentos de processamento de dados corporativos. ")</f>
        <v>Contratação de manutenção de sala cofre, que abriga o Datacenter principal, onde são armazenados todos os dados e os equipamentos de processamento de dados corporativos. </v>
      </c>
      <c r="DB57" s="81" t="s">
        <v>497</v>
      </c>
      <c r="DC57" s="81" t="s">
        <v>214</v>
      </c>
      <c r="DD57" s="81" t="s">
        <v>215</v>
      </c>
      <c r="DE57" s="81" t="s">
        <v>216</v>
      </c>
      <c r="DF57" s="81" t="s">
        <v>118</v>
      </c>
      <c r="DG57" s="81" t="s">
        <v>279</v>
      </c>
      <c r="DH57" s="56"/>
    </row>
    <row r="58" ht="16.5" customHeight="1">
      <c r="A58" s="73">
        <v>15386.0</v>
      </c>
      <c r="B58" s="50">
        <v>99999.0</v>
      </c>
      <c r="C58" s="53" t="s">
        <v>498</v>
      </c>
      <c r="D58" s="101" t="s">
        <v>141</v>
      </c>
      <c r="E58" s="101" t="s">
        <v>142</v>
      </c>
      <c r="F58" s="101" t="s">
        <v>203</v>
      </c>
      <c r="G58" s="101" t="str">
        <f>IFERROR(__xludf.DUMMYFUNCTION("""COMPUTED_VALUE"""),"(ID PAAC 15386) Manutenção das Licenças do Software ADOBE Photoshop, usados pela SECOM. As referidas licenças possuem prazo de vigência de 12 meses.")</f>
        <v>(ID PAAC 15386) Manutenção das Licenças do Software ADOBE Photoshop, usados pela SECOM. As referidas licenças possuem prazo de vigência de 12 meses.</v>
      </c>
      <c r="H58" s="53" t="s">
        <v>115</v>
      </c>
      <c r="I58" s="53" t="s">
        <v>499</v>
      </c>
      <c r="J58" s="102" t="s">
        <v>116</v>
      </c>
      <c r="K58" s="103" t="s">
        <v>117</v>
      </c>
      <c r="L58" s="104">
        <v>0.0</v>
      </c>
      <c r="M58" s="105">
        <v>3.3904006E7</v>
      </c>
      <c r="N58" s="105">
        <v>0.0</v>
      </c>
      <c r="O58" s="106">
        <v>168105.0</v>
      </c>
      <c r="P58" s="101" t="s">
        <v>118</v>
      </c>
      <c r="Q58" s="53" t="s">
        <v>143</v>
      </c>
      <c r="R58" s="53" t="s">
        <v>120</v>
      </c>
      <c r="S58" s="53"/>
      <c r="T58" s="53"/>
      <c r="U58" s="90" t="s">
        <v>326</v>
      </c>
      <c r="V58" s="107" t="s">
        <v>500</v>
      </c>
      <c r="W58" s="58"/>
      <c r="X58" s="108" t="s">
        <v>124</v>
      </c>
      <c r="Y58" s="53" t="s">
        <v>246</v>
      </c>
      <c r="Z58" s="53" t="s">
        <v>167</v>
      </c>
      <c r="AA58" s="59" t="s">
        <v>176</v>
      </c>
      <c r="AB58" s="50" t="e">
        <v>#N/A</v>
      </c>
      <c r="AC58" s="109" t="e">
        <v>#N/A</v>
      </c>
      <c r="AD58" s="85">
        <v>44583.0</v>
      </c>
      <c r="AE58" s="110">
        <v>44593.0</v>
      </c>
      <c r="AF58" s="64" t="s">
        <v>127</v>
      </c>
      <c r="AG58" s="111">
        <v>1.0</v>
      </c>
      <c r="AH58" s="112">
        <v>0.0</v>
      </c>
      <c r="AI58" s="113"/>
      <c r="AJ58" s="114"/>
      <c r="AK58" s="64"/>
      <c r="AL58" s="115"/>
      <c r="AM58" s="115"/>
      <c r="AN58" s="115">
        <v>0.0</v>
      </c>
      <c r="AO58" s="115">
        <v>0.0</v>
      </c>
      <c r="AP58" s="58"/>
      <c r="AQ58" s="115">
        <v>0.0</v>
      </c>
      <c r="AR58" s="112">
        <v>18000.0</v>
      </c>
      <c r="AS58" s="114"/>
      <c r="AT58" s="112">
        <v>0.0</v>
      </c>
      <c r="AU58" s="112"/>
      <c r="AV58" s="116"/>
      <c r="AW58" s="66">
        <v>0.0</v>
      </c>
      <c r="AX58" s="66">
        <v>0.0</v>
      </c>
      <c r="AY58" s="112">
        <v>0.0</v>
      </c>
      <c r="AZ58" s="66">
        <v>0.0</v>
      </c>
      <c r="BA58" s="66">
        <v>0.0</v>
      </c>
      <c r="BB58" s="112" t="s">
        <v>176</v>
      </c>
      <c r="BC58" s="56"/>
      <c r="BD58" s="113" t="s">
        <v>118</v>
      </c>
      <c r="BE58" s="112"/>
      <c r="BF58" s="113"/>
      <c r="BG58" s="111"/>
      <c r="BH58" s="111">
        <v>200000.0</v>
      </c>
      <c r="BI58" s="113" t="s">
        <v>153</v>
      </c>
      <c r="BJ58" s="111"/>
      <c r="BK58" s="113" t="s">
        <v>130</v>
      </c>
      <c r="BL58" s="118"/>
      <c r="BM58" s="101" t="s">
        <v>132</v>
      </c>
      <c r="BN58" s="119"/>
      <c r="BO58" s="119"/>
      <c r="BP58" s="112"/>
      <c r="BQ58" s="112"/>
      <c r="BR58" s="112"/>
      <c r="BS58" s="112">
        <v>0.0</v>
      </c>
      <c r="BT58" s="112"/>
      <c r="BU58" s="113" t="s">
        <v>276</v>
      </c>
      <c r="BV58" s="112"/>
      <c r="BW58" s="112"/>
      <c r="BX58" s="109"/>
      <c r="BY58" s="109"/>
      <c r="BZ58" s="119"/>
      <c r="CA58" s="109"/>
      <c r="CB58" s="109" t="s">
        <v>134</v>
      </c>
      <c r="CC58" s="109" t="s">
        <v>135</v>
      </c>
      <c r="CD58" s="109" t="s">
        <v>136</v>
      </c>
      <c r="CE58" s="116"/>
      <c r="CF58" s="109" t="s">
        <v>277</v>
      </c>
      <c r="CG58" s="119"/>
      <c r="CH58" s="119">
        <v>44958.0</v>
      </c>
      <c r="CI58" s="119" t="s">
        <v>246</v>
      </c>
      <c r="CJ58" s="112"/>
      <c r="CK58" s="119"/>
      <c r="CL58" s="112"/>
      <c r="CM58" s="120"/>
      <c r="CN58" s="112" t="s">
        <v>176</v>
      </c>
      <c r="CO58" s="112"/>
      <c r="CP58" s="112"/>
      <c r="CQ58" s="120"/>
      <c r="CR58" s="120"/>
      <c r="CS58" s="120"/>
      <c r="CT58" s="120"/>
      <c r="CU58" s="120"/>
      <c r="CV58" s="112">
        <v>0.0</v>
      </c>
      <c r="CW58" s="112">
        <v>0.0</v>
      </c>
      <c r="CX58" s="119" t="e">
        <v>#N/A</v>
      </c>
      <c r="CY58" s="116"/>
      <c r="CZ58" s="121" t="str">
        <f>IFERROR(__xludf.DUMMYFUNCTION("""COMPUTED_VALUE"""),"M")</f>
        <v>M</v>
      </c>
      <c r="DA58" s="116" t="str">
        <f>IFERROR(__xludf.DUMMYFUNCTION("""COMPUTED_VALUE"""),"#N/A")</f>
        <v>#N/A</v>
      </c>
      <c r="DB58" s="116"/>
      <c r="DC58" s="116"/>
      <c r="DD58" s="116"/>
      <c r="DE58" s="116"/>
      <c r="DF58" s="116"/>
      <c r="DG58" s="116"/>
      <c r="DH58" s="116"/>
    </row>
    <row r="59" ht="16.5" customHeight="1">
      <c r="A59" s="73">
        <v>15387.0</v>
      </c>
      <c r="B59" s="50">
        <v>99999.0</v>
      </c>
      <c r="C59" s="53" t="s">
        <v>501</v>
      </c>
      <c r="D59" s="101" t="s">
        <v>243</v>
      </c>
      <c r="E59" s="101" t="s">
        <v>113</v>
      </c>
      <c r="F59" s="101" t="s">
        <v>312</v>
      </c>
      <c r="G59" s="101" t="str">
        <f>IFERROR(__xludf.DUMMYFUNCTION("""COMPUTED_VALUE"""),"(ID PAAC 15387) VMWARE LICENÇA - Licença perpétua do VS7-EPL-C com suporte e subscrição Basic por 5 anos (item 2 do DOD)")</f>
        <v>(ID PAAC 15387) VMWARE LICENÇA - Licença perpétua do VS7-EPL-C com suporte e subscrição Basic por 5 anos (item 2 do DOD)</v>
      </c>
      <c r="H59" s="53" t="s">
        <v>245</v>
      </c>
      <c r="I59" s="53" t="s">
        <v>116</v>
      </c>
      <c r="J59" s="102" t="s">
        <v>116</v>
      </c>
      <c r="K59" s="103" t="s">
        <v>313</v>
      </c>
      <c r="L59" s="104">
        <v>0.0</v>
      </c>
      <c r="M59" s="105">
        <v>4.4904005E7</v>
      </c>
      <c r="N59" s="105">
        <v>0.0</v>
      </c>
      <c r="O59" s="106">
        <v>168107.0</v>
      </c>
      <c r="P59" s="101" t="s">
        <v>110</v>
      </c>
      <c r="Q59" s="53" t="s">
        <v>119</v>
      </c>
      <c r="R59" s="53" t="s">
        <v>144</v>
      </c>
      <c r="S59" s="53" t="s">
        <v>502</v>
      </c>
      <c r="T59" s="53"/>
      <c r="U59" s="90" t="s">
        <v>326</v>
      </c>
      <c r="V59" s="107" t="s">
        <v>503</v>
      </c>
      <c r="W59" s="58"/>
      <c r="X59" s="108" t="s">
        <v>173</v>
      </c>
      <c r="Y59" s="53" t="s">
        <v>452</v>
      </c>
      <c r="Z59" s="53" t="s">
        <v>148</v>
      </c>
      <c r="AA59" s="59" t="s">
        <v>176</v>
      </c>
      <c r="AB59" s="50" t="e">
        <v>#N/A</v>
      </c>
      <c r="AC59" s="109" t="e">
        <v>#N/A</v>
      </c>
      <c r="AD59" s="85">
        <v>44575.0</v>
      </c>
      <c r="AE59" s="110">
        <v>44635.0</v>
      </c>
      <c r="AF59" s="64" t="s">
        <v>177</v>
      </c>
      <c r="AG59" s="111">
        <v>11.0</v>
      </c>
      <c r="AH59" s="112">
        <v>35909.09090909091</v>
      </c>
      <c r="AI59" s="113"/>
      <c r="AJ59" s="114">
        <v>395000.0</v>
      </c>
      <c r="AK59" s="64"/>
      <c r="AL59" s="115"/>
      <c r="AM59" s="115"/>
      <c r="AN59" s="115">
        <v>395000.0</v>
      </c>
      <c r="AO59" s="115">
        <v>0.0</v>
      </c>
      <c r="AP59" s="58"/>
      <c r="AQ59" s="115">
        <v>0.0</v>
      </c>
      <c r="AR59" s="112">
        <v>395000.0</v>
      </c>
      <c r="AS59" s="114"/>
      <c r="AT59" s="112">
        <v>395000.0</v>
      </c>
      <c r="AU59" s="112"/>
      <c r="AV59" s="116"/>
      <c r="AW59" s="66">
        <v>0.0</v>
      </c>
      <c r="AX59" s="66">
        <v>0.0</v>
      </c>
      <c r="AY59" s="112">
        <v>0.0</v>
      </c>
      <c r="AZ59" s="66">
        <v>0.0</v>
      </c>
      <c r="BA59" s="66">
        <v>0.0</v>
      </c>
      <c r="BB59" s="112" t="s">
        <v>176</v>
      </c>
      <c r="BC59" s="56"/>
      <c r="BD59" s="113" t="s">
        <v>110</v>
      </c>
      <c r="BE59" s="112"/>
      <c r="BF59" s="113"/>
      <c r="BG59" s="111"/>
      <c r="BH59" s="111">
        <v>300000.0</v>
      </c>
      <c r="BI59" s="113" t="s">
        <v>129</v>
      </c>
      <c r="BJ59" s="111"/>
      <c r="BK59" s="113" t="s">
        <v>247</v>
      </c>
      <c r="BL59" s="118"/>
      <c r="BM59" s="101" t="s">
        <v>452</v>
      </c>
      <c r="BN59" s="119"/>
      <c r="BO59" s="119"/>
      <c r="BP59" s="112"/>
      <c r="BQ59" s="112"/>
      <c r="BR59" s="112"/>
      <c r="BS59" s="112">
        <v>395000.0</v>
      </c>
      <c r="BT59" s="112">
        <v>395000.0</v>
      </c>
      <c r="BU59" s="113" t="s">
        <v>504</v>
      </c>
      <c r="BV59" s="112"/>
      <c r="BW59" s="112"/>
      <c r="BX59" s="109"/>
      <c r="BY59" s="109"/>
      <c r="BZ59" s="119"/>
      <c r="CA59" s="109"/>
      <c r="CB59" s="109" t="s">
        <v>159</v>
      </c>
      <c r="CC59" s="109" t="s">
        <v>135</v>
      </c>
      <c r="CD59" s="109" t="s">
        <v>505</v>
      </c>
      <c r="CE59" s="116"/>
      <c r="CF59" s="109" t="s">
        <v>506</v>
      </c>
      <c r="CG59" s="119"/>
      <c r="CH59" s="119">
        <v>45000.0</v>
      </c>
      <c r="CI59" s="119" t="s">
        <v>452</v>
      </c>
      <c r="CJ59" s="112"/>
      <c r="CK59" s="119"/>
      <c r="CL59" s="112"/>
      <c r="CM59" s="120"/>
      <c r="CN59" s="112" t="s">
        <v>176</v>
      </c>
      <c r="CO59" s="112"/>
      <c r="CP59" s="112"/>
      <c r="CQ59" s="120"/>
      <c r="CR59" s="120"/>
      <c r="CS59" s="120"/>
      <c r="CT59" s="120"/>
      <c r="CU59" s="120"/>
      <c r="CV59" s="112">
        <v>0.0</v>
      </c>
      <c r="CW59" s="112">
        <v>0.0</v>
      </c>
      <c r="CX59" s="119" t="e">
        <v>#N/A</v>
      </c>
      <c r="CY59" s="116"/>
      <c r="CZ59" s="121" t="str">
        <f>IFERROR(__xludf.DUMMYFUNCTION("""COMPUTED_VALUE"""),"VMWARE LICENÇA ")</f>
        <v>VMWARE LICENÇA </v>
      </c>
      <c r="DA59" s="121" t="str">
        <f>IFERROR(__xludf.DUMMYFUNCTION("""COMPUTED_VALUE"""),"Licença perpétua do VS7-EPL-C com suporte e subscrição Basic por 5 anos (item 2 do DOD)")</f>
        <v>Licença perpétua do VS7-EPL-C com suporte e subscrição Basic por 5 anos (item 2 do DOD)</v>
      </c>
      <c r="DB59" s="121" t="s">
        <v>507</v>
      </c>
      <c r="DC59" s="121" t="s">
        <v>320</v>
      </c>
      <c r="DD59" s="121" t="s">
        <v>321</v>
      </c>
      <c r="DE59" s="121" t="s">
        <v>216</v>
      </c>
      <c r="DF59" s="121" t="s">
        <v>110</v>
      </c>
      <c r="DG59" s="121" t="s">
        <v>279</v>
      </c>
      <c r="DH59" s="116"/>
    </row>
    <row r="60" ht="16.5" customHeight="1">
      <c r="A60" s="73">
        <v>15388.0</v>
      </c>
      <c r="B60" s="50">
        <v>99999.0</v>
      </c>
      <c r="C60" s="53" t="s">
        <v>508</v>
      </c>
      <c r="D60" s="101" t="s">
        <v>112</v>
      </c>
      <c r="E60" s="101" t="s">
        <v>113</v>
      </c>
      <c r="F60" s="101" t="s">
        <v>114</v>
      </c>
      <c r="G60" s="101" t="str">
        <f>IFERROR(__xludf.DUMMYFUNCTION("""COMPUTED_VALUE"""),"(ID PAAC 15388) VMWARE SUPORTE - Suporte e Subscrição Production e Basic, para o VMware vCenter Server 7 Standard for vSphere 7, por 5 anos (itens 1 e 3 do DOD)")</f>
        <v>(ID PAAC 15388) VMWARE SUPORTE - Suporte e Subscrição Production e Basic, para o VMware vCenter Server 7 Standard for vSphere 7, por 5 anos (itens 1 e 3 do DOD)</v>
      </c>
      <c r="H60" s="53" t="s">
        <v>115</v>
      </c>
      <c r="I60" s="53" t="s">
        <v>116</v>
      </c>
      <c r="J60" s="102" t="s">
        <v>116</v>
      </c>
      <c r="K60" s="103" t="s">
        <v>117</v>
      </c>
      <c r="L60" s="104">
        <v>0.0</v>
      </c>
      <c r="M60" s="105">
        <v>3.3904007E7</v>
      </c>
      <c r="N60" s="105">
        <v>0.0</v>
      </c>
      <c r="O60" s="106">
        <v>168107.0</v>
      </c>
      <c r="P60" s="101" t="s">
        <v>110</v>
      </c>
      <c r="Q60" s="53" t="s">
        <v>119</v>
      </c>
      <c r="R60" s="53" t="s">
        <v>144</v>
      </c>
      <c r="S60" s="53" t="s">
        <v>502</v>
      </c>
      <c r="T60" s="53"/>
      <c r="U60" s="90" t="s">
        <v>326</v>
      </c>
      <c r="V60" s="107" t="s">
        <v>503</v>
      </c>
      <c r="W60" s="58"/>
      <c r="X60" s="108" t="s">
        <v>173</v>
      </c>
      <c r="Y60" s="53" t="s">
        <v>452</v>
      </c>
      <c r="Z60" s="53" t="s">
        <v>148</v>
      </c>
      <c r="AA60" s="59" t="s">
        <v>176</v>
      </c>
      <c r="AB60" s="50" t="e">
        <v>#N/A</v>
      </c>
      <c r="AC60" s="109" t="e">
        <v>#N/A</v>
      </c>
      <c r="AD60" s="85">
        <v>44575.0</v>
      </c>
      <c r="AE60" s="110">
        <v>44635.0</v>
      </c>
      <c r="AF60" s="64" t="s">
        <v>177</v>
      </c>
      <c r="AG60" s="111">
        <v>14.0</v>
      </c>
      <c r="AH60" s="112">
        <v>25154.285714285714</v>
      </c>
      <c r="AI60" s="113"/>
      <c r="AJ60" s="114">
        <v>352160.0</v>
      </c>
      <c r="AK60" s="64"/>
      <c r="AL60" s="115"/>
      <c r="AM60" s="115"/>
      <c r="AN60" s="115">
        <v>352160.0</v>
      </c>
      <c r="AO60" s="115">
        <v>0.0</v>
      </c>
      <c r="AP60" s="58"/>
      <c r="AQ60" s="115">
        <v>0.0</v>
      </c>
      <c r="AR60" s="112">
        <v>352160.0</v>
      </c>
      <c r="AS60" s="114"/>
      <c r="AT60" s="112">
        <v>352160.0</v>
      </c>
      <c r="AU60" s="112"/>
      <c r="AV60" s="116"/>
      <c r="AW60" s="66">
        <v>0.0</v>
      </c>
      <c r="AX60" s="66">
        <v>0.0</v>
      </c>
      <c r="AY60" s="112">
        <v>0.0</v>
      </c>
      <c r="AZ60" s="66">
        <v>0.0</v>
      </c>
      <c r="BA60" s="66">
        <v>0.0</v>
      </c>
      <c r="BB60" s="112" t="s">
        <v>176</v>
      </c>
      <c r="BC60" s="56"/>
      <c r="BD60" s="113" t="s">
        <v>110</v>
      </c>
      <c r="BE60" s="112"/>
      <c r="BF60" s="113"/>
      <c r="BG60" s="111"/>
      <c r="BH60" s="111">
        <v>300000.0</v>
      </c>
      <c r="BI60" s="113" t="s">
        <v>129</v>
      </c>
      <c r="BJ60" s="111"/>
      <c r="BK60" s="113" t="s">
        <v>130</v>
      </c>
      <c r="BL60" s="118"/>
      <c r="BM60" s="101" t="s">
        <v>452</v>
      </c>
      <c r="BN60" s="119"/>
      <c r="BO60" s="119"/>
      <c r="BP60" s="112"/>
      <c r="BQ60" s="112"/>
      <c r="BR60" s="112"/>
      <c r="BS60" s="112">
        <v>352160.0</v>
      </c>
      <c r="BT60" s="112">
        <v>352160.0</v>
      </c>
      <c r="BU60" s="113" t="s">
        <v>155</v>
      </c>
      <c r="BV60" s="112"/>
      <c r="BW60" s="112"/>
      <c r="BX60" s="109"/>
      <c r="BY60" s="109"/>
      <c r="BZ60" s="119"/>
      <c r="CA60" s="109"/>
      <c r="CB60" s="109" t="s">
        <v>159</v>
      </c>
      <c r="CC60" s="109" t="s">
        <v>135</v>
      </c>
      <c r="CD60" s="109" t="s">
        <v>136</v>
      </c>
      <c r="CE60" s="116"/>
      <c r="CF60" s="109" t="s">
        <v>161</v>
      </c>
      <c r="CG60" s="119"/>
      <c r="CH60" s="119">
        <v>45000.0</v>
      </c>
      <c r="CI60" s="119" t="s">
        <v>452</v>
      </c>
      <c r="CJ60" s="112"/>
      <c r="CK60" s="119"/>
      <c r="CL60" s="112"/>
      <c r="CM60" s="120"/>
      <c r="CN60" s="112" t="s">
        <v>176</v>
      </c>
      <c r="CO60" s="112"/>
      <c r="CP60" s="112"/>
      <c r="CQ60" s="120"/>
      <c r="CR60" s="120"/>
      <c r="CS60" s="120"/>
      <c r="CT60" s="120"/>
      <c r="CU60" s="120"/>
      <c r="CV60" s="112">
        <v>0.0</v>
      </c>
      <c r="CW60" s="112">
        <v>0.0</v>
      </c>
      <c r="CX60" s="119" t="e">
        <v>#N/A</v>
      </c>
      <c r="CY60" s="116"/>
      <c r="CZ60" s="121" t="str">
        <f>IFERROR(__xludf.DUMMYFUNCTION("""COMPUTED_VALUE"""),"VMWARE SUPORTE ")</f>
        <v>VMWARE SUPORTE </v>
      </c>
      <c r="DA60" s="121" t="str">
        <f>IFERROR(__xludf.DUMMYFUNCTION("""COMPUTED_VALUE"""),"Suporte e Subscrição Production e Basic, para o VMware vCenter Server 7 Standard for vSphere 7, por 5 anos (itens 1 e 3 do DOD)")</f>
        <v>Suporte e Subscrição Production e Basic, para o VMware vCenter Server 7 Standard for vSphere 7, por 5 anos (itens 1 e 3 do DOD)</v>
      </c>
      <c r="DB60" s="121" t="s">
        <v>340</v>
      </c>
      <c r="DC60" s="121" t="s">
        <v>214</v>
      </c>
      <c r="DD60" s="121" t="s">
        <v>215</v>
      </c>
      <c r="DE60" s="121" t="s">
        <v>216</v>
      </c>
      <c r="DF60" s="121" t="s">
        <v>110</v>
      </c>
      <c r="DG60" s="121" t="s">
        <v>279</v>
      </c>
      <c r="DH60" s="116"/>
    </row>
    <row r="61" ht="16.5" customHeight="1">
      <c r="A61" s="73">
        <v>15389.0</v>
      </c>
      <c r="B61" s="50">
        <v>15018.0</v>
      </c>
      <c r="C61" s="53" t="s">
        <v>509</v>
      </c>
      <c r="D61" s="52" t="s">
        <v>141</v>
      </c>
      <c r="E61" s="52" t="s">
        <v>142</v>
      </c>
      <c r="F61" s="52" t="s">
        <v>114</v>
      </c>
      <c r="G61" s="52" t="str">
        <f>IFERROR(__xludf.DUMMYFUNCTION("""COMPUTED_VALUE"""),"(ID PAAC 15389) ASSYST - Contratação de suporte e atualização de licenças da solução de gerenciamento de serviços e registro de chamadas de TIC (2022)")</f>
        <v>(ID PAAC 15389) ASSYST - Contratação de suporte e atualização de licenças da solução de gerenciamento de serviços e registro de chamadas de TIC (2022)</v>
      </c>
      <c r="H61" s="53" t="s">
        <v>115</v>
      </c>
      <c r="I61" s="53" t="s">
        <v>116</v>
      </c>
      <c r="J61" s="53" t="s">
        <v>116</v>
      </c>
      <c r="K61" s="54" t="s">
        <v>117</v>
      </c>
      <c r="L61" s="55">
        <v>0.0</v>
      </c>
      <c r="M61" s="56">
        <v>3.3904007E7</v>
      </c>
      <c r="N61" s="56">
        <v>0.0</v>
      </c>
      <c r="O61" s="50">
        <v>168107.0</v>
      </c>
      <c r="P61" s="64" t="s">
        <v>110</v>
      </c>
      <c r="Q61" s="53" t="s">
        <v>143</v>
      </c>
      <c r="R61" s="53" t="s">
        <v>144</v>
      </c>
      <c r="S61" s="53"/>
      <c r="T61" s="53"/>
      <c r="U61" s="82" t="s">
        <v>326</v>
      </c>
      <c r="V61" s="58" t="s">
        <v>510</v>
      </c>
      <c r="W61" s="58"/>
      <c r="X61" s="53" t="s">
        <v>124</v>
      </c>
      <c r="Y61" s="53" t="s">
        <v>162</v>
      </c>
      <c r="Z61" s="53" t="s">
        <v>148</v>
      </c>
      <c r="AA61" s="59" t="s">
        <v>176</v>
      </c>
      <c r="AB61" s="50" t="e">
        <v>#N/A</v>
      </c>
      <c r="AC61" s="54" t="e">
        <v>#N/A</v>
      </c>
      <c r="AD61" s="83">
        <v>44693.0</v>
      </c>
      <c r="AE61" s="63">
        <v>44738.0</v>
      </c>
      <c r="AF61" s="64" t="s">
        <v>127</v>
      </c>
      <c r="AG61" s="65">
        <v>1.0</v>
      </c>
      <c r="AH61" s="66">
        <v>48752.125</v>
      </c>
      <c r="AI61" s="64" t="s">
        <v>118</v>
      </c>
      <c r="AJ61" s="66">
        <v>94869.0</v>
      </c>
      <c r="AK61" s="64" t="s">
        <v>151</v>
      </c>
      <c r="AL61" s="66"/>
      <c r="AM61" s="66"/>
      <c r="AN61" s="66">
        <v>48752.125</v>
      </c>
      <c r="AO61" s="66">
        <v>0.0</v>
      </c>
      <c r="AP61" s="58"/>
      <c r="AQ61" s="66"/>
      <c r="AR61" s="66">
        <f>6*7905.75+5*7905.75/30</f>
        <v>48752.125</v>
      </c>
      <c r="AS61" s="66">
        <f>AJ61/12</f>
        <v>7905.75</v>
      </c>
      <c r="AT61" s="66">
        <v>48752.125</v>
      </c>
      <c r="AU61" s="66"/>
      <c r="AV61" s="56"/>
      <c r="AW61" s="66">
        <v>0.0</v>
      </c>
      <c r="AX61" s="66">
        <v>0.0</v>
      </c>
      <c r="AY61" s="66">
        <v>0.0</v>
      </c>
      <c r="AZ61" s="66">
        <v>0.0</v>
      </c>
      <c r="BA61" s="66">
        <v>0.0</v>
      </c>
      <c r="BB61" s="66" t="s">
        <v>176</v>
      </c>
      <c r="BC61" s="56">
        <v>1.51132022236939E14</v>
      </c>
      <c r="BD61" s="64" t="s">
        <v>110</v>
      </c>
      <c r="BE61" s="66"/>
      <c r="BF61" s="64"/>
      <c r="BG61" s="65"/>
      <c r="BH61" s="65">
        <v>200000.0</v>
      </c>
      <c r="BI61" s="64" t="s">
        <v>153</v>
      </c>
      <c r="BJ61" s="65"/>
      <c r="BK61" s="64" t="s">
        <v>130</v>
      </c>
      <c r="BL61" s="67"/>
      <c r="BM61" s="64" t="s">
        <v>162</v>
      </c>
      <c r="BN61" s="63"/>
      <c r="BO61" s="63"/>
      <c r="BP61" s="66"/>
      <c r="BQ61" s="66"/>
      <c r="BR61" s="66"/>
      <c r="BS61" s="66">
        <v>48752.125</v>
      </c>
      <c r="BT61" s="66">
        <f>12*7905.75</f>
        <v>94869</v>
      </c>
      <c r="BU61" s="64" t="s">
        <v>155</v>
      </c>
      <c r="BV61" s="64"/>
      <c r="BW61" s="64"/>
      <c r="BX61" s="54"/>
      <c r="BY61" s="54"/>
      <c r="BZ61" s="63"/>
      <c r="CA61" s="54"/>
      <c r="CB61" s="54" t="s">
        <v>159</v>
      </c>
      <c r="CC61" s="54" t="s">
        <v>135</v>
      </c>
      <c r="CD61" s="54" t="s">
        <v>136</v>
      </c>
      <c r="CE61" s="56"/>
      <c r="CF61" s="54" t="s">
        <v>161</v>
      </c>
      <c r="CG61" s="63"/>
      <c r="CH61" s="63">
        <v>45103.0</v>
      </c>
      <c r="CI61" s="63" t="s">
        <v>162</v>
      </c>
      <c r="CJ61" s="66"/>
      <c r="CK61" s="63"/>
      <c r="CL61" s="64"/>
      <c r="CM61" s="53"/>
      <c r="CN61" s="66" t="s">
        <v>176</v>
      </c>
      <c r="CO61" s="64"/>
      <c r="CP61" s="66"/>
      <c r="CQ61" s="80"/>
      <c r="CR61" s="80"/>
      <c r="CS61" s="80"/>
      <c r="CT61" s="80"/>
      <c r="CU61" s="80"/>
      <c r="CV61" s="66">
        <v>0.0</v>
      </c>
      <c r="CW61" s="66">
        <v>0.0</v>
      </c>
      <c r="CX61" s="63" t="e">
        <v>#N/A</v>
      </c>
      <c r="CY61" s="56"/>
      <c r="CZ61" s="81" t="str">
        <f>IFERROR(__xludf.DUMMYFUNCTION("""COMPUTED_VALUE"""),"ASSYST ")</f>
        <v>ASSYST </v>
      </c>
      <c r="DA61" s="81" t="str">
        <f>IFERROR(__xludf.DUMMYFUNCTION("""COMPUTED_VALUE"""),"Contratação de suporte e atualização de licenças da solução de gerenciamento de serviços e registro de chamadas de TIC (2022)")</f>
        <v>Contratação de suporte e atualização de licenças da solução de gerenciamento de serviços e registro de chamadas de TIC (2022)</v>
      </c>
      <c r="DB61" s="81" t="s">
        <v>340</v>
      </c>
      <c r="DC61" s="81" t="s">
        <v>214</v>
      </c>
      <c r="DD61" s="81" t="s">
        <v>215</v>
      </c>
      <c r="DE61" s="81" t="s">
        <v>216</v>
      </c>
      <c r="DF61" s="81" t="s">
        <v>110</v>
      </c>
      <c r="DG61" s="81" t="s">
        <v>279</v>
      </c>
      <c r="DH61" s="56"/>
    </row>
    <row r="62" ht="16.5" customHeight="1">
      <c r="A62" s="73">
        <v>15390.0</v>
      </c>
      <c r="B62" s="50">
        <v>15056.0</v>
      </c>
      <c r="C62" s="53" t="s">
        <v>511</v>
      </c>
      <c r="D62" s="52" t="s">
        <v>112</v>
      </c>
      <c r="E62" s="52" t="s">
        <v>113</v>
      </c>
      <c r="F62" s="52" t="s">
        <v>114</v>
      </c>
      <c r="G62" s="52" t="str">
        <f>IFERROR(__xludf.DUMMYFUNCTION("""COMPUTED_VALUE"""),"(ID PAAC 15390) REDE JT CIASC - Contratação de links de alto desempenho para as conexões de dados entre as unidades do TRT - 2022")</f>
        <v>(ID PAAC 15390) REDE JT CIASC - Contratação de links de alto desempenho para as conexões de dados entre as unidades do TRT - 2022</v>
      </c>
      <c r="H62" s="53" t="s">
        <v>115</v>
      </c>
      <c r="I62" s="53" t="s">
        <v>116</v>
      </c>
      <c r="J62" s="53" t="s">
        <v>116</v>
      </c>
      <c r="K62" s="54" t="s">
        <v>117</v>
      </c>
      <c r="L62" s="55">
        <v>0.0</v>
      </c>
      <c r="M62" s="56">
        <v>3.3904013E7</v>
      </c>
      <c r="N62" s="56">
        <v>0.0</v>
      </c>
      <c r="O62" s="50">
        <v>168107.0</v>
      </c>
      <c r="P62" s="64" t="s">
        <v>110</v>
      </c>
      <c r="Q62" s="53" t="s">
        <v>119</v>
      </c>
      <c r="R62" s="53" t="s">
        <v>144</v>
      </c>
      <c r="S62" s="53"/>
      <c r="T62" s="53"/>
      <c r="U62" s="82" t="s">
        <v>122</v>
      </c>
      <c r="V62" s="58"/>
      <c r="W62" s="58"/>
      <c r="X62" s="53" t="s">
        <v>173</v>
      </c>
      <c r="Y62" s="53" t="s">
        <v>512</v>
      </c>
      <c r="Z62" s="53" t="s">
        <v>167</v>
      </c>
      <c r="AA62" s="59" t="s">
        <v>176</v>
      </c>
      <c r="AB62" s="50" t="e">
        <v>#N/A</v>
      </c>
      <c r="AC62" s="54" t="e">
        <v>#N/A</v>
      </c>
      <c r="AD62" s="83">
        <v>44771.0</v>
      </c>
      <c r="AE62" s="63">
        <v>44781.0</v>
      </c>
      <c r="AF62" s="64" t="s">
        <v>177</v>
      </c>
      <c r="AG62" s="65">
        <v>33.0</v>
      </c>
      <c r="AH62" s="66">
        <v>10948.678787878789</v>
      </c>
      <c r="AI62" s="64" t="s">
        <v>118</v>
      </c>
      <c r="AJ62" s="66"/>
      <c r="AK62" s="64" t="s">
        <v>178</v>
      </c>
      <c r="AL62" s="78"/>
      <c r="AM62" s="78"/>
      <c r="AN62" s="78">
        <v>361306.4</v>
      </c>
      <c r="AO62" s="78">
        <v>0.0</v>
      </c>
      <c r="AP62" s="58"/>
      <c r="AQ62" s="78"/>
      <c r="AR62" s="66">
        <f>AO7-AR7</f>
        <v>361306.4</v>
      </c>
      <c r="AS62" s="66"/>
      <c r="AT62" s="66">
        <v>361306.4</v>
      </c>
      <c r="AU62" s="66"/>
      <c r="AV62" s="56"/>
      <c r="AW62" s="66">
        <v>0.0</v>
      </c>
      <c r="AX62" s="66">
        <v>0.0</v>
      </c>
      <c r="AY62" s="66">
        <v>0.0</v>
      </c>
      <c r="AZ62" s="66">
        <v>0.0</v>
      </c>
      <c r="BA62" s="66">
        <v>0.0</v>
      </c>
      <c r="BB62" s="66" t="s">
        <v>176</v>
      </c>
      <c r="BC62" s="56">
        <v>1.51132022236927E14</v>
      </c>
      <c r="BD62" s="64" t="s">
        <v>110</v>
      </c>
      <c r="BE62" s="66"/>
      <c r="BF62" s="64"/>
      <c r="BG62" s="65"/>
      <c r="BH62" s="65">
        <v>300000.0</v>
      </c>
      <c r="BI62" s="64" t="s">
        <v>129</v>
      </c>
      <c r="BJ62" s="65"/>
      <c r="BK62" s="64" t="s">
        <v>130</v>
      </c>
      <c r="BL62" s="67"/>
      <c r="BM62" s="64" t="s">
        <v>512</v>
      </c>
      <c r="BN62" s="63"/>
      <c r="BO62" s="63"/>
      <c r="BP62" s="66"/>
      <c r="BQ62" s="66"/>
      <c r="BR62" s="66"/>
      <c r="BS62" s="66">
        <v>361306.4</v>
      </c>
      <c r="BT62" s="66">
        <f>AT62/5*12</f>
        <v>867135.36</v>
      </c>
      <c r="BU62" s="64" t="s">
        <v>189</v>
      </c>
      <c r="BV62" s="64"/>
      <c r="BW62" s="64"/>
      <c r="BX62" s="54"/>
      <c r="BY62" s="54"/>
      <c r="BZ62" s="63"/>
      <c r="CA62" s="54"/>
      <c r="CB62" s="54" t="s">
        <v>159</v>
      </c>
      <c r="CC62" s="54" t="s">
        <v>135</v>
      </c>
      <c r="CD62" s="54" t="s">
        <v>136</v>
      </c>
      <c r="CE62" s="56"/>
      <c r="CF62" s="54" t="s">
        <v>194</v>
      </c>
      <c r="CG62" s="63"/>
      <c r="CH62" s="63">
        <v>45146.0</v>
      </c>
      <c r="CI62" s="63" t="s">
        <v>512</v>
      </c>
      <c r="CJ62" s="66"/>
      <c r="CK62" s="63"/>
      <c r="CL62" s="64"/>
      <c r="CM62" s="53"/>
      <c r="CN62" s="66" t="s">
        <v>176</v>
      </c>
      <c r="CO62" s="64"/>
      <c r="CP62" s="66"/>
      <c r="CQ62" s="80"/>
      <c r="CR62" s="80"/>
      <c r="CS62" s="80"/>
      <c r="CT62" s="80"/>
      <c r="CU62" s="80"/>
      <c r="CV62" s="66">
        <v>0.0</v>
      </c>
      <c r="CW62" s="66">
        <v>0.0</v>
      </c>
      <c r="CX62" s="63" t="e">
        <v>#N/A</v>
      </c>
      <c r="CY62" s="56"/>
      <c r="CZ62" s="81" t="str">
        <f>IFERROR(__xludf.DUMMYFUNCTION("""COMPUTED_VALUE"""),"REDE JT CIASC ")</f>
        <v>REDE JT CIASC </v>
      </c>
      <c r="DA62" s="81" t="str">
        <f>IFERROR(__xludf.DUMMYFUNCTION("""COMPUTED_VALUE"""),"Contratação de links de alto desempenho para as conexões de dados entre as unidades do TRT2022")</f>
        <v>Contratação de links de alto desempenho para as conexões de dados entre as unidades do TRT2022</v>
      </c>
      <c r="DB62" s="81" t="s">
        <v>227</v>
      </c>
      <c r="DC62" s="81" t="s">
        <v>214</v>
      </c>
      <c r="DD62" s="81" t="s">
        <v>215</v>
      </c>
      <c r="DE62" s="81" t="s">
        <v>304</v>
      </c>
      <c r="DF62" s="81" t="s">
        <v>118</v>
      </c>
      <c r="DG62" s="81" t="s">
        <v>279</v>
      </c>
      <c r="DH62" s="56"/>
    </row>
    <row r="63" ht="16.5" customHeight="1">
      <c r="A63" s="73">
        <v>15391.0</v>
      </c>
      <c r="B63" s="50">
        <v>99999.0</v>
      </c>
      <c r="C63" s="53" t="s">
        <v>513</v>
      </c>
      <c r="D63" s="52" t="s">
        <v>243</v>
      </c>
      <c r="E63" s="52" t="s">
        <v>311</v>
      </c>
      <c r="F63" s="52" t="s">
        <v>312</v>
      </c>
      <c r="G63" s="52" t="str">
        <f>IFERROR(__xludf.DUMMYFUNCTION("""COMPUTED_VALUE"""),"(ID PAAC 15391) BACKUP SOFTWARE - Licença para software de backup")</f>
        <v>(ID PAAC 15391) BACKUP SOFTWARE - Licença para software de backup</v>
      </c>
      <c r="H63" s="53" t="s">
        <v>245</v>
      </c>
      <c r="I63" s="53" t="s">
        <v>116</v>
      </c>
      <c r="J63" s="53" t="s">
        <v>116</v>
      </c>
      <c r="K63" s="54" t="s">
        <v>313</v>
      </c>
      <c r="L63" s="55">
        <v>0.0</v>
      </c>
      <c r="M63" s="56"/>
      <c r="N63" s="56">
        <v>0.0</v>
      </c>
      <c r="O63" s="50">
        <v>168105.0</v>
      </c>
      <c r="P63" s="64" t="s">
        <v>118</v>
      </c>
      <c r="Q63" s="53" t="s">
        <v>119</v>
      </c>
      <c r="R63" s="53" t="s">
        <v>514</v>
      </c>
      <c r="S63" s="53"/>
      <c r="T63" s="53"/>
      <c r="U63" s="82" t="s">
        <v>122</v>
      </c>
      <c r="V63" s="58"/>
      <c r="W63" s="58"/>
      <c r="X63" s="53" t="s">
        <v>173</v>
      </c>
      <c r="Y63" s="53" t="s">
        <v>162</v>
      </c>
      <c r="Z63" s="53" t="s">
        <v>148</v>
      </c>
      <c r="AA63" s="59" t="s">
        <v>176</v>
      </c>
      <c r="AB63" s="50" t="e">
        <v>#N/A</v>
      </c>
      <c r="AC63" s="54" t="e">
        <v>#N/A</v>
      </c>
      <c r="AD63" s="83">
        <v>44941.0</v>
      </c>
      <c r="AE63" s="63">
        <v>44986.0</v>
      </c>
      <c r="AF63" s="64" t="s">
        <v>177</v>
      </c>
      <c r="AG63" s="65">
        <v>1.0</v>
      </c>
      <c r="AH63" s="66">
        <v>0.0</v>
      </c>
      <c r="AI63" s="64" t="s">
        <v>110</v>
      </c>
      <c r="AJ63" s="66"/>
      <c r="AK63" s="66"/>
      <c r="AL63" s="66"/>
      <c r="AM63" s="66"/>
      <c r="AN63" s="66">
        <v>0.0</v>
      </c>
      <c r="AO63" s="66"/>
      <c r="AP63" s="58"/>
      <c r="AQ63" s="66">
        <v>0.0</v>
      </c>
      <c r="AR63" s="66">
        <v>400000.0</v>
      </c>
      <c r="AS63" s="66"/>
      <c r="AT63" s="66">
        <v>0.0</v>
      </c>
      <c r="AU63" s="66"/>
      <c r="AV63" s="56"/>
      <c r="AW63" s="66">
        <v>0.0</v>
      </c>
      <c r="AX63" s="66"/>
      <c r="AY63" s="66">
        <v>0.0</v>
      </c>
      <c r="AZ63" s="66">
        <v>0.0</v>
      </c>
      <c r="BA63" s="66">
        <v>0.0</v>
      </c>
      <c r="BB63" s="66" t="s">
        <v>176</v>
      </c>
      <c r="BC63" s="56"/>
      <c r="BD63" s="64" t="s">
        <v>118</v>
      </c>
      <c r="BE63" s="66"/>
      <c r="BF63" s="64"/>
      <c r="BG63" s="65"/>
      <c r="BH63" s="65">
        <v>300000.0</v>
      </c>
      <c r="BI63" s="64" t="s">
        <v>129</v>
      </c>
      <c r="BJ63" s="65"/>
      <c r="BK63" s="64" t="s">
        <v>247</v>
      </c>
      <c r="BL63" s="67"/>
      <c r="BM63" s="64" t="s">
        <v>515</v>
      </c>
      <c r="BN63" s="63"/>
      <c r="BO63" s="63"/>
      <c r="BP63" s="66"/>
      <c r="BQ63" s="66"/>
      <c r="BR63" s="66"/>
      <c r="BS63" s="66">
        <v>0.0</v>
      </c>
      <c r="BT63" s="66">
        <v>400000.0</v>
      </c>
      <c r="BU63" s="64" t="e">
        <v>#N/A</v>
      </c>
      <c r="BV63" s="64"/>
      <c r="BW63" s="66"/>
      <c r="BX63" s="54"/>
      <c r="BY63" s="54"/>
      <c r="BZ63" s="63"/>
      <c r="CA63" s="54"/>
      <c r="CB63" s="54" t="s">
        <v>134</v>
      </c>
      <c r="CC63" s="54" t="s">
        <v>135</v>
      </c>
      <c r="CD63" s="54" t="e">
        <v>#N/A</v>
      </c>
      <c r="CE63" s="56"/>
      <c r="CF63" s="54" t="e">
        <v>#N/A</v>
      </c>
      <c r="CG63" s="63"/>
      <c r="CH63" s="63">
        <v>45351.0</v>
      </c>
      <c r="CI63" s="63" t="s">
        <v>162</v>
      </c>
      <c r="CJ63" s="66"/>
      <c r="CK63" s="63"/>
      <c r="CL63" s="64"/>
      <c r="CM63" s="53"/>
      <c r="CN63" s="66" t="s">
        <v>176</v>
      </c>
      <c r="CO63" s="64"/>
      <c r="CP63" s="66"/>
      <c r="CQ63" s="80"/>
      <c r="CR63" s="80"/>
      <c r="CS63" s="80"/>
      <c r="CT63" s="80"/>
      <c r="CU63" s="80"/>
      <c r="CV63" s="66">
        <v>0.0</v>
      </c>
      <c r="CW63" s="66">
        <v>0.0</v>
      </c>
      <c r="CX63" s="63" t="e">
        <v>#N/A</v>
      </c>
      <c r="CY63" s="56"/>
      <c r="CZ63" s="81" t="str">
        <f>IFERROR(__xludf.DUMMYFUNCTION("""COMPUTED_VALUE"""),"BACKUP SOFTWARE ")</f>
        <v>BACKUP SOFTWARE </v>
      </c>
      <c r="DA63" s="81" t="str">
        <f>IFERROR(__xludf.DUMMYFUNCTION("""COMPUTED_VALUE"""),"Licença para software de backup")</f>
        <v>Licença para software de backup</v>
      </c>
      <c r="DB63" s="81" t="s">
        <v>319</v>
      </c>
      <c r="DC63" s="81" t="s">
        <v>320</v>
      </c>
      <c r="DD63" s="81" t="s">
        <v>321</v>
      </c>
      <c r="DE63" s="81" t="s">
        <v>216</v>
      </c>
      <c r="DF63" s="81" t="s">
        <v>110</v>
      </c>
      <c r="DG63" s="81" t="s">
        <v>279</v>
      </c>
      <c r="DH63" s="56"/>
    </row>
    <row r="64" ht="16.5" customHeight="1">
      <c r="A64" s="73">
        <v>15392.0</v>
      </c>
      <c r="B64" s="50">
        <v>15060.0</v>
      </c>
      <c r="C64" s="53" t="s">
        <v>516</v>
      </c>
      <c r="D64" s="52" t="s">
        <v>112</v>
      </c>
      <c r="E64" s="52" t="s">
        <v>142</v>
      </c>
      <c r="F64" s="52" t="s">
        <v>203</v>
      </c>
      <c r="G64" s="52" t="str">
        <f>IFERROR(__xludf.DUMMYFUNCTION("""COMPUTED_VALUE"""),"(ID PAAC 15392) CENTRAL DE SERVIÇOS - Contratação de serviços de suporte de TIC em 1º e 2º níveis - 2019, para fornecimento de técnicos terceirizados para atendimento aos chamados de TIC, no Estado. (Reconhecimento de dívida de exercício anterior)")</f>
        <v>(ID PAAC 15392) CENTRAL DE SERVIÇOS - Contratação de serviços de suporte de TIC em 1º e 2º níveis - 2019, para fornecimento de técnicos terceirizados para atendimento aos chamados de TIC, no Estado. (Reconhecimento de dívida de exercício anterior)</v>
      </c>
      <c r="H64" s="53" t="s">
        <v>115</v>
      </c>
      <c r="I64" s="53" t="s">
        <v>116</v>
      </c>
      <c r="J64" s="53" t="s">
        <v>116</v>
      </c>
      <c r="K64" s="54" t="s">
        <v>117</v>
      </c>
      <c r="L64" s="55">
        <v>0.0</v>
      </c>
      <c r="M64" s="56">
        <v>3.390401E7</v>
      </c>
      <c r="N64" s="56">
        <v>0.0</v>
      </c>
      <c r="O64" s="50">
        <v>168105.0</v>
      </c>
      <c r="P64" s="64" t="s">
        <v>118</v>
      </c>
      <c r="Q64" s="53" t="s">
        <v>119</v>
      </c>
      <c r="R64" s="53" t="s">
        <v>144</v>
      </c>
      <c r="S64" s="53"/>
      <c r="T64" s="53"/>
      <c r="U64" s="82" t="s">
        <v>145</v>
      </c>
      <c r="V64" s="58"/>
      <c r="W64" s="58" t="s">
        <v>206</v>
      </c>
      <c r="X64" s="53" t="s">
        <v>124</v>
      </c>
      <c r="Y64" s="53" t="s">
        <v>147</v>
      </c>
      <c r="Z64" s="53" t="s">
        <v>125</v>
      </c>
      <c r="AA64" s="75" t="s">
        <v>207</v>
      </c>
      <c r="AB64" s="50">
        <v>6.556008000115E12</v>
      </c>
      <c r="AC64" s="54" t="s">
        <v>208</v>
      </c>
      <c r="AD64" s="83" t="s">
        <v>176</v>
      </c>
      <c r="AE64" s="63"/>
      <c r="AF64" s="64" t="s">
        <v>127</v>
      </c>
      <c r="AG64" s="65">
        <v>1.0</v>
      </c>
      <c r="AH64" s="66">
        <v>11760.9</v>
      </c>
      <c r="AI64" s="64" t="s">
        <v>118</v>
      </c>
      <c r="AJ64" s="66"/>
      <c r="AK64" s="64" t="s">
        <v>151</v>
      </c>
      <c r="AL64" s="66"/>
      <c r="AM64" s="66"/>
      <c r="AN64" s="66">
        <v>11760.9</v>
      </c>
      <c r="AO64" s="66"/>
      <c r="AP64" s="58" t="s">
        <v>517</v>
      </c>
      <c r="AQ64" s="66">
        <v>0.0</v>
      </c>
      <c r="AR64" s="66">
        <v>11760.9</v>
      </c>
      <c r="AS64" s="66"/>
      <c r="AT64" s="66">
        <v>11760.9</v>
      </c>
      <c r="AU64" s="66"/>
      <c r="AV64" s="56"/>
      <c r="AW64" s="66">
        <v>0.0</v>
      </c>
      <c r="AX64" s="66"/>
      <c r="AY64" s="66">
        <v>11760.9</v>
      </c>
      <c r="AZ64" s="66">
        <v>11760.9</v>
      </c>
      <c r="BA64" s="66">
        <v>0.0</v>
      </c>
      <c r="BB64" s="79" t="s">
        <v>207</v>
      </c>
      <c r="BC64" s="56"/>
      <c r="BD64" s="64" t="s">
        <v>118</v>
      </c>
      <c r="BE64" s="66"/>
      <c r="BF64" s="64" t="s">
        <v>518</v>
      </c>
      <c r="BG64" s="65"/>
      <c r="BH64" s="65">
        <v>300000.0</v>
      </c>
      <c r="BI64" s="64" t="s">
        <v>129</v>
      </c>
      <c r="BJ64" s="65"/>
      <c r="BK64" s="64" t="s">
        <v>130</v>
      </c>
      <c r="BL64" s="67"/>
      <c r="BM64" s="64" t="s">
        <v>147</v>
      </c>
      <c r="BN64" s="63"/>
      <c r="BO64" s="63"/>
      <c r="BP64" s="66"/>
      <c r="BQ64" s="66"/>
      <c r="BR64" s="66"/>
      <c r="BS64" s="66">
        <v>11760.9</v>
      </c>
      <c r="BT64" s="66"/>
      <c r="BU64" s="64" t="s">
        <v>210</v>
      </c>
      <c r="BV64" s="64"/>
      <c r="BW64" s="66"/>
      <c r="BX64" s="54"/>
      <c r="BY64" s="54"/>
      <c r="BZ64" s="63"/>
      <c r="CA64" s="54"/>
      <c r="CB64" s="54" t="s">
        <v>134</v>
      </c>
      <c r="CC64" s="54" t="s">
        <v>135</v>
      </c>
      <c r="CD64" s="54" t="s">
        <v>136</v>
      </c>
      <c r="CE64" s="56"/>
      <c r="CF64" s="54" t="s">
        <v>211</v>
      </c>
      <c r="CG64" s="63"/>
      <c r="CH64" s="63">
        <v>365.0</v>
      </c>
      <c r="CI64" s="63" t="s">
        <v>147</v>
      </c>
      <c r="CJ64" s="66"/>
      <c r="CK64" s="63"/>
      <c r="CL64" s="64"/>
      <c r="CM64" s="53"/>
      <c r="CN64" s="79" t="s">
        <v>207</v>
      </c>
      <c r="CO64" s="64"/>
      <c r="CP64" s="66"/>
      <c r="CQ64" s="80"/>
      <c r="CR64" s="80"/>
      <c r="CS64" s="80"/>
      <c r="CT64" s="80"/>
      <c r="CU64" s="80"/>
      <c r="CV64" s="66">
        <v>0.0</v>
      </c>
      <c r="CW64" s="66">
        <v>0.0</v>
      </c>
      <c r="CX64" s="63">
        <v>44585.0</v>
      </c>
      <c r="CY64" s="56">
        <v>1.0</v>
      </c>
      <c r="CZ64" s="81" t="str">
        <f>IFERROR(__xludf.DUMMYFUNCTION("""COMPUTED_VALUE"""),"CENTRAL DE SERVIÇOS ")</f>
        <v>CENTRAL DE SERVIÇOS </v>
      </c>
      <c r="DA64" s="56" t="str">
        <f>IFERROR(__xludf.DUMMYFUNCTION("""COMPUTED_VALUE"""),"Contratação de serviços de suporte de TIC em 1º e 2º níveis2019, para fornecimento de técnicos terceirizados para atendimento aos chamados de TIC, no Estado. (Reconhecimento de dívida de exercício anterior)")</f>
        <v>Contratação de serviços de suporte de TIC em 1º e 2º níveis2019, para fornecimento de técnicos terceirizados para atendimento aos chamados de TIC, no Estado. (Reconhecimento de dívida de exercício anterior)</v>
      </c>
      <c r="DB64" s="56"/>
      <c r="DC64" s="56"/>
      <c r="DD64" s="56"/>
      <c r="DE64" s="56"/>
      <c r="DF64" s="56"/>
      <c r="DG64" s="56"/>
      <c r="DH64" s="56"/>
    </row>
    <row r="65" ht="16.5" customHeight="1">
      <c r="A65" s="124">
        <v>15393.0</v>
      </c>
      <c r="B65" s="125">
        <v>15353.0</v>
      </c>
      <c r="C65" s="126" t="s">
        <v>519</v>
      </c>
      <c r="D65" s="127" t="s">
        <v>112</v>
      </c>
      <c r="E65" s="127" t="s">
        <v>219</v>
      </c>
      <c r="F65" s="128" t="s">
        <v>203</v>
      </c>
      <c r="G65" s="127" t="str">
        <f>IFERROR(__xludf.DUMMYFUNCTION("""COMPUTED_VALUE"""),"(ID PAAC 15393) AUDIÊNCIAS - Viabilizar a continuidade de audiências, sessões e reuniões por meio de videoconferências (Zoom) (Reconhecimento de dívida de exercício anterior)")</f>
        <v>(ID PAAC 15393) AUDIÊNCIAS - Viabilizar a continuidade de audiências, sessões e reuniões por meio de videoconferências (Zoom) (Reconhecimento de dívida de exercício anterior)</v>
      </c>
      <c r="H65" s="126" t="s">
        <v>115</v>
      </c>
      <c r="I65" s="126" t="s">
        <v>116</v>
      </c>
      <c r="J65" s="129" t="s">
        <v>116</v>
      </c>
      <c r="K65" s="130" t="s">
        <v>117</v>
      </c>
      <c r="L65" s="131">
        <v>0.0</v>
      </c>
      <c r="M65" s="132">
        <v>3.3904019E7</v>
      </c>
      <c r="N65" s="133">
        <v>0.0</v>
      </c>
      <c r="O65" s="134">
        <v>168107.0</v>
      </c>
      <c r="P65" s="135" t="s">
        <v>110</v>
      </c>
      <c r="Q65" s="126" t="s">
        <v>119</v>
      </c>
      <c r="R65" s="126" t="s">
        <v>144</v>
      </c>
      <c r="S65" s="136"/>
      <c r="T65" s="129"/>
      <c r="U65" s="126" t="s">
        <v>145</v>
      </c>
      <c r="V65" s="137"/>
      <c r="W65" s="137" t="s">
        <v>390</v>
      </c>
      <c r="X65" s="126" t="s">
        <v>173</v>
      </c>
      <c r="Y65" s="126" t="s">
        <v>147</v>
      </c>
      <c r="Z65" s="126" t="s">
        <v>148</v>
      </c>
      <c r="AA65" s="169" t="s">
        <v>391</v>
      </c>
      <c r="AB65" s="139">
        <v>2.3518065000129E13</v>
      </c>
      <c r="AC65" s="140" t="s">
        <v>392</v>
      </c>
      <c r="AD65" s="141" t="s">
        <v>176</v>
      </c>
      <c r="AE65" s="142"/>
      <c r="AF65" s="143" t="s">
        <v>177</v>
      </c>
      <c r="AG65" s="144">
        <v>1.0</v>
      </c>
      <c r="AH65" s="145">
        <v>484.45</v>
      </c>
      <c r="AI65" s="146"/>
      <c r="AJ65" s="145"/>
      <c r="AK65" s="143" t="s">
        <v>393</v>
      </c>
      <c r="AL65" s="148"/>
      <c r="AM65" s="148"/>
      <c r="AN65" s="147">
        <v>484.45</v>
      </c>
      <c r="AO65" s="147"/>
      <c r="AP65" s="137" t="s">
        <v>520</v>
      </c>
      <c r="AQ65" s="148">
        <v>0.0</v>
      </c>
      <c r="AR65" s="150">
        <v>484.45</v>
      </c>
      <c r="AS65" s="149"/>
      <c r="AT65" s="150">
        <v>484.45</v>
      </c>
      <c r="AU65" s="149"/>
      <c r="AV65" s="151"/>
      <c r="AW65" s="145">
        <v>0.0</v>
      </c>
      <c r="AX65" s="143"/>
      <c r="AY65" s="150">
        <v>484.45</v>
      </c>
      <c r="AZ65" s="150">
        <v>484.45</v>
      </c>
      <c r="BA65" s="145">
        <v>0.0</v>
      </c>
      <c r="BB65" s="170" t="s">
        <v>391</v>
      </c>
      <c r="BC65" s="152"/>
      <c r="BD65" s="146" t="s">
        <v>118</v>
      </c>
      <c r="BE65" s="149"/>
      <c r="BF65" s="145" t="s">
        <v>518</v>
      </c>
      <c r="BG65" s="153"/>
      <c r="BH65" s="154">
        <v>300000.0</v>
      </c>
      <c r="BI65" s="135" t="s">
        <v>129</v>
      </c>
      <c r="BJ65" s="154"/>
      <c r="BK65" s="135" t="s">
        <v>130</v>
      </c>
      <c r="BL65" s="167"/>
      <c r="BM65" s="135" t="s">
        <v>147</v>
      </c>
      <c r="BN65" s="158"/>
      <c r="BO65" s="158"/>
      <c r="BP65" s="145"/>
      <c r="BQ65" s="145"/>
      <c r="BR65" s="145"/>
      <c r="BS65" s="145">
        <v>484.45</v>
      </c>
      <c r="BT65" s="145"/>
      <c r="BU65" s="157" t="s">
        <v>239</v>
      </c>
      <c r="BV65" s="146"/>
      <c r="BW65" s="145"/>
      <c r="BX65" s="140"/>
      <c r="BY65" s="130"/>
      <c r="BZ65" s="142"/>
      <c r="CA65" s="140"/>
      <c r="CB65" s="140" t="s">
        <v>159</v>
      </c>
      <c r="CC65" s="140" t="s">
        <v>135</v>
      </c>
      <c r="CD65" s="140" t="s">
        <v>136</v>
      </c>
      <c r="CE65" s="133"/>
      <c r="CF65" s="140" t="s">
        <v>240</v>
      </c>
      <c r="CG65" s="141"/>
      <c r="CH65" s="141">
        <v>365.0</v>
      </c>
      <c r="CI65" s="158" t="s">
        <v>147</v>
      </c>
      <c r="CJ65" s="163"/>
      <c r="CK65" s="160"/>
      <c r="CL65" s="159"/>
      <c r="CM65" s="161"/>
      <c r="CN65" s="162" t="s">
        <v>391</v>
      </c>
      <c r="CO65" s="135"/>
      <c r="CP65" s="163"/>
      <c r="CQ65" s="164"/>
      <c r="CR65" s="164"/>
      <c r="CS65" s="164"/>
      <c r="CT65" s="164"/>
      <c r="CU65" s="164"/>
      <c r="CV65" s="150">
        <v>0.0</v>
      </c>
      <c r="CW65" s="150">
        <v>0.0</v>
      </c>
      <c r="CX65" s="141" t="e">
        <v>#N/A</v>
      </c>
      <c r="CY65" s="152"/>
      <c r="CZ65" s="165" t="str">
        <f>IFERROR(__xludf.DUMMYFUNCTION("""COMPUTED_VALUE"""),"AUDIÊNCIAS ")</f>
        <v>AUDIÊNCIAS </v>
      </c>
      <c r="DA65" s="152" t="str">
        <f>IFERROR(__xludf.DUMMYFUNCTION("""COMPUTED_VALUE"""),"Viabilizar a continuidade de audiências, sessões e reuniões por meio de videoconferências (Zoom) (Reconhecimento de dívida de exercício anterior)")</f>
        <v>Viabilizar a continuidade de audiências, sessões e reuniões por meio de videoconferências (Zoom) (Reconhecimento de dívida de exercício anterior)</v>
      </c>
      <c r="DB65" s="152"/>
      <c r="DC65" s="152"/>
      <c r="DD65" s="152"/>
      <c r="DE65" s="152"/>
      <c r="DF65" s="152"/>
      <c r="DG65" s="152"/>
      <c r="DH65" s="152"/>
    </row>
    <row r="66" ht="16.5" customHeight="1">
      <c r="A66" s="73">
        <v>15394.0</v>
      </c>
      <c r="B66" s="50">
        <v>15018.0</v>
      </c>
      <c r="C66" s="53" t="s">
        <v>521</v>
      </c>
      <c r="D66" s="52" t="s">
        <v>141</v>
      </c>
      <c r="E66" s="52" t="s">
        <v>142</v>
      </c>
      <c r="F66" s="52" t="s">
        <v>114</v>
      </c>
      <c r="G66" s="52" t="str">
        <f>IFERROR(__xludf.DUMMYFUNCTION("""COMPUTED_VALUE"""),"(ID PAAC 15394) ASSYST - Contratação de suporte e atualização de licenças da solução de gerenciamento de serviços e registro de chamadas de TIC. (Reconhecimento de dívida de exercício anterior)")</f>
        <v>(ID PAAC 15394) ASSYST - Contratação de suporte e atualização de licenças da solução de gerenciamento de serviços e registro de chamadas de TIC. (Reconhecimento de dívida de exercício anterior)</v>
      </c>
      <c r="H66" s="53" t="s">
        <v>115</v>
      </c>
      <c r="I66" s="53" t="s">
        <v>116</v>
      </c>
      <c r="J66" s="53" t="s">
        <v>116</v>
      </c>
      <c r="K66" s="54" t="s">
        <v>117</v>
      </c>
      <c r="L66" s="55">
        <v>0.0</v>
      </c>
      <c r="M66" s="56">
        <v>3.3904007E7</v>
      </c>
      <c r="N66" s="56">
        <v>0.0</v>
      </c>
      <c r="O66" s="50">
        <v>168107.0</v>
      </c>
      <c r="P66" s="64" t="s">
        <v>110</v>
      </c>
      <c r="Q66" s="53" t="s">
        <v>143</v>
      </c>
      <c r="R66" s="53" t="s">
        <v>144</v>
      </c>
      <c r="S66" s="53"/>
      <c r="T66" s="53"/>
      <c r="U66" s="82" t="s">
        <v>145</v>
      </c>
      <c r="V66" s="58"/>
      <c r="W66" s="58" t="s">
        <v>146</v>
      </c>
      <c r="X66" s="53" t="s">
        <v>124</v>
      </c>
      <c r="Y66" s="53" t="s">
        <v>147</v>
      </c>
      <c r="Z66" s="53" t="s">
        <v>148</v>
      </c>
      <c r="AA66" s="75" t="s">
        <v>149</v>
      </c>
      <c r="AB66" s="50">
        <v>7.8333640001E12</v>
      </c>
      <c r="AC66" s="54" t="s">
        <v>150</v>
      </c>
      <c r="AD66" s="83" t="s">
        <v>176</v>
      </c>
      <c r="AE66" s="63"/>
      <c r="AF66" s="64" t="s">
        <v>127</v>
      </c>
      <c r="AG66" s="65"/>
      <c r="AH66" s="66"/>
      <c r="AI66" s="64"/>
      <c r="AJ66" s="66"/>
      <c r="AK66" s="64" t="s">
        <v>151</v>
      </c>
      <c r="AL66" s="66"/>
      <c r="AM66" s="66"/>
      <c r="AN66" s="66">
        <v>620.92</v>
      </c>
      <c r="AO66" s="66"/>
      <c r="AP66" s="58" t="s">
        <v>522</v>
      </c>
      <c r="AQ66" s="66">
        <v>0.0</v>
      </c>
      <c r="AR66" s="66">
        <v>620.92</v>
      </c>
      <c r="AS66" s="66"/>
      <c r="AT66" s="66">
        <v>620.92</v>
      </c>
      <c r="AU66" s="66"/>
      <c r="AV66" s="56"/>
      <c r="AW66" s="66">
        <v>0.0</v>
      </c>
      <c r="AX66" s="66"/>
      <c r="AY66" s="66">
        <v>620.92</v>
      </c>
      <c r="AZ66" s="66">
        <v>620.92</v>
      </c>
      <c r="BA66" s="66">
        <v>0.0</v>
      </c>
      <c r="BB66" s="79" t="s">
        <v>149</v>
      </c>
      <c r="BC66" s="56"/>
      <c r="BD66" s="64" t="s">
        <v>118</v>
      </c>
      <c r="BE66" s="66"/>
      <c r="BF66" s="64" t="s">
        <v>518</v>
      </c>
      <c r="BG66" s="65"/>
      <c r="BH66" s="65">
        <v>200000.0</v>
      </c>
      <c r="BI66" s="64" t="s">
        <v>153</v>
      </c>
      <c r="BJ66" s="65"/>
      <c r="BK66" s="64" t="s">
        <v>130</v>
      </c>
      <c r="BL66" s="67"/>
      <c r="BM66" s="64" t="s">
        <v>147</v>
      </c>
      <c r="BN66" s="63"/>
      <c r="BO66" s="63"/>
      <c r="BP66" s="66"/>
      <c r="BQ66" s="66"/>
      <c r="BR66" s="66"/>
      <c r="BS66" s="66">
        <v>620.92</v>
      </c>
      <c r="BT66" s="66"/>
      <c r="BU66" s="64" t="s">
        <v>155</v>
      </c>
      <c r="BV66" s="64"/>
      <c r="BW66" s="64"/>
      <c r="BX66" s="54"/>
      <c r="BY66" s="54"/>
      <c r="BZ66" s="63"/>
      <c r="CA66" s="54"/>
      <c r="CB66" s="54" t="s">
        <v>159</v>
      </c>
      <c r="CC66" s="54" t="s">
        <v>135</v>
      </c>
      <c r="CD66" s="54" t="s">
        <v>136</v>
      </c>
      <c r="CE66" s="56"/>
      <c r="CF66" s="54" t="s">
        <v>161</v>
      </c>
      <c r="CG66" s="63"/>
      <c r="CH66" s="63">
        <v>365.0</v>
      </c>
      <c r="CI66" s="63" t="s">
        <v>147</v>
      </c>
      <c r="CJ66" s="66"/>
      <c r="CK66" s="63"/>
      <c r="CL66" s="64"/>
      <c r="CM66" s="53"/>
      <c r="CN66" s="79" t="s">
        <v>149</v>
      </c>
      <c r="CO66" s="64"/>
      <c r="CP66" s="66"/>
      <c r="CQ66" s="80"/>
      <c r="CR66" s="80"/>
      <c r="CS66" s="80"/>
      <c r="CT66" s="80"/>
      <c r="CU66" s="80"/>
      <c r="CV66" s="66">
        <v>0.0</v>
      </c>
      <c r="CW66" s="66">
        <v>0.0</v>
      </c>
      <c r="CX66" s="63">
        <v>44579.0</v>
      </c>
      <c r="CY66" s="56">
        <v>1.0</v>
      </c>
      <c r="CZ66" s="81" t="str">
        <f>IFERROR(__xludf.DUMMYFUNCTION("""COMPUTED_VALUE"""),"ASSYST ")</f>
        <v>ASSYST </v>
      </c>
      <c r="DA66" s="56" t="str">
        <f>IFERROR(__xludf.DUMMYFUNCTION("""COMPUTED_VALUE"""),"Contratação de suporte e atualização de licenças da solução de gerenciamento de serviços e registro de chamadas de TIC. (Reconhecimento de dívida de exercício anterior)")</f>
        <v>Contratação de suporte e atualização de licenças da solução de gerenciamento de serviços e registro de chamadas de TIC. (Reconhecimento de dívida de exercício anterior)</v>
      </c>
      <c r="DB66" s="56"/>
      <c r="DC66" s="56"/>
      <c r="DD66" s="56"/>
      <c r="DE66" s="56"/>
      <c r="DF66" s="56"/>
      <c r="DG66" s="56"/>
      <c r="DH66" s="56"/>
    </row>
    <row r="67" ht="115.5" customHeight="1">
      <c r="A67" s="73">
        <v>15895.0</v>
      </c>
      <c r="B67" s="50">
        <v>15373.0</v>
      </c>
      <c r="C67" s="53" t="s">
        <v>523</v>
      </c>
      <c r="D67" s="52" t="s">
        <v>112</v>
      </c>
      <c r="E67" s="52" t="s">
        <v>113</v>
      </c>
      <c r="F67" s="52" t="s">
        <v>114</v>
      </c>
      <c r="G67" s="52" t="str">
        <f>IFERROR(__xludf.DUMMYFUNCTION("""COMPUTED_VALUE"""),"(ID PAAC 15895) SO - Contratação de suporte e operação de infraestrutura de TIC/PJe - PO CSJT, inclui suporte Linux, contrato obrigatório dedicado ao PJe (Reconhecimento de dívida de exercício anterior)")</f>
        <v>(ID PAAC 15895) SO - Contratação de suporte e operação de infraestrutura de TIC/PJe - PO CSJT, inclui suporte Linux, contrato obrigatório dedicado ao PJe (Reconhecimento de dívida de exercício anterior)</v>
      </c>
      <c r="H67" s="53" t="s">
        <v>115</v>
      </c>
      <c r="I67" s="53" t="s">
        <v>116</v>
      </c>
      <c r="J67" s="53" t="s">
        <v>116</v>
      </c>
      <c r="K67" s="54" t="s">
        <v>117</v>
      </c>
      <c r="L67" s="55">
        <v>0.0</v>
      </c>
      <c r="M67" s="56">
        <v>3.3904007E7</v>
      </c>
      <c r="N67" s="56">
        <v>0.0</v>
      </c>
      <c r="O67" s="50">
        <v>168107.0</v>
      </c>
      <c r="P67" s="52" t="s">
        <v>110</v>
      </c>
      <c r="Q67" s="53" t="s">
        <v>119</v>
      </c>
      <c r="R67" s="53" t="s">
        <v>144</v>
      </c>
      <c r="S67" s="53"/>
      <c r="T67" s="53"/>
      <c r="U67" s="90" t="s">
        <v>145</v>
      </c>
      <c r="V67" s="58"/>
      <c r="W67" s="58" t="s">
        <v>467</v>
      </c>
      <c r="X67" s="53" t="s">
        <v>173</v>
      </c>
      <c r="Y67" s="53" t="s">
        <v>147</v>
      </c>
      <c r="Z67" s="53" t="s">
        <v>125</v>
      </c>
      <c r="AA67" s="75" t="s">
        <v>468</v>
      </c>
      <c r="AB67" s="50">
        <v>4.892991000115E12</v>
      </c>
      <c r="AC67" s="54" t="s">
        <v>469</v>
      </c>
      <c r="AD67" s="93" t="s">
        <v>176</v>
      </c>
      <c r="AE67" s="63"/>
      <c r="AF67" s="64" t="s">
        <v>177</v>
      </c>
      <c r="AG67" s="65">
        <v>1.0</v>
      </c>
      <c r="AH67" s="66">
        <v>583.33</v>
      </c>
      <c r="AI67" s="64"/>
      <c r="AJ67" s="66"/>
      <c r="AK67" s="64" t="s">
        <v>178</v>
      </c>
      <c r="AL67" s="78"/>
      <c r="AM67" s="78"/>
      <c r="AN67" s="78">
        <v>583.33</v>
      </c>
      <c r="AO67" s="78"/>
      <c r="AP67" s="58" t="s">
        <v>524</v>
      </c>
      <c r="AQ67" s="78">
        <v>0.0</v>
      </c>
      <c r="AR67" s="66">
        <v>583.33</v>
      </c>
      <c r="AS67" s="66"/>
      <c r="AT67" s="66">
        <v>583.33</v>
      </c>
      <c r="AU67" s="66"/>
      <c r="AV67" s="56"/>
      <c r="AW67" s="66">
        <v>0.0</v>
      </c>
      <c r="AX67" s="66"/>
      <c r="AY67" s="66">
        <v>583.33</v>
      </c>
      <c r="AZ67" s="66">
        <v>583.33</v>
      </c>
      <c r="BA67" s="66">
        <v>0.0</v>
      </c>
      <c r="BB67" s="79" t="s">
        <v>468</v>
      </c>
      <c r="BC67" s="56"/>
      <c r="BD67" s="64" t="s">
        <v>118</v>
      </c>
      <c r="BE67" s="66"/>
      <c r="BF67" s="64" t="s">
        <v>518</v>
      </c>
      <c r="BG67" s="65"/>
      <c r="BH67" s="65">
        <v>300000.0</v>
      </c>
      <c r="BI67" s="64" t="s">
        <v>129</v>
      </c>
      <c r="BJ67" s="65"/>
      <c r="BK67" s="64" t="s">
        <v>130</v>
      </c>
      <c r="BL67" s="67"/>
      <c r="BM67" s="52" t="s">
        <v>147</v>
      </c>
      <c r="BN67" s="63"/>
      <c r="BO67" s="63"/>
      <c r="BP67" s="66"/>
      <c r="BQ67" s="66"/>
      <c r="BR67" s="66"/>
      <c r="BS67" s="66">
        <v>583.33</v>
      </c>
      <c r="BT67" s="66"/>
      <c r="BU67" s="64" t="s">
        <v>155</v>
      </c>
      <c r="BV67" s="64"/>
      <c r="BW67" s="54"/>
      <c r="BX67" s="54"/>
      <c r="BY67" s="54"/>
      <c r="BZ67" s="63"/>
      <c r="CA67" s="54"/>
      <c r="CB67" s="54" t="s">
        <v>159</v>
      </c>
      <c r="CC67" s="54" t="s">
        <v>135</v>
      </c>
      <c r="CD67" s="54" t="s">
        <v>136</v>
      </c>
      <c r="CE67" s="56"/>
      <c r="CF67" s="54" t="s">
        <v>161</v>
      </c>
      <c r="CG67" s="63"/>
      <c r="CH67" s="63">
        <v>365.0</v>
      </c>
      <c r="CI67" s="63" t="s">
        <v>147</v>
      </c>
      <c r="CJ67" s="66"/>
      <c r="CK67" s="119"/>
      <c r="CL67" s="112"/>
      <c r="CM67" s="120"/>
      <c r="CN67" s="117" t="s">
        <v>468</v>
      </c>
      <c r="CO67" s="113"/>
      <c r="CP67" s="112"/>
      <c r="CQ67" s="122"/>
      <c r="CR67" s="122"/>
      <c r="CS67" s="122"/>
      <c r="CT67" s="122"/>
      <c r="CU67" s="122"/>
      <c r="CV67" s="112">
        <v>0.0</v>
      </c>
      <c r="CW67" s="112">
        <v>0.0</v>
      </c>
      <c r="CX67" s="119">
        <v>44585.0</v>
      </c>
      <c r="CY67" s="116">
        <v>1.0</v>
      </c>
      <c r="CZ67" s="121" t="str">
        <f>IFERROR(__xludf.DUMMYFUNCTION("""COMPUTED_VALUE"""),"SO ")</f>
        <v>SO </v>
      </c>
      <c r="DA67" s="116" t="str">
        <f>IFERROR(__xludf.DUMMYFUNCTION("""COMPUTED_VALUE"""),"Contratação de suporte e operação de infraestrutura de TIC/PJePO CSJT, inclui suporte Linux, contrato obrigatório dedicado ao PJe (Reconhecimento de dívida de exercício anterior)")</f>
        <v>Contratação de suporte e operação de infraestrutura de TIC/PJePO CSJT, inclui suporte Linux, contrato obrigatório dedicado ao PJe (Reconhecimento de dívida de exercício anterior)</v>
      </c>
      <c r="DB67" s="116"/>
      <c r="DC67" s="116"/>
      <c r="DD67" s="116"/>
      <c r="DE67" s="116"/>
      <c r="DF67" s="116"/>
      <c r="DG67" s="116"/>
      <c r="DH67" s="116"/>
    </row>
    <row r="68" ht="104.25" customHeight="1">
      <c r="A68" s="73">
        <v>15896.0</v>
      </c>
      <c r="B68" s="50">
        <v>15254.0</v>
      </c>
      <c r="C68" s="53" t="s">
        <v>525</v>
      </c>
      <c r="D68" s="52" t="s">
        <v>243</v>
      </c>
      <c r="E68" s="52" t="s">
        <v>113</v>
      </c>
      <c r="F68" s="52" t="s">
        <v>203</v>
      </c>
      <c r="G68" s="52" t="str">
        <f>IFERROR(__xludf.DUMMYFUNCTION("""COMPUTED_VALUE"""),"(ID PAAC 15896) CERTIFICADOS PJ - Aquisição Certificados Digitais SSL (PJe, domínio trt12.jus.br e siscondj), obrigatório para estabelecer autenticação de confiança entre sistemas de informação. Exigido pela instituição bancária (HZ PORTAIS).")</f>
        <v>(ID PAAC 15896) CERTIFICADOS PJ - Aquisição Certificados Digitais SSL (PJe, domínio trt12.jus.br e siscondj), obrigatório para estabelecer autenticação de confiança entre sistemas de informação. Exigido pela instituição bancária (HZ PORTAIS).</v>
      </c>
      <c r="H68" s="53" t="s">
        <v>245</v>
      </c>
      <c r="I68" s="53" t="s">
        <v>116</v>
      </c>
      <c r="J68" s="53" t="s">
        <v>116</v>
      </c>
      <c r="K68" s="54" t="s">
        <v>117</v>
      </c>
      <c r="L68" s="55">
        <v>0.0</v>
      </c>
      <c r="M68" s="56">
        <v>3.3904023E7</v>
      </c>
      <c r="N68" s="56">
        <v>0.0</v>
      </c>
      <c r="O68" s="50">
        <v>168105.0</v>
      </c>
      <c r="P68" s="64" t="s">
        <v>118</v>
      </c>
      <c r="Q68" s="53" t="s">
        <v>119</v>
      </c>
      <c r="R68" s="53" t="s">
        <v>144</v>
      </c>
      <c r="S68" s="53"/>
      <c r="T68" s="53"/>
      <c r="U68" s="53" t="s">
        <v>204</v>
      </c>
      <c r="V68" s="58" t="s">
        <v>296</v>
      </c>
      <c r="W68" s="58" t="s">
        <v>297</v>
      </c>
      <c r="X68" s="53" t="s">
        <v>173</v>
      </c>
      <c r="Y68" s="53" t="s">
        <v>246</v>
      </c>
      <c r="Z68" s="53" t="s">
        <v>167</v>
      </c>
      <c r="AA68" s="75" t="s">
        <v>298</v>
      </c>
      <c r="AB68" s="50">
        <v>3.727926500018E13</v>
      </c>
      <c r="AC68" s="54" t="s">
        <v>526</v>
      </c>
      <c r="AD68" s="93">
        <v>44643.0</v>
      </c>
      <c r="AE68" s="63">
        <v>44653.0</v>
      </c>
      <c r="AF68" s="64" t="s">
        <v>177</v>
      </c>
      <c r="AG68" s="65">
        <v>2.0</v>
      </c>
      <c r="AH68" s="66">
        <v>632.7</v>
      </c>
      <c r="AI68" s="64" t="s">
        <v>118</v>
      </c>
      <c r="AJ68" s="66"/>
      <c r="AK68" s="78"/>
      <c r="AL68" s="78"/>
      <c r="AM68" s="78"/>
      <c r="AN68" s="78">
        <v>1265.4</v>
      </c>
      <c r="AO68" s="78"/>
      <c r="AP68" s="58" t="s">
        <v>527</v>
      </c>
      <c r="AQ68" s="78">
        <v>0.0</v>
      </c>
      <c r="AR68" s="66">
        <v>1265.4</v>
      </c>
      <c r="AS68" s="66"/>
      <c r="AT68" s="66">
        <v>1265.4</v>
      </c>
      <c r="AU68" s="66"/>
      <c r="AV68" s="56"/>
      <c r="AW68" s="19">
        <v>0.0</v>
      </c>
      <c r="AX68" s="19"/>
      <c r="AY68" s="66">
        <v>1265.4</v>
      </c>
      <c r="AZ68" s="19">
        <v>0.0</v>
      </c>
      <c r="BA68" s="19">
        <v>1265.4</v>
      </c>
      <c r="BB68" s="79" t="s">
        <v>298</v>
      </c>
      <c r="BC68" s="28"/>
      <c r="BD68" s="64"/>
      <c r="BE68" s="66"/>
      <c r="BF68" s="64"/>
      <c r="BG68" s="65"/>
      <c r="BH68" s="65">
        <v>300000.0</v>
      </c>
      <c r="BI68" s="64" t="s">
        <v>129</v>
      </c>
      <c r="BJ68" s="65"/>
      <c r="BK68" s="64" t="s">
        <v>247</v>
      </c>
      <c r="BL68" s="67"/>
      <c r="BM68" s="64" t="s">
        <v>246</v>
      </c>
      <c r="BN68" s="63">
        <v>44643.0</v>
      </c>
      <c r="BO68" s="63">
        <v>44643.0</v>
      </c>
      <c r="BP68" s="66">
        <v>1265.4</v>
      </c>
      <c r="BQ68" s="66">
        <v>1265.4</v>
      </c>
      <c r="BR68" s="66">
        <v>1265.4</v>
      </c>
      <c r="BS68" s="66">
        <v>1265.4</v>
      </c>
      <c r="BT68" s="66">
        <v>1265.4</v>
      </c>
      <c r="BU68" s="64" t="s">
        <v>301</v>
      </c>
      <c r="BV68" s="64"/>
      <c r="BW68" s="64"/>
      <c r="BX68" s="54"/>
      <c r="BY68" s="54"/>
      <c r="BZ68" s="63"/>
      <c r="CA68" s="54"/>
      <c r="CB68" s="54" t="s">
        <v>134</v>
      </c>
      <c r="CC68" s="54" t="s">
        <v>135</v>
      </c>
      <c r="CD68" s="54" t="s">
        <v>136</v>
      </c>
      <c r="CE68" s="56"/>
      <c r="CF68" s="54" t="s">
        <v>302</v>
      </c>
      <c r="CG68" s="63"/>
      <c r="CH68" s="63">
        <v>45018.0</v>
      </c>
      <c r="CI68" s="63" t="s">
        <v>246</v>
      </c>
      <c r="CJ68" s="66"/>
      <c r="CK68" s="119"/>
      <c r="CL68" s="112"/>
      <c r="CM68" s="113"/>
      <c r="CN68" s="117" t="s">
        <v>298</v>
      </c>
      <c r="CO68" s="112"/>
      <c r="CP68" s="112"/>
      <c r="CQ68" s="113"/>
      <c r="CR68" s="113"/>
      <c r="CS68" s="113"/>
      <c r="CT68" s="113"/>
      <c r="CU68" s="113"/>
      <c r="CV68" s="112">
        <v>1265.4</v>
      </c>
      <c r="CW68" s="112">
        <v>0.0</v>
      </c>
      <c r="CX68" s="119" t="e">
        <v>#N/A</v>
      </c>
      <c r="CY68" s="116"/>
      <c r="CZ68" s="121" t="str">
        <f>IFERROR(__xludf.DUMMYFUNCTION("""COMPUTED_VALUE"""),"CERTIFICADOS PJ ")</f>
        <v>CERTIFICADOS PJ </v>
      </c>
      <c r="DA68" s="121" t="str">
        <f>IFERROR(__xludf.DUMMYFUNCTION("""COMPUTED_VALUE"""),"Aquisição Certificados Digitais SSL (PJe, domínio trt12.jus.br e siscondj), obrigatório para estabelecer autenticação de confiança entre sistemas de informação. Exigido pela instituição bancária (HZ PORTAIS).")</f>
        <v>Aquisição Certificados Digitais SSL (PJe, domínio trt12.jus.br e siscondj), obrigatório para estabelecer autenticação de confiança entre sistemas de informação. Exigido pela instituição bancária (HZ PORTAIS).</v>
      </c>
      <c r="DB68" s="121" t="s">
        <v>303</v>
      </c>
      <c r="DC68" s="121" t="s">
        <v>214</v>
      </c>
      <c r="DD68" s="121" t="s">
        <v>215</v>
      </c>
      <c r="DE68" s="121" t="s">
        <v>304</v>
      </c>
      <c r="DF68" s="121" t="s">
        <v>118</v>
      </c>
      <c r="DG68" s="121" t="s">
        <v>279</v>
      </c>
      <c r="DH68" s="116"/>
    </row>
    <row r="69" ht="16.5" customHeight="1">
      <c r="A69" s="73">
        <v>15897.0</v>
      </c>
      <c r="B69" s="50">
        <v>99999.0</v>
      </c>
      <c r="C69" s="53" t="s">
        <v>528</v>
      </c>
      <c r="D69" s="52" t="s">
        <v>141</v>
      </c>
      <c r="E69" s="52" t="s">
        <v>142</v>
      </c>
      <c r="F69" s="52" t="s">
        <v>203</v>
      </c>
      <c r="G69" s="52" t="str">
        <f>IFERROR(__xludf.DUMMYFUNCTION("""COMPUTED_VALUE"""),"(ID PAAC 15897) SIABI MEMORIAL - Licenças e serviços de suporte técnico e manutenção para o SIABI (Sistema de software
Automação de Bibliotecas, Arquivos, museus e Memoriais) com direito a versões
atualizadas.")</f>
        <v>(ID PAAC 15897) SIABI MEMORIAL - Licenças e serviços de suporte técnico e manutenção para o SIABI (Sistema de software
Automação de Bibliotecas, Arquivos, museus e Memoriais) com direito a versões
atualizadas.</v>
      </c>
      <c r="H69" s="53" t="s">
        <v>115</v>
      </c>
      <c r="I69" s="53" t="s">
        <v>423</v>
      </c>
      <c r="J69" s="53" t="s">
        <v>116</v>
      </c>
      <c r="K69" s="54" t="s">
        <v>117</v>
      </c>
      <c r="L69" s="55">
        <v>0.0</v>
      </c>
      <c r="M69" s="56">
        <v>3.3904007E7</v>
      </c>
      <c r="N69" s="56">
        <v>0.0</v>
      </c>
      <c r="O69" s="50">
        <v>168105.0</v>
      </c>
      <c r="P69" s="64" t="s">
        <v>118</v>
      </c>
      <c r="Q69" s="53" t="s">
        <v>143</v>
      </c>
      <c r="R69" s="53" t="s">
        <v>144</v>
      </c>
      <c r="S69" s="53"/>
      <c r="T69" s="172"/>
      <c r="U69" s="90" t="s">
        <v>326</v>
      </c>
      <c r="V69" s="58" t="s">
        <v>529</v>
      </c>
      <c r="W69" s="58"/>
      <c r="X69" s="53" t="s">
        <v>124</v>
      </c>
      <c r="Y69" s="53" t="s">
        <v>246</v>
      </c>
      <c r="Z69" s="53" t="s">
        <v>167</v>
      </c>
      <c r="AA69" s="59" t="s">
        <v>176</v>
      </c>
      <c r="AB69" s="50" t="e">
        <v>#N/A</v>
      </c>
      <c r="AC69" s="54" t="e">
        <v>#N/A</v>
      </c>
      <c r="AD69" s="93">
        <v>44672.0</v>
      </c>
      <c r="AE69" s="63">
        <v>44682.0</v>
      </c>
      <c r="AF69" s="64" t="s">
        <v>127</v>
      </c>
      <c r="AG69" s="65">
        <v>2.0</v>
      </c>
      <c r="AH69" s="77">
        <v>7785.68</v>
      </c>
      <c r="AI69" s="64"/>
      <c r="AJ69" s="78"/>
      <c r="AK69" s="64"/>
      <c r="AL69" s="94"/>
      <c r="AM69" s="94"/>
      <c r="AN69" s="78">
        <v>15571.36</v>
      </c>
      <c r="AO69" s="78">
        <v>0.0</v>
      </c>
      <c r="AP69" s="58"/>
      <c r="AQ69" s="94">
        <v>0.0</v>
      </c>
      <c r="AR69" s="66">
        <v>15571.36</v>
      </c>
      <c r="AS69" s="66"/>
      <c r="AT69" s="66">
        <v>15571.36</v>
      </c>
      <c r="AU69" s="66"/>
      <c r="AV69" s="56"/>
      <c r="AW69" s="66">
        <v>0.0</v>
      </c>
      <c r="AX69" s="66"/>
      <c r="AY69" s="77">
        <v>0.0</v>
      </c>
      <c r="AZ69" s="66">
        <v>0.0</v>
      </c>
      <c r="BA69" s="66">
        <v>0.0</v>
      </c>
      <c r="BB69" s="66" t="s">
        <v>176</v>
      </c>
      <c r="BC69" s="56"/>
      <c r="BD69" s="64"/>
      <c r="BE69" s="66"/>
      <c r="BF69" s="64"/>
      <c r="BG69" s="65"/>
      <c r="BH69" s="65">
        <v>200000.0</v>
      </c>
      <c r="BI69" s="64" t="s">
        <v>153</v>
      </c>
      <c r="BJ69" s="65"/>
      <c r="BK69" s="64" t="s">
        <v>130</v>
      </c>
      <c r="BL69" s="67"/>
      <c r="BM69" s="64" t="s">
        <v>246</v>
      </c>
      <c r="BN69" s="63"/>
      <c r="BO69" s="63"/>
      <c r="BP69" s="66"/>
      <c r="BQ69" s="66"/>
      <c r="BR69" s="66"/>
      <c r="BS69" s="66">
        <v>15571.36</v>
      </c>
      <c r="BT69" s="66"/>
      <c r="BU69" s="64" t="s">
        <v>155</v>
      </c>
      <c r="BV69" s="64"/>
      <c r="BW69" s="66"/>
      <c r="BX69" s="54"/>
      <c r="BY69" s="54"/>
      <c r="BZ69" s="63"/>
      <c r="CA69" s="54"/>
      <c r="CB69" s="54" t="s">
        <v>134</v>
      </c>
      <c r="CC69" s="54" t="s">
        <v>135</v>
      </c>
      <c r="CD69" s="54" t="s">
        <v>136</v>
      </c>
      <c r="CE69" s="56"/>
      <c r="CF69" s="54" t="s">
        <v>161</v>
      </c>
      <c r="CG69" s="63"/>
      <c r="CH69" s="63">
        <v>45047.0</v>
      </c>
      <c r="CI69" s="63" t="s">
        <v>246</v>
      </c>
      <c r="CJ69" s="66"/>
      <c r="CK69" s="63"/>
      <c r="CL69" s="64"/>
      <c r="CM69" s="53"/>
      <c r="CN69" s="66" t="s">
        <v>176</v>
      </c>
      <c r="CO69" s="64"/>
      <c r="CP69" s="66"/>
      <c r="CQ69" s="80"/>
      <c r="CR69" s="80"/>
      <c r="CS69" s="80"/>
      <c r="CT69" s="80"/>
      <c r="CU69" s="80"/>
      <c r="CV69" s="66">
        <v>0.0</v>
      </c>
      <c r="CW69" s="66">
        <v>0.0</v>
      </c>
      <c r="CX69" s="63" t="e">
        <v>#N/A</v>
      </c>
      <c r="CY69" s="56"/>
      <c r="CZ69" s="81" t="str">
        <f>IFERROR(__xludf.DUMMYFUNCTION("""COMPUTED_VALUE"""),"SIABI MEMORIAL ")</f>
        <v>SIABI MEMORIAL </v>
      </c>
      <c r="DA69" s="81" t="str">
        <f>IFERROR(__xludf.DUMMYFUNCTION("""COMPUTED_VALUE"""),"Licenças e serviços de suporte técnico e manutenção para o SIABI (Sistema de software
")</f>
        <v>Licenças e serviços de suporte técnico e manutenção para o SIABI (Sistema de software
</v>
      </c>
      <c r="DB69" s="81"/>
      <c r="DC69" s="81"/>
      <c r="DD69" s="81"/>
      <c r="DE69" s="81"/>
      <c r="DF69" s="81"/>
      <c r="DG69" s="81"/>
      <c r="DH69" s="56"/>
    </row>
    <row r="70" ht="16.5" customHeight="1">
      <c r="A70" s="73">
        <v>15898.0</v>
      </c>
      <c r="B70" s="50">
        <v>99999.0</v>
      </c>
      <c r="C70" s="53" t="s">
        <v>530</v>
      </c>
      <c r="D70" s="52" t="s">
        <v>243</v>
      </c>
      <c r="E70" s="52" t="s">
        <v>113</v>
      </c>
      <c r="F70" s="52" t="s">
        <v>312</v>
      </c>
      <c r="G70" s="52" t="str">
        <f>IFERROR(__xludf.DUMMYFUNCTION("""COMPUTED_VALUE"""),"(ID PAAC 15898) NOBREAK EQUIPAMENTOS - Fornecimento de energia elétrica estabilizada e ininterrupta ao data center principal (equipamentos de 40 e 80 kVA)")</f>
        <v>(ID PAAC 15898) NOBREAK EQUIPAMENTOS - Fornecimento de energia elétrica estabilizada e ininterrupta ao data center principal (equipamentos de 40 e 80 kVA)</v>
      </c>
      <c r="H70" s="53" t="s">
        <v>245</v>
      </c>
      <c r="I70" s="53" t="s">
        <v>116</v>
      </c>
      <c r="J70" s="53" t="s">
        <v>116</v>
      </c>
      <c r="K70" s="54" t="s">
        <v>313</v>
      </c>
      <c r="L70" s="55">
        <v>0.0</v>
      </c>
      <c r="M70" s="56">
        <v>4.4905235E7</v>
      </c>
      <c r="N70" s="56">
        <v>0.0</v>
      </c>
      <c r="O70" s="50">
        <v>168105.0</v>
      </c>
      <c r="P70" s="64" t="s">
        <v>118</v>
      </c>
      <c r="Q70" s="53" t="s">
        <v>119</v>
      </c>
      <c r="R70" s="53" t="s">
        <v>144</v>
      </c>
      <c r="S70" s="53"/>
      <c r="T70" s="172"/>
      <c r="U70" s="90" t="s">
        <v>326</v>
      </c>
      <c r="V70" s="58" t="s">
        <v>531</v>
      </c>
      <c r="W70" s="58"/>
      <c r="X70" s="53" t="s">
        <v>124</v>
      </c>
      <c r="Y70" s="53" t="s">
        <v>125</v>
      </c>
      <c r="Z70" s="53" t="s">
        <v>125</v>
      </c>
      <c r="AA70" s="59" t="s">
        <v>176</v>
      </c>
      <c r="AB70" s="50" t="e">
        <v>#N/A</v>
      </c>
      <c r="AC70" s="54" t="e">
        <v>#N/A</v>
      </c>
      <c r="AD70" s="93">
        <v>44603.0</v>
      </c>
      <c r="AE70" s="63">
        <v>44713.0</v>
      </c>
      <c r="AF70" s="64" t="s">
        <v>127</v>
      </c>
      <c r="AG70" s="65">
        <v>2.0</v>
      </c>
      <c r="AH70" s="77">
        <v>266500.0</v>
      </c>
      <c r="AI70" s="64"/>
      <c r="AJ70" s="78"/>
      <c r="AK70" s="64"/>
      <c r="AL70" s="94"/>
      <c r="AM70" s="94"/>
      <c r="AN70" s="78">
        <v>533000.0</v>
      </c>
      <c r="AO70" s="78">
        <v>0.0</v>
      </c>
      <c r="AP70" s="58"/>
      <c r="AQ70" s="94">
        <v>0.0</v>
      </c>
      <c r="AR70" s="66">
        <v>533000.0</v>
      </c>
      <c r="AS70" s="66"/>
      <c r="AT70" s="66">
        <v>533000.0</v>
      </c>
      <c r="AU70" s="66"/>
      <c r="AV70" s="56"/>
      <c r="AW70" s="66">
        <v>0.0</v>
      </c>
      <c r="AX70" s="66"/>
      <c r="AY70" s="77">
        <v>0.0</v>
      </c>
      <c r="AZ70" s="66">
        <v>0.0</v>
      </c>
      <c r="BA70" s="66">
        <v>0.0</v>
      </c>
      <c r="BB70" s="66" t="s">
        <v>176</v>
      </c>
      <c r="BC70" s="56"/>
      <c r="BD70" s="64"/>
      <c r="BE70" s="66"/>
      <c r="BF70" s="64"/>
      <c r="BG70" s="65"/>
      <c r="BH70" s="65">
        <v>300000.0</v>
      </c>
      <c r="BI70" s="64" t="s">
        <v>129</v>
      </c>
      <c r="BJ70" s="65"/>
      <c r="BK70" s="64" t="s">
        <v>247</v>
      </c>
      <c r="BL70" s="67"/>
      <c r="BM70" s="64" t="s">
        <v>125</v>
      </c>
      <c r="BN70" s="63"/>
      <c r="BO70" s="63"/>
      <c r="BP70" s="66"/>
      <c r="BQ70" s="66"/>
      <c r="BR70" s="66"/>
      <c r="BS70" s="66">
        <v>533000.0</v>
      </c>
      <c r="BT70" s="66"/>
      <c r="BU70" s="64" t="s">
        <v>481</v>
      </c>
      <c r="BV70" s="64"/>
      <c r="BW70" s="66"/>
      <c r="BX70" s="54"/>
      <c r="BY70" s="54"/>
      <c r="BZ70" s="63"/>
      <c r="CA70" s="54"/>
      <c r="CB70" s="54" t="s">
        <v>134</v>
      </c>
      <c r="CC70" s="54" t="s">
        <v>135</v>
      </c>
      <c r="CD70" s="54" t="s">
        <v>362</v>
      </c>
      <c r="CE70" s="56"/>
      <c r="CF70" s="54" t="s">
        <v>482</v>
      </c>
      <c r="CG70" s="63">
        <v>44966.0</v>
      </c>
      <c r="CH70" s="63">
        <v>45078.0</v>
      </c>
      <c r="CI70" s="63" t="s">
        <v>125</v>
      </c>
      <c r="CJ70" s="66"/>
      <c r="CK70" s="63"/>
      <c r="CL70" s="64"/>
      <c r="CM70" s="53"/>
      <c r="CN70" s="66" t="s">
        <v>176</v>
      </c>
      <c r="CO70" s="64"/>
      <c r="CP70" s="66"/>
      <c r="CQ70" s="80"/>
      <c r="CR70" s="80"/>
      <c r="CS70" s="80"/>
      <c r="CT70" s="80"/>
      <c r="CU70" s="80"/>
      <c r="CV70" s="66">
        <v>0.0</v>
      </c>
      <c r="CW70" s="66">
        <v>0.0</v>
      </c>
      <c r="CX70" s="63" t="e">
        <v>#N/A</v>
      </c>
      <c r="CY70" s="56"/>
      <c r="CZ70" s="81" t="str">
        <f>IFERROR(__xludf.DUMMYFUNCTION("""COMPUTED_VALUE"""),"NOBREAK EQUIPAMENTOS ")</f>
        <v>NOBREAK EQUIPAMENTOS </v>
      </c>
      <c r="DA70" s="81" t="str">
        <f>IFERROR(__xludf.DUMMYFUNCTION("""COMPUTED_VALUE"""),"Fornecimento de energia elétrica estabilizada e ininterrupta ao data center principal (equipamentos de 40 e 80 kVA)")</f>
        <v>Fornecimento de energia elétrica estabilizada e ininterrupta ao data center principal (equipamentos de 40 e 80 kVA)</v>
      </c>
      <c r="DB70" s="81"/>
      <c r="DC70" s="81"/>
      <c r="DD70" s="81"/>
      <c r="DE70" s="81"/>
      <c r="DF70" s="81"/>
      <c r="DG70" s="81"/>
      <c r="DH70" s="56"/>
    </row>
    <row r="71" ht="16.5" customHeight="1">
      <c r="A71" s="73">
        <v>15899.0</v>
      </c>
      <c r="B71" s="50">
        <v>15314.0</v>
      </c>
      <c r="C71" s="53" t="s">
        <v>532</v>
      </c>
      <c r="D71" s="52" t="s">
        <v>112</v>
      </c>
      <c r="E71" s="52" t="s">
        <v>113</v>
      </c>
      <c r="F71" s="52" t="s">
        <v>114</v>
      </c>
      <c r="G71" s="52" t="str">
        <f>IFERROR(__xludf.DUMMYFUNCTION("""COMPUTED_VALUE"""),"(ID PAAC 15899) NOBREAKS SYMMETRA - Suporte e manutenção de nobreaks do datacenter - SYMMETRA (complemento por mudança de CNPJ da contratada)")</f>
        <v>(ID PAAC 15899) NOBREAKS SYMMETRA - Suporte e manutenção de nobreaks do datacenter - SYMMETRA (complemento por mudança de CNPJ da contratada)</v>
      </c>
      <c r="H71" s="53" t="s">
        <v>115</v>
      </c>
      <c r="I71" s="53" t="s">
        <v>116</v>
      </c>
      <c r="J71" s="53" t="s">
        <v>116</v>
      </c>
      <c r="K71" s="54" t="s">
        <v>117</v>
      </c>
      <c r="L71" s="55">
        <v>0.0</v>
      </c>
      <c r="M71" s="56">
        <v>3.3904012E7</v>
      </c>
      <c r="N71" s="56">
        <v>0.0</v>
      </c>
      <c r="O71" s="50">
        <v>168105.0</v>
      </c>
      <c r="P71" s="64" t="s">
        <v>118</v>
      </c>
      <c r="Q71" s="53" t="s">
        <v>119</v>
      </c>
      <c r="R71" s="53" t="s">
        <v>144</v>
      </c>
      <c r="S71" s="53"/>
      <c r="T71" s="53"/>
      <c r="U71" s="82" t="s">
        <v>145</v>
      </c>
      <c r="V71" s="58"/>
      <c r="W71" s="58" t="s">
        <v>349</v>
      </c>
      <c r="X71" s="53" t="s">
        <v>124</v>
      </c>
      <c r="Y71" s="53" t="s">
        <v>147</v>
      </c>
      <c r="Z71" s="53" t="s">
        <v>167</v>
      </c>
      <c r="AA71" s="75" t="s">
        <v>350</v>
      </c>
      <c r="AB71" s="50">
        <v>8.2743287003553E13</v>
      </c>
      <c r="AC71" s="54" t="s">
        <v>420</v>
      </c>
      <c r="AD71" s="83" t="s">
        <v>176</v>
      </c>
      <c r="AE71" s="63"/>
      <c r="AF71" s="64" t="s">
        <v>127</v>
      </c>
      <c r="AG71" s="65">
        <v>1.0</v>
      </c>
      <c r="AH71" s="66">
        <v>44431.85</v>
      </c>
      <c r="AI71" s="64"/>
      <c r="AJ71" s="66"/>
      <c r="AK71" s="64" t="s">
        <v>128</v>
      </c>
      <c r="AL71" s="66"/>
      <c r="AM71" s="66"/>
      <c r="AN71" s="66">
        <v>44431.85</v>
      </c>
      <c r="AO71" s="66"/>
      <c r="AP71" s="58" t="s">
        <v>533</v>
      </c>
      <c r="AQ71" s="66">
        <v>0.0</v>
      </c>
      <c r="AR71" s="66">
        <v>44431.85</v>
      </c>
      <c r="AS71" s="66"/>
      <c r="AT71" s="66">
        <v>44431.85</v>
      </c>
      <c r="AU71" s="66"/>
      <c r="AV71" s="56"/>
      <c r="AW71" s="66">
        <v>0.0</v>
      </c>
      <c r="AX71" s="66">
        <v>0.0</v>
      </c>
      <c r="AY71" s="66">
        <v>44431.85</v>
      </c>
      <c r="AZ71" s="66">
        <v>0.0</v>
      </c>
      <c r="BA71" s="66">
        <v>44431.85</v>
      </c>
      <c r="BB71" s="79" t="s">
        <v>350</v>
      </c>
      <c r="BC71" s="56"/>
      <c r="BD71" s="64"/>
      <c r="BE71" s="66"/>
      <c r="BF71" s="64" t="s">
        <v>518</v>
      </c>
      <c r="BG71" s="65"/>
      <c r="BH71" s="65">
        <v>300000.0</v>
      </c>
      <c r="BI71" s="64" t="s">
        <v>129</v>
      </c>
      <c r="BJ71" s="65"/>
      <c r="BK71" s="64" t="s">
        <v>130</v>
      </c>
      <c r="BL71" s="67"/>
      <c r="BM71" s="64" t="s">
        <v>147</v>
      </c>
      <c r="BN71" s="63"/>
      <c r="BO71" s="63"/>
      <c r="BP71" s="66"/>
      <c r="BQ71" s="66">
        <v>44431.85</v>
      </c>
      <c r="BR71" s="66">
        <v>44431.85</v>
      </c>
      <c r="BS71" s="66">
        <v>44431.85</v>
      </c>
      <c r="BT71" s="66"/>
      <c r="BU71" s="64" t="s">
        <v>133</v>
      </c>
      <c r="BV71" s="64"/>
      <c r="BW71" s="66"/>
      <c r="BX71" s="54"/>
      <c r="BY71" s="54"/>
      <c r="BZ71" s="63"/>
      <c r="CA71" s="54"/>
      <c r="CB71" s="54" t="s">
        <v>134</v>
      </c>
      <c r="CC71" s="54" t="s">
        <v>135</v>
      </c>
      <c r="CD71" s="54" t="s">
        <v>136</v>
      </c>
      <c r="CE71" s="56"/>
      <c r="CF71" s="54" t="s">
        <v>137</v>
      </c>
      <c r="CG71" s="63"/>
      <c r="CH71" s="63">
        <v>365.0</v>
      </c>
      <c r="CI71" s="63" t="s">
        <v>147</v>
      </c>
      <c r="CJ71" s="66"/>
      <c r="CK71" s="63"/>
      <c r="CL71" s="64"/>
      <c r="CM71" s="53"/>
      <c r="CN71" s="79" t="s">
        <v>350</v>
      </c>
      <c r="CO71" s="64"/>
      <c r="CP71" s="66"/>
      <c r="CQ71" s="80"/>
      <c r="CR71" s="80"/>
      <c r="CS71" s="80"/>
      <c r="CT71" s="80"/>
      <c r="CU71" s="80"/>
      <c r="CV71" s="66">
        <v>44431.85</v>
      </c>
      <c r="CW71" s="66">
        <v>0.0</v>
      </c>
      <c r="CX71" s="63" t="e">
        <v>#N/A</v>
      </c>
      <c r="CY71" s="56"/>
      <c r="CZ71" s="81" t="str">
        <f>IFERROR(__xludf.DUMMYFUNCTION("""COMPUTED_VALUE"""),"NOBREAKS SYMMETRA ")</f>
        <v>NOBREAKS SYMMETRA </v>
      </c>
      <c r="DA71" s="81" t="str">
        <f>IFERROR(__xludf.DUMMYFUNCTION("""COMPUTED_VALUE"""),"Suporte e manutenção de nobreaks do datacenterSYMMETRA (complemento por mudança de CNPJ da contratada)")</f>
        <v>Suporte e manutenção de nobreaks do datacenterSYMMETRA (complemento por mudança de CNPJ da contratada)</v>
      </c>
      <c r="DB71" s="81"/>
      <c r="DC71" s="81"/>
      <c r="DD71" s="81"/>
      <c r="DE71" s="81"/>
      <c r="DF71" s="81"/>
      <c r="DG71" s="81"/>
      <c r="DH71" s="56"/>
    </row>
  </sheetData>
  <autoFilter ref="$A$1:$CR$71"/>
  <customSheetViews>
    <customSheetView guid="{D7382077-0787-438E-BC8C-C938C25A1A54}" filter="1" showAutoFilter="1">
      <autoFilter ref="$A$1:$BK$41">
        <filterColumn colId="10">
          <filters>
            <filter val="GND4"/>
          </filters>
        </filterColumn>
        <filterColumn colId="17">
          <filters blank="1">
            <filter val="1 - Selecionado"/>
          </filters>
        </filterColumn>
      </autoFilter>
    </customSheetView>
    <customSheetView guid="{D55B3626-DD5C-4A6E-AE94-53A18838D2EC}" filter="1" showAutoFilter="1">
      <autoFilter ref="$A$1:$BK$41">
        <filterColumn colId="2">
          <filters>
            <filter val="SIABI - Contratação de suporte técnico e atualização de licenças do software de gerenciamento de bibliotecas"/>
            <filter val="NUVEM GOOGLE 1 - Contratação de licença de uso de serviço de nuvem de comunicação e colaboração"/>
            <filter val="INTERNET LINK 2 - Contratação de acesso corporativo à internet"/>
            <filter val="NOBREAKS SURT - Suporte e manutenção dos nobreaks de varas e foros (SURT 15kVA)"/>
            <filter val="NOBREAKS BATERIAS CANCELADA - Aquisição de conjunto de baterias seladas para nobreaks (quantitativo será alvo de estudo no planejamento da contratação)"/>
            <filter val="SWITCHES EQUIPAMENTOS - Ampliação da capacidade da rede SAN, que conecta os equipamentos servidores e sistema de backup às unidades de armazenamento."/>
            <filter val="SEGURANÇA MANUTENÇÃO - Contratação de serviços de manutenção preventiva e corretiva, com eventual fornecimento de peças de reposição, para as câmeras IP e outros equipamentos que compõem o sistema de imagens de segurança."/>
            <filter val="ADOBE LICENÇAS - Manutenção da LICENÇA DE SOFTWARE PACOTE ADOBE - EJUD e SECOM (para 3 anos)"/>
            <filter val="MICROCOMPUTADORES - Aquisição de microcomputadores modelo mini desktop tipo 2 com wi-fi"/>
            <filter val="SEGURANÇA - Aquisição de câmeras de CFTV e licenças de software para monitoramento de imagens"/>
            <filter val="ANTIVÍRUS - Aquisição de licenças de solução de antivírus com suporte e atualização, para proteção contra ameaças externas (continua o 1366/2017, ID 15004)"/>
            <filter val="CERTIFICADOS PF - Aquisição de certificados digitais (tokens) para pessoa física, para todo o Estado"/>
            <filter val="AUDIÊNCIAS ZOOM - Viabilizar a continuidade de audiências, sessões e reuniões por meio de videoconferências (Zoom)"/>
            <filter val="SERPRO - Contratação de serviço web de acesso a dados"/>
            <filter val="CELESC - Contratação de uso de postes (passagem da fibra óptica - locação CELESC) para conexão redundante entre o datacenter principal e auxiliar (Sede/Utrillo)"/>
            <filter val="INTERNET MOVEL - Contratação de linhas de internet móvel. O quantitativo atual é de 151 e deve ser confirmado pelos estudos da contração (Ato CSJT 43/2013)."/>
            <filter val="DRUPAL SUPORTE - Suporte técnico para o portal de internet e intranet do TRT12, em tecnologia DRUPAL 8"/>
            <filter val="BACKUP FITAS - Aquisição de fitas com capacidade de 12TB (272 unidades) e de limpeza (20 unidades)."/>
            <filter val="BI SOFTWARE - Contratação de uso de software em nuvem, para gerar relatórios e informações gerenciais para apoio à decisão e à gestão"/>
            <filter val="ASSYST - Contratação de suporte e atualização de licenças da solução de gerenciamento de serviços e registro de chamadas de TIC."/>
            <filter val="SCANNER MANUTENÇÃO - Contratação de manutenção dos scanneres para remessa de processo ao TST - SECART (Kodak i4600 e Fujitsu fi-6800)"/>
            <filter val="REDE JT - Alt - Contratação de links para conexão da sede com as unidades do interior do estado."/>
            <filter val="NOBREAKS SUVT 2016 - Suporte e manutenção dos nobreaks SUVT 40kVA do Datacenter e dos foros da Capital, de São José e da sede (prorrogação emergencial em 2021)"/>
            <filter val="AUTOCAD LICENÇAS - Contratação/prorrogação de licanças de Autodesk AutoCAD Revit Suite"/>
            <filter val="BANCO DE DADOS - Contratação de monitoramento remoto e suporte técnico para os bancos de dados Oracle, PostgreSQL e MySQL, contratado como item obrigatório do CSJT"/>
            <filter val="INTERNET LINK 1 - Contratação de acesso corporativo à internet"/>
            <filter val="NOBREAKS SYMMETRA - Suporte e manutenção de nobreaks do datacenter - SYMMETRA"/>
            <filter val="BACKUP EQUIPAMENTOS - Aquisição de um novo equipamento para atualizar o sistema de backup do datacenter auxiliar."/>
            <filter val="REDE JT - Ciasc - Contratação de links de alto desempenho para as conexões de dados entre as unidades do TRT"/>
            <filter val="RESERVA - Fundo de reserva e materiais diversos, para despesas imprevisíveis e reserva para capacitação a ser transferida tempestivamente à SEDUC"/>
            <filter val="FÁBRICA - Contratação de fábrica de software para plataforma JEE"/>
            <filter val="NOBREAKS SURT - Suporte e manutenção dos nobreaks SURT 8kVA das Varas e Foros do interior"/>
            <filter val="CENTRAL DE SERVIÇOS - Contratação de serviços de suporte de TIC em 1º e 2º níveis - 2019, para fornecimento de técnicos terceirizados para atendimento aos chamados de TIC, no Estado."/>
            <filter val="CERTIFICADOS PJ - Aquisição Certificados Digitais SSL (PJe, domínio trt12.jus.br e siscondj), obrigatório para estabelecer autenticação de confiança entre sistemas de informação. Exigido pela instituição bancária (CERTISIGN)."/>
            <filter val="SKETCHUP PRO - Licença SketchUp Pro - Trimble (12 meses)"/>
            <filter val="JT-FONE - Serviço de envio de mensagens SMS (JT-fone)"/>
            <filter val="SEGURANÇA SUPORTE - Continuidade do serviço de suporte técnico do Sistema de Softwares de Segurança em uso nas unidades do TRT/SC (SENIOR)"/>
            <filter val="BANCO DE DADOS ORACLE - Contratação de suporte e atualização de licenças Oracle, para os sistemas PROAD, SIGEP"/>
          </filters>
        </filterColumn>
        <filterColumn colId="53">
          <customFilters>
            <customFilter operator="greaterThan" val="0"/>
          </customFilters>
        </filterColumn>
      </autoFilter>
    </customSheetView>
    <customSheetView guid="{54B4ABE8-D618-4D57-B72E-C5C7B5EE8270}" filter="1" showAutoFilter="1">
      <autoFilter ref="$A$1:$BK$41">
        <filterColumn colId="53">
          <filters blank="1">
            <filter val="RP-447/2022"/>
            <filter val="PRE-3995/2019"/>
            <filter val="PRE-9447/2017"/>
            <filter val="CD-2689/2021"/>
            <filter val="PRE-280/2020"/>
            <filter val="PRE-10394/2021"/>
            <filter val="PRE-8560/2018"/>
            <filter val="CD-12216/2016"/>
            <filter val="CD-2832/2022"/>
            <filter val="RP-3891/2017"/>
            <filter val="PRE-7005/2020"/>
            <filter val="CD-1674/2021"/>
            <filter val="PRE-5424/2017"/>
            <filter val="RP-11741/2017"/>
            <filter val="CD-7825/2020"/>
            <filter val="RP-1038/2021"/>
            <filter val="PRE-7373/2017"/>
            <filter val="CD-5907/2017"/>
            <filter val="PRE-4057/2020"/>
            <filter val="CD-9758/2021"/>
            <filter val="PRE-8016/2019"/>
            <filter val="RP-12010/2020"/>
            <filter val="CD-14060/2018"/>
            <filter val="CD-148/2022"/>
            <filter val="PRE-5910/2017"/>
            <filter val="CD-5228/2020"/>
            <filter val="RP-9019/2021"/>
          </filters>
        </filterColumn>
      </autoFilter>
    </customSheetView>
    <customSheetView guid="{EE351DA1-3A64-4FF1-AD53-5AFC3F0D7B94}" filter="1" showAutoFilter="1">
      <autoFilter ref="$A$1:$BK$41">
        <filterColumn colId="53">
          <customFilters>
            <customFilter operator="lessThan" val="0"/>
          </customFilters>
        </filterColumn>
      </autoFilter>
    </customSheetView>
    <customSheetView guid="{62C10C73-33F3-4DBD-A25C-70A19CDCCA69}" filter="1" showAutoFilter="1">
      <autoFilter ref="$A$1:$BK$41">
        <filterColumn colId="53">
          <filters blank="1">
            <filter val="RP-447/2022"/>
            <filter val="PRE-3995/2019"/>
            <filter val="PRE-9447/2017"/>
            <filter val="CD-2689/2021"/>
            <filter val="PRE-280/2020"/>
            <filter val="PRE-10394/2021"/>
            <filter val="PRE-8560/2018"/>
            <filter val="CD-12216/2016"/>
            <filter val="CD-2832/2022"/>
            <filter val="RP-3891/2017"/>
            <filter val="PRE-7005/2020"/>
            <filter val="CD-1674/2021"/>
            <filter val="PRE-5424/2017"/>
            <filter val="RP-11741/2017"/>
            <filter val="CD-7825/2020"/>
            <filter val="RP-1038/2021"/>
            <filter val="PRE-7373/2017"/>
            <filter val="CD-5907/2017"/>
            <filter val="PRE-4057/2020"/>
            <filter val="CD-9758/2021"/>
            <filter val="PRE-8016/2019"/>
            <filter val="RP-12010/2020"/>
            <filter val="CD-14060/2018"/>
            <filter val="CD-148/2022"/>
            <filter val="PRE-5910/2017"/>
            <filter val="CD-5228/2020"/>
            <filter val="RP-9019/2021"/>
          </filters>
        </filterColumn>
      </autoFilter>
    </customSheetView>
    <customSheetView guid="{4E0163F2-0E0F-459D-B3E9-0E458BE2F61A}" filter="1" showAutoFilter="1">
      <autoFilter ref="$A$1:$BT$71"/>
    </customSheetView>
    <customSheetView guid="{F2CE3790-7A1E-4A02-9883-057A93C30673}" filter="1" showAutoFilter="1">
      <autoFilter ref="$A$1:$BK$42">
        <filterColumn colId="18">
          <filters>
            <filter val="2021 ok SIGEO ok"/>
            <filter val="há indicativo preliminar de que a aquisição de novos equipamentos pode ser mais vantajosa para o TRT, o que será definido pelo planejamento da contratação"/>
            <filter val="Valores das linhas de base iniciais transferidos do ID 2020 15187"/>
          </filters>
        </filterColumn>
      </autoFilter>
    </customSheetView>
    <customSheetView guid="{6BC680F7-E50A-4EB7-A8D9-5A16FAE59160}" filter="1" showAutoFilter="1">
      <autoFilter ref="$A$1:$BK$22"/>
    </customSheetView>
    <customSheetView guid="{B4CCDA4B-77AC-4539-858F-49F62978A719}" filter="1" showAutoFilter="1">
      <autoFilter ref="$A$1:$AR$59"/>
    </customSheetView>
    <customSheetView guid="{123C75A2-4E9F-4F53-A6F2-90D223DA5FFC}" filter="1" showAutoFilter="1">
      <autoFilter ref="$A$1:$CR$57"/>
    </customSheetView>
    <customSheetView guid="{0A708CB3-4B10-4AF8-BE17-6FA2D25E2DBA}" filter="1" showAutoFilter="1">
      <autoFilter ref="$A$1:$BX$41">
        <filterColumn colId="17">
          <filters blank="1">
            <filter val="1 - Selecionado"/>
          </filters>
        </filterColumn>
        <filterColumn colId="10">
          <filters>
            <filter val="GND4"/>
          </filters>
        </filterColumn>
      </autoFilter>
    </customSheetView>
  </customSheetViews>
  <conditionalFormatting sqref="A2:DH71">
    <cfRule type="expression" dxfId="0" priority="1">
      <formula>$Q2="1 - Imprescindível"</formula>
    </cfRule>
  </conditionalFormatting>
  <conditionalFormatting sqref="A2:DH71">
    <cfRule type="expression" dxfId="1" priority="2">
      <formula>$Q2="2 - Importante"</formula>
    </cfRule>
  </conditionalFormatting>
  <conditionalFormatting sqref="A2:DH71">
    <cfRule type="expression" dxfId="2" priority="3">
      <formula>$Q2="3 - Desejável"</formula>
    </cfRule>
  </conditionalFormatting>
  <conditionalFormatting sqref="A2:DH71">
    <cfRule type="expression" dxfId="3" priority="4">
      <formula>$Q2="4 - Não definida"</formula>
    </cfRule>
  </conditionalFormatting>
  <dataValidations>
    <dataValidation type="list" allowBlank="1" sqref="R3:R71">
      <formula1>'Deliberação'!$A$1:$A$9</formula1>
    </dataValidation>
    <dataValidation type="list" allowBlank="1" sqref="U3:U71">
      <formula1>'Situação'!$A$1:$A71</formula1>
    </dataValidation>
    <dataValidation type="list" allowBlank="1" sqref="Y2:Y71">
      <formula1>'Deliberação-Modalidade'!$B$2:$B$18</formula1>
    </dataValidation>
    <dataValidation type="list" allowBlank="1" sqref="Z3:Z71">
      <formula1>Modalidades!$A:$A</formula1>
    </dataValidation>
    <dataValidation type="list" allowBlank="1" sqref="AI2:AI71 BE2:BE71 CA2:CA71 CL2:CL71">
      <formula1>"Sim,Não"</formula1>
    </dataValidation>
    <dataValidation type="custom" allowBlank="1" showDropDown="1" showErrorMessage="1" sqref="AD3:AD4 AD5:AE6 BN14 BN42 AD7:AD71">
      <formula1>OR(NOT(ISERROR(DATEVALUE(AD3))), AND(ISNUMBER(AD3), LEFT(CELL("format", AD3))="D"))</formula1>
    </dataValidation>
    <dataValidation type="list" allowBlank="1" sqref="Q7:Q8 Q11:Q12 Q14:Q15 Q41:Q42 Q48">
      <formula1>Prioridade!$A$2:$A$13</formula1>
    </dataValidation>
    <dataValidation type="list" allowBlank="1" sqref="DB2 DB9:DB10 DB14 DB16 DB18 DB20 DB22:DB25 DB27:DB31 DB34:DB37 DB39:DB42 DB44 DB47:DB53 DB55:DB57 DB59:DB63">
      <formula1>'Cópia de Auxiliar'!$B$2:$B$27</formula1>
    </dataValidation>
    <dataValidation type="list" allowBlank="1" sqref="BV3 BV5:BV6 BV8:BV14 BV16:BV42 BV44:BV48">
      <formula1>'Classifica CSJT PO (Ato 71)'!$A:$A</formula1>
    </dataValidation>
    <dataValidation type="list" allowBlank="1" sqref="E3:E71">
      <formula1>'Objetivos Estratégicos'!$A:$A</formula1>
    </dataValidation>
    <dataValidation type="list" allowBlank="1" sqref="BF2:BF71">
      <formula1>"Emergencial,Complemento"</formula1>
    </dataValidation>
    <dataValidation type="list" allowBlank="1" sqref="F3:F71">
      <formula1>'Classificação CNJ'!$A$1:$A71</formula1>
    </dataValidation>
    <dataValidation type="list" allowBlank="1" sqref="H3:H71">
      <formula1>"Continuado,Imediato,Recorrente,Sob demanda,Grupo"</formula1>
    </dataValidation>
    <dataValidation type="list" allowBlank="1" sqref="Q3:Q6 Q9:Q10 Q13 Q16:Q40 Q43:Q47 Q49:Q71">
      <formula1>Prioridade!$A$2:$A$16</formula1>
    </dataValidation>
  </dataValidations>
  <hyperlinks>
    <hyperlink r:id="rId2" ref="AA3"/>
    <hyperlink r:id="rId3" ref="BB3"/>
    <hyperlink r:id="rId4" ref="CN3"/>
    <hyperlink r:id="rId5" ref="AA4"/>
    <hyperlink r:id="rId6" ref="BB4"/>
    <hyperlink r:id="rId7" ref="CN4"/>
    <hyperlink r:id="rId8" ref="CO4"/>
    <hyperlink r:id="rId9" ref="AA5"/>
    <hyperlink r:id="rId10" ref="BB5"/>
    <hyperlink r:id="rId11" ref="CN5"/>
    <hyperlink r:id="rId12" ref="AA6"/>
    <hyperlink r:id="rId13" ref="BB6"/>
    <hyperlink r:id="rId14" ref="CN6"/>
    <hyperlink r:id="rId15" ref="AA7"/>
    <hyperlink r:id="rId16" ref="BB7"/>
    <hyperlink r:id="rId17" ref="CN7"/>
    <hyperlink r:id="rId18" ref="CO7"/>
    <hyperlink r:id="rId19" ref="AA8"/>
    <hyperlink r:id="rId20" ref="BB8"/>
    <hyperlink r:id="rId21" ref="CN8"/>
    <hyperlink r:id="rId22" ref="AA9"/>
    <hyperlink r:id="rId23" ref="BB9"/>
    <hyperlink r:id="rId24" ref="CN9"/>
    <hyperlink r:id="rId25" ref="CO9"/>
    <hyperlink r:id="rId26" ref="AA10"/>
    <hyperlink r:id="rId27" ref="BB10"/>
    <hyperlink r:id="rId28" ref="CN10"/>
    <hyperlink r:id="rId29" ref="AA11"/>
    <hyperlink r:id="rId30" ref="BB11"/>
    <hyperlink r:id="rId31" ref="CN11"/>
    <hyperlink r:id="rId32" ref="CO11"/>
    <hyperlink r:id="rId33" ref="AA12"/>
    <hyperlink r:id="rId34" ref="BB12"/>
    <hyperlink r:id="rId35" ref="CN12"/>
    <hyperlink r:id="rId36" ref="CO12"/>
    <hyperlink r:id="rId37" ref="AA14"/>
    <hyperlink r:id="rId38" ref="BB14"/>
    <hyperlink r:id="rId39" ref="CN14"/>
    <hyperlink r:id="rId40" ref="AA15"/>
    <hyperlink r:id="rId41" ref="BB15"/>
    <hyperlink r:id="rId42" ref="CN15"/>
    <hyperlink r:id="rId43" ref="CO15"/>
    <hyperlink r:id="rId44" ref="AA16"/>
    <hyperlink r:id="rId45" ref="BB16"/>
    <hyperlink r:id="rId46" ref="CN16"/>
    <hyperlink r:id="rId47" ref="AA18"/>
    <hyperlink r:id="rId48" ref="BB18"/>
    <hyperlink r:id="rId49" ref="CN18"/>
    <hyperlink r:id="rId50" ref="AA19"/>
    <hyperlink r:id="rId51" ref="BB19"/>
    <hyperlink r:id="rId52" ref="CN19"/>
    <hyperlink r:id="rId53" ref="AA20"/>
    <hyperlink r:id="rId54" ref="BB20"/>
    <hyperlink r:id="rId55" ref="CN20"/>
    <hyperlink r:id="rId56" ref="AA21"/>
    <hyperlink r:id="rId57" ref="BB21"/>
    <hyperlink r:id="rId58" ref="CN21"/>
    <hyperlink r:id="rId59" ref="AA22"/>
    <hyperlink r:id="rId60" ref="BB22"/>
    <hyperlink r:id="rId61" ref="CN22"/>
    <hyperlink r:id="rId62" ref="AA25"/>
    <hyperlink r:id="rId63" ref="BB25"/>
    <hyperlink r:id="rId64" ref="CN25"/>
    <hyperlink r:id="rId65" ref="CO25"/>
    <hyperlink r:id="rId66" ref="AA27"/>
    <hyperlink r:id="rId67" ref="BB27"/>
    <hyperlink r:id="rId68" ref="CN27"/>
    <hyperlink r:id="rId69" ref="AA28"/>
    <hyperlink r:id="rId70" ref="BB28"/>
    <hyperlink r:id="rId71" ref="CN28"/>
    <hyperlink r:id="rId72" ref="CO28"/>
    <hyperlink r:id="rId73" ref="AA29"/>
    <hyperlink r:id="rId74" ref="BB29"/>
    <hyperlink r:id="rId75" ref="CN29"/>
    <hyperlink r:id="rId76" ref="AA35"/>
    <hyperlink r:id="rId77" ref="BB35"/>
    <hyperlink r:id="rId78" ref="CN35"/>
    <hyperlink r:id="rId79" ref="AA36"/>
    <hyperlink r:id="rId80" ref="BB36"/>
    <hyperlink r:id="rId81" ref="CN36"/>
    <hyperlink r:id="rId82" ref="AA37"/>
    <hyperlink r:id="rId83" ref="BB37"/>
    <hyperlink r:id="rId84" ref="CN37"/>
    <hyperlink r:id="rId85" ref="CO37"/>
    <hyperlink r:id="rId86" ref="AA38"/>
    <hyperlink r:id="rId87" ref="BB38"/>
    <hyperlink r:id="rId88" ref="CN38"/>
    <hyperlink r:id="rId89" ref="CO38"/>
    <hyperlink r:id="rId90" ref="AA39"/>
    <hyperlink r:id="rId91" ref="BB39"/>
    <hyperlink r:id="rId92" ref="CN39"/>
    <hyperlink r:id="rId93" ref="AA40"/>
    <hyperlink r:id="rId94" ref="BB40"/>
    <hyperlink r:id="rId95" ref="CN40"/>
    <hyperlink r:id="rId96" ref="AA43"/>
    <hyperlink r:id="rId97" ref="BB43"/>
    <hyperlink r:id="rId98" ref="CN43"/>
    <hyperlink r:id="rId99" ref="CO43"/>
    <hyperlink r:id="rId100" ref="AA47"/>
    <hyperlink r:id="rId101" ref="BB47"/>
    <hyperlink r:id="rId102" ref="CN47"/>
    <hyperlink r:id="rId103" ref="AA48"/>
    <hyperlink r:id="rId104" ref="BB48"/>
    <hyperlink r:id="rId105" ref="CN48"/>
    <hyperlink r:id="rId106" ref="AA49"/>
    <hyperlink r:id="rId107" ref="BB49"/>
    <hyperlink r:id="rId108" ref="CN49"/>
    <hyperlink r:id="rId109" ref="AA51"/>
    <hyperlink r:id="rId110" ref="BB51"/>
    <hyperlink r:id="rId111" ref="CN51"/>
    <hyperlink r:id="rId112" ref="AA54"/>
    <hyperlink r:id="rId113" ref="BB54"/>
    <hyperlink r:id="rId114" ref="CN54"/>
    <hyperlink r:id="rId115" ref="AA64"/>
    <hyperlink r:id="rId116" ref="BB64"/>
    <hyperlink r:id="rId117" ref="CN64"/>
    <hyperlink r:id="rId118" ref="AA65"/>
    <hyperlink r:id="rId119" ref="BB65"/>
    <hyperlink r:id="rId120" ref="CN65"/>
    <hyperlink r:id="rId121" ref="AA66"/>
    <hyperlink r:id="rId122" ref="BB66"/>
    <hyperlink r:id="rId123" ref="CN66"/>
    <hyperlink r:id="rId124" ref="AA67"/>
    <hyperlink r:id="rId125" ref="BB67"/>
    <hyperlink r:id="rId126" ref="CN67"/>
    <hyperlink r:id="rId127" ref="AA68"/>
    <hyperlink r:id="rId128" ref="BB68"/>
    <hyperlink r:id="rId129" ref="CN68"/>
    <hyperlink r:id="rId130" ref="AA71"/>
    <hyperlink r:id="rId131" ref="BB71"/>
    <hyperlink r:id="rId132" ref="CN71"/>
  </hyperlinks>
  <drawing r:id="rId133"/>
  <legacyDrawing r:id="rId134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7BA0"/>
    <outlinePr summaryBelow="0" summaryRight="0"/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.25"/>
    <col customWidth="1" min="2" max="2" width="6.63"/>
    <col customWidth="1" min="3" max="3" width="47.75"/>
    <col customWidth="1" min="4" max="4" width="16.13"/>
    <col customWidth="1" min="5" max="5" width="17.63"/>
    <col customWidth="1" min="6" max="13" width="11.88"/>
    <col customWidth="1" min="14" max="14" width="2.88"/>
  </cols>
  <sheetData>
    <row r="1" ht="17.25" customHeight="1">
      <c r="A1" s="235"/>
      <c r="B1" s="236" t="s">
        <v>665</v>
      </c>
      <c r="E1" s="180"/>
      <c r="F1" s="184"/>
      <c r="K1" s="199"/>
      <c r="L1" s="199"/>
      <c r="M1" s="199"/>
      <c r="N1" s="180"/>
    </row>
    <row r="2" ht="17.25" customHeight="1">
      <c r="A2" s="235"/>
      <c r="E2" s="180"/>
      <c r="F2" s="265"/>
      <c r="G2" s="235"/>
      <c r="H2" s="235"/>
      <c r="J2" s="235"/>
      <c r="K2" s="237" t="s">
        <v>666</v>
      </c>
      <c r="L2" s="237" t="s">
        <v>667</v>
      </c>
      <c r="M2" s="237" t="s">
        <v>668</v>
      </c>
      <c r="N2" s="180"/>
    </row>
    <row r="3" ht="17.25" customHeight="1">
      <c r="A3" s="235"/>
      <c r="B3" s="238">
        <f>NOW()</f>
        <v>44677.53881</v>
      </c>
      <c r="D3" s="239"/>
      <c r="E3" s="180"/>
      <c r="F3" s="241"/>
      <c r="G3" s="194"/>
      <c r="H3" s="194"/>
      <c r="J3" s="194"/>
      <c r="K3" s="243">
        <f t="shared" ref="K3:M3" si="1">sum(K6:K550)</f>
        <v>10196100</v>
      </c>
      <c r="L3" s="243">
        <f t="shared" si="1"/>
        <v>10175183.08</v>
      </c>
      <c r="M3" s="243">
        <f t="shared" si="1"/>
        <v>10853213.51</v>
      </c>
      <c r="N3" s="180"/>
    </row>
    <row r="4" ht="8.25" customHeight="1">
      <c r="A4" s="235"/>
      <c r="B4" s="177"/>
      <c r="C4" s="181"/>
      <c r="D4" s="173"/>
      <c r="E4" s="180"/>
      <c r="F4" s="184"/>
      <c r="G4" s="184"/>
      <c r="H4" s="240"/>
      <c r="I4" s="184"/>
      <c r="J4" s="184"/>
      <c r="K4" s="244"/>
      <c r="L4" s="241"/>
      <c r="M4" s="244"/>
      <c r="N4" s="180"/>
    </row>
    <row r="5">
      <c r="A5" s="235"/>
      <c r="B5" s="245" t="str">
        <f>IFERROR(__xludf.DUMMYFUNCTION("QUERY('Base de Dados'!A:CQ,""select A, C, Q, U, V, W, BE, AD, AE, AQ, AO, AT WHERE A &gt; 15000 ORDER BY Q, AT DESC"",1)"),"Id")</f>
        <v>Id</v>
      </c>
      <c r="C5" s="246" t="str">
        <f>IFERROR(__xludf.DUMMYFUNCTION("""COMPUTED_VALUE"""),"Descrição")</f>
        <v>Descrição</v>
      </c>
      <c r="D5" s="246" t="str">
        <f>IFERROR(__xludf.DUMMYFUNCTION("""COMPUTED_VALUE"""),"Prioridade")</f>
        <v>Prioridade</v>
      </c>
      <c r="E5" s="246" t="str">
        <f>IFERROR(__xludf.DUMMYFUNCTION("""COMPUTED_VALUE"""),"Situação (Fase)")</f>
        <v>Situação (Fase)</v>
      </c>
      <c r="F5" s="248" t="str">
        <f>IFERROR(__xludf.DUMMYFUNCTION("""COMPUTED_VALUE"""),"DOD")</f>
        <v>DOD</v>
      </c>
      <c r="G5" s="248" t="str">
        <f>IFERROR(__xludf.DUMMYFUNCTION("""COMPUTED_VALUE"""),"Contrato")</f>
        <v>Contrato</v>
      </c>
      <c r="H5" s="247" t="str">
        <f>IFERROR(__xludf.DUMMYFUNCTION("""COMPUTED_VALUE"""),"Prorroga")</f>
        <v>Prorroga</v>
      </c>
      <c r="I5" s="248" t="str">
        <f>IFERROR(__xludf.DUMMYFUNCTION("""COMPUTED_VALUE"""),"Data para Adm")</f>
        <v>Data para Adm</v>
      </c>
      <c r="J5" s="248" t="str">
        <f>IFERROR(__xludf.DUMMYFUNCTION("""COMPUTED_VALUE"""),"Data para objeto")</f>
        <v>Data para objeto</v>
      </c>
      <c r="K5" s="249" t="str">
        <f>IFERROR(__xludf.DUMMYFUNCTION("""COMPUTED_VALUE"""),"1a Linha de Base - POP 2022")</f>
        <v>1a Linha de Base - POP 2022</v>
      </c>
      <c r="L5" s="249" t="str">
        <f>IFERROR(__xludf.DUMMYFUNCTION("""COMPUTED_VALUE"""),"2a Linha de Base - PCTIC 2022")</f>
        <v>2a Linha de Base - PCTIC 2022</v>
      </c>
      <c r="M5" s="249" t="str">
        <f>IFERROR(__xludf.DUMMYFUNCTION("""COMPUTED_VALUE"""),"Valor Projetado")</f>
        <v>Valor Projetado</v>
      </c>
      <c r="N5" s="180"/>
    </row>
    <row r="6">
      <c r="B6" s="250">
        <f>IFERROR(__xludf.DUMMYFUNCTION("""COMPUTED_VALUE"""),15060.0)</f>
        <v>15060</v>
      </c>
      <c r="C6" s="251" t="str">
        <f>IFERROR(__xludf.DUMMYFUNCTION("""COMPUTED_VALUE"""),"CENTRAL DE SERVIÇOS - Contratação de serviços de suporte de TIC em 1º e 2º níveis - 2019, para fornecimento de técnicos terceirizados para atendimento aos chamados de TIC, no Estado.")</f>
        <v>CENTRAL DE SERVIÇOS - Contratação de serviços de suporte de TIC em 1º e 2º níveis - 2019, para fornecimento de técnicos terceirizados para atendimento aos chamados de TIC, no Estado.</v>
      </c>
      <c r="D6" s="252" t="str">
        <f>IFERROR(__xludf.DUMMYFUNCTION("""COMPUTED_VALUE"""),"1 - Imprescindível")</f>
        <v>1 - Imprescindível</v>
      </c>
      <c r="E6" s="252" t="str">
        <f>IFERROR(__xludf.DUMMYFUNCTION("""COMPUTED_VALUE"""),"07 - Concluída")</f>
        <v>07 - Concluída</v>
      </c>
      <c r="F6" s="254" t="str">
        <f>IFERROR(__xludf.DUMMYFUNCTION("""COMPUTED_VALUE"""),"1293/2021")</f>
        <v>1293/2021</v>
      </c>
      <c r="G6" s="254" t="str">
        <f>IFERROR(__xludf.DUMMYFUNCTION("""COMPUTED_VALUE"""),"3995/2019")</f>
        <v>3995/2019</v>
      </c>
      <c r="H6" s="253" t="str">
        <f>IFERROR(__xludf.DUMMYFUNCTION("""COMPUTED_VALUE"""),"Sim")</f>
        <v>Sim</v>
      </c>
      <c r="I6" s="255">
        <f>IFERROR(__xludf.DUMMYFUNCTION("""COMPUTED_VALUE"""),44529.0)</f>
        <v>44529</v>
      </c>
      <c r="J6" s="255">
        <f>IFERROR(__xludf.DUMMYFUNCTION("""COMPUTED_VALUE"""),44619.0)</f>
        <v>44619</v>
      </c>
      <c r="K6" s="256">
        <f>IFERROR(__xludf.DUMMYFUNCTION("""COMPUTED_VALUE"""),857039.0)</f>
        <v>857039</v>
      </c>
      <c r="L6" s="256">
        <f>IFERROR(__xludf.DUMMYFUNCTION("""COMPUTED_VALUE"""),857039.0)</f>
        <v>857039</v>
      </c>
      <c r="M6" s="256">
        <f>IFERROR(__xludf.DUMMYFUNCTION("""COMPUTED_VALUE"""),891880.8)</f>
        <v>891880.8</v>
      </c>
      <c r="N6" s="180"/>
    </row>
    <row r="7">
      <c r="B7" s="250">
        <f>IFERROR(__xludf.DUMMYFUNCTION("""COMPUTED_VALUE"""),15376.0)</f>
        <v>15376</v>
      </c>
      <c r="C7" s="251" t="str">
        <f>IFERROR(__xludf.DUMMYFUNCTION("""COMPUTED_VALUE"""),"NOBREAKS EQUIPAMENTOS - Aquisição de equipamentos de 8 e 10 kVA")</f>
        <v>NOBREAKS EQUIPAMENTOS - Aquisição de equipamentos de 8 e 10 kVA</v>
      </c>
      <c r="D7" s="252" t="str">
        <f>IFERROR(__xludf.DUMMYFUNCTION("""COMPUTED_VALUE"""),"1 - Imprescindível")</f>
        <v>1 - Imprescindível</v>
      </c>
      <c r="E7" s="252" t="str">
        <f>IFERROR(__xludf.DUMMYFUNCTION("""COMPUTED_VALUE"""),"05 - PB enviado")</f>
        <v>05 - PB enviado</v>
      </c>
      <c r="F7" s="254" t="str">
        <f>IFERROR(__xludf.DUMMYFUNCTION("""COMPUTED_VALUE"""),"3569/2021")</f>
        <v>3569/2021</v>
      </c>
      <c r="G7" s="254" t="str">
        <f>IFERROR(__xludf.DUMMYFUNCTION("""COMPUTED_VALUE"""),"9240/2021")</f>
        <v>9240/2021</v>
      </c>
      <c r="H7" s="253" t="str">
        <f>IFERROR(__xludf.DUMMYFUNCTION("""COMPUTED_VALUE"""),"Não")</f>
        <v>Não</v>
      </c>
      <c r="I7" s="255">
        <f>IFERROR(__xludf.DUMMYFUNCTION("""COMPUTED_VALUE"""),44603.0)</f>
        <v>44603</v>
      </c>
      <c r="J7" s="255">
        <f>IFERROR(__xludf.DUMMYFUNCTION("""COMPUTED_VALUE"""),44713.0)</f>
        <v>44713</v>
      </c>
      <c r="K7" s="256">
        <f>IFERROR(__xludf.DUMMYFUNCTION("""COMPUTED_VALUE"""),0.0)</f>
        <v>0</v>
      </c>
      <c r="L7" s="256">
        <f>IFERROR(__xludf.DUMMYFUNCTION("""COMPUTED_VALUE"""),868538.56)</f>
        <v>868538.56</v>
      </c>
      <c r="M7" s="256">
        <f>IFERROR(__xludf.DUMMYFUNCTION("""COMPUTED_VALUE"""),868538.56)</f>
        <v>868538.56</v>
      </c>
      <c r="N7" s="180"/>
    </row>
    <row r="8">
      <c r="B8" s="250">
        <f>IFERROR(__xludf.DUMMYFUNCTION("""COMPUTED_VALUE"""),15898.0)</f>
        <v>15898</v>
      </c>
      <c r="C8" s="251" t="str">
        <f>IFERROR(__xludf.DUMMYFUNCTION("""COMPUTED_VALUE"""),"NOBREAK EQUIPAMENTOS - Fornecimento de energia elétrica estabilizada e ininterrupta ao data center principal (equipamentos de 40 e 80 kVA)")</f>
        <v>NOBREAK EQUIPAMENTOS - Fornecimento de energia elétrica estabilizada e ininterrupta ao data center principal (equipamentos de 40 e 80 kVA)</v>
      </c>
      <c r="D8" s="252" t="str">
        <f>IFERROR(__xludf.DUMMYFUNCTION("""COMPUTED_VALUE"""),"1 - Imprescindível")</f>
        <v>1 - Imprescindível</v>
      </c>
      <c r="E8" s="252" t="str">
        <f>IFERROR(__xludf.DUMMYFUNCTION("""COMPUTED_VALUE"""),"02 - DOD emitido")</f>
        <v>02 - DOD emitido</v>
      </c>
      <c r="F8" s="254" t="str">
        <f>IFERROR(__xludf.DUMMYFUNCTION("""COMPUTED_VALUE"""),"2760/2022")</f>
        <v>2760/2022</v>
      </c>
      <c r="G8" s="254"/>
      <c r="H8" s="253"/>
      <c r="I8" s="255">
        <f>IFERROR(__xludf.DUMMYFUNCTION("""COMPUTED_VALUE"""),44603.0)</f>
        <v>44603</v>
      </c>
      <c r="J8" s="255">
        <f>IFERROR(__xludf.DUMMYFUNCTION("""COMPUTED_VALUE"""),44713.0)</f>
        <v>44713</v>
      </c>
      <c r="K8" s="256">
        <f>IFERROR(__xludf.DUMMYFUNCTION("""COMPUTED_VALUE"""),0.0)</f>
        <v>0</v>
      </c>
      <c r="L8" s="256">
        <f>IFERROR(__xludf.DUMMYFUNCTION("""COMPUTED_VALUE"""),0.0)</f>
        <v>0</v>
      </c>
      <c r="M8" s="256">
        <f>IFERROR(__xludf.DUMMYFUNCTION("""COMPUTED_VALUE"""),533000.0)</f>
        <v>533000</v>
      </c>
      <c r="N8" s="180"/>
    </row>
    <row r="9">
      <c r="B9" s="250">
        <f>IFERROR(__xludf.DUMMYFUNCTION("""COMPUTED_VALUE"""),15304.0)</f>
        <v>15304</v>
      </c>
      <c r="C9" s="251" t="str">
        <f>IFERROR(__xludf.DUMMYFUNCTION("""COMPUTED_VALUE"""),"BACKUP EQUIPAMENTOS - Aquisição de um novo equipamento para atualizar o sistema de backup do datacenter auxiliar.")</f>
        <v>BACKUP EQUIPAMENTOS - Aquisição de um novo equipamento para atualizar o sistema de backup do datacenter auxiliar.</v>
      </c>
      <c r="D9" s="252" t="str">
        <f>IFERROR(__xludf.DUMMYFUNCTION("""COMPUTED_VALUE"""),"1 - Imprescindível")</f>
        <v>1 - Imprescindível</v>
      </c>
      <c r="E9" s="252" t="str">
        <f>IFERROR(__xludf.DUMMYFUNCTION("""COMPUTED_VALUE"""),"05 - PB enviado")</f>
        <v>05 - PB enviado</v>
      </c>
      <c r="F9" s="254" t="str">
        <f>IFERROR(__xludf.DUMMYFUNCTION("""COMPUTED_VALUE"""),"8147/2021")</f>
        <v>8147/2021</v>
      </c>
      <c r="G9" s="254" t="str">
        <f>IFERROR(__xludf.DUMMYFUNCTION("""COMPUTED_VALUE"""),"10394/2021")</f>
        <v>10394/2021</v>
      </c>
      <c r="H9" s="253"/>
      <c r="I9" s="255">
        <f>IFERROR(__xludf.DUMMYFUNCTION("""COMPUTED_VALUE"""),44525.0)</f>
        <v>44525</v>
      </c>
      <c r="J9" s="255">
        <f>IFERROR(__xludf.DUMMYFUNCTION("""COMPUTED_VALUE"""),44635.0)</f>
        <v>44635</v>
      </c>
      <c r="K9" s="256">
        <f>IFERROR(__xludf.DUMMYFUNCTION("""COMPUTED_VALUE"""),0.0)</f>
        <v>0</v>
      </c>
      <c r="L9" s="256">
        <f>IFERROR(__xludf.DUMMYFUNCTION("""COMPUTED_VALUE"""),433000.0)</f>
        <v>433000</v>
      </c>
      <c r="M9" s="256">
        <f>IFERROR(__xludf.DUMMYFUNCTION("""COMPUTED_VALUE"""),433000.0)</f>
        <v>433000</v>
      </c>
      <c r="N9" s="180"/>
    </row>
    <row r="10">
      <c r="B10" s="250">
        <f>IFERROR(__xludf.DUMMYFUNCTION("""COMPUTED_VALUE"""),15387.0)</f>
        <v>15387</v>
      </c>
      <c r="C10" s="251" t="str">
        <f>IFERROR(__xludf.DUMMYFUNCTION("""COMPUTED_VALUE"""),"VMWARE LICENÇA - Licença perpétua do VS7-EPL-C com suporte e subscrição Basic por 5 anos (item 2 do DOD)")</f>
        <v>VMWARE LICENÇA - Licença perpétua do VS7-EPL-C com suporte e subscrição Basic por 5 anos (item 2 do DOD)</v>
      </c>
      <c r="D10" s="252" t="str">
        <f>IFERROR(__xludf.DUMMYFUNCTION("""COMPUTED_VALUE"""),"1 - Imprescindível")</f>
        <v>1 - Imprescindível</v>
      </c>
      <c r="E10" s="252" t="str">
        <f>IFERROR(__xludf.DUMMYFUNCTION("""COMPUTED_VALUE"""),"02 - DOD emitido")</f>
        <v>02 - DOD emitido</v>
      </c>
      <c r="F10" s="254" t="str">
        <f>IFERROR(__xludf.DUMMYFUNCTION("""COMPUTED_VALUE"""),"12634/2021")</f>
        <v>12634/2021</v>
      </c>
      <c r="G10" s="254"/>
      <c r="H10" s="253"/>
      <c r="I10" s="255">
        <f>IFERROR(__xludf.DUMMYFUNCTION("""COMPUTED_VALUE"""),44575.0)</f>
        <v>44575</v>
      </c>
      <c r="J10" s="255">
        <f>IFERROR(__xludf.DUMMYFUNCTION("""COMPUTED_VALUE"""),44635.0)</f>
        <v>44635</v>
      </c>
      <c r="K10" s="256">
        <f>IFERROR(__xludf.DUMMYFUNCTION("""COMPUTED_VALUE"""),0.0)</f>
        <v>0</v>
      </c>
      <c r="L10" s="256">
        <f>IFERROR(__xludf.DUMMYFUNCTION("""COMPUTED_VALUE"""),0.0)</f>
        <v>0</v>
      </c>
      <c r="M10" s="256">
        <f>IFERROR(__xludf.DUMMYFUNCTION("""COMPUTED_VALUE"""),395000.0)</f>
        <v>395000</v>
      </c>
      <c r="N10" s="180"/>
    </row>
    <row r="11">
      <c r="B11" s="250">
        <f>IFERROR(__xludf.DUMMYFUNCTION("""COMPUTED_VALUE"""),15390.0)</f>
        <v>15390</v>
      </c>
      <c r="C11" s="251" t="str">
        <f>IFERROR(__xludf.DUMMYFUNCTION("""COMPUTED_VALUE"""),"REDE JT CIASC - Contratação de links de alto desempenho para as conexões de dados entre as unidades do TRT - 2022")</f>
        <v>REDE JT CIASC - Contratação de links de alto desempenho para as conexões de dados entre as unidades do TRT - 2022</v>
      </c>
      <c r="D11" s="252" t="str">
        <f>IFERROR(__xludf.DUMMYFUNCTION("""COMPUTED_VALUE"""),"1 - Imprescindível")</f>
        <v>1 - Imprescindível</v>
      </c>
      <c r="E11" s="252" t="str">
        <f>IFERROR(__xludf.DUMMYFUNCTION("""COMPUTED_VALUE"""),"01 - Não oficializado")</f>
        <v>01 - Não oficializado</v>
      </c>
      <c r="F11" s="254"/>
      <c r="G11" s="254"/>
      <c r="H11" s="253"/>
      <c r="I11" s="255">
        <f>IFERROR(__xludf.DUMMYFUNCTION("""COMPUTED_VALUE"""),44771.0)</f>
        <v>44771</v>
      </c>
      <c r="J11" s="255">
        <f>IFERROR(__xludf.DUMMYFUNCTION("""COMPUTED_VALUE"""),44781.0)</f>
        <v>44781</v>
      </c>
      <c r="K11" s="256"/>
      <c r="L11" s="256">
        <f>IFERROR(__xludf.DUMMYFUNCTION("""COMPUTED_VALUE"""),0.0)</f>
        <v>0</v>
      </c>
      <c r="M11" s="256">
        <f>IFERROR(__xludf.DUMMYFUNCTION("""COMPUTED_VALUE"""),361306.4)</f>
        <v>361306.4</v>
      </c>
      <c r="N11" s="180"/>
    </row>
    <row r="12">
      <c r="B12" s="250">
        <f>IFERROR(__xludf.DUMMYFUNCTION("""COMPUTED_VALUE"""),15327.0)</f>
        <v>15327</v>
      </c>
      <c r="C12" s="251" t="str">
        <f>IFERROR(__xludf.DUMMYFUNCTION("""COMPUTED_VALUE"""),"SWITCHES EQUIPAMENTOS - Ampliação da capacidade da rede SAN, que conecta os equipamentos servidores e sistema de backup às unidades de armazenamento.")</f>
        <v>SWITCHES EQUIPAMENTOS - Ampliação da capacidade da rede SAN, que conecta os equipamentos servidores e sistema de backup às unidades de armazenamento.</v>
      </c>
      <c r="D12" s="252" t="str">
        <f>IFERROR(__xludf.DUMMYFUNCTION("""COMPUTED_VALUE"""),"1 - Imprescindível")</f>
        <v>1 - Imprescindível</v>
      </c>
      <c r="E12" s="252" t="str">
        <f>IFERROR(__xludf.DUMMYFUNCTION("""COMPUTED_VALUE"""),"02 - DOD emitido")</f>
        <v>02 - DOD emitido</v>
      </c>
      <c r="F12" s="254" t="str">
        <f>IFERROR(__xludf.DUMMYFUNCTION("""COMPUTED_VALUE"""),"9109/2021")</f>
        <v>9109/2021</v>
      </c>
      <c r="G12" s="254"/>
      <c r="H12" s="253"/>
      <c r="I12" s="255">
        <f>IFERROR(__xludf.DUMMYFUNCTION("""COMPUTED_VALUE"""),44695.0)</f>
        <v>44695</v>
      </c>
      <c r="J12" s="255">
        <f>IFERROR(__xludf.DUMMYFUNCTION("""COMPUTED_VALUE"""),44805.0)</f>
        <v>44805</v>
      </c>
      <c r="K12" s="256">
        <f>IFERROR(__xludf.DUMMYFUNCTION("""COMPUTED_VALUE"""),0.0)</f>
        <v>0</v>
      </c>
      <c r="L12" s="256">
        <f>IFERROR(__xludf.DUMMYFUNCTION("""COMPUTED_VALUE"""),360000.0)</f>
        <v>360000</v>
      </c>
      <c r="M12" s="256">
        <f>IFERROR(__xludf.DUMMYFUNCTION("""COMPUTED_VALUE"""),360000.0)</f>
        <v>360000</v>
      </c>
      <c r="N12" s="180"/>
    </row>
    <row r="13">
      <c r="B13" s="250">
        <f>IFERROR(__xludf.DUMMYFUNCTION("""COMPUTED_VALUE"""),15388.0)</f>
        <v>15388</v>
      </c>
      <c r="C13" s="251" t="str">
        <f>IFERROR(__xludf.DUMMYFUNCTION("""COMPUTED_VALUE"""),"VMWARE SUPORTE - Suporte e Subscrição Production e Basic, para o VMware vCenter Server 7 Standard for vSphere 7, por 5 anos (itens 1 e 3 do DOD)")</f>
        <v>VMWARE SUPORTE - Suporte e Subscrição Production e Basic, para o VMware vCenter Server 7 Standard for vSphere 7, por 5 anos (itens 1 e 3 do DOD)</v>
      </c>
      <c r="D13" s="252" t="str">
        <f>IFERROR(__xludf.DUMMYFUNCTION("""COMPUTED_VALUE"""),"1 - Imprescindível")</f>
        <v>1 - Imprescindível</v>
      </c>
      <c r="E13" s="252" t="str">
        <f>IFERROR(__xludf.DUMMYFUNCTION("""COMPUTED_VALUE"""),"02 - DOD emitido")</f>
        <v>02 - DOD emitido</v>
      </c>
      <c r="F13" s="254" t="str">
        <f>IFERROR(__xludf.DUMMYFUNCTION("""COMPUTED_VALUE"""),"12634/2021")</f>
        <v>12634/2021</v>
      </c>
      <c r="G13" s="254"/>
      <c r="H13" s="253"/>
      <c r="I13" s="255">
        <f>IFERROR(__xludf.DUMMYFUNCTION("""COMPUTED_VALUE"""),44575.0)</f>
        <v>44575</v>
      </c>
      <c r="J13" s="255">
        <f>IFERROR(__xludf.DUMMYFUNCTION("""COMPUTED_VALUE"""),44635.0)</f>
        <v>44635</v>
      </c>
      <c r="K13" s="256">
        <f>IFERROR(__xludf.DUMMYFUNCTION("""COMPUTED_VALUE"""),0.0)</f>
        <v>0</v>
      </c>
      <c r="L13" s="256">
        <f>IFERROR(__xludf.DUMMYFUNCTION("""COMPUTED_VALUE"""),0.0)</f>
        <v>0</v>
      </c>
      <c r="M13" s="256">
        <f>IFERROR(__xludf.DUMMYFUNCTION("""COMPUTED_VALUE"""),352160.0)</f>
        <v>352160</v>
      </c>
      <c r="N13" s="180"/>
    </row>
    <row r="14">
      <c r="B14" s="250">
        <f>IFERROR(__xludf.DUMMYFUNCTION("""COMPUTED_VALUE"""),15056.0)</f>
        <v>15056</v>
      </c>
      <c r="C14" s="251" t="str">
        <f>IFERROR(__xludf.DUMMYFUNCTION("""COMPUTED_VALUE"""),"REDE JT - Ciasc - Contratação de links de alto desempenho para as conexões de dados entre as unidades do TRT")</f>
        <v>REDE JT - Ciasc - Contratação de links de alto desempenho para as conexões de dados entre as unidades do TRT</v>
      </c>
      <c r="D14" s="252" t="str">
        <f>IFERROR(__xludf.DUMMYFUNCTION("""COMPUTED_VALUE"""),"1 - Imprescindível")</f>
        <v>1 - Imprescindível</v>
      </c>
      <c r="E14" s="252" t="str">
        <f>IFERROR(__xludf.DUMMYFUNCTION("""COMPUTED_VALUE"""),"99 - Orçamentário")</f>
        <v>99 - Orçamentário</v>
      </c>
      <c r="F14" s="254"/>
      <c r="G14" s="254" t="str">
        <f>IFERROR(__xludf.DUMMYFUNCTION("""COMPUTED_VALUE"""),"5907/2017")</f>
        <v>5907/2017</v>
      </c>
      <c r="H14" s="253" t="str">
        <f>IFERROR(__xludf.DUMMYFUNCTION("""COMPUTED_VALUE"""),"Não")</f>
        <v>Não</v>
      </c>
      <c r="I14" s="255">
        <f>IFERROR(__xludf.DUMMYFUNCTION("""COMPUTED_VALUE"""),44781.0)</f>
        <v>44781</v>
      </c>
      <c r="J14" s="255">
        <f>IFERROR(__xludf.DUMMYFUNCTION("""COMPUTED_VALUE"""),44781.0)</f>
        <v>44781</v>
      </c>
      <c r="K14" s="256">
        <f>IFERROR(__xludf.DUMMYFUNCTION("""COMPUTED_VALUE"""),513000.0)</f>
        <v>513000</v>
      </c>
      <c r="L14" s="256">
        <f>IFERROR(__xludf.DUMMYFUNCTION("""COMPUTED_VALUE"""),700000.0)</f>
        <v>700000</v>
      </c>
      <c r="M14" s="256">
        <f>IFERROR(__xludf.DUMMYFUNCTION("""COMPUTED_VALUE"""),338693.6)</f>
        <v>338693.6</v>
      </c>
      <c r="N14" s="180"/>
    </row>
    <row r="15">
      <c r="B15" s="250">
        <f>IFERROR(__xludf.DUMMYFUNCTION("""COMPUTED_VALUE"""),15355.0)</f>
        <v>15355</v>
      </c>
      <c r="C15" s="251" t="str">
        <f>IFERROR(__xludf.DUMMYFUNCTION("""COMPUTED_VALUE"""),"BANCO DE DADOS ORACLE - Contratação de suporte e atualização de licenças Oracle, para os sistemas PROAD, SIGEP")</f>
        <v>BANCO DE DADOS ORACLE - Contratação de suporte e atualização de licenças Oracle, para os sistemas PROAD, SIGEP</v>
      </c>
      <c r="D15" s="252" t="str">
        <f>IFERROR(__xludf.DUMMYFUNCTION("""COMPUTED_VALUE"""),"1 - Imprescindível")</f>
        <v>1 - Imprescindível</v>
      </c>
      <c r="E15" s="252" t="str">
        <f>IFERROR(__xludf.DUMMYFUNCTION("""COMPUTED_VALUE"""),"01 - Não oficializado")</f>
        <v>01 - Não oficializado</v>
      </c>
      <c r="F15" s="254"/>
      <c r="G15" s="254" t="str">
        <f>IFERROR(__xludf.DUMMYFUNCTION("""COMPUTED_VALUE"""),"9758/2021")</f>
        <v>9758/2021</v>
      </c>
      <c r="H15" s="253" t="str">
        <f>IFERROR(__xludf.DUMMYFUNCTION("""COMPUTED_VALUE"""),"Não")</f>
        <v>Não</v>
      </c>
      <c r="I15" s="255">
        <f>IFERROR(__xludf.DUMMYFUNCTION("""COMPUTED_VALUE"""),44784.0)</f>
        <v>44784</v>
      </c>
      <c r="J15" s="255">
        <f>IFERROR(__xludf.DUMMYFUNCTION("""COMPUTED_VALUE"""),44874.0)</f>
        <v>44874</v>
      </c>
      <c r="K15" s="256">
        <f>IFERROR(__xludf.DUMMYFUNCTION("""COMPUTED_VALUE"""),300000.0)</f>
        <v>300000</v>
      </c>
      <c r="L15" s="256">
        <f>IFERROR(__xludf.DUMMYFUNCTION("""COMPUTED_VALUE"""),320000.0)</f>
        <v>320000</v>
      </c>
      <c r="M15" s="256">
        <f>IFERROR(__xludf.DUMMYFUNCTION("""COMPUTED_VALUE"""),314626.19999999995)</f>
        <v>314626.2</v>
      </c>
      <c r="N15" s="180"/>
    </row>
    <row r="16">
      <c r="B16" s="250">
        <f>IFERROR(__xludf.DUMMYFUNCTION("""COMPUTED_VALUE"""),15072.0)</f>
        <v>15072</v>
      </c>
      <c r="C16" s="251" t="str">
        <f>IFERROR(__xludf.DUMMYFUNCTION("""COMPUTED_VALUE"""),"NUVEM GOOGLE 1 - Contratação de licença de uso de serviço de nuvem de comunicação e colaboração")</f>
        <v>NUVEM GOOGLE 1 - Contratação de licença de uso de serviço de nuvem de comunicação e colaboração</v>
      </c>
      <c r="D16" s="252" t="str">
        <f>IFERROR(__xludf.DUMMYFUNCTION("""COMPUTED_VALUE"""),"1 - Imprescindível")</f>
        <v>1 - Imprescindível</v>
      </c>
      <c r="E16" s="252" t="str">
        <f>IFERROR(__xludf.DUMMYFUNCTION("""COMPUTED_VALUE"""),"99 - Orçamentário")</f>
        <v>99 - Orçamentário</v>
      </c>
      <c r="F16" s="254"/>
      <c r="G16" s="254" t="str">
        <f>IFERROR(__xludf.DUMMYFUNCTION("""COMPUTED_VALUE"""),"11741/2017")</f>
        <v>11741/2017</v>
      </c>
      <c r="H16" s="253" t="str">
        <f>IFERROR(__xludf.DUMMYFUNCTION("""COMPUTED_VALUE"""),"Sim")</f>
        <v>Sim</v>
      </c>
      <c r="I16" s="255">
        <f>IFERROR(__xludf.DUMMYFUNCTION("""COMPUTED_VALUE"""),44908.0)</f>
        <v>44908</v>
      </c>
      <c r="J16" s="255">
        <f>IFERROR(__xludf.DUMMYFUNCTION("""COMPUTED_VALUE"""),44908.0)</f>
        <v>44908</v>
      </c>
      <c r="K16" s="256">
        <f>IFERROR(__xludf.DUMMYFUNCTION("""COMPUTED_VALUE"""),400000.0)</f>
        <v>400000</v>
      </c>
      <c r="L16" s="256">
        <f>IFERROR(__xludf.DUMMYFUNCTION("""COMPUTED_VALUE"""),380000.0)</f>
        <v>380000</v>
      </c>
      <c r="M16" s="256">
        <f>IFERROR(__xludf.DUMMYFUNCTION("""COMPUTED_VALUE"""),264255.078)</f>
        <v>264255.078</v>
      </c>
      <c r="N16" s="180"/>
    </row>
    <row r="17">
      <c r="B17" s="250">
        <f>IFERROR(__xludf.DUMMYFUNCTION("""COMPUTED_VALUE"""),15364.0)</f>
        <v>15364</v>
      </c>
      <c r="C17" s="251" t="str">
        <f>IFERROR(__xludf.DUMMYFUNCTION("""COMPUTED_VALUE"""),"SALA COFRE 2017 - Contratação de manutenção de sala cofre, que abriga o Datacenter principal, onde são armazenados todos os dados e os equipamentos de processamento de dados corporativos ")</f>
        <v>SALA COFRE 2017 - Contratação de manutenção de sala cofre, que abriga o Datacenter principal, onde são armazenados todos os dados e os equipamentos de processamento de dados corporativos </v>
      </c>
      <c r="D17" s="252" t="str">
        <f>IFERROR(__xludf.DUMMYFUNCTION("""COMPUTED_VALUE"""),"1 - Imprescindível")</f>
        <v>1 - Imprescindível</v>
      </c>
      <c r="E17" s="252" t="str">
        <f>IFERROR(__xludf.DUMMYFUNCTION("""COMPUTED_VALUE"""),"99 - Orçamentário")</f>
        <v>99 - Orçamentário</v>
      </c>
      <c r="F17" s="254"/>
      <c r="G17" s="254" t="str">
        <f>IFERROR(__xludf.DUMMYFUNCTION("""COMPUTED_VALUE"""),"6133/2017")</f>
        <v>6133/2017</v>
      </c>
      <c r="H17" s="253" t="str">
        <f>IFERROR(__xludf.DUMMYFUNCTION("""COMPUTED_VALUE"""),"Sim")</f>
        <v>Sim</v>
      </c>
      <c r="I17" s="255">
        <f>IFERROR(__xludf.DUMMYFUNCTION("""COMPUTED_VALUE"""),44845.0)</f>
        <v>44845</v>
      </c>
      <c r="J17" s="255">
        <f>IFERROR(__xludf.DUMMYFUNCTION("""COMPUTED_VALUE"""),44845.0)</f>
        <v>44845</v>
      </c>
      <c r="K17" s="256">
        <f>IFERROR(__xludf.DUMMYFUNCTION("""COMPUTED_VALUE"""),337760.0)</f>
        <v>337760</v>
      </c>
      <c r="L17" s="256">
        <f>IFERROR(__xludf.DUMMYFUNCTION("""COMPUTED_VALUE"""),281467.5)</f>
        <v>281467.5</v>
      </c>
      <c r="M17" s="256">
        <f>IFERROR(__xludf.DUMMYFUNCTION("""COMPUTED_VALUE"""),263192.44)</f>
        <v>263192.44</v>
      </c>
      <c r="N17" s="180"/>
    </row>
    <row r="18">
      <c r="B18" s="250">
        <f>IFERROR(__xludf.DUMMYFUNCTION("""COMPUTED_VALUE"""),15311.0)</f>
        <v>15311</v>
      </c>
      <c r="C18" s="251" t="str">
        <f>IFERROR(__xludf.DUMMYFUNCTION("""COMPUTED_VALUE"""),"BACKUP FITAS - Aquisição de fitas com capacidade de 12TB (272 unidades) e de limpeza (20 unidades).")</f>
        <v>BACKUP FITAS - Aquisição de fitas com capacidade de 12TB (272 unidades) e de limpeza (20 unidades).</v>
      </c>
      <c r="D18" s="252" t="str">
        <f>IFERROR(__xludf.DUMMYFUNCTION("""COMPUTED_VALUE"""),"1 - Imprescindível")</f>
        <v>1 - Imprescindível</v>
      </c>
      <c r="E18" s="252" t="str">
        <f>IFERROR(__xludf.DUMMYFUNCTION("""COMPUTED_VALUE"""),"05 - PB enviado")</f>
        <v>05 - PB enviado</v>
      </c>
      <c r="F18" s="254" t="str">
        <f>IFERROR(__xludf.DUMMYFUNCTION("""COMPUTED_VALUE"""),"8147/2021")</f>
        <v>8147/2021</v>
      </c>
      <c r="G18" s="254" t="str">
        <f>IFERROR(__xludf.DUMMYFUNCTION("""COMPUTED_VALUE"""),"10394/2021")</f>
        <v>10394/2021</v>
      </c>
      <c r="H18" s="253"/>
      <c r="I18" s="255">
        <f>IFERROR(__xludf.DUMMYFUNCTION("""COMPUTED_VALUE"""),44525.0)</f>
        <v>44525</v>
      </c>
      <c r="J18" s="255">
        <f>IFERROR(__xludf.DUMMYFUNCTION("""COMPUTED_VALUE"""),44635.0)</f>
        <v>44635</v>
      </c>
      <c r="K18" s="256">
        <f>IFERROR(__xludf.DUMMYFUNCTION("""COMPUTED_VALUE"""),0.0)</f>
        <v>0</v>
      </c>
      <c r="L18" s="256">
        <f>IFERROR(__xludf.DUMMYFUNCTION("""COMPUTED_VALUE"""),262444.0)</f>
        <v>262444</v>
      </c>
      <c r="M18" s="256">
        <f>IFERROR(__xludf.DUMMYFUNCTION("""COMPUTED_VALUE"""),262444.0)</f>
        <v>262444</v>
      </c>
      <c r="N18" s="180"/>
    </row>
    <row r="19">
      <c r="B19" s="250">
        <f>IFERROR(__xludf.DUMMYFUNCTION("""COMPUTED_VALUE"""),15356.0)</f>
        <v>15356</v>
      </c>
      <c r="C19" s="251" t="str">
        <f>IFERROR(__xludf.DUMMYFUNCTION("""COMPUTED_VALUE"""),"ANTIVÍRUS - Aquisição de licenças de solução de antivírus com suporte e atualização, para proteção contra ameaças externas (continua o 1366/2017, ID 15004)")</f>
        <v>ANTIVÍRUS - Aquisição de licenças de solução de antivírus com suporte e atualização, para proteção contra ameaças externas (continua o 1366/2017, ID 15004)</v>
      </c>
      <c r="D19" s="252" t="str">
        <f>IFERROR(__xludf.DUMMYFUNCTION("""COMPUTED_VALUE"""),"1 - Imprescindível")</f>
        <v>1 - Imprescindível</v>
      </c>
      <c r="E19" s="252" t="str">
        <f>IFERROR(__xludf.DUMMYFUNCTION("""COMPUTED_VALUE"""),"99 - Orçamentário")</f>
        <v>99 - Orçamentário</v>
      </c>
      <c r="F19" s="254"/>
      <c r="G19" s="254" t="str">
        <f>IFERROR(__xludf.DUMMYFUNCTION("""COMPUTED_VALUE"""),"9019/2021")</f>
        <v>9019/2021</v>
      </c>
      <c r="H19" s="253"/>
      <c r="I19" s="255">
        <f>IFERROR(__xludf.DUMMYFUNCTION("""COMPUTED_VALUE"""),45934.0)</f>
        <v>45934</v>
      </c>
      <c r="J19" s="255">
        <f>IFERROR(__xludf.DUMMYFUNCTION("""COMPUTED_VALUE"""),45934.0)</f>
        <v>45934</v>
      </c>
      <c r="K19" s="256">
        <f>IFERROR(__xludf.DUMMYFUNCTION("""COMPUTED_VALUE"""),126213.0)</f>
        <v>126213</v>
      </c>
      <c r="L19" s="256">
        <f>IFERROR(__xludf.DUMMYFUNCTION("""COMPUTED_VALUE"""),100000.0)</f>
        <v>100000</v>
      </c>
      <c r="M19" s="256">
        <f>IFERROR(__xludf.DUMMYFUNCTION("""COMPUTED_VALUE"""),192000.0)</f>
        <v>192000</v>
      </c>
      <c r="N19" s="180"/>
    </row>
    <row r="20">
      <c r="B20" s="250">
        <f>IFERROR(__xludf.DUMMYFUNCTION("""COMPUTED_VALUE"""),15151.0)</f>
        <v>15151</v>
      </c>
      <c r="C20" s="251" t="str">
        <f>IFERROR(__xludf.DUMMYFUNCTION("""COMPUTED_VALUE"""),"BANCO DE DADOS - Contratação de monitoramento remoto e suporte técnico para os bancos de dados Oracle, PostgreSQL e MySQL, contratado como item obrigatório do CSJT")</f>
        <v>BANCO DE DADOS - Contratação de monitoramento remoto e suporte técnico para os bancos de dados Oracle, PostgreSQL e MySQL, contratado como item obrigatório do CSJT</v>
      </c>
      <c r="D20" s="252" t="str">
        <f>IFERROR(__xludf.DUMMYFUNCTION("""COMPUTED_VALUE"""),"1 - Imprescindível")</f>
        <v>1 - Imprescindível</v>
      </c>
      <c r="E20" s="252" t="str">
        <f>IFERROR(__xludf.DUMMYFUNCTION("""COMPUTED_VALUE"""),"99 - Orçamentário")</f>
        <v>99 - Orçamentário</v>
      </c>
      <c r="F20" s="254"/>
      <c r="G20" s="254" t="str">
        <f>IFERROR(__xludf.DUMMYFUNCTION("""COMPUTED_VALUE"""),"9447/2017")</f>
        <v>9447/2017</v>
      </c>
      <c r="H20" s="253" t="str">
        <f>IFERROR(__xludf.DUMMYFUNCTION("""COMPUTED_VALUE"""),"Sim")</f>
        <v>Sim</v>
      </c>
      <c r="I20" s="255">
        <f>IFERROR(__xludf.DUMMYFUNCTION("""COMPUTED_VALUE"""),44958.0)</f>
        <v>44958</v>
      </c>
      <c r="J20" s="255">
        <f>IFERROR(__xludf.DUMMYFUNCTION("""COMPUTED_VALUE"""),44958.0)</f>
        <v>44958</v>
      </c>
      <c r="K20" s="256">
        <f>IFERROR(__xludf.DUMMYFUNCTION("""COMPUTED_VALUE"""),213267.0)</f>
        <v>213267</v>
      </c>
      <c r="L20" s="256">
        <f>IFERROR(__xludf.DUMMYFUNCTION("""COMPUTED_VALUE"""),213267.0)</f>
        <v>213267</v>
      </c>
      <c r="M20" s="256">
        <f>IFERROR(__xludf.DUMMYFUNCTION("""COMPUTED_VALUE"""),187200.0)</f>
        <v>187200</v>
      </c>
      <c r="N20" s="180"/>
    </row>
    <row r="21">
      <c r="B21" s="250">
        <f>IFERROR(__xludf.DUMMYFUNCTION("""COMPUTED_VALUE"""),15070.0)</f>
        <v>15070</v>
      </c>
      <c r="C21" s="251" t="str">
        <f>IFERROR(__xludf.DUMMYFUNCTION("""COMPUTED_VALUE"""),"REDE JT - Alt - Contratação de links para conexão da sede com as unidades do interior do estado.")</f>
        <v>REDE JT - Alt - Contratação de links para conexão da sede com as unidades do interior do estado.</v>
      </c>
      <c r="D21" s="252" t="str">
        <f>IFERROR(__xludf.DUMMYFUNCTION("""COMPUTED_VALUE"""),"1 - Imprescindível")</f>
        <v>1 - Imprescindível</v>
      </c>
      <c r="E21" s="252" t="str">
        <f>IFERROR(__xludf.DUMMYFUNCTION("""COMPUTED_VALUE"""),"99 - Orçamentário")</f>
        <v>99 - Orçamentário</v>
      </c>
      <c r="F21" s="254"/>
      <c r="G21" s="254" t="str">
        <f>IFERROR(__xludf.DUMMYFUNCTION("""COMPUTED_VALUE"""),"5910/2017")</f>
        <v>5910/2017</v>
      </c>
      <c r="H21" s="253" t="str">
        <f>IFERROR(__xludf.DUMMYFUNCTION("""COMPUTED_VALUE"""),"Não")</f>
        <v>Não</v>
      </c>
      <c r="I21" s="255"/>
      <c r="J21" s="255"/>
      <c r="K21" s="256">
        <f>IFERROR(__xludf.DUMMYFUNCTION("""COMPUTED_VALUE"""),211610.0)</f>
        <v>211610</v>
      </c>
      <c r="L21" s="256">
        <f>IFERROR(__xludf.DUMMYFUNCTION("""COMPUTED_VALUE"""),125208.18000000001)</f>
        <v>125208.18</v>
      </c>
      <c r="M21" s="256">
        <f>IFERROR(__xludf.DUMMYFUNCTION("""COMPUTED_VALUE"""),125208.18000000001)</f>
        <v>125208.18</v>
      </c>
      <c r="N21" s="180"/>
    </row>
    <row r="22">
      <c r="B22" s="250">
        <f>IFERROR(__xludf.DUMMYFUNCTION("""COMPUTED_VALUE"""),15379.0)</f>
        <v>15379</v>
      </c>
      <c r="C22" s="251" t="str">
        <f>IFERROR(__xludf.DUMMYFUNCTION("""COMPUTED_VALUE"""),"NOBREAKS BATERIAS - Aquisição baterias dos Nobreaks de 40kVA (SUVT)")</f>
        <v>NOBREAKS BATERIAS - Aquisição baterias dos Nobreaks de 40kVA (SUVT)</v>
      </c>
      <c r="D22" s="252" t="str">
        <f>IFERROR(__xludf.DUMMYFUNCTION("""COMPUTED_VALUE"""),"1 - Imprescindível")</f>
        <v>1 - Imprescindível</v>
      </c>
      <c r="E22" s="252" t="str">
        <f>IFERROR(__xludf.DUMMYFUNCTION("""COMPUTED_VALUE"""),"01 - Não oficializado")</f>
        <v>01 - Não oficializado</v>
      </c>
      <c r="F22" s="254"/>
      <c r="G22" s="254"/>
      <c r="H22" s="253"/>
      <c r="I22" s="255">
        <f>IFERROR(__xludf.DUMMYFUNCTION("""COMPUTED_VALUE"""),44795.0)</f>
        <v>44795</v>
      </c>
      <c r="J22" s="255">
        <f>IFERROR(__xludf.DUMMYFUNCTION("""COMPUTED_VALUE"""),44805.0)</f>
        <v>44805</v>
      </c>
      <c r="K22" s="256">
        <f>IFERROR(__xludf.DUMMYFUNCTION("""COMPUTED_VALUE"""),0.0)</f>
        <v>0</v>
      </c>
      <c r="L22" s="256">
        <f>IFERROR(__xludf.DUMMYFUNCTION("""COMPUTED_VALUE"""),165000.0)</f>
        <v>165000</v>
      </c>
      <c r="M22" s="256">
        <f>IFERROR(__xludf.DUMMYFUNCTION("""COMPUTED_VALUE"""),100000.0)</f>
        <v>100000</v>
      </c>
      <c r="N22" s="180"/>
    </row>
    <row r="23">
      <c r="B23" s="250">
        <f>IFERROR(__xludf.DUMMYFUNCTION("""COMPUTED_VALUE"""),15384.0)</f>
        <v>15384</v>
      </c>
      <c r="C23" s="251" t="str">
        <f>IFERROR(__xludf.DUMMYFUNCTION("""COMPUTED_VALUE"""),"SALA COFRE 2022 - Contratação de manutenção de sala cofre, que abriga o Datacenter principal, onde são armazenados todos os dados e os equipamentos de processamento de dados corporativos. ")</f>
        <v>SALA COFRE 2022 - Contratação de manutenção de sala cofre, que abriga o Datacenter principal, onde são armazenados todos os dados e os equipamentos de processamento de dados corporativos. </v>
      </c>
      <c r="D23" s="252" t="str">
        <f>IFERROR(__xludf.DUMMYFUNCTION("""COMPUTED_VALUE"""),"1 - Imprescindível")</f>
        <v>1 - Imprescindível</v>
      </c>
      <c r="E23" s="252" t="str">
        <f>IFERROR(__xludf.DUMMYFUNCTION("""COMPUTED_VALUE"""),"02 - DOD emitido")</f>
        <v>02 - DOD emitido</v>
      </c>
      <c r="F23" s="254" t="str">
        <f>IFERROR(__xludf.DUMMYFUNCTION("""COMPUTED_VALUE"""),"2207/2022")</f>
        <v>2207/2022</v>
      </c>
      <c r="G23" s="254"/>
      <c r="H23" s="253"/>
      <c r="I23" s="255">
        <f>IFERROR(__xludf.DUMMYFUNCTION("""COMPUTED_VALUE"""),44735.0)</f>
        <v>44735</v>
      </c>
      <c r="J23" s="255">
        <f>IFERROR(__xludf.DUMMYFUNCTION("""COMPUTED_VALUE"""),44845.0)</f>
        <v>44845</v>
      </c>
      <c r="K23" s="256"/>
      <c r="L23" s="256">
        <f>IFERROR(__xludf.DUMMYFUNCTION("""COMPUTED_VALUE"""),56293.5)</f>
        <v>56293.5</v>
      </c>
      <c r="M23" s="256">
        <f>IFERROR(__xludf.DUMMYFUNCTION("""COMPUTED_VALUE"""),68091.65333333332)</f>
        <v>68091.65333</v>
      </c>
      <c r="N23" s="180"/>
    </row>
    <row r="24">
      <c r="B24" s="250">
        <f>IFERROR(__xludf.DUMMYFUNCTION("""COMPUTED_VALUE"""),15357.0)</f>
        <v>15357</v>
      </c>
      <c r="C24" s="251" t="str">
        <f>IFERROR(__xludf.DUMMYFUNCTION("""COMPUTED_VALUE"""),"NOBREAKS SUVT 2022 - Suporte e manutenção dos nobreaks SUVT 40kVA do Datacenter e dos foros da Capital, de São José e da sede (substitui o 15019; há indicativo preliminar de que a aquisição de novos equipamentos pode ser mais vantajosa, o que será definid"&amp;"o pelo planejamento da contratação)")</f>
        <v>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D24" s="252" t="str">
        <f>IFERROR(__xludf.DUMMYFUNCTION("""COMPUTED_VALUE"""),"1 - Imprescindível")</f>
        <v>1 - Imprescindível</v>
      </c>
      <c r="E24" s="252" t="str">
        <f>IFERROR(__xludf.DUMMYFUNCTION("""COMPUTED_VALUE"""),"07 - Concluída")</f>
        <v>07 - Concluída</v>
      </c>
      <c r="F24" s="254" t="str">
        <f>IFERROR(__xludf.DUMMYFUNCTION("""COMPUTED_VALUE"""),"3551/2021")</f>
        <v>3551/2021</v>
      </c>
      <c r="G24" s="254" t="str">
        <f>IFERROR(__xludf.DUMMYFUNCTION("""COMPUTED_VALUE"""),"148/2022")</f>
        <v>148/2022</v>
      </c>
      <c r="H24" s="253" t="str">
        <f>IFERROR(__xludf.DUMMYFUNCTION("""COMPUTED_VALUE"""),"Não")</f>
        <v>Não</v>
      </c>
      <c r="I24" s="255">
        <f>IFERROR(__xludf.DUMMYFUNCTION("""COMPUTED_VALUE"""),44733.0)</f>
        <v>44733</v>
      </c>
      <c r="J24" s="255">
        <f>IFERROR(__xludf.DUMMYFUNCTION("""COMPUTED_VALUE"""),44743.0)</f>
        <v>44743</v>
      </c>
      <c r="K24" s="256">
        <f>IFERROR(__xludf.DUMMYFUNCTION("""COMPUTED_VALUE"""),131683.0)</f>
        <v>131683</v>
      </c>
      <c r="L24" s="256">
        <f>IFERROR(__xludf.DUMMYFUNCTION("""COMPUTED_VALUE"""),68563.0)</f>
        <v>68563</v>
      </c>
      <c r="M24" s="256">
        <f>IFERROR(__xludf.DUMMYFUNCTION("""COMPUTED_VALUE"""),65100.0)</f>
        <v>65100</v>
      </c>
      <c r="N24" s="180"/>
    </row>
    <row r="25">
      <c r="B25" s="250">
        <f>IFERROR(__xludf.DUMMYFUNCTION("""COMPUTED_VALUE"""),15353.0)</f>
        <v>15353</v>
      </c>
      <c r="C25" s="251" t="str">
        <f>IFERROR(__xludf.DUMMYFUNCTION("""COMPUTED_VALUE"""),"AUDIÊNCIAS ZOOM - Viabilizar a continuidade de audiências, sessões e reuniões por meio de videoconferências (Zoom)")</f>
        <v>AUDIÊNCIAS ZOOM - Viabilizar a continuidade de audiências, sessões e reuniões por meio de videoconferências (Zoom)</v>
      </c>
      <c r="D25" s="252" t="str">
        <f>IFERROR(__xludf.DUMMYFUNCTION("""COMPUTED_VALUE"""),"1 - Imprescindível")</f>
        <v>1 - Imprescindível</v>
      </c>
      <c r="E25" s="252" t="str">
        <f>IFERROR(__xludf.DUMMYFUNCTION("""COMPUTED_VALUE"""),"07 - Concluída")</f>
        <v>07 - Concluída</v>
      </c>
      <c r="F25" s="254" t="str">
        <f>IFERROR(__xludf.DUMMYFUNCTION("""COMPUTED_VALUE"""),"150/2022")</f>
        <v>150/2022</v>
      </c>
      <c r="G25" s="254" t="str">
        <f>IFERROR(__xludf.DUMMYFUNCTION("""COMPUTED_VALUE"""),"1038/2021")</f>
        <v>1038/2021</v>
      </c>
      <c r="H25" s="253" t="str">
        <f>IFERROR(__xludf.DUMMYFUNCTION("""COMPUTED_VALUE"""),"Não")</f>
        <v>Não</v>
      </c>
      <c r="I25" s="255">
        <f>IFERROR(__xludf.DUMMYFUNCTION("""COMPUTED_VALUE"""),44561.0)</f>
        <v>44561</v>
      </c>
      <c r="J25" s="255">
        <f>IFERROR(__xludf.DUMMYFUNCTION("""COMPUTED_VALUE"""),44651.0)</f>
        <v>44651</v>
      </c>
      <c r="K25" s="256">
        <f>IFERROR(__xludf.DUMMYFUNCTION("""COMPUTED_VALUE"""),56000.0)</f>
        <v>56000</v>
      </c>
      <c r="L25" s="256">
        <f>IFERROR(__xludf.DUMMYFUNCTION("""COMPUTED_VALUE"""),56001.0)</f>
        <v>56001</v>
      </c>
      <c r="M25" s="256">
        <f>IFERROR(__xludf.DUMMYFUNCTION("""COMPUTED_VALUE"""),55999.92)</f>
        <v>55999.92</v>
      </c>
      <c r="N25" s="180"/>
    </row>
    <row r="26">
      <c r="B26" s="250">
        <f>IFERROR(__xludf.DUMMYFUNCTION("""COMPUTED_VALUE"""),15383.0)</f>
        <v>15383</v>
      </c>
      <c r="C26" s="251" t="str">
        <f>IFERROR(__xludf.DUMMYFUNCTION("""COMPUTED_VALUE"""),"NUVEM GOOGLE - Contratação de licença de uso de serviço de nuvem de comunicação e colaboração (substitui 15072 e 15382)")</f>
        <v>NUVEM GOOGLE - Contratação de licença de uso de serviço de nuvem de comunicação e colaboração (substitui 15072 e 15382)</v>
      </c>
      <c r="D26" s="252" t="str">
        <f>IFERROR(__xludf.DUMMYFUNCTION("""COMPUTED_VALUE"""),"1 - Imprescindível")</f>
        <v>1 - Imprescindível</v>
      </c>
      <c r="E26" s="252" t="str">
        <f>IFERROR(__xludf.DUMMYFUNCTION("""COMPUTED_VALUE"""),"01 - Não oficializado")</f>
        <v>01 - Não oficializado</v>
      </c>
      <c r="F26" s="254"/>
      <c r="G26" s="254"/>
      <c r="H26" s="253"/>
      <c r="I26" s="255">
        <f>IFERROR(__xludf.DUMMYFUNCTION("""COMPUTED_VALUE"""),44863.0)</f>
        <v>44863</v>
      </c>
      <c r="J26" s="255">
        <f>IFERROR(__xludf.DUMMYFUNCTION("""COMPUTED_VALUE"""),44908.0)</f>
        <v>44908</v>
      </c>
      <c r="K26" s="256">
        <f>IFERROR(__xludf.DUMMYFUNCTION("""COMPUTED_VALUE"""),0.0)</f>
        <v>0</v>
      </c>
      <c r="L26" s="256">
        <f>IFERROR(__xludf.DUMMYFUNCTION("""COMPUTED_VALUE"""),15000.0)</f>
        <v>15000</v>
      </c>
      <c r="M26" s="256">
        <f>IFERROR(__xludf.DUMMYFUNCTION("""COMPUTED_VALUE"""),54920.0)</f>
        <v>54920</v>
      </c>
      <c r="N26" s="180"/>
    </row>
    <row r="27">
      <c r="B27" s="250">
        <f>IFERROR(__xludf.DUMMYFUNCTION("""COMPUTED_VALUE"""),15099.0)</f>
        <v>15099</v>
      </c>
      <c r="C27" s="251" t="str">
        <f>IFERROR(__xludf.DUMMYFUNCTION("""COMPUTED_VALUE"""),"RESERVA - Fundo de reserva e materiais diversos, para despesas imprevisíveis e reserva para capacitação a ser transferida tempestivamente à SEDUC")</f>
        <v>RESERVA - Fundo de reserva e materiais diversos, para despesas imprevisíveis e reserva para capacitação a ser transferida tempestivamente à SEDUC</v>
      </c>
      <c r="D27" s="252" t="str">
        <f>IFERROR(__xludf.DUMMYFUNCTION("""COMPUTED_VALUE"""),"1 - Imprescindível")</f>
        <v>1 - Imprescindível</v>
      </c>
      <c r="E27" s="252" t="str">
        <f>IFERROR(__xludf.DUMMYFUNCTION("""COMPUTED_VALUE"""),"01 - Não oficializado")</f>
        <v>01 - Não oficializado</v>
      </c>
      <c r="F27" s="254"/>
      <c r="G27" s="254"/>
      <c r="H27" s="253" t="str">
        <f>IFERROR(__xludf.DUMMYFUNCTION("""COMPUTED_VALUE"""),"Não")</f>
        <v>Não</v>
      </c>
      <c r="I27" s="255">
        <f>IFERROR(__xludf.DUMMYFUNCTION("""COMPUTED_VALUE"""),44795.0)</f>
        <v>44795</v>
      </c>
      <c r="J27" s="255">
        <f>IFERROR(__xludf.DUMMYFUNCTION("""COMPUTED_VALUE"""),44805.0)</f>
        <v>44805</v>
      </c>
      <c r="K27" s="256">
        <f>IFERROR(__xludf.DUMMYFUNCTION("""COMPUTED_VALUE"""),50000.0)</f>
        <v>50000</v>
      </c>
      <c r="L27" s="256">
        <f>IFERROR(__xludf.DUMMYFUNCTION("""COMPUTED_VALUE"""),50000.0)</f>
        <v>50000</v>
      </c>
      <c r="M27" s="256">
        <f>IFERROR(__xludf.DUMMYFUNCTION("""COMPUTED_VALUE"""),50000.0)</f>
        <v>50000</v>
      </c>
      <c r="N27" s="180"/>
    </row>
    <row r="28">
      <c r="B28" s="250">
        <f>IFERROR(__xludf.DUMMYFUNCTION("""COMPUTED_VALUE"""),15899.0)</f>
        <v>15899</v>
      </c>
      <c r="C28" s="251" t="str">
        <f>IFERROR(__xludf.DUMMYFUNCTION("""COMPUTED_VALUE"""),"NOBREAKS SYMMETRA - Suporte e manutenção de nobreaks do datacenter - SYMMETRA (complemento por mudança de CNPJ da contratada)")</f>
        <v>NOBREAKS SYMMETRA - Suporte e manutenção de nobreaks do datacenter - SYMMETRA (complemento por mudança de CNPJ da contratada)</v>
      </c>
      <c r="D28" s="252" t="str">
        <f>IFERROR(__xludf.DUMMYFUNCTION("""COMPUTED_VALUE"""),"1 - Imprescindível")</f>
        <v>1 - Imprescindível</v>
      </c>
      <c r="E28" s="252" t="str">
        <f>IFERROR(__xludf.DUMMYFUNCTION("""COMPUTED_VALUE"""),"99 - Orçamentário")</f>
        <v>99 - Orçamentário</v>
      </c>
      <c r="F28" s="254"/>
      <c r="G28" s="254" t="str">
        <f>IFERROR(__xludf.DUMMYFUNCTION("""COMPUTED_VALUE"""),"5228/2020")</f>
        <v>5228/2020</v>
      </c>
      <c r="H28" s="253"/>
      <c r="I28" s="255"/>
      <c r="J28" s="255"/>
      <c r="K28" s="256">
        <f>IFERROR(__xludf.DUMMYFUNCTION("""COMPUTED_VALUE"""),0.0)</f>
        <v>0</v>
      </c>
      <c r="L28" s="256"/>
      <c r="M28" s="256">
        <f>IFERROR(__xludf.DUMMYFUNCTION("""COMPUTED_VALUE"""),44431.85)</f>
        <v>44431.85</v>
      </c>
      <c r="N28" s="180"/>
    </row>
    <row r="29">
      <c r="B29" s="250">
        <f>IFERROR(__xludf.DUMMYFUNCTION("""COMPUTED_VALUE"""),15244.0)</f>
        <v>15244</v>
      </c>
      <c r="C29" s="251" t="str">
        <f>IFERROR(__xludf.DUMMYFUNCTION("""COMPUTED_VALUE"""),"SERPRO - Contratação de serviço web de acesso a dados")</f>
        <v>SERPRO - Contratação de serviço web de acesso a dados</v>
      </c>
      <c r="D29" s="252" t="str">
        <f>IFERROR(__xludf.DUMMYFUNCTION("""COMPUTED_VALUE"""),"1 - Imprescindível")</f>
        <v>1 - Imprescindível</v>
      </c>
      <c r="E29" s="252" t="str">
        <f>IFERROR(__xludf.DUMMYFUNCTION("""COMPUTED_VALUE"""),"99 - Orçamentário")</f>
        <v>99 - Orçamentário</v>
      </c>
      <c r="F29" s="254"/>
      <c r="G29" s="254" t="str">
        <f>IFERROR(__xludf.DUMMYFUNCTION("""COMPUTED_VALUE"""),"14060/2018")</f>
        <v>14060/2018</v>
      </c>
      <c r="H29" s="253" t="str">
        <f>IFERROR(__xludf.DUMMYFUNCTION("""COMPUTED_VALUE"""),"Não")</f>
        <v>Não</v>
      </c>
      <c r="I29" s="255">
        <f>IFERROR(__xludf.DUMMYFUNCTION("""COMPUTED_VALUE"""),45287.0)</f>
        <v>45287</v>
      </c>
      <c r="J29" s="255">
        <f>IFERROR(__xludf.DUMMYFUNCTION("""COMPUTED_VALUE"""),45287.0)</f>
        <v>45287</v>
      </c>
      <c r="K29" s="256">
        <f>IFERROR(__xludf.DUMMYFUNCTION("""COMPUTED_VALUE"""),40292.0)</f>
        <v>40292</v>
      </c>
      <c r="L29" s="256">
        <f>IFERROR(__xludf.DUMMYFUNCTION("""COMPUTED_VALUE"""),40292.0)</f>
        <v>40292</v>
      </c>
      <c r="M29" s="256">
        <f>IFERROR(__xludf.DUMMYFUNCTION("""COMPUTED_VALUE"""),43954.44)</f>
        <v>43954.44</v>
      </c>
      <c r="N29" s="180"/>
    </row>
    <row r="30">
      <c r="B30" s="250">
        <f>IFERROR(__xludf.DUMMYFUNCTION("""COMPUTED_VALUE"""),15315.0)</f>
        <v>15315</v>
      </c>
      <c r="C30" s="251" t="str">
        <f>IFERROR(__xludf.DUMMYFUNCTION("""COMPUTED_VALUE"""),"CERTIFICADOS PF - Aquisição de certificados digitais (tokens) para pessoa física, para todo o Estado")</f>
        <v>CERTIFICADOS PF - Aquisição de certificados digitais (tokens) para pessoa física, para todo o Estado</v>
      </c>
      <c r="D30" s="252" t="str">
        <f>IFERROR(__xludf.DUMMYFUNCTION("""COMPUTED_VALUE"""),"1 - Imprescindível")</f>
        <v>1 - Imprescindível</v>
      </c>
      <c r="E30" s="252" t="str">
        <f>IFERROR(__xludf.DUMMYFUNCTION("""COMPUTED_VALUE"""),"02 - DOD emitido")</f>
        <v>02 - DOD emitido</v>
      </c>
      <c r="F30" s="254" t="str">
        <f>IFERROR(__xludf.DUMMYFUNCTION("""COMPUTED_VALUE"""),"2836/2022")</f>
        <v>2836/2022</v>
      </c>
      <c r="G30" s="254" t="str">
        <f>IFERROR(__xludf.DUMMYFUNCTION("""COMPUTED_VALUE"""),"4057/2020")</f>
        <v>4057/2020</v>
      </c>
      <c r="H30" s="253" t="str">
        <f>IFERROR(__xludf.DUMMYFUNCTION("""COMPUTED_VALUE"""),"Sim")</f>
        <v>Sim</v>
      </c>
      <c r="I30" s="255">
        <f>IFERROR(__xludf.DUMMYFUNCTION("""COMPUTED_VALUE"""),44710.0)</f>
        <v>44710</v>
      </c>
      <c r="J30" s="255">
        <f>IFERROR(__xludf.DUMMYFUNCTION("""COMPUTED_VALUE"""),44800.0)</f>
        <v>44800</v>
      </c>
      <c r="K30" s="256">
        <f>IFERROR(__xludf.DUMMYFUNCTION("""COMPUTED_VALUE"""),42020.0)</f>
        <v>42020</v>
      </c>
      <c r="L30" s="256">
        <f>IFERROR(__xludf.DUMMYFUNCTION("""COMPUTED_VALUE"""),42020.0)</f>
        <v>42020</v>
      </c>
      <c r="M30" s="256">
        <f>IFERROR(__xludf.DUMMYFUNCTION("""COMPUTED_VALUE"""),42020.0)</f>
        <v>42020</v>
      </c>
      <c r="N30" s="180"/>
    </row>
    <row r="31">
      <c r="B31" s="250">
        <f>IFERROR(__xludf.DUMMYFUNCTION("""COMPUTED_VALUE"""),15373.0)</f>
        <v>15373</v>
      </c>
      <c r="C31" s="251" t="str">
        <f>IFERROR(__xludf.DUMMYFUNCTION("""COMPUTED_VALUE"""),"SO SUPORTE - Contratação de suporte e operação de infraestrutura de TIC/PJe - PO CSJT, inclui suporte Linux, contrato obrigatório dedicado ao PJe")</f>
        <v>SO SUPORTE - Contratação de suporte e operação de infraestrutura de TIC/PJe - PO CSJT, inclui suporte Linux, contrato obrigatório dedicado ao PJe</v>
      </c>
      <c r="D31" s="252" t="str">
        <f>IFERROR(__xludf.DUMMYFUNCTION("""COMPUTED_VALUE"""),"1 - Imprescindível")</f>
        <v>1 - Imprescindível</v>
      </c>
      <c r="E31" s="252" t="str">
        <f>IFERROR(__xludf.DUMMYFUNCTION("""COMPUTED_VALUE"""),"01 - Não oficializado")</f>
        <v>01 - Não oficializado</v>
      </c>
      <c r="F31" s="254"/>
      <c r="G31" s="254" t="str">
        <f>IFERROR(__xludf.DUMMYFUNCTION("""COMPUTED_VALUE"""),"6789/2021")</f>
        <v>6789/2021</v>
      </c>
      <c r="H31" s="253" t="str">
        <f>IFERROR(__xludf.DUMMYFUNCTION("""COMPUTED_VALUE"""),"Sim")</f>
        <v>Sim</v>
      </c>
      <c r="I31" s="255">
        <f>IFERROR(__xludf.DUMMYFUNCTION("""COMPUTED_VALUE"""),44779.0)</f>
        <v>44779</v>
      </c>
      <c r="J31" s="255">
        <f>IFERROR(__xludf.DUMMYFUNCTION("""COMPUTED_VALUE"""),44869.0)</f>
        <v>44869</v>
      </c>
      <c r="K31" s="256">
        <f>IFERROR(__xludf.DUMMYFUNCTION("""COMPUTED_VALUE"""),84000.0)</f>
        <v>84000</v>
      </c>
      <c r="L31" s="256">
        <f>IFERROR(__xludf.DUMMYFUNCTION("""COMPUTED_VALUE"""),42000.0)</f>
        <v>42000</v>
      </c>
      <c r="M31" s="256">
        <f>IFERROR(__xludf.DUMMYFUNCTION("""COMPUTED_VALUE"""),42000.0)</f>
        <v>42000</v>
      </c>
      <c r="N31" s="180"/>
    </row>
    <row r="32">
      <c r="B32" s="250">
        <f>IFERROR(__xludf.DUMMYFUNCTION("""COMPUTED_VALUE"""),15220.0)</f>
        <v>15220</v>
      </c>
      <c r="C32" s="251" t="str">
        <f>IFERROR(__xludf.DUMMYFUNCTION("""COMPUTED_VALUE"""),"NOBREAKS SURT - Suporte e manutenção dos nobreaks de varas e foros (SURT 15kVA)")</f>
        <v>NOBREAKS SURT - Suporte e manutenção dos nobreaks de varas e foros (SURT 15kVA)</v>
      </c>
      <c r="D32" s="252" t="str">
        <f>IFERROR(__xludf.DUMMYFUNCTION("""COMPUTED_VALUE"""),"1 - Imprescindível")</f>
        <v>1 - Imprescindível</v>
      </c>
      <c r="E32" s="252" t="str">
        <f>IFERROR(__xludf.DUMMYFUNCTION("""COMPUTED_VALUE"""),"01 - Não oficializado")</f>
        <v>01 - Não oficializado</v>
      </c>
      <c r="F32" s="254"/>
      <c r="G32" s="254" t="str">
        <f>IFERROR(__xludf.DUMMYFUNCTION("""COMPUTED_VALUE"""),"7005/2020")</f>
        <v>7005/2020</v>
      </c>
      <c r="H32" s="253" t="str">
        <f>IFERROR(__xludf.DUMMYFUNCTION("""COMPUTED_VALUE"""),"Sim")</f>
        <v>Sim</v>
      </c>
      <c r="I32" s="255">
        <f>IFERROR(__xludf.DUMMYFUNCTION("""COMPUTED_VALUE"""),44758.0)</f>
        <v>44758</v>
      </c>
      <c r="J32" s="255">
        <f>IFERROR(__xludf.DUMMYFUNCTION("""COMPUTED_VALUE"""),44848.0)</f>
        <v>44848</v>
      </c>
      <c r="K32" s="256">
        <f>IFERROR(__xludf.DUMMYFUNCTION("""COMPUTED_VALUE"""),34010.0)</f>
        <v>34010</v>
      </c>
      <c r="L32" s="256">
        <f>IFERROR(__xludf.DUMMYFUNCTION("""COMPUTED_VALUE"""),34010.0)</f>
        <v>34010</v>
      </c>
      <c r="M32" s="256">
        <f>IFERROR(__xludf.DUMMYFUNCTION("""COMPUTED_VALUE"""),32390.399999999998)</f>
        <v>32390.4</v>
      </c>
      <c r="N32" s="180"/>
    </row>
    <row r="33">
      <c r="B33" s="250">
        <f>IFERROR(__xludf.DUMMYFUNCTION("""COMPUTED_VALUE"""),15381.0)</f>
        <v>15381</v>
      </c>
      <c r="C33" s="251" t="str">
        <f>IFERROR(__xludf.DUMMYFUNCTION("""COMPUTED_VALUE"""),"INTERNET LINK 4 - Contratação de acesso corporativo à internet (substitui LINK 2)")</f>
        <v>INTERNET LINK 4 - Contratação de acesso corporativo à internet (substitui LINK 2)</v>
      </c>
      <c r="D33" s="252" t="str">
        <f>IFERROR(__xludf.DUMMYFUNCTION("""COMPUTED_VALUE"""),"1 - Imprescindível")</f>
        <v>1 - Imprescindível</v>
      </c>
      <c r="E33" s="252" t="str">
        <f>IFERROR(__xludf.DUMMYFUNCTION("""COMPUTED_VALUE"""),"99 - Orçamentário")</f>
        <v>99 - Orçamentário</v>
      </c>
      <c r="F33" s="254"/>
      <c r="G33" s="254" t="str">
        <f>IFERROR(__xludf.DUMMYFUNCTION("""COMPUTED_VALUE"""),"9016/2021")</f>
        <v>9016/2021</v>
      </c>
      <c r="H33" s="253"/>
      <c r="I33" s="255">
        <f>IFERROR(__xludf.DUMMYFUNCTION("""COMPUTED_VALUE"""),45435.0)</f>
        <v>45435</v>
      </c>
      <c r="J33" s="255">
        <f>IFERROR(__xludf.DUMMYFUNCTION("""COMPUTED_VALUE"""),45435.0)</f>
        <v>45435</v>
      </c>
      <c r="K33" s="256">
        <f>IFERROR(__xludf.DUMMYFUNCTION("""COMPUTED_VALUE"""),0.0)</f>
        <v>0</v>
      </c>
      <c r="L33" s="256">
        <f>IFERROR(__xludf.DUMMYFUNCTION("""COMPUTED_VALUE"""),10450.0)</f>
        <v>10450</v>
      </c>
      <c r="M33" s="256">
        <f>IFERROR(__xludf.DUMMYFUNCTION("""COMPUTED_VALUE"""),22800.0)</f>
        <v>22800</v>
      </c>
      <c r="N33" s="180"/>
    </row>
    <row r="34">
      <c r="B34" s="250">
        <f>IFERROR(__xludf.DUMMYFUNCTION("""COMPUTED_VALUE"""),15107.0)</f>
        <v>15107</v>
      </c>
      <c r="C34" s="251" t="str">
        <f>IFERROR(__xludf.DUMMYFUNCTION("""COMPUTED_VALUE"""),"SCANNER MANUTENÇÃO - Contratação de manutenção dos scanneres para remessa de processo ao TST - SECART (Kodak i4600 e Fujitsu fi-6800)")</f>
        <v>SCANNER MANUTENÇÃO - Contratação de manutenção dos scanneres para remessa de processo ao TST - SECART (Kodak i4600 e Fujitsu fi-6800)</v>
      </c>
      <c r="D34" s="252" t="str">
        <f>IFERROR(__xludf.DUMMYFUNCTION("""COMPUTED_VALUE"""),"1 - Imprescindível")</f>
        <v>1 - Imprescindível</v>
      </c>
      <c r="E34" s="252" t="str">
        <f>IFERROR(__xludf.DUMMYFUNCTION("""COMPUTED_VALUE"""),"01 - Não oficializado")</f>
        <v>01 - Não oficializado</v>
      </c>
      <c r="F34" s="254"/>
      <c r="G34" s="254" t="str">
        <f>IFERROR(__xludf.DUMMYFUNCTION("""COMPUTED_VALUE"""),"7373/2017")</f>
        <v>7373/2017</v>
      </c>
      <c r="H34" s="253" t="str">
        <f>IFERROR(__xludf.DUMMYFUNCTION("""COMPUTED_VALUE"""),"Sim")</f>
        <v>Sim</v>
      </c>
      <c r="I34" s="255">
        <f>IFERROR(__xludf.DUMMYFUNCTION("""COMPUTED_VALUE"""),44728.0)</f>
        <v>44728</v>
      </c>
      <c r="J34" s="255">
        <f>IFERROR(__xludf.DUMMYFUNCTION("""COMPUTED_VALUE"""),44818.0)</f>
        <v>44818</v>
      </c>
      <c r="K34" s="256">
        <f>IFERROR(__xludf.DUMMYFUNCTION("""COMPUTED_VALUE"""),30000.0)</f>
        <v>30000</v>
      </c>
      <c r="L34" s="256">
        <f>IFERROR(__xludf.DUMMYFUNCTION("""COMPUTED_VALUE"""),30000.0)</f>
        <v>30000</v>
      </c>
      <c r="M34" s="256">
        <f>IFERROR(__xludf.DUMMYFUNCTION("""COMPUTED_VALUE"""),17940.0)</f>
        <v>17940</v>
      </c>
      <c r="N34" s="180"/>
    </row>
    <row r="35">
      <c r="B35" s="250">
        <f>IFERROR(__xludf.DUMMYFUNCTION("""COMPUTED_VALUE"""),15392.0)</f>
        <v>15392</v>
      </c>
      <c r="C35" s="251" t="str">
        <f>IFERROR(__xludf.DUMMYFUNCTION("""COMPUTED_VALUE"""),"CENTRAL DE SERVIÇOS - Contratação de serviços de suporte de TIC em 1º e 2º níveis - 2019, para fornecimento de técnicos terceirizados para atendimento aos chamados de TIC, no Estado. (Reconhecimento de dívida de exercício anterior)")</f>
        <v>CENTRAL DE SERVIÇOS - Contratação de serviços de suporte de TIC em 1º e 2º níveis - 2019, para fornecimento de técnicos terceirizados para atendimento aos chamados de TIC, no Estado. (Reconhecimento de dívida de exercício anterior)</v>
      </c>
      <c r="D35" s="252" t="str">
        <f>IFERROR(__xludf.DUMMYFUNCTION("""COMPUTED_VALUE"""),"1 - Imprescindível")</f>
        <v>1 - Imprescindível</v>
      </c>
      <c r="E35" s="252" t="str">
        <f>IFERROR(__xludf.DUMMYFUNCTION("""COMPUTED_VALUE"""),"99 - Orçamentário")</f>
        <v>99 - Orçamentário</v>
      </c>
      <c r="F35" s="254"/>
      <c r="G35" s="254" t="str">
        <f>IFERROR(__xludf.DUMMYFUNCTION("""COMPUTED_VALUE"""),"3995/2019")</f>
        <v>3995/2019</v>
      </c>
      <c r="H35" s="253"/>
      <c r="I35" s="255"/>
      <c r="J35" s="255"/>
      <c r="K35" s="256">
        <f>IFERROR(__xludf.DUMMYFUNCTION("""COMPUTED_VALUE"""),0.0)</f>
        <v>0</v>
      </c>
      <c r="L35" s="256"/>
      <c r="M35" s="256">
        <f>IFERROR(__xludf.DUMMYFUNCTION("""COMPUTED_VALUE"""),11760.9)</f>
        <v>11760.9</v>
      </c>
      <c r="N35" s="180"/>
    </row>
    <row r="36">
      <c r="B36" s="250">
        <f>IFERROR(__xludf.DUMMYFUNCTION("""COMPUTED_VALUE"""),15019.0)</f>
        <v>15019</v>
      </c>
      <c r="C36" s="251" t="str">
        <f>IFERROR(__xludf.DUMMYFUNCTION("""COMPUTED_VALUE"""),"NOBREAKS SUVT 2016 - Suporte e manutenção dos nobreaks SUVT 40kVA do Datacenter e dos foros da Capital, de São José e da sede (prorrogação emergencial em 2021)")</f>
        <v>NOBREAKS SUVT 2016 - Suporte e manutenção dos nobreaks SUVT 40kVA do Datacenter e dos foros da Capital, de São José e da sede (prorrogação emergencial em 2021)</v>
      </c>
      <c r="D36" s="252" t="str">
        <f>IFERROR(__xludf.DUMMYFUNCTION("""COMPUTED_VALUE"""),"1 - Imprescindível")</f>
        <v>1 - Imprescindível</v>
      </c>
      <c r="E36" s="252" t="str">
        <f>IFERROR(__xludf.DUMMYFUNCTION("""COMPUTED_VALUE"""),"99 - Orçamentário")</f>
        <v>99 - Orçamentário</v>
      </c>
      <c r="F36" s="254"/>
      <c r="G36" s="254" t="str">
        <f>IFERROR(__xludf.DUMMYFUNCTION("""COMPUTED_VALUE"""),"12216/2016")</f>
        <v>12216/2016</v>
      </c>
      <c r="H36" s="253"/>
      <c r="I36" s="255">
        <f>IFERROR(__xludf.DUMMYFUNCTION("""COMPUTED_VALUE"""),44595.0)</f>
        <v>44595</v>
      </c>
      <c r="J36" s="255">
        <f>IFERROR(__xludf.DUMMYFUNCTION("""COMPUTED_VALUE"""),44595.0)</f>
        <v>44595</v>
      </c>
      <c r="K36" s="256">
        <f>IFERROR(__xludf.DUMMYFUNCTION("""COMPUTED_VALUE"""),0.0)</f>
        <v>0</v>
      </c>
      <c r="L36" s="256">
        <f>IFERROR(__xludf.DUMMYFUNCTION("""COMPUTED_VALUE"""),63120.0)</f>
        <v>63120</v>
      </c>
      <c r="M36" s="256">
        <f>IFERROR(__xludf.DUMMYFUNCTION("""COMPUTED_VALUE"""),11221.333333333334)</f>
        <v>11221.33333</v>
      </c>
      <c r="N36" s="180"/>
    </row>
    <row r="37">
      <c r="B37" s="250">
        <f>IFERROR(__xludf.DUMMYFUNCTION("""COMPUTED_VALUE"""),15369.0)</f>
        <v>15369</v>
      </c>
      <c r="C37" s="251" t="str">
        <f>IFERROR(__xludf.DUMMYFUNCTION("""COMPUTED_VALUE"""),"INTERNET LINK 3 - Contratação de acesso corporativo à internet (substitui LINK 1)")</f>
        <v>INTERNET LINK 3 - Contratação de acesso corporativo à internet (substitui LINK 1)</v>
      </c>
      <c r="D37" s="252" t="str">
        <f>IFERROR(__xludf.DUMMYFUNCTION("""COMPUTED_VALUE"""),"1 - Imprescindível")</f>
        <v>1 - Imprescindível</v>
      </c>
      <c r="E37" s="252" t="str">
        <f>IFERROR(__xludf.DUMMYFUNCTION("""COMPUTED_VALUE"""),"05 - PB enviado")</f>
        <v>05 - PB enviado</v>
      </c>
      <c r="F37" s="254" t="str">
        <f>IFERROR(__xludf.DUMMYFUNCTION("""COMPUTED_VALUE"""),"1358/2022")</f>
        <v>1358/2022</v>
      </c>
      <c r="G37" s="254" t="str">
        <f>IFERROR(__xludf.DUMMYFUNCTION("""COMPUTED_VALUE"""),"2049/2022")</f>
        <v>2049/2022</v>
      </c>
      <c r="H37" s="253"/>
      <c r="I37" s="255">
        <f>IFERROR(__xludf.DUMMYFUNCTION("""COMPUTED_VALUE"""),44647.0)</f>
        <v>44647</v>
      </c>
      <c r="J37" s="255">
        <f>IFERROR(__xludf.DUMMYFUNCTION("""COMPUTED_VALUE"""),44757.0)</f>
        <v>44757</v>
      </c>
      <c r="K37" s="256">
        <f>IFERROR(__xludf.DUMMYFUNCTION("""COMPUTED_VALUE"""),0.0)</f>
        <v>0</v>
      </c>
      <c r="L37" s="256">
        <f>IFERROR(__xludf.DUMMYFUNCTION("""COMPUTED_VALUE"""),22800.0)</f>
        <v>22800</v>
      </c>
      <c r="M37" s="256">
        <f>IFERROR(__xludf.DUMMYFUNCTION("""COMPUTED_VALUE"""),10450.0)</f>
        <v>10450</v>
      </c>
      <c r="N37" s="180"/>
    </row>
    <row r="38">
      <c r="B38" s="250">
        <f>IFERROR(__xludf.DUMMYFUNCTION("""COMPUTED_VALUE"""),15057.0)</f>
        <v>15057</v>
      </c>
      <c r="C38" s="251" t="str">
        <f>IFERROR(__xludf.DUMMYFUNCTION("""COMPUTED_VALUE"""),"INTERNET LINK 2 - Contratação de acesso corporativo à internet")</f>
        <v>INTERNET LINK 2 - Contratação de acesso corporativo à internet</v>
      </c>
      <c r="D38" s="252" t="str">
        <f>IFERROR(__xludf.DUMMYFUNCTION("""COMPUTED_VALUE"""),"1 - Imprescindível")</f>
        <v>1 - Imprescindível</v>
      </c>
      <c r="E38" s="252" t="str">
        <f>IFERROR(__xludf.DUMMYFUNCTION("""COMPUTED_VALUE"""),"99 - Orçamentário")</f>
        <v>99 - Orçamentário</v>
      </c>
      <c r="F38" s="254"/>
      <c r="G38" s="254" t="str">
        <f>IFERROR(__xludf.DUMMYFUNCTION("""COMPUTED_VALUE"""),"280/2020")</f>
        <v>280/2020</v>
      </c>
      <c r="H38" s="253" t="str">
        <f>IFERROR(__xludf.DUMMYFUNCTION("""COMPUTED_VALUE"""),"Sim")</f>
        <v>Sim</v>
      </c>
      <c r="I38" s="255">
        <f>IFERROR(__xludf.DUMMYFUNCTION("""COMPUTED_VALUE"""),44859.0)</f>
        <v>44859</v>
      </c>
      <c r="J38" s="255">
        <f>IFERROR(__xludf.DUMMYFUNCTION("""COMPUTED_VALUE"""),44859.0)</f>
        <v>44859</v>
      </c>
      <c r="K38" s="256">
        <f>IFERROR(__xludf.DUMMYFUNCTION("""COMPUTED_VALUE"""),12835.0)</f>
        <v>12835</v>
      </c>
      <c r="L38" s="256">
        <f>IFERROR(__xludf.DUMMYFUNCTION("""COMPUTED_VALUE"""),9350.0)</f>
        <v>9350</v>
      </c>
      <c r="M38" s="256">
        <f>IFERROR(__xludf.DUMMYFUNCTION("""COMPUTED_VALUE"""),9350.0)</f>
        <v>9350</v>
      </c>
      <c r="N38" s="180"/>
    </row>
    <row r="39">
      <c r="B39" s="250">
        <f>IFERROR(__xludf.DUMMYFUNCTION("""COMPUTED_VALUE"""),15314.0)</f>
        <v>15314</v>
      </c>
      <c r="C39" s="251" t="str">
        <f>IFERROR(__xludf.DUMMYFUNCTION("""COMPUTED_VALUE"""),"NOBREAKS SYMMETRA - Suporte e manutenção de nobreaks do datacenter - SYMMETRA")</f>
        <v>NOBREAKS SYMMETRA - Suporte e manutenção de nobreaks do datacenter - SYMMETRA</v>
      </c>
      <c r="D39" s="252" t="str">
        <f>IFERROR(__xludf.DUMMYFUNCTION("""COMPUTED_VALUE"""),"1 - Imprescindível")</f>
        <v>1 - Imprescindível</v>
      </c>
      <c r="E39" s="252" t="str">
        <f>IFERROR(__xludf.DUMMYFUNCTION("""COMPUTED_VALUE"""),"07 - Concluída")</f>
        <v>07 - Concluída</v>
      </c>
      <c r="F39" s="254" t="str">
        <f>IFERROR(__xludf.DUMMYFUNCTION("""COMPUTED_VALUE"""),"3731/2021")</f>
        <v>3731/2021</v>
      </c>
      <c r="G39" s="254" t="str">
        <f>IFERROR(__xludf.DUMMYFUNCTION("""COMPUTED_VALUE"""),"5228/2020")</f>
        <v>5228/2020</v>
      </c>
      <c r="H39" s="253" t="str">
        <f>IFERROR(__xludf.DUMMYFUNCTION("""COMPUTED_VALUE"""),"Sim")</f>
        <v>Sim</v>
      </c>
      <c r="I39" s="255">
        <f>IFERROR(__xludf.DUMMYFUNCTION("""COMPUTED_VALUE"""),44519.0)</f>
        <v>44519</v>
      </c>
      <c r="J39" s="255">
        <f>IFERROR(__xludf.DUMMYFUNCTION("""COMPUTED_VALUE"""),44609.0)</f>
        <v>44609</v>
      </c>
      <c r="K39" s="256">
        <f>IFERROR(__xludf.DUMMYFUNCTION("""COMPUTED_VALUE"""),104880.0)</f>
        <v>104880</v>
      </c>
      <c r="L39" s="256">
        <f>IFERROR(__xludf.DUMMYFUNCTION("""COMPUTED_VALUE"""),104880.0)</f>
        <v>104880</v>
      </c>
      <c r="M39" s="256">
        <f>IFERROR(__xludf.DUMMYFUNCTION("""COMPUTED_VALUE"""),8886.37)</f>
        <v>8886.37</v>
      </c>
      <c r="N39" s="180"/>
    </row>
    <row r="40">
      <c r="B40" s="250">
        <f>IFERROR(__xludf.DUMMYFUNCTION("""COMPUTED_VALUE"""),15259.0)</f>
        <v>15259</v>
      </c>
      <c r="C40" s="251" t="str">
        <f>IFERROR(__xludf.DUMMYFUNCTION("""COMPUTED_VALUE"""),"INTERNET LINK 1 - Contratação de acesso corporativo à internet")</f>
        <v>INTERNET LINK 1 - Contratação de acesso corporativo à internet</v>
      </c>
      <c r="D40" s="252" t="str">
        <f>IFERROR(__xludf.DUMMYFUNCTION("""COMPUTED_VALUE"""),"1 - Imprescindível")</f>
        <v>1 - Imprescindível</v>
      </c>
      <c r="E40" s="252" t="str">
        <f>IFERROR(__xludf.DUMMYFUNCTION("""COMPUTED_VALUE"""),"99 - Orçamentário")</f>
        <v>99 - Orçamentário</v>
      </c>
      <c r="F40" s="254"/>
      <c r="G40" s="254" t="str">
        <f>IFERROR(__xludf.DUMMYFUNCTION("""COMPUTED_VALUE"""),"8016/2019")</f>
        <v>8016/2019</v>
      </c>
      <c r="H40" s="253" t="str">
        <f>IFERROR(__xludf.DUMMYFUNCTION("""COMPUTED_VALUE"""),"Sim")</f>
        <v>Sim</v>
      </c>
      <c r="I40" s="255">
        <f>IFERROR(__xludf.DUMMYFUNCTION("""COMPUTED_VALUE"""),44726.0)</f>
        <v>44726</v>
      </c>
      <c r="J40" s="255">
        <f>IFERROR(__xludf.DUMMYFUNCTION("""COMPUTED_VALUE"""),44726.0)</f>
        <v>44726</v>
      </c>
      <c r="K40" s="256">
        <f>IFERROR(__xludf.DUMMYFUNCTION("""COMPUTED_VALUE"""),13617.0)</f>
        <v>13617</v>
      </c>
      <c r="L40" s="256">
        <f>IFERROR(__xludf.DUMMYFUNCTION("""COMPUTED_VALUE"""),6000.0)</f>
        <v>6000</v>
      </c>
      <c r="M40" s="256">
        <f>IFERROR(__xludf.DUMMYFUNCTION("""COMPUTED_VALUE"""),6000.0)</f>
        <v>6000</v>
      </c>
      <c r="N40" s="180"/>
    </row>
    <row r="41">
      <c r="B41" s="250">
        <f>IFERROR(__xludf.DUMMYFUNCTION("""COMPUTED_VALUE"""),15055.0)</f>
        <v>15055</v>
      </c>
      <c r="C41" s="251" t="str">
        <f>IFERROR(__xludf.DUMMYFUNCTION("""COMPUTED_VALUE"""),"CELESC - Contratação de uso de postes (passagem da fibra óptica - locação CELESC) para conexão redundante entre o datacenter principal e auxiliar (Sede/Utrillo)")</f>
        <v>CELESC - Contratação de uso de postes (passagem da fibra óptica - locação CELESC) para conexão redundante entre o datacenter principal e auxiliar (Sede/Utrillo)</v>
      </c>
      <c r="D41" s="252" t="str">
        <f>IFERROR(__xludf.DUMMYFUNCTION("""COMPUTED_VALUE"""),"1 - Imprescindível")</f>
        <v>1 - Imprescindível</v>
      </c>
      <c r="E41" s="252" t="str">
        <f>IFERROR(__xludf.DUMMYFUNCTION("""COMPUTED_VALUE"""),"99 - Orçamentário")</f>
        <v>99 - Orçamentário</v>
      </c>
      <c r="F41" s="254"/>
      <c r="G41" s="254" t="str">
        <f>IFERROR(__xludf.DUMMYFUNCTION("""COMPUTED_VALUE"""),"1674/2021")</f>
        <v>1674/2021</v>
      </c>
      <c r="H41" s="253" t="str">
        <f>IFERROR(__xludf.DUMMYFUNCTION("""COMPUTED_VALUE"""),"Não")</f>
        <v>Não</v>
      </c>
      <c r="I41" s="255"/>
      <c r="J41" s="255"/>
      <c r="K41" s="256">
        <f>IFERROR(__xludf.DUMMYFUNCTION("""COMPUTED_VALUE"""),4495.0)</f>
        <v>4495</v>
      </c>
      <c r="L41" s="256">
        <f>IFERROR(__xludf.DUMMYFUNCTION("""COMPUTED_VALUE"""),4495.0)</f>
        <v>4495</v>
      </c>
      <c r="M41" s="256">
        <f>IFERROR(__xludf.DUMMYFUNCTION("""COMPUTED_VALUE"""),4494.4800000000005)</f>
        <v>4494.48</v>
      </c>
      <c r="N41" s="180"/>
    </row>
    <row r="42">
      <c r="B42" s="250">
        <f>IFERROR(__xludf.DUMMYFUNCTION("""COMPUTED_VALUE"""),15254.0)</f>
        <v>15254</v>
      </c>
      <c r="C42" s="251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(CERTISIGN).")</f>
        <v>CERTIFICADOS PJ - Aquisição Certificados Digitais SSL (PJe, domínio trt12.jus.br e siscondj), obrigatório para estabelecer autenticação de confiança entre sistemas de informação. Exigido pela instituição bancária (CERTISIGN).</v>
      </c>
      <c r="D42" s="252" t="str">
        <f>IFERROR(__xludf.DUMMYFUNCTION("""COMPUTED_VALUE"""),"1 - Imprescindível")</f>
        <v>1 - Imprescindível</v>
      </c>
      <c r="E42" s="252" t="str">
        <f>IFERROR(__xludf.DUMMYFUNCTION("""COMPUTED_VALUE"""),"07 - Concluída")</f>
        <v>07 - Concluída</v>
      </c>
      <c r="F42" s="254" t="str">
        <f>IFERROR(__xludf.DUMMYFUNCTION("""COMPUTED_VALUE"""),"1891/2022")</f>
        <v>1891/2022</v>
      </c>
      <c r="G42" s="254" t="str">
        <f>IFERROR(__xludf.DUMMYFUNCTION("""COMPUTED_VALUE"""),"2832/2022")</f>
        <v>2832/2022</v>
      </c>
      <c r="H42" s="253" t="str">
        <f>IFERROR(__xludf.DUMMYFUNCTION("""COMPUTED_VALUE"""),"Não")</f>
        <v>Não</v>
      </c>
      <c r="I42" s="255">
        <f>IFERROR(__xludf.DUMMYFUNCTION("""COMPUTED_VALUE"""),44643.0)</f>
        <v>44643</v>
      </c>
      <c r="J42" s="255">
        <f>IFERROR(__xludf.DUMMYFUNCTION("""COMPUTED_VALUE"""),44653.0)</f>
        <v>44653</v>
      </c>
      <c r="K42" s="256">
        <f>IFERROR(__xludf.DUMMYFUNCTION("""COMPUTED_VALUE"""),7270.0)</f>
        <v>7270</v>
      </c>
      <c r="L42" s="256">
        <f>IFERROR(__xludf.DUMMYFUNCTION("""COMPUTED_VALUE"""),7270.0)</f>
        <v>7270</v>
      </c>
      <c r="M42" s="256">
        <f>IFERROR(__xludf.DUMMYFUNCTION("""COMPUTED_VALUE"""),1890.0)</f>
        <v>1890</v>
      </c>
      <c r="N42" s="180"/>
    </row>
    <row r="43">
      <c r="B43" s="250">
        <f>IFERROR(__xludf.DUMMYFUNCTION("""COMPUTED_VALUE"""),15896.0)</f>
        <v>15896</v>
      </c>
      <c r="C43" s="251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(HZ PORTAIS).")</f>
        <v>CERTIFICADOS PJ - Aquisição Certificados Digitais SSL (PJe, domínio trt12.jus.br e siscondj), obrigatório para estabelecer autenticação de confiança entre sistemas de informação. Exigido pela instituição bancária (HZ PORTAIS).</v>
      </c>
      <c r="D43" s="252" t="str">
        <f>IFERROR(__xludf.DUMMYFUNCTION("""COMPUTED_VALUE"""),"1 - Imprescindível")</f>
        <v>1 - Imprescindível</v>
      </c>
      <c r="E43" s="252" t="str">
        <f>IFERROR(__xludf.DUMMYFUNCTION("""COMPUTED_VALUE"""),"07 - Concluída")</f>
        <v>07 - Concluída</v>
      </c>
      <c r="F43" s="254" t="str">
        <f>IFERROR(__xludf.DUMMYFUNCTION("""COMPUTED_VALUE"""),"1891/2022")</f>
        <v>1891/2022</v>
      </c>
      <c r="G43" s="254" t="str">
        <f>IFERROR(__xludf.DUMMYFUNCTION("""COMPUTED_VALUE"""),"2832/2022")</f>
        <v>2832/2022</v>
      </c>
      <c r="H43" s="253"/>
      <c r="I43" s="255">
        <f>IFERROR(__xludf.DUMMYFUNCTION("""COMPUTED_VALUE"""),44643.0)</f>
        <v>44643</v>
      </c>
      <c r="J43" s="255">
        <f>IFERROR(__xludf.DUMMYFUNCTION("""COMPUTED_VALUE"""),44653.0)</f>
        <v>44653</v>
      </c>
      <c r="K43" s="256">
        <f>IFERROR(__xludf.DUMMYFUNCTION("""COMPUTED_VALUE"""),0.0)</f>
        <v>0</v>
      </c>
      <c r="L43" s="256"/>
      <c r="M43" s="256">
        <f>IFERROR(__xludf.DUMMYFUNCTION("""COMPUTED_VALUE"""),1265.4)</f>
        <v>1265.4</v>
      </c>
      <c r="N43" s="180"/>
    </row>
    <row r="44">
      <c r="B44" s="250">
        <f>IFERROR(__xludf.DUMMYFUNCTION("""COMPUTED_VALUE"""),15895.0)</f>
        <v>15895</v>
      </c>
      <c r="C44" s="251" t="str">
        <f>IFERROR(__xludf.DUMMYFUNCTION("""COMPUTED_VALUE"""),"SO - Contratação de suporte e operação de infraestrutura de TIC/PJe - PO CSJT, inclui suporte Linux, contrato obrigatório dedicado ao PJe (Reconhecimento de dívida de exercício anterior)")</f>
        <v>SO - Contratação de suporte e operação de infraestrutura de TIC/PJe - PO CSJT, inclui suporte Linux, contrato obrigatório dedicado ao PJe (Reconhecimento de dívida de exercício anterior)</v>
      </c>
      <c r="D44" s="252" t="str">
        <f>IFERROR(__xludf.DUMMYFUNCTION("""COMPUTED_VALUE"""),"1 - Imprescindível")</f>
        <v>1 - Imprescindível</v>
      </c>
      <c r="E44" s="252" t="str">
        <f>IFERROR(__xludf.DUMMYFUNCTION("""COMPUTED_VALUE"""),"99 - Orçamentário")</f>
        <v>99 - Orçamentário</v>
      </c>
      <c r="F44" s="254"/>
      <c r="G44" s="254" t="str">
        <f>IFERROR(__xludf.DUMMYFUNCTION("""COMPUTED_VALUE"""),"6789/2021")</f>
        <v>6789/2021</v>
      </c>
      <c r="H44" s="253"/>
      <c r="I44" s="255"/>
      <c r="J44" s="255"/>
      <c r="K44" s="256">
        <f>IFERROR(__xludf.DUMMYFUNCTION("""COMPUTED_VALUE"""),0.0)</f>
        <v>0</v>
      </c>
      <c r="L44" s="256"/>
      <c r="M44" s="256">
        <f>IFERROR(__xludf.DUMMYFUNCTION("""COMPUTED_VALUE"""),583.33)</f>
        <v>583.33</v>
      </c>
      <c r="N44" s="180"/>
    </row>
    <row r="45">
      <c r="B45" s="250">
        <f>IFERROR(__xludf.DUMMYFUNCTION("""COMPUTED_VALUE"""),15393.0)</f>
        <v>15393</v>
      </c>
      <c r="C45" s="251" t="str">
        <f>IFERROR(__xludf.DUMMYFUNCTION("""COMPUTED_VALUE"""),"AUDIÊNCIAS - Viabilizar a continuidade de audiências, sessões e reuniões por meio de videoconferências (Zoom) (Reconhecimento de dívida de exercício anterior)")</f>
        <v>AUDIÊNCIAS - Viabilizar a continuidade de audiências, sessões e reuniões por meio de videoconferências (Zoom) (Reconhecimento de dívida de exercício anterior)</v>
      </c>
      <c r="D45" s="252" t="str">
        <f>IFERROR(__xludf.DUMMYFUNCTION("""COMPUTED_VALUE"""),"1 - Imprescindível")</f>
        <v>1 - Imprescindível</v>
      </c>
      <c r="E45" s="252" t="str">
        <f>IFERROR(__xludf.DUMMYFUNCTION("""COMPUTED_VALUE"""),"99 - Orçamentário")</f>
        <v>99 - Orçamentário</v>
      </c>
      <c r="F45" s="254"/>
      <c r="G45" s="254" t="str">
        <f>IFERROR(__xludf.DUMMYFUNCTION("""COMPUTED_VALUE"""),"1038/2021")</f>
        <v>1038/2021</v>
      </c>
      <c r="H45" s="253"/>
      <c r="I45" s="255"/>
      <c r="J45" s="255"/>
      <c r="K45" s="256">
        <f>IFERROR(__xludf.DUMMYFUNCTION("""COMPUTED_VALUE"""),0.0)</f>
        <v>0</v>
      </c>
      <c r="L45" s="256"/>
      <c r="M45" s="256">
        <f>IFERROR(__xludf.DUMMYFUNCTION("""COMPUTED_VALUE"""),484.45)</f>
        <v>484.45</v>
      </c>
      <c r="N45" s="180"/>
    </row>
    <row r="46">
      <c r="B46" s="250">
        <f>IFERROR(__xludf.DUMMYFUNCTION("""COMPUTED_VALUE"""),15017.0)</f>
        <v>15017</v>
      </c>
      <c r="C46" s="251" t="str">
        <f>IFERROR(__xludf.DUMMYFUNCTION("""COMPUTED_VALUE"""),"NOBREAKS SURT - Suporte e manutenção dos nobreaks SURT 8kVA das Varas e Foros do interior ")</f>
        <v>NOBREAKS SURT - Suporte e manutenção dos nobreaks SURT 8kVA das Varas e Foros do interior </v>
      </c>
      <c r="D46" s="252" t="str">
        <f>IFERROR(__xludf.DUMMYFUNCTION("""COMPUTED_VALUE"""),"1 - Imprescindível")</f>
        <v>1 - Imprescindível</v>
      </c>
      <c r="E46" s="252" t="str">
        <f>IFERROR(__xludf.DUMMYFUNCTION("""COMPUTED_VALUE"""),"01 - Não oficializado")</f>
        <v>01 - Não oficializado</v>
      </c>
      <c r="F46" s="254"/>
      <c r="G46" s="254" t="str">
        <f>IFERROR(__xludf.DUMMYFUNCTION("""COMPUTED_VALUE"""),"5424/2017")</f>
        <v>5424/2017</v>
      </c>
      <c r="H46" s="253" t="str">
        <f>IFERROR(__xludf.DUMMYFUNCTION("""COMPUTED_VALUE"""),"Sim")</f>
        <v>Sim</v>
      </c>
      <c r="I46" s="255">
        <f>IFERROR(__xludf.DUMMYFUNCTION("""COMPUTED_VALUE"""),44652.0)</f>
        <v>44652</v>
      </c>
      <c r="J46" s="255">
        <f>IFERROR(__xludf.DUMMYFUNCTION("""COMPUTED_VALUE"""),44762.0)</f>
        <v>44762</v>
      </c>
      <c r="K46" s="256">
        <f>IFERROR(__xludf.DUMMYFUNCTION("""COMPUTED_VALUE"""),43200.0)</f>
        <v>43200</v>
      </c>
      <c r="L46" s="256">
        <f>IFERROR(__xludf.DUMMYFUNCTION("""COMPUTED_VALUE"""),0.0)</f>
        <v>0</v>
      </c>
      <c r="M46" s="256">
        <f>IFERROR(__xludf.DUMMYFUNCTION("""COMPUTED_VALUE"""),0.0)</f>
        <v>0</v>
      </c>
      <c r="N46" s="180"/>
    </row>
    <row r="47">
      <c r="B47" s="250">
        <f>IFERROR(__xludf.DUMMYFUNCTION("""COMPUTED_VALUE"""),15201.0)</f>
        <v>15201</v>
      </c>
      <c r="C47" s="251" t="str">
        <f>IFERROR(__xludf.DUMMYFUNCTION("""COMPUTED_VALUE"""),"NOBREAKS BATERIAS CANCELADA - Aquisição de conjunto de baterias seladas para nobreaks (quantitativo será alvo de estudo no planejamento da contratação)")</f>
        <v>NOBREAKS BATERIAS CANCELADA - Aquisição de conjunto de baterias seladas para nobreaks (quantitativo será alvo de estudo no planejamento da contratação)</v>
      </c>
      <c r="D47" s="252" t="str">
        <f>IFERROR(__xludf.DUMMYFUNCTION("""COMPUTED_VALUE"""),"1 - Imprescindível")</f>
        <v>1 - Imprescindível</v>
      </c>
      <c r="E47" s="252" t="str">
        <f>IFERROR(__xludf.DUMMYFUNCTION("""COMPUTED_VALUE"""),"01 - Não oficializado")</f>
        <v>01 - Não oficializado</v>
      </c>
      <c r="F47" s="254"/>
      <c r="G47" s="254"/>
      <c r="H47" s="253" t="str">
        <f>IFERROR(__xludf.DUMMYFUNCTION("""COMPUTED_VALUE"""),"Não")</f>
        <v>Não</v>
      </c>
      <c r="I47" s="255">
        <f>IFERROR(__xludf.DUMMYFUNCTION("""COMPUTED_VALUE"""),44695.0)</f>
        <v>44695</v>
      </c>
      <c r="J47" s="255">
        <f>IFERROR(__xludf.DUMMYFUNCTION("""COMPUTED_VALUE"""),44805.0)</f>
        <v>44805</v>
      </c>
      <c r="K47" s="256">
        <f>IFERROR(__xludf.DUMMYFUNCTION("""COMPUTED_VALUE"""),70000.0)</f>
        <v>70000</v>
      </c>
      <c r="L47" s="256">
        <f>IFERROR(__xludf.DUMMYFUNCTION("""COMPUTED_VALUE"""),0.0)</f>
        <v>0</v>
      </c>
      <c r="M47" s="256">
        <f>IFERROR(__xludf.DUMMYFUNCTION("""COMPUTED_VALUE"""),0.0)</f>
        <v>0</v>
      </c>
      <c r="N47" s="180"/>
    </row>
    <row r="48">
      <c r="B48" s="250">
        <f>IFERROR(__xludf.DUMMYFUNCTION("""COMPUTED_VALUE"""),15366.0)</f>
        <v>15366</v>
      </c>
      <c r="C48" s="251" t="str">
        <f>IFERROR(__xludf.DUMMYFUNCTION("""COMPUTED_VALUE"""),"MÍDIAS SERVIÇO - Contratação de serviço/espaço de armazenamento para mídias")</f>
        <v>MÍDIAS SERVIÇO - Contratação de serviço/espaço de armazenamento para mídias</v>
      </c>
      <c r="D48" s="252" t="str">
        <f>IFERROR(__xludf.DUMMYFUNCTION("""COMPUTED_VALUE"""),"1 - Imprescindível")</f>
        <v>1 - Imprescindível</v>
      </c>
      <c r="E48" s="252" t="str">
        <f>IFERROR(__xludf.DUMMYFUNCTION("""COMPUTED_VALUE"""),"01 - Não oficializado")</f>
        <v>01 - Não oficializado</v>
      </c>
      <c r="F48" s="254"/>
      <c r="G48" s="254"/>
      <c r="H48" s="253"/>
      <c r="I48" s="255">
        <f>IFERROR(__xludf.DUMMYFUNCTION("""COMPUTED_VALUE"""),44725.0)</f>
        <v>44725</v>
      </c>
      <c r="J48" s="255">
        <f>IFERROR(__xludf.DUMMYFUNCTION("""COMPUTED_VALUE"""),44835.0)</f>
        <v>44835</v>
      </c>
      <c r="K48" s="256">
        <f>IFERROR(__xludf.DUMMYFUNCTION("""COMPUTED_VALUE"""),100000.0)</f>
        <v>100000</v>
      </c>
      <c r="L48" s="256">
        <f>IFERROR(__xludf.DUMMYFUNCTION("""COMPUTED_VALUE"""),200000.0)</f>
        <v>200000</v>
      </c>
      <c r="M48" s="256">
        <f>IFERROR(__xludf.DUMMYFUNCTION("""COMPUTED_VALUE"""),0.0)</f>
        <v>0</v>
      </c>
      <c r="N48" s="180"/>
    </row>
    <row r="49">
      <c r="B49" s="250">
        <f>IFERROR(__xludf.DUMMYFUNCTION("""COMPUTED_VALUE"""),15382.0)</f>
        <v>15382</v>
      </c>
      <c r="C49" s="251" t="str">
        <f>IFERROR(__xludf.DUMMYFUNCTION("""COMPUTED_VALUE"""),"NUVEM GOOGLE 2 - Contratação de licença de uso de serviço de nuvem de comunicação e colaboração (varas), com ampliação do serviço de armazenamento em nuvem, dado que várias contas têm extrapolado o limite de 30GB estabelecido no contrato 11741/2017.")</f>
        <v>NUVEM GOOGLE 2 - Contratação de licença de uso de serviço de nuvem de comunicação e colaboração (varas), com ampliação do serviço de armazenamento em nuvem, dado que várias contas têm extrapolado o limite de 30GB estabelecido no contrato 11741/2017.</v>
      </c>
      <c r="D49" s="252" t="str">
        <f>IFERROR(__xludf.DUMMYFUNCTION("""COMPUTED_VALUE"""),"1 - Imprescindível")</f>
        <v>1 - Imprescindível</v>
      </c>
      <c r="E49" s="252" t="str">
        <f>IFERROR(__xludf.DUMMYFUNCTION("""COMPUTED_VALUE"""),"02 - DOD emitido")</f>
        <v>02 - DOD emitido</v>
      </c>
      <c r="F49" s="254" t="str">
        <f>IFERROR(__xludf.DUMMYFUNCTION("""COMPUTED_VALUE"""),"1175/2022")</f>
        <v>1175/2022</v>
      </c>
      <c r="G49" s="254"/>
      <c r="H49" s="253"/>
      <c r="I49" s="255">
        <f>IFERROR(__xludf.DUMMYFUNCTION("""COMPUTED_VALUE"""),44576.0)</f>
        <v>44576</v>
      </c>
      <c r="J49" s="255">
        <f>IFERROR(__xludf.DUMMYFUNCTION("""COMPUTED_VALUE"""),44621.0)</f>
        <v>44621</v>
      </c>
      <c r="K49" s="256">
        <f>IFERROR(__xludf.DUMMYFUNCTION("""COMPUTED_VALUE"""),0.0)</f>
        <v>0</v>
      </c>
      <c r="L49" s="256">
        <f>IFERROR(__xludf.DUMMYFUNCTION("""COMPUTED_VALUE"""),34000.0)</f>
        <v>34000</v>
      </c>
      <c r="M49" s="256">
        <f>IFERROR(__xludf.DUMMYFUNCTION("""COMPUTED_VALUE"""),0.0)</f>
        <v>0</v>
      </c>
      <c r="N49" s="180"/>
    </row>
    <row r="50">
      <c r="B50" s="250">
        <f>IFERROR(__xludf.DUMMYFUNCTION("""COMPUTED_VALUE"""),15391.0)</f>
        <v>15391</v>
      </c>
      <c r="C50" s="251" t="str">
        <f>IFERROR(__xludf.DUMMYFUNCTION("""COMPUTED_VALUE"""),"BACKUP SOFTWARE - Licença para software de backup")</f>
        <v>BACKUP SOFTWARE - Licença para software de backup</v>
      </c>
      <c r="D50" s="252" t="str">
        <f>IFERROR(__xludf.DUMMYFUNCTION("""COMPUTED_VALUE"""),"1 - Imprescindível")</f>
        <v>1 - Imprescindível</v>
      </c>
      <c r="E50" s="252" t="str">
        <f>IFERROR(__xludf.DUMMYFUNCTION("""COMPUTED_VALUE"""),"01 - Não oficializado")</f>
        <v>01 - Não oficializado</v>
      </c>
      <c r="F50" s="254"/>
      <c r="G50" s="254"/>
      <c r="H50" s="253"/>
      <c r="I50" s="255">
        <f>IFERROR(__xludf.DUMMYFUNCTION("""COMPUTED_VALUE"""),44941.0)</f>
        <v>44941</v>
      </c>
      <c r="J50" s="255">
        <f>IFERROR(__xludf.DUMMYFUNCTION("""COMPUTED_VALUE"""),44986.0)</f>
        <v>44986</v>
      </c>
      <c r="K50" s="256">
        <f>IFERROR(__xludf.DUMMYFUNCTION("""COMPUTED_VALUE"""),0.0)</f>
        <v>0</v>
      </c>
      <c r="L50" s="256"/>
      <c r="M50" s="256">
        <f>IFERROR(__xludf.DUMMYFUNCTION("""COMPUTED_VALUE"""),0.0)</f>
        <v>0</v>
      </c>
      <c r="N50" s="180"/>
    </row>
    <row r="51">
      <c r="B51" s="250">
        <f>IFERROR(__xludf.DUMMYFUNCTION("""COMPUTED_VALUE"""),15361.0)</f>
        <v>15361</v>
      </c>
      <c r="C51" s="251" t="str">
        <f>IFERROR(__xludf.DUMMYFUNCTION("""COMPUTED_VALUE"""),"MICROCOMPUTADORES - Aquisição de microcomputadores modelo mini desktop tipo 2 com wi-fi")</f>
        <v>MICROCOMPUTADORES - Aquisição de microcomputadores modelo mini desktop tipo 2 com wi-fi</v>
      </c>
      <c r="D51" s="252" t="str">
        <f>IFERROR(__xludf.DUMMYFUNCTION("""COMPUTED_VALUE"""),"2 - Importante")</f>
        <v>2 - Importante</v>
      </c>
      <c r="E51" s="252" t="str">
        <f>IFERROR(__xludf.DUMMYFUNCTION("""COMPUTED_VALUE"""),"02 - DOD emitido")</f>
        <v>02 - DOD emitido</v>
      </c>
      <c r="F51" s="254" t="str">
        <f>IFERROR(__xludf.DUMMYFUNCTION("""COMPUTED_VALUE"""),"9944/2021")</f>
        <v>9944/2021</v>
      </c>
      <c r="G51" s="254"/>
      <c r="H51" s="253"/>
      <c r="I51" s="255">
        <f>IFERROR(__xludf.DUMMYFUNCTION("""COMPUTED_VALUE"""),44698.0)</f>
        <v>44698</v>
      </c>
      <c r="J51" s="255">
        <f>IFERROR(__xludf.DUMMYFUNCTION("""COMPUTED_VALUE"""),44743.0)</f>
        <v>44743</v>
      </c>
      <c r="K51" s="256">
        <f>IFERROR(__xludf.DUMMYFUNCTION("""COMPUTED_VALUE"""),4472267.0)</f>
        <v>4472267</v>
      </c>
      <c r="L51" s="256">
        <f>IFERROR(__xludf.DUMMYFUNCTION("""COMPUTED_VALUE"""),3037300.0)</f>
        <v>3037300</v>
      </c>
      <c r="M51" s="256">
        <f>IFERROR(__xludf.DUMMYFUNCTION("""COMPUTED_VALUE"""),3037300.0)</f>
        <v>3037300</v>
      </c>
      <c r="N51" s="180"/>
    </row>
    <row r="52">
      <c r="B52" s="188">
        <f>IFERROR(__xludf.DUMMYFUNCTION("""COMPUTED_VALUE"""),15347.0)</f>
        <v>15347</v>
      </c>
      <c r="C52" s="181" t="str">
        <f>IFERROR(__xludf.DUMMYFUNCTION("""COMPUTED_VALUE"""),"SEGURANÇA MANUTENÇÃO - Contratação de serviços de manutenção preventiva e corretiva, com eventual fornecimento de peças de reposição, para as câmeras IP e outros equipamentos que compõem o sistema de imagens de segurança.")</f>
        <v>SEGURANÇA MANUTENÇÃO - Contratação de serviços de manutenção preventiva e corretiva, com eventual fornecimento de peças de reposição, para as câmeras IP e outros equipamentos que compõem o sistema de imagens de segurança.</v>
      </c>
      <c r="D52" s="180" t="str">
        <f>IFERROR(__xludf.DUMMYFUNCTION("""COMPUTED_VALUE"""),"2 - Importante")</f>
        <v>2 - Importante</v>
      </c>
      <c r="E52" s="180" t="str">
        <f>IFERROR(__xludf.DUMMYFUNCTION("""COMPUTED_VALUE"""),"01 - Não oficializado")</f>
        <v>01 - Não oficializado</v>
      </c>
      <c r="F52" s="184"/>
      <c r="G52" s="184"/>
      <c r="H52" s="240" t="str">
        <f>IFERROR(__xludf.DUMMYFUNCTION("""COMPUTED_VALUE"""),"Não")</f>
        <v>Não</v>
      </c>
      <c r="I52" s="264">
        <f>IFERROR(__xludf.DUMMYFUNCTION("""COMPUTED_VALUE"""),44632.0)</f>
        <v>44632</v>
      </c>
      <c r="J52" s="264">
        <f>IFERROR(__xludf.DUMMYFUNCTION("""COMPUTED_VALUE"""),44742.0)</f>
        <v>44742</v>
      </c>
      <c r="K52" s="244">
        <f>IFERROR(__xludf.DUMMYFUNCTION("""COMPUTED_VALUE"""),258600.0)</f>
        <v>258600</v>
      </c>
      <c r="L52" s="244">
        <f>IFERROR(__xludf.DUMMYFUNCTION("""COMPUTED_VALUE"""),258600.0)</f>
        <v>258600</v>
      </c>
      <c r="M52" s="244">
        <f>IFERROR(__xludf.DUMMYFUNCTION("""COMPUTED_VALUE"""),258600.0)</f>
        <v>258600</v>
      </c>
      <c r="N52" s="180"/>
    </row>
    <row r="53">
      <c r="B53" s="188">
        <f>IFERROR(__xludf.DUMMYFUNCTION("""COMPUTED_VALUE"""),15374.0)</f>
        <v>15374</v>
      </c>
      <c r="C53" s="181" t="str">
        <f>IFERROR(__xludf.DUMMYFUNCTION("""COMPUTED_VALUE"""),"VIDEOCONFERÊNCIAS EQUIPAMENTOS - Aquisição de câmeras com microfone")</f>
        <v>VIDEOCONFERÊNCIAS EQUIPAMENTOS - Aquisição de câmeras com microfone</v>
      </c>
      <c r="D53" s="180" t="str">
        <f>IFERROR(__xludf.DUMMYFUNCTION("""COMPUTED_VALUE"""),"2 - Importante")</f>
        <v>2 - Importante</v>
      </c>
      <c r="E53" s="180" t="str">
        <f>IFERROR(__xludf.DUMMYFUNCTION("""COMPUTED_VALUE"""),"02 - DOD emitido")</f>
        <v>02 - DOD emitido</v>
      </c>
      <c r="F53" s="184" t="str">
        <f>IFERROR(__xludf.DUMMYFUNCTION("""COMPUTED_VALUE"""),"8623/2021")</f>
        <v>8623/2021</v>
      </c>
      <c r="G53" s="184"/>
      <c r="H53" s="240"/>
      <c r="I53" s="264">
        <f>IFERROR(__xludf.DUMMYFUNCTION("""COMPUTED_VALUE"""),44697.0)</f>
        <v>44697</v>
      </c>
      <c r="J53" s="264">
        <f>IFERROR(__xludf.DUMMYFUNCTION("""COMPUTED_VALUE"""),44742.0)</f>
        <v>44742</v>
      </c>
      <c r="K53" s="244">
        <f>IFERROR(__xludf.DUMMYFUNCTION("""COMPUTED_VALUE"""),0.0)</f>
        <v>0</v>
      </c>
      <c r="L53" s="244">
        <f>IFERROR(__xludf.DUMMYFUNCTION("""COMPUTED_VALUE"""),136300.0)</f>
        <v>136300</v>
      </c>
      <c r="M53" s="244">
        <f>IFERROR(__xludf.DUMMYFUNCTION("""COMPUTED_VALUE"""),136300.0)</f>
        <v>136300</v>
      </c>
      <c r="N53" s="180"/>
    </row>
    <row r="54">
      <c r="B54" s="188">
        <f>IFERROR(__xludf.DUMMYFUNCTION("""COMPUTED_VALUE"""),15362.0)</f>
        <v>15362</v>
      </c>
      <c r="C54" s="181" t="str">
        <f>IFERROR(__xludf.DUMMYFUNCTION("""COMPUTED_VALUE"""),"IMPRESSORAS - Aquisição de impressoras de pequeno porte convencionais")</f>
        <v>IMPRESSORAS - Aquisição de impressoras de pequeno porte convencionais</v>
      </c>
      <c r="D54" s="180" t="str">
        <f>IFERROR(__xludf.DUMMYFUNCTION("""COMPUTED_VALUE"""),"2 - Importante")</f>
        <v>2 - Importante</v>
      </c>
      <c r="E54" s="180" t="str">
        <f>IFERROR(__xludf.DUMMYFUNCTION("""COMPUTED_VALUE"""),"01 - Não oficializado")</f>
        <v>01 - Não oficializado</v>
      </c>
      <c r="F54" s="184"/>
      <c r="G54" s="184"/>
      <c r="H54" s="240"/>
      <c r="I54" s="264">
        <f>IFERROR(__xludf.DUMMYFUNCTION("""COMPUTED_VALUE"""),44698.0)</f>
        <v>44698</v>
      </c>
      <c r="J54" s="264">
        <f>IFERROR(__xludf.DUMMYFUNCTION("""COMPUTED_VALUE"""),44743.0)</f>
        <v>44743</v>
      </c>
      <c r="K54" s="244">
        <f>IFERROR(__xludf.DUMMYFUNCTION("""COMPUTED_VALUE"""),568600.0)</f>
        <v>568600</v>
      </c>
      <c r="L54" s="244">
        <f>IFERROR(__xludf.DUMMYFUNCTION("""COMPUTED_VALUE"""),118338.70000000001)</f>
        <v>118338.7</v>
      </c>
      <c r="M54" s="244">
        <f>IFERROR(__xludf.DUMMYFUNCTION("""COMPUTED_VALUE"""),118338.70000000001)</f>
        <v>118338.7</v>
      </c>
      <c r="N54" s="180"/>
    </row>
    <row r="55">
      <c r="B55" s="188">
        <f>IFERROR(__xludf.DUMMYFUNCTION("""COMPUTED_VALUE"""),15329.0)</f>
        <v>15329</v>
      </c>
      <c r="C55" s="181" t="str">
        <f>IFERROR(__xludf.DUMMYFUNCTION("""COMPUTED_VALUE"""),"DRUPAL SUPORTE - Suporte técnico para o portal de internet e intranet do TRT12, em tecnologia DRUPAL 8")</f>
        <v>DRUPAL SUPORTE - Suporte técnico para o portal de internet e intranet do TRT12, em tecnologia DRUPAL 8</v>
      </c>
      <c r="D55" s="180" t="str">
        <f>IFERROR(__xludf.DUMMYFUNCTION("""COMPUTED_VALUE"""),"2 - Importante")</f>
        <v>2 - Importante</v>
      </c>
      <c r="E55" s="180" t="str">
        <f>IFERROR(__xludf.DUMMYFUNCTION("""COMPUTED_VALUE"""),"02 - DOD emitido")</f>
        <v>02 - DOD emitido</v>
      </c>
      <c r="F55" s="184" t="str">
        <f>IFERROR(__xludf.DUMMYFUNCTION("""COMPUTED_VALUE"""),"12196/2021")</f>
        <v>12196/2021</v>
      </c>
      <c r="G55" s="184"/>
      <c r="H55" s="240" t="str">
        <f>IFERROR(__xludf.DUMMYFUNCTION("""COMPUTED_VALUE"""),"Não")</f>
        <v>Não</v>
      </c>
      <c r="I55" s="264">
        <f>IFERROR(__xludf.DUMMYFUNCTION("""COMPUTED_VALUE"""),44511.0)</f>
        <v>44511</v>
      </c>
      <c r="J55" s="264">
        <f>IFERROR(__xludf.DUMMYFUNCTION("""COMPUTED_VALUE"""),44621.0)</f>
        <v>44621</v>
      </c>
      <c r="K55" s="244">
        <f>IFERROR(__xludf.DUMMYFUNCTION("""COMPUTED_VALUE"""),68250.0)</f>
        <v>68250</v>
      </c>
      <c r="L55" s="244">
        <f>IFERROR(__xludf.DUMMYFUNCTION("""COMPUTED_VALUE"""),75000.0)</f>
        <v>75000</v>
      </c>
      <c r="M55" s="244">
        <f>IFERROR(__xludf.DUMMYFUNCTION("""COMPUTED_VALUE"""),76800.0)</f>
        <v>76800</v>
      </c>
      <c r="N55" s="180"/>
    </row>
    <row r="56">
      <c r="B56" s="188">
        <f>IFERROR(__xludf.DUMMYFUNCTION("""COMPUTED_VALUE"""),15308.0)</f>
        <v>15308</v>
      </c>
      <c r="C56" s="181" t="str">
        <f>IFERROR(__xludf.DUMMYFUNCTION("""COMPUTED_VALUE"""),"SEGURANÇA SUPORTE - Continuidade do serviço de suporte técnico do Sistema de Softwares de Segurança em uso nas unidades do TRT/SC (SENIOR)")</f>
        <v>SEGURANÇA SUPORTE - Continuidade do serviço de suporte técnico do Sistema de Softwares de Segurança em uso nas unidades do TRT/SC (SENIOR)</v>
      </c>
      <c r="D56" s="180" t="str">
        <f>IFERROR(__xludf.DUMMYFUNCTION("""COMPUTED_VALUE"""),"2 - Importante")</f>
        <v>2 - Importante</v>
      </c>
      <c r="E56" s="180" t="str">
        <f>IFERROR(__xludf.DUMMYFUNCTION("""COMPUTED_VALUE"""),"01 - Não oficializado")</f>
        <v>01 - Não oficializado</v>
      </c>
      <c r="F56" s="184"/>
      <c r="G56" s="184" t="str">
        <f>IFERROR(__xludf.DUMMYFUNCTION("""COMPUTED_VALUE"""),"7825/2020")</f>
        <v>7825/2020</v>
      </c>
      <c r="H56" s="240" t="str">
        <f>IFERROR(__xludf.DUMMYFUNCTION("""COMPUTED_VALUE"""),"Sim")</f>
        <v>Sim</v>
      </c>
      <c r="I56" s="264">
        <f>IFERROR(__xludf.DUMMYFUNCTION("""COMPUTED_VALUE"""),44745.0)</f>
        <v>44745</v>
      </c>
      <c r="J56" s="264">
        <f>IFERROR(__xludf.DUMMYFUNCTION("""COMPUTED_VALUE"""),44835.0)</f>
        <v>44835</v>
      </c>
      <c r="K56" s="244">
        <f>IFERROR(__xludf.DUMMYFUNCTION("""COMPUTED_VALUE"""),66000.0)</f>
        <v>66000</v>
      </c>
      <c r="L56" s="244">
        <f>IFERROR(__xludf.DUMMYFUNCTION("""COMPUTED_VALUE"""),70000.0)</f>
        <v>70000</v>
      </c>
      <c r="M56" s="244">
        <f>IFERROR(__xludf.DUMMYFUNCTION("""COMPUTED_VALUE"""),64215.96)</f>
        <v>64215.96</v>
      </c>
      <c r="N56" s="180"/>
    </row>
    <row r="57">
      <c r="B57" s="188">
        <f>IFERROR(__xludf.DUMMYFUNCTION("""COMPUTED_VALUE"""),15166.0)</f>
        <v>15166</v>
      </c>
      <c r="C57" s="181" t="str">
        <f>IFERROR(__xludf.DUMMYFUNCTION("""COMPUTED_VALUE"""),"ADOBE LICENÇAS - Manutenção da LICENÇA DE SOFTWARE PACOTE ADOBE - EJUD e SECOM (para 3 anos)")</f>
        <v>ADOBE LICENÇAS - Manutenção da LICENÇA DE SOFTWARE PACOTE ADOBE - EJUD e SECOM (para 3 anos)</v>
      </c>
      <c r="D57" s="180" t="str">
        <f>IFERROR(__xludf.DUMMYFUNCTION("""COMPUTED_VALUE"""),"2 - Importante")</f>
        <v>2 - Importante</v>
      </c>
      <c r="E57" s="180" t="str">
        <f>IFERROR(__xludf.DUMMYFUNCTION("""COMPUTED_VALUE"""),"07 - Concluída")</f>
        <v>07 - Concluída</v>
      </c>
      <c r="F57" s="184" t="str">
        <f>IFERROR(__xludf.DUMMYFUNCTION("""COMPUTED_VALUE"""),"10620/2020")</f>
        <v>10620/2020</v>
      </c>
      <c r="G57" s="184" t="str">
        <f>IFERROR(__xludf.DUMMYFUNCTION("""COMPUTED_VALUE"""),"447/2022")</f>
        <v>447/2022</v>
      </c>
      <c r="H57" s="240" t="str">
        <f>IFERROR(__xludf.DUMMYFUNCTION("""COMPUTED_VALUE"""),"Não")</f>
        <v>Não</v>
      </c>
      <c r="I57" s="264">
        <f>IFERROR(__xludf.DUMMYFUNCTION("""COMPUTED_VALUE"""),44536.0)</f>
        <v>44536</v>
      </c>
      <c r="J57" s="264">
        <f>IFERROR(__xludf.DUMMYFUNCTION("""COMPUTED_VALUE"""),44581.0)</f>
        <v>44581</v>
      </c>
      <c r="K57" s="244">
        <f>IFERROR(__xludf.DUMMYFUNCTION("""COMPUTED_VALUE"""),72851.0)</f>
        <v>72851</v>
      </c>
      <c r="L57" s="244">
        <f>IFERROR(__xludf.DUMMYFUNCTION("""COMPUTED_VALUE"""),72851.0)</f>
        <v>72851</v>
      </c>
      <c r="M57" s="244">
        <f>IFERROR(__xludf.DUMMYFUNCTION("""COMPUTED_VALUE"""),59760.0)</f>
        <v>59760</v>
      </c>
      <c r="N57" s="180"/>
    </row>
    <row r="58">
      <c r="B58" s="188">
        <f>IFERROR(__xludf.DUMMYFUNCTION("""COMPUTED_VALUE"""),15389.0)</f>
        <v>15389</v>
      </c>
      <c r="C58" s="181" t="str">
        <f>IFERROR(__xludf.DUMMYFUNCTION("""COMPUTED_VALUE"""),"ASSYST - Contratação de suporte e atualização de licenças da solução de gerenciamento de serviços e registro de chamadas de TIC (2022)")</f>
        <v>ASSYST - Contratação de suporte e atualização de licenças da solução de gerenciamento de serviços e registro de chamadas de TIC (2022)</v>
      </c>
      <c r="D58" s="180" t="str">
        <f>IFERROR(__xludf.DUMMYFUNCTION("""COMPUTED_VALUE"""),"2 - Importante")</f>
        <v>2 - Importante</v>
      </c>
      <c r="E58" s="180" t="str">
        <f>IFERROR(__xludf.DUMMYFUNCTION("""COMPUTED_VALUE"""),"02 - DOD emitido")</f>
        <v>02 - DOD emitido</v>
      </c>
      <c r="F58" s="184" t="str">
        <f>IFERROR(__xludf.DUMMYFUNCTION("""COMPUTED_VALUE"""),"1353/2022")</f>
        <v>1353/2022</v>
      </c>
      <c r="G58" s="184"/>
      <c r="H58" s="240"/>
      <c r="I58" s="264">
        <f>IFERROR(__xludf.DUMMYFUNCTION("""COMPUTED_VALUE"""),44693.0)</f>
        <v>44693</v>
      </c>
      <c r="J58" s="264">
        <f>IFERROR(__xludf.DUMMYFUNCTION("""COMPUTED_VALUE"""),44738.0)</f>
        <v>44738</v>
      </c>
      <c r="K58" s="244"/>
      <c r="L58" s="244">
        <f>IFERROR(__xludf.DUMMYFUNCTION("""COMPUTED_VALUE"""),0.0)</f>
        <v>0</v>
      </c>
      <c r="M58" s="244">
        <f>IFERROR(__xludf.DUMMYFUNCTION("""COMPUTED_VALUE"""),48752.125)</f>
        <v>48752.125</v>
      </c>
      <c r="N58" s="180"/>
    </row>
    <row r="59">
      <c r="B59" s="188">
        <f>IFERROR(__xludf.DUMMYFUNCTION("""COMPUTED_VALUE"""),15018.0)</f>
        <v>15018</v>
      </c>
      <c r="C59" s="181" t="str">
        <f>IFERROR(__xludf.DUMMYFUNCTION("""COMPUTED_VALUE"""),"ASSYST - Contratação de suporte e atualização de licenças da solução de gerenciamento de serviços e registro de chamadas de TIC.")</f>
        <v>ASSYST - Contratação de suporte e atualização de licenças da solução de gerenciamento de serviços e registro de chamadas de TIC.</v>
      </c>
      <c r="D59" s="180" t="str">
        <f>IFERROR(__xludf.DUMMYFUNCTION("""COMPUTED_VALUE"""),"2 - Importante")</f>
        <v>2 - Importante</v>
      </c>
      <c r="E59" s="180" t="str">
        <f>IFERROR(__xludf.DUMMYFUNCTION("""COMPUTED_VALUE"""),"99 - Orçamentário")</f>
        <v>99 - Orçamentário</v>
      </c>
      <c r="F59" s="184"/>
      <c r="G59" s="184" t="str">
        <f>IFERROR(__xludf.DUMMYFUNCTION("""COMPUTED_VALUE"""),"3891/2017")</f>
        <v>3891/2017</v>
      </c>
      <c r="H59" s="240" t="str">
        <f>IFERROR(__xludf.DUMMYFUNCTION("""COMPUTED_VALUE"""),"Não")</f>
        <v>Não</v>
      </c>
      <c r="I59" s="264">
        <f>IFERROR(__xludf.DUMMYFUNCTION("""COMPUTED_VALUE"""),44738.0)</f>
        <v>44738</v>
      </c>
      <c r="J59" s="264">
        <f>IFERROR(__xludf.DUMMYFUNCTION("""COMPUTED_VALUE"""),44738.0)</f>
        <v>44738</v>
      </c>
      <c r="K59" s="244">
        <f>IFERROR(__xludf.DUMMYFUNCTION("""COMPUTED_VALUE"""),90507.0)</f>
        <v>90507</v>
      </c>
      <c r="L59" s="244">
        <f>IFERROR(__xludf.DUMMYFUNCTION("""COMPUTED_VALUE"""),90507.0)</f>
        <v>90507</v>
      </c>
      <c r="M59" s="244">
        <f>IFERROR(__xludf.DUMMYFUNCTION("""COMPUTED_VALUE"""),41901.183333333334)</f>
        <v>41901.18333</v>
      </c>
      <c r="N59" s="180"/>
    </row>
    <row r="60">
      <c r="B60" s="188">
        <f>IFERROR(__xludf.DUMMYFUNCTION("""COMPUTED_VALUE"""),15066.0)</f>
        <v>15066</v>
      </c>
      <c r="C60" s="181" t="str">
        <f>IFERROR(__xludf.DUMMYFUNCTION("""COMPUTED_VALUE"""),"INTERNET MOVEL - Contratação de linhas de internet móvel. O quantitativo atual é de 151 e deve ser confirmado pelos estudos da contração (Ato CSJT 43/2013).")</f>
        <v>INTERNET MOVEL - Contratação de linhas de internet móvel. O quantitativo atual é de 151 e deve ser confirmado pelos estudos da contração (Ato CSJT 43/2013).</v>
      </c>
      <c r="D60" s="180" t="str">
        <f>IFERROR(__xludf.DUMMYFUNCTION("""COMPUTED_VALUE"""),"2 - Importante")</f>
        <v>2 - Importante</v>
      </c>
      <c r="E60" s="180" t="str">
        <f>IFERROR(__xludf.DUMMYFUNCTION("""COMPUTED_VALUE"""),"07 - Concluída")</f>
        <v>07 - Concluída</v>
      </c>
      <c r="F60" s="184" t="str">
        <f>IFERROR(__xludf.DUMMYFUNCTION("""COMPUTED_VALUE"""),"1287/2021")</f>
        <v>1287/2021</v>
      </c>
      <c r="G60" s="184" t="str">
        <f>IFERROR(__xludf.DUMMYFUNCTION("""COMPUTED_VALUE"""),"8560/2018")</f>
        <v>8560/2018</v>
      </c>
      <c r="H60" s="240" t="str">
        <f>IFERROR(__xludf.DUMMYFUNCTION("""COMPUTED_VALUE"""),"Sim")</f>
        <v>Sim</v>
      </c>
      <c r="I60" s="264">
        <f>IFERROR(__xludf.DUMMYFUNCTION("""COMPUTED_VALUE"""),44510.0)</f>
        <v>44510</v>
      </c>
      <c r="J60" s="264">
        <f>IFERROR(__xludf.DUMMYFUNCTION("""COMPUTED_VALUE"""),44600.0)</f>
        <v>44600</v>
      </c>
      <c r="K60" s="244">
        <f>IFERROR(__xludf.DUMMYFUNCTION("""COMPUTED_VALUE"""),48671.0)</f>
        <v>48671</v>
      </c>
      <c r="L60" s="244">
        <f>IFERROR(__xludf.DUMMYFUNCTION("""COMPUTED_VALUE"""),48671.0)</f>
        <v>48671</v>
      </c>
      <c r="M60" s="244">
        <f>IFERROR(__xludf.DUMMYFUNCTION("""COMPUTED_VALUE"""),41494.8)</f>
        <v>41494.8</v>
      </c>
      <c r="N60" s="180"/>
    </row>
    <row r="61">
      <c r="B61" s="188">
        <f>IFERROR(__xludf.DUMMYFUNCTION("""COMPUTED_VALUE"""),15897.0)</f>
        <v>15897</v>
      </c>
      <c r="C61" s="181" t="str">
        <f>IFERROR(__xludf.DUMMYFUNCTION("""COMPUTED_VALUE"""),"SIABI MEMORIAL - Licenças e serviços de suporte técnico e manutenção para o SIABI (Sistema de software
Automação de Bibliotecas, Arquivos, museus e Memoriais) com direito a versões
atualizadas.")</f>
        <v>SIABI MEMORIAL - Licenças e serviços de suporte técnico e manutenção para o SIABI (Sistema de software
Automação de Bibliotecas, Arquivos, museus e Memoriais) com direito a versões
atualizadas.</v>
      </c>
      <c r="D61" s="180" t="str">
        <f>IFERROR(__xludf.DUMMYFUNCTION("""COMPUTED_VALUE"""),"2 - Importante")</f>
        <v>2 - Importante</v>
      </c>
      <c r="E61" s="180" t="str">
        <f>IFERROR(__xludf.DUMMYFUNCTION("""COMPUTED_VALUE"""),"02 - DOD emitido")</f>
        <v>02 - DOD emitido</v>
      </c>
      <c r="F61" s="184" t="str">
        <f>IFERROR(__xludf.DUMMYFUNCTION("""COMPUTED_VALUE"""),"2754/2022")</f>
        <v>2754/2022</v>
      </c>
      <c r="G61" s="184"/>
      <c r="H61" s="240"/>
      <c r="I61" s="264">
        <f>IFERROR(__xludf.DUMMYFUNCTION("""COMPUTED_VALUE"""),44672.0)</f>
        <v>44672</v>
      </c>
      <c r="J61" s="264">
        <f>IFERROR(__xludf.DUMMYFUNCTION("""COMPUTED_VALUE"""),44682.0)</f>
        <v>44682</v>
      </c>
      <c r="K61" s="244">
        <f>IFERROR(__xludf.DUMMYFUNCTION("""COMPUTED_VALUE"""),0.0)</f>
        <v>0</v>
      </c>
      <c r="L61" s="244">
        <f>IFERROR(__xludf.DUMMYFUNCTION("""COMPUTED_VALUE"""),0.0)</f>
        <v>0</v>
      </c>
      <c r="M61" s="244">
        <f>IFERROR(__xludf.DUMMYFUNCTION("""COMPUTED_VALUE"""),15571.36)</f>
        <v>15571.36</v>
      </c>
      <c r="N61" s="180"/>
    </row>
    <row r="62">
      <c r="B62" s="188">
        <f>IFERROR(__xludf.DUMMYFUNCTION("""COMPUTED_VALUE"""),15380.0)</f>
        <v>15380</v>
      </c>
      <c r="C62" s="181" t="str">
        <f>IFERROR(__xludf.DUMMYFUNCTION("""COMPUTED_VALUE"""),"IMPRESSORAS MANUTENÇÃO - Contatação de manutenção de impressoras multifuncionais Lexmark MX722")</f>
        <v>IMPRESSORAS MANUTENÇÃO - Contatação de manutenção de impressoras multifuncionais Lexmark MX722</v>
      </c>
      <c r="D62" s="180" t="str">
        <f>IFERROR(__xludf.DUMMYFUNCTION("""COMPUTED_VALUE"""),"2 - Importante")</f>
        <v>2 - Importante</v>
      </c>
      <c r="E62" s="180" t="str">
        <f>IFERROR(__xludf.DUMMYFUNCTION("""COMPUTED_VALUE"""),"01 - Não oficializado")</f>
        <v>01 - Não oficializado</v>
      </c>
      <c r="F62" s="184"/>
      <c r="G62" s="184"/>
      <c r="H62" s="240"/>
      <c r="I62" s="264">
        <f>IFERROR(__xludf.DUMMYFUNCTION("""COMPUTED_VALUE"""),44735.0)</f>
        <v>44735</v>
      </c>
      <c r="J62" s="264">
        <f>IFERROR(__xludf.DUMMYFUNCTION("""COMPUTED_VALUE"""),44845.0)</f>
        <v>44845</v>
      </c>
      <c r="K62" s="244">
        <f>IFERROR(__xludf.DUMMYFUNCTION("""COMPUTED_VALUE"""),0.0)</f>
        <v>0</v>
      </c>
      <c r="L62" s="244">
        <f>IFERROR(__xludf.DUMMYFUNCTION("""COMPUTED_VALUE"""),48000.0)</f>
        <v>48000</v>
      </c>
      <c r="M62" s="244">
        <f>IFERROR(__xludf.DUMMYFUNCTION("""COMPUTED_VALUE"""),12000.0)</f>
        <v>12000</v>
      </c>
      <c r="N62" s="180"/>
    </row>
    <row r="63">
      <c r="B63" s="188">
        <f>IFERROR(__xludf.DUMMYFUNCTION("""COMPUTED_VALUE"""),15349.0)</f>
        <v>15349</v>
      </c>
      <c r="C63" s="181" t="str">
        <f>IFERROR(__xludf.DUMMYFUNCTION("""COMPUTED_VALUE"""),"BI SOFTWARE - Contratação de uso de software em nuvem, para gerar relatórios e informações gerenciais para apoio à decisão e à gestão")</f>
        <v>BI SOFTWARE - Contratação de uso de software em nuvem, para gerar relatórios e informações gerenciais para apoio à decisão e à gestão</v>
      </c>
      <c r="D63" s="180" t="str">
        <f>IFERROR(__xludf.DUMMYFUNCTION("""COMPUTED_VALUE"""),"2 - Importante")</f>
        <v>2 - Importante</v>
      </c>
      <c r="E63" s="180" t="str">
        <f>IFERROR(__xludf.DUMMYFUNCTION("""COMPUTED_VALUE"""),"01 - Não oficializado")</f>
        <v>01 - Não oficializado</v>
      </c>
      <c r="F63" s="184"/>
      <c r="G63" s="184" t="str">
        <f>IFERROR(__xludf.DUMMYFUNCTION("""COMPUTED_VALUE"""),"12010/2020")</f>
        <v>12010/2020</v>
      </c>
      <c r="H63" s="240" t="str">
        <f>IFERROR(__xludf.DUMMYFUNCTION("""COMPUTED_VALUE"""),"Sim")</f>
        <v>Sim</v>
      </c>
      <c r="I63" s="264">
        <f>IFERROR(__xludf.DUMMYFUNCTION("""COMPUTED_VALUE"""),44835.0)</f>
        <v>44835</v>
      </c>
      <c r="J63" s="264">
        <f>IFERROR(__xludf.DUMMYFUNCTION("""COMPUTED_VALUE"""),44925.0)</f>
        <v>44925</v>
      </c>
      <c r="K63" s="244">
        <f>IFERROR(__xludf.DUMMYFUNCTION("""COMPUTED_VALUE"""),11871.0)</f>
        <v>11871</v>
      </c>
      <c r="L63" s="244">
        <f>IFERROR(__xludf.DUMMYFUNCTION("""COMPUTED_VALUE"""),12941.64)</f>
        <v>12941.64</v>
      </c>
      <c r="M63" s="244">
        <f>IFERROR(__xludf.DUMMYFUNCTION("""COMPUTED_VALUE"""),11870.76)</f>
        <v>11870.76</v>
      </c>
      <c r="N63" s="180"/>
    </row>
    <row r="64">
      <c r="B64" s="188">
        <f>IFERROR(__xludf.DUMMYFUNCTION("""COMPUTED_VALUE"""),15360.0)</f>
        <v>15360</v>
      </c>
      <c r="C64" s="181" t="str">
        <f>IFERROR(__xludf.DUMMYFUNCTION("""COMPUTED_VALUE"""),"SIABI - Contratação de suporte técnico e atualização de licenças do software de gerenciamento de bibliotecas")</f>
        <v>SIABI - Contratação de suporte técnico e atualização de licenças do software de gerenciamento de bibliotecas</v>
      </c>
      <c r="D64" s="180" t="str">
        <f>IFERROR(__xludf.DUMMYFUNCTION("""COMPUTED_VALUE"""),"2 - Importante")</f>
        <v>2 - Importante</v>
      </c>
      <c r="E64" s="180" t="str">
        <f>IFERROR(__xludf.DUMMYFUNCTION("""COMPUTED_VALUE"""),"07 - Concluída")</f>
        <v>07 - Concluída</v>
      </c>
      <c r="F64" s="184" t="str">
        <f>IFERROR(__xludf.DUMMYFUNCTION("""COMPUTED_VALUE"""),"532/2022")</f>
        <v>532/2022</v>
      </c>
      <c r="G64" s="184" t="str">
        <f>IFERROR(__xludf.DUMMYFUNCTION("""COMPUTED_VALUE"""),"2689/2021")</f>
        <v>2689/2021</v>
      </c>
      <c r="H64" s="240" t="str">
        <f>IFERROR(__xludf.DUMMYFUNCTION("""COMPUTED_VALUE"""),"Sim")</f>
        <v>Sim</v>
      </c>
      <c r="I64" s="264">
        <f>IFERROR(__xludf.DUMMYFUNCTION("""COMPUTED_VALUE"""),44546.0)</f>
        <v>44546</v>
      </c>
      <c r="J64" s="264">
        <f>IFERROR(__xludf.DUMMYFUNCTION("""COMPUTED_VALUE"""),44636.0)</f>
        <v>44636</v>
      </c>
      <c r="K64" s="244">
        <f>IFERROR(__xludf.DUMMYFUNCTION("""COMPUTED_VALUE"""),8008.0)</f>
        <v>8008</v>
      </c>
      <c r="L64" s="244">
        <f>IFERROR(__xludf.DUMMYFUNCTION("""COMPUTED_VALUE"""),10000.0)</f>
        <v>10000</v>
      </c>
      <c r="M64" s="244">
        <f>IFERROR(__xludf.DUMMYFUNCTION("""COMPUTED_VALUE"""),7626.48)</f>
        <v>7626.48</v>
      </c>
      <c r="N64" s="180"/>
    </row>
    <row r="65">
      <c r="B65" s="188">
        <f>IFERROR(__xludf.DUMMYFUNCTION("""COMPUTED_VALUE"""),15371.0)</f>
        <v>15371</v>
      </c>
      <c r="C65" s="181" t="str">
        <f>IFERROR(__xludf.DUMMYFUNCTION("""COMPUTED_VALUE"""),"PRODENT - Contratação de suporte e atualização para licenças de software odontológico")</f>
        <v>PRODENT - Contratação de suporte e atualização para licenças de software odontológico</v>
      </c>
      <c r="D65" s="180" t="str">
        <f>IFERROR(__xludf.DUMMYFUNCTION("""COMPUTED_VALUE"""),"2 - Importante")</f>
        <v>2 - Importante</v>
      </c>
      <c r="E65" s="180" t="str">
        <f>IFERROR(__xludf.DUMMYFUNCTION("""COMPUTED_VALUE"""),"02 - DOD emitido")</f>
        <v>02 - DOD emitido</v>
      </c>
      <c r="F65" s="184" t="str">
        <f>IFERROR(__xludf.DUMMYFUNCTION("""COMPUTED_VALUE"""),"2407/2022")</f>
        <v>2407/2022</v>
      </c>
      <c r="G65" s="184" t="str">
        <f>IFERROR(__xludf.DUMMYFUNCTION("""COMPUTED_VALUE"""),"5707/2021")</f>
        <v>5707/2021</v>
      </c>
      <c r="H65" s="240" t="str">
        <f>IFERROR(__xludf.DUMMYFUNCTION("""COMPUTED_VALUE"""),"Sim")</f>
        <v>Sim</v>
      </c>
      <c r="I65" s="264">
        <f>IFERROR(__xludf.DUMMYFUNCTION("""COMPUTED_VALUE"""),44693.0)</f>
        <v>44693</v>
      </c>
      <c r="J65" s="264">
        <f>IFERROR(__xludf.DUMMYFUNCTION("""COMPUTED_VALUE"""),44783.0)</f>
        <v>44783</v>
      </c>
      <c r="K65" s="244">
        <f>IFERROR(__xludf.DUMMYFUNCTION("""COMPUTED_VALUE"""),3043.0)</f>
        <v>3043</v>
      </c>
      <c r="L65" s="244">
        <f>IFERROR(__xludf.DUMMYFUNCTION("""COMPUTED_VALUE"""),3043.0)</f>
        <v>3043</v>
      </c>
      <c r="M65" s="244">
        <f>IFERROR(__xludf.DUMMYFUNCTION("""COMPUTED_VALUE"""),2992.44)</f>
        <v>2992.44</v>
      </c>
      <c r="N65" s="180"/>
    </row>
    <row r="66">
      <c r="B66" s="188">
        <f>IFERROR(__xludf.DUMMYFUNCTION("""COMPUTED_VALUE"""),15394.0)</f>
        <v>15394</v>
      </c>
      <c r="C66" s="181" t="str">
        <f>IFERROR(__xludf.DUMMYFUNCTION("""COMPUTED_VALUE"""),"ASSYST - Contratação de suporte e atualização de licenças da solução de gerenciamento de serviços e registro de chamadas de TIC. (Reconhecimento de dívida de exercício anterior)")</f>
        <v>ASSYST - Contratação de suporte e atualização de licenças da solução de gerenciamento de serviços e registro de chamadas de TIC. (Reconhecimento de dívida de exercício anterior)</v>
      </c>
      <c r="D66" s="180" t="str">
        <f>IFERROR(__xludf.DUMMYFUNCTION("""COMPUTED_VALUE"""),"2 - Importante")</f>
        <v>2 - Importante</v>
      </c>
      <c r="E66" s="180" t="str">
        <f>IFERROR(__xludf.DUMMYFUNCTION("""COMPUTED_VALUE"""),"99 - Orçamentário")</f>
        <v>99 - Orçamentário</v>
      </c>
      <c r="F66" s="184"/>
      <c r="G66" s="184" t="str">
        <f>IFERROR(__xludf.DUMMYFUNCTION("""COMPUTED_VALUE"""),"3891/2017")</f>
        <v>3891/2017</v>
      </c>
      <c r="H66" s="240"/>
      <c r="I66" s="264"/>
      <c r="J66" s="264"/>
      <c r="K66" s="244">
        <f>IFERROR(__xludf.DUMMYFUNCTION("""COMPUTED_VALUE"""),0.0)</f>
        <v>0</v>
      </c>
      <c r="L66" s="244"/>
      <c r="M66" s="244">
        <f>IFERROR(__xludf.DUMMYFUNCTION("""COMPUTED_VALUE"""),620.92)</f>
        <v>620.92</v>
      </c>
      <c r="N66" s="180"/>
    </row>
    <row r="67">
      <c r="B67" s="188">
        <f>IFERROR(__xludf.DUMMYFUNCTION("""COMPUTED_VALUE"""),15310.0)</f>
        <v>15310</v>
      </c>
      <c r="C67" s="181" t="str">
        <f>IFERROR(__xludf.DUMMYFUNCTION("""COMPUTED_VALUE"""),"SEGURANÇA - Aquisição de câmeras de CFTV e licenças de software para monitoramento de imagens")</f>
        <v>SEGURANÇA - Aquisição de câmeras de CFTV e licenças de software para monitoramento de imagens</v>
      </c>
      <c r="D67" s="180" t="str">
        <f>IFERROR(__xludf.DUMMYFUNCTION("""COMPUTED_VALUE"""),"2 - Importante")</f>
        <v>2 - Importante</v>
      </c>
      <c r="E67" s="180" t="str">
        <f>IFERROR(__xludf.DUMMYFUNCTION("""COMPUTED_VALUE"""),"02 - DOD emitido")</f>
        <v>02 - DOD emitido</v>
      </c>
      <c r="F67" s="184" t="str">
        <f>IFERROR(__xludf.DUMMYFUNCTION("""COMPUTED_VALUE"""),"10812/2020")</f>
        <v>10812/2020</v>
      </c>
      <c r="G67" s="184"/>
      <c r="H67" s="240"/>
      <c r="I67" s="264">
        <f>IFERROR(__xludf.DUMMYFUNCTION("""COMPUTED_VALUE"""),44633.0)</f>
        <v>44633</v>
      </c>
      <c r="J67" s="264">
        <f>IFERROR(__xludf.DUMMYFUNCTION("""COMPUTED_VALUE"""),44743.0)</f>
        <v>44743</v>
      </c>
      <c r="K67" s="244">
        <f>IFERROR(__xludf.DUMMYFUNCTION("""COMPUTED_VALUE"""),200000.0)</f>
        <v>200000</v>
      </c>
      <c r="L67" s="244">
        <f>IFERROR(__xludf.DUMMYFUNCTION("""COMPUTED_VALUE"""),200000.0)</f>
        <v>200000</v>
      </c>
      <c r="M67" s="244">
        <f>IFERROR(__xludf.DUMMYFUNCTION("""COMPUTED_VALUE"""),0.0)</f>
        <v>0</v>
      </c>
      <c r="N67" s="180"/>
    </row>
    <row r="68">
      <c r="B68" s="188">
        <f>IFERROR(__xludf.DUMMYFUNCTION("""COMPUTED_VALUE"""),15332.0)</f>
        <v>15332</v>
      </c>
      <c r="C68" s="181" t="str">
        <f>IFERROR(__xludf.DUMMYFUNCTION("""COMPUTED_VALUE"""),"FÁBRICA - Contratação de fábrica de software para plataforma JEE")</f>
        <v>FÁBRICA - Contratação de fábrica de software para plataforma JEE</v>
      </c>
      <c r="D68" s="180" t="str">
        <f>IFERROR(__xludf.DUMMYFUNCTION("""COMPUTED_VALUE"""),"2 - Importante")</f>
        <v>2 - Importante</v>
      </c>
      <c r="E68" s="180" t="str">
        <f>IFERROR(__xludf.DUMMYFUNCTION("""COMPUTED_VALUE"""),"01 - Não oficializado")</f>
        <v>01 - Não oficializado</v>
      </c>
      <c r="F68" s="184"/>
      <c r="G68" s="184"/>
      <c r="H68" s="240" t="str">
        <f>IFERROR(__xludf.DUMMYFUNCTION("""COMPUTED_VALUE"""),"Não")</f>
        <v>Não</v>
      </c>
      <c r="I68" s="264">
        <f>IFERROR(__xludf.DUMMYFUNCTION("""COMPUTED_VALUE"""),44592.0)</f>
        <v>44592</v>
      </c>
      <c r="J68" s="264">
        <f>IFERROR(__xludf.DUMMYFUNCTION("""COMPUTED_VALUE"""),44682.0)</f>
        <v>44682</v>
      </c>
      <c r="K68" s="244">
        <f>IFERROR(__xludf.DUMMYFUNCTION("""COMPUTED_VALUE"""),400000.0)</f>
        <v>400000</v>
      </c>
      <c r="L68" s="244">
        <f>IFERROR(__xludf.DUMMYFUNCTION("""COMPUTED_VALUE"""),0.0)</f>
        <v>0</v>
      </c>
      <c r="M68" s="244">
        <f>IFERROR(__xludf.DUMMYFUNCTION("""COMPUTED_VALUE"""),0.0)</f>
        <v>0</v>
      </c>
      <c r="N68" s="180"/>
    </row>
    <row r="69">
      <c r="B69" s="188">
        <f>IFERROR(__xludf.DUMMYFUNCTION("""COMPUTED_VALUE"""),15368.0)</f>
        <v>15368</v>
      </c>
      <c r="C69" s="181" t="str">
        <f>IFERROR(__xludf.DUMMYFUNCTION("""COMPUTED_VALUE"""),"AUDIÊNCIAS - Solução para indexação e marcação de videoconferências das audiências ")</f>
        <v>AUDIÊNCIAS - Solução para indexação e marcação de videoconferências das audiências </v>
      </c>
      <c r="D69" s="180" t="str">
        <f>IFERROR(__xludf.DUMMYFUNCTION("""COMPUTED_VALUE"""),"2 - Importante")</f>
        <v>2 - Importante</v>
      </c>
      <c r="E69" s="180" t="str">
        <f>IFERROR(__xludf.DUMMYFUNCTION("""COMPUTED_VALUE"""),"01 - Não oficializado")</f>
        <v>01 - Não oficializado</v>
      </c>
      <c r="F69" s="184"/>
      <c r="G69" s="184"/>
      <c r="H69" s="240"/>
      <c r="I69" s="264">
        <f>IFERROR(__xludf.DUMMYFUNCTION("""COMPUTED_VALUE"""),44511.0)</f>
        <v>44511</v>
      </c>
      <c r="J69" s="264">
        <f>IFERROR(__xludf.DUMMYFUNCTION("""COMPUTED_VALUE"""),44621.0)</f>
        <v>44621</v>
      </c>
      <c r="K69" s="244">
        <f>IFERROR(__xludf.DUMMYFUNCTION("""COMPUTED_VALUE"""),50000.0)</f>
        <v>50000</v>
      </c>
      <c r="L69" s="244">
        <f>IFERROR(__xludf.DUMMYFUNCTION("""COMPUTED_VALUE"""),0.0)</f>
        <v>0</v>
      </c>
      <c r="M69" s="244">
        <f>IFERROR(__xludf.DUMMYFUNCTION("""COMPUTED_VALUE"""),0.0)</f>
        <v>0</v>
      </c>
      <c r="N69" s="180"/>
    </row>
    <row r="70">
      <c r="B70" s="188">
        <f>IFERROR(__xludf.DUMMYFUNCTION("""COMPUTED_VALUE"""),15386.0)</f>
        <v>15386</v>
      </c>
      <c r="C70" s="181" t="str">
        <f>IFERROR(__xludf.DUMMYFUNCTION("""COMPUTED_VALUE"""),"Manutenção das Licenças do Software ADOBE Photoshop, usados pela SECOM. As referidas licenças possuem prazo de vigência de 12 meses.")</f>
        <v>Manutenção das Licenças do Software ADOBE Photoshop, usados pela SECOM. As referidas licenças possuem prazo de vigência de 12 meses.</v>
      </c>
      <c r="D70" s="180" t="str">
        <f>IFERROR(__xludf.DUMMYFUNCTION("""COMPUTED_VALUE"""),"2 - Importante")</f>
        <v>2 - Importante</v>
      </c>
      <c r="E70" s="180" t="str">
        <f>IFERROR(__xludf.DUMMYFUNCTION("""COMPUTED_VALUE"""),"02 - DOD emitido")</f>
        <v>02 - DOD emitido</v>
      </c>
      <c r="F70" s="184" t="str">
        <f>IFERROR(__xludf.DUMMYFUNCTION("""COMPUTED_VALUE"""),"12180/2021")</f>
        <v>12180/2021</v>
      </c>
      <c r="G70" s="184"/>
      <c r="H70" s="240"/>
      <c r="I70" s="264">
        <f>IFERROR(__xludf.DUMMYFUNCTION("""COMPUTED_VALUE"""),44583.0)</f>
        <v>44583</v>
      </c>
      <c r="J70" s="264">
        <f>IFERROR(__xludf.DUMMYFUNCTION("""COMPUTED_VALUE"""),44593.0)</f>
        <v>44593</v>
      </c>
      <c r="K70" s="244">
        <f>IFERROR(__xludf.DUMMYFUNCTION("""COMPUTED_VALUE"""),0.0)</f>
        <v>0</v>
      </c>
      <c r="L70" s="244">
        <f>IFERROR(__xludf.DUMMYFUNCTION("""COMPUTED_VALUE"""),0.0)</f>
        <v>0</v>
      </c>
      <c r="M70" s="244">
        <f>IFERROR(__xludf.DUMMYFUNCTION("""COMPUTED_VALUE"""),0.0)</f>
        <v>0</v>
      </c>
      <c r="N70" s="180"/>
    </row>
    <row r="71">
      <c r="B71" s="188">
        <f>IFERROR(__xludf.DUMMYFUNCTION("""COMPUTED_VALUE"""),15306.0)</f>
        <v>15306</v>
      </c>
      <c r="C71" s="181" t="str">
        <f>IFERROR(__xludf.DUMMYFUNCTION("""COMPUTED_VALUE"""),"AUTOCAD LICENÇAS - Contratação/prorrogação de licanças de Autodesk AutoCAD Revit Suite")</f>
        <v>AUTOCAD LICENÇAS - Contratação/prorrogação de licanças de Autodesk AutoCAD Revit Suite</v>
      </c>
      <c r="D71" s="180" t="str">
        <f>IFERROR(__xludf.DUMMYFUNCTION("""COMPUTED_VALUE"""),"3 - Desejável")</f>
        <v>3 - Desejável</v>
      </c>
      <c r="E71" s="180" t="str">
        <f>IFERROR(__xludf.DUMMYFUNCTION("""COMPUTED_VALUE"""),"02 - DOD emitido")</f>
        <v>02 - DOD emitido</v>
      </c>
      <c r="F71" s="184" t="str">
        <f>IFERROR(__xludf.DUMMYFUNCTION("""COMPUTED_VALUE"""),"1964/2022")</f>
        <v>1964/2022</v>
      </c>
      <c r="G71" s="184"/>
      <c r="H71" s="240"/>
      <c r="I71" s="264">
        <f>IFERROR(__xludf.DUMMYFUNCTION("""COMPUTED_VALUE"""),44756.0)</f>
        <v>44756</v>
      </c>
      <c r="J71" s="264">
        <f>IFERROR(__xludf.DUMMYFUNCTION("""COMPUTED_VALUE"""),44866.0)</f>
        <v>44866</v>
      </c>
      <c r="K71" s="244">
        <f>IFERROR(__xludf.DUMMYFUNCTION("""COMPUTED_VALUE"""),19241.0)</f>
        <v>19241</v>
      </c>
      <c r="L71" s="244">
        <f>IFERROR(__xludf.DUMMYFUNCTION("""COMPUTED_VALUE"""),19241.0)</f>
        <v>19241</v>
      </c>
      <c r="M71" s="244">
        <f>IFERROR(__xludf.DUMMYFUNCTION("""COMPUTED_VALUE"""),68648.0)</f>
        <v>68648</v>
      </c>
      <c r="N71" s="180"/>
    </row>
    <row r="72">
      <c r="B72" s="188">
        <f>IFERROR(__xludf.DUMMYFUNCTION("""COMPUTED_VALUE"""),15307.0)</f>
        <v>15307</v>
      </c>
      <c r="C72" s="181" t="str">
        <f>IFERROR(__xludf.DUMMYFUNCTION("""COMPUTED_VALUE"""),"SKETCHUP PRO - Licença SketchUp Pro - Trimble (12 meses)")</f>
        <v>SKETCHUP PRO - Licença SketchUp Pro - Trimble (12 meses)</v>
      </c>
      <c r="D72" s="180" t="str">
        <f>IFERROR(__xludf.DUMMYFUNCTION("""COMPUTED_VALUE"""),"3 - Desejável")</f>
        <v>3 - Desejável</v>
      </c>
      <c r="E72" s="180" t="str">
        <f>IFERROR(__xludf.DUMMYFUNCTION("""COMPUTED_VALUE"""),"02 - DOD emitido")</f>
        <v>02 - DOD emitido</v>
      </c>
      <c r="F72" s="184" t="str">
        <f>IFERROR(__xludf.DUMMYFUNCTION("""COMPUTED_VALUE"""),"2265/2022")</f>
        <v>2265/2022</v>
      </c>
      <c r="G72" s="184"/>
      <c r="H72" s="240"/>
      <c r="I72" s="264">
        <f>IFERROR(__xludf.DUMMYFUNCTION("""COMPUTED_VALUE"""),44825.0)</f>
        <v>44825</v>
      </c>
      <c r="J72" s="264">
        <f>IFERROR(__xludf.DUMMYFUNCTION("""COMPUTED_VALUE"""),44835.0)</f>
        <v>44835</v>
      </c>
      <c r="K72" s="244">
        <f>IFERROR(__xludf.DUMMYFUNCTION("""COMPUTED_VALUE"""),0.0)</f>
        <v>0</v>
      </c>
      <c r="L72" s="244">
        <f>IFERROR(__xludf.DUMMYFUNCTION("""COMPUTED_VALUE"""),1881.0)</f>
        <v>1881</v>
      </c>
      <c r="M72" s="244">
        <f>IFERROR(__xludf.DUMMYFUNCTION("""COMPUTED_VALUE"""),1881.0)</f>
        <v>1881</v>
      </c>
      <c r="N72" s="180"/>
    </row>
    <row r="73">
      <c r="B73" s="188">
        <f>IFERROR(__xludf.DUMMYFUNCTION("""COMPUTED_VALUE"""),15330.0)</f>
        <v>15330</v>
      </c>
      <c r="C73" s="181" t="str">
        <f>IFERROR(__xludf.DUMMYFUNCTION("""COMPUTED_VALUE"""),"JT-FONE - Serviço de envio de mensagens SMS (JT-fone)")</f>
        <v>JT-FONE - Serviço de envio de mensagens SMS (JT-fone)</v>
      </c>
      <c r="D73" s="180" t="str">
        <f>IFERROR(__xludf.DUMMYFUNCTION("""COMPUTED_VALUE"""),"3 - Desejável")</f>
        <v>3 - Desejável</v>
      </c>
      <c r="E73" s="180" t="str">
        <f>IFERROR(__xludf.DUMMYFUNCTION("""COMPUTED_VALUE"""),"02 - DOD emitido")</f>
        <v>02 - DOD emitido</v>
      </c>
      <c r="F73" s="184" t="str">
        <f>IFERROR(__xludf.DUMMYFUNCTION("""COMPUTED_VALUE"""),"5595/2020")</f>
        <v>5595/2020</v>
      </c>
      <c r="G73" s="184"/>
      <c r="H73" s="240"/>
      <c r="I73" s="264">
        <f>IFERROR(__xludf.DUMMYFUNCTION("""COMPUTED_VALUE"""),44856.0)</f>
        <v>44856</v>
      </c>
      <c r="J73" s="264">
        <f>IFERROR(__xludf.DUMMYFUNCTION("""COMPUTED_VALUE"""),44866.0)</f>
        <v>44866</v>
      </c>
      <c r="K73" s="244">
        <f>IFERROR(__xludf.DUMMYFUNCTION("""COMPUTED_VALUE"""),0.0)</f>
        <v>0</v>
      </c>
      <c r="L73" s="244">
        <f>IFERROR(__xludf.DUMMYFUNCTION("""COMPUTED_VALUE"""),10000.0)</f>
        <v>10000</v>
      </c>
      <c r="M73" s="244">
        <f>IFERROR(__xludf.DUMMYFUNCTION("""COMPUTED_VALUE"""),0.0)</f>
        <v>0</v>
      </c>
      <c r="N73" s="180"/>
    </row>
    <row r="74">
      <c r="B74" s="188">
        <f>IFERROR(__xludf.DUMMYFUNCTION("""COMPUTED_VALUE"""),15367.0)</f>
        <v>15367</v>
      </c>
      <c r="C74" s="181" t="str">
        <f>IFERROR(__xludf.DUMMYFUNCTION("""COMPUTED_VALUE"""),"MICROCOMPUTADORES - Aquisição de lote câmeras tipo webcam para uso em monitores convencionais")</f>
        <v>MICROCOMPUTADORES - Aquisição de lote câmeras tipo webcam para uso em monitores convencionais</v>
      </c>
      <c r="D74" s="180" t="str">
        <f>IFERROR(__xludf.DUMMYFUNCTION("""COMPUTED_VALUE"""),"3 - Desejável")</f>
        <v>3 - Desejável</v>
      </c>
      <c r="E74" s="180" t="str">
        <f>IFERROR(__xludf.DUMMYFUNCTION("""COMPUTED_VALUE"""),"01 - Não oficializado")</f>
        <v>01 - Não oficializado</v>
      </c>
      <c r="F74" s="184"/>
      <c r="G74" s="184"/>
      <c r="H74" s="240"/>
      <c r="I74" s="264">
        <f>IFERROR(__xludf.DUMMYFUNCTION("""COMPUTED_VALUE"""),44653.0)</f>
        <v>44653</v>
      </c>
      <c r="J74" s="264">
        <f>IFERROR(__xludf.DUMMYFUNCTION("""COMPUTED_VALUE"""),44713.0)</f>
        <v>44713</v>
      </c>
      <c r="K74" s="244">
        <f>IFERROR(__xludf.DUMMYFUNCTION("""COMPUTED_VALUE"""),75000.0)</f>
        <v>75000</v>
      </c>
      <c r="L74" s="244">
        <f>IFERROR(__xludf.DUMMYFUNCTION("""COMPUTED_VALUE"""),0.0)</f>
        <v>0</v>
      </c>
      <c r="M74" s="244">
        <f>IFERROR(__xludf.DUMMYFUNCTION("""COMPUTED_VALUE"""),0.0)</f>
        <v>0</v>
      </c>
      <c r="N74" s="180"/>
    </row>
    <row r="75">
      <c r="B75" s="184"/>
      <c r="C75" s="181"/>
      <c r="D75" s="180"/>
      <c r="E75" s="180"/>
      <c r="F75" s="184"/>
      <c r="G75" s="184"/>
      <c r="H75" s="240"/>
      <c r="I75" s="184"/>
      <c r="J75" s="184"/>
      <c r="K75" s="244"/>
      <c r="L75" s="244"/>
      <c r="M75" s="244"/>
      <c r="N75" s="180"/>
    </row>
    <row r="76">
      <c r="B76" s="184"/>
      <c r="C76" s="181"/>
      <c r="D76" s="180"/>
      <c r="E76" s="180"/>
      <c r="F76" s="184"/>
      <c r="G76" s="184"/>
      <c r="H76" s="240"/>
      <c r="I76" s="184"/>
      <c r="J76" s="184"/>
      <c r="K76" s="244"/>
      <c r="L76" s="244"/>
      <c r="M76" s="244"/>
      <c r="N76" s="180"/>
    </row>
    <row r="77">
      <c r="B77" s="184"/>
      <c r="C77" s="181"/>
      <c r="D77" s="180"/>
      <c r="E77" s="180"/>
      <c r="F77" s="184"/>
      <c r="G77" s="184"/>
      <c r="H77" s="240"/>
      <c r="I77" s="184"/>
      <c r="J77" s="184"/>
      <c r="K77" s="244"/>
      <c r="L77" s="244"/>
      <c r="M77" s="244"/>
      <c r="N77" s="180"/>
    </row>
    <row r="78">
      <c r="B78" s="184"/>
      <c r="C78" s="181"/>
      <c r="D78" s="180"/>
      <c r="E78" s="180"/>
      <c r="F78" s="184"/>
      <c r="G78" s="184"/>
      <c r="H78" s="240"/>
      <c r="I78" s="184"/>
      <c r="J78" s="184"/>
      <c r="K78" s="244"/>
      <c r="L78" s="244"/>
      <c r="M78" s="244"/>
      <c r="N78" s="180"/>
    </row>
    <row r="79">
      <c r="B79" s="184"/>
      <c r="C79" s="181"/>
      <c r="D79" s="180"/>
      <c r="E79" s="180"/>
      <c r="F79" s="184"/>
      <c r="G79" s="184"/>
      <c r="H79" s="240"/>
      <c r="I79" s="184"/>
      <c r="J79" s="184"/>
      <c r="K79" s="244"/>
      <c r="L79" s="244"/>
      <c r="M79" s="244"/>
      <c r="N79" s="180"/>
    </row>
    <row r="80">
      <c r="B80" s="184"/>
      <c r="C80" s="181"/>
      <c r="D80" s="180"/>
      <c r="E80" s="180"/>
      <c r="F80" s="184"/>
      <c r="G80" s="184"/>
      <c r="H80" s="240"/>
      <c r="I80" s="184"/>
      <c r="J80" s="184"/>
      <c r="K80" s="244"/>
      <c r="L80" s="244"/>
      <c r="M80" s="244"/>
      <c r="N80" s="180"/>
    </row>
    <row r="81">
      <c r="B81" s="184"/>
      <c r="C81" s="181"/>
      <c r="D81" s="180"/>
      <c r="E81" s="180"/>
      <c r="F81" s="184"/>
      <c r="G81" s="184"/>
      <c r="H81" s="240"/>
      <c r="I81" s="184"/>
      <c r="J81" s="184"/>
      <c r="K81" s="244"/>
      <c r="L81" s="244"/>
      <c r="M81" s="244"/>
      <c r="N81" s="180"/>
    </row>
    <row r="82">
      <c r="B82" s="184"/>
      <c r="C82" s="181"/>
      <c r="D82" s="180"/>
      <c r="E82" s="180"/>
      <c r="F82" s="184"/>
      <c r="G82" s="184"/>
      <c r="H82" s="240"/>
      <c r="I82" s="184"/>
      <c r="J82" s="184"/>
      <c r="K82" s="244"/>
      <c r="L82" s="244"/>
      <c r="M82" s="244"/>
      <c r="N82" s="180"/>
    </row>
    <row r="83">
      <c r="B83" s="184"/>
      <c r="C83" s="181"/>
      <c r="D83" s="180"/>
      <c r="E83" s="180"/>
      <c r="F83" s="184"/>
      <c r="G83" s="184"/>
      <c r="H83" s="240"/>
      <c r="I83" s="184"/>
      <c r="J83" s="184"/>
      <c r="K83" s="244"/>
      <c r="L83" s="244"/>
      <c r="M83" s="244"/>
      <c r="N83" s="180"/>
    </row>
    <row r="84">
      <c r="B84" s="184"/>
      <c r="C84" s="181"/>
      <c r="D84" s="180"/>
      <c r="E84" s="180"/>
      <c r="F84" s="184"/>
      <c r="G84" s="184"/>
      <c r="H84" s="240"/>
      <c r="I84" s="184"/>
      <c r="J84" s="184"/>
      <c r="K84" s="244"/>
      <c r="L84" s="244"/>
      <c r="M84" s="244"/>
      <c r="N84" s="180"/>
    </row>
    <row r="85">
      <c r="B85" s="184"/>
      <c r="C85" s="181"/>
      <c r="D85" s="180"/>
      <c r="E85" s="180"/>
      <c r="F85" s="184"/>
      <c r="G85" s="184"/>
      <c r="H85" s="240"/>
      <c r="I85" s="184"/>
      <c r="J85" s="184"/>
      <c r="K85" s="244"/>
      <c r="L85" s="244"/>
      <c r="M85" s="244"/>
      <c r="N85" s="180"/>
    </row>
    <row r="86">
      <c r="B86" s="184"/>
      <c r="C86" s="181"/>
      <c r="D86" s="180"/>
      <c r="E86" s="180"/>
      <c r="F86" s="184"/>
      <c r="G86" s="184"/>
      <c r="H86" s="240"/>
      <c r="I86" s="184"/>
      <c r="J86" s="184"/>
      <c r="K86" s="244"/>
      <c r="L86" s="244"/>
      <c r="M86" s="244"/>
      <c r="N86" s="180"/>
    </row>
    <row r="87">
      <c r="B87" s="184"/>
      <c r="C87" s="181"/>
      <c r="D87" s="180"/>
      <c r="E87" s="180"/>
      <c r="F87" s="184"/>
      <c r="G87" s="184"/>
      <c r="H87" s="240"/>
      <c r="I87" s="184"/>
      <c r="J87" s="184"/>
      <c r="K87" s="244"/>
      <c r="L87" s="244"/>
      <c r="M87" s="244"/>
      <c r="N87" s="180"/>
    </row>
    <row r="88">
      <c r="B88" s="184"/>
      <c r="C88" s="181"/>
      <c r="D88" s="180"/>
      <c r="E88" s="180"/>
      <c r="F88" s="184"/>
      <c r="G88" s="184"/>
      <c r="H88" s="240"/>
      <c r="I88" s="184"/>
      <c r="J88" s="184"/>
      <c r="K88" s="244"/>
      <c r="L88" s="244"/>
      <c r="M88" s="244"/>
      <c r="N88" s="180"/>
    </row>
    <row r="89">
      <c r="B89" s="184"/>
      <c r="C89" s="181"/>
      <c r="D89" s="180"/>
      <c r="E89" s="180"/>
      <c r="F89" s="184"/>
      <c r="G89" s="184"/>
      <c r="H89" s="240"/>
      <c r="I89" s="184"/>
      <c r="J89" s="184"/>
      <c r="K89" s="244"/>
      <c r="L89" s="244"/>
      <c r="M89" s="244"/>
      <c r="N89" s="180"/>
    </row>
    <row r="90">
      <c r="B90" s="184"/>
      <c r="C90" s="181"/>
      <c r="D90" s="180"/>
      <c r="E90" s="180"/>
      <c r="F90" s="184"/>
      <c r="G90" s="184"/>
      <c r="H90" s="240"/>
      <c r="I90" s="184"/>
      <c r="J90" s="184"/>
      <c r="K90" s="244"/>
      <c r="L90" s="244"/>
      <c r="M90" s="244"/>
      <c r="N90" s="180"/>
    </row>
    <row r="91">
      <c r="B91" s="184"/>
      <c r="C91" s="181"/>
      <c r="D91" s="180"/>
      <c r="E91" s="180"/>
      <c r="F91" s="184"/>
      <c r="G91" s="184"/>
      <c r="H91" s="240"/>
      <c r="I91" s="184"/>
      <c r="J91" s="184"/>
      <c r="K91" s="244"/>
      <c r="L91" s="244"/>
      <c r="M91" s="244"/>
      <c r="N91" s="180"/>
    </row>
    <row r="92">
      <c r="B92" s="184"/>
      <c r="C92" s="181"/>
      <c r="D92" s="180"/>
      <c r="E92" s="180"/>
      <c r="F92" s="184"/>
      <c r="G92" s="184"/>
      <c r="H92" s="240"/>
      <c r="I92" s="184"/>
      <c r="J92" s="184"/>
      <c r="K92" s="244"/>
      <c r="L92" s="244"/>
      <c r="M92" s="244"/>
      <c r="N92" s="180"/>
    </row>
    <row r="93">
      <c r="B93" s="184"/>
      <c r="C93" s="181"/>
      <c r="D93" s="180"/>
      <c r="E93" s="180"/>
      <c r="F93" s="184"/>
      <c r="G93" s="184"/>
      <c r="H93" s="240"/>
      <c r="I93" s="184"/>
      <c r="J93" s="184"/>
      <c r="K93" s="244"/>
      <c r="L93" s="244"/>
      <c r="M93" s="244"/>
      <c r="N93" s="180"/>
    </row>
    <row r="94">
      <c r="B94" s="184"/>
      <c r="C94" s="181"/>
      <c r="D94" s="180"/>
      <c r="E94" s="180"/>
      <c r="F94" s="184"/>
      <c r="G94" s="184"/>
      <c r="H94" s="240"/>
      <c r="I94" s="184"/>
      <c r="J94" s="184"/>
      <c r="K94" s="244"/>
      <c r="L94" s="244"/>
      <c r="M94" s="244"/>
      <c r="N94" s="180"/>
    </row>
    <row r="95">
      <c r="B95" s="184"/>
      <c r="C95" s="181"/>
      <c r="D95" s="180"/>
      <c r="E95" s="180"/>
      <c r="F95" s="184"/>
      <c r="G95" s="184"/>
      <c r="H95" s="240"/>
      <c r="I95" s="184"/>
      <c r="J95" s="184"/>
      <c r="K95" s="244"/>
      <c r="L95" s="244"/>
      <c r="M95" s="244"/>
      <c r="N95" s="180"/>
    </row>
    <row r="96">
      <c r="B96" s="184"/>
      <c r="C96" s="181"/>
      <c r="D96" s="180"/>
      <c r="E96" s="180"/>
      <c r="F96" s="184"/>
      <c r="G96" s="184"/>
      <c r="H96" s="240"/>
      <c r="I96" s="184"/>
      <c r="J96" s="184"/>
      <c r="K96" s="244"/>
      <c r="L96" s="244"/>
      <c r="M96" s="244"/>
      <c r="N96" s="180"/>
    </row>
    <row r="97">
      <c r="B97" s="184"/>
      <c r="C97" s="181"/>
      <c r="D97" s="180"/>
      <c r="E97" s="180"/>
      <c r="F97" s="184"/>
      <c r="G97" s="184"/>
      <c r="H97" s="240"/>
      <c r="I97" s="184"/>
      <c r="J97" s="184"/>
      <c r="K97" s="244"/>
      <c r="L97" s="244"/>
      <c r="M97" s="244"/>
      <c r="N97" s="180"/>
    </row>
    <row r="98">
      <c r="B98" s="184"/>
      <c r="C98" s="181"/>
      <c r="D98" s="180"/>
      <c r="E98" s="180"/>
      <c r="F98" s="184"/>
      <c r="G98" s="184"/>
      <c r="H98" s="240"/>
      <c r="I98" s="184"/>
      <c r="J98" s="184"/>
      <c r="K98" s="244"/>
      <c r="L98" s="244"/>
      <c r="M98" s="244"/>
      <c r="N98" s="180"/>
    </row>
    <row r="99">
      <c r="B99" s="184"/>
      <c r="C99" s="181"/>
      <c r="D99" s="180"/>
      <c r="E99" s="180"/>
      <c r="F99" s="184"/>
      <c r="G99" s="184"/>
      <c r="H99" s="240"/>
      <c r="I99" s="184"/>
      <c r="J99" s="184"/>
      <c r="K99" s="244"/>
      <c r="L99" s="244"/>
      <c r="M99" s="244"/>
      <c r="N99" s="180"/>
    </row>
    <row r="100">
      <c r="B100" s="184"/>
      <c r="C100" s="181"/>
      <c r="D100" s="180"/>
      <c r="E100" s="180"/>
      <c r="F100" s="184"/>
      <c r="G100" s="184"/>
      <c r="H100" s="240"/>
      <c r="I100" s="184"/>
      <c r="J100" s="184"/>
      <c r="K100" s="244"/>
      <c r="L100" s="244"/>
      <c r="M100" s="244"/>
      <c r="N100" s="180"/>
    </row>
    <row r="101">
      <c r="B101" s="184"/>
      <c r="C101" s="181"/>
      <c r="D101" s="180"/>
      <c r="E101" s="180"/>
      <c r="F101" s="184"/>
      <c r="G101" s="184"/>
      <c r="H101" s="240"/>
      <c r="I101" s="184"/>
      <c r="J101" s="184"/>
      <c r="K101" s="244"/>
      <c r="L101" s="244"/>
      <c r="M101" s="244"/>
      <c r="N101" s="180"/>
    </row>
    <row r="102">
      <c r="B102" s="184"/>
      <c r="C102" s="181"/>
      <c r="D102" s="180"/>
      <c r="E102" s="180"/>
      <c r="F102" s="184"/>
      <c r="G102" s="184"/>
      <c r="H102" s="240"/>
      <c r="I102" s="184"/>
      <c r="J102" s="184"/>
      <c r="K102" s="244"/>
      <c r="L102" s="244"/>
      <c r="M102" s="244"/>
      <c r="N102" s="180"/>
    </row>
    <row r="103">
      <c r="B103" s="184"/>
      <c r="C103" s="181"/>
      <c r="D103" s="180"/>
      <c r="E103" s="180"/>
      <c r="F103" s="184"/>
      <c r="G103" s="184"/>
      <c r="H103" s="240"/>
      <c r="I103" s="184"/>
      <c r="J103" s="184"/>
      <c r="K103" s="244"/>
      <c r="L103" s="244"/>
      <c r="M103" s="244"/>
      <c r="N103" s="180"/>
    </row>
    <row r="104">
      <c r="B104" s="184"/>
      <c r="C104" s="181"/>
      <c r="D104" s="180"/>
      <c r="E104" s="180"/>
      <c r="F104" s="184"/>
      <c r="G104" s="184"/>
      <c r="H104" s="240"/>
      <c r="I104" s="184"/>
      <c r="J104" s="184"/>
      <c r="K104" s="244"/>
      <c r="L104" s="244"/>
      <c r="M104" s="244"/>
      <c r="N104" s="180"/>
    </row>
    <row r="105">
      <c r="B105" s="184"/>
      <c r="C105" s="181"/>
      <c r="D105" s="180"/>
      <c r="E105" s="180"/>
      <c r="F105" s="184"/>
      <c r="G105" s="184"/>
      <c r="H105" s="240"/>
      <c r="I105" s="184"/>
      <c r="J105" s="184"/>
      <c r="K105" s="244"/>
      <c r="L105" s="244"/>
      <c r="M105" s="244"/>
      <c r="N105" s="180"/>
    </row>
    <row r="106">
      <c r="B106" s="184"/>
      <c r="C106" s="181"/>
      <c r="D106" s="180"/>
      <c r="E106" s="180"/>
      <c r="F106" s="184"/>
      <c r="G106" s="184"/>
      <c r="H106" s="240"/>
      <c r="I106" s="184"/>
      <c r="J106" s="184"/>
      <c r="K106" s="244"/>
      <c r="L106" s="244"/>
      <c r="M106" s="244"/>
      <c r="N106" s="180"/>
    </row>
    <row r="107">
      <c r="B107" s="184"/>
      <c r="C107" s="181"/>
      <c r="D107" s="180"/>
      <c r="E107" s="180"/>
      <c r="F107" s="184"/>
      <c r="G107" s="184"/>
      <c r="H107" s="240"/>
      <c r="I107" s="184"/>
      <c r="J107" s="184"/>
      <c r="K107" s="244"/>
      <c r="L107" s="244"/>
      <c r="M107" s="244"/>
      <c r="N107" s="180"/>
    </row>
    <row r="108">
      <c r="B108" s="184"/>
      <c r="C108" s="181"/>
      <c r="D108" s="180"/>
      <c r="E108" s="180"/>
      <c r="F108" s="184"/>
      <c r="G108" s="184"/>
      <c r="H108" s="240"/>
      <c r="I108" s="184"/>
      <c r="J108" s="184"/>
      <c r="K108" s="244"/>
      <c r="L108" s="244"/>
      <c r="M108" s="244"/>
      <c r="N108" s="180"/>
    </row>
    <row r="109">
      <c r="B109" s="184"/>
      <c r="C109" s="181"/>
      <c r="D109" s="180"/>
      <c r="E109" s="180"/>
      <c r="F109" s="184"/>
      <c r="G109" s="184"/>
      <c r="H109" s="240"/>
      <c r="I109" s="184"/>
      <c r="J109" s="184"/>
      <c r="K109" s="244"/>
      <c r="L109" s="244"/>
      <c r="M109" s="244"/>
      <c r="N109" s="180"/>
    </row>
    <row r="110">
      <c r="B110" s="184"/>
      <c r="C110" s="181"/>
      <c r="D110" s="180"/>
      <c r="E110" s="180"/>
      <c r="F110" s="184"/>
      <c r="G110" s="184"/>
      <c r="H110" s="240"/>
      <c r="I110" s="184"/>
      <c r="J110" s="184"/>
      <c r="K110" s="244"/>
      <c r="L110" s="244"/>
      <c r="M110" s="244"/>
      <c r="N110" s="180"/>
    </row>
    <row r="111">
      <c r="B111" s="184"/>
      <c r="C111" s="181"/>
      <c r="D111" s="180"/>
      <c r="E111" s="180"/>
      <c r="F111" s="184"/>
      <c r="G111" s="184"/>
      <c r="H111" s="240"/>
      <c r="I111" s="184"/>
      <c r="J111" s="184"/>
      <c r="K111" s="244"/>
      <c r="L111" s="244"/>
      <c r="M111" s="244"/>
      <c r="N111" s="180"/>
    </row>
    <row r="112">
      <c r="B112" s="184"/>
      <c r="C112" s="181"/>
      <c r="D112" s="180"/>
      <c r="E112" s="180"/>
      <c r="F112" s="184"/>
      <c r="G112" s="184"/>
      <c r="H112" s="240"/>
      <c r="I112" s="184"/>
      <c r="J112" s="184"/>
      <c r="K112" s="244"/>
      <c r="L112" s="244"/>
      <c r="M112" s="244"/>
      <c r="N112" s="180"/>
    </row>
    <row r="113">
      <c r="B113" s="184"/>
      <c r="C113" s="181"/>
      <c r="D113" s="180"/>
      <c r="E113" s="180"/>
      <c r="F113" s="184"/>
      <c r="G113" s="184"/>
      <c r="H113" s="240"/>
      <c r="I113" s="184"/>
      <c r="J113" s="184"/>
      <c r="K113" s="244"/>
      <c r="L113" s="244"/>
      <c r="M113" s="244"/>
      <c r="N113" s="180"/>
    </row>
    <row r="114">
      <c r="B114" s="184"/>
      <c r="C114" s="181"/>
      <c r="D114" s="180"/>
      <c r="E114" s="180"/>
      <c r="F114" s="184"/>
      <c r="G114" s="184"/>
      <c r="H114" s="240"/>
      <c r="I114" s="184"/>
      <c r="J114" s="184"/>
      <c r="K114" s="244"/>
      <c r="L114" s="244"/>
      <c r="M114" s="244"/>
      <c r="N114" s="180"/>
    </row>
    <row r="115">
      <c r="B115" s="184"/>
      <c r="C115" s="181"/>
      <c r="D115" s="180"/>
      <c r="E115" s="180"/>
      <c r="F115" s="184"/>
      <c r="G115" s="184"/>
      <c r="H115" s="240"/>
      <c r="I115" s="184"/>
      <c r="J115" s="184"/>
      <c r="K115" s="244"/>
      <c r="L115" s="244"/>
      <c r="M115" s="244"/>
      <c r="N115" s="180"/>
    </row>
    <row r="116">
      <c r="B116" s="184"/>
      <c r="C116" s="181"/>
      <c r="D116" s="180"/>
      <c r="E116" s="180"/>
      <c r="F116" s="184"/>
      <c r="G116" s="184"/>
      <c r="H116" s="240"/>
      <c r="I116" s="184"/>
      <c r="J116" s="184"/>
      <c r="K116" s="244"/>
      <c r="L116" s="244"/>
      <c r="M116" s="244"/>
      <c r="N116" s="180"/>
    </row>
    <row r="117">
      <c r="B117" s="184"/>
      <c r="C117" s="181"/>
      <c r="D117" s="180"/>
      <c r="E117" s="180"/>
      <c r="F117" s="184"/>
      <c r="G117" s="184"/>
      <c r="H117" s="240"/>
      <c r="I117" s="184"/>
      <c r="J117" s="184"/>
      <c r="K117" s="244"/>
      <c r="L117" s="244"/>
      <c r="M117" s="244"/>
      <c r="N117" s="180"/>
    </row>
    <row r="118">
      <c r="B118" s="184"/>
      <c r="C118" s="181"/>
      <c r="D118" s="180"/>
      <c r="E118" s="180"/>
      <c r="F118" s="184"/>
      <c r="G118" s="184"/>
      <c r="H118" s="240"/>
      <c r="I118" s="184"/>
      <c r="J118" s="184"/>
      <c r="K118" s="244"/>
      <c r="L118" s="244"/>
      <c r="M118" s="244"/>
      <c r="N118" s="180"/>
    </row>
    <row r="119">
      <c r="B119" s="184"/>
      <c r="C119" s="181"/>
      <c r="D119" s="180"/>
      <c r="E119" s="180"/>
      <c r="F119" s="184"/>
      <c r="G119" s="184"/>
      <c r="H119" s="240"/>
      <c r="I119" s="184"/>
      <c r="J119" s="184"/>
      <c r="K119" s="244"/>
      <c r="L119" s="244"/>
      <c r="M119" s="244"/>
      <c r="N119" s="180"/>
    </row>
    <row r="120">
      <c r="B120" s="184"/>
      <c r="C120" s="181"/>
      <c r="D120" s="180"/>
      <c r="E120" s="180"/>
      <c r="F120" s="184"/>
      <c r="G120" s="184"/>
      <c r="H120" s="240"/>
      <c r="I120" s="184"/>
      <c r="J120" s="184"/>
      <c r="K120" s="244"/>
      <c r="L120" s="244"/>
      <c r="M120" s="244"/>
      <c r="N120" s="180"/>
    </row>
    <row r="121">
      <c r="B121" s="184"/>
      <c r="C121" s="181"/>
      <c r="D121" s="180"/>
      <c r="E121" s="180"/>
      <c r="F121" s="184"/>
      <c r="G121" s="184"/>
      <c r="H121" s="240"/>
      <c r="I121" s="184"/>
      <c r="J121" s="184"/>
      <c r="K121" s="244"/>
      <c r="L121" s="244"/>
      <c r="M121" s="244"/>
      <c r="N121" s="180"/>
    </row>
    <row r="122">
      <c r="B122" s="184"/>
      <c r="C122" s="181"/>
      <c r="D122" s="180"/>
      <c r="E122" s="180"/>
      <c r="F122" s="184"/>
      <c r="G122" s="184"/>
      <c r="H122" s="240"/>
      <c r="I122" s="184"/>
      <c r="J122" s="184"/>
      <c r="K122" s="244"/>
      <c r="L122" s="244"/>
      <c r="M122" s="244"/>
      <c r="N122" s="180"/>
    </row>
    <row r="123">
      <c r="B123" s="184"/>
      <c r="C123" s="181"/>
      <c r="D123" s="180"/>
      <c r="E123" s="180"/>
      <c r="F123" s="184"/>
      <c r="G123" s="184"/>
      <c r="H123" s="240"/>
      <c r="I123" s="184"/>
      <c r="J123" s="184"/>
      <c r="K123" s="244"/>
      <c r="L123" s="244"/>
      <c r="M123" s="244"/>
      <c r="N123" s="180"/>
    </row>
    <row r="124">
      <c r="B124" s="184"/>
      <c r="C124" s="181"/>
      <c r="D124" s="180"/>
      <c r="E124" s="180"/>
      <c r="F124" s="184"/>
      <c r="G124" s="184"/>
      <c r="H124" s="240"/>
      <c r="I124" s="184"/>
      <c r="J124" s="184"/>
      <c r="K124" s="244"/>
      <c r="L124" s="244"/>
      <c r="M124" s="244"/>
      <c r="N124" s="180"/>
    </row>
    <row r="125">
      <c r="B125" s="184"/>
      <c r="C125" s="181"/>
      <c r="D125" s="180"/>
      <c r="E125" s="180"/>
      <c r="F125" s="184"/>
      <c r="G125" s="184"/>
      <c r="H125" s="240"/>
      <c r="I125" s="184"/>
      <c r="J125" s="184"/>
      <c r="K125" s="244"/>
      <c r="L125" s="244"/>
      <c r="M125" s="244"/>
      <c r="N125" s="180"/>
    </row>
    <row r="126">
      <c r="B126" s="184"/>
      <c r="C126" s="181"/>
      <c r="D126" s="180"/>
      <c r="E126" s="180"/>
      <c r="F126" s="184"/>
      <c r="G126" s="184"/>
      <c r="H126" s="240"/>
      <c r="I126" s="184"/>
      <c r="J126" s="184"/>
      <c r="K126" s="244"/>
      <c r="L126" s="244"/>
      <c r="M126" s="244"/>
      <c r="N126" s="180"/>
    </row>
    <row r="127">
      <c r="B127" s="184"/>
      <c r="C127" s="181"/>
      <c r="D127" s="180"/>
      <c r="E127" s="180"/>
      <c r="F127" s="184"/>
      <c r="G127" s="184"/>
      <c r="H127" s="240"/>
      <c r="I127" s="184"/>
      <c r="J127" s="184"/>
      <c r="K127" s="244"/>
      <c r="L127" s="244"/>
      <c r="M127" s="244"/>
      <c r="N127" s="180"/>
    </row>
    <row r="128">
      <c r="B128" s="184"/>
      <c r="C128" s="181"/>
      <c r="D128" s="180"/>
      <c r="E128" s="180"/>
      <c r="F128" s="184"/>
      <c r="G128" s="184"/>
      <c r="H128" s="240"/>
      <c r="I128" s="184"/>
      <c r="J128" s="184"/>
      <c r="K128" s="244"/>
      <c r="L128" s="244"/>
      <c r="M128" s="244"/>
      <c r="N128" s="180"/>
    </row>
    <row r="129">
      <c r="B129" s="184"/>
      <c r="C129" s="181"/>
      <c r="D129" s="180"/>
      <c r="E129" s="180"/>
      <c r="F129" s="184"/>
      <c r="G129" s="184"/>
      <c r="H129" s="240"/>
      <c r="I129" s="184"/>
      <c r="J129" s="184"/>
      <c r="K129" s="244"/>
      <c r="L129" s="244"/>
      <c r="M129" s="244"/>
      <c r="N129" s="180"/>
    </row>
    <row r="130">
      <c r="B130" s="184"/>
      <c r="C130" s="181"/>
      <c r="D130" s="180"/>
      <c r="E130" s="180"/>
      <c r="F130" s="184"/>
      <c r="G130" s="184"/>
      <c r="H130" s="240"/>
      <c r="I130" s="184"/>
      <c r="J130" s="184"/>
      <c r="K130" s="244"/>
      <c r="L130" s="244"/>
      <c r="M130" s="244"/>
      <c r="N130" s="180"/>
    </row>
    <row r="131">
      <c r="B131" s="184"/>
      <c r="C131" s="181"/>
      <c r="D131" s="180"/>
      <c r="E131" s="180"/>
      <c r="F131" s="184"/>
      <c r="G131" s="184"/>
      <c r="H131" s="240"/>
      <c r="I131" s="184"/>
      <c r="J131" s="184"/>
      <c r="K131" s="244"/>
      <c r="L131" s="244"/>
      <c r="M131" s="244"/>
      <c r="N131" s="180"/>
    </row>
    <row r="132">
      <c r="B132" s="184"/>
      <c r="C132" s="181"/>
      <c r="D132" s="180"/>
      <c r="E132" s="180"/>
      <c r="F132" s="184"/>
      <c r="G132" s="184"/>
      <c r="H132" s="240"/>
      <c r="I132" s="184"/>
      <c r="J132" s="184"/>
      <c r="K132" s="244"/>
      <c r="L132" s="244"/>
      <c r="M132" s="244"/>
      <c r="N132" s="180"/>
    </row>
    <row r="133">
      <c r="B133" s="184"/>
      <c r="C133" s="181"/>
      <c r="D133" s="180"/>
      <c r="E133" s="180"/>
      <c r="F133" s="184"/>
      <c r="G133" s="184"/>
      <c r="H133" s="240"/>
      <c r="I133" s="184"/>
      <c r="J133" s="184"/>
      <c r="K133" s="244"/>
      <c r="L133" s="244"/>
      <c r="M133" s="244"/>
      <c r="N133" s="180"/>
    </row>
    <row r="134">
      <c r="B134" s="184"/>
      <c r="C134" s="181"/>
      <c r="D134" s="180"/>
      <c r="E134" s="180"/>
      <c r="F134" s="184"/>
      <c r="G134" s="184"/>
      <c r="H134" s="240"/>
      <c r="I134" s="184"/>
      <c r="J134" s="184"/>
      <c r="K134" s="244"/>
      <c r="L134" s="244"/>
      <c r="M134" s="244"/>
      <c r="N134" s="180"/>
    </row>
    <row r="135">
      <c r="B135" s="184"/>
      <c r="C135" s="181"/>
      <c r="D135" s="180"/>
      <c r="E135" s="180"/>
      <c r="F135" s="184"/>
      <c r="G135" s="184"/>
      <c r="H135" s="240"/>
      <c r="I135" s="184"/>
      <c r="J135" s="184"/>
      <c r="K135" s="244"/>
      <c r="L135" s="244"/>
      <c r="M135" s="244"/>
      <c r="N135" s="180"/>
    </row>
    <row r="136">
      <c r="B136" s="184"/>
      <c r="C136" s="181"/>
      <c r="D136" s="180"/>
      <c r="E136" s="180"/>
      <c r="F136" s="184"/>
      <c r="G136" s="184"/>
      <c r="H136" s="240"/>
      <c r="I136" s="184"/>
      <c r="J136" s="184"/>
      <c r="K136" s="244"/>
      <c r="L136" s="244"/>
      <c r="M136" s="244"/>
      <c r="N136" s="180"/>
    </row>
    <row r="137">
      <c r="B137" s="184"/>
      <c r="C137" s="181"/>
      <c r="D137" s="180"/>
      <c r="E137" s="180"/>
      <c r="F137" s="184"/>
      <c r="G137" s="184"/>
      <c r="H137" s="240"/>
      <c r="I137" s="184"/>
      <c r="J137" s="184"/>
      <c r="K137" s="244"/>
      <c r="L137" s="244"/>
      <c r="M137" s="244"/>
      <c r="N137" s="180"/>
    </row>
    <row r="138">
      <c r="B138" s="184"/>
      <c r="C138" s="181"/>
      <c r="D138" s="180"/>
      <c r="E138" s="180"/>
      <c r="F138" s="184"/>
      <c r="G138" s="184"/>
      <c r="H138" s="240"/>
      <c r="I138" s="184"/>
      <c r="J138" s="184"/>
      <c r="K138" s="244"/>
      <c r="L138" s="244"/>
      <c r="M138" s="244"/>
      <c r="N138" s="180"/>
    </row>
    <row r="139">
      <c r="B139" s="184"/>
      <c r="C139" s="181"/>
      <c r="D139" s="180"/>
      <c r="E139" s="180"/>
      <c r="F139" s="184"/>
      <c r="G139" s="184"/>
      <c r="H139" s="240"/>
      <c r="I139" s="184"/>
      <c r="J139" s="184"/>
      <c r="K139" s="244"/>
      <c r="L139" s="244"/>
      <c r="M139" s="244"/>
      <c r="N139" s="180"/>
    </row>
    <row r="140">
      <c r="B140" s="184"/>
      <c r="C140" s="181"/>
      <c r="D140" s="180"/>
      <c r="E140" s="180"/>
      <c r="F140" s="184"/>
      <c r="G140" s="184"/>
      <c r="H140" s="240"/>
      <c r="I140" s="184"/>
      <c r="J140" s="184"/>
      <c r="K140" s="244"/>
      <c r="L140" s="244"/>
      <c r="M140" s="244"/>
      <c r="N140" s="180"/>
    </row>
    <row r="141">
      <c r="B141" s="184"/>
      <c r="C141" s="181"/>
      <c r="D141" s="180"/>
      <c r="E141" s="180"/>
      <c r="F141" s="184"/>
      <c r="G141" s="184"/>
      <c r="H141" s="240"/>
      <c r="I141" s="184"/>
      <c r="J141" s="184"/>
      <c r="K141" s="244"/>
      <c r="L141" s="244"/>
      <c r="M141" s="244"/>
      <c r="N141" s="180"/>
    </row>
    <row r="142">
      <c r="B142" s="184"/>
      <c r="C142" s="181"/>
      <c r="D142" s="180"/>
      <c r="E142" s="180"/>
      <c r="F142" s="184"/>
      <c r="G142" s="184"/>
      <c r="H142" s="240"/>
      <c r="I142" s="184"/>
      <c r="J142" s="184"/>
      <c r="K142" s="244"/>
      <c r="L142" s="244"/>
      <c r="M142" s="244"/>
      <c r="N142" s="180"/>
    </row>
    <row r="143">
      <c r="B143" s="184"/>
      <c r="C143" s="181"/>
      <c r="D143" s="180"/>
      <c r="E143" s="180"/>
      <c r="F143" s="184"/>
      <c r="G143" s="184"/>
      <c r="H143" s="240"/>
      <c r="I143" s="184"/>
      <c r="J143" s="184"/>
      <c r="K143" s="244"/>
      <c r="L143" s="244"/>
      <c r="M143" s="244"/>
      <c r="N143" s="180"/>
    </row>
    <row r="144">
      <c r="B144" s="184"/>
      <c r="C144" s="181"/>
      <c r="D144" s="180"/>
      <c r="E144" s="180"/>
      <c r="F144" s="184"/>
      <c r="G144" s="184"/>
      <c r="H144" s="240"/>
      <c r="I144" s="184"/>
      <c r="J144" s="184"/>
      <c r="K144" s="244"/>
      <c r="L144" s="244"/>
      <c r="M144" s="244"/>
      <c r="N144" s="180"/>
    </row>
    <row r="145">
      <c r="B145" s="184"/>
      <c r="C145" s="181"/>
      <c r="D145" s="180"/>
      <c r="E145" s="180"/>
      <c r="F145" s="184"/>
      <c r="G145" s="184"/>
      <c r="H145" s="240"/>
      <c r="I145" s="184"/>
      <c r="J145" s="184"/>
      <c r="K145" s="244"/>
      <c r="L145" s="244"/>
      <c r="M145" s="244"/>
      <c r="N145" s="180"/>
    </row>
    <row r="146">
      <c r="B146" s="184"/>
      <c r="C146" s="181"/>
      <c r="D146" s="180"/>
      <c r="E146" s="180"/>
      <c r="F146" s="184"/>
      <c r="G146" s="184"/>
      <c r="H146" s="240"/>
      <c r="I146" s="184"/>
      <c r="J146" s="184"/>
      <c r="K146" s="244"/>
      <c r="L146" s="244"/>
      <c r="M146" s="244"/>
      <c r="N146" s="180"/>
    </row>
    <row r="147">
      <c r="B147" s="184"/>
      <c r="C147" s="181"/>
      <c r="D147" s="180"/>
      <c r="E147" s="180"/>
      <c r="F147" s="184"/>
      <c r="G147" s="184"/>
      <c r="H147" s="240"/>
      <c r="I147" s="184"/>
      <c r="J147" s="184"/>
      <c r="K147" s="244"/>
      <c r="L147" s="244"/>
      <c r="M147" s="244"/>
      <c r="N147" s="180"/>
    </row>
    <row r="148">
      <c r="B148" s="184"/>
      <c r="C148" s="181"/>
      <c r="D148" s="180"/>
      <c r="E148" s="180"/>
      <c r="F148" s="184"/>
      <c r="G148" s="184"/>
      <c r="H148" s="240"/>
      <c r="I148" s="184"/>
      <c r="J148" s="184"/>
      <c r="K148" s="244"/>
      <c r="L148" s="244"/>
      <c r="M148" s="244"/>
      <c r="N148" s="180"/>
    </row>
    <row r="149">
      <c r="B149" s="184"/>
      <c r="C149" s="181"/>
      <c r="D149" s="180"/>
      <c r="E149" s="180"/>
      <c r="F149" s="184"/>
      <c r="G149" s="184"/>
      <c r="H149" s="240"/>
      <c r="I149" s="184"/>
      <c r="J149" s="184"/>
      <c r="K149" s="244"/>
      <c r="L149" s="244"/>
      <c r="M149" s="244"/>
      <c r="N149" s="180"/>
    </row>
    <row r="150">
      <c r="B150" s="184"/>
      <c r="C150" s="181"/>
      <c r="D150" s="180"/>
      <c r="E150" s="180"/>
      <c r="F150" s="184"/>
      <c r="G150" s="184"/>
      <c r="H150" s="240"/>
      <c r="I150" s="184"/>
      <c r="J150" s="184"/>
      <c r="K150" s="244"/>
      <c r="L150" s="244"/>
      <c r="M150" s="244"/>
      <c r="N150" s="180"/>
    </row>
    <row r="151">
      <c r="B151" s="184"/>
      <c r="C151" s="181"/>
      <c r="D151" s="180"/>
      <c r="E151" s="180"/>
      <c r="F151" s="184"/>
      <c r="G151" s="184"/>
      <c r="H151" s="240"/>
      <c r="I151" s="184"/>
      <c r="J151" s="184"/>
      <c r="K151" s="244"/>
      <c r="L151" s="244"/>
      <c r="M151" s="244"/>
      <c r="N151" s="180"/>
    </row>
    <row r="152">
      <c r="B152" s="184"/>
      <c r="C152" s="181"/>
      <c r="D152" s="180"/>
      <c r="E152" s="180"/>
      <c r="F152" s="184"/>
      <c r="G152" s="184"/>
      <c r="H152" s="240"/>
      <c r="I152" s="184"/>
      <c r="J152" s="184"/>
      <c r="K152" s="244"/>
      <c r="L152" s="244"/>
      <c r="M152" s="244"/>
      <c r="N152" s="180"/>
    </row>
    <row r="153">
      <c r="B153" s="184"/>
      <c r="C153" s="181"/>
      <c r="D153" s="180"/>
      <c r="E153" s="180"/>
      <c r="F153" s="184"/>
      <c r="G153" s="184"/>
      <c r="H153" s="240"/>
      <c r="I153" s="184"/>
      <c r="J153" s="184"/>
      <c r="K153" s="244"/>
      <c r="L153" s="244"/>
      <c r="M153" s="244"/>
      <c r="N153" s="180"/>
    </row>
    <row r="154">
      <c r="B154" s="184"/>
      <c r="C154" s="181"/>
      <c r="D154" s="180"/>
      <c r="E154" s="180"/>
      <c r="F154" s="184"/>
      <c r="G154" s="184"/>
      <c r="H154" s="240"/>
      <c r="I154" s="184"/>
      <c r="J154" s="184"/>
      <c r="K154" s="244"/>
      <c r="L154" s="244"/>
      <c r="M154" s="244"/>
      <c r="N154" s="180"/>
    </row>
    <row r="155">
      <c r="B155" s="184"/>
      <c r="C155" s="181"/>
      <c r="D155" s="180"/>
      <c r="E155" s="180"/>
      <c r="F155" s="184"/>
      <c r="G155" s="184"/>
      <c r="H155" s="240"/>
      <c r="I155" s="184"/>
      <c r="J155" s="184"/>
      <c r="K155" s="244"/>
      <c r="L155" s="244"/>
      <c r="M155" s="244"/>
      <c r="N155" s="180"/>
    </row>
    <row r="156">
      <c r="B156" s="184"/>
      <c r="C156" s="181"/>
      <c r="D156" s="180"/>
      <c r="E156" s="180"/>
      <c r="F156" s="184"/>
      <c r="G156" s="184"/>
      <c r="H156" s="240"/>
      <c r="I156" s="184"/>
      <c r="J156" s="184"/>
      <c r="K156" s="244"/>
      <c r="L156" s="244"/>
      <c r="M156" s="244"/>
      <c r="N156" s="180"/>
    </row>
    <row r="157">
      <c r="B157" s="184"/>
      <c r="C157" s="181"/>
      <c r="D157" s="180"/>
      <c r="E157" s="180"/>
      <c r="F157" s="184"/>
      <c r="G157" s="184"/>
      <c r="H157" s="240"/>
      <c r="I157" s="184"/>
      <c r="J157" s="184"/>
      <c r="K157" s="244"/>
      <c r="L157" s="244"/>
      <c r="M157" s="244"/>
      <c r="N157" s="180"/>
    </row>
    <row r="158">
      <c r="B158" s="184"/>
      <c r="C158" s="181"/>
      <c r="D158" s="180"/>
      <c r="E158" s="180"/>
      <c r="F158" s="184"/>
      <c r="G158" s="184"/>
      <c r="H158" s="240"/>
      <c r="I158" s="184"/>
      <c r="J158" s="184"/>
      <c r="K158" s="244"/>
      <c r="L158" s="244"/>
      <c r="M158" s="244"/>
      <c r="N158" s="180"/>
    </row>
    <row r="159">
      <c r="B159" s="184"/>
      <c r="C159" s="181"/>
      <c r="D159" s="180"/>
      <c r="E159" s="180"/>
      <c r="F159" s="184"/>
      <c r="G159" s="184"/>
      <c r="H159" s="240"/>
      <c r="I159" s="184"/>
      <c r="J159" s="184"/>
      <c r="K159" s="244"/>
      <c r="L159" s="244"/>
      <c r="M159" s="244"/>
      <c r="N159" s="180"/>
    </row>
    <row r="160">
      <c r="B160" s="184"/>
      <c r="C160" s="181"/>
      <c r="D160" s="180"/>
      <c r="E160" s="180"/>
      <c r="F160" s="184"/>
      <c r="G160" s="184"/>
      <c r="H160" s="240"/>
      <c r="I160" s="184"/>
      <c r="J160" s="184"/>
      <c r="K160" s="244"/>
      <c r="L160" s="244"/>
      <c r="M160" s="244"/>
      <c r="N160" s="180"/>
    </row>
    <row r="161">
      <c r="B161" s="184"/>
      <c r="C161" s="181"/>
      <c r="D161" s="180"/>
      <c r="E161" s="180"/>
      <c r="F161" s="184"/>
      <c r="G161" s="184"/>
      <c r="H161" s="240"/>
      <c r="I161" s="184"/>
      <c r="J161" s="184"/>
      <c r="K161" s="244"/>
      <c r="L161" s="244"/>
      <c r="M161" s="244"/>
      <c r="N161" s="180"/>
    </row>
    <row r="162">
      <c r="B162" s="184"/>
      <c r="C162" s="181"/>
      <c r="D162" s="180"/>
      <c r="E162" s="180"/>
      <c r="F162" s="184"/>
      <c r="G162" s="184"/>
      <c r="H162" s="240"/>
      <c r="I162" s="184"/>
      <c r="J162" s="184"/>
      <c r="K162" s="244"/>
      <c r="L162" s="244"/>
      <c r="M162" s="244"/>
      <c r="N162" s="180"/>
    </row>
    <row r="163">
      <c r="B163" s="184"/>
      <c r="C163" s="181"/>
      <c r="D163" s="180"/>
      <c r="E163" s="180"/>
      <c r="F163" s="184"/>
      <c r="G163" s="184"/>
      <c r="H163" s="240"/>
      <c r="I163" s="184"/>
      <c r="J163" s="184"/>
      <c r="K163" s="244"/>
      <c r="L163" s="244"/>
      <c r="M163" s="244"/>
      <c r="N163" s="180"/>
    </row>
    <row r="164">
      <c r="B164" s="184"/>
      <c r="C164" s="181"/>
      <c r="D164" s="180"/>
      <c r="E164" s="180"/>
      <c r="F164" s="184"/>
      <c r="G164" s="184"/>
      <c r="H164" s="240"/>
      <c r="I164" s="184"/>
      <c r="J164" s="184"/>
      <c r="K164" s="244"/>
      <c r="L164" s="244"/>
      <c r="M164" s="244"/>
      <c r="N164" s="180"/>
    </row>
    <row r="165">
      <c r="B165" s="184"/>
      <c r="C165" s="181"/>
      <c r="D165" s="180"/>
      <c r="E165" s="180"/>
      <c r="F165" s="184"/>
      <c r="G165" s="184"/>
      <c r="H165" s="240"/>
      <c r="I165" s="184"/>
      <c r="J165" s="184"/>
      <c r="K165" s="244"/>
      <c r="L165" s="244"/>
      <c r="M165" s="244"/>
      <c r="N165" s="180"/>
    </row>
    <row r="166">
      <c r="B166" s="184"/>
      <c r="C166" s="181"/>
      <c r="D166" s="180"/>
      <c r="E166" s="180"/>
      <c r="F166" s="184"/>
      <c r="G166" s="184"/>
      <c r="H166" s="240"/>
      <c r="I166" s="184"/>
      <c r="J166" s="184"/>
      <c r="K166" s="244"/>
      <c r="L166" s="244"/>
      <c r="M166" s="244"/>
      <c r="N166" s="180"/>
    </row>
    <row r="167">
      <c r="B167" s="184"/>
      <c r="C167" s="181"/>
      <c r="D167" s="180"/>
      <c r="E167" s="180"/>
      <c r="F167" s="184"/>
      <c r="G167" s="184"/>
      <c r="H167" s="240"/>
      <c r="I167" s="184"/>
      <c r="J167" s="184"/>
      <c r="K167" s="244"/>
      <c r="L167" s="244"/>
      <c r="M167" s="244"/>
      <c r="N167" s="180"/>
    </row>
    <row r="168">
      <c r="B168" s="184"/>
      <c r="C168" s="181"/>
      <c r="D168" s="180"/>
      <c r="E168" s="180"/>
      <c r="F168" s="184"/>
      <c r="G168" s="184"/>
      <c r="H168" s="240"/>
      <c r="I168" s="184"/>
      <c r="J168" s="184"/>
      <c r="K168" s="244"/>
      <c r="L168" s="244"/>
      <c r="M168" s="244"/>
      <c r="N168" s="180"/>
    </row>
    <row r="169">
      <c r="B169" s="184"/>
      <c r="C169" s="181"/>
      <c r="D169" s="180"/>
      <c r="E169" s="180"/>
      <c r="F169" s="184"/>
      <c r="G169" s="184"/>
      <c r="H169" s="240"/>
      <c r="I169" s="184"/>
      <c r="J169" s="184"/>
      <c r="K169" s="244"/>
      <c r="L169" s="244"/>
      <c r="M169" s="244"/>
      <c r="N169" s="180"/>
    </row>
    <row r="170">
      <c r="B170" s="184"/>
      <c r="C170" s="181"/>
      <c r="D170" s="180"/>
      <c r="E170" s="180"/>
      <c r="F170" s="184"/>
      <c r="G170" s="184"/>
      <c r="H170" s="240"/>
      <c r="I170" s="184"/>
      <c r="J170" s="184"/>
      <c r="K170" s="244"/>
      <c r="L170" s="244"/>
      <c r="M170" s="244"/>
      <c r="N170" s="180"/>
    </row>
    <row r="171">
      <c r="B171" s="184"/>
      <c r="C171" s="181"/>
      <c r="D171" s="180"/>
      <c r="E171" s="180"/>
      <c r="F171" s="184"/>
      <c r="G171" s="184"/>
      <c r="H171" s="240"/>
      <c r="I171" s="184"/>
      <c r="J171" s="184"/>
      <c r="K171" s="244"/>
      <c r="L171" s="244"/>
      <c r="M171" s="244"/>
      <c r="N171" s="180"/>
    </row>
    <row r="172">
      <c r="B172" s="184"/>
      <c r="C172" s="181"/>
      <c r="D172" s="180"/>
      <c r="E172" s="180"/>
      <c r="F172" s="184"/>
      <c r="G172" s="184"/>
      <c r="H172" s="240"/>
      <c r="I172" s="184"/>
      <c r="J172" s="184"/>
      <c r="K172" s="244"/>
      <c r="L172" s="244"/>
      <c r="M172" s="244"/>
      <c r="N172" s="180"/>
    </row>
    <row r="173">
      <c r="B173" s="184"/>
      <c r="C173" s="181"/>
      <c r="D173" s="180"/>
      <c r="E173" s="180"/>
      <c r="F173" s="184"/>
      <c r="G173" s="184"/>
      <c r="H173" s="240"/>
      <c r="I173" s="184"/>
      <c r="J173" s="184"/>
      <c r="K173" s="244"/>
      <c r="L173" s="244"/>
      <c r="M173" s="244"/>
      <c r="N173" s="180"/>
    </row>
    <row r="174">
      <c r="B174" s="184"/>
      <c r="C174" s="181"/>
      <c r="D174" s="180"/>
      <c r="E174" s="180"/>
      <c r="F174" s="184"/>
      <c r="G174" s="184"/>
      <c r="H174" s="240"/>
      <c r="I174" s="184"/>
      <c r="J174" s="184"/>
      <c r="K174" s="244"/>
      <c r="L174" s="244"/>
      <c r="M174" s="244"/>
      <c r="N174" s="180"/>
    </row>
    <row r="175">
      <c r="B175" s="184"/>
      <c r="C175" s="181"/>
      <c r="D175" s="180"/>
      <c r="E175" s="180"/>
      <c r="F175" s="184"/>
      <c r="G175" s="184"/>
      <c r="H175" s="240"/>
      <c r="I175" s="184"/>
      <c r="J175" s="184"/>
      <c r="K175" s="244"/>
      <c r="L175" s="244"/>
      <c r="M175" s="244"/>
      <c r="N175" s="180"/>
    </row>
    <row r="176">
      <c r="B176" s="184"/>
      <c r="C176" s="181"/>
      <c r="D176" s="180"/>
      <c r="E176" s="180"/>
      <c r="F176" s="184"/>
      <c r="G176" s="184"/>
      <c r="H176" s="240"/>
      <c r="I176" s="184"/>
      <c r="J176" s="184"/>
      <c r="K176" s="244"/>
      <c r="L176" s="244"/>
      <c r="M176" s="244"/>
      <c r="N176" s="180"/>
    </row>
    <row r="177">
      <c r="B177" s="184"/>
      <c r="C177" s="181"/>
      <c r="D177" s="180"/>
      <c r="E177" s="180"/>
      <c r="F177" s="184"/>
      <c r="G177" s="184"/>
      <c r="H177" s="240"/>
      <c r="I177" s="184"/>
      <c r="J177" s="184"/>
      <c r="K177" s="244"/>
      <c r="L177" s="244"/>
      <c r="M177" s="244"/>
      <c r="N177" s="180"/>
    </row>
    <row r="178">
      <c r="B178" s="184"/>
      <c r="C178" s="181"/>
      <c r="D178" s="180"/>
      <c r="E178" s="180"/>
      <c r="F178" s="184"/>
      <c r="G178" s="184"/>
      <c r="H178" s="240"/>
      <c r="I178" s="184"/>
      <c r="J178" s="184"/>
      <c r="K178" s="244"/>
      <c r="L178" s="244"/>
      <c r="M178" s="244"/>
      <c r="N178" s="180"/>
    </row>
    <row r="179">
      <c r="B179" s="184"/>
      <c r="C179" s="181"/>
      <c r="D179" s="180"/>
      <c r="E179" s="180"/>
      <c r="F179" s="184"/>
      <c r="G179" s="184"/>
      <c r="H179" s="240"/>
      <c r="I179" s="184"/>
      <c r="J179" s="184"/>
      <c r="K179" s="244"/>
      <c r="L179" s="244"/>
      <c r="M179" s="244"/>
      <c r="N179" s="180"/>
    </row>
    <row r="180">
      <c r="B180" s="184"/>
      <c r="C180" s="181"/>
      <c r="D180" s="180"/>
      <c r="E180" s="180"/>
      <c r="F180" s="184"/>
      <c r="G180" s="184"/>
      <c r="H180" s="240"/>
      <c r="I180" s="184"/>
      <c r="J180" s="184"/>
      <c r="K180" s="244"/>
      <c r="L180" s="244"/>
      <c r="M180" s="244"/>
      <c r="N180" s="180"/>
    </row>
    <row r="181">
      <c r="B181" s="184"/>
      <c r="C181" s="181"/>
      <c r="D181" s="180"/>
      <c r="E181" s="180"/>
      <c r="F181" s="184"/>
      <c r="G181" s="184"/>
      <c r="H181" s="240"/>
      <c r="I181" s="184"/>
      <c r="J181" s="184"/>
      <c r="K181" s="244"/>
      <c r="L181" s="244"/>
      <c r="M181" s="244"/>
      <c r="N181" s="180"/>
    </row>
    <row r="182">
      <c r="B182" s="184"/>
      <c r="C182" s="181"/>
      <c r="D182" s="180"/>
      <c r="E182" s="180"/>
      <c r="F182" s="184"/>
      <c r="G182" s="184"/>
      <c r="H182" s="240"/>
      <c r="I182" s="184"/>
      <c r="J182" s="184"/>
      <c r="K182" s="244"/>
      <c r="L182" s="244"/>
      <c r="M182" s="244"/>
      <c r="N182" s="180"/>
    </row>
    <row r="183">
      <c r="B183" s="184"/>
      <c r="C183" s="181"/>
      <c r="D183" s="180"/>
      <c r="E183" s="180"/>
      <c r="F183" s="184"/>
      <c r="G183" s="184"/>
      <c r="H183" s="240"/>
      <c r="I183" s="184"/>
      <c r="J183" s="184"/>
      <c r="K183" s="244"/>
      <c r="L183" s="244"/>
      <c r="M183" s="244"/>
      <c r="N183" s="180"/>
    </row>
    <row r="184">
      <c r="B184" s="184"/>
      <c r="C184" s="181"/>
      <c r="D184" s="180"/>
      <c r="E184" s="180"/>
      <c r="F184" s="184"/>
      <c r="G184" s="184"/>
      <c r="H184" s="240"/>
      <c r="I184" s="184"/>
      <c r="J184" s="184"/>
      <c r="K184" s="244"/>
      <c r="L184" s="244"/>
      <c r="M184" s="244"/>
      <c r="N184" s="180"/>
    </row>
    <row r="185">
      <c r="B185" s="184"/>
      <c r="C185" s="181"/>
      <c r="D185" s="180"/>
      <c r="E185" s="180"/>
      <c r="F185" s="184"/>
      <c r="G185" s="184"/>
      <c r="H185" s="240"/>
      <c r="I185" s="184"/>
      <c r="J185" s="184"/>
      <c r="K185" s="244"/>
      <c r="L185" s="244"/>
      <c r="M185" s="244"/>
      <c r="N185" s="180"/>
    </row>
    <row r="186">
      <c r="B186" s="184"/>
      <c r="C186" s="181"/>
      <c r="D186" s="180"/>
      <c r="E186" s="180"/>
      <c r="F186" s="184"/>
      <c r="G186" s="184"/>
      <c r="H186" s="240"/>
      <c r="I186" s="184"/>
      <c r="J186" s="184"/>
      <c r="K186" s="244"/>
      <c r="L186" s="244"/>
      <c r="M186" s="244"/>
      <c r="N186" s="180"/>
    </row>
    <row r="187">
      <c r="B187" s="184"/>
      <c r="C187" s="181"/>
      <c r="D187" s="180"/>
      <c r="E187" s="180"/>
      <c r="F187" s="184"/>
      <c r="G187" s="184"/>
      <c r="H187" s="240"/>
      <c r="I187" s="184"/>
      <c r="J187" s="184"/>
      <c r="K187" s="244"/>
      <c r="L187" s="244"/>
      <c r="M187" s="244"/>
      <c r="N187" s="180"/>
    </row>
    <row r="188">
      <c r="B188" s="184"/>
      <c r="C188" s="181"/>
      <c r="D188" s="180"/>
      <c r="E188" s="180"/>
      <c r="F188" s="184"/>
      <c r="G188" s="184"/>
      <c r="H188" s="240"/>
      <c r="I188" s="184"/>
      <c r="J188" s="184"/>
      <c r="K188" s="244"/>
      <c r="L188" s="244"/>
      <c r="M188" s="244"/>
      <c r="N188" s="180"/>
    </row>
    <row r="189">
      <c r="B189" s="184"/>
      <c r="C189" s="181"/>
      <c r="D189" s="180"/>
      <c r="E189" s="180"/>
      <c r="F189" s="184"/>
      <c r="G189" s="184"/>
      <c r="H189" s="240"/>
      <c r="I189" s="184"/>
      <c r="J189" s="184"/>
      <c r="K189" s="244"/>
      <c r="L189" s="244"/>
      <c r="M189" s="244"/>
      <c r="N189" s="180"/>
    </row>
    <row r="190">
      <c r="B190" s="184"/>
      <c r="C190" s="181"/>
      <c r="D190" s="180"/>
      <c r="E190" s="180"/>
      <c r="F190" s="184"/>
      <c r="G190" s="184"/>
      <c r="H190" s="240"/>
      <c r="I190" s="184"/>
      <c r="J190" s="184"/>
      <c r="K190" s="244"/>
      <c r="L190" s="244"/>
      <c r="M190" s="244"/>
      <c r="N190" s="180"/>
    </row>
    <row r="191">
      <c r="B191" s="184"/>
      <c r="C191" s="181"/>
      <c r="D191" s="180"/>
      <c r="E191" s="180"/>
      <c r="F191" s="184"/>
      <c r="G191" s="184"/>
      <c r="H191" s="240"/>
      <c r="I191" s="184"/>
      <c r="J191" s="184"/>
      <c r="K191" s="244"/>
      <c r="L191" s="244"/>
      <c r="M191" s="244"/>
      <c r="N191" s="180"/>
    </row>
    <row r="192">
      <c r="B192" s="184"/>
      <c r="C192" s="181"/>
      <c r="D192" s="180"/>
      <c r="E192" s="180"/>
      <c r="F192" s="184"/>
      <c r="G192" s="184"/>
      <c r="H192" s="240"/>
      <c r="I192" s="184"/>
      <c r="J192" s="184"/>
      <c r="K192" s="244"/>
      <c r="L192" s="244"/>
      <c r="M192" s="244"/>
      <c r="N192" s="180"/>
    </row>
    <row r="193">
      <c r="B193" s="184"/>
      <c r="C193" s="181"/>
      <c r="D193" s="180"/>
      <c r="E193" s="180"/>
      <c r="F193" s="184"/>
      <c r="G193" s="184"/>
      <c r="H193" s="240"/>
      <c r="I193" s="184"/>
      <c r="J193" s="184"/>
      <c r="K193" s="244"/>
      <c r="L193" s="244"/>
      <c r="M193" s="244"/>
      <c r="N193" s="180"/>
    </row>
    <row r="194">
      <c r="B194" s="184"/>
      <c r="C194" s="181"/>
      <c r="D194" s="180"/>
      <c r="E194" s="180"/>
      <c r="F194" s="184"/>
      <c r="G194" s="184"/>
      <c r="H194" s="240"/>
      <c r="I194" s="184"/>
      <c r="J194" s="184"/>
      <c r="K194" s="244"/>
      <c r="L194" s="244"/>
      <c r="M194" s="244"/>
      <c r="N194" s="180"/>
    </row>
    <row r="195">
      <c r="B195" s="184"/>
      <c r="C195" s="181"/>
      <c r="D195" s="180"/>
      <c r="E195" s="180"/>
      <c r="F195" s="184"/>
      <c r="G195" s="184"/>
      <c r="H195" s="240"/>
      <c r="I195" s="184"/>
      <c r="J195" s="184"/>
      <c r="K195" s="244"/>
      <c r="L195" s="244"/>
      <c r="M195" s="244"/>
      <c r="N195" s="180"/>
    </row>
    <row r="196">
      <c r="B196" s="184"/>
      <c r="C196" s="181"/>
      <c r="D196" s="180"/>
      <c r="E196" s="180"/>
      <c r="F196" s="184"/>
      <c r="G196" s="184"/>
      <c r="H196" s="240"/>
      <c r="I196" s="184"/>
      <c r="J196" s="184"/>
      <c r="K196" s="244"/>
      <c r="L196" s="244"/>
      <c r="M196" s="244"/>
      <c r="N196" s="180"/>
    </row>
    <row r="197">
      <c r="B197" s="184"/>
      <c r="C197" s="181"/>
      <c r="D197" s="180"/>
      <c r="E197" s="180"/>
      <c r="F197" s="184"/>
      <c r="G197" s="184"/>
      <c r="H197" s="240"/>
      <c r="I197" s="184"/>
      <c r="J197" s="184"/>
      <c r="K197" s="244"/>
      <c r="L197" s="244"/>
      <c r="M197" s="244"/>
      <c r="N197" s="180"/>
    </row>
    <row r="198">
      <c r="B198" s="184"/>
      <c r="C198" s="181"/>
      <c r="D198" s="180"/>
      <c r="E198" s="180"/>
      <c r="F198" s="184"/>
      <c r="G198" s="184"/>
      <c r="H198" s="240"/>
      <c r="I198" s="184"/>
      <c r="J198" s="184"/>
      <c r="K198" s="244"/>
      <c r="L198" s="244"/>
      <c r="M198" s="244"/>
      <c r="N198" s="180"/>
    </row>
    <row r="199">
      <c r="B199" s="184"/>
      <c r="C199" s="181"/>
      <c r="D199" s="180"/>
      <c r="E199" s="180"/>
      <c r="F199" s="184"/>
      <c r="G199" s="184"/>
      <c r="H199" s="240"/>
      <c r="I199" s="184"/>
      <c r="J199" s="184"/>
      <c r="K199" s="244"/>
      <c r="L199" s="244"/>
      <c r="M199" s="244"/>
      <c r="N199" s="180"/>
    </row>
    <row r="200">
      <c r="B200" s="184"/>
      <c r="C200" s="181"/>
      <c r="D200" s="180"/>
      <c r="E200" s="180"/>
      <c r="F200" s="184"/>
      <c r="G200" s="184"/>
      <c r="H200" s="240"/>
      <c r="I200" s="184"/>
      <c r="J200" s="184"/>
      <c r="K200" s="244"/>
      <c r="L200" s="244"/>
      <c r="M200" s="244"/>
      <c r="N200" s="180"/>
    </row>
    <row r="201">
      <c r="B201" s="184"/>
      <c r="C201" s="181"/>
      <c r="D201" s="180"/>
      <c r="E201" s="180"/>
      <c r="F201" s="184"/>
      <c r="G201" s="184"/>
      <c r="H201" s="240"/>
      <c r="I201" s="184"/>
      <c r="J201" s="184"/>
      <c r="K201" s="244"/>
      <c r="L201" s="244"/>
      <c r="M201" s="244"/>
      <c r="N201" s="180"/>
    </row>
    <row r="202">
      <c r="B202" s="184"/>
      <c r="C202" s="181"/>
      <c r="D202" s="180"/>
      <c r="E202" s="180"/>
      <c r="F202" s="184"/>
      <c r="G202" s="184"/>
      <c r="H202" s="240"/>
      <c r="I202" s="184"/>
      <c r="J202" s="184"/>
      <c r="K202" s="244"/>
      <c r="L202" s="244"/>
      <c r="M202" s="244"/>
      <c r="N202" s="180"/>
    </row>
    <row r="203">
      <c r="B203" s="184"/>
      <c r="C203" s="181"/>
      <c r="D203" s="180"/>
      <c r="E203" s="180"/>
      <c r="F203" s="184"/>
      <c r="G203" s="184"/>
      <c r="H203" s="240"/>
      <c r="I203" s="184"/>
      <c r="J203" s="184"/>
      <c r="K203" s="244"/>
      <c r="L203" s="244"/>
      <c r="M203" s="244"/>
      <c r="N203" s="180"/>
    </row>
    <row r="204">
      <c r="B204" s="184"/>
      <c r="C204" s="181"/>
      <c r="D204" s="180"/>
      <c r="E204" s="180"/>
      <c r="F204" s="184"/>
      <c r="G204" s="184"/>
      <c r="H204" s="240"/>
      <c r="I204" s="184"/>
      <c r="J204" s="184"/>
      <c r="K204" s="244"/>
      <c r="L204" s="244"/>
      <c r="M204" s="244"/>
      <c r="N204" s="180"/>
    </row>
    <row r="205">
      <c r="B205" s="184"/>
      <c r="C205" s="181"/>
      <c r="D205" s="180"/>
      <c r="E205" s="180"/>
      <c r="F205" s="184"/>
      <c r="G205" s="184"/>
      <c r="H205" s="240"/>
      <c r="I205" s="184"/>
      <c r="J205" s="184"/>
      <c r="K205" s="244"/>
      <c r="L205" s="244"/>
      <c r="M205" s="244"/>
      <c r="N205" s="180"/>
    </row>
    <row r="206">
      <c r="B206" s="184"/>
      <c r="C206" s="181"/>
      <c r="D206" s="180"/>
      <c r="E206" s="180"/>
      <c r="F206" s="184"/>
      <c r="G206" s="184"/>
      <c r="H206" s="240"/>
      <c r="I206" s="184"/>
      <c r="J206" s="184"/>
      <c r="K206" s="244"/>
      <c r="L206" s="244"/>
      <c r="M206" s="244"/>
      <c r="N206" s="180"/>
    </row>
    <row r="207">
      <c r="B207" s="184"/>
      <c r="C207" s="181"/>
      <c r="D207" s="180"/>
      <c r="E207" s="180"/>
      <c r="F207" s="184"/>
      <c r="G207" s="184"/>
      <c r="H207" s="240"/>
      <c r="I207" s="184"/>
      <c r="J207" s="184"/>
      <c r="K207" s="244"/>
      <c r="L207" s="244"/>
      <c r="M207" s="244"/>
      <c r="N207" s="180"/>
    </row>
    <row r="208">
      <c r="B208" s="184"/>
      <c r="C208" s="181"/>
      <c r="D208" s="180"/>
      <c r="E208" s="180"/>
      <c r="F208" s="184"/>
      <c r="G208" s="184"/>
      <c r="H208" s="240"/>
      <c r="I208" s="184"/>
      <c r="J208" s="184"/>
      <c r="K208" s="244"/>
      <c r="L208" s="244"/>
      <c r="M208" s="244"/>
      <c r="N208" s="180"/>
    </row>
    <row r="209">
      <c r="B209" s="184"/>
      <c r="C209" s="181"/>
      <c r="D209" s="180"/>
      <c r="E209" s="180"/>
      <c r="F209" s="184"/>
      <c r="G209" s="184"/>
      <c r="H209" s="240"/>
      <c r="I209" s="184"/>
      <c r="J209" s="184"/>
      <c r="K209" s="244"/>
      <c r="L209" s="244"/>
      <c r="M209" s="244"/>
      <c r="N209" s="180"/>
    </row>
    <row r="210">
      <c r="B210" s="184"/>
      <c r="C210" s="181"/>
      <c r="D210" s="180"/>
      <c r="E210" s="180"/>
      <c r="F210" s="184"/>
      <c r="G210" s="184"/>
      <c r="H210" s="240"/>
      <c r="I210" s="184"/>
      <c r="J210" s="184"/>
      <c r="K210" s="244"/>
      <c r="L210" s="244"/>
      <c r="M210" s="244"/>
      <c r="N210" s="180"/>
    </row>
    <row r="211">
      <c r="B211" s="184"/>
      <c r="C211" s="181"/>
      <c r="D211" s="180"/>
      <c r="E211" s="180"/>
      <c r="F211" s="184"/>
      <c r="G211" s="184"/>
      <c r="H211" s="240"/>
      <c r="I211" s="184"/>
      <c r="J211" s="184"/>
      <c r="K211" s="244"/>
      <c r="L211" s="244"/>
      <c r="M211" s="244"/>
      <c r="N211" s="180"/>
    </row>
    <row r="212">
      <c r="B212" s="184"/>
      <c r="C212" s="181"/>
      <c r="D212" s="180"/>
      <c r="E212" s="180"/>
      <c r="F212" s="184"/>
      <c r="G212" s="184"/>
      <c r="H212" s="240"/>
      <c r="I212" s="184"/>
      <c r="J212" s="184"/>
      <c r="K212" s="244"/>
      <c r="L212" s="244"/>
      <c r="M212" s="244"/>
      <c r="N212" s="180"/>
    </row>
    <row r="213">
      <c r="B213" s="184"/>
      <c r="C213" s="181"/>
      <c r="D213" s="180"/>
      <c r="E213" s="180"/>
      <c r="F213" s="184"/>
      <c r="G213" s="184"/>
      <c r="H213" s="240"/>
      <c r="I213" s="184"/>
      <c r="J213" s="184"/>
      <c r="K213" s="244"/>
      <c r="L213" s="244"/>
      <c r="M213" s="244"/>
      <c r="N213" s="180"/>
    </row>
    <row r="214">
      <c r="B214" s="184"/>
      <c r="C214" s="181"/>
      <c r="D214" s="180"/>
      <c r="E214" s="180"/>
      <c r="F214" s="184"/>
      <c r="G214" s="184"/>
      <c r="H214" s="240"/>
      <c r="I214" s="184"/>
      <c r="J214" s="184"/>
      <c r="K214" s="244"/>
      <c r="L214" s="244"/>
      <c r="M214" s="244"/>
      <c r="N214" s="180"/>
    </row>
    <row r="215">
      <c r="B215" s="184"/>
      <c r="C215" s="181"/>
      <c r="D215" s="180"/>
      <c r="E215" s="180"/>
      <c r="F215" s="184"/>
      <c r="G215" s="184"/>
      <c r="H215" s="240"/>
      <c r="I215" s="184"/>
      <c r="J215" s="184"/>
      <c r="K215" s="244"/>
      <c r="L215" s="244"/>
      <c r="M215" s="244"/>
      <c r="N215" s="180"/>
    </row>
    <row r="216">
      <c r="B216" s="184"/>
      <c r="C216" s="181"/>
      <c r="D216" s="180"/>
      <c r="E216" s="180"/>
      <c r="F216" s="184"/>
      <c r="G216" s="184"/>
      <c r="H216" s="240"/>
      <c r="I216" s="184"/>
      <c r="J216" s="184"/>
      <c r="K216" s="244"/>
      <c r="L216" s="244"/>
      <c r="M216" s="244"/>
      <c r="N216" s="180"/>
    </row>
    <row r="217">
      <c r="B217" s="184"/>
      <c r="C217" s="181"/>
      <c r="D217" s="180"/>
      <c r="E217" s="180"/>
      <c r="F217" s="184"/>
      <c r="G217" s="184"/>
      <c r="H217" s="240"/>
      <c r="I217" s="184"/>
      <c r="J217" s="184"/>
      <c r="K217" s="244"/>
      <c r="L217" s="244"/>
      <c r="M217" s="244"/>
      <c r="N217" s="180"/>
    </row>
    <row r="218">
      <c r="B218" s="184"/>
      <c r="C218" s="181"/>
      <c r="D218" s="180"/>
      <c r="E218" s="180"/>
      <c r="F218" s="184"/>
      <c r="G218" s="184"/>
      <c r="H218" s="240"/>
      <c r="I218" s="184"/>
      <c r="J218" s="184"/>
      <c r="K218" s="244"/>
      <c r="L218" s="244"/>
      <c r="M218" s="244"/>
      <c r="N218" s="180"/>
    </row>
    <row r="219">
      <c r="B219" s="184"/>
      <c r="C219" s="181"/>
      <c r="D219" s="180"/>
      <c r="E219" s="180"/>
      <c r="F219" s="184"/>
      <c r="G219" s="184"/>
      <c r="H219" s="240"/>
      <c r="I219" s="184"/>
      <c r="J219" s="184"/>
      <c r="K219" s="244"/>
      <c r="L219" s="244"/>
      <c r="M219" s="244"/>
      <c r="N219" s="180"/>
    </row>
    <row r="220">
      <c r="B220" s="184"/>
      <c r="C220" s="181"/>
      <c r="D220" s="180"/>
      <c r="E220" s="180"/>
      <c r="F220" s="184"/>
      <c r="G220" s="184"/>
      <c r="H220" s="240"/>
      <c r="I220" s="184"/>
      <c r="J220" s="184"/>
      <c r="K220" s="244"/>
      <c r="L220" s="244"/>
      <c r="M220" s="244"/>
      <c r="N220" s="180"/>
    </row>
    <row r="221">
      <c r="B221" s="184"/>
      <c r="C221" s="181"/>
      <c r="D221" s="180"/>
      <c r="E221" s="180"/>
      <c r="F221" s="184"/>
      <c r="G221" s="184"/>
      <c r="H221" s="240"/>
      <c r="I221" s="184"/>
      <c r="J221" s="184"/>
      <c r="K221" s="244"/>
      <c r="L221" s="244"/>
      <c r="M221" s="244"/>
      <c r="N221" s="180"/>
    </row>
    <row r="222">
      <c r="B222" s="184"/>
      <c r="C222" s="181"/>
      <c r="D222" s="180"/>
      <c r="E222" s="180"/>
      <c r="F222" s="184"/>
      <c r="G222" s="184"/>
      <c r="H222" s="240"/>
      <c r="I222" s="184"/>
      <c r="J222" s="184"/>
      <c r="K222" s="244"/>
      <c r="L222" s="244"/>
      <c r="M222" s="244"/>
      <c r="N222" s="180"/>
    </row>
    <row r="223">
      <c r="B223" s="184"/>
      <c r="C223" s="181"/>
      <c r="D223" s="180"/>
      <c r="E223" s="180"/>
      <c r="F223" s="184"/>
      <c r="G223" s="184"/>
      <c r="H223" s="240"/>
      <c r="I223" s="184"/>
      <c r="J223" s="184"/>
      <c r="K223" s="244"/>
      <c r="L223" s="244"/>
      <c r="M223" s="244"/>
      <c r="N223" s="180"/>
    </row>
    <row r="224">
      <c r="B224" s="184"/>
      <c r="C224" s="181"/>
      <c r="D224" s="180"/>
      <c r="E224" s="180"/>
      <c r="F224" s="184"/>
      <c r="G224" s="184"/>
      <c r="H224" s="240"/>
      <c r="I224" s="184"/>
      <c r="J224" s="184"/>
      <c r="K224" s="244"/>
      <c r="L224" s="244"/>
      <c r="M224" s="244"/>
      <c r="N224" s="180"/>
    </row>
    <row r="225">
      <c r="B225" s="184"/>
      <c r="C225" s="181"/>
      <c r="D225" s="180"/>
      <c r="E225" s="180"/>
      <c r="F225" s="184"/>
      <c r="G225" s="184"/>
      <c r="H225" s="240"/>
      <c r="I225" s="184"/>
      <c r="J225" s="184"/>
      <c r="K225" s="244"/>
      <c r="L225" s="244"/>
      <c r="M225" s="244"/>
      <c r="N225" s="180"/>
    </row>
    <row r="226">
      <c r="B226" s="184"/>
      <c r="C226" s="181"/>
      <c r="D226" s="180"/>
      <c r="E226" s="180"/>
      <c r="F226" s="184"/>
      <c r="G226" s="184"/>
      <c r="H226" s="240"/>
      <c r="I226" s="184"/>
      <c r="J226" s="184"/>
      <c r="K226" s="244"/>
      <c r="L226" s="244"/>
      <c r="M226" s="244"/>
      <c r="N226" s="180"/>
    </row>
    <row r="227">
      <c r="B227" s="184"/>
      <c r="C227" s="181"/>
      <c r="D227" s="180"/>
      <c r="E227" s="180"/>
      <c r="F227" s="184"/>
      <c r="G227" s="184"/>
      <c r="H227" s="240"/>
      <c r="I227" s="184"/>
      <c r="J227" s="184"/>
      <c r="K227" s="244"/>
      <c r="L227" s="244"/>
      <c r="M227" s="244"/>
      <c r="N227" s="180"/>
    </row>
    <row r="228">
      <c r="B228" s="184"/>
      <c r="C228" s="181"/>
      <c r="D228" s="180"/>
      <c r="E228" s="180"/>
      <c r="F228" s="184"/>
      <c r="G228" s="184"/>
      <c r="H228" s="240"/>
      <c r="I228" s="184"/>
      <c r="J228" s="184"/>
      <c r="K228" s="244"/>
      <c r="L228" s="244"/>
      <c r="M228" s="244"/>
      <c r="N228" s="180"/>
    </row>
    <row r="229">
      <c r="B229" s="184"/>
      <c r="C229" s="181"/>
      <c r="D229" s="180"/>
      <c r="E229" s="180"/>
      <c r="F229" s="184"/>
      <c r="G229" s="184"/>
      <c r="H229" s="240"/>
      <c r="I229" s="184"/>
      <c r="J229" s="184"/>
      <c r="K229" s="244"/>
      <c r="L229" s="244"/>
      <c r="M229" s="244"/>
      <c r="N229" s="180"/>
    </row>
    <row r="230">
      <c r="B230" s="184"/>
      <c r="C230" s="181"/>
      <c r="D230" s="180"/>
      <c r="E230" s="180"/>
      <c r="F230" s="184"/>
      <c r="G230" s="184"/>
      <c r="H230" s="240"/>
      <c r="I230" s="184"/>
      <c r="J230" s="184"/>
      <c r="K230" s="244"/>
      <c r="L230" s="244"/>
      <c r="M230" s="244"/>
      <c r="N230" s="180"/>
    </row>
    <row r="231">
      <c r="B231" s="184"/>
      <c r="C231" s="181"/>
      <c r="D231" s="180"/>
      <c r="E231" s="180"/>
      <c r="F231" s="184"/>
      <c r="G231" s="184"/>
      <c r="H231" s="240"/>
      <c r="I231" s="184"/>
      <c r="J231" s="184"/>
      <c r="K231" s="244"/>
      <c r="L231" s="244"/>
      <c r="M231" s="244"/>
      <c r="N231" s="180"/>
    </row>
    <row r="232">
      <c r="B232" s="184"/>
      <c r="C232" s="181"/>
      <c r="D232" s="180"/>
      <c r="E232" s="180"/>
      <c r="F232" s="184"/>
      <c r="G232" s="184"/>
      <c r="H232" s="240"/>
      <c r="I232" s="184"/>
      <c r="J232" s="184"/>
      <c r="K232" s="244"/>
      <c r="L232" s="244"/>
      <c r="M232" s="244"/>
      <c r="N232" s="180"/>
    </row>
    <row r="233">
      <c r="B233" s="184"/>
      <c r="C233" s="181"/>
      <c r="D233" s="180"/>
      <c r="E233" s="180"/>
      <c r="F233" s="184"/>
      <c r="G233" s="184"/>
      <c r="H233" s="240"/>
      <c r="I233" s="184"/>
      <c r="J233" s="184"/>
      <c r="K233" s="244"/>
      <c r="L233" s="244"/>
      <c r="M233" s="244"/>
      <c r="N233" s="180"/>
    </row>
    <row r="234">
      <c r="B234" s="184"/>
      <c r="C234" s="181"/>
      <c r="D234" s="180"/>
      <c r="E234" s="180"/>
      <c r="F234" s="184"/>
      <c r="G234" s="184"/>
      <c r="H234" s="240"/>
      <c r="I234" s="184"/>
      <c r="J234" s="184"/>
      <c r="K234" s="244"/>
      <c r="L234" s="244"/>
      <c r="M234" s="244"/>
      <c r="N234" s="180"/>
    </row>
    <row r="235">
      <c r="B235" s="184"/>
      <c r="C235" s="181"/>
      <c r="D235" s="180"/>
      <c r="E235" s="180"/>
      <c r="F235" s="184"/>
      <c r="G235" s="184"/>
      <c r="H235" s="240"/>
      <c r="I235" s="184"/>
      <c r="J235" s="184"/>
      <c r="K235" s="244"/>
      <c r="L235" s="244"/>
      <c r="M235" s="244"/>
      <c r="N235" s="180"/>
    </row>
    <row r="236">
      <c r="B236" s="184"/>
      <c r="C236" s="181"/>
      <c r="D236" s="180"/>
      <c r="E236" s="180"/>
      <c r="F236" s="184"/>
      <c r="G236" s="184"/>
      <c r="H236" s="240"/>
      <c r="I236" s="184"/>
      <c r="J236" s="184"/>
      <c r="K236" s="244"/>
      <c r="L236" s="244"/>
      <c r="M236" s="244"/>
      <c r="N236" s="180"/>
    </row>
    <row r="237">
      <c r="B237" s="184"/>
      <c r="C237" s="181"/>
      <c r="D237" s="180"/>
      <c r="E237" s="180"/>
      <c r="F237" s="184"/>
      <c r="G237" s="184"/>
      <c r="H237" s="240"/>
      <c r="I237" s="184"/>
      <c r="J237" s="184"/>
      <c r="K237" s="244"/>
      <c r="L237" s="244"/>
      <c r="M237" s="244"/>
      <c r="N237" s="180"/>
    </row>
    <row r="238">
      <c r="B238" s="184"/>
      <c r="C238" s="181"/>
      <c r="D238" s="180"/>
      <c r="E238" s="180"/>
      <c r="F238" s="184"/>
      <c r="G238" s="184"/>
      <c r="H238" s="240"/>
      <c r="I238" s="184"/>
      <c r="J238" s="184"/>
      <c r="K238" s="244"/>
      <c r="L238" s="244"/>
      <c r="M238" s="244"/>
      <c r="N238" s="180"/>
    </row>
    <row r="239">
      <c r="B239" s="184"/>
      <c r="C239" s="181"/>
      <c r="D239" s="180"/>
      <c r="E239" s="180"/>
      <c r="F239" s="184"/>
      <c r="G239" s="184"/>
      <c r="H239" s="240"/>
      <c r="I239" s="184"/>
      <c r="J239" s="184"/>
      <c r="K239" s="244"/>
      <c r="L239" s="244"/>
      <c r="M239" s="244"/>
      <c r="N239" s="180"/>
    </row>
    <row r="240">
      <c r="B240" s="184"/>
      <c r="C240" s="181"/>
      <c r="D240" s="180"/>
      <c r="E240" s="180"/>
      <c r="F240" s="184"/>
      <c r="G240" s="184"/>
      <c r="H240" s="240"/>
      <c r="I240" s="184"/>
      <c r="J240" s="184"/>
      <c r="K240" s="244"/>
      <c r="L240" s="244"/>
      <c r="M240" s="244"/>
      <c r="N240" s="180"/>
    </row>
    <row r="241">
      <c r="B241" s="184"/>
      <c r="C241" s="181"/>
      <c r="D241" s="180"/>
      <c r="E241" s="180"/>
      <c r="F241" s="184"/>
      <c r="G241" s="184"/>
      <c r="H241" s="240"/>
      <c r="I241" s="184"/>
      <c r="J241" s="184"/>
      <c r="K241" s="244"/>
      <c r="L241" s="244"/>
      <c r="M241" s="244"/>
      <c r="N241" s="180"/>
    </row>
    <row r="242">
      <c r="B242" s="184"/>
      <c r="C242" s="181"/>
      <c r="D242" s="180"/>
      <c r="E242" s="180"/>
      <c r="F242" s="184"/>
      <c r="G242" s="184"/>
      <c r="H242" s="240"/>
      <c r="I242" s="184"/>
      <c r="J242" s="184"/>
      <c r="K242" s="244"/>
      <c r="L242" s="244"/>
      <c r="M242" s="244"/>
      <c r="N242" s="180"/>
    </row>
    <row r="243">
      <c r="B243" s="184"/>
      <c r="C243" s="181"/>
      <c r="D243" s="180"/>
      <c r="E243" s="180"/>
      <c r="F243" s="184"/>
      <c r="G243" s="184"/>
      <c r="H243" s="240"/>
      <c r="I243" s="184"/>
      <c r="J243" s="184"/>
      <c r="K243" s="244"/>
      <c r="L243" s="244"/>
      <c r="M243" s="244"/>
      <c r="N243" s="180"/>
    </row>
    <row r="244">
      <c r="B244" s="184"/>
      <c r="C244" s="181"/>
      <c r="D244" s="180"/>
      <c r="E244" s="180"/>
      <c r="F244" s="184"/>
      <c r="G244" s="184"/>
      <c r="H244" s="240"/>
      <c r="I244" s="184"/>
      <c r="J244" s="184"/>
      <c r="K244" s="244"/>
      <c r="L244" s="244"/>
      <c r="M244" s="244"/>
      <c r="N244" s="180"/>
    </row>
    <row r="245">
      <c r="B245" s="184"/>
      <c r="C245" s="181"/>
      <c r="D245" s="180"/>
      <c r="E245" s="180"/>
      <c r="F245" s="184"/>
      <c r="G245" s="184"/>
      <c r="H245" s="240"/>
      <c r="I245" s="184"/>
      <c r="J245" s="184"/>
      <c r="K245" s="244"/>
      <c r="L245" s="244"/>
      <c r="M245" s="244"/>
      <c r="N245" s="180"/>
    </row>
    <row r="246">
      <c r="B246" s="184"/>
      <c r="C246" s="181"/>
      <c r="D246" s="180"/>
      <c r="E246" s="180"/>
      <c r="F246" s="184"/>
      <c r="G246" s="184"/>
      <c r="H246" s="240"/>
      <c r="I246" s="184"/>
      <c r="J246" s="184"/>
      <c r="K246" s="244"/>
      <c r="L246" s="244"/>
      <c r="M246" s="244"/>
      <c r="N246" s="180"/>
    </row>
    <row r="247">
      <c r="B247" s="184"/>
      <c r="C247" s="181"/>
      <c r="D247" s="180"/>
      <c r="E247" s="180"/>
      <c r="F247" s="184"/>
      <c r="G247" s="184"/>
      <c r="H247" s="240"/>
      <c r="I247" s="184"/>
      <c r="J247" s="184"/>
      <c r="K247" s="244"/>
      <c r="L247" s="244"/>
      <c r="M247" s="244"/>
      <c r="N247" s="180"/>
    </row>
    <row r="248">
      <c r="B248" s="184"/>
      <c r="C248" s="181"/>
      <c r="D248" s="180"/>
      <c r="E248" s="180"/>
      <c r="F248" s="184"/>
      <c r="G248" s="184"/>
      <c r="H248" s="240"/>
      <c r="I248" s="184"/>
      <c r="J248" s="184"/>
      <c r="K248" s="244"/>
      <c r="L248" s="244"/>
      <c r="M248" s="244"/>
      <c r="N248" s="180"/>
    </row>
    <row r="249">
      <c r="B249" s="184"/>
      <c r="C249" s="181"/>
      <c r="D249" s="180"/>
      <c r="E249" s="180"/>
      <c r="F249" s="184"/>
      <c r="G249" s="184"/>
      <c r="H249" s="240"/>
      <c r="I249" s="184"/>
      <c r="J249" s="184"/>
      <c r="K249" s="244"/>
      <c r="L249" s="244"/>
      <c r="M249" s="244"/>
      <c r="N249" s="180"/>
    </row>
    <row r="250">
      <c r="B250" s="184"/>
      <c r="C250" s="181"/>
      <c r="D250" s="180"/>
      <c r="E250" s="180"/>
      <c r="F250" s="184"/>
      <c r="G250" s="184"/>
      <c r="H250" s="240"/>
      <c r="I250" s="184"/>
      <c r="J250" s="184"/>
      <c r="K250" s="244"/>
      <c r="L250" s="244"/>
      <c r="M250" s="244"/>
      <c r="N250" s="180"/>
    </row>
    <row r="251">
      <c r="B251" s="184"/>
      <c r="C251" s="181"/>
      <c r="D251" s="180"/>
      <c r="E251" s="180"/>
      <c r="F251" s="184"/>
      <c r="G251" s="184"/>
      <c r="H251" s="240"/>
      <c r="I251" s="184"/>
      <c r="J251" s="184"/>
      <c r="K251" s="244"/>
      <c r="L251" s="244"/>
      <c r="M251" s="244"/>
      <c r="N251" s="180"/>
    </row>
    <row r="252">
      <c r="B252" s="184"/>
      <c r="C252" s="181"/>
      <c r="D252" s="180"/>
      <c r="E252" s="180"/>
      <c r="F252" s="184"/>
      <c r="G252" s="184"/>
      <c r="H252" s="240"/>
      <c r="I252" s="184"/>
      <c r="J252" s="184"/>
      <c r="K252" s="244"/>
      <c r="L252" s="244"/>
      <c r="M252" s="244"/>
      <c r="N252" s="180"/>
    </row>
    <row r="253">
      <c r="B253" s="184"/>
      <c r="C253" s="181"/>
      <c r="D253" s="180"/>
      <c r="E253" s="180"/>
      <c r="F253" s="184"/>
      <c r="G253" s="184"/>
      <c r="H253" s="240"/>
      <c r="I253" s="184"/>
      <c r="J253" s="184"/>
      <c r="K253" s="244"/>
      <c r="L253" s="244"/>
      <c r="M253" s="244"/>
      <c r="N253" s="180"/>
    </row>
    <row r="254">
      <c r="B254" s="184"/>
      <c r="C254" s="181"/>
      <c r="D254" s="180"/>
      <c r="E254" s="180"/>
      <c r="F254" s="184"/>
      <c r="G254" s="184"/>
      <c r="H254" s="240"/>
      <c r="I254" s="184"/>
      <c r="J254" s="184"/>
      <c r="K254" s="244"/>
      <c r="L254" s="244"/>
      <c r="M254" s="244"/>
      <c r="N254" s="180"/>
    </row>
    <row r="255">
      <c r="B255" s="184"/>
      <c r="C255" s="181"/>
      <c r="D255" s="180"/>
      <c r="E255" s="180"/>
      <c r="F255" s="184"/>
      <c r="G255" s="184"/>
      <c r="H255" s="240"/>
      <c r="I255" s="184"/>
      <c r="J255" s="184"/>
      <c r="K255" s="244"/>
      <c r="L255" s="244"/>
      <c r="M255" s="244"/>
      <c r="N255" s="180"/>
    </row>
    <row r="256">
      <c r="B256" s="184"/>
      <c r="C256" s="181"/>
      <c r="D256" s="180"/>
      <c r="E256" s="180"/>
      <c r="F256" s="184"/>
      <c r="G256" s="184"/>
      <c r="H256" s="240"/>
      <c r="I256" s="184"/>
      <c r="J256" s="184"/>
      <c r="K256" s="244"/>
      <c r="L256" s="244"/>
      <c r="M256" s="244"/>
      <c r="N256" s="180"/>
    </row>
    <row r="257">
      <c r="B257" s="184"/>
      <c r="C257" s="181"/>
      <c r="D257" s="180"/>
      <c r="E257" s="180"/>
      <c r="F257" s="184"/>
      <c r="G257" s="184"/>
      <c r="H257" s="240"/>
      <c r="I257" s="184"/>
      <c r="J257" s="184"/>
      <c r="K257" s="244"/>
      <c r="L257" s="244"/>
      <c r="M257" s="244"/>
      <c r="N257" s="180"/>
    </row>
    <row r="258">
      <c r="B258" s="184"/>
      <c r="C258" s="181"/>
      <c r="D258" s="180"/>
      <c r="E258" s="180"/>
      <c r="F258" s="184"/>
      <c r="G258" s="184"/>
      <c r="H258" s="240"/>
      <c r="I258" s="184"/>
      <c r="J258" s="184"/>
      <c r="K258" s="244"/>
      <c r="L258" s="244"/>
      <c r="M258" s="244"/>
      <c r="N258" s="180"/>
    </row>
    <row r="259">
      <c r="B259" s="184"/>
      <c r="C259" s="181"/>
      <c r="D259" s="180"/>
      <c r="E259" s="180"/>
      <c r="F259" s="184"/>
      <c r="G259" s="184"/>
      <c r="H259" s="240"/>
      <c r="I259" s="184"/>
      <c r="J259" s="184"/>
      <c r="K259" s="244"/>
      <c r="L259" s="244"/>
      <c r="M259" s="244"/>
      <c r="N259" s="180"/>
    </row>
    <row r="260">
      <c r="B260" s="184"/>
      <c r="C260" s="181"/>
      <c r="D260" s="180"/>
      <c r="E260" s="180"/>
      <c r="F260" s="184"/>
      <c r="G260" s="184"/>
      <c r="H260" s="240"/>
      <c r="I260" s="184"/>
      <c r="J260" s="184"/>
      <c r="K260" s="244"/>
      <c r="L260" s="244"/>
      <c r="M260" s="244"/>
      <c r="N260" s="180"/>
    </row>
    <row r="261">
      <c r="B261" s="184"/>
      <c r="C261" s="181"/>
      <c r="D261" s="180"/>
      <c r="E261" s="180"/>
      <c r="F261" s="184"/>
      <c r="G261" s="184"/>
      <c r="H261" s="240"/>
      <c r="I261" s="184"/>
      <c r="J261" s="184"/>
      <c r="K261" s="244"/>
      <c r="L261" s="244"/>
      <c r="M261" s="244"/>
      <c r="N261" s="180"/>
    </row>
    <row r="262">
      <c r="B262" s="184"/>
      <c r="C262" s="181"/>
      <c r="D262" s="180"/>
      <c r="E262" s="180"/>
      <c r="F262" s="184"/>
      <c r="G262" s="184"/>
      <c r="H262" s="240"/>
      <c r="I262" s="184"/>
      <c r="J262" s="184"/>
      <c r="K262" s="244"/>
      <c r="L262" s="244"/>
      <c r="M262" s="244"/>
      <c r="N262" s="180"/>
    </row>
    <row r="263">
      <c r="B263" s="184"/>
      <c r="C263" s="181"/>
      <c r="D263" s="180"/>
      <c r="E263" s="180"/>
      <c r="F263" s="184"/>
      <c r="G263" s="184"/>
      <c r="H263" s="240"/>
      <c r="I263" s="184"/>
      <c r="J263" s="184"/>
      <c r="K263" s="244"/>
      <c r="L263" s="244"/>
      <c r="M263" s="244"/>
      <c r="N263" s="180"/>
    </row>
    <row r="264">
      <c r="B264" s="184"/>
      <c r="C264" s="181"/>
      <c r="D264" s="180"/>
      <c r="E264" s="180"/>
      <c r="F264" s="184"/>
      <c r="G264" s="184"/>
      <c r="H264" s="240"/>
      <c r="I264" s="184"/>
      <c r="J264" s="184"/>
      <c r="K264" s="244"/>
      <c r="L264" s="244"/>
      <c r="M264" s="244"/>
      <c r="N264" s="180"/>
    </row>
    <row r="265">
      <c r="B265" s="184"/>
      <c r="C265" s="181"/>
      <c r="D265" s="180"/>
      <c r="E265" s="180"/>
      <c r="F265" s="184"/>
      <c r="G265" s="184"/>
      <c r="H265" s="240"/>
      <c r="I265" s="184"/>
      <c r="J265" s="184"/>
      <c r="K265" s="244"/>
      <c r="L265" s="244"/>
      <c r="M265" s="244"/>
      <c r="N265" s="180"/>
    </row>
    <row r="266">
      <c r="B266" s="184"/>
      <c r="C266" s="181"/>
      <c r="D266" s="180"/>
      <c r="E266" s="180"/>
      <c r="F266" s="184"/>
      <c r="G266" s="184"/>
      <c r="H266" s="240"/>
      <c r="I266" s="184"/>
      <c r="J266" s="184"/>
      <c r="K266" s="244"/>
      <c r="L266" s="244"/>
      <c r="M266" s="244"/>
      <c r="N266" s="180"/>
    </row>
    <row r="267">
      <c r="B267" s="184"/>
      <c r="C267" s="181"/>
      <c r="D267" s="180"/>
      <c r="E267" s="180"/>
      <c r="F267" s="184"/>
      <c r="G267" s="184"/>
      <c r="H267" s="240"/>
      <c r="I267" s="184"/>
      <c r="J267" s="184"/>
      <c r="K267" s="244"/>
      <c r="L267" s="244"/>
      <c r="M267" s="244"/>
      <c r="N267" s="180"/>
    </row>
    <row r="268">
      <c r="B268" s="184"/>
      <c r="C268" s="181"/>
      <c r="D268" s="180"/>
      <c r="E268" s="180"/>
      <c r="F268" s="184"/>
      <c r="G268" s="184"/>
      <c r="H268" s="240"/>
      <c r="I268" s="184"/>
      <c r="J268" s="184"/>
      <c r="K268" s="244"/>
      <c r="L268" s="244"/>
      <c r="M268" s="244"/>
      <c r="N268" s="180"/>
    </row>
    <row r="269">
      <c r="B269" s="184"/>
      <c r="C269" s="181"/>
      <c r="D269" s="180"/>
      <c r="E269" s="180"/>
      <c r="F269" s="184"/>
      <c r="G269" s="184"/>
      <c r="H269" s="240"/>
      <c r="I269" s="184"/>
      <c r="J269" s="184"/>
      <c r="K269" s="244"/>
      <c r="L269" s="244"/>
      <c r="M269" s="244"/>
      <c r="N269" s="180"/>
    </row>
    <row r="270">
      <c r="B270" s="184"/>
      <c r="C270" s="181"/>
      <c r="D270" s="180"/>
      <c r="E270" s="180"/>
      <c r="F270" s="184"/>
      <c r="G270" s="184"/>
      <c r="H270" s="240"/>
      <c r="I270" s="184"/>
      <c r="J270" s="184"/>
      <c r="K270" s="244"/>
      <c r="L270" s="244"/>
      <c r="M270" s="244"/>
      <c r="N270" s="180"/>
    </row>
    <row r="271">
      <c r="B271" s="184"/>
      <c r="C271" s="181"/>
      <c r="D271" s="180"/>
      <c r="E271" s="180"/>
      <c r="F271" s="184"/>
      <c r="G271" s="184"/>
      <c r="H271" s="240"/>
      <c r="I271" s="184"/>
      <c r="J271" s="184"/>
      <c r="K271" s="244"/>
      <c r="L271" s="244"/>
      <c r="M271" s="244"/>
      <c r="N271" s="180"/>
    </row>
    <row r="272">
      <c r="B272" s="184"/>
      <c r="C272" s="181"/>
      <c r="D272" s="180"/>
      <c r="E272" s="180"/>
      <c r="F272" s="184"/>
      <c r="G272" s="184"/>
      <c r="H272" s="240"/>
      <c r="I272" s="184"/>
      <c r="J272" s="184"/>
      <c r="K272" s="244"/>
      <c r="L272" s="244"/>
      <c r="M272" s="244"/>
      <c r="N272" s="180"/>
    </row>
    <row r="273">
      <c r="B273" s="184"/>
      <c r="C273" s="181"/>
      <c r="D273" s="180"/>
      <c r="E273" s="180"/>
      <c r="F273" s="184"/>
      <c r="G273" s="184"/>
      <c r="H273" s="240"/>
      <c r="I273" s="184"/>
      <c r="J273" s="184"/>
      <c r="K273" s="244"/>
      <c r="L273" s="244"/>
      <c r="M273" s="244"/>
      <c r="N273" s="180"/>
    </row>
    <row r="274">
      <c r="B274" s="184"/>
      <c r="C274" s="181"/>
      <c r="D274" s="180"/>
      <c r="E274" s="180"/>
      <c r="F274" s="184"/>
      <c r="G274" s="184"/>
      <c r="H274" s="240"/>
      <c r="I274" s="184"/>
      <c r="J274" s="184"/>
      <c r="K274" s="244"/>
      <c r="L274" s="244"/>
      <c r="M274" s="244"/>
      <c r="N274" s="180"/>
    </row>
    <row r="275">
      <c r="B275" s="184"/>
      <c r="C275" s="181"/>
      <c r="D275" s="180"/>
      <c r="E275" s="180"/>
      <c r="F275" s="184"/>
      <c r="G275" s="184"/>
      <c r="H275" s="240"/>
      <c r="I275" s="184"/>
      <c r="J275" s="184"/>
      <c r="K275" s="244"/>
      <c r="L275" s="244"/>
      <c r="M275" s="244"/>
      <c r="N275" s="180"/>
    </row>
    <row r="276">
      <c r="B276" s="184"/>
      <c r="C276" s="181"/>
      <c r="D276" s="180"/>
      <c r="E276" s="180"/>
      <c r="F276" s="184"/>
      <c r="G276" s="184"/>
      <c r="H276" s="240"/>
      <c r="I276" s="184"/>
      <c r="J276" s="184"/>
      <c r="K276" s="244"/>
      <c r="L276" s="244"/>
      <c r="M276" s="244"/>
      <c r="N276" s="180"/>
    </row>
    <row r="277">
      <c r="B277" s="184"/>
      <c r="C277" s="181"/>
      <c r="D277" s="180"/>
      <c r="E277" s="180"/>
      <c r="F277" s="184"/>
      <c r="G277" s="184"/>
      <c r="H277" s="240"/>
      <c r="I277" s="184"/>
      <c r="J277" s="184"/>
      <c r="K277" s="244"/>
      <c r="L277" s="244"/>
      <c r="M277" s="244"/>
      <c r="N277" s="180"/>
    </row>
    <row r="278">
      <c r="B278" s="184"/>
      <c r="C278" s="181"/>
      <c r="D278" s="180"/>
      <c r="E278" s="180"/>
      <c r="F278" s="184"/>
      <c r="G278" s="184"/>
      <c r="H278" s="240"/>
      <c r="I278" s="184"/>
      <c r="J278" s="184"/>
      <c r="K278" s="244"/>
      <c r="L278" s="244"/>
      <c r="M278" s="244"/>
      <c r="N278" s="180"/>
    </row>
    <row r="279">
      <c r="B279" s="184"/>
      <c r="C279" s="181"/>
      <c r="D279" s="180"/>
      <c r="E279" s="180"/>
      <c r="F279" s="184"/>
      <c r="G279" s="184"/>
      <c r="H279" s="240"/>
      <c r="I279" s="184"/>
      <c r="J279" s="184"/>
      <c r="K279" s="244"/>
      <c r="L279" s="244"/>
      <c r="M279" s="244"/>
      <c r="N279" s="180"/>
    </row>
    <row r="280">
      <c r="B280" s="184"/>
      <c r="C280" s="181"/>
      <c r="D280" s="180"/>
      <c r="E280" s="180"/>
      <c r="F280" s="184"/>
      <c r="G280" s="184"/>
      <c r="H280" s="240"/>
      <c r="I280" s="184"/>
      <c r="J280" s="184"/>
      <c r="K280" s="244"/>
      <c r="L280" s="244"/>
      <c r="M280" s="244"/>
      <c r="N280" s="180"/>
    </row>
    <row r="281">
      <c r="B281" s="184"/>
      <c r="C281" s="181"/>
      <c r="D281" s="180"/>
      <c r="E281" s="180"/>
      <c r="F281" s="184"/>
      <c r="G281" s="184"/>
      <c r="H281" s="240"/>
      <c r="I281" s="184"/>
      <c r="J281" s="184"/>
      <c r="K281" s="244"/>
      <c r="L281" s="244"/>
      <c r="M281" s="244"/>
      <c r="N281" s="180"/>
    </row>
    <row r="282">
      <c r="B282" s="184"/>
      <c r="C282" s="181"/>
      <c r="D282" s="180"/>
      <c r="E282" s="180"/>
      <c r="F282" s="184"/>
      <c r="G282" s="184"/>
      <c r="H282" s="240"/>
      <c r="I282" s="184"/>
      <c r="J282" s="184"/>
      <c r="K282" s="244"/>
      <c r="L282" s="244"/>
      <c r="M282" s="244"/>
      <c r="N282" s="180"/>
    </row>
    <row r="283">
      <c r="B283" s="184"/>
      <c r="C283" s="181"/>
      <c r="D283" s="180"/>
      <c r="E283" s="180"/>
      <c r="F283" s="184"/>
      <c r="G283" s="184"/>
      <c r="H283" s="240"/>
      <c r="I283" s="184"/>
      <c r="J283" s="184"/>
      <c r="K283" s="244"/>
      <c r="L283" s="244"/>
      <c r="M283" s="244"/>
      <c r="N283" s="180"/>
    </row>
    <row r="284">
      <c r="B284" s="184"/>
      <c r="C284" s="181"/>
      <c r="D284" s="180"/>
      <c r="E284" s="180"/>
      <c r="F284" s="184"/>
      <c r="G284" s="184"/>
      <c r="H284" s="240"/>
      <c r="I284" s="184"/>
      <c r="J284" s="184"/>
      <c r="K284" s="244"/>
      <c r="L284" s="244"/>
      <c r="M284" s="244"/>
      <c r="N284" s="180"/>
    </row>
    <row r="285">
      <c r="B285" s="184"/>
      <c r="C285" s="181"/>
      <c r="D285" s="180"/>
      <c r="E285" s="180"/>
      <c r="F285" s="184"/>
      <c r="G285" s="184"/>
      <c r="H285" s="240"/>
      <c r="I285" s="184"/>
      <c r="J285" s="184"/>
      <c r="K285" s="244"/>
      <c r="L285" s="244"/>
      <c r="M285" s="244"/>
      <c r="N285" s="180"/>
    </row>
    <row r="286">
      <c r="B286" s="184"/>
      <c r="C286" s="181"/>
      <c r="D286" s="180"/>
      <c r="E286" s="180"/>
      <c r="F286" s="184"/>
      <c r="G286" s="184"/>
      <c r="H286" s="240"/>
      <c r="I286" s="184"/>
      <c r="J286" s="184"/>
      <c r="K286" s="244"/>
      <c r="L286" s="244"/>
      <c r="M286" s="244"/>
      <c r="N286" s="180"/>
    </row>
    <row r="287">
      <c r="B287" s="184"/>
      <c r="C287" s="181"/>
      <c r="D287" s="180"/>
      <c r="E287" s="180"/>
      <c r="F287" s="184"/>
      <c r="G287" s="184"/>
      <c r="H287" s="240"/>
      <c r="I287" s="184"/>
      <c r="J287" s="184"/>
      <c r="K287" s="244"/>
      <c r="L287" s="244"/>
      <c r="M287" s="244"/>
      <c r="N287" s="180"/>
    </row>
    <row r="288">
      <c r="B288" s="184"/>
      <c r="C288" s="181"/>
      <c r="D288" s="180"/>
      <c r="E288" s="180"/>
      <c r="F288" s="184"/>
      <c r="G288" s="184"/>
      <c r="H288" s="240"/>
      <c r="I288" s="184"/>
      <c r="J288" s="184"/>
      <c r="K288" s="244"/>
      <c r="L288" s="244"/>
      <c r="M288" s="244"/>
      <c r="N288" s="180"/>
    </row>
    <row r="289">
      <c r="B289" s="184"/>
      <c r="C289" s="181"/>
      <c r="D289" s="180"/>
      <c r="E289" s="180"/>
      <c r="F289" s="184"/>
      <c r="G289" s="184"/>
      <c r="H289" s="240"/>
      <c r="I289" s="184"/>
      <c r="J289" s="184"/>
      <c r="K289" s="244"/>
      <c r="L289" s="244"/>
      <c r="M289" s="244"/>
      <c r="N289" s="180"/>
    </row>
    <row r="290">
      <c r="B290" s="184"/>
      <c r="C290" s="181"/>
      <c r="D290" s="180"/>
      <c r="E290" s="180"/>
      <c r="F290" s="184"/>
      <c r="G290" s="184"/>
      <c r="H290" s="240"/>
      <c r="I290" s="184"/>
      <c r="J290" s="184"/>
      <c r="K290" s="244"/>
      <c r="L290" s="244"/>
      <c r="M290" s="244"/>
      <c r="N290" s="180"/>
    </row>
    <row r="291">
      <c r="B291" s="184"/>
      <c r="C291" s="181"/>
      <c r="D291" s="180"/>
      <c r="E291" s="180"/>
      <c r="F291" s="184"/>
      <c r="G291" s="184"/>
      <c r="H291" s="240"/>
      <c r="I291" s="184"/>
      <c r="J291" s="184"/>
      <c r="K291" s="244"/>
      <c r="L291" s="244"/>
      <c r="M291" s="244"/>
      <c r="N291" s="180"/>
    </row>
    <row r="292">
      <c r="B292" s="184"/>
      <c r="C292" s="181"/>
      <c r="D292" s="180"/>
      <c r="E292" s="180"/>
      <c r="F292" s="184"/>
      <c r="G292" s="184"/>
      <c r="H292" s="240"/>
      <c r="I292" s="184"/>
      <c r="J292" s="184"/>
      <c r="K292" s="244"/>
      <c r="L292" s="244"/>
      <c r="M292" s="244"/>
      <c r="N292" s="180"/>
    </row>
    <row r="293">
      <c r="B293" s="184"/>
      <c r="C293" s="181"/>
      <c r="D293" s="180"/>
      <c r="E293" s="180"/>
      <c r="F293" s="184"/>
      <c r="G293" s="184"/>
      <c r="H293" s="240"/>
      <c r="I293" s="184"/>
      <c r="J293" s="184"/>
      <c r="K293" s="244"/>
      <c r="L293" s="244"/>
      <c r="M293" s="244"/>
      <c r="N293" s="180"/>
    </row>
    <row r="294">
      <c r="B294" s="184"/>
      <c r="C294" s="181"/>
      <c r="D294" s="180"/>
      <c r="E294" s="180"/>
      <c r="F294" s="184"/>
      <c r="G294" s="184"/>
      <c r="H294" s="240"/>
      <c r="I294" s="184"/>
      <c r="J294" s="184"/>
      <c r="K294" s="244"/>
      <c r="L294" s="244"/>
      <c r="M294" s="244"/>
      <c r="N294" s="180"/>
    </row>
    <row r="295">
      <c r="B295" s="184"/>
      <c r="C295" s="181"/>
      <c r="D295" s="180"/>
      <c r="E295" s="180"/>
      <c r="F295" s="184"/>
      <c r="G295" s="184"/>
      <c r="H295" s="240"/>
      <c r="I295" s="184"/>
      <c r="J295" s="184"/>
      <c r="K295" s="244"/>
      <c r="L295" s="244"/>
      <c r="M295" s="244"/>
      <c r="N295" s="180"/>
    </row>
    <row r="296">
      <c r="B296" s="184"/>
      <c r="C296" s="181"/>
      <c r="D296" s="180"/>
      <c r="E296" s="180"/>
      <c r="F296" s="184"/>
      <c r="G296" s="184"/>
      <c r="H296" s="240"/>
      <c r="I296" s="184"/>
      <c r="J296" s="184"/>
      <c r="K296" s="244"/>
      <c r="L296" s="244"/>
      <c r="M296" s="244"/>
      <c r="N296" s="180"/>
    </row>
    <row r="297">
      <c r="B297" s="184"/>
      <c r="C297" s="181"/>
      <c r="D297" s="180"/>
      <c r="E297" s="180"/>
      <c r="F297" s="184"/>
      <c r="G297" s="184"/>
      <c r="H297" s="240"/>
      <c r="I297" s="184"/>
      <c r="J297" s="184"/>
      <c r="K297" s="244"/>
      <c r="L297" s="244"/>
      <c r="M297" s="244"/>
      <c r="N297" s="180"/>
    </row>
    <row r="298">
      <c r="B298" s="184"/>
      <c r="C298" s="181"/>
      <c r="D298" s="180"/>
      <c r="E298" s="180"/>
      <c r="F298" s="184"/>
      <c r="G298" s="184"/>
      <c r="H298" s="240"/>
      <c r="I298" s="184"/>
      <c r="J298" s="184"/>
      <c r="K298" s="244"/>
      <c r="L298" s="244"/>
      <c r="M298" s="244"/>
      <c r="N298" s="180"/>
    </row>
    <row r="299">
      <c r="B299" s="184"/>
      <c r="C299" s="181"/>
      <c r="D299" s="180"/>
      <c r="E299" s="180"/>
      <c r="F299" s="184"/>
      <c r="G299" s="184"/>
      <c r="H299" s="240"/>
      <c r="I299" s="184"/>
      <c r="J299" s="184"/>
      <c r="K299" s="244"/>
      <c r="L299" s="244"/>
      <c r="M299" s="244"/>
      <c r="N299" s="180"/>
    </row>
    <row r="300">
      <c r="B300" s="184"/>
      <c r="C300" s="181"/>
      <c r="D300" s="180"/>
      <c r="E300" s="180"/>
      <c r="F300" s="184"/>
      <c r="G300" s="184"/>
      <c r="H300" s="240"/>
      <c r="I300" s="184"/>
      <c r="J300" s="184"/>
      <c r="K300" s="244"/>
      <c r="L300" s="244"/>
      <c r="M300" s="244"/>
      <c r="N300" s="180"/>
    </row>
    <row r="301">
      <c r="B301" s="184"/>
      <c r="C301" s="181"/>
      <c r="D301" s="180"/>
      <c r="E301" s="180"/>
      <c r="F301" s="184"/>
      <c r="G301" s="184"/>
      <c r="H301" s="240"/>
      <c r="I301" s="184"/>
      <c r="J301" s="184"/>
      <c r="K301" s="244"/>
      <c r="L301" s="244"/>
      <c r="M301" s="244"/>
      <c r="N301" s="180"/>
    </row>
    <row r="302">
      <c r="B302" s="184"/>
      <c r="C302" s="181"/>
      <c r="D302" s="180"/>
      <c r="E302" s="180"/>
      <c r="F302" s="184"/>
      <c r="G302" s="184"/>
      <c r="H302" s="240"/>
      <c r="I302" s="184"/>
      <c r="J302" s="184"/>
      <c r="K302" s="244"/>
      <c r="L302" s="244"/>
      <c r="M302" s="244"/>
      <c r="N302" s="180"/>
    </row>
    <row r="303">
      <c r="B303" s="184"/>
      <c r="C303" s="181"/>
      <c r="D303" s="180"/>
      <c r="E303" s="180"/>
      <c r="F303" s="184"/>
      <c r="G303" s="184"/>
      <c r="H303" s="240"/>
      <c r="I303" s="184"/>
      <c r="J303" s="184"/>
      <c r="K303" s="244"/>
      <c r="L303" s="244"/>
      <c r="M303" s="244"/>
      <c r="N303" s="180"/>
    </row>
    <row r="304">
      <c r="B304" s="184"/>
      <c r="C304" s="181"/>
      <c r="D304" s="180"/>
      <c r="E304" s="180"/>
      <c r="F304" s="184"/>
      <c r="G304" s="184"/>
      <c r="H304" s="240"/>
      <c r="I304" s="184"/>
      <c r="J304" s="184"/>
      <c r="K304" s="244"/>
      <c r="L304" s="244"/>
      <c r="M304" s="244"/>
      <c r="N304" s="180"/>
    </row>
    <row r="305">
      <c r="B305" s="184"/>
      <c r="C305" s="181"/>
      <c r="D305" s="180"/>
      <c r="E305" s="180"/>
      <c r="F305" s="184"/>
      <c r="G305" s="184"/>
      <c r="H305" s="240"/>
      <c r="I305" s="184"/>
      <c r="J305" s="184"/>
      <c r="K305" s="244"/>
      <c r="L305" s="244"/>
      <c r="M305" s="244"/>
      <c r="N305" s="180"/>
    </row>
    <row r="306">
      <c r="B306" s="184"/>
      <c r="C306" s="181"/>
      <c r="D306" s="180"/>
      <c r="E306" s="180"/>
      <c r="F306" s="184"/>
      <c r="G306" s="184"/>
      <c r="H306" s="240"/>
      <c r="I306" s="184"/>
      <c r="J306" s="184"/>
      <c r="K306" s="244"/>
      <c r="L306" s="244"/>
      <c r="M306" s="244"/>
      <c r="N306" s="180"/>
    </row>
    <row r="307">
      <c r="B307" s="184"/>
      <c r="C307" s="181"/>
      <c r="D307" s="180"/>
      <c r="E307" s="180"/>
      <c r="F307" s="184"/>
      <c r="G307" s="184"/>
      <c r="H307" s="240"/>
      <c r="I307" s="184"/>
      <c r="J307" s="184"/>
      <c r="K307" s="244"/>
      <c r="L307" s="244"/>
      <c r="M307" s="244"/>
      <c r="N307" s="180"/>
    </row>
    <row r="308">
      <c r="B308" s="184"/>
      <c r="C308" s="181"/>
      <c r="D308" s="180"/>
      <c r="E308" s="180"/>
      <c r="F308" s="184"/>
      <c r="G308" s="184"/>
      <c r="H308" s="240"/>
      <c r="I308" s="184"/>
      <c r="J308" s="184"/>
      <c r="K308" s="244"/>
      <c r="L308" s="244"/>
      <c r="M308" s="244"/>
      <c r="N308" s="180"/>
    </row>
    <row r="309">
      <c r="B309" s="184"/>
      <c r="C309" s="181"/>
      <c r="D309" s="180"/>
      <c r="E309" s="180"/>
      <c r="F309" s="184"/>
      <c r="G309" s="184"/>
      <c r="H309" s="240"/>
      <c r="I309" s="184"/>
      <c r="J309" s="184"/>
      <c r="K309" s="244"/>
      <c r="L309" s="244"/>
      <c r="M309" s="244"/>
      <c r="N309" s="180"/>
    </row>
    <row r="310">
      <c r="B310" s="184"/>
      <c r="C310" s="181"/>
      <c r="D310" s="180"/>
      <c r="E310" s="180"/>
      <c r="F310" s="184"/>
      <c r="G310" s="184"/>
      <c r="H310" s="240"/>
      <c r="I310" s="184"/>
      <c r="J310" s="184"/>
      <c r="K310" s="244"/>
      <c r="L310" s="244"/>
      <c r="M310" s="244"/>
      <c r="N310" s="180"/>
    </row>
    <row r="311">
      <c r="B311" s="184"/>
      <c r="C311" s="181"/>
      <c r="D311" s="180"/>
      <c r="E311" s="180"/>
      <c r="F311" s="184"/>
      <c r="G311" s="184"/>
      <c r="H311" s="240"/>
      <c r="I311" s="184"/>
      <c r="J311" s="184"/>
      <c r="K311" s="244"/>
      <c r="L311" s="244"/>
      <c r="M311" s="244"/>
      <c r="N311" s="180"/>
    </row>
    <row r="312">
      <c r="B312" s="184"/>
      <c r="C312" s="181"/>
      <c r="D312" s="180"/>
      <c r="E312" s="180"/>
      <c r="F312" s="184"/>
      <c r="G312" s="184"/>
      <c r="H312" s="240"/>
      <c r="I312" s="184"/>
      <c r="J312" s="184"/>
      <c r="K312" s="244"/>
      <c r="L312" s="244"/>
      <c r="M312" s="244"/>
      <c r="N312" s="180"/>
    </row>
    <row r="313">
      <c r="B313" s="184"/>
      <c r="C313" s="181"/>
      <c r="D313" s="180"/>
      <c r="E313" s="180"/>
      <c r="F313" s="184"/>
      <c r="G313" s="184"/>
      <c r="H313" s="240"/>
      <c r="I313" s="184"/>
      <c r="J313" s="184"/>
      <c r="K313" s="244"/>
      <c r="L313" s="244"/>
      <c r="M313" s="244"/>
      <c r="N313" s="180"/>
    </row>
    <row r="314">
      <c r="B314" s="184"/>
      <c r="C314" s="181"/>
      <c r="D314" s="180"/>
      <c r="E314" s="180"/>
      <c r="F314" s="184"/>
      <c r="G314" s="184"/>
      <c r="H314" s="240"/>
      <c r="I314" s="184"/>
      <c r="J314" s="184"/>
      <c r="K314" s="244"/>
      <c r="L314" s="244"/>
      <c r="M314" s="244"/>
      <c r="N314" s="180"/>
    </row>
    <row r="315">
      <c r="B315" s="184"/>
      <c r="C315" s="181"/>
      <c r="D315" s="180"/>
      <c r="E315" s="180"/>
      <c r="F315" s="184"/>
      <c r="G315" s="184"/>
      <c r="H315" s="240"/>
      <c r="I315" s="184"/>
      <c r="J315" s="184"/>
      <c r="K315" s="244"/>
      <c r="L315" s="244"/>
      <c r="M315" s="244"/>
      <c r="N315" s="180"/>
    </row>
    <row r="316">
      <c r="B316" s="184"/>
      <c r="C316" s="181"/>
      <c r="D316" s="180"/>
      <c r="E316" s="180"/>
      <c r="F316" s="184"/>
      <c r="G316" s="184"/>
      <c r="H316" s="240"/>
      <c r="I316" s="184"/>
      <c r="J316" s="184"/>
      <c r="K316" s="244"/>
      <c r="L316" s="244"/>
      <c r="M316" s="244"/>
      <c r="N316" s="180"/>
    </row>
    <row r="317">
      <c r="B317" s="184"/>
      <c r="C317" s="181"/>
      <c r="D317" s="180"/>
      <c r="E317" s="180"/>
      <c r="F317" s="184"/>
      <c r="G317" s="184"/>
      <c r="H317" s="240"/>
      <c r="I317" s="184"/>
      <c r="J317" s="184"/>
      <c r="K317" s="244"/>
      <c r="L317" s="244"/>
      <c r="M317" s="244"/>
      <c r="N317" s="180"/>
    </row>
    <row r="318">
      <c r="B318" s="184"/>
      <c r="C318" s="181"/>
      <c r="D318" s="180"/>
      <c r="E318" s="180"/>
      <c r="F318" s="184"/>
      <c r="G318" s="184"/>
      <c r="H318" s="240"/>
      <c r="I318" s="184"/>
      <c r="J318" s="184"/>
      <c r="K318" s="244"/>
      <c r="L318" s="244"/>
      <c r="M318" s="244"/>
      <c r="N318" s="180"/>
    </row>
    <row r="319">
      <c r="B319" s="184"/>
      <c r="C319" s="181"/>
      <c r="D319" s="180"/>
      <c r="E319" s="180"/>
      <c r="F319" s="184"/>
      <c r="G319" s="184"/>
      <c r="H319" s="240"/>
      <c r="I319" s="184"/>
      <c r="J319" s="184"/>
      <c r="K319" s="244"/>
      <c r="L319" s="244"/>
      <c r="M319" s="244"/>
      <c r="N319" s="180"/>
    </row>
    <row r="320">
      <c r="B320" s="184"/>
      <c r="C320" s="181"/>
      <c r="D320" s="180"/>
      <c r="E320" s="180"/>
      <c r="F320" s="184"/>
      <c r="G320" s="184"/>
      <c r="H320" s="240"/>
      <c r="I320" s="184"/>
      <c r="J320" s="184"/>
      <c r="K320" s="244"/>
      <c r="L320" s="244"/>
      <c r="M320" s="244"/>
      <c r="N320" s="180"/>
    </row>
    <row r="321">
      <c r="B321" s="184"/>
      <c r="C321" s="181"/>
      <c r="D321" s="180"/>
      <c r="E321" s="180"/>
      <c r="F321" s="184"/>
      <c r="G321" s="184"/>
      <c r="H321" s="240"/>
      <c r="I321" s="184"/>
      <c r="J321" s="184"/>
      <c r="K321" s="244"/>
      <c r="L321" s="244"/>
      <c r="M321" s="244"/>
      <c r="N321" s="180"/>
    </row>
    <row r="322">
      <c r="B322" s="184"/>
      <c r="C322" s="181"/>
      <c r="D322" s="180"/>
      <c r="E322" s="180"/>
      <c r="F322" s="184"/>
      <c r="G322" s="184"/>
      <c r="H322" s="240"/>
      <c r="I322" s="184"/>
      <c r="J322" s="184"/>
      <c r="K322" s="244"/>
      <c r="L322" s="244"/>
      <c r="M322" s="244"/>
      <c r="N322" s="180"/>
    </row>
    <row r="323">
      <c r="B323" s="184"/>
      <c r="C323" s="181"/>
      <c r="D323" s="180"/>
      <c r="E323" s="180"/>
      <c r="F323" s="184"/>
      <c r="G323" s="184"/>
      <c r="H323" s="240"/>
      <c r="I323" s="184"/>
      <c r="J323" s="184"/>
      <c r="K323" s="244"/>
      <c r="L323" s="244"/>
      <c r="M323" s="244"/>
      <c r="N323" s="180"/>
    </row>
    <row r="324">
      <c r="B324" s="184"/>
      <c r="C324" s="181"/>
      <c r="D324" s="180"/>
      <c r="E324" s="180"/>
      <c r="F324" s="184"/>
      <c r="G324" s="184"/>
      <c r="H324" s="240"/>
      <c r="I324" s="184"/>
      <c r="J324" s="184"/>
      <c r="K324" s="244"/>
      <c r="L324" s="244"/>
      <c r="M324" s="244"/>
      <c r="N324" s="180"/>
    </row>
    <row r="325">
      <c r="B325" s="184"/>
      <c r="C325" s="181"/>
      <c r="D325" s="180"/>
      <c r="E325" s="180"/>
      <c r="F325" s="184"/>
      <c r="G325" s="184"/>
      <c r="H325" s="240"/>
      <c r="I325" s="184"/>
      <c r="J325" s="184"/>
      <c r="K325" s="244"/>
      <c r="L325" s="244"/>
      <c r="M325" s="244"/>
      <c r="N325" s="180"/>
    </row>
    <row r="326">
      <c r="B326" s="184"/>
      <c r="C326" s="181"/>
      <c r="D326" s="180"/>
      <c r="E326" s="180"/>
      <c r="F326" s="184"/>
      <c r="G326" s="184"/>
      <c r="H326" s="240"/>
      <c r="I326" s="184"/>
      <c r="J326" s="184"/>
      <c r="K326" s="244"/>
      <c r="L326" s="244"/>
      <c r="M326" s="244"/>
      <c r="N326" s="180"/>
    </row>
    <row r="327">
      <c r="B327" s="184"/>
      <c r="C327" s="181"/>
      <c r="D327" s="180"/>
      <c r="E327" s="180"/>
      <c r="F327" s="184"/>
      <c r="G327" s="184"/>
      <c r="H327" s="240"/>
      <c r="I327" s="184"/>
      <c r="J327" s="184"/>
      <c r="K327" s="244"/>
      <c r="L327" s="244"/>
      <c r="M327" s="244"/>
      <c r="N327" s="180"/>
    </row>
    <row r="328">
      <c r="B328" s="184"/>
      <c r="C328" s="181"/>
      <c r="D328" s="180"/>
      <c r="E328" s="180"/>
      <c r="F328" s="184"/>
      <c r="G328" s="184"/>
      <c r="H328" s="240"/>
      <c r="I328" s="184"/>
      <c r="J328" s="184"/>
      <c r="K328" s="244"/>
      <c r="L328" s="244"/>
      <c r="M328" s="244"/>
      <c r="N328" s="180"/>
    </row>
    <row r="329">
      <c r="B329" s="184"/>
      <c r="C329" s="181"/>
      <c r="D329" s="180"/>
      <c r="E329" s="180"/>
      <c r="F329" s="184"/>
      <c r="G329" s="184"/>
      <c r="H329" s="240"/>
      <c r="I329" s="184"/>
      <c r="J329" s="184"/>
      <c r="K329" s="244"/>
      <c r="L329" s="244"/>
      <c r="M329" s="244"/>
      <c r="N329" s="180"/>
    </row>
    <row r="330">
      <c r="B330" s="184"/>
      <c r="C330" s="181"/>
      <c r="D330" s="180"/>
      <c r="E330" s="180"/>
      <c r="F330" s="184"/>
      <c r="G330" s="184"/>
      <c r="H330" s="240"/>
      <c r="I330" s="184"/>
      <c r="J330" s="184"/>
      <c r="K330" s="244"/>
      <c r="L330" s="244"/>
      <c r="M330" s="244"/>
      <c r="N330" s="180"/>
    </row>
    <row r="331">
      <c r="B331" s="184"/>
      <c r="C331" s="181"/>
      <c r="D331" s="180"/>
      <c r="E331" s="180"/>
      <c r="F331" s="184"/>
      <c r="G331" s="184"/>
      <c r="H331" s="240"/>
      <c r="I331" s="184"/>
      <c r="J331" s="184"/>
      <c r="K331" s="244"/>
      <c r="L331" s="244"/>
      <c r="M331" s="244"/>
      <c r="N331" s="180"/>
    </row>
    <row r="332">
      <c r="B332" s="184"/>
      <c r="C332" s="181"/>
      <c r="D332" s="180"/>
      <c r="E332" s="180"/>
      <c r="F332" s="184"/>
      <c r="G332" s="184"/>
      <c r="H332" s="240"/>
      <c r="I332" s="184"/>
      <c r="J332" s="184"/>
      <c r="K332" s="244"/>
      <c r="L332" s="244"/>
      <c r="M332" s="244"/>
      <c r="N332" s="180"/>
    </row>
    <row r="333">
      <c r="B333" s="184"/>
      <c r="C333" s="181"/>
      <c r="D333" s="180"/>
      <c r="E333" s="180"/>
      <c r="F333" s="184"/>
      <c r="G333" s="184"/>
      <c r="H333" s="240"/>
      <c r="I333" s="184"/>
      <c r="J333" s="184"/>
      <c r="K333" s="244"/>
      <c r="L333" s="244"/>
      <c r="M333" s="244"/>
      <c r="N333" s="180"/>
    </row>
    <row r="334">
      <c r="B334" s="184"/>
      <c r="C334" s="181"/>
      <c r="D334" s="180"/>
      <c r="E334" s="180"/>
      <c r="F334" s="184"/>
      <c r="G334" s="184"/>
      <c r="H334" s="240"/>
      <c r="I334" s="184"/>
      <c r="J334" s="184"/>
      <c r="K334" s="244"/>
      <c r="L334" s="244"/>
      <c r="M334" s="244"/>
      <c r="N334" s="180"/>
    </row>
    <row r="335">
      <c r="B335" s="184"/>
      <c r="C335" s="181"/>
      <c r="D335" s="180"/>
      <c r="E335" s="180"/>
      <c r="F335" s="184"/>
      <c r="G335" s="184"/>
      <c r="H335" s="240"/>
      <c r="I335" s="184"/>
      <c r="J335" s="184"/>
      <c r="K335" s="244"/>
      <c r="L335" s="244"/>
      <c r="M335" s="244"/>
      <c r="N335" s="180"/>
    </row>
    <row r="336">
      <c r="B336" s="184"/>
      <c r="C336" s="181"/>
      <c r="D336" s="180"/>
      <c r="E336" s="180"/>
      <c r="F336" s="184"/>
      <c r="G336" s="184"/>
      <c r="H336" s="240"/>
      <c r="I336" s="184"/>
      <c r="J336" s="184"/>
      <c r="K336" s="244"/>
      <c r="L336" s="244"/>
      <c r="M336" s="244"/>
      <c r="N336" s="180"/>
    </row>
    <row r="337">
      <c r="B337" s="184"/>
      <c r="C337" s="181"/>
      <c r="D337" s="180"/>
      <c r="E337" s="180"/>
      <c r="F337" s="184"/>
      <c r="G337" s="184"/>
      <c r="H337" s="240"/>
      <c r="I337" s="184"/>
      <c r="J337" s="184"/>
      <c r="K337" s="244"/>
      <c r="L337" s="244"/>
      <c r="M337" s="244"/>
      <c r="N337" s="180"/>
    </row>
    <row r="338">
      <c r="B338" s="184"/>
      <c r="C338" s="181"/>
      <c r="D338" s="180"/>
      <c r="E338" s="180"/>
      <c r="F338" s="184"/>
      <c r="G338" s="184"/>
      <c r="H338" s="240"/>
      <c r="I338" s="184"/>
      <c r="J338" s="184"/>
      <c r="K338" s="244"/>
      <c r="L338" s="244"/>
      <c r="M338" s="244"/>
      <c r="N338" s="180"/>
    </row>
    <row r="339">
      <c r="B339" s="184"/>
      <c r="C339" s="181"/>
      <c r="D339" s="180"/>
      <c r="E339" s="180"/>
      <c r="F339" s="184"/>
      <c r="G339" s="184"/>
      <c r="H339" s="240"/>
      <c r="I339" s="184"/>
      <c r="J339" s="184"/>
      <c r="K339" s="244"/>
      <c r="L339" s="244"/>
      <c r="M339" s="244"/>
      <c r="N339" s="180"/>
    </row>
    <row r="340">
      <c r="B340" s="184"/>
      <c r="C340" s="181"/>
      <c r="D340" s="180"/>
      <c r="E340" s="180"/>
      <c r="F340" s="184"/>
      <c r="G340" s="184"/>
      <c r="H340" s="240"/>
      <c r="I340" s="184"/>
      <c r="J340" s="184"/>
      <c r="K340" s="244"/>
      <c r="L340" s="244"/>
      <c r="M340" s="244"/>
      <c r="N340" s="180"/>
    </row>
    <row r="341">
      <c r="B341" s="184"/>
      <c r="C341" s="181"/>
      <c r="D341" s="180"/>
      <c r="E341" s="180"/>
      <c r="F341" s="184"/>
      <c r="G341" s="184"/>
      <c r="H341" s="240"/>
      <c r="I341" s="184"/>
      <c r="J341" s="184"/>
      <c r="K341" s="244"/>
      <c r="L341" s="244"/>
      <c r="M341" s="244"/>
      <c r="N341" s="180"/>
    </row>
    <row r="342">
      <c r="B342" s="184"/>
      <c r="C342" s="181"/>
      <c r="D342" s="180"/>
      <c r="E342" s="180"/>
      <c r="F342" s="184"/>
      <c r="G342" s="184"/>
      <c r="H342" s="240"/>
      <c r="I342" s="184"/>
      <c r="J342" s="184"/>
      <c r="K342" s="244"/>
      <c r="L342" s="244"/>
      <c r="M342" s="244"/>
      <c r="N342" s="180"/>
    </row>
    <row r="343">
      <c r="B343" s="184"/>
      <c r="C343" s="181"/>
      <c r="D343" s="180"/>
      <c r="E343" s="180"/>
      <c r="F343" s="184"/>
      <c r="G343" s="184"/>
      <c r="H343" s="240"/>
      <c r="I343" s="184"/>
      <c r="J343" s="184"/>
      <c r="K343" s="244"/>
      <c r="L343" s="244"/>
      <c r="M343" s="244"/>
      <c r="N343" s="180"/>
    </row>
    <row r="344">
      <c r="B344" s="184"/>
      <c r="C344" s="181"/>
      <c r="D344" s="180"/>
      <c r="E344" s="180"/>
      <c r="F344" s="184"/>
      <c r="G344" s="184"/>
      <c r="H344" s="240"/>
      <c r="I344" s="184"/>
      <c r="J344" s="184"/>
      <c r="K344" s="244"/>
      <c r="L344" s="244"/>
      <c r="M344" s="244"/>
      <c r="N344" s="180"/>
    </row>
    <row r="345">
      <c r="B345" s="184"/>
      <c r="C345" s="181"/>
      <c r="D345" s="180"/>
      <c r="E345" s="180"/>
      <c r="F345" s="184"/>
      <c r="G345" s="184"/>
      <c r="H345" s="240"/>
      <c r="I345" s="184"/>
      <c r="J345" s="184"/>
      <c r="K345" s="244"/>
      <c r="L345" s="244"/>
      <c r="M345" s="244"/>
      <c r="N345" s="180"/>
    </row>
    <row r="346">
      <c r="B346" s="184"/>
      <c r="C346" s="181"/>
      <c r="D346" s="180"/>
      <c r="E346" s="180"/>
      <c r="F346" s="184"/>
      <c r="G346" s="184"/>
      <c r="H346" s="240"/>
      <c r="I346" s="184"/>
      <c r="J346" s="184"/>
      <c r="K346" s="244"/>
      <c r="L346" s="244"/>
      <c r="M346" s="244"/>
      <c r="N346" s="180"/>
    </row>
    <row r="347">
      <c r="B347" s="184"/>
      <c r="C347" s="181"/>
      <c r="D347" s="180"/>
      <c r="E347" s="180"/>
      <c r="F347" s="184"/>
      <c r="G347" s="184"/>
      <c r="H347" s="240"/>
      <c r="I347" s="184"/>
      <c r="J347" s="184"/>
      <c r="K347" s="244"/>
      <c r="L347" s="244"/>
      <c r="M347" s="244"/>
      <c r="N347" s="180"/>
    </row>
    <row r="348">
      <c r="B348" s="184"/>
      <c r="C348" s="181"/>
      <c r="D348" s="180"/>
      <c r="E348" s="180"/>
      <c r="F348" s="184"/>
      <c r="G348" s="184"/>
      <c r="H348" s="240"/>
      <c r="I348" s="184"/>
      <c r="J348" s="184"/>
      <c r="K348" s="244"/>
      <c r="L348" s="244"/>
      <c r="M348" s="244"/>
      <c r="N348" s="180"/>
    </row>
    <row r="349">
      <c r="B349" s="184"/>
      <c r="C349" s="181"/>
      <c r="D349" s="180"/>
      <c r="E349" s="180"/>
      <c r="F349" s="184"/>
      <c r="G349" s="184"/>
      <c r="H349" s="240"/>
      <c r="I349" s="184"/>
      <c r="J349" s="184"/>
      <c r="K349" s="244"/>
      <c r="L349" s="244"/>
      <c r="M349" s="244"/>
      <c r="N349" s="180"/>
    </row>
    <row r="350">
      <c r="B350" s="184"/>
      <c r="C350" s="181"/>
      <c r="D350" s="180"/>
      <c r="E350" s="180"/>
      <c r="F350" s="184"/>
      <c r="G350" s="184"/>
      <c r="H350" s="240"/>
      <c r="I350" s="184"/>
      <c r="J350" s="184"/>
      <c r="K350" s="244"/>
      <c r="L350" s="244"/>
      <c r="M350" s="244"/>
      <c r="N350" s="180"/>
    </row>
    <row r="351">
      <c r="B351" s="184"/>
      <c r="C351" s="181"/>
      <c r="D351" s="180"/>
      <c r="E351" s="180"/>
      <c r="F351" s="184"/>
      <c r="G351" s="184"/>
      <c r="H351" s="240"/>
      <c r="I351" s="184"/>
      <c r="J351" s="184"/>
      <c r="K351" s="244"/>
      <c r="L351" s="244"/>
      <c r="M351" s="244"/>
      <c r="N351" s="180"/>
    </row>
    <row r="352">
      <c r="B352" s="184"/>
      <c r="C352" s="181"/>
      <c r="D352" s="180"/>
      <c r="E352" s="180"/>
      <c r="F352" s="184"/>
      <c r="G352" s="184"/>
      <c r="H352" s="240"/>
      <c r="I352" s="184"/>
      <c r="J352" s="184"/>
      <c r="K352" s="244"/>
      <c r="L352" s="244"/>
      <c r="M352" s="244"/>
      <c r="N352" s="180"/>
    </row>
    <row r="353">
      <c r="B353" s="184"/>
      <c r="C353" s="181"/>
      <c r="D353" s="180"/>
      <c r="E353" s="180"/>
      <c r="F353" s="184"/>
      <c r="G353" s="184"/>
      <c r="H353" s="240"/>
      <c r="I353" s="184"/>
      <c r="J353" s="184"/>
      <c r="K353" s="244"/>
      <c r="L353" s="244"/>
      <c r="M353" s="244"/>
      <c r="N353" s="180"/>
    </row>
    <row r="354">
      <c r="B354" s="184"/>
      <c r="C354" s="181"/>
      <c r="D354" s="180"/>
      <c r="E354" s="180"/>
      <c r="F354" s="184"/>
      <c r="G354" s="184"/>
      <c r="H354" s="240"/>
      <c r="I354" s="184"/>
      <c r="J354" s="184"/>
      <c r="K354" s="244"/>
      <c r="L354" s="244"/>
      <c r="M354" s="244"/>
      <c r="N354" s="180"/>
    </row>
    <row r="355">
      <c r="B355" s="184"/>
      <c r="C355" s="181"/>
      <c r="D355" s="180"/>
      <c r="E355" s="180"/>
      <c r="F355" s="184"/>
      <c r="G355" s="184"/>
      <c r="H355" s="240"/>
      <c r="I355" s="184"/>
      <c r="J355" s="184"/>
      <c r="K355" s="244"/>
      <c r="L355" s="244"/>
      <c r="M355" s="244"/>
      <c r="N355" s="180"/>
    </row>
    <row r="356">
      <c r="B356" s="184"/>
      <c r="C356" s="181"/>
      <c r="D356" s="180"/>
      <c r="E356" s="180"/>
      <c r="F356" s="184"/>
      <c r="G356" s="184"/>
      <c r="H356" s="240"/>
      <c r="I356" s="184"/>
      <c r="J356" s="184"/>
      <c r="K356" s="244"/>
      <c r="L356" s="244"/>
      <c r="M356" s="244"/>
      <c r="N356" s="180"/>
    </row>
    <row r="357">
      <c r="B357" s="184"/>
      <c r="C357" s="181"/>
      <c r="D357" s="180"/>
      <c r="E357" s="180"/>
      <c r="F357" s="184"/>
      <c r="G357" s="184"/>
      <c r="H357" s="240"/>
      <c r="I357" s="184"/>
      <c r="J357" s="184"/>
      <c r="K357" s="244"/>
      <c r="L357" s="244"/>
      <c r="M357" s="244"/>
      <c r="N357" s="180"/>
    </row>
    <row r="358">
      <c r="B358" s="184"/>
      <c r="C358" s="181"/>
      <c r="D358" s="180"/>
      <c r="E358" s="180"/>
      <c r="F358" s="184"/>
      <c r="G358" s="184"/>
      <c r="H358" s="240"/>
      <c r="I358" s="184"/>
      <c r="J358" s="184"/>
      <c r="K358" s="244"/>
      <c r="L358" s="244"/>
      <c r="M358" s="244"/>
      <c r="N358" s="180"/>
    </row>
    <row r="359">
      <c r="B359" s="184"/>
      <c r="C359" s="181"/>
      <c r="D359" s="180"/>
      <c r="E359" s="180"/>
      <c r="F359" s="184"/>
      <c r="G359" s="184"/>
      <c r="H359" s="240"/>
      <c r="I359" s="184"/>
      <c r="J359" s="184"/>
      <c r="K359" s="244"/>
      <c r="L359" s="244"/>
      <c r="M359" s="244"/>
      <c r="N359" s="180"/>
    </row>
    <row r="360">
      <c r="B360" s="184"/>
      <c r="C360" s="181"/>
      <c r="D360" s="180"/>
      <c r="E360" s="180"/>
      <c r="F360" s="184"/>
      <c r="G360" s="184"/>
      <c r="H360" s="240"/>
      <c r="I360" s="184"/>
      <c r="J360" s="184"/>
      <c r="K360" s="244"/>
      <c r="L360" s="244"/>
      <c r="M360" s="244"/>
      <c r="N360" s="180"/>
    </row>
    <row r="361">
      <c r="B361" s="184"/>
      <c r="C361" s="181"/>
      <c r="D361" s="180"/>
      <c r="E361" s="180"/>
      <c r="F361" s="184"/>
      <c r="G361" s="184"/>
      <c r="H361" s="240"/>
      <c r="I361" s="184"/>
      <c r="J361" s="184"/>
      <c r="K361" s="244"/>
      <c r="L361" s="244"/>
      <c r="M361" s="244"/>
      <c r="N361" s="180"/>
    </row>
    <row r="362">
      <c r="B362" s="184"/>
      <c r="C362" s="181"/>
      <c r="D362" s="180"/>
      <c r="E362" s="180"/>
      <c r="F362" s="184"/>
      <c r="G362" s="184"/>
      <c r="H362" s="240"/>
      <c r="I362" s="184"/>
      <c r="J362" s="184"/>
      <c r="K362" s="244"/>
      <c r="L362" s="244"/>
      <c r="M362" s="244"/>
      <c r="N362" s="180"/>
    </row>
    <row r="363">
      <c r="B363" s="184"/>
      <c r="C363" s="181"/>
      <c r="D363" s="180"/>
      <c r="E363" s="180"/>
      <c r="F363" s="184"/>
      <c r="G363" s="184"/>
      <c r="H363" s="240"/>
      <c r="I363" s="184"/>
      <c r="J363" s="184"/>
      <c r="K363" s="244"/>
      <c r="L363" s="244"/>
      <c r="M363" s="244"/>
      <c r="N363" s="180"/>
    </row>
    <row r="364">
      <c r="B364" s="184"/>
      <c r="C364" s="181"/>
      <c r="D364" s="180"/>
      <c r="E364" s="180"/>
      <c r="F364" s="184"/>
      <c r="G364" s="184"/>
      <c r="H364" s="240"/>
      <c r="I364" s="184"/>
      <c r="J364" s="184"/>
      <c r="K364" s="244"/>
      <c r="L364" s="244"/>
      <c r="M364" s="244"/>
      <c r="N364" s="180"/>
    </row>
    <row r="365">
      <c r="B365" s="184"/>
      <c r="C365" s="181"/>
      <c r="D365" s="180"/>
      <c r="E365" s="180"/>
      <c r="F365" s="184"/>
      <c r="G365" s="184"/>
      <c r="H365" s="240"/>
      <c r="I365" s="184"/>
      <c r="J365" s="184"/>
      <c r="K365" s="244"/>
      <c r="L365" s="244"/>
      <c r="M365" s="244"/>
      <c r="N365" s="180"/>
    </row>
    <row r="366">
      <c r="B366" s="184"/>
      <c r="C366" s="181"/>
      <c r="D366" s="180"/>
      <c r="E366" s="180"/>
      <c r="F366" s="184"/>
      <c r="G366" s="184"/>
      <c r="H366" s="240"/>
      <c r="I366" s="184"/>
      <c r="J366" s="184"/>
      <c r="K366" s="244"/>
      <c r="L366" s="244"/>
      <c r="M366" s="244"/>
      <c r="N366" s="180"/>
    </row>
    <row r="367">
      <c r="B367" s="184"/>
      <c r="C367" s="181"/>
      <c r="D367" s="180"/>
      <c r="E367" s="180"/>
      <c r="F367" s="184"/>
      <c r="G367" s="184"/>
      <c r="H367" s="240"/>
      <c r="I367" s="184"/>
      <c r="J367" s="184"/>
      <c r="K367" s="244"/>
      <c r="L367" s="244"/>
      <c r="M367" s="244"/>
      <c r="N367" s="180"/>
    </row>
    <row r="368">
      <c r="B368" s="184"/>
      <c r="C368" s="181"/>
      <c r="D368" s="180"/>
      <c r="E368" s="180"/>
      <c r="F368" s="184"/>
      <c r="G368" s="184"/>
      <c r="H368" s="240"/>
      <c r="I368" s="184"/>
      <c r="J368" s="184"/>
      <c r="K368" s="244"/>
      <c r="L368" s="244"/>
      <c r="M368" s="244"/>
      <c r="N368" s="180"/>
    </row>
    <row r="369">
      <c r="B369" s="184"/>
      <c r="C369" s="181"/>
      <c r="D369" s="180"/>
      <c r="E369" s="180"/>
      <c r="F369" s="184"/>
      <c r="G369" s="184"/>
      <c r="H369" s="240"/>
      <c r="I369" s="184"/>
      <c r="J369" s="184"/>
      <c r="K369" s="244"/>
      <c r="L369" s="244"/>
      <c r="M369" s="244"/>
      <c r="N369" s="180"/>
    </row>
    <row r="370">
      <c r="B370" s="184"/>
      <c r="C370" s="181"/>
      <c r="D370" s="180"/>
      <c r="E370" s="180"/>
      <c r="F370" s="184"/>
      <c r="G370" s="184"/>
      <c r="H370" s="240"/>
      <c r="I370" s="184"/>
      <c r="J370" s="184"/>
      <c r="K370" s="244"/>
      <c r="L370" s="244"/>
      <c r="M370" s="244"/>
      <c r="N370" s="180"/>
    </row>
    <row r="371">
      <c r="B371" s="184"/>
      <c r="C371" s="181"/>
      <c r="D371" s="180"/>
      <c r="E371" s="180"/>
      <c r="F371" s="184"/>
      <c r="G371" s="184"/>
      <c r="H371" s="240"/>
      <c r="I371" s="184"/>
      <c r="J371" s="184"/>
      <c r="K371" s="244"/>
      <c r="L371" s="244"/>
      <c r="M371" s="244"/>
      <c r="N371" s="180"/>
    </row>
    <row r="372">
      <c r="B372" s="184"/>
      <c r="C372" s="181"/>
      <c r="D372" s="180"/>
      <c r="E372" s="180"/>
      <c r="F372" s="184"/>
      <c r="G372" s="184"/>
      <c r="H372" s="240"/>
      <c r="I372" s="184"/>
      <c r="J372" s="184"/>
      <c r="K372" s="244"/>
      <c r="L372" s="244"/>
      <c r="M372" s="244"/>
      <c r="N372" s="180"/>
    </row>
    <row r="373">
      <c r="B373" s="184"/>
      <c r="C373" s="181"/>
      <c r="D373" s="180"/>
      <c r="E373" s="180"/>
      <c r="F373" s="184"/>
      <c r="G373" s="184"/>
      <c r="H373" s="240"/>
      <c r="I373" s="184"/>
      <c r="J373" s="184"/>
      <c r="K373" s="244"/>
      <c r="L373" s="244"/>
      <c r="M373" s="244"/>
      <c r="N373" s="180"/>
    </row>
    <row r="374">
      <c r="B374" s="184"/>
      <c r="C374" s="181"/>
      <c r="D374" s="180"/>
      <c r="E374" s="180"/>
      <c r="F374" s="184"/>
      <c r="G374" s="184"/>
      <c r="H374" s="240"/>
      <c r="I374" s="184"/>
      <c r="J374" s="184"/>
      <c r="K374" s="244"/>
      <c r="L374" s="244"/>
      <c r="M374" s="244"/>
      <c r="N374" s="180"/>
    </row>
    <row r="375">
      <c r="B375" s="184"/>
      <c r="C375" s="181"/>
      <c r="D375" s="180"/>
      <c r="E375" s="180"/>
      <c r="F375" s="184"/>
      <c r="G375" s="184"/>
      <c r="H375" s="240"/>
      <c r="I375" s="184"/>
      <c r="J375" s="184"/>
      <c r="K375" s="244"/>
      <c r="L375" s="244"/>
      <c r="M375" s="244"/>
      <c r="N375" s="180"/>
    </row>
    <row r="376">
      <c r="B376" s="184"/>
      <c r="C376" s="181"/>
      <c r="D376" s="180"/>
      <c r="E376" s="180"/>
      <c r="F376" s="184"/>
      <c r="G376" s="184"/>
      <c r="H376" s="240"/>
      <c r="I376" s="184"/>
      <c r="J376" s="184"/>
      <c r="K376" s="244"/>
      <c r="L376" s="244"/>
      <c r="M376" s="244"/>
      <c r="N376" s="180"/>
    </row>
    <row r="377">
      <c r="B377" s="184"/>
      <c r="C377" s="181"/>
      <c r="D377" s="180"/>
      <c r="E377" s="180"/>
      <c r="F377" s="184"/>
      <c r="G377" s="184"/>
      <c r="H377" s="240"/>
      <c r="I377" s="184"/>
      <c r="J377" s="184"/>
      <c r="K377" s="244"/>
      <c r="L377" s="244"/>
      <c r="M377" s="244"/>
      <c r="N377" s="180"/>
    </row>
    <row r="378">
      <c r="B378" s="184"/>
      <c r="C378" s="181"/>
      <c r="D378" s="180"/>
      <c r="E378" s="180"/>
      <c r="F378" s="184"/>
      <c r="G378" s="184"/>
      <c r="H378" s="240"/>
      <c r="I378" s="184"/>
      <c r="J378" s="184"/>
      <c r="K378" s="244"/>
      <c r="L378" s="244"/>
      <c r="M378" s="244"/>
      <c r="N378" s="180"/>
    </row>
    <row r="379">
      <c r="B379" s="184"/>
      <c r="C379" s="181"/>
      <c r="D379" s="180"/>
      <c r="E379" s="180"/>
      <c r="F379" s="184"/>
      <c r="G379" s="184"/>
      <c r="H379" s="240"/>
      <c r="I379" s="184"/>
      <c r="J379" s="184"/>
      <c r="K379" s="244"/>
      <c r="L379" s="244"/>
      <c r="M379" s="244"/>
      <c r="N379" s="180"/>
    </row>
    <row r="380">
      <c r="B380" s="184"/>
      <c r="C380" s="181"/>
      <c r="D380" s="180"/>
      <c r="E380" s="180"/>
      <c r="F380" s="184"/>
      <c r="G380" s="184"/>
      <c r="H380" s="240"/>
      <c r="I380" s="184"/>
      <c r="J380" s="184"/>
      <c r="K380" s="244"/>
      <c r="L380" s="244"/>
      <c r="M380" s="244"/>
      <c r="N380" s="180"/>
    </row>
    <row r="381">
      <c r="B381" s="184"/>
      <c r="C381" s="181"/>
      <c r="D381" s="180"/>
      <c r="E381" s="180"/>
      <c r="F381" s="184"/>
      <c r="G381" s="184"/>
      <c r="H381" s="240"/>
      <c r="I381" s="184"/>
      <c r="J381" s="184"/>
      <c r="K381" s="244"/>
      <c r="L381" s="244"/>
      <c r="M381" s="244"/>
      <c r="N381" s="180"/>
    </row>
    <row r="382">
      <c r="B382" s="184"/>
      <c r="C382" s="181"/>
      <c r="D382" s="180"/>
      <c r="E382" s="180"/>
      <c r="F382" s="184"/>
      <c r="G382" s="184"/>
      <c r="H382" s="240"/>
      <c r="I382" s="184"/>
      <c r="J382" s="184"/>
      <c r="K382" s="244"/>
      <c r="L382" s="244"/>
      <c r="M382" s="244"/>
      <c r="N382" s="180"/>
    </row>
    <row r="383">
      <c r="B383" s="184"/>
      <c r="C383" s="181"/>
      <c r="D383" s="180"/>
      <c r="E383" s="180"/>
      <c r="F383" s="184"/>
      <c r="G383" s="184"/>
      <c r="H383" s="240"/>
      <c r="I383" s="184"/>
      <c r="J383" s="184"/>
      <c r="K383" s="244"/>
      <c r="L383" s="244"/>
      <c r="M383" s="244"/>
      <c r="N383" s="180"/>
    </row>
    <row r="384">
      <c r="B384" s="184"/>
      <c r="C384" s="181"/>
      <c r="D384" s="180"/>
      <c r="E384" s="180"/>
      <c r="F384" s="184"/>
      <c r="G384" s="184"/>
      <c r="H384" s="240"/>
      <c r="I384" s="184"/>
      <c r="J384" s="184"/>
      <c r="K384" s="244"/>
      <c r="L384" s="244"/>
      <c r="M384" s="244"/>
      <c r="N384" s="180"/>
    </row>
    <row r="385">
      <c r="B385" s="184"/>
      <c r="C385" s="181"/>
      <c r="D385" s="180"/>
      <c r="E385" s="180"/>
      <c r="F385" s="184"/>
      <c r="G385" s="184"/>
      <c r="H385" s="240"/>
      <c r="I385" s="184"/>
      <c r="J385" s="184"/>
      <c r="K385" s="244"/>
      <c r="L385" s="244"/>
      <c r="M385" s="244"/>
      <c r="N385" s="180"/>
    </row>
    <row r="386">
      <c r="B386" s="184"/>
      <c r="C386" s="181"/>
      <c r="D386" s="180"/>
      <c r="E386" s="180"/>
      <c r="F386" s="184"/>
      <c r="G386" s="184"/>
      <c r="H386" s="240"/>
      <c r="I386" s="184"/>
      <c r="J386" s="184"/>
      <c r="K386" s="244"/>
      <c r="L386" s="244"/>
      <c r="M386" s="244"/>
      <c r="N386" s="180"/>
    </row>
    <row r="387">
      <c r="B387" s="184"/>
      <c r="C387" s="181"/>
      <c r="D387" s="180"/>
      <c r="E387" s="180"/>
      <c r="F387" s="184"/>
      <c r="G387" s="184"/>
      <c r="H387" s="240"/>
      <c r="I387" s="184"/>
      <c r="J387" s="184"/>
      <c r="K387" s="244"/>
      <c r="L387" s="244"/>
      <c r="M387" s="244"/>
      <c r="N387" s="180"/>
    </row>
    <row r="388">
      <c r="B388" s="184"/>
      <c r="C388" s="181"/>
      <c r="D388" s="180"/>
      <c r="E388" s="180"/>
      <c r="F388" s="184"/>
      <c r="G388" s="184"/>
      <c r="H388" s="240"/>
      <c r="I388" s="184"/>
      <c r="J388" s="184"/>
      <c r="K388" s="244"/>
      <c r="L388" s="244"/>
      <c r="M388" s="244"/>
      <c r="N388" s="180"/>
    </row>
    <row r="389">
      <c r="B389" s="184"/>
      <c r="C389" s="181"/>
      <c r="D389" s="180"/>
      <c r="E389" s="180"/>
      <c r="F389" s="184"/>
      <c r="G389" s="184"/>
      <c r="H389" s="240"/>
      <c r="I389" s="184"/>
      <c r="J389" s="184"/>
      <c r="K389" s="244"/>
      <c r="L389" s="244"/>
      <c r="M389" s="244"/>
      <c r="N389" s="180"/>
    </row>
    <row r="390">
      <c r="B390" s="184"/>
      <c r="C390" s="181"/>
      <c r="D390" s="180"/>
      <c r="E390" s="180"/>
      <c r="F390" s="184"/>
      <c r="G390" s="184"/>
      <c r="H390" s="240"/>
      <c r="I390" s="184"/>
      <c r="J390" s="184"/>
      <c r="K390" s="244"/>
      <c r="L390" s="244"/>
      <c r="M390" s="244"/>
      <c r="N390" s="180"/>
    </row>
    <row r="391">
      <c r="B391" s="184"/>
      <c r="C391" s="181"/>
      <c r="D391" s="180"/>
      <c r="E391" s="180"/>
      <c r="F391" s="184"/>
      <c r="G391" s="184"/>
      <c r="H391" s="240"/>
      <c r="I391" s="184"/>
      <c r="J391" s="184"/>
      <c r="K391" s="244"/>
      <c r="L391" s="244"/>
      <c r="M391" s="244"/>
      <c r="N391" s="180"/>
    </row>
    <row r="392">
      <c r="B392" s="184"/>
      <c r="C392" s="181"/>
      <c r="D392" s="180"/>
      <c r="E392" s="180"/>
      <c r="F392" s="184"/>
      <c r="G392" s="184"/>
      <c r="H392" s="240"/>
      <c r="I392" s="184"/>
      <c r="J392" s="184"/>
      <c r="K392" s="244"/>
      <c r="L392" s="244"/>
      <c r="M392" s="244"/>
      <c r="N392" s="180"/>
    </row>
    <row r="393">
      <c r="B393" s="184"/>
      <c r="C393" s="181"/>
      <c r="D393" s="180"/>
      <c r="E393" s="180"/>
      <c r="F393" s="184"/>
      <c r="G393" s="184"/>
      <c r="H393" s="240"/>
      <c r="I393" s="184"/>
      <c r="J393" s="184"/>
      <c r="K393" s="244"/>
      <c r="L393" s="244"/>
      <c r="M393" s="244"/>
      <c r="N393" s="180"/>
    </row>
    <row r="394">
      <c r="B394" s="184"/>
      <c r="C394" s="181"/>
      <c r="D394" s="180"/>
      <c r="E394" s="180"/>
      <c r="F394" s="184"/>
      <c r="G394" s="184"/>
      <c r="H394" s="240"/>
      <c r="I394" s="184"/>
      <c r="J394" s="184"/>
      <c r="K394" s="244"/>
      <c r="L394" s="244"/>
      <c r="M394" s="244"/>
      <c r="N394" s="180"/>
    </row>
    <row r="395">
      <c r="B395" s="184"/>
      <c r="C395" s="181"/>
      <c r="D395" s="180"/>
      <c r="E395" s="180"/>
      <c r="F395" s="184"/>
      <c r="G395" s="184"/>
      <c r="H395" s="240"/>
      <c r="I395" s="184"/>
      <c r="J395" s="184"/>
      <c r="K395" s="244"/>
      <c r="L395" s="244"/>
      <c r="M395" s="244"/>
      <c r="N395" s="180"/>
    </row>
    <row r="396">
      <c r="B396" s="184"/>
      <c r="C396" s="181"/>
      <c r="D396" s="180"/>
      <c r="E396" s="180"/>
      <c r="F396" s="184"/>
      <c r="G396" s="184"/>
      <c r="H396" s="240"/>
      <c r="I396" s="184"/>
      <c r="J396" s="184"/>
      <c r="K396" s="244"/>
      <c r="L396" s="244"/>
      <c r="M396" s="244"/>
      <c r="N396" s="180"/>
    </row>
    <row r="397">
      <c r="B397" s="184"/>
      <c r="C397" s="181"/>
      <c r="D397" s="180"/>
      <c r="E397" s="180"/>
      <c r="F397" s="184"/>
      <c r="G397" s="184"/>
      <c r="H397" s="240"/>
      <c r="I397" s="184"/>
      <c r="J397" s="184"/>
      <c r="K397" s="244"/>
      <c r="L397" s="244"/>
      <c r="M397" s="244"/>
      <c r="N397" s="180"/>
    </row>
    <row r="398">
      <c r="B398" s="184"/>
      <c r="C398" s="181"/>
      <c r="D398" s="180"/>
      <c r="E398" s="180"/>
      <c r="F398" s="184"/>
      <c r="G398" s="184"/>
      <c r="H398" s="240"/>
      <c r="I398" s="184"/>
      <c r="J398" s="184"/>
      <c r="K398" s="244"/>
      <c r="L398" s="244"/>
      <c r="M398" s="244"/>
      <c r="N398" s="180"/>
    </row>
    <row r="399">
      <c r="B399" s="184"/>
      <c r="C399" s="181"/>
      <c r="D399" s="180"/>
      <c r="E399" s="180"/>
      <c r="F399" s="184"/>
      <c r="G399" s="184"/>
      <c r="H399" s="240"/>
      <c r="I399" s="184"/>
      <c r="J399" s="184"/>
      <c r="K399" s="244"/>
      <c r="L399" s="244"/>
      <c r="M399" s="244"/>
      <c r="N399" s="180"/>
    </row>
    <row r="400">
      <c r="B400" s="184"/>
      <c r="C400" s="181"/>
      <c r="D400" s="180"/>
      <c r="E400" s="180"/>
      <c r="F400" s="184"/>
      <c r="G400" s="184"/>
      <c r="H400" s="240"/>
      <c r="I400" s="184"/>
      <c r="J400" s="184"/>
      <c r="K400" s="244"/>
      <c r="L400" s="244"/>
      <c r="M400" s="244"/>
      <c r="N400" s="180"/>
    </row>
    <row r="401">
      <c r="B401" s="184"/>
      <c r="C401" s="181"/>
      <c r="D401" s="180"/>
      <c r="E401" s="180"/>
      <c r="F401" s="184"/>
      <c r="G401" s="184"/>
      <c r="H401" s="240"/>
      <c r="I401" s="184"/>
      <c r="J401" s="184"/>
      <c r="K401" s="244"/>
      <c r="L401" s="244"/>
      <c r="M401" s="244"/>
      <c r="N401" s="180"/>
    </row>
    <row r="402">
      <c r="B402" s="184"/>
      <c r="C402" s="181"/>
      <c r="D402" s="180"/>
      <c r="E402" s="180"/>
      <c r="F402" s="184"/>
      <c r="G402" s="184"/>
      <c r="H402" s="240"/>
      <c r="I402" s="184"/>
      <c r="J402" s="184"/>
      <c r="K402" s="244"/>
      <c r="L402" s="244"/>
      <c r="M402" s="244"/>
      <c r="N402" s="180"/>
    </row>
    <row r="403">
      <c r="B403" s="184"/>
      <c r="C403" s="181"/>
      <c r="D403" s="180"/>
      <c r="E403" s="180"/>
      <c r="F403" s="184"/>
      <c r="G403" s="184"/>
      <c r="H403" s="240"/>
      <c r="I403" s="184"/>
      <c r="J403" s="184"/>
      <c r="K403" s="244"/>
      <c r="L403" s="244"/>
      <c r="M403" s="244"/>
      <c r="N403" s="180"/>
    </row>
    <row r="404">
      <c r="B404" s="184"/>
      <c r="C404" s="181"/>
      <c r="D404" s="180"/>
      <c r="E404" s="180"/>
      <c r="F404" s="184"/>
      <c r="G404" s="184"/>
      <c r="H404" s="240"/>
      <c r="I404" s="184"/>
      <c r="J404" s="184"/>
      <c r="K404" s="244"/>
      <c r="L404" s="244"/>
      <c r="M404" s="244"/>
      <c r="N404" s="180"/>
    </row>
    <row r="405">
      <c r="B405" s="184"/>
      <c r="C405" s="181"/>
      <c r="D405" s="180"/>
      <c r="E405" s="180"/>
      <c r="F405" s="184"/>
      <c r="G405" s="184"/>
      <c r="H405" s="240"/>
      <c r="I405" s="184"/>
      <c r="J405" s="184"/>
      <c r="K405" s="244"/>
      <c r="L405" s="244"/>
      <c r="M405" s="244"/>
      <c r="N405" s="180"/>
    </row>
    <row r="406">
      <c r="B406" s="184"/>
      <c r="C406" s="181"/>
      <c r="D406" s="180"/>
      <c r="E406" s="180"/>
      <c r="F406" s="184"/>
      <c r="G406" s="184"/>
      <c r="H406" s="240"/>
      <c r="I406" s="184"/>
      <c r="J406" s="184"/>
      <c r="K406" s="244"/>
      <c r="L406" s="244"/>
      <c r="M406" s="244"/>
      <c r="N406" s="180"/>
    </row>
    <row r="407">
      <c r="B407" s="184"/>
      <c r="C407" s="181"/>
      <c r="D407" s="180"/>
      <c r="E407" s="180"/>
      <c r="F407" s="184"/>
      <c r="G407" s="184"/>
      <c r="H407" s="240"/>
      <c r="I407" s="184"/>
      <c r="J407" s="184"/>
      <c r="K407" s="244"/>
      <c r="L407" s="244"/>
      <c r="M407" s="244"/>
      <c r="N407" s="180"/>
    </row>
    <row r="408">
      <c r="B408" s="184"/>
      <c r="C408" s="181"/>
      <c r="D408" s="180"/>
      <c r="E408" s="180"/>
      <c r="F408" s="184"/>
      <c r="G408" s="184"/>
      <c r="H408" s="240"/>
      <c r="I408" s="184"/>
      <c r="J408" s="184"/>
      <c r="K408" s="244"/>
      <c r="L408" s="244"/>
      <c r="M408" s="244"/>
      <c r="N408" s="180"/>
    </row>
    <row r="409">
      <c r="B409" s="184"/>
      <c r="C409" s="181"/>
      <c r="D409" s="180"/>
      <c r="E409" s="180"/>
      <c r="F409" s="184"/>
      <c r="G409" s="184"/>
      <c r="H409" s="240"/>
      <c r="I409" s="184"/>
      <c r="J409" s="184"/>
      <c r="K409" s="244"/>
      <c r="L409" s="244"/>
      <c r="M409" s="244"/>
      <c r="N409" s="180"/>
    </row>
    <row r="410">
      <c r="B410" s="184"/>
      <c r="C410" s="181"/>
      <c r="D410" s="180"/>
      <c r="E410" s="180"/>
      <c r="F410" s="184"/>
      <c r="G410" s="184"/>
      <c r="H410" s="240"/>
      <c r="I410" s="184"/>
      <c r="J410" s="184"/>
      <c r="K410" s="244"/>
      <c r="L410" s="244"/>
      <c r="M410" s="244"/>
      <c r="N410" s="180"/>
    </row>
    <row r="411">
      <c r="B411" s="184"/>
      <c r="C411" s="181"/>
      <c r="D411" s="180"/>
      <c r="E411" s="180"/>
      <c r="F411" s="184"/>
      <c r="G411" s="184"/>
      <c r="H411" s="240"/>
      <c r="I411" s="184"/>
      <c r="J411" s="184"/>
      <c r="K411" s="244"/>
      <c r="L411" s="244"/>
      <c r="M411" s="244"/>
      <c r="N411" s="180"/>
    </row>
    <row r="412">
      <c r="B412" s="184"/>
      <c r="C412" s="181"/>
      <c r="D412" s="180"/>
      <c r="E412" s="180"/>
      <c r="F412" s="184"/>
      <c r="G412" s="184"/>
      <c r="H412" s="240"/>
      <c r="I412" s="184"/>
      <c r="J412" s="184"/>
      <c r="K412" s="244"/>
      <c r="L412" s="244"/>
      <c r="M412" s="244"/>
      <c r="N412" s="180"/>
    </row>
    <row r="413">
      <c r="B413" s="184"/>
      <c r="C413" s="181"/>
      <c r="D413" s="180"/>
      <c r="E413" s="180"/>
      <c r="F413" s="184"/>
      <c r="G413" s="184"/>
      <c r="H413" s="240"/>
      <c r="I413" s="184"/>
      <c r="J413" s="184"/>
      <c r="K413" s="244"/>
      <c r="L413" s="244"/>
      <c r="M413" s="244"/>
      <c r="N413" s="180"/>
    </row>
    <row r="414">
      <c r="B414" s="184"/>
      <c r="C414" s="181"/>
      <c r="D414" s="180"/>
      <c r="E414" s="180"/>
      <c r="F414" s="184"/>
      <c r="G414" s="184"/>
      <c r="H414" s="240"/>
      <c r="I414" s="184"/>
      <c r="J414" s="184"/>
      <c r="K414" s="244"/>
      <c r="L414" s="244"/>
      <c r="M414" s="244"/>
      <c r="N414" s="180"/>
    </row>
    <row r="415">
      <c r="B415" s="184"/>
      <c r="C415" s="181"/>
      <c r="D415" s="180"/>
      <c r="E415" s="180"/>
      <c r="F415" s="184"/>
      <c r="G415" s="184"/>
      <c r="H415" s="240"/>
      <c r="I415" s="184"/>
      <c r="J415" s="184"/>
      <c r="K415" s="244"/>
      <c r="L415" s="244"/>
      <c r="M415" s="244"/>
      <c r="N415" s="180"/>
    </row>
    <row r="416">
      <c r="B416" s="184"/>
      <c r="C416" s="181"/>
      <c r="D416" s="180"/>
      <c r="E416" s="180"/>
      <c r="F416" s="184"/>
      <c r="G416" s="184"/>
      <c r="H416" s="240"/>
      <c r="I416" s="184"/>
      <c r="J416" s="184"/>
      <c r="K416" s="244"/>
      <c r="L416" s="244"/>
      <c r="M416" s="244"/>
      <c r="N416" s="180"/>
    </row>
    <row r="417">
      <c r="B417" s="184"/>
      <c r="C417" s="181"/>
      <c r="D417" s="180"/>
      <c r="E417" s="180"/>
      <c r="F417" s="184"/>
      <c r="G417" s="184"/>
      <c r="H417" s="240"/>
      <c r="I417" s="184"/>
      <c r="J417" s="184"/>
      <c r="K417" s="244"/>
      <c r="L417" s="244"/>
      <c r="M417" s="244"/>
      <c r="N417" s="180"/>
    </row>
    <row r="418">
      <c r="B418" s="184"/>
      <c r="C418" s="181"/>
      <c r="D418" s="180"/>
      <c r="E418" s="180"/>
      <c r="F418" s="184"/>
      <c r="G418" s="184"/>
      <c r="H418" s="240"/>
      <c r="I418" s="184"/>
      <c r="J418" s="184"/>
      <c r="K418" s="244"/>
      <c r="L418" s="244"/>
      <c r="M418" s="244"/>
      <c r="N418" s="180"/>
    </row>
    <row r="419">
      <c r="B419" s="184"/>
      <c r="C419" s="181"/>
      <c r="D419" s="180"/>
      <c r="E419" s="180"/>
      <c r="F419" s="184"/>
      <c r="G419" s="184"/>
      <c r="H419" s="240"/>
      <c r="I419" s="184"/>
      <c r="J419" s="184"/>
      <c r="K419" s="244"/>
      <c r="L419" s="244"/>
      <c r="M419" s="244"/>
      <c r="N419" s="180"/>
    </row>
    <row r="420">
      <c r="B420" s="184"/>
      <c r="C420" s="181"/>
      <c r="D420" s="180"/>
      <c r="E420" s="180"/>
      <c r="F420" s="184"/>
      <c r="G420" s="184"/>
      <c r="H420" s="240"/>
      <c r="I420" s="184"/>
      <c r="J420" s="184"/>
      <c r="K420" s="244"/>
      <c r="L420" s="244"/>
      <c r="M420" s="244"/>
      <c r="N420" s="180"/>
    </row>
    <row r="421">
      <c r="B421" s="184"/>
      <c r="C421" s="181"/>
      <c r="D421" s="180"/>
      <c r="E421" s="180"/>
      <c r="F421" s="184"/>
      <c r="G421" s="184"/>
      <c r="H421" s="240"/>
      <c r="I421" s="184"/>
      <c r="J421" s="184"/>
      <c r="K421" s="244"/>
      <c r="L421" s="244"/>
      <c r="M421" s="244"/>
      <c r="N421" s="180"/>
    </row>
    <row r="422">
      <c r="B422" s="184"/>
      <c r="C422" s="181"/>
      <c r="D422" s="180"/>
      <c r="E422" s="180"/>
      <c r="F422" s="184"/>
      <c r="G422" s="184"/>
      <c r="H422" s="240"/>
      <c r="I422" s="184"/>
      <c r="J422" s="184"/>
      <c r="K422" s="244"/>
      <c r="L422" s="244"/>
      <c r="M422" s="244"/>
      <c r="N422" s="180"/>
    </row>
    <row r="423">
      <c r="B423" s="184"/>
      <c r="C423" s="181"/>
      <c r="D423" s="180"/>
      <c r="E423" s="180"/>
      <c r="F423" s="184"/>
      <c r="G423" s="184"/>
      <c r="H423" s="240"/>
      <c r="I423" s="184"/>
      <c r="J423" s="184"/>
      <c r="K423" s="244"/>
      <c r="L423" s="244"/>
      <c r="M423" s="244"/>
      <c r="N423" s="180"/>
    </row>
    <row r="424">
      <c r="B424" s="184"/>
      <c r="C424" s="181"/>
      <c r="D424" s="180"/>
      <c r="E424" s="180"/>
      <c r="F424" s="184"/>
      <c r="G424" s="184"/>
      <c r="H424" s="240"/>
      <c r="I424" s="184"/>
      <c r="J424" s="184"/>
      <c r="K424" s="244"/>
      <c r="L424" s="244"/>
      <c r="M424" s="244"/>
      <c r="N424" s="180"/>
    </row>
    <row r="425">
      <c r="B425" s="184"/>
      <c r="C425" s="181"/>
      <c r="D425" s="180"/>
      <c r="E425" s="180"/>
      <c r="F425" s="184"/>
      <c r="G425" s="184"/>
      <c r="H425" s="240"/>
      <c r="I425" s="184"/>
      <c r="J425" s="184"/>
      <c r="K425" s="244"/>
      <c r="L425" s="244"/>
      <c r="M425" s="244"/>
      <c r="N425" s="180"/>
    </row>
    <row r="426">
      <c r="B426" s="184"/>
      <c r="C426" s="181"/>
      <c r="D426" s="180"/>
      <c r="E426" s="180"/>
      <c r="F426" s="184"/>
      <c r="G426" s="184"/>
      <c r="H426" s="240"/>
      <c r="I426" s="184"/>
      <c r="J426" s="184"/>
      <c r="K426" s="244"/>
      <c r="L426" s="244"/>
      <c r="M426" s="244"/>
      <c r="N426" s="180"/>
    </row>
    <row r="427">
      <c r="B427" s="184"/>
      <c r="C427" s="181"/>
      <c r="D427" s="180"/>
      <c r="E427" s="180"/>
      <c r="F427" s="184"/>
      <c r="G427" s="184"/>
      <c r="H427" s="240"/>
      <c r="I427" s="184"/>
      <c r="J427" s="184"/>
      <c r="K427" s="244"/>
      <c r="L427" s="244"/>
      <c r="M427" s="244"/>
      <c r="N427" s="180"/>
    </row>
    <row r="428">
      <c r="B428" s="184"/>
      <c r="C428" s="181"/>
      <c r="D428" s="180"/>
      <c r="E428" s="180"/>
      <c r="F428" s="184"/>
      <c r="G428" s="184"/>
      <c r="H428" s="240"/>
      <c r="I428" s="184"/>
      <c r="J428" s="184"/>
      <c r="K428" s="244"/>
      <c r="L428" s="244"/>
      <c r="M428" s="244"/>
      <c r="N428" s="180"/>
    </row>
    <row r="429">
      <c r="B429" s="184"/>
      <c r="C429" s="181"/>
      <c r="D429" s="180"/>
      <c r="E429" s="180"/>
      <c r="F429" s="184"/>
      <c r="G429" s="184"/>
      <c r="H429" s="240"/>
      <c r="I429" s="184"/>
      <c r="J429" s="184"/>
      <c r="K429" s="244"/>
      <c r="L429" s="244"/>
      <c r="M429" s="244"/>
      <c r="N429" s="180"/>
    </row>
    <row r="430">
      <c r="B430" s="184"/>
      <c r="C430" s="181"/>
      <c r="D430" s="180"/>
      <c r="E430" s="180"/>
      <c r="F430" s="184"/>
      <c r="G430" s="184"/>
      <c r="H430" s="240"/>
      <c r="I430" s="184"/>
      <c r="J430" s="184"/>
      <c r="K430" s="244"/>
      <c r="L430" s="244"/>
      <c r="M430" s="244"/>
      <c r="N430" s="180"/>
    </row>
    <row r="431">
      <c r="B431" s="184"/>
      <c r="C431" s="181"/>
      <c r="D431" s="180"/>
      <c r="E431" s="180"/>
      <c r="F431" s="184"/>
      <c r="G431" s="184"/>
      <c r="H431" s="240"/>
      <c r="I431" s="184"/>
      <c r="J431" s="184"/>
      <c r="K431" s="244"/>
      <c r="L431" s="244"/>
      <c r="M431" s="244"/>
      <c r="N431" s="180"/>
    </row>
    <row r="432">
      <c r="B432" s="184"/>
      <c r="C432" s="181"/>
      <c r="D432" s="180"/>
      <c r="E432" s="180"/>
      <c r="F432" s="184"/>
      <c r="G432" s="184"/>
      <c r="H432" s="240"/>
      <c r="I432" s="184"/>
      <c r="J432" s="184"/>
      <c r="K432" s="244"/>
      <c r="L432" s="244"/>
      <c r="M432" s="244"/>
      <c r="N432" s="180"/>
    </row>
    <row r="433">
      <c r="B433" s="184"/>
      <c r="C433" s="181"/>
      <c r="D433" s="180"/>
      <c r="E433" s="180"/>
      <c r="F433" s="184"/>
      <c r="G433" s="184"/>
      <c r="H433" s="240"/>
      <c r="I433" s="184"/>
      <c r="J433" s="184"/>
      <c r="K433" s="244"/>
      <c r="L433" s="244"/>
      <c r="M433" s="244"/>
      <c r="N433" s="180"/>
    </row>
    <row r="434">
      <c r="B434" s="184"/>
      <c r="C434" s="181"/>
      <c r="D434" s="180"/>
      <c r="E434" s="180"/>
      <c r="F434" s="184"/>
      <c r="G434" s="184"/>
      <c r="H434" s="240"/>
      <c r="I434" s="184"/>
      <c r="J434" s="184"/>
      <c r="K434" s="244"/>
      <c r="L434" s="244"/>
      <c r="M434" s="244"/>
      <c r="N434" s="180"/>
    </row>
    <row r="435">
      <c r="B435" s="184"/>
      <c r="C435" s="181"/>
      <c r="D435" s="180"/>
      <c r="E435" s="180"/>
      <c r="F435" s="184"/>
      <c r="G435" s="184"/>
      <c r="H435" s="240"/>
      <c r="I435" s="184"/>
      <c r="J435" s="184"/>
      <c r="K435" s="244"/>
      <c r="L435" s="244"/>
      <c r="M435" s="244"/>
      <c r="N435" s="180"/>
    </row>
    <row r="436">
      <c r="B436" s="184"/>
      <c r="C436" s="181"/>
      <c r="D436" s="180"/>
      <c r="E436" s="180"/>
      <c r="F436" s="184"/>
      <c r="G436" s="184"/>
      <c r="H436" s="240"/>
      <c r="I436" s="184"/>
      <c r="J436" s="184"/>
      <c r="K436" s="244"/>
      <c r="L436" s="244"/>
      <c r="M436" s="244"/>
      <c r="N436" s="180"/>
    </row>
    <row r="437">
      <c r="B437" s="184"/>
      <c r="C437" s="181"/>
      <c r="D437" s="180"/>
      <c r="E437" s="180"/>
      <c r="F437" s="184"/>
      <c r="G437" s="184"/>
      <c r="H437" s="240"/>
      <c r="I437" s="184"/>
      <c r="J437" s="184"/>
      <c r="K437" s="244"/>
      <c r="L437" s="244"/>
      <c r="M437" s="244"/>
      <c r="N437" s="180"/>
    </row>
    <row r="438">
      <c r="B438" s="184"/>
      <c r="C438" s="181"/>
      <c r="D438" s="180"/>
      <c r="E438" s="180"/>
      <c r="F438" s="184"/>
      <c r="G438" s="184"/>
      <c r="H438" s="240"/>
      <c r="I438" s="184"/>
      <c r="J438" s="184"/>
      <c r="K438" s="244"/>
      <c r="L438" s="244"/>
      <c r="M438" s="244"/>
      <c r="N438" s="180"/>
    </row>
    <row r="439">
      <c r="B439" s="184"/>
      <c r="C439" s="181"/>
      <c r="D439" s="180"/>
      <c r="E439" s="180"/>
      <c r="F439" s="184"/>
      <c r="G439" s="184"/>
      <c r="H439" s="240"/>
      <c r="I439" s="184"/>
      <c r="J439" s="184"/>
      <c r="K439" s="244"/>
      <c r="L439" s="244"/>
      <c r="M439" s="244"/>
      <c r="N439" s="180"/>
    </row>
    <row r="440">
      <c r="B440" s="184"/>
      <c r="C440" s="181"/>
      <c r="D440" s="180"/>
      <c r="E440" s="180"/>
      <c r="F440" s="184"/>
      <c r="G440" s="184"/>
      <c r="H440" s="240"/>
      <c r="I440" s="184"/>
      <c r="J440" s="184"/>
      <c r="K440" s="244"/>
      <c r="L440" s="244"/>
      <c r="M440" s="244"/>
      <c r="N440" s="180"/>
    </row>
    <row r="441">
      <c r="B441" s="184"/>
      <c r="C441" s="181"/>
      <c r="D441" s="180"/>
      <c r="E441" s="180"/>
      <c r="F441" s="184"/>
      <c r="G441" s="184"/>
      <c r="H441" s="240"/>
      <c r="I441" s="184"/>
      <c r="J441" s="184"/>
      <c r="K441" s="244"/>
      <c r="L441" s="244"/>
      <c r="M441" s="244"/>
      <c r="N441" s="180"/>
    </row>
    <row r="442">
      <c r="B442" s="184"/>
      <c r="C442" s="181"/>
      <c r="D442" s="180"/>
      <c r="E442" s="180"/>
      <c r="F442" s="184"/>
      <c r="G442" s="184"/>
      <c r="H442" s="240"/>
      <c r="I442" s="184"/>
      <c r="J442" s="184"/>
      <c r="K442" s="244"/>
      <c r="L442" s="244"/>
      <c r="M442" s="244"/>
      <c r="N442" s="180"/>
    </row>
    <row r="443">
      <c r="B443" s="184"/>
      <c r="C443" s="181"/>
      <c r="D443" s="180"/>
      <c r="E443" s="180"/>
      <c r="F443" s="184"/>
      <c r="G443" s="184"/>
      <c r="H443" s="240"/>
      <c r="I443" s="184"/>
      <c r="J443" s="184"/>
      <c r="K443" s="244"/>
      <c r="L443" s="244"/>
      <c r="M443" s="244"/>
      <c r="N443" s="180"/>
    </row>
    <row r="444">
      <c r="B444" s="184"/>
      <c r="C444" s="181"/>
      <c r="D444" s="180"/>
      <c r="E444" s="180"/>
      <c r="F444" s="184"/>
      <c r="G444" s="184"/>
      <c r="H444" s="240"/>
      <c r="I444" s="184"/>
      <c r="J444" s="184"/>
      <c r="K444" s="244"/>
      <c r="L444" s="244"/>
      <c r="M444" s="244"/>
      <c r="N444" s="180"/>
    </row>
    <row r="445">
      <c r="B445" s="184"/>
      <c r="C445" s="181"/>
      <c r="D445" s="180"/>
      <c r="E445" s="180"/>
      <c r="F445" s="184"/>
      <c r="G445" s="184"/>
      <c r="H445" s="240"/>
      <c r="I445" s="184"/>
      <c r="J445" s="184"/>
      <c r="K445" s="244"/>
      <c r="L445" s="244"/>
      <c r="M445" s="244"/>
      <c r="N445" s="180"/>
    </row>
    <row r="446">
      <c r="B446" s="184"/>
      <c r="C446" s="181"/>
      <c r="D446" s="180"/>
      <c r="E446" s="180"/>
      <c r="F446" s="184"/>
      <c r="G446" s="184"/>
      <c r="H446" s="240"/>
      <c r="I446" s="184"/>
      <c r="J446" s="184"/>
      <c r="K446" s="244"/>
      <c r="L446" s="244"/>
      <c r="M446" s="244"/>
      <c r="N446" s="180"/>
    </row>
    <row r="447">
      <c r="B447" s="184"/>
      <c r="C447" s="181"/>
      <c r="D447" s="180"/>
      <c r="E447" s="180"/>
      <c r="F447" s="184"/>
      <c r="G447" s="184"/>
      <c r="H447" s="240"/>
      <c r="I447" s="184"/>
      <c r="J447" s="184"/>
      <c r="K447" s="244"/>
      <c r="L447" s="244"/>
      <c r="M447" s="244"/>
      <c r="N447" s="180"/>
    </row>
    <row r="448">
      <c r="B448" s="184"/>
      <c r="C448" s="181"/>
      <c r="D448" s="180"/>
      <c r="E448" s="180"/>
      <c r="F448" s="184"/>
      <c r="G448" s="184"/>
      <c r="H448" s="240"/>
      <c r="I448" s="184"/>
      <c r="J448" s="184"/>
      <c r="K448" s="244"/>
      <c r="L448" s="244"/>
      <c r="M448" s="244"/>
      <c r="N448" s="180"/>
    </row>
    <row r="449">
      <c r="B449" s="184"/>
      <c r="C449" s="181"/>
      <c r="D449" s="180"/>
      <c r="E449" s="180"/>
      <c r="F449" s="184"/>
      <c r="G449" s="184"/>
      <c r="H449" s="240"/>
      <c r="I449" s="184"/>
      <c r="J449" s="184"/>
      <c r="K449" s="244"/>
      <c r="L449" s="244"/>
      <c r="M449" s="244"/>
      <c r="N449" s="180"/>
    </row>
    <row r="450">
      <c r="B450" s="184"/>
      <c r="C450" s="181"/>
      <c r="D450" s="180"/>
      <c r="E450" s="180"/>
      <c r="F450" s="184"/>
      <c r="G450" s="184"/>
      <c r="H450" s="240"/>
      <c r="I450" s="184"/>
      <c r="J450" s="184"/>
      <c r="K450" s="244"/>
      <c r="L450" s="244"/>
      <c r="M450" s="244"/>
      <c r="N450" s="180"/>
    </row>
    <row r="451">
      <c r="B451" s="184"/>
      <c r="C451" s="181"/>
      <c r="D451" s="180"/>
      <c r="E451" s="180"/>
      <c r="F451" s="184"/>
      <c r="G451" s="184"/>
      <c r="H451" s="240"/>
      <c r="I451" s="184"/>
      <c r="J451" s="184"/>
      <c r="K451" s="244"/>
      <c r="L451" s="244"/>
      <c r="M451" s="244"/>
      <c r="N451" s="180"/>
    </row>
    <row r="452">
      <c r="B452" s="184"/>
      <c r="C452" s="181"/>
      <c r="D452" s="180"/>
      <c r="E452" s="180"/>
      <c r="F452" s="184"/>
      <c r="G452" s="184"/>
      <c r="H452" s="240"/>
      <c r="I452" s="184"/>
      <c r="J452" s="184"/>
      <c r="K452" s="244"/>
      <c r="L452" s="244"/>
      <c r="M452" s="244"/>
      <c r="N452" s="180"/>
    </row>
    <row r="453">
      <c r="B453" s="184"/>
      <c r="C453" s="181"/>
      <c r="D453" s="180"/>
      <c r="E453" s="180"/>
      <c r="F453" s="184"/>
      <c r="G453" s="184"/>
      <c r="H453" s="240"/>
      <c r="I453" s="184"/>
      <c r="J453" s="184"/>
      <c r="K453" s="244"/>
      <c r="L453" s="244"/>
      <c r="M453" s="244"/>
      <c r="N453" s="180"/>
    </row>
    <row r="454">
      <c r="B454" s="184"/>
      <c r="C454" s="181"/>
      <c r="D454" s="180"/>
      <c r="E454" s="180"/>
      <c r="F454" s="184"/>
      <c r="G454" s="184"/>
      <c r="H454" s="240"/>
      <c r="I454" s="184"/>
      <c r="J454" s="184"/>
      <c r="K454" s="244"/>
      <c r="L454" s="244"/>
      <c r="M454" s="244"/>
      <c r="N454" s="180"/>
    </row>
    <row r="455">
      <c r="B455" s="184"/>
      <c r="C455" s="181"/>
      <c r="D455" s="180"/>
      <c r="E455" s="180"/>
      <c r="F455" s="184"/>
      <c r="G455" s="184"/>
      <c r="H455" s="240"/>
      <c r="I455" s="184"/>
      <c r="J455" s="184"/>
      <c r="K455" s="244"/>
      <c r="L455" s="244"/>
      <c r="M455" s="244"/>
      <c r="N455" s="180"/>
    </row>
    <row r="456">
      <c r="B456" s="184"/>
      <c r="C456" s="181"/>
      <c r="D456" s="180"/>
      <c r="E456" s="180"/>
      <c r="F456" s="184"/>
      <c r="G456" s="184"/>
      <c r="H456" s="240"/>
      <c r="I456" s="184"/>
      <c r="J456" s="184"/>
      <c r="K456" s="244"/>
      <c r="L456" s="244"/>
      <c r="M456" s="244"/>
      <c r="N456" s="180"/>
    </row>
    <row r="457">
      <c r="B457" s="184"/>
      <c r="C457" s="181"/>
      <c r="D457" s="180"/>
      <c r="E457" s="180"/>
      <c r="F457" s="184"/>
      <c r="G457" s="184"/>
      <c r="H457" s="240"/>
      <c r="I457" s="184"/>
      <c r="J457" s="184"/>
      <c r="K457" s="244"/>
      <c r="L457" s="244"/>
      <c r="M457" s="244"/>
      <c r="N457" s="180"/>
    </row>
    <row r="458">
      <c r="B458" s="184"/>
      <c r="C458" s="181"/>
      <c r="D458" s="180"/>
      <c r="E458" s="180"/>
      <c r="F458" s="184"/>
      <c r="G458" s="184"/>
      <c r="H458" s="240"/>
      <c r="I458" s="184"/>
      <c r="J458" s="184"/>
      <c r="K458" s="244"/>
      <c r="L458" s="244"/>
      <c r="M458" s="244"/>
      <c r="N458" s="180"/>
    </row>
    <row r="459">
      <c r="B459" s="184"/>
      <c r="C459" s="181"/>
      <c r="D459" s="180"/>
      <c r="E459" s="180"/>
      <c r="F459" s="184"/>
      <c r="G459" s="184"/>
      <c r="H459" s="240"/>
      <c r="I459" s="184"/>
      <c r="J459" s="184"/>
      <c r="K459" s="244"/>
      <c r="L459" s="244"/>
      <c r="M459" s="244"/>
      <c r="N459" s="180"/>
    </row>
    <row r="460">
      <c r="B460" s="184"/>
      <c r="C460" s="181"/>
      <c r="D460" s="180"/>
      <c r="E460" s="180"/>
      <c r="F460" s="184"/>
      <c r="G460" s="184"/>
      <c r="H460" s="240"/>
      <c r="I460" s="184"/>
      <c r="J460" s="184"/>
      <c r="K460" s="244"/>
      <c r="L460" s="244"/>
      <c r="M460" s="244"/>
      <c r="N460" s="180"/>
    </row>
    <row r="461">
      <c r="B461" s="184"/>
      <c r="C461" s="181"/>
      <c r="D461" s="180"/>
      <c r="E461" s="180"/>
      <c r="F461" s="184"/>
      <c r="G461" s="184"/>
      <c r="H461" s="240"/>
      <c r="I461" s="184"/>
      <c r="J461" s="184"/>
      <c r="K461" s="244"/>
      <c r="L461" s="244"/>
      <c r="M461" s="244"/>
      <c r="N461" s="180"/>
    </row>
    <row r="462">
      <c r="B462" s="184"/>
      <c r="C462" s="181"/>
      <c r="D462" s="180"/>
      <c r="E462" s="180"/>
      <c r="F462" s="184"/>
      <c r="G462" s="184"/>
      <c r="H462" s="240"/>
      <c r="I462" s="184"/>
      <c r="J462" s="184"/>
      <c r="K462" s="244"/>
      <c r="L462" s="244"/>
      <c r="M462" s="244"/>
      <c r="N462" s="180"/>
    </row>
    <row r="463">
      <c r="B463" s="184"/>
      <c r="C463" s="181"/>
      <c r="D463" s="180"/>
      <c r="E463" s="180"/>
      <c r="F463" s="184"/>
      <c r="G463" s="184"/>
      <c r="H463" s="240"/>
      <c r="I463" s="184"/>
      <c r="J463" s="184"/>
      <c r="K463" s="244"/>
      <c r="L463" s="244"/>
      <c r="M463" s="244"/>
      <c r="N463" s="180"/>
    </row>
    <row r="464">
      <c r="B464" s="184"/>
      <c r="C464" s="181"/>
      <c r="D464" s="180"/>
      <c r="E464" s="180"/>
      <c r="F464" s="184"/>
      <c r="G464" s="184"/>
      <c r="H464" s="240"/>
      <c r="I464" s="184"/>
      <c r="J464" s="184"/>
      <c r="K464" s="244"/>
      <c r="L464" s="244"/>
      <c r="M464" s="244"/>
      <c r="N464" s="180"/>
    </row>
    <row r="465">
      <c r="B465" s="184"/>
      <c r="C465" s="181"/>
      <c r="D465" s="180"/>
      <c r="E465" s="180"/>
      <c r="F465" s="184"/>
      <c r="G465" s="184"/>
      <c r="H465" s="240"/>
      <c r="I465" s="184"/>
      <c r="J465" s="184"/>
      <c r="K465" s="244"/>
      <c r="L465" s="244"/>
      <c r="M465" s="244"/>
      <c r="N465" s="180"/>
    </row>
    <row r="466">
      <c r="B466" s="184"/>
      <c r="C466" s="181"/>
      <c r="D466" s="180"/>
      <c r="E466" s="180"/>
      <c r="F466" s="184"/>
      <c r="G466" s="184"/>
      <c r="H466" s="240"/>
      <c r="I466" s="184"/>
      <c r="J466" s="184"/>
      <c r="K466" s="244"/>
      <c r="L466" s="244"/>
      <c r="M466" s="244"/>
      <c r="N466" s="180"/>
    </row>
    <row r="467">
      <c r="B467" s="184"/>
      <c r="C467" s="181"/>
      <c r="D467" s="180"/>
      <c r="E467" s="180"/>
      <c r="F467" s="184"/>
      <c r="G467" s="184"/>
      <c r="H467" s="240"/>
      <c r="I467" s="184"/>
      <c r="J467" s="184"/>
      <c r="K467" s="244"/>
      <c r="L467" s="244"/>
      <c r="M467" s="244"/>
      <c r="N467" s="180"/>
    </row>
    <row r="468">
      <c r="B468" s="184"/>
      <c r="C468" s="181"/>
      <c r="D468" s="180"/>
      <c r="E468" s="180"/>
      <c r="F468" s="184"/>
      <c r="G468" s="184"/>
      <c r="H468" s="240"/>
      <c r="I468" s="184"/>
      <c r="J468" s="184"/>
      <c r="K468" s="244"/>
      <c r="L468" s="244"/>
      <c r="M468" s="244"/>
      <c r="N468" s="180"/>
    </row>
    <row r="469">
      <c r="B469" s="184"/>
      <c r="C469" s="181"/>
      <c r="D469" s="180"/>
      <c r="E469" s="180"/>
      <c r="F469" s="184"/>
      <c r="G469" s="184"/>
      <c r="H469" s="240"/>
      <c r="I469" s="184"/>
      <c r="J469" s="184"/>
      <c r="K469" s="244"/>
      <c r="L469" s="244"/>
      <c r="M469" s="244"/>
      <c r="N469" s="180"/>
    </row>
    <row r="470">
      <c r="B470" s="184"/>
      <c r="C470" s="181"/>
      <c r="D470" s="180"/>
      <c r="E470" s="180"/>
      <c r="F470" s="184"/>
      <c r="G470" s="184"/>
      <c r="H470" s="240"/>
      <c r="I470" s="184"/>
      <c r="J470" s="184"/>
      <c r="K470" s="244"/>
      <c r="L470" s="244"/>
      <c r="M470" s="244"/>
      <c r="N470" s="180"/>
    </row>
    <row r="471">
      <c r="B471" s="184"/>
      <c r="C471" s="181"/>
      <c r="D471" s="180"/>
      <c r="E471" s="180"/>
      <c r="F471" s="184"/>
      <c r="G471" s="184"/>
      <c r="H471" s="240"/>
      <c r="I471" s="184"/>
      <c r="J471" s="184"/>
      <c r="K471" s="244"/>
      <c r="L471" s="244"/>
      <c r="M471" s="244"/>
      <c r="N471" s="180"/>
    </row>
    <row r="472">
      <c r="B472" s="184"/>
      <c r="C472" s="181"/>
      <c r="D472" s="180"/>
      <c r="E472" s="180"/>
      <c r="F472" s="184"/>
      <c r="G472" s="184"/>
      <c r="H472" s="240"/>
      <c r="I472" s="184"/>
      <c r="J472" s="184"/>
      <c r="K472" s="244"/>
      <c r="L472" s="244"/>
      <c r="M472" s="244"/>
      <c r="N472" s="180"/>
    </row>
    <row r="473">
      <c r="B473" s="184"/>
      <c r="C473" s="181"/>
      <c r="D473" s="180"/>
      <c r="E473" s="180"/>
      <c r="F473" s="184"/>
      <c r="G473" s="184"/>
      <c r="H473" s="240"/>
      <c r="I473" s="184"/>
      <c r="J473" s="184"/>
      <c r="K473" s="244"/>
      <c r="L473" s="244"/>
      <c r="M473" s="244"/>
      <c r="N473" s="180"/>
    </row>
    <row r="474">
      <c r="B474" s="184"/>
      <c r="C474" s="181"/>
      <c r="D474" s="180"/>
      <c r="E474" s="180"/>
      <c r="F474" s="184"/>
      <c r="G474" s="184"/>
      <c r="H474" s="240"/>
      <c r="I474" s="184"/>
      <c r="J474" s="184"/>
      <c r="K474" s="244"/>
      <c r="L474" s="244"/>
      <c r="M474" s="244"/>
      <c r="N474" s="180"/>
    </row>
    <row r="475">
      <c r="B475" s="184"/>
      <c r="C475" s="181"/>
      <c r="D475" s="180"/>
      <c r="E475" s="180"/>
      <c r="F475" s="184"/>
      <c r="G475" s="184"/>
      <c r="H475" s="240"/>
      <c r="I475" s="184"/>
      <c r="J475" s="184"/>
      <c r="K475" s="244"/>
      <c r="L475" s="244"/>
      <c r="M475" s="244"/>
      <c r="N475" s="180"/>
    </row>
    <row r="476">
      <c r="B476" s="184"/>
      <c r="C476" s="181"/>
      <c r="D476" s="180"/>
      <c r="E476" s="180"/>
      <c r="F476" s="184"/>
      <c r="G476" s="184"/>
      <c r="H476" s="240"/>
      <c r="I476" s="184"/>
      <c r="J476" s="184"/>
      <c r="K476" s="244"/>
      <c r="L476" s="244"/>
      <c r="M476" s="244"/>
      <c r="N476" s="180"/>
    </row>
    <row r="477">
      <c r="B477" s="184"/>
      <c r="C477" s="181"/>
      <c r="D477" s="180"/>
      <c r="E477" s="180"/>
      <c r="F477" s="184"/>
      <c r="G477" s="184"/>
      <c r="H477" s="240"/>
      <c r="I477" s="184"/>
      <c r="J477" s="184"/>
      <c r="K477" s="244"/>
      <c r="L477" s="244"/>
      <c r="M477" s="244"/>
      <c r="N477" s="180"/>
    </row>
    <row r="478">
      <c r="B478" s="184"/>
      <c r="C478" s="181"/>
      <c r="D478" s="180"/>
      <c r="E478" s="180"/>
      <c r="F478" s="184"/>
      <c r="G478" s="184"/>
      <c r="H478" s="240"/>
      <c r="I478" s="184"/>
      <c r="J478" s="184"/>
      <c r="K478" s="244"/>
      <c r="L478" s="244"/>
      <c r="M478" s="244"/>
      <c r="N478" s="180"/>
    </row>
    <row r="479">
      <c r="B479" s="184"/>
      <c r="C479" s="181"/>
      <c r="D479" s="180"/>
      <c r="E479" s="180"/>
      <c r="F479" s="184"/>
      <c r="G479" s="184"/>
      <c r="H479" s="240"/>
      <c r="I479" s="184"/>
      <c r="J479" s="184"/>
      <c r="K479" s="244"/>
      <c r="L479" s="244"/>
      <c r="M479" s="244"/>
      <c r="N479" s="180"/>
    </row>
    <row r="480">
      <c r="B480" s="184"/>
      <c r="C480" s="181"/>
      <c r="D480" s="180"/>
      <c r="E480" s="180"/>
      <c r="F480" s="184"/>
      <c r="G480" s="184"/>
      <c r="H480" s="240"/>
      <c r="I480" s="184"/>
      <c r="J480" s="184"/>
      <c r="K480" s="244"/>
      <c r="L480" s="244"/>
      <c r="M480" s="244"/>
      <c r="N480" s="180"/>
    </row>
    <row r="481">
      <c r="B481" s="184"/>
      <c r="C481" s="181"/>
      <c r="D481" s="180"/>
      <c r="E481" s="180"/>
      <c r="F481" s="184"/>
      <c r="G481" s="184"/>
      <c r="H481" s="240"/>
      <c r="I481" s="184"/>
      <c r="J481" s="184"/>
      <c r="K481" s="244"/>
      <c r="L481" s="244"/>
      <c r="M481" s="244"/>
      <c r="N481" s="180"/>
    </row>
    <row r="482">
      <c r="B482" s="184"/>
      <c r="C482" s="181"/>
      <c r="D482" s="180"/>
      <c r="E482" s="180"/>
      <c r="F482" s="184"/>
      <c r="G482" s="184"/>
      <c r="H482" s="240"/>
      <c r="I482" s="184"/>
      <c r="J482" s="184"/>
      <c r="K482" s="244"/>
      <c r="L482" s="244"/>
      <c r="M482" s="244"/>
      <c r="N482" s="180"/>
    </row>
    <row r="483">
      <c r="B483" s="184"/>
      <c r="C483" s="181"/>
      <c r="D483" s="180"/>
      <c r="E483" s="180"/>
      <c r="F483" s="184"/>
      <c r="G483" s="184"/>
      <c r="H483" s="240"/>
      <c r="I483" s="184"/>
      <c r="J483" s="184"/>
      <c r="K483" s="244"/>
      <c r="L483" s="244"/>
      <c r="M483" s="244"/>
      <c r="N483" s="180"/>
    </row>
    <row r="484">
      <c r="B484" s="184"/>
      <c r="C484" s="181"/>
      <c r="D484" s="180"/>
      <c r="E484" s="180"/>
      <c r="F484" s="184"/>
      <c r="G484" s="184"/>
      <c r="H484" s="240"/>
      <c r="I484" s="184"/>
      <c r="J484" s="184"/>
      <c r="K484" s="244"/>
      <c r="L484" s="244"/>
      <c r="M484" s="244"/>
      <c r="N484" s="180"/>
    </row>
    <row r="485">
      <c r="B485" s="184"/>
      <c r="C485" s="181"/>
      <c r="D485" s="180"/>
      <c r="E485" s="180"/>
      <c r="F485" s="184"/>
      <c r="G485" s="184"/>
      <c r="H485" s="240"/>
      <c r="I485" s="184"/>
      <c r="J485" s="184"/>
      <c r="K485" s="244"/>
      <c r="L485" s="244"/>
      <c r="M485" s="244"/>
      <c r="N485" s="180"/>
    </row>
    <row r="486">
      <c r="B486" s="184"/>
      <c r="C486" s="181"/>
      <c r="D486" s="180"/>
      <c r="E486" s="180"/>
      <c r="F486" s="184"/>
      <c r="G486" s="184"/>
      <c r="H486" s="240"/>
      <c r="I486" s="184"/>
      <c r="J486" s="184"/>
      <c r="K486" s="244"/>
      <c r="L486" s="244"/>
      <c r="M486" s="244"/>
      <c r="N486" s="180"/>
    </row>
    <row r="487">
      <c r="B487" s="184"/>
      <c r="C487" s="181"/>
      <c r="D487" s="180"/>
      <c r="E487" s="180"/>
      <c r="F487" s="184"/>
      <c r="G487" s="184"/>
      <c r="H487" s="240"/>
      <c r="I487" s="184"/>
      <c r="J487" s="184"/>
      <c r="K487" s="244"/>
      <c r="L487" s="244"/>
      <c r="M487" s="244"/>
      <c r="N487" s="180"/>
    </row>
    <row r="488">
      <c r="B488" s="184"/>
      <c r="C488" s="181"/>
      <c r="D488" s="180"/>
      <c r="E488" s="180"/>
      <c r="F488" s="184"/>
      <c r="G488" s="184"/>
      <c r="H488" s="240"/>
      <c r="I488" s="184"/>
      <c r="J488" s="184"/>
      <c r="K488" s="244"/>
      <c r="L488" s="244"/>
      <c r="M488" s="244"/>
      <c r="N488" s="180"/>
    </row>
    <row r="489">
      <c r="B489" s="184"/>
      <c r="C489" s="181"/>
      <c r="D489" s="180"/>
      <c r="E489" s="180"/>
      <c r="F489" s="184"/>
      <c r="G489" s="184"/>
      <c r="H489" s="240"/>
      <c r="I489" s="184"/>
      <c r="J489" s="184"/>
      <c r="K489" s="244"/>
      <c r="L489" s="244"/>
      <c r="M489" s="244"/>
      <c r="N489" s="180"/>
    </row>
    <row r="490">
      <c r="B490" s="184"/>
      <c r="C490" s="181"/>
      <c r="D490" s="180"/>
      <c r="E490" s="180"/>
      <c r="F490" s="184"/>
      <c r="G490" s="184"/>
      <c r="H490" s="240"/>
      <c r="I490" s="184"/>
      <c r="J490" s="184"/>
      <c r="K490" s="244"/>
      <c r="L490" s="244"/>
      <c r="M490" s="244"/>
      <c r="N490" s="180"/>
    </row>
    <row r="491">
      <c r="B491" s="184"/>
      <c r="C491" s="181"/>
      <c r="D491" s="180"/>
      <c r="E491" s="180"/>
      <c r="F491" s="184"/>
      <c r="G491" s="184"/>
      <c r="H491" s="240"/>
      <c r="I491" s="184"/>
      <c r="J491" s="184"/>
      <c r="K491" s="244"/>
      <c r="L491" s="244"/>
      <c r="M491" s="244"/>
      <c r="N491" s="180"/>
    </row>
    <row r="492">
      <c r="B492" s="184"/>
      <c r="C492" s="181"/>
      <c r="D492" s="180"/>
      <c r="E492" s="180"/>
      <c r="F492" s="184"/>
      <c r="G492" s="184"/>
      <c r="H492" s="240"/>
      <c r="I492" s="184"/>
      <c r="J492" s="184"/>
      <c r="K492" s="244"/>
      <c r="L492" s="244"/>
      <c r="M492" s="244"/>
      <c r="N492" s="180"/>
    </row>
    <row r="493">
      <c r="B493" s="184"/>
      <c r="C493" s="181"/>
      <c r="D493" s="180"/>
      <c r="E493" s="180"/>
      <c r="F493" s="184"/>
      <c r="G493" s="184"/>
      <c r="H493" s="240"/>
      <c r="I493" s="184"/>
      <c r="J493" s="184"/>
      <c r="K493" s="244"/>
      <c r="L493" s="244"/>
      <c r="M493" s="244"/>
      <c r="N493" s="180"/>
    </row>
    <row r="494">
      <c r="B494" s="184"/>
      <c r="C494" s="181"/>
      <c r="D494" s="180"/>
      <c r="E494" s="180"/>
      <c r="F494" s="184"/>
      <c r="G494" s="184"/>
      <c r="H494" s="240"/>
      <c r="I494" s="184"/>
      <c r="J494" s="184"/>
      <c r="K494" s="244"/>
      <c r="L494" s="244"/>
      <c r="M494" s="244"/>
      <c r="N494" s="180"/>
    </row>
    <row r="495">
      <c r="B495" s="184"/>
      <c r="C495" s="181"/>
      <c r="D495" s="180"/>
      <c r="E495" s="180"/>
      <c r="F495" s="184"/>
      <c r="G495" s="184"/>
      <c r="H495" s="240"/>
      <c r="I495" s="184"/>
      <c r="J495" s="184"/>
      <c r="K495" s="244"/>
      <c r="L495" s="244"/>
      <c r="M495" s="244"/>
      <c r="N495" s="180"/>
    </row>
    <row r="496">
      <c r="B496" s="184"/>
      <c r="C496" s="181"/>
      <c r="D496" s="180"/>
      <c r="E496" s="180"/>
      <c r="F496" s="184"/>
      <c r="G496" s="184"/>
      <c r="H496" s="240"/>
      <c r="I496" s="184"/>
      <c r="J496" s="184"/>
      <c r="K496" s="244"/>
      <c r="L496" s="244"/>
      <c r="M496" s="244"/>
      <c r="N496" s="180"/>
    </row>
    <row r="497">
      <c r="B497" s="184"/>
      <c r="C497" s="181"/>
      <c r="D497" s="180"/>
      <c r="E497" s="180"/>
      <c r="F497" s="184"/>
      <c r="G497" s="184"/>
      <c r="H497" s="240"/>
      <c r="I497" s="184"/>
      <c r="J497" s="184"/>
      <c r="K497" s="244"/>
      <c r="L497" s="244"/>
      <c r="M497" s="244"/>
      <c r="N497" s="180"/>
    </row>
    <row r="498">
      <c r="B498" s="184"/>
      <c r="C498" s="181"/>
      <c r="D498" s="180"/>
      <c r="E498" s="180"/>
      <c r="F498" s="184"/>
      <c r="G498" s="184"/>
      <c r="H498" s="240"/>
      <c r="I498" s="184"/>
      <c r="J498" s="184"/>
      <c r="K498" s="244"/>
      <c r="L498" s="244"/>
      <c r="M498" s="244"/>
      <c r="N498" s="180"/>
    </row>
    <row r="499">
      <c r="B499" s="184"/>
      <c r="C499" s="181"/>
      <c r="D499" s="180"/>
      <c r="E499" s="180"/>
      <c r="F499" s="184"/>
      <c r="G499" s="184"/>
      <c r="H499" s="240"/>
      <c r="I499" s="184"/>
      <c r="J499" s="184"/>
      <c r="K499" s="244"/>
      <c r="L499" s="244"/>
      <c r="M499" s="244"/>
      <c r="N499" s="180"/>
    </row>
    <row r="500">
      <c r="B500" s="184"/>
      <c r="C500" s="181"/>
      <c r="D500" s="180"/>
      <c r="E500" s="180"/>
      <c r="F500" s="184"/>
      <c r="G500" s="184"/>
      <c r="H500" s="240"/>
      <c r="I500" s="184"/>
      <c r="J500" s="184"/>
      <c r="K500" s="244"/>
      <c r="L500" s="244"/>
      <c r="M500" s="244"/>
      <c r="N500" s="180"/>
    </row>
    <row r="501">
      <c r="B501" s="184"/>
      <c r="C501" s="181"/>
      <c r="D501" s="180"/>
      <c r="E501" s="180"/>
      <c r="F501" s="184"/>
      <c r="G501" s="184"/>
      <c r="H501" s="240"/>
      <c r="I501" s="184"/>
      <c r="J501" s="184"/>
      <c r="K501" s="244"/>
      <c r="L501" s="244"/>
      <c r="M501" s="244"/>
      <c r="N501" s="180"/>
    </row>
    <row r="502">
      <c r="B502" s="184"/>
      <c r="C502" s="181"/>
      <c r="D502" s="180"/>
      <c r="E502" s="180"/>
      <c r="F502" s="184"/>
      <c r="G502" s="184"/>
      <c r="H502" s="240"/>
      <c r="I502" s="184"/>
      <c r="J502" s="184"/>
      <c r="K502" s="244"/>
      <c r="L502" s="244"/>
      <c r="M502" s="244"/>
      <c r="N502" s="180"/>
    </row>
    <row r="503">
      <c r="B503" s="184"/>
      <c r="C503" s="181"/>
      <c r="D503" s="180"/>
      <c r="E503" s="180"/>
      <c r="F503" s="184"/>
      <c r="G503" s="184"/>
      <c r="H503" s="240"/>
      <c r="I503" s="184"/>
      <c r="J503" s="184"/>
      <c r="K503" s="244"/>
      <c r="L503" s="244"/>
      <c r="M503" s="244"/>
      <c r="N503" s="180"/>
    </row>
    <row r="504">
      <c r="B504" s="184"/>
      <c r="C504" s="181"/>
      <c r="D504" s="180"/>
      <c r="E504" s="180"/>
      <c r="F504" s="184"/>
      <c r="G504" s="184"/>
      <c r="H504" s="240"/>
      <c r="I504" s="184"/>
      <c r="J504" s="184"/>
      <c r="K504" s="244"/>
      <c r="L504" s="244"/>
      <c r="M504" s="244"/>
      <c r="N504" s="180"/>
    </row>
    <row r="505">
      <c r="B505" s="184"/>
      <c r="C505" s="181"/>
      <c r="D505" s="180"/>
      <c r="E505" s="180"/>
      <c r="F505" s="184"/>
      <c r="G505" s="184"/>
      <c r="H505" s="240"/>
      <c r="I505" s="184"/>
      <c r="J505" s="184"/>
      <c r="K505" s="244"/>
      <c r="L505" s="244"/>
      <c r="M505" s="244"/>
      <c r="N505" s="180"/>
    </row>
    <row r="506">
      <c r="B506" s="184"/>
      <c r="C506" s="181"/>
      <c r="D506" s="180"/>
      <c r="E506" s="180"/>
      <c r="F506" s="184"/>
      <c r="G506" s="184"/>
      <c r="H506" s="240"/>
      <c r="I506" s="184"/>
      <c r="J506" s="184"/>
      <c r="K506" s="244"/>
      <c r="L506" s="244"/>
      <c r="M506" s="244"/>
      <c r="N506" s="180"/>
    </row>
    <row r="507">
      <c r="B507" s="184"/>
      <c r="C507" s="181"/>
      <c r="D507" s="180"/>
      <c r="E507" s="180"/>
      <c r="F507" s="184"/>
      <c r="G507" s="184"/>
      <c r="H507" s="240"/>
      <c r="I507" s="184"/>
      <c r="J507" s="184"/>
      <c r="K507" s="244"/>
      <c r="L507" s="244"/>
      <c r="M507" s="244"/>
      <c r="N507" s="180"/>
    </row>
    <row r="508">
      <c r="B508" s="184"/>
      <c r="C508" s="181"/>
      <c r="D508" s="180"/>
      <c r="E508" s="180"/>
      <c r="F508" s="184"/>
      <c r="G508" s="184"/>
      <c r="H508" s="240"/>
      <c r="I508" s="184"/>
      <c r="J508" s="184"/>
      <c r="K508" s="244"/>
      <c r="L508" s="244"/>
      <c r="M508" s="244"/>
      <c r="N508" s="180"/>
    </row>
    <row r="509">
      <c r="B509" s="184"/>
      <c r="C509" s="181"/>
      <c r="D509" s="180"/>
      <c r="E509" s="180"/>
      <c r="F509" s="184"/>
      <c r="G509" s="184"/>
      <c r="H509" s="240"/>
      <c r="I509" s="184"/>
      <c r="J509" s="184"/>
      <c r="K509" s="244"/>
      <c r="L509" s="244"/>
      <c r="M509" s="244"/>
      <c r="N509" s="180"/>
    </row>
    <row r="510">
      <c r="B510" s="184"/>
      <c r="C510" s="181"/>
      <c r="D510" s="180"/>
      <c r="E510" s="180"/>
      <c r="F510" s="184"/>
      <c r="G510" s="184"/>
      <c r="H510" s="240"/>
      <c r="I510" s="184"/>
      <c r="J510" s="184"/>
      <c r="K510" s="244"/>
      <c r="L510" s="244"/>
      <c r="M510" s="244"/>
      <c r="N510" s="180"/>
    </row>
    <row r="511">
      <c r="B511" s="184"/>
      <c r="C511" s="181"/>
      <c r="D511" s="180"/>
      <c r="E511" s="180"/>
      <c r="F511" s="184"/>
      <c r="G511" s="184"/>
      <c r="H511" s="240"/>
      <c r="I511" s="184"/>
      <c r="J511" s="184"/>
      <c r="K511" s="244"/>
      <c r="L511" s="244"/>
      <c r="M511" s="244"/>
      <c r="N511" s="180"/>
    </row>
    <row r="512">
      <c r="B512" s="184"/>
      <c r="C512" s="181"/>
      <c r="D512" s="180"/>
      <c r="E512" s="180"/>
      <c r="F512" s="184"/>
      <c r="G512" s="184"/>
      <c r="H512" s="240"/>
      <c r="I512" s="184"/>
      <c r="J512" s="184"/>
      <c r="K512" s="244"/>
      <c r="L512" s="244"/>
      <c r="M512" s="244"/>
      <c r="N512" s="180"/>
    </row>
    <row r="513">
      <c r="B513" s="184"/>
      <c r="C513" s="181"/>
      <c r="D513" s="180"/>
      <c r="E513" s="180"/>
      <c r="F513" s="184"/>
      <c r="G513" s="184"/>
      <c r="H513" s="240"/>
      <c r="I513" s="184"/>
      <c r="J513" s="184"/>
      <c r="K513" s="244"/>
      <c r="L513" s="244"/>
      <c r="M513" s="244"/>
      <c r="N513" s="180"/>
    </row>
    <row r="514">
      <c r="B514" s="184"/>
      <c r="C514" s="181"/>
      <c r="D514" s="180"/>
      <c r="E514" s="180"/>
      <c r="F514" s="184"/>
      <c r="G514" s="184"/>
      <c r="H514" s="240"/>
      <c r="I514" s="184"/>
      <c r="J514" s="184"/>
      <c r="K514" s="244"/>
      <c r="L514" s="244"/>
      <c r="M514" s="244"/>
      <c r="N514" s="180"/>
    </row>
    <row r="515">
      <c r="B515" s="184"/>
      <c r="C515" s="181"/>
      <c r="D515" s="180"/>
      <c r="E515" s="180"/>
      <c r="F515" s="184"/>
      <c r="G515" s="184"/>
      <c r="H515" s="240"/>
      <c r="I515" s="184"/>
      <c r="J515" s="184"/>
      <c r="K515" s="244"/>
      <c r="L515" s="244"/>
      <c r="M515" s="244"/>
      <c r="N515" s="180"/>
    </row>
    <row r="516">
      <c r="B516" s="184"/>
      <c r="C516" s="181"/>
      <c r="D516" s="180"/>
      <c r="E516" s="180"/>
      <c r="F516" s="184"/>
      <c r="G516" s="184"/>
      <c r="H516" s="240"/>
      <c r="I516" s="184"/>
      <c r="J516" s="184"/>
      <c r="K516" s="244"/>
      <c r="L516" s="244"/>
      <c r="M516" s="244"/>
      <c r="N516" s="180"/>
    </row>
    <row r="517">
      <c r="B517" s="184"/>
      <c r="C517" s="181"/>
      <c r="D517" s="180"/>
      <c r="E517" s="180"/>
      <c r="F517" s="184"/>
      <c r="G517" s="184"/>
      <c r="H517" s="240"/>
      <c r="I517" s="184"/>
      <c r="J517" s="184"/>
      <c r="K517" s="244"/>
      <c r="L517" s="244"/>
      <c r="M517" s="244"/>
      <c r="N517" s="180"/>
    </row>
    <row r="518">
      <c r="B518" s="184"/>
      <c r="C518" s="181"/>
      <c r="D518" s="180"/>
      <c r="E518" s="180"/>
      <c r="F518" s="184"/>
      <c r="G518" s="184"/>
      <c r="H518" s="240"/>
      <c r="I518" s="184"/>
      <c r="J518" s="184"/>
      <c r="K518" s="244"/>
      <c r="L518" s="244"/>
      <c r="M518" s="244"/>
      <c r="N518" s="180"/>
    </row>
    <row r="519">
      <c r="B519" s="184"/>
      <c r="C519" s="181"/>
      <c r="D519" s="180"/>
      <c r="E519" s="180"/>
      <c r="F519" s="184"/>
      <c r="G519" s="184"/>
      <c r="H519" s="240"/>
      <c r="I519" s="184"/>
      <c r="J519" s="184"/>
      <c r="K519" s="244"/>
      <c r="L519" s="244"/>
      <c r="M519" s="244"/>
      <c r="N519" s="180"/>
    </row>
    <row r="520">
      <c r="B520" s="184"/>
      <c r="C520" s="181"/>
      <c r="D520" s="180"/>
      <c r="E520" s="180"/>
      <c r="F520" s="184"/>
      <c r="G520" s="184"/>
      <c r="H520" s="240"/>
      <c r="I520" s="184"/>
      <c r="J520" s="184"/>
      <c r="K520" s="244"/>
      <c r="L520" s="244"/>
      <c r="M520" s="244"/>
      <c r="N520" s="180"/>
    </row>
    <row r="521">
      <c r="B521" s="184"/>
      <c r="C521" s="181"/>
      <c r="D521" s="180"/>
      <c r="E521" s="180"/>
      <c r="F521" s="184"/>
      <c r="G521" s="184"/>
      <c r="H521" s="240"/>
      <c r="I521" s="184"/>
      <c r="J521" s="184"/>
      <c r="K521" s="244"/>
      <c r="L521" s="244"/>
      <c r="M521" s="244"/>
      <c r="N521" s="180"/>
    </row>
    <row r="522">
      <c r="B522" s="184"/>
      <c r="C522" s="181"/>
      <c r="D522" s="180"/>
      <c r="E522" s="180"/>
      <c r="F522" s="184"/>
      <c r="G522" s="184"/>
      <c r="H522" s="240"/>
      <c r="I522" s="184"/>
      <c r="J522" s="184"/>
      <c r="K522" s="244"/>
      <c r="L522" s="244"/>
      <c r="M522" s="244"/>
      <c r="N522" s="180"/>
    </row>
    <row r="523">
      <c r="B523" s="184"/>
      <c r="C523" s="181"/>
      <c r="D523" s="180"/>
      <c r="E523" s="180"/>
      <c r="F523" s="184"/>
      <c r="G523" s="184"/>
      <c r="H523" s="240"/>
      <c r="I523" s="184"/>
      <c r="J523" s="184"/>
      <c r="K523" s="244"/>
      <c r="L523" s="244"/>
      <c r="M523" s="244"/>
      <c r="N523" s="180"/>
    </row>
    <row r="524">
      <c r="B524" s="184"/>
      <c r="C524" s="181"/>
      <c r="D524" s="180"/>
      <c r="E524" s="180"/>
      <c r="F524" s="184"/>
      <c r="G524" s="184"/>
      <c r="H524" s="240"/>
      <c r="I524" s="184"/>
      <c r="J524" s="184"/>
      <c r="K524" s="244"/>
      <c r="L524" s="244"/>
      <c r="M524" s="244"/>
      <c r="N524" s="180"/>
    </row>
    <row r="525">
      <c r="B525" s="184"/>
      <c r="C525" s="181"/>
      <c r="D525" s="180"/>
      <c r="E525" s="180"/>
      <c r="F525" s="184"/>
      <c r="G525" s="184"/>
      <c r="H525" s="240"/>
      <c r="I525" s="184"/>
      <c r="J525" s="184"/>
      <c r="K525" s="244"/>
      <c r="L525" s="244"/>
      <c r="M525" s="244"/>
      <c r="N525" s="180"/>
    </row>
    <row r="526">
      <c r="B526" s="184"/>
      <c r="C526" s="181"/>
      <c r="D526" s="180"/>
      <c r="E526" s="180"/>
      <c r="F526" s="184"/>
      <c r="G526" s="184"/>
      <c r="H526" s="240"/>
      <c r="I526" s="184"/>
      <c r="J526" s="184"/>
      <c r="K526" s="244"/>
      <c r="L526" s="244"/>
      <c r="M526" s="244"/>
      <c r="N526" s="180"/>
    </row>
    <row r="527">
      <c r="B527" s="184"/>
      <c r="C527" s="181"/>
      <c r="D527" s="180"/>
      <c r="E527" s="180"/>
      <c r="F527" s="184"/>
      <c r="G527" s="184"/>
      <c r="H527" s="240"/>
      <c r="I527" s="184"/>
      <c r="J527" s="184"/>
      <c r="K527" s="244"/>
      <c r="L527" s="244"/>
      <c r="M527" s="244"/>
      <c r="N527" s="180"/>
    </row>
    <row r="528">
      <c r="B528" s="184"/>
      <c r="C528" s="181"/>
      <c r="D528" s="180"/>
      <c r="E528" s="180"/>
      <c r="F528" s="184"/>
      <c r="G528" s="184"/>
      <c r="H528" s="240"/>
      <c r="I528" s="184"/>
      <c r="J528" s="184"/>
      <c r="K528" s="244"/>
      <c r="L528" s="244"/>
      <c r="M528" s="244"/>
      <c r="N528" s="180"/>
    </row>
    <row r="529">
      <c r="B529" s="184"/>
      <c r="C529" s="181"/>
      <c r="D529" s="180"/>
      <c r="E529" s="180"/>
      <c r="F529" s="184"/>
      <c r="G529" s="184"/>
      <c r="H529" s="240"/>
      <c r="I529" s="184"/>
      <c r="J529" s="184"/>
      <c r="K529" s="244"/>
      <c r="L529" s="244"/>
      <c r="M529" s="244"/>
      <c r="N529" s="180"/>
    </row>
    <row r="530">
      <c r="B530" s="184"/>
      <c r="C530" s="181"/>
      <c r="D530" s="180"/>
      <c r="E530" s="180"/>
      <c r="F530" s="184"/>
      <c r="G530" s="184"/>
      <c r="H530" s="240"/>
      <c r="I530" s="184"/>
      <c r="J530" s="184"/>
      <c r="K530" s="244"/>
      <c r="L530" s="244"/>
      <c r="M530" s="244"/>
      <c r="N530" s="180"/>
    </row>
    <row r="531">
      <c r="B531" s="184"/>
      <c r="C531" s="181"/>
      <c r="D531" s="180"/>
      <c r="E531" s="180"/>
      <c r="F531" s="184"/>
      <c r="G531" s="184"/>
      <c r="H531" s="240"/>
      <c r="I531" s="184"/>
      <c r="J531" s="184"/>
      <c r="K531" s="244"/>
      <c r="L531" s="244"/>
      <c r="M531" s="244"/>
      <c r="N531" s="180"/>
    </row>
    <row r="532">
      <c r="B532" s="184"/>
      <c r="C532" s="181"/>
      <c r="D532" s="180"/>
      <c r="E532" s="180"/>
      <c r="F532" s="184"/>
      <c r="G532" s="184"/>
      <c r="H532" s="240"/>
      <c r="I532" s="184"/>
      <c r="J532" s="184"/>
      <c r="K532" s="244"/>
      <c r="L532" s="244"/>
      <c r="M532" s="244"/>
      <c r="N532" s="180"/>
    </row>
    <row r="533">
      <c r="B533" s="184"/>
      <c r="C533" s="181"/>
      <c r="D533" s="180"/>
      <c r="E533" s="180"/>
      <c r="F533" s="184"/>
      <c r="G533" s="184"/>
      <c r="H533" s="240"/>
      <c r="I533" s="184"/>
      <c r="J533" s="184"/>
      <c r="K533" s="244"/>
      <c r="L533" s="244"/>
      <c r="M533" s="244"/>
      <c r="N533" s="180"/>
    </row>
    <row r="534">
      <c r="B534" s="184"/>
      <c r="C534" s="181"/>
      <c r="D534" s="180"/>
      <c r="E534" s="180"/>
      <c r="F534" s="184"/>
      <c r="G534" s="184"/>
      <c r="H534" s="240"/>
      <c r="I534" s="184"/>
      <c r="J534" s="184"/>
      <c r="K534" s="244"/>
      <c r="L534" s="244"/>
      <c r="M534" s="244"/>
      <c r="N534" s="180"/>
    </row>
    <row r="535">
      <c r="B535" s="184"/>
      <c r="C535" s="181"/>
      <c r="D535" s="180"/>
      <c r="E535" s="180"/>
      <c r="F535" s="184"/>
      <c r="G535" s="184"/>
      <c r="H535" s="240"/>
      <c r="I535" s="184"/>
      <c r="J535" s="184"/>
      <c r="K535" s="244"/>
      <c r="L535" s="244"/>
      <c r="M535" s="244"/>
      <c r="N535" s="180"/>
    </row>
    <row r="536">
      <c r="B536" s="184"/>
      <c r="C536" s="181"/>
      <c r="D536" s="180"/>
      <c r="E536" s="180"/>
      <c r="F536" s="184"/>
      <c r="G536" s="184"/>
      <c r="H536" s="240"/>
      <c r="I536" s="184"/>
      <c r="J536" s="184"/>
      <c r="K536" s="244"/>
      <c r="L536" s="244"/>
      <c r="M536" s="244"/>
      <c r="N536" s="180"/>
    </row>
    <row r="537">
      <c r="B537" s="184"/>
      <c r="C537" s="181"/>
      <c r="D537" s="180"/>
      <c r="E537" s="180"/>
      <c r="F537" s="184"/>
      <c r="G537" s="184"/>
      <c r="H537" s="240"/>
      <c r="I537" s="184"/>
      <c r="J537" s="184"/>
      <c r="K537" s="244"/>
      <c r="L537" s="244"/>
      <c r="M537" s="244"/>
      <c r="N537" s="180"/>
    </row>
    <row r="538">
      <c r="B538" s="184"/>
      <c r="C538" s="181"/>
      <c r="D538" s="180"/>
      <c r="E538" s="180"/>
      <c r="F538" s="184"/>
      <c r="G538" s="184"/>
      <c r="H538" s="240"/>
      <c r="I538" s="184"/>
      <c r="J538" s="184"/>
      <c r="K538" s="244"/>
      <c r="L538" s="244"/>
      <c r="M538" s="244"/>
      <c r="N538" s="180"/>
    </row>
    <row r="539">
      <c r="B539" s="184"/>
      <c r="C539" s="181"/>
      <c r="D539" s="180"/>
      <c r="E539" s="180"/>
      <c r="F539" s="184"/>
      <c r="G539" s="184"/>
      <c r="H539" s="240"/>
      <c r="I539" s="184"/>
      <c r="J539" s="184"/>
      <c r="K539" s="244"/>
      <c r="L539" s="244"/>
      <c r="M539" s="244"/>
      <c r="N539" s="180"/>
    </row>
    <row r="540">
      <c r="B540" s="184"/>
      <c r="C540" s="181"/>
      <c r="D540" s="180"/>
      <c r="E540" s="180"/>
      <c r="F540" s="184"/>
      <c r="G540" s="184"/>
      <c r="H540" s="240"/>
      <c r="I540" s="184"/>
      <c r="J540" s="184"/>
      <c r="K540" s="244"/>
      <c r="L540" s="244"/>
      <c r="M540" s="244"/>
      <c r="N540" s="180"/>
    </row>
    <row r="541">
      <c r="B541" s="184"/>
      <c r="C541" s="181"/>
      <c r="D541" s="180"/>
      <c r="E541" s="180"/>
      <c r="F541" s="184"/>
      <c r="G541" s="184"/>
      <c r="H541" s="240"/>
      <c r="I541" s="184"/>
      <c r="J541" s="184"/>
      <c r="K541" s="244"/>
      <c r="L541" s="244"/>
      <c r="M541" s="244"/>
      <c r="N541" s="180"/>
    </row>
    <row r="542">
      <c r="B542" s="184"/>
      <c r="C542" s="181"/>
      <c r="D542" s="180"/>
      <c r="E542" s="180"/>
      <c r="F542" s="184"/>
      <c r="G542" s="184"/>
      <c r="H542" s="240"/>
      <c r="I542" s="184"/>
      <c r="J542" s="184"/>
      <c r="K542" s="244"/>
      <c r="L542" s="244"/>
      <c r="M542" s="244"/>
      <c r="N542" s="180"/>
    </row>
    <row r="543">
      <c r="B543" s="184"/>
      <c r="C543" s="181"/>
      <c r="D543" s="180"/>
      <c r="E543" s="180"/>
      <c r="F543" s="184"/>
      <c r="G543" s="184"/>
      <c r="H543" s="240"/>
      <c r="I543" s="184"/>
      <c r="J543" s="184"/>
      <c r="K543" s="244"/>
      <c r="L543" s="244"/>
      <c r="M543" s="244"/>
      <c r="N543" s="180"/>
    </row>
    <row r="544">
      <c r="B544" s="184"/>
      <c r="C544" s="181"/>
      <c r="D544" s="180"/>
      <c r="E544" s="180"/>
      <c r="F544" s="184"/>
      <c r="G544" s="184"/>
      <c r="H544" s="240"/>
      <c r="I544" s="184"/>
      <c r="J544" s="184"/>
      <c r="K544" s="244"/>
      <c r="L544" s="244"/>
      <c r="M544" s="244"/>
      <c r="N544" s="180"/>
    </row>
    <row r="545">
      <c r="B545" s="184"/>
      <c r="C545" s="181"/>
      <c r="D545" s="180"/>
      <c r="E545" s="180"/>
      <c r="F545" s="184"/>
      <c r="G545" s="184"/>
      <c r="H545" s="240"/>
      <c r="I545" s="184"/>
      <c r="J545" s="184"/>
      <c r="K545" s="244"/>
      <c r="L545" s="244"/>
      <c r="M545" s="244"/>
      <c r="N545" s="180"/>
    </row>
    <row r="546">
      <c r="B546" s="184"/>
      <c r="C546" s="181"/>
      <c r="D546" s="180"/>
      <c r="E546" s="180"/>
      <c r="F546" s="184"/>
      <c r="G546" s="184"/>
      <c r="H546" s="240"/>
      <c r="I546" s="184"/>
      <c r="J546" s="184"/>
      <c r="K546" s="244"/>
      <c r="L546" s="244"/>
      <c r="M546" s="244"/>
      <c r="N546" s="180"/>
    </row>
    <row r="547">
      <c r="B547" s="184"/>
      <c r="C547" s="181"/>
      <c r="D547" s="180"/>
      <c r="E547" s="180"/>
      <c r="F547" s="184"/>
      <c r="G547" s="184"/>
      <c r="H547" s="240"/>
      <c r="I547" s="184"/>
      <c r="J547" s="184"/>
      <c r="K547" s="244"/>
      <c r="L547" s="244"/>
      <c r="M547" s="244"/>
      <c r="N547" s="180"/>
    </row>
    <row r="548">
      <c r="B548" s="184"/>
      <c r="C548" s="181"/>
      <c r="D548" s="180"/>
      <c r="E548" s="180"/>
      <c r="F548" s="184"/>
      <c r="G548" s="184"/>
      <c r="H548" s="240"/>
      <c r="I548" s="184"/>
      <c r="J548" s="184"/>
      <c r="K548" s="244"/>
      <c r="L548" s="244"/>
      <c r="M548" s="244"/>
      <c r="N548" s="180"/>
    </row>
    <row r="549">
      <c r="B549" s="184"/>
      <c r="C549" s="181"/>
      <c r="D549" s="180"/>
      <c r="E549" s="180"/>
      <c r="F549" s="184"/>
      <c r="G549" s="184"/>
      <c r="H549" s="240"/>
      <c r="I549" s="184"/>
      <c r="J549" s="184"/>
      <c r="K549" s="244"/>
      <c r="L549" s="244"/>
      <c r="M549" s="244"/>
      <c r="N549" s="180"/>
    </row>
    <row r="550">
      <c r="B550" s="184"/>
      <c r="C550" s="181"/>
      <c r="D550" s="180"/>
      <c r="E550" s="180"/>
      <c r="F550" s="184"/>
      <c r="G550" s="184"/>
      <c r="H550" s="240"/>
      <c r="I550" s="184"/>
      <c r="J550" s="184"/>
      <c r="K550" s="244"/>
      <c r="L550" s="244"/>
      <c r="M550" s="244"/>
      <c r="N550" s="180"/>
    </row>
  </sheetData>
  <mergeCells count="2">
    <mergeCell ref="B1:D2"/>
    <mergeCell ref="B3:C3"/>
  </mergeCells>
  <conditionalFormatting sqref="B6:M550">
    <cfRule type="expression" dxfId="0" priority="1">
      <formula>$D6="1 - Imprescindível"</formula>
    </cfRule>
  </conditionalFormatting>
  <conditionalFormatting sqref="B6:M550">
    <cfRule type="expression" dxfId="4" priority="2">
      <formula>$D6="2 - Importante"</formula>
    </cfRule>
  </conditionalFormatting>
  <conditionalFormatting sqref="B6:M550">
    <cfRule type="expression" dxfId="5" priority="3">
      <formula>$D6="3 - Desejável"</formula>
    </cfRule>
  </conditionalFormatting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sheetData>
    <row r="1">
      <c r="A1" s="266" t="s">
        <v>669</v>
      </c>
      <c r="B1" s="267" t="s">
        <v>568</v>
      </c>
      <c r="C1" s="267" t="s">
        <v>569</v>
      </c>
      <c r="D1" s="267" t="s">
        <v>570</v>
      </c>
      <c r="E1" s="267" t="s">
        <v>571</v>
      </c>
      <c r="F1" s="267" t="s">
        <v>572</v>
      </c>
      <c r="G1" s="267" t="s">
        <v>573</v>
      </c>
      <c r="H1" s="267" t="s">
        <v>574</v>
      </c>
      <c r="I1" s="267" t="s">
        <v>575</v>
      </c>
      <c r="J1" s="267" t="s">
        <v>576</v>
      </c>
      <c r="K1" s="267" t="s">
        <v>577</v>
      </c>
      <c r="L1" s="267" t="s">
        <v>578</v>
      </c>
      <c r="M1" s="267" t="s">
        <v>579</v>
      </c>
      <c r="N1" s="267" t="s">
        <v>2</v>
      </c>
      <c r="O1" s="267" t="s">
        <v>580</v>
      </c>
      <c r="P1" s="267" t="s">
        <v>16</v>
      </c>
      <c r="Q1" s="267" t="s">
        <v>581</v>
      </c>
      <c r="R1" s="267" t="s">
        <v>582</v>
      </c>
      <c r="S1" s="267" t="s">
        <v>583</v>
      </c>
      <c r="T1" s="267" t="s">
        <v>584</v>
      </c>
      <c r="U1" s="267" t="s">
        <v>585</v>
      </c>
      <c r="V1" s="267" t="s">
        <v>540</v>
      </c>
      <c r="W1" s="267" t="s">
        <v>586</v>
      </c>
      <c r="X1" s="267" t="s">
        <v>587</v>
      </c>
      <c r="Y1" s="267" t="s">
        <v>588</v>
      </c>
      <c r="Z1" s="267" t="s">
        <v>589</v>
      </c>
      <c r="AA1" s="267" t="s">
        <v>590</v>
      </c>
      <c r="AB1" s="267" t="s">
        <v>591</v>
      </c>
      <c r="AC1" s="267" t="s">
        <v>592</v>
      </c>
      <c r="AD1" s="267" t="s">
        <v>593</v>
      </c>
      <c r="AE1" s="267" t="s">
        <v>594</v>
      </c>
      <c r="AF1" s="267" t="s">
        <v>595</v>
      </c>
      <c r="AG1" s="267" t="s">
        <v>596</v>
      </c>
      <c r="AH1" s="267" t="s">
        <v>597</v>
      </c>
      <c r="AI1" s="267" t="s">
        <v>598</v>
      </c>
      <c r="AJ1" s="267" t="s">
        <v>599</v>
      </c>
      <c r="AK1" s="267" t="s">
        <v>600</v>
      </c>
      <c r="AL1" s="267" t="s">
        <v>601</v>
      </c>
      <c r="AM1" s="267" t="s">
        <v>546</v>
      </c>
      <c r="AN1" s="267" t="s">
        <v>602</v>
      </c>
      <c r="AO1" s="268"/>
      <c r="AP1" s="268"/>
    </row>
    <row r="2" hidden="1">
      <c r="A2" s="266">
        <f t="array" ref="A2:A42">value(MID(N2:N42,10,5))</f>
        <v>15099</v>
      </c>
      <c r="B2" s="218" t="s">
        <v>605</v>
      </c>
      <c r="C2" s="218">
        <v>2021.0</v>
      </c>
      <c r="D2" s="218" t="s">
        <v>670</v>
      </c>
      <c r="E2" s="218" t="s">
        <v>607</v>
      </c>
      <c r="F2" s="218">
        <v>1.51132021186854E14</v>
      </c>
      <c r="G2" s="218" t="s">
        <v>608</v>
      </c>
      <c r="H2" s="218" t="s">
        <v>609</v>
      </c>
      <c r="I2" s="218">
        <v>0.0</v>
      </c>
      <c r="J2" s="218" t="s">
        <v>610</v>
      </c>
      <c r="K2" s="218">
        <v>1.05E8</v>
      </c>
      <c r="L2" s="218" t="s">
        <v>611</v>
      </c>
      <c r="M2" s="218" t="s">
        <v>116</v>
      </c>
      <c r="N2" s="218" t="s">
        <v>671</v>
      </c>
      <c r="O2" s="218" t="s">
        <v>10</v>
      </c>
      <c r="P2" s="218" t="s">
        <v>129</v>
      </c>
      <c r="R2" s="218" t="s">
        <v>613</v>
      </c>
      <c r="S2" s="218">
        <v>3.3903017E7</v>
      </c>
      <c r="T2" s="222">
        <v>10000.0</v>
      </c>
      <c r="U2" s="218">
        <v>2020.0</v>
      </c>
      <c r="V2" s="218">
        <v>1.0</v>
      </c>
      <c r="W2" s="218" t="s">
        <v>130</v>
      </c>
      <c r="X2" s="222">
        <v>60000.0</v>
      </c>
      <c r="Y2" s="222">
        <v>5000.0</v>
      </c>
      <c r="Z2" s="222">
        <v>5000.0</v>
      </c>
      <c r="AA2" s="222">
        <v>5000.0</v>
      </c>
      <c r="AB2" s="222">
        <v>5000.0</v>
      </c>
      <c r="AC2" s="222">
        <v>5000.0</v>
      </c>
      <c r="AD2" s="222">
        <v>5000.0</v>
      </c>
      <c r="AE2" s="222">
        <v>5000.0</v>
      </c>
      <c r="AF2" s="222">
        <v>5000.0</v>
      </c>
      <c r="AG2" s="222">
        <v>5000.0</v>
      </c>
      <c r="AH2" s="222">
        <v>5000.0</v>
      </c>
      <c r="AI2" s="222">
        <v>5000.0</v>
      </c>
      <c r="AJ2" s="222">
        <v>5000.0</v>
      </c>
      <c r="AK2" s="222">
        <v>60000.0</v>
      </c>
      <c r="AN2" s="218" t="s">
        <v>118</v>
      </c>
    </row>
    <row r="3" hidden="1">
      <c r="A3" s="266">
        <v>15233.0</v>
      </c>
      <c r="B3" s="218" t="s">
        <v>605</v>
      </c>
      <c r="C3" s="218">
        <v>2021.0</v>
      </c>
      <c r="D3" s="218" t="s">
        <v>670</v>
      </c>
      <c r="E3" s="218" t="s">
        <v>607</v>
      </c>
      <c r="F3" s="218">
        <v>1.51132021186858E14</v>
      </c>
      <c r="G3" s="218" t="s">
        <v>608</v>
      </c>
      <c r="H3" s="218" t="s">
        <v>609</v>
      </c>
      <c r="I3" s="218">
        <v>0.0</v>
      </c>
      <c r="J3" s="218" t="s">
        <v>610</v>
      </c>
      <c r="K3" s="218">
        <v>1.05E8</v>
      </c>
      <c r="L3" s="218" t="s">
        <v>611</v>
      </c>
      <c r="M3" s="218" t="s">
        <v>116</v>
      </c>
      <c r="N3" s="218" t="s">
        <v>672</v>
      </c>
      <c r="O3" s="218" t="s">
        <v>10</v>
      </c>
      <c r="P3" s="218" t="s">
        <v>129</v>
      </c>
      <c r="R3" s="218" t="s">
        <v>613</v>
      </c>
      <c r="S3" s="218">
        <v>3.3903017E7</v>
      </c>
      <c r="T3" s="222">
        <v>15000.0</v>
      </c>
      <c r="U3" s="218">
        <v>2020.0</v>
      </c>
      <c r="V3" s="218">
        <v>586.0</v>
      </c>
      <c r="W3" s="218" t="s">
        <v>247</v>
      </c>
      <c r="X3" s="218">
        <v>397.5</v>
      </c>
      <c r="Y3" s="218">
        <v>0.0</v>
      </c>
      <c r="Z3" s="218">
        <v>0.0</v>
      </c>
      <c r="AA3" s="218">
        <v>0.0</v>
      </c>
      <c r="AB3" s="218">
        <v>0.0</v>
      </c>
      <c r="AC3" s="218">
        <v>0.0</v>
      </c>
      <c r="AD3" s="218">
        <v>0.0</v>
      </c>
      <c r="AE3" s="218">
        <v>0.0</v>
      </c>
      <c r="AF3" s="222">
        <v>232935.0</v>
      </c>
      <c r="AG3" s="218">
        <v>0.0</v>
      </c>
      <c r="AH3" s="218">
        <v>0.0</v>
      </c>
      <c r="AI3" s="218">
        <v>0.0</v>
      </c>
      <c r="AJ3" s="218">
        <v>0.0</v>
      </c>
      <c r="AK3" s="222">
        <v>232935.0</v>
      </c>
      <c r="AN3" s="218" t="s">
        <v>118</v>
      </c>
    </row>
    <row r="4" hidden="1">
      <c r="A4" s="266">
        <v>15314.0</v>
      </c>
      <c r="B4" s="218" t="s">
        <v>605</v>
      </c>
      <c r="C4" s="218">
        <v>2021.0</v>
      </c>
      <c r="D4" s="218" t="s">
        <v>670</v>
      </c>
      <c r="E4" s="218" t="s">
        <v>607</v>
      </c>
      <c r="F4" s="218">
        <v>1.5113202118688E14</v>
      </c>
      <c r="G4" s="218" t="s">
        <v>608</v>
      </c>
      <c r="H4" s="218" t="s">
        <v>609</v>
      </c>
      <c r="I4" s="218">
        <v>0.0</v>
      </c>
      <c r="J4" s="218" t="s">
        <v>610</v>
      </c>
      <c r="K4" s="218">
        <v>1.05E8</v>
      </c>
      <c r="L4" s="218" t="s">
        <v>618</v>
      </c>
      <c r="M4" s="218" t="s">
        <v>116</v>
      </c>
      <c r="N4" s="218" t="s">
        <v>673</v>
      </c>
      <c r="O4" s="218" t="s">
        <v>10</v>
      </c>
      <c r="P4" s="218" t="s">
        <v>129</v>
      </c>
      <c r="R4" s="218" t="s">
        <v>613</v>
      </c>
      <c r="S4" s="218">
        <v>3.3903654E7</v>
      </c>
      <c r="V4" s="218">
        <v>1.0</v>
      </c>
      <c r="W4" s="218" t="s">
        <v>130</v>
      </c>
      <c r="X4" s="222">
        <v>100344.0</v>
      </c>
      <c r="Y4" s="222">
        <v>8361.98</v>
      </c>
      <c r="Z4" s="222">
        <v>8361.98</v>
      </c>
      <c r="AA4" s="222">
        <v>8361.98</v>
      </c>
      <c r="AB4" s="222">
        <v>8361.98</v>
      </c>
      <c r="AC4" s="222">
        <v>8361.98</v>
      </c>
      <c r="AD4" s="222">
        <v>8361.98</v>
      </c>
      <c r="AE4" s="222">
        <v>8361.98</v>
      </c>
      <c r="AF4" s="222">
        <v>8361.98</v>
      </c>
      <c r="AG4" s="222">
        <v>8361.98</v>
      </c>
      <c r="AH4" s="222">
        <v>8361.98</v>
      </c>
      <c r="AI4" s="222">
        <v>8361.98</v>
      </c>
      <c r="AJ4" s="222">
        <v>8361.98</v>
      </c>
      <c r="AK4" s="222">
        <v>100344.0</v>
      </c>
      <c r="AN4" s="218" t="s">
        <v>118</v>
      </c>
    </row>
    <row r="5" hidden="1">
      <c r="A5" s="266">
        <v>15017.0</v>
      </c>
      <c r="B5" s="218" t="s">
        <v>605</v>
      </c>
      <c r="C5" s="218">
        <v>2021.0</v>
      </c>
      <c r="D5" s="218" t="s">
        <v>670</v>
      </c>
      <c r="E5" s="218" t="s">
        <v>607</v>
      </c>
      <c r="F5" s="218">
        <v>1.51132021186849E14</v>
      </c>
      <c r="G5" s="218" t="s">
        <v>608</v>
      </c>
      <c r="H5" s="218" t="s">
        <v>609</v>
      </c>
      <c r="I5" s="218">
        <v>0.0</v>
      </c>
      <c r="J5" s="218" t="s">
        <v>610</v>
      </c>
      <c r="K5" s="218">
        <v>1.05E8</v>
      </c>
      <c r="L5" s="218" t="s">
        <v>620</v>
      </c>
      <c r="M5" s="218" t="s">
        <v>116</v>
      </c>
      <c r="N5" s="218" t="s">
        <v>674</v>
      </c>
      <c r="O5" s="218" t="s">
        <v>10</v>
      </c>
      <c r="P5" s="218" t="s">
        <v>129</v>
      </c>
      <c r="R5" s="218" t="s">
        <v>613</v>
      </c>
      <c r="S5" s="218">
        <v>3.3904012E7</v>
      </c>
      <c r="T5" s="222">
        <v>44163.39</v>
      </c>
      <c r="U5" s="218">
        <v>2020.0</v>
      </c>
      <c r="V5" s="218">
        <v>1.0</v>
      </c>
      <c r="W5" s="218" t="s">
        <v>130</v>
      </c>
      <c r="X5" s="222">
        <v>42232.0</v>
      </c>
      <c r="Y5" s="222">
        <v>3519.33</v>
      </c>
      <c r="Z5" s="222">
        <v>3519.33</v>
      </c>
      <c r="AA5" s="222">
        <v>3519.33</v>
      </c>
      <c r="AB5" s="222">
        <v>3519.33</v>
      </c>
      <c r="AC5" s="222">
        <v>3519.33</v>
      </c>
      <c r="AD5" s="222">
        <v>3519.33</v>
      </c>
      <c r="AE5" s="222">
        <v>3519.33</v>
      </c>
      <c r="AF5" s="222">
        <v>3519.33</v>
      </c>
      <c r="AG5" s="222">
        <v>3519.33</v>
      </c>
      <c r="AH5" s="222">
        <v>3519.33</v>
      </c>
      <c r="AI5" s="222">
        <v>3519.33</v>
      </c>
      <c r="AJ5" s="222">
        <v>3519.33</v>
      </c>
      <c r="AK5" s="222">
        <v>42232.0</v>
      </c>
      <c r="AN5" s="218" t="s">
        <v>118</v>
      </c>
    </row>
    <row r="6" hidden="1">
      <c r="A6" s="266">
        <v>15019.0</v>
      </c>
      <c r="B6" s="218" t="s">
        <v>605</v>
      </c>
      <c r="C6" s="218">
        <v>2021.0</v>
      </c>
      <c r="D6" s="218" t="s">
        <v>670</v>
      </c>
      <c r="E6" s="218" t="s">
        <v>607</v>
      </c>
      <c r="F6" s="218">
        <v>1.5113202118685E14</v>
      </c>
      <c r="G6" s="218" t="s">
        <v>608</v>
      </c>
      <c r="H6" s="218" t="s">
        <v>609</v>
      </c>
      <c r="I6" s="218">
        <v>0.0</v>
      </c>
      <c r="J6" s="218" t="s">
        <v>610</v>
      </c>
      <c r="K6" s="218">
        <v>1.05E8</v>
      </c>
      <c r="L6" s="218" t="s">
        <v>620</v>
      </c>
      <c r="M6" s="218" t="s">
        <v>116</v>
      </c>
      <c r="N6" s="218" t="s">
        <v>675</v>
      </c>
      <c r="O6" s="218" t="s">
        <v>10</v>
      </c>
      <c r="P6" s="218" t="s">
        <v>129</v>
      </c>
      <c r="R6" s="218" t="s">
        <v>613</v>
      </c>
      <c r="S6" s="218">
        <v>3.3904012E7</v>
      </c>
      <c r="T6" s="222">
        <v>139759.52</v>
      </c>
      <c r="U6" s="218">
        <v>2020.0</v>
      </c>
      <c r="V6" s="218">
        <v>1.0</v>
      </c>
      <c r="W6" s="218" t="s">
        <v>130</v>
      </c>
      <c r="X6" s="222">
        <v>106483.0</v>
      </c>
      <c r="Y6" s="222">
        <v>8873.58</v>
      </c>
      <c r="Z6" s="222">
        <v>8873.58</v>
      </c>
      <c r="AA6" s="222">
        <v>8873.58</v>
      </c>
      <c r="AB6" s="222">
        <v>8873.58</v>
      </c>
      <c r="AC6" s="222">
        <v>8873.58</v>
      </c>
      <c r="AD6" s="222">
        <v>8873.58</v>
      </c>
      <c r="AE6" s="222">
        <v>8873.58</v>
      </c>
      <c r="AF6" s="222">
        <v>8873.58</v>
      </c>
      <c r="AG6" s="222">
        <v>8873.58</v>
      </c>
      <c r="AH6" s="222">
        <v>8873.58</v>
      </c>
      <c r="AI6" s="222">
        <v>8873.58</v>
      </c>
      <c r="AJ6" s="222">
        <v>8873.58</v>
      </c>
      <c r="AK6" s="222">
        <v>106483.0</v>
      </c>
      <c r="AN6" s="218" t="s">
        <v>118</v>
      </c>
    </row>
    <row r="7" hidden="1">
      <c r="A7" s="266">
        <v>15038.0</v>
      </c>
      <c r="B7" s="218" t="s">
        <v>605</v>
      </c>
      <c r="C7" s="218">
        <v>2021.0</v>
      </c>
      <c r="D7" s="218" t="s">
        <v>670</v>
      </c>
      <c r="E7" s="218" t="s">
        <v>607</v>
      </c>
      <c r="F7" s="218">
        <v>1.51132021186857E14</v>
      </c>
      <c r="G7" s="218" t="s">
        <v>608</v>
      </c>
      <c r="H7" s="218" t="s">
        <v>609</v>
      </c>
      <c r="I7" s="218">
        <v>0.0</v>
      </c>
      <c r="J7" s="218" t="s">
        <v>610</v>
      </c>
      <c r="K7" s="218">
        <v>1.05E8</v>
      </c>
      <c r="L7" s="218" t="s">
        <v>620</v>
      </c>
      <c r="M7" s="218" t="s">
        <v>116</v>
      </c>
      <c r="N7" s="218" t="s">
        <v>676</v>
      </c>
      <c r="O7" s="218" t="s">
        <v>10</v>
      </c>
      <c r="P7" s="218" t="s">
        <v>153</v>
      </c>
      <c r="R7" s="218" t="s">
        <v>613</v>
      </c>
      <c r="S7" s="218">
        <v>3.3904007E7</v>
      </c>
      <c r="T7" s="218">
        <v>0.01</v>
      </c>
      <c r="U7" s="218">
        <v>2020.0</v>
      </c>
      <c r="V7" s="218">
        <v>1.0</v>
      </c>
      <c r="W7" s="218" t="s">
        <v>130</v>
      </c>
      <c r="X7" s="222">
        <v>4825.0</v>
      </c>
      <c r="Y7" s="218">
        <v>402.08</v>
      </c>
      <c r="Z7" s="218">
        <v>402.08</v>
      </c>
      <c r="AA7" s="218">
        <v>402.08</v>
      </c>
      <c r="AB7" s="218">
        <v>402.08</v>
      </c>
      <c r="AC7" s="218">
        <v>402.08</v>
      </c>
      <c r="AD7" s="218">
        <v>402.08</v>
      </c>
      <c r="AE7" s="218">
        <v>402.08</v>
      </c>
      <c r="AF7" s="218">
        <v>402.08</v>
      </c>
      <c r="AG7" s="218">
        <v>402.08</v>
      </c>
      <c r="AH7" s="218">
        <v>402.08</v>
      </c>
      <c r="AI7" s="218">
        <v>402.08</v>
      </c>
      <c r="AJ7" s="218">
        <v>402.08</v>
      </c>
      <c r="AK7" s="222">
        <v>4825.0</v>
      </c>
      <c r="AN7" s="218" t="s">
        <v>118</v>
      </c>
    </row>
    <row r="8" hidden="1">
      <c r="A8" s="266">
        <v>15039.0</v>
      </c>
      <c r="B8" s="218" t="s">
        <v>605</v>
      </c>
      <c r="C8" s="218">
        <v>2021.0</v>
      </c>
      <c r="D8" s="218" t="s">
        <v>670</v>
      </c>
      <c r="E8" s="218" t="s">
        <v>607</v>
      </c>
      <c r="F8" s="218">
        <v>1.51132021186868E14</v>
      </c>
      <c r="G8" s="218" t="s">
        <v>608</v>
      </c>
      <c r="H8" s="218" t="s">
        <v>609</v>
      </c>
      <c r="I8" s="218">
        <v>0.0</v>
      </c>
      <c r="J8" s="218" t="s">
        <v>610</v>
      </c>
      <c r="K8" s="218">
        <v>1.05E8</v>
      </c>
      <c r="L8" s="218" t="s">
        <v>620</v>
      </c>
      <c r="M8" s="218" t="s">
        <v>116</v>
      </c>
      <c r="N8" s="218" t="s">
        <v>677</v>
      </c>
      <c r="O8" s="218" t="s">
        <v>10</v>
      </c>
      <c r="P8" s="218" t="s">
        <v>153</v>
      </c>
      <c r="R8" s="218" t="s">
        <v>613</v>
      </c>
      <c r="S8" s="218">
        <v>3.3904008E7</v>
      </c>
      <c r="T8" s="222">
        <v>329132.21</v>
      </c>
      <c r="U8" s="218">
        <v>2020.0</v>
      </c>
      <c r="V8" s="218">
        <v>1.0</v>
      </c>
      <c r="W8" s="218" t="s">
        <v>130</v>
      </c>
      <c r="X8" s="222">
        <v>352789.0</v>
      </c>
      <c r="Y8" s="222">
        <v>29399.05</v>
      </c>
      <c r="Z8" s="222">
        <v>29399.05</v>
      </c>
      <c r="AA8" s="222">
        <v>29399.05</v>
      </c>
      <c r="AB8" s="222">
        <v>29399.05</v>
      </c>
      <c r="AC8" s="222">
        <v>29399.05</v>
      </c>
      <c r="AD8" s="222">
        <v>29399.05</v>
      </c>
      <c r="AE8" s="222">
        <v>29399.05</v>
      </c>
      <c r="AF8" s="222">
        <v>29399.05</v>
      </c>
      <c r="AG8" s="222">
        <v>29399.05</v>
      </c>
      <c r="AH8" s="222">
        <v>29399.05</v>
      </c>
      <c r="AI8" s="222">
        <v>29399.05</v>
      </c>
      <c r="AJ8" s="222">
        <v>29399.05</v>
      </c>
      <c r="AK8" s="222">
        <v>352789.0</v>
      </c>
      <c r="AN8" s="218" t="s">
        <v>118</v>
      </c>
    </row>
    <row r="9" hidden="1">
      <c r="A9" s="266">
        <v>15055.0</v>
      </c>
      <c r="B9" s="218" t="s">
        <v>605</v>
      </c>
      <c r="C9" s="218">
        <v>2021.0</v>
      </c>
      <c r="D9" s="218" t="s">
        <v>670</v>
      </c>
      <c r="E9" s="218" t="s">
        <v>607</v>
      </c>
      <c r="F9" s="218">
        <v>1.51132021186875E14</v>
      </c>
      <c r="G9" s="218" t="s">
        <v>608</v>
      </c>
      <c r="H9" s="218" t="s">
        <v>609</v>
      </c>
      <c r="I9" s="218">
        <v>0.0</v>
      </c>
      <c r="J9" s="218" t="s">
        <v>610</v>
      </c>
      <c r="K9" s="218">
        <v>1.05E8</v>
      </c>
      <c r="L9" s="218" t="s">
        <v>620</v>
      </c>
      <c r="M9" s="218" t="s">
        <v>116</v>
      </c>
      <c r="N9" s="218" t="s">
        <v>678</v>
      </c>
      <c r="O9" s="218" t="s">
        <v>10</v>
      </c>
      <c r="P9" s="218" t="s">
        <v>129</v>
      </c>
      <c r="R9" s="218" t="s">
        <v>613</v>
      </c>
      <c r="S9" s="218">
        <v>3.3904011E7</v>
      </c>
      <c r="T9" s="222">
        <v>3607.38</v>
      </c>
      <c r="U9" s="218">
        <v>2020.0</v>
      </c>
      <c r="V9" s="218">
        <v>1.0</v>
      </c>
      <c r="W9" s="218" t="s">
        <v>130</v>
      </c>
      <c r="X9" s="222">
        <v>3622.0</v>
      </c>
      <c r="Y9" s="218">
        <v>301.83</v>
      </c>
      <c r="Z9" s="218">
        <v>301.83</v>
      </c>
      <c r="AA9" s="218">
        <v>301.83</v>
      </c>
      <c r="AB9" s="218">
        <v>301.83</v>
      </c>
      <c r="AC9" s="218">
        <v>301.83</v>
      </c>
      <c r="AD9" s="218">
        <v>301.83</v>
      </c>
      <c r="AE9" s="218">
        <v>301.83</v>
      </c>
      <c r="AF9" s="218">
        <v>301.83</v>
      </c>
      <c r="AG9" s="218">
        <v>301.83</v>
      </c>
      <c r="AH9" s="218">
        <v>301.83</v>
      </c>
      <c r="AI9" s="218">
        <v>301.83</v>
      </c>
      <c r="AJ9" s="218">
        <v>301.83</v>
      </c>
      <c r="AK9" s="222">
        <v>3622.0</v>
      </c>
      <c r="AN9" s="218" t="s">
        <v>118</v>
      </c>
    </row>
    <row r="10" hidden="1">
      <c r="A10" s="266">
        <v>15057.0</v>
      </c>
      <c r="B10" s="218" t="s">
        <v>605</v>
      </c>
      <c r="C10" s="218">
        <v>2021.0</v>
      </c>
      <c r="D10" s="218" t="s">
        <v>670</v>
      </c>
      <c r="E10" s="218" t="s">
        <v>607</v>
      </c>
      <c r="F10" s="218">
        <v>1.51132021186874E14</v>
      </c>
      <c r="G10" s="218" t="s">
        <v>608</v>
      </c>
      <c r="H10" s="218" t="s">
        <v>609</v>
      </c>
      <c r="I10" s="218">
        <v>0.0</v>
      </c>
      <c r="J10" s="218" t="s">
        <v>610</v>
      </c>
      <c r="K10" s="218">
        <v>1.05E8</v>
      </c>
      <c r="L10" s="218" t="s">
        <v>620</v>
      </c>
      <c r="M10" s="218" t="s">
        <v>116</v>
      </c>
      <c r="N10" s="218" t="s">
        <v>679</v>
      </c>
      <c r="O10" s="218" t="s">
        <v>10</v>
      </c>
      <c r="P10" s="218" t="s">
        <v>129</v>
      </c>
      <c r="R10" s="218" t="s">
        <v>613</v>
      </c>
      <c r="S10" s="218">
        <v>3.3904013E7</v>
      </c>
      <c r="T10" s="222">
        <v>21432.6</v>
      </c>
      <c r="U10" s="218">
        <v>2020.0</v>
      </c>
      <c r="V10" s="218">
        <v>1.0</v>
      </c>
      <c r="W10" s="218" t="s">
        <v>130</v>
      </c>
      <c r="X10" s="222">
        <v>12223.0</v>
      </c>
      <c r="Y10" s="222">
        <v>1018.57</v>
      </c>
      <c r="Z10" s="222">
        <v>1018.57</v>
      </c>
      <c r="AA10" s="222">
        <v>1018.57</v>
      </c>
      <c r="AB10" s="222">
        <v>1018.57</v>
      </c>
      <c r="AC10" s="222">
        <v>1018.57</v>
      </c>
      <c r="AD10" s="222">
        <v>1018.57</v>
      </c>
      <c r="AE10" s="222">
        <v>1018.57</v>
      </c>
      <c r="AF10" s="222">
        <v>1018.57</v>
      </c>
      <c r="AG10" s="222">
        <v>1018.57</v>
      </c>
      <c r="AH10" s="222">
        <v>1018.57</v>
      </c>
      <c r="AI10" s="222">
        <v>1018.57</v>
      </c>
      <c r="AJ10" s="222">
        <v>1018.57</v>
      </c>
      <c r="AK10" s="222">
        <v>12223.0</v>
      </c>
      <c r="AN10" s="218" t="s">
        <v>118</v>
      </c>
    </row>
    <row r="11" hidden="1">
      <c r="A11" s="266">
        <v>15060.0</v>
      </c>
      <c r="B11" s="218" t="s">
        <v>605</v>
      </c>
      <c r="C11" s="218">
        <v>2021.0</v>
      </c>
      <c r="D11" s="218" t="s">
        <v>670</v>
      </c>
      <c r="E11" s="218" t="s">
        <v>607</v>
      </c>
      <c r="F11" s="218">
        <v>1.51132021186853E14</v>
      </c>
      <c r="G11" s="218" t="s">
        <v>608</v>
      </c>
      <c r="H11" s="218" t="s">
        <v>609</v>
      </c>
      <c r="I11" s="218">
        <v>0.0</v>
      </c>
      <c r="J11" s="218" t="s">
        <v>610</v>
      </c>
      <c r="K11" s="218">
        <v>1.05E8</v>
      </c>
      <c r="L11" s="218" t="s">
        <v>620</v>
      </c>
      <c r="M11" s="218" t="s">
        <v>116</v>
      </c>
      <c r="N11" s="218" t="s">
        <v>680</v>
      </c>
      <c r="O11" s="218" t="s">
        <v>10</v>
      </c>
      <c r="P11" s="218" t="s">
        <v>129</v>
      </c>
      <c r="R11" s="218" t="s">
        <v>613</v>
      </c>
      <c r="S11" s="218">
        <v>3.390401E7</v>
      </c>
      <c r="T11" s="222">
        <v>864000.0</v>
      </c>
      <c r="U11" s="218">
        <v>2020.0</v>
      </c>
      <c r="V11" s="218">
        <v>1.0</v>
      </c>
      <c r="W11" s="218" t="s">
        <v>130</v>
      </c>
      <c r="X11" s="222">
        <v>819030.0</v>
      </c>
      <c r="Y11" s="222">
        <v>68252.48</v>
      </c>
      <c r="Z11" s="222">
        <v>68252.48</v>
      </c>
      <c r="AA11" s="222">
        <v>68252.48</v>
      </c>
      <c r="AB11" s="222">
        <v>68252.48</v>
      </c>
      <c r="AC11" s="222">
        <v>68252.48</v>
      </c>
      <c r="AD11" s="222">
        <v>68252.48</v>
      </c>
      <c r="AE11" s="222">
        <v>68252.48</v>
      </c>
      <c r="AF11" s="222">
        <v>68252.48</v>
      </c>
      <c r="AG11" s="222">
        <v>68252.48</v>
      </c>
      <c r="AH11" s="222">
        <v>68252.48</v>
      </c>
      <c r="AI11" s="222">
        <v>68252.48</v>
      </c>
      <c r="AJ11" s="222">
        <v>68252.48</v>
      </c>
      <c r="AK11" s="222">
        <v>819030.0</v>
      </c>
      <c r="AN11" s="218" t="s">
        <v>118</v>
      </c>
    </row>
    <row r="12" hidden="1">
      <c r="A12" s="266">
        <v>15066.0</v>
      </c>
      <c r="B12" s="218" t="s">
        <v>605</v>
      </c>
      <c r="C12" s="218">
        <v>2021.0</v>
      </c>
      <c r="D12" s="218" t="s">
        <v>670</v>
      </c>
      <c r="E12" s="218" t="s">
        <v>607</v>
      </c>
      <c r="F12" s="218">
        <v>1.51132021186873E14</v>
      </c>
      <c r="G12" s="218" t="s">
        <v>608</v>
      </c>
      <c r="H12" s="218" t="s">
        <v>609</v>
      </c>
      <c r="I12" s="218">
        <v>0.0</v>
      </c>
      <c r="J12" s="218" t="s">
        <v>610</v>
      </c>
      <c r="K12" s="218">
        <v>1.05E8</v>
      </c>
      <c r="L12" s="218" t="s">
        <v>620</v>
      </c>
      <c r="M12" s="218" t="s">
        <v>116</v>
      </c>
      <c r="N12" s="218" t="s">
        <v>681</v>
      </c>
      <c r="O12" s="218" t="s">
        <v>10</v>
      </c>
      <c r="P12" s="218" t="s">
        <v>153</v>
      </c>
      <c r="R12" s="218" t="s">
        <v>613</v>
      </c>
      <c r="S12" s="218">
        <v>3.3904014E7</v>
      </c>
      <c r="T12" s="222">
        <v>44114.16</v>
      </c>
      <c r="U12" s="218">
        <v>2020.0</v>
      </c>
      <c r="V12" s="218">
        <v>1.0</v>
      </c>
      <c r="W12" s="218" t="s">
        <v>130</v>
      </c>
      <c r="X12" s="222">
        <v>47082.0</v>
      </c>
      <c r="Y12" s="222">
        <v>3923.5</v>
      </c>
      <c r="Z12" s="222">
        <v>3923.5</v>
      </c>
      <c r="AA12" s="222">
        <v>3923.5</v>
      </c>
      <c r="AB12" s="222">
        <v>3923.5</v>
      </c>
      <c r="AC12" s="222">
        <v>3923.5</v>
      </c>
      <c r="AD12" s="222">
        <v>3923.5</v>
      </c>
      <c r="AE12" s="222">
        <v>3923.5</v>
      </c>
      <c r="AF12" s="222">
        <v>3923.5</v>
      </c>
      <c r="AG12" s="222">
        <v>3923.5</v>
      </c>
      <c r="AH12" s="222">
        <v>3923.5</v>
      </c>
      <c r="AI12" s="222">
        <v>3923.5</v>
      </c>
      <c r="AJ12" s="222">
        <v>3923.5</v>
      </c>
      <c r="AK12" s="222">
        <v>47082.0</v>
      </c>
      <c r="AN12" s="218" t="s">
        <v>118</v>
      </c>
    </row>
    <row r="13" hidden="1">
      <c r="A13" s="266">
        <v>15067.0</v>
      </c>
      <c r="B13" s="218" t="s">
        <v>605</v>
      </c>
      <c r="C13" s="218">
        <v>2021.0</v>
      </c>
      <c r="D13" s="218" t="s">
        <v>670</v>
      </c>
      <c r="E13" s="218" t="s">
        <v>607</v>
      </c>
      <c r="F13" s="218">
        <v>1.51132021186861E14</v>
      </c>
      <c r="G13" s="218" t="s">
        <v>608</v>
      </c>
      <c r="H13" s="218" t="s">
        <v>609</v>
      </c>
      <c r="I13" s="218">
        <v>0.0</v>
      </c>
      <c r="J13" s="218" t="s">
        <v>610</v>
      </c>
      <c r="K13" s="218">
        <v>1.05E8</v>
      </c>
      <c r="L13" s="218" t="s">
        <v>620</v>
      </c>
      <c r="M13" s="218" t="s">
        <v>116</v>
      </c>
      <c r="N13" s="218" t="s">
        <v>682</v>
      </c>
      <c r="O13" s="218" t="s">
        <v>10</v>
      </c>
      <c r="P13" s="218" t="s">
        <v>153</v>
      </c>
      <c r="R13" s="218" t="s">
        <v>613</v>
      </c>
      <c r="S13" s="218">
        <v>3.3904007E7</v>
      </c>
      <c r="T13" s="218">
        <v>0.01</v>
      </c>
      <c r="U13" s="218">
        <v>2020.0</v>
      </c>
      <c r="V13" s="218">
        <v>1.0</v>
      </c>
      <c r="W13" s="218" t="s">
        <v>130</v>
      </c>
      <c r="X13" s="222">
        <v>7738.0</v>
      </c>
      <c r="Y13" s="218">
        <v>644.82</v>
      </c>
      <c r="Z13" s="218">
        <v>644.82</v>
      </c>
      <c r="AA13" s="218">
        <v>644.82</v>
      </c>
      <c r="AB13" s="218">
        <v>644.82</v>
      </c>
      <c r="AC13" s="218">
        <v>644.82</v>
      </c>
      <c r="AD13" s="218">
        <v>644.82</v>
      </c>
      <c r="AE13" s="218">
        <v>644.82</v>
      </c>
      <c r="AF13" s="218">
        <v>644.82</v>
      </c>
      <c r="AG13" s="218">
        <v>644.82</v>
      </c>
      <c r="AH13" s="218">
        <v>644.82</v>
      </c>
      <c r="AI13" s="218">
        <v>644.82</v>
      </c>
      <c r="AJ13" s="218">
        <v>644.82</v>
      </c>
      <c r="AK13" s="222">
        <v>7738.0</v>
      </c>
      <c r="AN13" s="218" t="s">
        <v>118</v>
      </c>
    </row>
    <row r="14" hidden="1">
      <c r="A14" s="266">
        <v>15072.0</v>
      </c>
      <c r="B14" s="218" t="s">
        <v>605</v>
      </c>
      <c r="C14" s="218">
        <v>2021.0</v>
      </c>
      <c r="D14" s="218" t="s">
        <v>670</v>
      </c>
      <c r="E14" s="218" t="s">
        <v>607</v>
      </c>
      <c r="F14" s="218">
        <v>1.51132021186856E14</v>
      </c>
      <c r="G14" s="218" t="s">
        <v>608</v>
      </c>
      <c r="H14" s="218" t="s">
        <v>609</v>
      </c>
      <c r="I14" s="218">
        <v>0.0</v>
      </c>
      <c r="J14" s="218" t="s">
        <v>610</v>
      </c>
      <c r="K14" s="218">
        <v>1.05E8</v>
      </c>
      <c r="L14" s="218" t="s">
        <v>620</v>
      </c>
      <c r="M14" s="218" t="s">
        <v>116</v>
      </c>
      <c r="N14" s="218" t="s">
        <v>683</v>
      </c>
      <c r="O14" s="218" t="s">
        <v>10</v>
      </c>
      <c r="P14" s="218" t="s">
        <v>129</v>
      </c>
      <c r="R14" s="218" t="s">
        <v>613</v>
      </c>
      <c r="S14" s="218">
        <v>3.3904019E7</v>
      </c>
      <c r="T14" s="222">
        <v>268989.6</v>
      </c>
      <c r="U14" s="218">
        <v>2020.0</v>
      </c>
      <c r="V14" s="218">
        <v>1.0</v>
      </c>
      <c r="W14" s="218" t="s">
        <v>130</v>
      </c>
      <c r="X14" s="222">
        <v>263033.0</v>
      </c>
      <c r="Y14" s="222">
        <v>21919.4</v>
      </c>
      <c r="Z14" s="222">
        <v>21919.4</v>
      </c>
      <c r="AA14" s="222">
        <v>21919.4</v>
      </c>
      <c r="AB14" s="222">
        <v>21919.4</v>
      </c>
      <c r="AC14" s="222">
        <v>21919.4</v>
      </c>
      <c r="AD14" s="222">
        <v>21919.4</v>
      </c>
      <c r="AE14" s="222">
        <v>21919.4</v>
      </c>
      <c r="AF14" s="222">
        <v>21919.4</v>
      </c>
      <c r="AG14" s="222">
        <v>21919.4</v>
      </c>
      <c r="AH14" s="222">
        <v>21919.4</v>
      </c>
      <c r="AI14" s="222">
        <v>21919.4</v>
      </c>
      <c r="AJ14" s="222">
        <v>21919.4</v>
      </c>
      <c r="AK14" s="222">
        <v>263033.0</v>
      </c>
      <c r="AN14" s="218" t="s">
        <v>118</v>
      </c>
    </row>
    <row r="15" hidden="1">
      <c r="A15" s="266">
        <v>15107.0</v>
      </c>
      <c r="B15" s="218" t="s">
        <v>605</v>
      </c>
      <c r="C15" s="218">
        <v>2021.0</v>
      </c>
      <c r="D15" s="218" t="s">
        <v>670</v>
      </c>
      <c r="E15" s="218" t="s">
        <v>607</v>
      </c>
      <c r="F15" s="218">
        <v>1.51132021186851E14</v>
      </c>
      <c r="G15" s="218" t="s">
        <v>608</v>
      </c>
      <c r="H15" s="218" t="s">
        <v>609</v>
      </c>
      <c r="I15" s="218">
        <v>0.0</v>
      </c>
      <c r="J15" s="218" t="s">
        <v>610</v>
      </c>
      <c r="K15" s="218">
        <v>1.05E8</v>
      </c>
      <c r="L15" s="218" t="s">
        <v>620</v>
      </c>
      <c r="M15" s="218" t="s">
        <v>116</v>
      </c>
      <c r="N15" s="218" t="s">
        <v>684</v>
      </c>
      <c r="O15" s="218" t="s">
        <v>10</v>
      </c>
      <c r="P15" s="218" t="s">
        <v>129</v>
      </c>
      <c r="R15" s="218" t="s">
        <v>613</v>
      </c>
      <c r="S15" s="218">
        <v>3.3904012E7</v>
      </c>
      <c r="T15" s="222">
        <v>20108.5</v>
      </c>
      <c r="U15" s="218">
        <v>2020.0</v>
      </c>
      <c r="V15" s="218">
        <v>1.0</v>
      </c>
      <c r="W15" s="218" t="s">
        <v>130</v>
      </c>
      <c r="X15" s="222">
        <v>20108.0</v>
      </c>
      <c r="Y15" s="222">
        <v>1675.67</v>
      </c>
      <c r="Z15" s="222">
        <v>1675.67</v>
      </c>
      <c r="AA15" s="222">
        <v>1675.67</v>
      </c>
      <c r="AB15" s="222">
        <v>1675.67</v>
      </c>
      <c r="AC15" s="222">
        <v>1675.67</v>
      </c>
      <c r="AD15" s="222">
        <v>1675.67</v>
      </c>
      <c r="AE15" s="222">
        <v>1675.67</v>
      </c>
      <c r="AF15" s="222">
        <v>1675.67</v>
      </c>
      <c r="AG15" s="222">
        <v>1675.67</v>
      </c>
      <c r="AH15" s="222">
        <v>1675.67</v>
      </c>
      <c r="AI15" s="222">
        <v>1675.67</v>
      </c>
      <c r="AJ15" s="222">
        <v>1675.0</v>
      </c>
      <c r="AK15" s="222">
        <v>20108.0</v>
      </c>
      <c r="AN15" s="218" t="s">
        <v>118</v>
      </c>
    </row>
    <row r="16" hidden="1">
      <c r="A16" s="266">
        <v>15166.0</v>
      </c>
      <c r="B16" s="218" t="s">
        <v>605</v>
      </c>
      <c r="C16" s="218">
        <v>2021.0</v>
      </c>
      <c r="D16" s="218" t="s">
        <v>670</v>
      </c>
      <c r="E16" s="218" t="s">
        <v>607</v>
      </c>
      <c r="F16" s="218">
        <v>1.51132021186869E14</v>
      </c>
      <c r="G16" s="218" t="s">
        <v>608</v>
      </c>
      <c r="H16" s="218" t="s">
        <v>609</v>
      </c>
      <c r="I16" s="218">
        <v>0.0</v>
      </c>
      <c r="J16" s="218" t="s">
        <v>610</v>
      </c>
      <c r="K16" s="218">
        <v>1.05E8</v>
      </c>
      <c r="L16" s="218" t="s">
        <v>620</v>
      </c>
      <c r="M16" s="218" t="s">
        <v>116</v>
      </c>
      <c r="N16" s="218" t="s">
        <v>685</v>
      </c>
      <c r="O16" s="218" t="s">
        <v>10</v>
      </c>
      <c r="P16" s="218" t="s">
        <v>153</v>
      </c>
      <c r="R16" s="218" t="s">
        <v>613</v>
      </c>
      <c r="S16" s="218">
        <v>3.3904006E7</v>
      </c>
      <c r="T16" s="218">
        <v>0.01</v>
      </c>
      <c r="U16" s="218">
        <v>2020.0</v>
      </c>
      <c r="V16" s="218">
        <v>1.0</v>
      </c>
      <c r="W16" s="218" t="s">
        <v>130</v>
      </c>
      <c r="X16" s="222">
        <v>28350.0</v>
      </c>
      <c r="Y16" s="222">
        <v>2362.5</v>
      </c>
      <c r="Z16" s="222">
        <v>2362.5</v>
      </c>
      <c r="AA16" s="222">
        <v>2362.5</v>
      </c>
      <c r="AB16" s="222">
        <v>2362.5</v>
      </c>
      <c r="AC16" s="222">
        <v>2362.5</v>
      </c>
      <c r="AD16" s="222">
        <v>2362.5</v>
      </c>
      <c r="AE16" s="222">
        <v>2362.5</v>
      </c>
      <c r="AF16" s="222">
        <v>2362.5</v>
      </c>
      <c r="AG16" s="222">
        <v>2362.5</v>
      </c>
      <c r="AH16" s="222">
        <v>2362.5</v>
      </c>
      <c r="AI16" s="222">
        <v>2362.5</v>
      </c>
      <c r="AJ16" s="222">
        <v>2362.5</v>
      </c>
      <c r="AK16" s="222">
        <v>28350.0</v>
      </c>
      <c r="AN16" s="218" t="s">
        <v>118</v>
      </c>
    </row>
    <row r="17" hidden="1">
      <c r="A17" s="266">
        <v>15187.0</v>
      </c>
      <c r="B17" s="218" t="s">
        <v>605</v>
      </c>
      <c r="C17" s="218">
        <v>2021.0</v>
      </c>
      <c r="D17" s="218" t="s">
        <v>670</v>
      </c>
      <c r="E17" s="218" t="s">
        <v>607</v>
      </c>
      <c r="F17" s="218">
        <v>1.51132021186855E14</v>
      </c>
      <c r="G17" s="218" t="s">
        <v>608</v>
      </c>
      <c r="H17" s="218" t="s">
        <v>609</v>
      </c>
      <c r="I17" s="218">
        <v>0.0</v>
      </c>
      <c r="J17" s="218" t="s">
        <v>610</v>
      </c>
      <c r="K17" s="218">
        <v>1.05E8</v>
      </c>
      <c r="L17" s="218" t="s">
        <v>620</v>
      </c>
      <c r="M17" s="218" t="s">
        <v>116</v>
      </c>
      <c r="N17" s="218" t="s">
        <v>686</v>
      </c>
      <c r="O17" s="218" t="s">
        <v>10</v>
      </c>
      <c r="P17" s="218" t="s">
        <v>153</v>
      </c>
      <c r="R17" s="218" t="s">
        <v>613</v>
      </c>
      <c r="S17" s="218">
        <v>3.3904019E7</v>
      </c>
      <c r="T17" s="222">
        <v>17010.0</v>
      </c>
      <c r="U17" s="218">
        <v>2020.0</v>
      </c>
      <c r="V17" s="218">
        <v>1.0</v>
      </c>
      <c r="W17" s="218" t="s">
        <v>130</v>
      </c>
      <c r="X17" s="222">
        <v>23000.0</v>
      </c>
      <c r="Y17" s="222">
        <v>1916.67</v>
      </c>
      <c r="Z17" s="222">
        <v>1916.67</v>
      </c>
      <c r="AA17" s="222">
        <v>1916.67</v>
      </c>
      <c r="AB17" s="222">
        <v>1916.67</v>
      </c>
      <c r="AC17" s="222">
        <v>1916.67</v>
      </c>
      <c r="AD17" s="222">
        <v>1916.67</v>
      </c>
      <c r="AE17" s="222">
        <v>1916.67</v>
      </c>
      <c r="AF17" s="222">
        <v>1916.67</v>
      </c>
      <c r="AG17" s="222">
        <v>1916.67</v>
      </c>
      <c r="AH17" s="222">
        <v>1916.67</v>
      </c>
      <c r="AI17" s="222">
        <v>1916.67</v>
      </c>
      <c r="AJ17" s="222">
        <v>1916.0</v>
      </c>
      <c r="AK17" s="222">
        <v>23000.0</v>
      </c>
      <c r="AN17" s="218" t="s">
        <v>118</v>
      </c>
    </row>
    <row r="18" hidden="1">
      <c r="A18" s="266">
        <v>15220.0</v>
      </c>
      <c r="B18" s="218" t="s">
        <v>605</v>
      </c>
      <c r="C18" s="218">
        <v>2021.0</v>
      </c>
      <c r="D18" s="218" t="s">
        <v>670</v>
      </c>
      <c r="E18" s="218" t="s">
        <v>607</v>
      </c>
      <c r="F18" s="218">
        <v>1.51132021186864E14</v>
      </c>
      <c r="G18" s="218" t="s">
        <v>608</v>
      </c>
      <c r="H18" s="218" t="s">
        <v>609</v>
      </c>
      <c r="I18" s="218">
        <v>0.0</v>
      </c>
      <c r="J18" s="218" t="s">
        <v>610</v>
      </c>
      <c r="K18" s="218">
        <v>1.05E8</v>
      </c>
      <c r="L18" s="218" t="s">
        <v>620</v>
      </c>
      <c r="M18" s="218" t="s">
        <v>116</v>
      </c>
      <c r="N18" s="218" t="s">
        <v>687</v>
      </c>
      <c r="O18" s="218" t="s">
        <v>10</v>
      </c>
      <c r="P18" s="218" t="s">
        <v>129</v>
      </c>
      <c r="R18" s="218" t="s">
        <v>613</v>
      </c>
      <c r="S18" s="218">
        <v>3.3904012E7</v>
      </c>
      <c r="T18" s="222">
        <v>21000.0</v>
      </c>
      <c r="U18" s="218">
        <v>2020.0</v>
      </c>
      <c r="V18" s="218">
        <v>1.0</v>
      </c>
      <c r="W18" s="218" t="s">
        <v>130</v>
      </c>
      <c r="X18" s="222">
        <v>51660.0</v>
      </c>
      <c r="Y18" s="222">
        <v>4305.0</v>
      </c>
      <c r="Z18" s="222">
        <v>4305.0</v>
      </c>
      <c r="AA18" s="222">
        <v>4305.0</v>
      </c>
      <c r="AB18" s="222">
        <v>4305.0</v>
      </c>
      <c r="AC18" s="222">
        <v>4305.0</v>
      </c>
      <c r="AD18" s="222">
        <v>4305.0</v>
      </c>
      <c r="AE18" s="222">
        <v>4305.0</v>
      </c>
      <c r="AF18" s="222">
        <v>4305.0</v>
      </c>
      <c r="AG18" s="222">
        <v>4305.0</v>
      </c>
      <c r="AH18" s="222">
        <v>4305.0</v>
      </c>
      <c r="AI18" s="222">
        <v>4305.0</v>
      </c>
      <c r="AJ18" s="222">
        <v>4305.0</v>
      </c>
      <c r="AK18" s="222">
        <v>51660.0</v>
      </c>
      <c r="AN18" s="218" t="s">
        <v>118</v>
      </c>
    </row>
    <row r="19" hidden="1">
      <c r="A19" s="266">
        <v>15244.0</v>
      </c>
      <c r="B19" s="218" t="s">
        <v>605</v>
      </c>
      <c r="C19" s="218">
        <v>2021.0</v>
      </c>
      <c r="D19" s="218" t="s">
        <v>670</v>
      </c>
      <c r="E19" s="218" t="s">
        <v>607</v>
      </c>
      <c r="F19" s="218">
        <v>1.51132021186863E14</v>
      </c>
      <c r="G19" s="218" t="s">
        <v>608</v>
      </c>
      <c r="H19" s="218" t="s">
        <v>609</v>
      </c>
      <c r="I19" s="218">
        <v>0.0</v>
      </c>
      <c r="J19" s="218" t="s">
        <v>610</v>
      </c>
      <c r="K19" s="218">
        <v>1.05E8</v>
      </c>
      <c r="L19" s="218" t="s">
        <v>620</v>
      </c>
      <c r="M19" s="218" t="s">
        <v>116</v>
      </c>
      <c r="N19" s="218" t="s">
        <v>688</v>
      </c>
      <c r="O19" s="218" t="s">
        <v>10</v>
      </c>
      <c r="P19" s="218" t="s">
        <v>129</v>
      </c>
      <c r="R19" s="218" t="s">
        <v>613</v>
      </c>
      <c r="S19" s="218">
        <v>3.3904013E7</v>
      </c>
      <c r="T19" s="222">
        <v>70877.27</v>
      </c>
      <c r="U19" s="218">
        <v>2020.0</v>
      </c>
      <c r="V19" s="218">
        <v>1.0</v>
      </c>
      <c r="W19" s="218" t="s">
        <v>130</v>
      </c>
      <c r="X19" s="222">
        <v>71172.0</v>
      </c>
      <c r="Y19" s="222">
        <v>5931.0</v>
      </c>
      <c r="Z19" s="222">
        <v>5931.0</v>
      </c>
      <c r="AA19" s="222">
        <v>5931.0</v>
      </c>
      <c r="AB19" s="222">
        <v>5931.0</v>
      </c>
      <c r="AC19" s="222">
        <v>5931.0</v>
      </c>
      <c r="AD19" s="222">
        <v>5931.0</v>
      </c>
      <c r="AE19" s="222">
        <v>5931.0</v>
      </c>
      <c r="AF19" s="222">
        <v>5931.0</v>
      </c>
      <c r="AG19" s="222">
        <v>5931.0</v>
      </c>
      <c r="AH19" s="222">
        <v>5931.0</v>
      </c>
      <c r="AI19" s="222">
        <v>5931.0</v>
      </c>
      <c r="AJ19" s="222">
        <v>5931.0</v>
      </c>
      <c r="AK19" s="222">
        <v>71172.0</v>
      </c>
      <c r="AN19" s="218" t="s">
        <v>118</v>
      </c>
    </row>
    <row r="20" hidden="1">
      <c r="A20" s="266">
        <v>15254.0</v>
      </c>
      <c r="B20" s="218" t="s">
        <v>605</v>
      </c>
      <c r="C20" s="218">
        <v>2021.0</v>
      </c>
      <c r="D20" s="218" t="s">
        <v>670</v>
      </c>
      <c r="E20" s="218" t="s">
        <v>607</v>
      </c>
      <c r="F20" s="218">
        <v>1.51132021186865E14</v>
      </c>
      <c r="G20" s="218" t="s">
        <v>608</v>
      </c>
      <c r="H20" s="218" t="s">
        <v>609</v>
      </c>
      <c r="I20" s="218">
        <v>0.0</v>
      </c>
      <c r="J20" s="218" t="s">
        <v>610</v>
      </c>
      <c r="K20" s="218">
        <v>1.05E8</v>
      </c>
      <c r="L20" s="218" t="s">
        <v>620</v>
      </c>
      <c r="M20" s="218" t="s">
        <v>116</v>
      </c>
      <c r="N20" s="218" t="s">
        <v>633</v>
      </c>
      <c r="O20" s="218" t="s">
        <v>10</v>
      </c>
      <c r="P20" s="218" t="s">
        <v>129</v>
      </c>
      <c r="R20" s="218" t="s">
        <v>613</v>
      </c>
      <c r="S20" s="218">
        <v>3.3904023E7</v>
      </c>
      <c r="T20" s="222">
        <v>6360.0</v>
      </c>
      <c r="U20" s="218">
        <v>2020.0</v>
      </c>
      <c r="V20" s="218">
        <v>2.0</v>
      </c>
      <c r="W20" s="218" t="s">
        <v>247</v>
      </c>
      <c r="X20" s="222">
        <v>3635.0</v>
      </c>
      <c r="Y20" s="218">
        <v>0.0</v>
      </c>
      <c r="Z20" s="218">
        <v>0.0</v>
      </c>
      <c r="AA20" s="218">
        <v>0.0</v>
      </c>
      <c r="AB20" s="218">
        <v>0.0</v>
      </c>
      <c r="AC20" s="218">
        <v>0.0</v>
      </c>
      <c r="AD20" s="218">
        <v>0.0</v>
      </c>
      <c r="AE20" s="222">
        <v>7270.0</v>
      </c>
      <c r="AF20" s="218">
        <v>0.0</v>
      </c>
      <c r="AG20" s="218">
        <v>0.0</v>
      </c>
      <c r="AH20" s="218">
        <v>0.0</v>
      </c>
      <c r="AI20" s="218">
        <v>0.0</v>
      </c>
      <c r="AJ20" s="218">
        <v>0.0</v>
      </c>
      <c r="AK20" s="222">
        <v>7270.0</v>
      </c>
      <c r="AN20" s="218" t="s">
        <v>118</v>
      </c>
    </row>
    <row r="21" hidden="1">
      <c r="A21" s="266">
        <v>15259.0</v>
      </c>
      <c r="B21" s="218" t="s">
        <v>605</v>
      </c>
      <c r="C21" s="218">
        <v>2021.0</v>
      </c>
      <c r="D21" s="218" t="s">
        <v>670</v>
      </c>
      <c r="E21" s="218" t="s">
        <v>607</v>
      </c>
      <c r="F21" s="218">
        <v>1.51132021186848E14</v>
      </c>
      <c r="G21" s="218" t="s">
        <v>608</v>
      </c>
      <c r="H21" s="218" t="s">
        <v>609</v>
      </c>
      <c r="I21" s="218">
        <v>0.0</v>
      </c>
      <c r="J21" s="218" t="s">
        <v>610</v>
      </c>
      <c r="K21" s="218">
        <v>1.05E8</v>
      </c>
      <c r="L21" s="218" t="s">
        <v>620</v>
      </c>
      <c r="M21" s="218" t="s">
        <v>116</v>
      </c>
      <c r="N21" s="218" t="s">
        <v>634</v>
      </c>
      <c r="O21" s="218" t="s">
        <v>10</v>
      </c>
      <c r="P21" s="218" t="s">
        <v>129</v>
      </c>
      <c r="R21" s="218" t="s">
        <v>613</v>
      </c>
      <c r="S21" s="218">
        <v>3.3904013E7</v>
      </c>
      <c r="V21" s="218">
        <v>1.0</v>
      </c>
      <c r="W21" s="218" t="s">
        <v>130</v>
      </c>
      <c r="X21" s="222">
        <v>12968.0</v>
      </c>
      <c r="Y21" s="222">
        <v>1080.63</v>
      </c>
      <c r="Z21" s="222">
        <v>1080.63</v>
      </c>
      <c r="AA21" s="222">
        <v>1080.63</v>
      </c>
      <c r="AB21" s="222">
        <v>1080.63</v>
      </c>
      <c r="AC21" s="222">
        <v>1080.63</v>
      </c>
      <c r="AD21" s="222">
        <v>1080.63</v>
      </c>
      <c r="AE21" s="222">
        <v>1080.63</v>
      </c>
      <c r="AF21" s="222">
        <v>1080.63</v>
      </c>
      <c r="AG21" s="222">
        <v>1080.63</v>
      </c>
      <c r="AH21" s="222">
        <v>1080.63</v>
      </c>
      <c r="AI21" s="222">
        <v>1080.63</v>
      </c>
      <c r="AJ21" s="222">
        <v>1080.63</v>
      </c>
      <c r="AK21" s="222">
        <v>12968.0</v>
      </c>
      <c r="AN21" s="218" t="s">
        <v>118</v>
      </c>
    </row>
    <row r="22" hidden="1">
      <c r="A22" s="266">
        <v>15301.0</v>
      </c>
      <c r="B22" s="218" t="s">
        <v>605</v>
      </c>
      <c r="C22" s="218">
        <v>2021.0</v>
      </c>
      <c r="D22" s="218" t="s">
        <v>670</v>
      </c>
      <c r="E22" s="218" t="s">
        <v>607</v>
      </c>
      <c r="F22" s="218">
        <v>1.51132021186844E14</v>
      </c>
      <c r="G22" s="218" t="s">
        <v>608</v>
      </c>
      <c r="H22" s="218" t="s">
        <v>609</v>
      </c>
      <c r="I22" s="218">
        <v>0.0</v>
      </c>
      <c r="J22" s="218" t="s">
        <v>610</v>
      </c>
      <c r="K22" s="218">
        <v>1.05E8</v>
      </c>
      <c r="L22" s="218" t="s">
        <v>620</v>
      </c>
      <c r="M22" s="218" t="s">
        <v>116</v>
      </c>
      <c r="N22" s="218" t="s">
        <v>689</v>
      </c>
      <c r="O22" s="218" t="s">
        <v>10</v>
      </c>
      <c r="P22" s="218" t="s">
        <v>153</v>
      </c>
      <c r="R22" s="218" t="s">
        <v>613</v>
      </c>
      <c r="S22" s="218">
        <v>3.3904021E7</v>
      </c>
      <c r="V22" s="218">
        <v>1.0</v>
      </c>
      <c r="W22" s="218" t="s">
        <v>130</v>
      </c>
      <c r="X22" s="222">
        <v>150000.0</v>
      </c>
      <c r="Y22" s="218">
        <v>0.0</v>
      </c>
      <c r="Z22" s="218">
        <v>0.0</v>
      </c>
      <c r="AA22" s="218">
        <v>0.0</v>
      </c>
      <c r="AB22" s="218">
        <v>0.0</v>
      </c>
      <c r="AC22" s="218">
        <v>0.0</v>
      </c>
      <c r="AD22" s="218">
        <v>0.0</v>
      </c>
      <c r="AE22" s="218">
        <v>0.0</v>
      </c>
      <c r="AF22" s="222">
        <v>150000.0</v>
      </c>
      <c r="AG22" s="218">
        <v>0.0</v>
      </c>
      <c r="AH22" s="218">
        <v>0.0</v>
      </c>
      <c r="AI22" s="218">
        <v>0.0</v>
      </c>
      <c r="AJ22" s="218">
        <v>0.0</v>
      </c>
      <c r="AK22" s="222">
        <v>150000.0</v>
      </c>
      <c r="AN22" s="218" t="s">
        <v>118</v>
      </c>
    </row>
    <row r="23" hidden="1">
      <c r="A23" s="266">
        <v>15302.0</v>
      </c>
      <c r="B23" s="218" t="s">
        <v>605</v>
      </c>
      <c r="C23" s="218">
        <v>2021.0</v>
      </c>
      <c r="D23" s="218" t="s">
        <v>670</v>
      </c>
      <c r="E23" s="218" t="s">
        <v>607</v>
      </c>
      <c r="F23" s="218">
        <v>1.51132021186882E14</v>
      </c>
      <c r="G23" s="218" t="s">
        <v>608</v>
      </c>
      <c r="H23" s="218" t="s">
        <v>609</v>
      </c>
      <c r="I23" s="218">
        <v>0.0</v>
      </c>
      <c r="J23" s="218" t="s">
        <v>610</v>
      </c>
      <c r="K23" s="218">
        <v>1.05E8</v>
      </c>
      <c r="L23" s="218" t="s">
        <v>620</v>
      </c>
      <c r="M23" s="218" t="s">
        <v>116</v>
      </c>
      <c r="N23" s="218" t="s">
        <v>690</v>
      </c>
      <c r="O23" s="218" t="s">
        <v>10</v>
      </c>
      <c r="P23" s="218" t="s">
        <v>328</v>
      </c>
      <c r="R23" s="218" t="s">
        <v>613</v>
      </c>
      <c r="S23" s="218">
        <v>3.3904021E7</v>
      </c>
      <c r="V23" s="218">
        <v>1.0</v>
      </c>
      <c r="W23" s="218" t="s">
        <v>130</v>
      </c>
      <c r="X23" s="222">
        <v>240000.0</v>
      </c>
      <c r="Y23" s="218">
        <v>0.0</v>
      </c>
      <c r="Z23" s="218">
        <v>0.0</v>
      </c>
      <c r="AA23" s="218">
        <v>0.0</v>
      </c>
      <c r="AB23" s="218">
        <v>0.0</v>
      </c>
      <c r="AC23" s="218">
        <v>0.0</v>
      </c>
      <c r="AD23" s="218">
        <v>0.0</v>
      </c>
      <c r="AE23" s="218">
        <v>0.0</v>
      </c>
      <c r="AF23" s="222">
        <v>240000.0</v>
      </c>
      <c r="AG23" s="218">
        <v>0.0</v>
      </c>
      <c r="AH23" s="218">
        <v>0.0</v>
      </c>
      <c r="AI23" s="218">
        <v>0.0</v>
      </c>
      <c r="AJ23" s="218">
        <v>0.0</v>
      </c>
      <c r="AK23" s="222">
        <v>240000.0</v>
      </c>
      <c r="AN23" s="218" t="s">
        <v>118</v>
      </c>
    </row>
    <row r="24" hidden="1">
      <c r="A24" s="266">
        <v>15308.0</v>
      </c>
      <c r="B24" s="218" t="s">
        <v>605</v>
      </c>
      <c r="C24" s="218">
        <v>2021.0</v>
      </c>
      <c r="D24" s="218" t="s">
        <v>670</v>
      </c>
      <c r="E24" s="218" t="s">
        <v>607</v>
      </c>
      <c r="F24" s="218">
        <v>1.51132021186877E14</v>
      </c>
      <c r="G24" s="218" t="s">
        <v>608</v>
      </c>
      <c r="H24" s="218" t="s">
        <v>609</v>
      </c>
      <c r="I24" s="218">
        <v>0.0</v>
      </c>
      <c r="J24" s="218" t="s">
        <v>610</v>
      </c>
      <c r="K24" s="218">
        <v>1.05E8</v>
      </c>
      <c r="L24" s="218" t="s">
        <v>620</v>
      </c>
      <c r="M24" s="218" t="s">
        <v>116</v>
      </c>
      <c r="N24" s="218" t="s">
        <v>691</v>
      </c>
      <c r="O24" s="218" t="s">
        <v>10</v>
      </c>
      <c r="P24" s="218" t="s">
        <v>328</v>
      </c>
      <c r="R24" s="218" t="s">
        <v>613</v>
      </c>
      <c r="S24" s="218">
        <v>3.3904011E7</v>
      </c>
      <c r="V24" s="218">
        <v>1.0</v>
      </c>
      <c r="W24" s="218" t="s">
        <v>130</v>
      </c>
      <c r="X24" s="222">
        <v>65015.0</v>
      </c>
      <c r="Y24" s="222">
        <v>5417.89</v>
      </c>
      <c r="Z24" s="222">
        <v>5417.89</v>
      </c>
      <c r="AA24" s="222">
        <v>5417.89</v>
      </c>
      <c r="AB24" s="222">
        <v>5417.89</v>
      </c>
      <c r="AC24" s="222">
        <v>5417.89</v>
      </c>
      <c r="AD24" s="222">
        <v>5417.89</v>
      </c>
      <c r="AE24" s="222">
        <v>5417.89</v>
      </c>
      <c r="AF24" s="222">
        <v>5417.89</v>
      </c>
      <c r="AG24" s="222">
        <v>5417.89</v>
      </c>
      <c r="AH24" s="222">
        <v>5417.89</v>
      </c>
      <c r="AI24" s="222">
        <v>5417.89</v>
      </c>
      <c r="AJ24" s="222">
        <v>5417.89</v>
      </c>
      <c r="AK24" s="222">
        <v>65015.0</v>
      </c>
      <c r="AN24" s="218" t="s">
        <v>118</v>
      </c>
    </row>
    <row r="25" hidden="1">
      <c r="A25" s="266">
        <v>15315.0</v>
      </c>
      <c r="B25" s="218" t="s">
        <v>605</v>
      </c>
      <c r="C25" s="218">
        <v>2021.0</v>
      </c>
      <c r="D25" s="218" t="s">
        <v>670</v>
      </c>
      <c r="E25" s="218" t="s">
        <v>607</v>
      </c>
      <c r="F25" s="218">
        <v>1.51132021186846E14</v>
      </c>
      <c r="G25" s="218" t="s">
        <v>608</v>
      </c>
      <c r="H25" s="218" t="s">
        <v>609</v>
      </c>
      <c r="I25" s="218">
        <v>0.0</v>
      </c>
      <c r="J25" s="218" t="s">
        <v>610</v>
      </c>
      <c r="K25" s="218">
        <v>1.05E8</v>
      </c>
      <c r="L25" s="218" t="s">
        <v>620</v>
      </c>
      <c r="M25" s="218" t="s">
        <v>116</v>
      </c>
      <c r="N25" s="218" t="s">
        <v>692</v>
      </c>
      <c r="O25" s="218" t="s">
        <v>10</v>
      </c>
      <c r="P25" s="218" t="s">
        <v>129</v>
      </c>
      <c r="R25" s="218" t="s">
        <v>613</v>
      </c>
      <c r="S25" s="218">
        <v>3.3904023E7</v>
      </c>
      <c r="V25" s="218">
        <v>500.0</v>
      </c>
      <c r="W25" s="218" t="s">
        <v>247</v>
      </c>
      <c r="X25" s="218">
        <v>127.73</v>
      </c>
      <c r="Y25" s="218">
        <v>0.0</v>
      </c>
      <c r="Z25" s="218">
        <v>0.0</v>
      </c>
      <c r="AA25" s="218">
        <v>0.0</v>
      </c>
      <c r="AB25" s="218">
        <v>0.0</v>
      </c>
      <c r="AC25" s="218">
        <v>0.0</v>
      </c>
      <c r="AD25" s="218">
        <v>0.0</v>
      </c>
      <c r="AE25" s="218">
        <v>0.0</v>
      </c>
      <c r="AF25" s="222">
        <v>63865.0</v>
      </c>
      <c r="AG25" s="218">
        <v>0.0</v>
      </c>
      <c r="AH25" s="218">
        <v>0.0</v>
      </c>
      <c r="AI25" s="218">
        <v>0.0</v>
      </c>
      <c r="AJ25" s="218">
        <v>0.0</v>
      </c>
      <c r="AK25" s="222">
        <v>63865.0</v>
      </c>
      <c r="AN25" s="218" t="s">
        <v>118</v>
      </c>
    </row>
    <row r="26" hidden="1">
      <c r="A26" s="266">
        <v>15322.0</v>
      </c>
      <c r="B26" s="218" t="s">
        <v>605</v>
      </c>
      <c r="C26" s="218">
        <v>2021.0</v>
      </c>
      <c r="D26" s="218" t="s">
        <v>670</v>
      </c>
      <c r="E26" s="218" t="s">
        <v>607</v>
      </c>
      <c r="F26" s="218">
        <v>1.51132021186845E14</v>
      </c>
      <c r="G26" s="218" t="s">
        <v>608</v>
      </c>
      <c r="H26" s="218" t="s">
        <v>609</v>
      </c>
      <c r="I26" s="218">
        <v>0.0</v>
      </c>
      <c r="J26" s="218" t="s">
        <v>610</v>
      </c>
      <c r="K26" s="218">
        <v>1.05E8</v>
      </c>
      <c r="L26" s="218" t="s">
        <v>620</v>
      </c>
      <c r="M26" s="218" t="s">
        <v>116</v>
      </c>
      <c r="N26" s="218" t="s">
        <v>693</v>
      </c>
      <c r="O26" s="218" t="s">
        <v>10</v>
      </c>
      <c r="P26" s="218" t="s">
        <v>129</v>
      </c>
      <c r="R26" s="218" t="s">
        <v>613</v>
      </c>
      <c r="S26" s="218">
        <v>3.3904023E7</v>
      </c>
      <c r="V26" s="218">
        <v>1.0</v>
      </c>
      <c r="W26" s="218" t="s">
        <v>247</v>
      </c>
      <c r="X26" s="218">
        <v>510.0</v>
      </c>
      <c r="Y26" s="218">
        <v>0.0</v>
      </c>
      <c r="Z26" s="218">
        <v>0.0</v>
      </c>
      <c r="AA26" s="218">
        <v>0.0</v>
      </c>
      <c r="AB26" s="218">
        <v>0.0</v>
      </c>
      <c r="AC26" s="218">
        <v>0.0</v>
      </c>
      <c r="AD26" s="218">
        <v>0.0</v>
      </c>
      <c r="AE26" s="218">
        <v>0.0</v>
      </c>
      <c r="AF26" s="218">
        <v>510.0</v>
      </c>
      <c r="AG26" s="218">
        <v>0.0</v>
      </c>
      <c r="AH26" s="218">
        <v>0.0</v>
      </c>
      <c r="AI26" s="218">
        <v>0.0</v>
      </c>
      <c r="AJ26" s="218">
        <v>0.0</v>
      </c>
      <c r="AK26" s="218">
        <v>510.0</v>
      </c>
      <c r="AN26" s="218" t="s">
        <v>118</v>
      </c>
    </row>
    <row r="27" hidden="1">
      <c r="A27" s="266">
        <v>15285.0</v>
      </c>
      <c r="B27" s="218" t="s">
        <v>605</v>
      </c>
      <c r="C27" s="218">
        <v>2021.0</v>
      </c>
      <c r="D27" s="218" t="s">
        <v>670</v>
      </c>
      <c r="E27" s="218" t="s">
        <v>607</v>
      </c>
      <c r="F27" s="218">
        <v>1.5113202118686E14</v>
      </c>
      <c r="G27" s="218" t="s">
        <v>608</v>
      </c>
      <c r="H27" s="218" t="s">
        <v>609</v>
      </c>
      <c r="I27" s="218">
        <v>0.0</v>
      </c>
      <c r="J27" s="218" t="s">
        <v>610</v>
      </c>
      <c r="K27" s="218">
        <v>1.05E8</v>
      </c>
      <c r="L27" s="218" t="s">
        <v>694</v>
      </c>
      <c r="M27" s="218" t="s">
        <v>116</v>
      </c>
      <c r="N27" s="218" t="s">
        <v>695</v>
      </c>
      <c r="O27" s="218" t="s">
        <v>10</v>
      </c>
      <c r="P27" s="218" t="s">
        <v>328</v>
      </c>
      <c r="R27" s="218" t="s">
        <v>613</v>
      </c>
      <c r="S27" s="218">
        <v>4.4904005E7</v>
      </c>
      <c r="V27" s="218">
        <v>2.0</v>
      </c>
      <c r="W27" s="218" t="s">
        <v>247</v>
      </c>
      <c r="X27" s="218">
        <v>750.0</v>
      </c>
      <c r="Y27" s="218">
        <v>0.0</v>
      </c>
      <c r="Z27" s="218">
        <v>0.0</v>
      </c>
      <c r="AA27" s="218">
        <v>0.0</v>
      </c>
      <c r="AB27" s="218">
        <v>0.0</v>
      </c>
      <c r="AC27" s="218">
        <v>0.0</v>
      </c>
      <c r="AD27" s="218">
        <v>0.0</v>
      </c>
      <c r="AE27" s="218">
        <v>0.0</v>
      </c>
      <c r="AF27" s="222">
        <v>1500.0</v>
      </c>
      <c r="AG27" s="218">
        <v>0.0</v>
      </c>
      <c r="AH27" s="218">
        <v>0.0</v>
      </c>
      <c r="AI27" s="218">
        <v>0.0</v>
      </c>
      <c r="AJ27" s="218">
        <v>0.0</v>
      </c>
      <c r="AK27" s="222">
        <v>1500.0</v>
      </c>
      <c r="AN27" s="218" t="s">
        <v>118</v>
      </c>
    </row>
    <row r="28" hidden="1">
      <c r="A28" s="266">
        <v>15101.0</v>
      </c>
      <c r="B28" s="218" t="s">
        <v>605</v>
      </c>
      <c r="C28" s="218">
        <v>2021.0</v>
      </c>
      <c r="D28" s="218" t="s">
        <v>670</v>
      </c>
      <c r="E28" s="218" t="s">
        <v>607</v>
      </c>
      <c r="F28" s="218">
        <v>1.51132021186859E14</v>
      </c>
      <c r="G28" s="218" t="s">
        <v>608</v>
      </c>
      <c r="H28" s="218" t="s">
        <v>609</v>
      </c>
      <c r="I28" s="218">
        <v>0.0</v>
      </c>
      <c r="J28" s="218" t="s">
        <v>610</v>
      </c>
      <c r="K28" s="218">
        <v>1.05E8</v>
      </c>
      <c r="L28" s="218" t="s">
        <v>645</v>
      </c>
      <c r="M28" s="218" t="s">
        <v>116</v>
      </c>
      <c r="N28" s="218" t="s">
        <v>696</v>
      </c>
      <c r="O28" s="218" t="s">
        <v>10</v>
      </c>
      <c r="P28" s="218" t="s">
        <v>153</v>
      </c>
      <c r="R28" s="218" t="s">
        <v>613</v>
      </c>
      <c r="S28" s="218">
        <v>4.4905245E7</v>
      </c>
      <c r="T28" s="222">
        <v>238771.05</v>
      </c>
      <c r="U28" s="218">
        <v>2020.0</v>
      </c>
      <c r="V28" s="218">
        <v>1.0</v>
      </c>
      <c r="W28" s="218" t="s">
        <v>130</v>
      </c>
      <c r="X28" s="222">
        <v>238772.0</v>
      </c>
      <c r="Y28" s="222">
        <v>19897.67</v>
      </c>
      <c r="Z28" s="222">
        <v>19897.67</v>
      </c>
      <c r="AA28" s="222">
        <v>19897.67</v>
      </c>
      <c r="AB28" s="222">
        <v>19897.67</v>
      </c>
      <c r="AC28" s="222">
        <v>19897.67</v>
      </c>
      <c r="AD28" s="222">
        <v>19897.67</v>
      </c>
      <c r="AE28" s="222">
        <v>19897.67</v>
      </c>
      <c r="AF28" s="222">
        <v>19897.67</v>
      </c>
      <c r="AG28" s="222">
        <v>19897.67</v>
      </c>
      <c r="AH28" s="222">
        <v>19897.67</v>
      </c>
      <c r="AI28" s="222">
        <v>19897.67</v>
      </c>
      <c r="AJ28" s="222">
        <v>19897.0</v>
      </c>
      <c r="AK28" s="222">
        <v>238772.0</v>
      </c>
      <c r="AN28" s="218" t="s">
        <v>118</v>
      </c>
    </row>
    <row r="29" hidden="1">
      <c r="A29" s="266">
        <v>15300.0</v>
      </c>
      <c r="B29" s="218" t="s">
        <v>605</v>
      </c>
      <c r="C29" s="218">
        <v>2021.0</v>
      </c>
      <c r="D29" s="218" t="s">
        <v>670</v>
      </c>
      <c r="E29" s="218" t="s">
        <v>607</v>
      </c>
      <c r="F29" s="218">
        <v>1.51132021186883E14</v>
      </c>
      <c r="G29" s="218" t="s">
        <v>608</v>
      </c>
      <c r="H29" s="218" t="s">
        <v>609</v>
      </c>
      <c r="I29" s="218">
        <v>0.0</v>
      </c>
      <c r="J29" s="218" t="s">
        <v>610</v>
      </c>
      <c r="K29" s="218">
        <v>1.05E8</v>
      </c>
      <c r="L29" s="218" t="s">
        <v>645</v>
      </c>
      <c r="M29" s="218" t="s">
        <v>116</v>
      </c>
      <c r="N29" s="218" t="s">
        <v>697</v>
      </c>
      <c r="O29" s="218" t="s">
        <v>10</v>
      </c>
      <c r="P29" s="218" t="s">
        <v>328</v>
      </c>
      <c r="R29" s="218" t="s">
        <v>613</v>
      </c>
      <c r="S29" s="218">
        <v>4.4905243E7</v>
      </c>
      <c r="V29" s="218">
        <v>1.0</v>
      </c>
      <c r="W29" s="218" t="s">
        <v>130</v>
      </c>
      <c r="X29" s="222">
        <v>122000.0</v>
      </c>
      <c r="Y29" s="218">
        <v>0.0</v>
      </c>
      <c r="Z29" s="218">
        <v>0.0</v>
      </c>
      <c r="AA29" s="218">
        <v>0.0</v>
      </c>
      <c r="AB29" s="218">
        <v>0.0</v>
      </c>
      <c r="AC29" s="218">
        <v>0.0</v>
      </c>
      <c r="AD29" s="218">
        <v>0.0</v>
      </c>
      <c r="AE29" s="218">
        <v>0.0</v>
      </c>
      <c r="AF29" s="222">
        <v>122000.0</v>
      </c>
      <c r="AG29" s="218">
        <v>0.0</v>
      </c>
      <c r="AH29" s="218">
        <v>0.0</v>
      </c>
      <c r="AI29" s="218">
        <v>0.0</v>
      </c>
      <c r="AJ29" s="218">
        <v>0.0</v>
      </c>
      <c r="AK29" s="222">
        <v>122000.0</v>
      </c>
      <c r="AN29" s="218" t="s">
        <v>118</v>
      </c>
    </row>
    <row r="30" hidden="1">
      <c r="A30" s="266">
        <v>15303.0</v>
      </c>
      <c r="B30" s="218" t="s">
        <v>605</v>
      </c>
      <c r="C30" s="218">
        <v>2021.0</v>
      </c>
      <c r="D30" s="218" t="s">
        <v>670</v>
      </c>
      <c r="E30" s="218" t="s">
        <v>607</v>
      </c>
      <c r="F30" s="218">
        <v>1.51132021186879E14</v>
      </c>
      <c r="G30" s="218" t="s">
        <v>608</v>
      </c>
      <c r="H30" s="218" t="s">
        <v>609</v>
      </c>
      <c r="I30" s="218">
        <v>0.0</v>
      </c>
      <c r="J30" s="218" t="s">
        <v>610</v>
      </c>
      <c r="K30" s="218">
        <v>1.05E8</v>
      </c>
      <c r="L30" s="218" t="s">
        <v>645</v>
      </c>
      <c r="M30" s="218" t="s">
        <v>116</v>
      </c>
      <c r="N30" s="218" t="s">
        <v>698</v>
      </c>
      <c r="O30" s="218" t="s">
        <v>10</v>
      </c>
      <c r="P30" s="218" t="s">
        <v>153</v>
      </c>
      <c r="R30" s="218" t="s">
        <v>613</v>
      </c>
      <c r="S30" s="218">
        <v>4.4905241E7</v>
      </c>
      <c r="V30" s="218">
        <v>1.0</v>
      </c>
      <c r="W30" s="218" t="s">
        <v>247</v>
      </c>
      <c r="X30" s="222">
        <v>130000.0</v>
      </c>
      <c r="Y30" s="218">
        <v>0.0</v>
      </c>
      <c r="Z30" s="218">
        <v>0.0</v>
      </c>
      <c r="AA30" s="218">
        <v>0.0</v>
      </c>
      <c r="AB30" s="218">
        <v>0.0</v>
      </c>
      <c r="AC30" s="218">
        <v>0.0</v>
      </c>
      <c r="AD30" s="218">
        <v>0.0</v>
      </c>
      <c r="AE30" s="218">
        <v>0.0</v>
      </c>
      <c r="AF30" s="222">
        <v>130000.0</v>
      </c>
      <c r="AG30" s="218">
        <v>0.0</v>
      </c>
      <c r="AH30" s="218">
        <v>0.0</v>
      </c>
      <c r="AI30" s="218">
        <v>0.0</v>
      </c>
      <c r="AJ30" s="218">
        <v>0.0</v>
      </c>
      <c r="AK30" s="222">
        <v>130000.0</v>
      </c>
      <c r="AN30" s="218" t="s">
        <v>118</v>
      </c>
    </row>
    <row r="31" hidden="1">
      <c r="A31" s="266">
        <v>15326.0</v>
      </c>
      <c r="B31" s="218" t="s">
        <v>605</v>
      </c>
      <c r="C31" s="218">
        <v>2021.0</v>
      </c>
      <c r="D31" s="218" t="s">
        <v>670</v>
      </c>
      <c r="E31" s="218" t="s">
        <v>607</v>
      </c>
      <c r="F31" s="218">
        <v>1.51132021186884E14</v>
      </c>
      <c r="G31" s="218" t="s">
        <v>608</v>
      </c>
      <c r="H31" s="218" t="s">
        <v>609</v>
      </c>
      <c r="I31" s="218">
        <v>0.0</v>
      </c>
      <c r="J31" s="218" t="s">
        <v>610</v>
      </c>
      <c r="K31" s="218">
        <v>1.05E8</v>
      </c>
      <c r="L31" s="218" t="s">
        <v>645</v>
      </c>
      <c r="M31" s="218" t="s">
        <v>116</v>
      </c>
      <c r="N31" s="218" t="s">
        <v>699</v>
      </c>
      <c r="O31" s="218" t="s">
        <v>10</v>
      </c>
      <c r="P31" s="218" t="s">
        <v>153</v>
      </c>
      <c r="R31" s="218" t="s">
        <v>613</v>
      </c>
      <c r="S31" s="218">
        <v>4.4905247E7</v>
      </c>
      <c r="V31" s="218">
        <v>403.0</v>
      </c>
      <c r="W31" s="218" t="s">
        <v>247</v>
      </c>
      <c r="X31" s="218">
        <v>322.58</v>
      </c>
      <c r="Y31" s="218">
        <v>0.0</v>
      </c>
      <c r="Z31" s="218">
        <v>0.0</v>
      </c>
      <c r="AA31" s="218">
        <v>0.0</v>
      </c>
      <c r="AB31" s="218">
        <v>0.0</v>
      </c>
      <c r="AC31" s="218">
        <v>0.0</v>
      </c>
      <c r="AD31" s="218">
        <v>0.0</v>
      </c>
      <c r="AE31" s="222">
        <v>129999.74</v>
      </c>
      <c r="AF31" s="218">
        <v>0.0</v>
      </c>
      <c r="AG31" s="218">
        <v>0.0</v>
      </c>
      <c r="AH31" s="218">
        <v>0.0</v>
      </c>
      <c r="AI31" s="218">
        <v>0.0</v>
      </c>
      <c r="AJ31" s="218">
        <v>0.0</v>
      </c>
      <c r="AK31" s="222">
        <v>130000.0</v>
      </c>
      <c r="AN31" s="218" t="s">
        <v>118</v>
      </c>
    </row>
    <row r="32" hidden="1">
      <c r="A32" s="266">
        <v>15327.0</v>
      </c>
      <c r="B32" s="218" t="s">
        <v>605</v>
      </c>
      <c r="C32" s="218">
        <v>2021.0</v>
      </c>
      <c r="D32" s="218" t="s">
        <v>670</v>
      </c>
      <c r="E32" s="218" t="s">
        <v>607</v>
      </c>
      <c r="F32" s="218">
        <v>1.51132021186847E14</v>
      </c>
      <c r="G32" s="218" t="s">
        <v>608</v>
      </c>
      <c r="H32" s="218" t="s">
        <v>609</v>
      </c>
      <c r="I32" s="218">
        <v>0.0</v>
      </c>
      <c r="J32" s="218" t="s">
        <v>610</v>
      </c>
      <c r="K32" s="218">
        <v>1.05E8</v>
      </c>
      <c r="L32" s="218" t="s">
        <v>645</v>
      </c>
      <c r="M32" s="218" t="s">
        <v>116</v>
      </c>
      <c r="N32" s="218" t="s">
        <v>700</v>
      </c>
      <c r="O32" s="218" t="s">
        <v>10</v>
      </c>
      <c r="P32" s="218" t="s">
        <v>153</v>
      </c>
      <c r="R32" s="218" t="s">
        <v>613</v>
      </c>
      <c r="S32" s="218">
        <v>4.4905247E7</v>
      </c>
      <c r="V32" s="218">
        <v>80.0</v>
      </c>
      <c r="W32" s="218" t="s">
        <v>247</v>
      </c>
      <c r="X32" s="222">
        <v>4500.0</v>
      </c>
      <c r="Y32" s="218">
        <v>0.0</v>
      </c>
      <c r="Z32" s="218">
        <v>0.0</v>
      </c>
      <c r="AA32" s="218">
        <v>0.0</v>
      </c>
      <c r="AB32" s="218">
        <v>0.0</v>
      </c>
      <c r="AC32" s="218">
        <v>0.0</v>
      </c>
      <c r="AD32" s="218">
        <v>0.0</v>
      </c>
      <c r="AE32" s="218">
        <v>0.0</v>
      </c>
      <c r="AF32" s="222">
        <v>360000.0</v>
      </c>
      <c r="AG32" s="218">
        <v>0.0</v>
      </c>
      <c r="AH32" s="218">
        <v>0.0</v>
      </c>
      <c r="AI32" s="218">
        <v>0.0</v>
      </c>
      <c r="AJ32" s="218">
        <v>0.0</v>
      </c>
      <c r="AK32" s="222">
        <v>360000.0</v>
      </c>
      <c r="AN32" s="218" t="s">
        <v>118</v>
      </c>
    </row>
    <row r="33" hidden="1">
      <c r="A33" s="266">
        <v>15328.0</v>
      </c>
      <c r="B33" s="218" t="s">
        <v>605</v>
      </c>
      <c r="C33" s="218">
        <v>2021.0</v>
      </c>
      <c r="D33" s="218" t="s">
        <v>670</v>
      </c>
      <c r="E33" s="218" t="s">
        <v>607</v>
      </c>
      <c r="F33" s="218">
        <v>1.51132021186878E14</v>
      </c>
      <c r="G33" s="218" t="s">
        <v>608</v>
      </c>
      <c r="H33" s="218" t="s">
        <v>609</v>
      </c>
      <c r="I33" s="218">
        <v>0.0</v>
      </c>
      <c r="J33" s="218" t="s">
        <v>610</v>
      </c>
      <c r="K33" s="218">
        <v>1.05E8</v>
      </c>
      <c r="L33" s="218" t="s">
        <v>645</v>
      </c>
      <c r="M33" s="218" t="s">
        <v>116</v>
      </c>
      <c r="N33" s="218" t="s">
        <v>701</v>
      </c>
      <c r="O33" s="218" t="s">
        <v>10</v>
      </c>
      <c r="P33" s="218" t="s">
        <v>153</v>
      </c>
      <c r="R33" s="218" t="s">
        <v>613</v>
      </c>
      <c r="S33" s="218">
        <v>4.4905243E7</v>
      </c>
      <c r="V33" s="218">
        <v>1.0</v>
      </c>
      <c r="W33" s="218" t="s">
        <v>247</v>
      </c>
      <c r="X33" s="222">
        <v>450000.0</v>
      </c>
      <c r="Y33" s="218">
        <v>0.0</v>
      </c>
      <c r="Z33" s="218">
        <v>0.0</v>
      </c>
      <c r="AA33" s="218">
        <v>0.0</v>
      </c>
      <c r="AB33" s="218">
        <v>0.0</v>
      </c>
      <c r="AC33" s="218">
        <v>0.0</v>
      </c>
      <c r="AD33" s="218">
        <v>0.0</v>
      </c>
      <c r="AE33" s="218">
        <v>0.0</v>
      </c>
      <c r="AF33" s="222">
        <v>450000.0</v>
      </c>
      <c r="AG33" s="218">
        <v>0.0</v>
      </c>
      <c r="AH33" s="218">
        <v>0.0</v>
      </c>
      <c r="AI33" s="218">
        <v>0.0</v>
      </c>
      <c r="AJ33" s="218">
        <v>0.0</v>
      </c>
      <c r="AK33" s="222">
        <v>450000.0</v>
      </c>
      <c r="AN33" s="218" t="s">
        <v>118</v>
      </c>
    </row>
    <row r="34">
      <c r="A34" s="266">
        <v>15002.0</v>
      </c>
      <c r="B34" s="218" t="s">
        <v>605</v>
      </c>
      <c r="C34" s="218">
        <v>2021.0</v>
      </c>
      <c r="D34" s="218" t="s">
        <v>670</v>
      </c>
      <c r="E34" s="218" t="s">
        <v>607</v>
      </c>
      <c r="F34" s="218">
        <v>1.51132021186872E14</v>
      </c>
      <c r="G34" s="218" t="s">
        <v>608</v>
      </c>
      <c r="H34" s="218" t="s">
        <v>609</v>
      </c>
      <c r="I34" s="218">
        <v>1.0</v>
      </c>
      <c r="J34" s="218" t="s">
        <v>648</v>
      </c>
      <c r="K34" s="218">
        <v>1.05E8</v>
      </c>
      <c r="L34" s="218" t="s">
        <v>620</v>
      </c>
      <c r="M34" s="218" t="s">
        <v>116</v>
      </c>
      <c r="N34" s="269" t="s">
        <v>702</v>
      </c>
      <c r="O34" s="218" t="s">
        <v>10</v>
      </c>
      <c r="P34" s="218" t="s">
        <v>129</v>
      </c>
      <c r="R34" s="218" t="s">
        <v>613</v>
      </c>
      <c r="S34" s="218">
        <v>3.3904007E7</v>
      </c>
      <c r="T34" s="222">
        <v>316098.12</v>
      </c>
      <c r="U34" s="218">
        <v>2020.0</v>
      </c>
      <c r="V34" s="218">
        <v>1.0</v>
      </c>
      <c r="W34" s="218" t="s">
        <v>130</v>
      </c>
      <c r="X34" s="222">
        <v>322289.0</v>
      </c>
      <c r="Y34" s="222">
        <v>26857.4</v>
      </c>
      <c r="Z34" s="222">
        <v>26857.4</v>
      </c>
      <c r="AA34" s="222">
        <v>26857.4</v>
      </c>
      <c r="AB34" s="222">
        <v>26857.4</v>
      </c>
      <c r="AC34" s="222">
        <v>26857.4</v>
      </c>
      <c r="AD34" s="222">
        <v>26857.4</v>
      </c>
      <c r="AE34" s="222">
        <v>26857.4</v>
      </c>
      <c r="AF34" s="222">
        <v>26857.4</v>
      </c>
      <c r="AG34" s="222">
        <v>26857.4</v>
      </c>
      <c r="AH34" s="222">
        <v>26857.4</v>
      </c>
      <c r="AI34" s="222">
        <v>26857.4</v>
      </c>
      <c r="AJ34" s="222">
        <v>26857.4</v>
      </c>
      <c r="AK34" s="222">
        <v>322289.0</v>
      </c>
      <c r="AN34" s="218" t="s">
        <v>118</v>
      </c>
    </row>
    <row r="35">
      <c r="A35" s="266">
        <v>15004.0</v>
      </c>
      <c r="B35" s="218" t="s">
        <v>605</v>
      </c>
      <c r="C35" s="218">
        <v>2021.0</v>
      </c>
      <c r="D35" s="218" t="s">
        <v>670</v>
      </c>
      <c r="E35" s="218" t="s">
        <v>607</v>
      </c>
      <c r="F35" s="218">
        <v>1.5113202118687E14</v>
      </c>
      <c r="G35" s="218" t="s">
        <v>608</v>
      </c>
      <c r="H35" s="218" t="s">
        <v>609</v>
      </c>
      <c r="I35" s="218">
        <v>1.0</v>
      </c>
      <c r="J35" s="218" t="s">
        <v>648</v>
      </c>
      <c r="K35" s="218">
        <v>1.05E8</v>
      </c>
      <c r="L35" s="218" t="s">
        <v>620</v>
      </c>
      <c r="M35" s="218" t="s">
        <v>116</v>
      </c>
      <c r="N35" s="269" t="s">
        <v>703</v>
      </c>
      <c r="O35" s="218" t="s">
        <v>10</v>
      </c>
      <c r="P35" s="218" t="s">
        <v>129</v>
      </c>
      <c r="R35" s="218" t="s">
        <v>613</v>
      </c>
      <c r="S35" s="218">
        <v>3.3904006E7</v>
      </c>
      <c r="T35" s="222">
        <v>59814.97</v>
      </c>
      <c r="U35" s="218">
        <v>2020.0</v>
      </c>
      <c r="V35" s="218">
        <v>1.0</v>
      </c>
      <c r="W35" s="218" t="s">
        <v>130</v>
      </c>
      <c r="X35" s="222">
        <v>62059.0</v>
      </c>
      <c r="Y35" s="222">
        <v>5171.58</v>
      </c>
      <c r="Z35" s="222">
        <v>5171.58</v>
      </c>
      <c r="AA35" s="222">
        <v>5171.58</v>
      </c>
      <c r="AB35" s="222">
        <v>5171.58</v>
      </c>
      <c r="AC35" s="222">
        <v>5171.58</v>
      </c>
      <c r="AD35" s="222">
        <v>5171.58</v>
      </c>
      <c r="AE35" s="222">
        <v>5171.58</v>
      </c>
      <c r="AF35" s="222">
        <v>5171.58</v>
      </c>
      <c r="AG35" s="222">
        <v>5171.58</v>
      </c>
      <c r="AH35" s="222">
        <v>5171.58</v>
      </c>
      <c r="AI35" s="222">
        <v>5171.58</v>
      </c>
      <c r="AJ35" s="222">
        <v>5171.58</v>
      </c>
      <c r="AK35" s="222">
        <v>62059.0</v>
      </c>
      <c r="AN35" s="218" t="s">
        <v>118</v>
      </c>
    </row>
    <row r="36">
      <c r="A36" s="266">
        <v>15018.0</v>
      </c>
      <c r="B36" s="218" t="s">
        <v>605</v>
      </c>
      <c r="C36" s="218">
        <v>2021.0</v>
      </c>
      <c r="D36" s="218" t="s">
        <v>670</v>
      </c>
      <c r="E36" s="218" t="s">
        <v>607</v>
      </c>
      <c r="F36" s="218">
        <v>1.51132021186862E14</v>
      </c>
      <c r="G36" s="218" t="s">
        <v>608</v>
      </c>
      <c r="H36" s="218" t="s">
        <v>609</v>
      </c>
      <c r="I36" s="218">
        <v>1.0</v>
      </c>
      <c r="J36" s="218" t="s">
        <v>648</v>
      </c>
      <c r="K36" s="218">
        <v>1.05E8</v>
      </c>
      <c r="L36" s="218" t="s">
        <v>620</v>
      </c>
      <c r="M36" s="218" t="s">
        <v>116</v>
      </c>
      <c r="N36" s="269" t="s">
        <v>704</v>
      </c>
      <c r="O36" s="218" t="s">
        <v>10</v>
      </c>
      <c r="P36" s="218" t="s">
        <v>153</v>
      </c>
      <c r="R36" s="218" t="s">
        <v>613</v>
      </c>
      <c r="S36" s="218">
        <v>3.3904007E7</v>
      </c>
      <c r="T36" s="222">
        <v>83019.89</v>
      </c>
      <c r="U36" s="218">
        <v>2020.0</v>
      </c>
      <c r="V36" s="218">
        <v>1.0</v>
      </c>
      <c r="W36" s="218" t="s">
        <v>130</v>
      </c>
      <c r="X36" s="222">
        <v>87677.0</v>
      </c>
      <c r="Y36" s="222">
        <v>7306.42</v>
      </c>
      <c r="Z36" s="222">
        <v>7306.42</v>
      </c>
      <c r="AA36" s="222">
        <v>7306.42</v>
      </c>
      <c r="AB36" s="222">
        <v>7306.42</v>
      </c>
      <c r="AC36" s="222">
        <v>7306.42</v>
      </c>
      <c r="AD36" s="222">
        <v>7306.42</v>
      </c>
      <c r="AE36" s="222">
        <v>7306.42</v>
      </c>
      <c r="AF36" s="222">
        <v>7306.42</v>
      </c>
      <c r="AG36" s="222">
        <v>7306.42</v>
      </c>
      <c r="AH36" s="222">
        <v>7306.42</v>
      </c>
      <c r="AI36" s="222">
        <v>7306.42</v>
      </c>
      <c r="AJ36" s="222">
        <v>7306.0</v>
      </c>
      <c r="AK36" s="222">
        <v>87677.0</v>
      </c>
      <c r="AN36" s="218" t="s">
        <v>118</v>
      </c>
    </row>
    <row r="37">
      <c r="A37" s="266">
        <v>15056.0</v>
      </c>
      <c r="B37" s="218" t="s">
        <v>605</v>
      </c>
      <c r="C37" s="218">
        <v>2021.0</v>
      </c>
      <c r="D37" s="218" t="s">
        <v>670</v>
      </c>
      <c r="E37" s="218" t="s">
        <v>607</v>
      </c>
      <c r="F37" s="218">
        <v>1.51132021186876E14</v>
      </c>
      <c r="G37" s="218" t="s">
        <v>608</v>
      </c>
      <c r="H37" s="218" t="s">
        <v>609</v>
      </c>
      <c r="I37" s="218">
        <v>1.0</v>
      </c>
      <c r="J37" s="218" t="s">
        <v>648</v>
      </c>
      <c r="K37" s="218">
        <v>1.05E8</v>
      </c>
      <c r="L37" s="218" t="s">
        <v>620</v>
      </c>
      <c r="M37" s="218" t="s">
        <v>116</v>
      </c>
      <c r="N37" s="269" t="s">
        <v>705</v>
      </c>
      <c r="O37" s="218" t="s">
        <v>10</v>
      </c>
      <c r="P37" s="218" t="s">
        <v>129</v>
      </c>
      <c r="R37" s="218" t="s">
        <v>613</v>
      </c>
      <c r="S37" s="218">
        <v>3.3904013E7</v>
      </c>
      <c r="T37" s="222">
        <v>666792.0</v>
      </c>
      <c r="U37" s="218">
        <v>2020.0</v>
      </c>
      <c r="V37" s="218">
        <v>1.0</v>
      </c>
      <c r="W37" s="218" t="s">
        <v>130</v>
      </c>
      <c r="X37" s="222">
        <v>527083.0</v>
      </c>
      <c r="Y37" s="222">
        <v>43923.58</v>
      </c>
      <c r="Z37" s="222">
        <v>43923.58</v>
      </c>
      <c r="AA37" s="222">
        <v>43923.58</v>
      </c>
      <c r="AB37" s="222">
        <v>43923.58</v>
      </c>
      <c r="AC37" s="222">
        <v>43923.58</v>
      </c>
      <c r="AD37" s="222">
        <v>43923.58</v>
      </c>
      <c r="AE37" s="222">
        <v>43923.58</v>
      </c>
      <c r="AF37" s="222">
        <v>43923.58</v>
      </c>
      <c r="AG37" s="222">
        <v>43923.58</v>
      </c>
      <c r="AH37" s="222">
        <v>43923.58</v>
      </c>
      <c r="AI37" s="222">
        <v>43923.58</v>
      </c>
      <c r="AJ37" s="222">
        <v>43923.58</v>
      </c>
      <c r="AK37" s="222">
        <v>527083.0</v>
      </c>
      <c r="AN37" s="218" t="s">
        <v>118</v>
      </c>
    </row>
    <row r="38">
      <c r="A38" s="266">
        <v>15059.0</v>
      </c>
      <c r="B38" s="218" t="s">
        <v>605</v>
      </c>
      <c r="C38" s="218">
        <v>2021.0</v>
      </c>
      <c r="D38" s="218" t="s">
        <v>670</v>
      </c>
      <c r="E38" s="218" t="s">
        <v>607</v>
      </c>
      <c r="F38" s="218">
        <v>1.51132021186852E14</v>
      </c>
      <c r="G38" s="218" t="s">
        <v>608</v>
      </c>
      <c r="H38" s="218" t="s">
        <v>609</v>
      </c>
      <c r="I38" s="218">
        <v>1.0</v>
      </c>
      <c r="J38" s="218" t="s">
        <v>648</v>
      </c>
      <c r="K38" s="218">
        <v>1.05E8</v>
      </c>
      <c r="L38" s="218" t="s">
        <v>620</v>
      </c>
      <c r="M38" s="218" t="s">
        <v>116</v>
      </c>
      <c r="N38" s="269" t="s">
        <v>706</v>
      </c>
      <c r="O38" s="218" t="s">
        <v>10</v>
      </c>
      <c r="P38" s="218" t="s">
        <v>129</v>
      </c>
      <c r="R38" s="218" t="s">
        <v>613</v>
      </c>
      <c r="S38" s="218">
        <v>3.3904011E7</v>
      </c>
      <c r="T38" s="222">
        <v>309613.79</v>
      </c>
      <c r="U38" s="218">
        <v>2020.0</v>
      </c>
      <c r="V38" s="218">
        <v>1.0</v>
      </c>
      <c r="W38" s="218" t="s">
        <v>130</v>
      </c>
      <c r="X38" s="222">
        <v>335760.0</v>
      </c>
      <c r="Y38" s="222">
        <v>27980.0</v>
      </c>
      <c r="Z38" s="222">
        <v>27980.0</v>
      </c>
      <c r="AA38" s="222">
        <v>27980.0</v>
      </c>
      <c r="AB38" s="222">
        <v>27980.0</v>
      </c>
      <c r="AC38" s="222">
        <v>27980.0</v>
      </c>
      <c r="AD38" s="222">
        <v>27980.0</v>
      </c>
      <c r="AE38" s="222">
        <v>27980.0</v>
      </c>
      <c r="AF38" s="222">
        <v>27980.0</v>
      </c>
      <c r="AG38" s="222">
        <v>27980.0</v>
      </c>
      <c r="AH38" s="222">
        <v>27980.0</v>
      </c>
      <c r="AI38" s="222">
        <v>27980.0</v>
      </c>
      <c r="AJ38" s="222">
        <v>27980.0</v>
      </c>
      <c r="AK38" s="222">
        <v>335760.0</v>
      </c>
      <c r="AN38" s="218" t="s">
        <v>118</v>
      </c>
    </row>
    <row r="39">
      <c r="A39" s="266">
        <v>15061.0</v>
      </c>
      <c r="B39" s="218" t="s">
        <v>605</v>
      </c>
      <c r="C39" s="218">
        <v>2021.0</v>
      </c>
      <c r="D39" s="218" t="s">
        <v>670</v>
      </c>
      <c r="E39" s="218" t="s">
        <v>607</v>
      </c>
      <c r="F39" s="218">
        <v>1.51132021186867E14</v>
      </c>
      <c r="G39" s="218" t="s">
        <v>608</v>
      </c>
      <c r="H39" s="218" t="s">
        <v>609</v>
      </c>
      <c r="I39" s="218">
        <v>1.0</v>
      </c>
      <c r="J39" s="218" t="s">
        <v>648</v>
      </c>
      <c r="K39" s="218">
        <v>1.05E8</v>
      </c>
      <c r="L39" s="218" t="s">
        <v>620</v>
      </c>
      <c r="M39" s="218" t="s">
        <v>116</v>
      </c>
      <c r="N39" s="269" t="s">
        <v>707</v>
      </c>
      <c r="O39" s="218" t="s">
        <v>10</v>
      </c>
      <c r="P39" s="218" t="s">
        <v>129</v>
      </c>
      <c r="R39" s="218" t="s">
        <v>613</v>
      </c>
      <c r="S39" s="218">
        <v>3.3904011E7</v>
      </c>
      <c r="T39" s="222">
        <v>40000.0</v>
      </c>
      <c r="U39" s="218">
        <v>2020.0</v>
      </c>
      <c r="V39" s="218">
        <v>1.0</v>
      </c>
      <c r="W39" s="218" t="s">
        <v>130</v>
      </c>
      <c r="X39" s="222">
        <v>500000.0</v>
      </c>
      <c r="Y39" s="222">
        <v>41666.67</v>
      </c>
      <c r="Z39" s="222">
        <v>41666.67</v>
      </c>
      <c r="AA39" s="222">
        <v>41666.67</v>
      </c>
      <c r="AB39" s="222">
        <v>41666.67</v>
      </c>
      <c r="AC39" s="222">
        <v>41666.67</v>
      </c>
      <c r="AD39" s="222">
        <v>41666.67</v>
      </c>
      <c r="AE39" s="222">
        <v>41666.67</v>
      </c>
      <c r="AF39" s="222">
        <v>41666.67</v>
      </c>
      <c r="AG39" s="222">
        <v>41666.67</v>
      </c>
      <c r="AH39" s="222">
        <v>41666.67</v>
      </c>
      <c r="AI39" s="222">
        <v>41666.67</v>
      </c>
      <c r="AJ39" s="222">
        <v>41666.0</v>
      </c>
      <c r="AK39" s="222">
        <v>500000.0</v>
      </c>
      <c r="AN39" s="218" t="s">
        <v>118</v>
      </c>
    </row>
    <row r="40">
      <c r="A40" s="266">
        <v>15151.0</v>
      </c>
      <c r="B40" s="218" t="s">
        <v>605</v>
      </c>
      <c r="C40" s="218">
        <v>2021.0</v>
      </c>
      <c r="D40" s="218" t="s">
        <v>670</v>
      </c>
      <c r="E40" s="218" t="s">
        <v>607</v>
      </c>
      <c r="F40" s="218">
        <v>1.51132021186871E14</v>
      </c>
      <c r="G40" s="218" t="s">
        <v>608</v>
      </c>
      <c r="H40" s="218" t="s">
        <v>609</v>
      </c>
      <c r="I40" s="218">
        <v>1.0</v>
      </c>
      <c r="J40" s="218" t="s">
        <v>648</v>
      </c>
      <c r="K40" s="218">
        <v>1.05E8</v>
      </c>
      <c r="L40" s="218" t="s">
        <v>620</v>
      </c>
      <c r="M40" s="218" t="s">
        <v>116</v>
      </c>
      <c r="N40" s="269" t="s">
        <v>654</v>
      </c>
      <c r="O40" s="218" t="s">
        <v>10</v>
      </c>
      <c r="P40" s="218" t="s">
        <v>129</v>
      </c>
      <c r="R40" s="218" t="s">
        <v>613</v>
      </c>
      <c r="S40" s="218">
        <v>3.3904007E7</v>
      </c>
      <c r="T40" s="222">
        <v>119574.0</v>
      </c>
      <c r="U40" s="218">
        <v>2020.0</v>
      </c>
      <c r="V40" s="218">
        <v>1.0</v>
      </c>
      <c r="W40" s="218" t="s">
        <v>130</v>
      </c>
      <c r="X40" s="222">
        <v>213267.0</v>
      </c>
      <c r="Y40" s="222">
        <v>17772.25</v>
      </c>
      <c r="Z40" s="222">
        <v>17772.25</v>
      </c>
      <c r="AA40" s="222">
        <v>17772.25</v>
      </c>
      <c r="AB40" s="222">
        <v>17772.25</v>
      </c>
      <c r="AC40" s="222">
        <v>17772.25</v>
      </c>
      <c r="AD40" s="222">
        <v>17772.25</v>
      </c>
      <c r="AE40" s="222">
        <v>17772.25</v>
      </c>
      <c r="AF40" s="222">
        <v>17772.25</v>
      </c>
      <c r="AG40" s="222">
        <v>17772.25</v>
      </c>
      <c r="AH40" s="222">
        <v>17772.25</v>
      </c>
      <c r="AI40" s="222">
        <v>17772.25</v>
      </c>
      <c r="AJ40" s="222">
        <v>17772.25</v>
      </c>
      <c r="AK40" s="222">
        <v>213267.0</v>
      </c>
      <c r="AN40" s="218" t="s">
        <v>118</v>
      </c>
    </row>
    <row r="41">
      <c r="A41" s="266">
        <v>15226.0</v>
      </c>
      <c r="B41" s="218" t="s">
        <v>605</v>
      </c>
      <c r="C41" s="218">
        <v>2021.0</v>
      </c>
      <c r="D41" s="218" t="s">
        <v>670</v>
      </c>
      <c r="E41" s="218" t="s">
        <v>607</v>
      </c>
      <c r="F41" s="218">
        <v>1.51132021186866E14</v>
      </c>
      <c r="G41" s="218" t="s">
        <v>608</v>
      </c>
      <c r="H41" s="218" t="s">
        <v>609</v>
      </c>
      <c r="I41" s="218">
        <v>1.0</v>
      </c>
      <c r="J41" s="218" t="s">
        <v>648</v>
      </c>
      <c r="K41" s="218">
        <v>1.05E8</v>
      </c>
      <c r="L41" s="218" t="s">
        <v>620</v>
      </c>
      <c r="M41" s="218" t="s">
        <v>116</v>
      </c>
      <c r="N41" s="269" t="s">
        <v>708</v>
      </c>
      <c r="O41" s="218" t="s">
        <v>10</v>
      </c>
      <c r="P41" s="218" t="s">
        <v>129</v>
      </c>
      <c r="R41" s="218" t="s">
        <v>613</v>
      </c>
      <c r="S41" s="218">
        <v>3.3904007E7</v>
      </c>
      <c r="T41" s="222">
        <v>140000.0</v>
      </c>
      <c r="U41" s="218">
        <v>2020.0</v>
      </c>
      <c r="V41" s="218">
        <v>1.0</v>
      </c>
      <c r="W41" s="218" t="s">
        <v>130</v>
      </c>
      <c r="X41" s="222">
        <v>491523.0</v>
      </c>
      <c r="Y41" s="222">
        <v>40960.25</v>
      </c>
      <c r="Z41" s="222">
        <v>40960.25</v>
      </c>
      <c r="AA41" s="222">
        <v>40960.25</v>
      </c>
      <c r="AB41" s="222">
        <v>40960.25</v>
      </c>
      <c r="AC41" s="222">
        <v>40960.25</v>
      </c>
      <c r="AD41" s="222">
        <v>40960.25</v>
      </c>
      <c r="AE41" s="222">
        <v>40960.25</v>
      </c>
      <c r="AF41" s="222">
        <v>40960.25</v>
      </c>
      <c r="AG41" s="222">
        <v>40960.25</v>
      </c>
      <c r="AH41" s="222">
        <v>40960.25</v>
      </c>
      <c r="AI41" s="222">
        <v>40960.25</v>
      </c>
      <c r="AJ41" s="222">
        <v>40960.25</v>
      </c>
      <c r="AK41" s="222">
        <v>491523.0</v>
      </c>
      <c r="AN41" s="218" t="s">
        <v>118</v>
      </c>
    </row>
    <row r="42">
      <c r="A42" s="266">
        <v>15304.0</v>
      </c>
      <c r="B42" s="218" t="s">
        <v>605</v>
      </c>
      <c r="C42" s="218">
        <v>2021.0</v>
      </c>
      <c r="D42" s="218" t="s">
        <v>670</v>
      </c>
      <c r="E42" s="218" t="s">
        <v>607</v>
      </c>
      <c r="F42" s="218">
        <v>1.51132021186881E14</v>
      </c>
      <c r="G42" s="218" t="s">
        <v>608</v>
      </c>
      <c r="H42" s="218" t="s">
        <v>609</v>
      </c>
      <c r="I42" s="218">
        <v>1.0</v>
      </c>
      <c r="J42" s="218" t="s">
        <v>648</v>
      </c>
      <c r="K42" s="218">
        <v>1.05E8</v>
      </c>
      <c r="L42" s="218" t="s">
        <v>620</v>
      </c>
      <c r="M42" s="218" t="s">
        <v>116</v>
      </c>
      <c r="N42" s="269" t="s">
        <v>709</v>
      </c>
      <c r="O42" s="218" t="s">
        <v>10</v>
      </c>
      <c r="P42" s="218" t="s">
        <v>129</v>
      </c>
      <c r="R42" s="218" t="s">
        <v>613</v>
      </c>
      <c r="S42" s="218">
        <v>3.3904011E7</v>
      </c>
      <c r="V42" s="218">
        <v>1.0</v>
      </c>
      <c r="W42" s="218" t="s">
        <v>130</v>
      </c>
      <c r="X42" s="222">
        <v>55575.0</v>
      </c>
      <c r="Y42" s="222">
        <v>4631.25</v>
      </c>
      <c r="Z42" s="222">
        <v>4631.25</v>
      </c>
      <c r="AA42" s="222">
        <v>4631.25</v>
      </c>
      <c r="AB42" s="222">
        <v>4631.25</v>
      </c>
      <c r="AC42" s="222">
        <v>4631.25</v>
      </c>
      <c r="AD42" s="222">
        <v>4631.25</v>
      </c>
      <c r="AE42" s="222">
        <v>4631.25</v>
      </c>
      <c r="AF42" s="222">
        <v>4631.25</v>
      </c>
      <c r="AG42" s="222">
        <v>4631.25</v>
      </c>
      <c r="AH42" s="222">
        <v>4631.25</v>
      </c>
      <c r="AI42" s="222">
        <v>4631.25</v>
      </c>
      <c r="AJ42" s="222">
        <v>4631.25</v>
      </c>
      <c r="AK42" s="222">
        <v>55575.0</v>
      </c>
      <c r="AN42" s="218" t="s">
        <v>118</v>
      </c>
    </row>
  </sheetData>
  <autoFilter ref="$A$1:$AP$42">
    <filterColumn colId="9">
      <filters>
        <filter val="Manutenção e Gestão dos Serviços e Sistemas de Tecnologia da Informação"/>
      </filters>
    </filterColumn>
  </autoFil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2.63" defaultRowHeight="15.75"/>
  <cols>
    <col customWidth="1" min="1" max="1" width="2.13"/>
    <col customWidth="1" min="2" max="3" width="8.0"/>
    <col customWidth="1" min="4" max="4" width="36.38"/>
    <col customWidth="1" min="5" max="6" width="10.88"/>
    <col customWidth="1" min="7" max="7" width="12.25"/>
    <col customWidth="1" hidden="1" min="8" max="8" width="15.0"/>
    <col customWidth="1" hidden="1" min="9" max="9" width="12.0"/>
    <col customWidth="1" hidden="1" min="10" max="10" width="15.38"/>
    <col customWidth="1" hidden="1" min="11" max="11" width="14.5"/>
    <col customWidth="1" hidden="1" min="12" max="13" width="13.75"/>
    <col customWidth="1" min="14" max="14" width="13.75"/>
    <col customWidth="1" min="15" max="16" width="13.63"/>
    <col customWidth="1" min="17" max="17" width="13.75"/>
    <col customWidth="1" hidden="1" min="18" max="20" width="13.75"/>
  </cols>
  <sheetData>
    <row r="1" ht="28.5" customHeight="1">
      <c r="A1" s="218"/>
      <c r="B1" s="270" t="s">
        <v>710</v>
      </c>
      <c r="C1" s="271"/>
      <c r="D1" s="272"/>
      <c r="E1" s="273"/>
      <c r="F1" s="273"/>
      <c r="G1" s="274"/>
      <c r="H1" s="272"/>
      <c r="I1" s="275"/>
      <c r="J1" s="276"/>
      <c r="K1" s="273"/>
      <c r="L1" s="273"/>
      <c r="M1" s="273"/>
      <c r="N1" s="273"/>
      <c r="O1" s="277"/>
      <c r="P1" s="277"/>
      <c r="Q1" s="194"/>
      <c r="R1" s="194"/>
      <c r="S1" s="194"/>
      <c r="T1" s="194"/>
    </row>
    <row r="2" ht="15.0" customHeight="1">
      <c r="A2" s="235"/>
      <c r="B2" s="278"/>
      <c r="C2" s="278"/>
      <c r="D2" s="235"/>
      <c r="E2" s="279"/>
      <c r="F2" s="200"/>
      <c r="G2" s="280"/>
      <c r="H2" s="280"/>
      <c r="I2" s="281"/>
      <c r="J2" s="282"/>
      <c r="K2" s="200"/>
      <c r="L2" s="200"/>
      <c r="M2" s="200"/>
      <c r="N2" s="200"/>
      <c r="O2" s="283"/>
      <c r="P2" s="283" t="s">
        <v>711</v>
      </c>
      <c r="Q2" s="284">
        <f>'Orçamento'!D5+'Orçamento'!E5+210332.665</f>
        <v>4213908.725</v>
      </c>
      <c r="R2" s="194"/>
      <c r="S2" s="194"/>
      <c r="T2" s="285"/>
    </row>
    <row r="3">
      <c r="A3" s="235"/>
      <c r="B3" s="286"/>
      <c r="C3" s="218" t="s">
        <v>712</v>
      </c>
      <c r="E3" s="279"/>
      <c r="F3" s="200"/>
      <c r="G3" s="280"/>
      <c r="H3" s="280"/>
      <c r="I3" s="281"/>
      <c r="J3" s="282"/>
      <c r="K3" s="200"/>
      <c r="L3" s="200"/>
      <c r="M3" s="200"/>
      <c r="N3" s="200"/>
      <c r="O3" s="283"/>
      <c r="P3" s="283" t="s">
        <v>713</v>
      </c>
      <c r="Q3" s="284">
        <f>SUM($N$9:$N546)</f>
        <v>5108036.253</v>
      </c>
      <c r="R3" s="194"/>
      <c r="S3" s="194"/>
      <c r="T3" s="285"/>
    </row>
    <row r="4">
      <c r="A4" s="235"/>
      <c r="B4" s="287"/>
      <c r="C4" s="218" t="s">
        <v>714</v>
      </c>
      <c r="E4" s="279"/>
      <c r="G4" s="283"/>
      <c r="H4" s="283"/>
      <c r="I4" s="288"/>
      <c r="J4" s="289"/>
      <c r="K4" s="283"/>
      <c r="L4" s="283"/>
      <c r="M4" s="283"/>
      <c r="N4" s="283"/>
      <c r="O4" s="283"/>
      <c r="P4" s="283" t="s">
        <v>715</v>
      </c>
      <c r="Q4" s="284">
        <f>Q2-Q3</f>
        <v>-894127.528</v>
      </c>
      <c r="R4" s="194"/>
      <c r="S4" s="194"/>
      <c r="T4" s="285"/>
    </row>
    <row r="5">
      <c r="A5" s="235"/>
      <c r="B5" s="290"/>
      <c r="C5" s="218" t="s">
        <v>716</v>
      </c>
      <c r="E5" s="279"/>
      <c r="G5" s="283"/>
      <c r="H5" s="283"/>
      <c r="I5" s="288"/>
      <c r="J5" s="289"/>
      <c r="K5" s="283"/>
      <c r="L5" s="283"/>
      <c r="M5" s="283"/>
      <c r="N5" s="283"/>
      <c r="O5" s="283"/>
      <c r="R5" s="194"/>
      <c r="S5" s="194"/>
      <c r="T5" s="285"/>
    </row>
    <row r="6">
      <c r="A6" s="235"/>
      <c r="B6" s="278"/>
      <c r="C6" s="278"/>
      <c r="E6" s="279"/>
      <c r="G6" s="283"/>
      <c r="H6" s="283"/>
      <c r="I6" s="288"/>
      <c r="J6" s="289"/>
      <c r="K6" s="283"/>
      <c r="L6" s="283"/>
      <c r="M6" s="283"/>
      <c r="N6" s="283"/>
      <c r="O6" s="283"/>
      <c r="R6" s="194"/>
      <c r="S6" s="194"/>
      <c r="T6" s="285"/>
    </row>
    <row r="7" ht="6.75" customHeight="1">
      <c r="B7" s="291"/>
      <c r="C7" s="291"/>
      <c r="D7" s="181"/>
      <c r="E7" s="292"/>
      <c r="F7" s="292"/>
      <c r="G7" s="293"/>
      <c r="H7" s="294"/>
      <c r="I7" s="295"/>
      <c r="J7" s="296"/>
      <c r="K7" s="297"/>
      <c r="L7" s="297"/>
      <c r="M7" s="297"/>
      <c r="N7" s="297"/>
      <c r="O7" s="298"/>
      <c r="P7" s="298"/>
      <c r="Q7" s="297"/>
      <c r="R7" s="297"/>
      <c r="S7" s="297"/>
      <c r="T7" s="297"/>
    </row>
    <row r="8" ht="31.5" customHeight="1">
      <c r="A8" s="299"/>
      <c r="B8" s="300" t="str">
        <f>IFERROR(__xludf.DUMMYFUNCTION("{QUERY('Base de Dados'!A1:BR546, ""select A, B, C, V, W, I, Q, BH, U, AL, AR, AS, AT, AD, AE where K = 'GND3' and J = 'SETIC' and A &gt; 1000 and R = '1 - Selecionado'  order by BH DESC, C"",1)}"),"Id")</f>
        <v>Id</v>
      </c>
      <c r="C8" s="300" t="str">
        <f>IFERROR(__xludf.DUMMYFUNCTION("""COMPUTED_VALUE"""),"Grupo")</f>
        <v>Grupo</v>
      </c>
      <c r="D8" s="301" t="str">
        <f>IFERROR(__xludf.DUMMYFUNCTION("""COMPUTED_VALUE"""),"Descrição")</f>
        <v>Descrição</v>
      </c>
      <c r="E8" s="302" t="str">
        <f>IFERROR(__xludf.DUMMYFUNCTION("""COMPUTED_VALUE"""),"DOD")</f>
        <v>DOD</v>
      </c>
      <c r="F8" s="302" t="str">
        <f>IFERROR(__xludf.DUMMYFUNCTION("""COMPUTED_VALUE"""),"Contrato")</f>
        <v>Contrato</v>
      </c>
      <c r="G8" s="303" t="str">
        <f>IFERROR(__xludf.DUMMYFUNCTION("""COMPUTED_VALUE"""),"Demandante")</f>
        <v>Demandante</v>
      </c>
      <c r="H8" s="304" t="str">
        <f>IFERROR(__xludf.DUMMYFUNCTION("""COMPUTED_VALUE"""),"Prioridade")</f>
        <v>Prioridade</v>
      </c>
      <c r="I8" s="305" t="str">
        <f>IFERROR(__xludf.DUMMYFUNCTION("""COMPUTED_VALUE"""),"PAAC Pontuação")</f>
        <v>PAAC Pontuação</v>
      </c>
      <c r="J8" s="306" t="str">
        <f>IFERROR(__xludf.DUMMYFUNCTION("""COMPUTED_VALUE"""),"Situação (Fase)")</f>
        <v>Situação (Fase)</v>
      </c>
      <c r="K8" s="307" t="str">
        <f>IFERROR(__xludf.DUMMYFUNCTION("""COMPUTED_VALUE"""),"5a Linha de Base")</f>
        <v>5a Linha de Base</v>
      </c>
      <c r="L8" s="307" t="str">
        <f>IFERROR(__xludf.DUMMYFUNCTION("""COMPUTED_VALUE"""),"Valor Projetado Preliminar")</f>
        <v>Valor Projetado Preliminar</v>
      </c>
      <c r="M8" s="307" t="str">
        <f>IFERROR(__xludf.DUMMYFUNCTION("""COMPUTED_VALUE"""),"Última Parcela 2021")</f>
        <v>Última Parcela 2021</v>
      </c>
      <c r="N8" s="307" t="str">
        <f>IFERROR(__xludf.DUMMYFUNCTION("""COMPUTED_VALUE"""),"Valor Projetado")</f>
        <v>Valor Projetado</v>
      </c>
      <c r="O8" s="308" t="str">
        <f>IFERROR(__xludf.DUMMYFUNCTION("""COMPUTED_VALUE"""),"Data para Adm")</f>
        <v>Data para Adm</v>
      </c>
      <c r="P8" s="308" t="str">
        <f>IFERROR(__xludf.DUMMYFUNCTION("""COMPUTED_VALUE"""),"Data para objeto")</f>
        <v>Data para objeto</v>
      </c>
      <c r="Q8" s="309" t="s">
        <v>717</v>
      </c>
      <c r="R8" s="309" t="s">
        <v>718</v>
      </c>
      <c r="S8" s="310"/>
      <c r="T8" s="310"/>
    </row>
    <row r="9">
      <c r="B9" s="311">
        <f>IFERROR(__xludf.DUMMYFUNCTION("""COMPUTED_VALUE"""),15356.0)</f>
        <v>15356</v>
      </c>
      <c r="C9" s="311">
        <f>IFERROR(__xludf.DUMMYFUNCTION("""COMPUTED_VALUE"""),0.0)</f>
        <v>0</v>
      </c>
      <c r="D9" s="312" t="str">
        <f>IFERROR(__xludf.DUMMYFUNCTION("""COMPUTED_VALUE"""),"ANTIVÍRUS - Aquisição de licenças de solução de antivírus com suporte e atualização, para proteção contra ameaças externas (continua o 1366/2017, ID 15004)")</f>
        <v>ANTIVÍRUS - Aquisição de licenças de solução de antivírus com suporte e atualização, para proteção contra ameaças externas (continua o 1366/2017, ID 15004)</v>
      </c>
      <c r="E9" s="313"/>
      <c r="F9" s="313" t="str">
        <f>IFERROR(__xludf.DUMMYFUNCTION("""COMPUTED_VALUE"""),"9019/2021")</f>
        <v>9019/2021</v>
      </c>
      <c r="G9" s="314" t="str">
        <f>IFERROR(__xludf.DUMMYFUNCTION("""COMPUTED_VALUE"""),"SETIC")</f>
        <v>SETIC</v>
      </c>
      <c r="H9" s="315" t="str">
        <f>IFERROR(__xludf.DUMMYFUNCTION("""COMPUTED_VALUE"""),"1 - Imprescindível")</f>
        <v>1 - Imprescindível</v>
      </c>
      <c r="I9" s="316">
        <f>IFERROR(__xludf.DUMMYFUNCTION("""COMPUTED_VALUE"""),300000.0)</f>
        <v>300000</v>
      </c>
      <c r="J9" s="317" t="str">
        <f>IFERROR(__xludf.DUMMYFUNCTION("""COMPUTED_VALUE"""),"99 - Orçamentário")</f>
        <v>99 - Orçamentário</v>
      </c>
      <c r="K9" s="318"/>
      <c r="L9" s="318">
        <f>IFERROR(__xludf.DUMMYFUNCTION("""COMPUTED_VALUE"""),192000.0)</f>
        <v>192000</v>
      </c>
      <c r="M9" s="318" t="str">
        <f>IFERROR(__xludf.DUMMYFUNCTION("""COMPUTED_VALUE"""),"2021NE000403")</f>
        <v>2021NE000403</v>
      </c>
      <c r="N9" s="318">
        <f>IFERROR(__xludf.DUMMYFUNCTION("""COMPUTED_VALUE"""),192000.0)</f>
        <v>192000</v>
      </c>
      <c r="O9" s="319">
        <f>IFERROR(__xludf.DUMMYFUNCTION("""COMPUTED_VALUE"""),45934.0)</f>
        <v>45934</v>
      </c>
      <c r="P9" s="319">
        <f>IFERROR(__xludf.DUMMYFUNCTION("""COMPUTED_VALUE"""),45934.0)</f>
        <v>45934</v>
      </c>
      <c r="Q9" s="318">
        <f>N9</f>
        <v>192000</v>
      </c>
      <c r="R9" s="318">
        <f t="array" ref="R9:R546">N9:N546-K9:K546</f>
        <v>192000</v>
      </c>
      <c r="S9" s="320">
        <v>4347851.91</v>
      </c>
      <c r="T9" s="297" t="str">
        <f t="array" ref="T9:T546">if(Q9:Q546&gt;Q$2,"AG","OK")</f>
        <v>OK</v>
      </c>
    </row>
    <row r="10">
      <c r="B10" s="311">
        <f>IFERROR(__xludf.DUMMYFUNCTION("""COMPUTED_VALUE"""),15393.0)</f>
        <v>15393</v>
      </c>
      <c r="C10" s="311">
        <f>IFERROR(__xludf.DUMMYFUNCTION("""COMPUTED_VALUE"""),15353.0)</f>
        <v>15353</v>
      </c>
      <c r="D10" s="312" t="str">
        <f>IFERROR(__xludf.DUMMYFUNCTION("""COMPUTED_VALUE"""),"AUDIÊNCIAS - Viabilizar a continuidade de audiências, sessões e reuniões por meio de videoconferências (Zoom) (Reconhecimento de dívida de exercício anterior)")</f>
        <v>AUDIÊNCIAS - Viabilizar a continuidade de audiências, sessões e reuniões por meio de videoconferências (Zoom) (Reconhecimento de dívida de exercício anterior)</v>
      </c>
      <c r="E10" s="313"/>
      <c r="F10" s="313" t="str">
        <f>IFERROR(__xludf.DUMMYFUNCTION("""COMPUTED_VALUE"""),"1038/2021")</f>
        <v>1038/2021</v>
      </c>
      <c r="G10" s="314" t="str">
        <f>IFERROR(__xludf.DUMMYFUNCTION("""COMPUTED_VALUE"""),"SETIC")</f>
        <v>SETIC</v>
      </c>
      <c r="H10" s="315" t="str">
        <f>IFERROR(__xludf.DUMMYFUNCTION("""COMPUTED_VALUE"""),"1 - Imprescindível")</f>
        <v>1 - Imprescindível</v>
      </c>
      <c r="I10" s="316">
        <f>IFERROR(__xludf.DUMMYFUNCTION("""COMPUTED_VALUE"""),300000.0)</f>
        <v>300000</v>
      </c>
      <c r="J10" s="317" t="str">
        <f>IFERROR(__xludf.DUMMYFUNCTION("""COMPUTED_VALUE"""),"99 - Orçamentário")</f>
        <v>99 - Orçamentário</v>
      </c>
      <c r="K10" s="318"/>
      <c r="L10" s="318">
        <f>IFERROR(__xludf.DUMMYFUNCTION("""COMPUTED_VALUE"""),484.45)</f>
        <v>484.45</v>
      </c>
      <c r="M10" s="318"/>
      <c r="N10" s="318">
        <f>IFERROR(__xludf.DUMMYFUNCTION("""COMPUTED_VALUE"""),484.45)</f>
        <v>484.45</v>
      </c>
      <c r="O10" s="319"/>
      <c r="P10" s="319"/>
      <c r="Q10" s="318">
        <f t="shared" ref="Q10:Q59" si="1">Q9+N10</f>
        <v>192484.45</v>
      </c>
      <c r="R10" s="318">
        <v>484.45</v>
      </c>
      <c r="S10" s="297">
        <f>Q2-S9</f>
        <v>-133943.185</v>
      </c>
      <c r="T10" s="297" t="s">
        <v>719</v>
      </c>
    </row>
    <row r="11">
      <c r="B11" s="311">
        <f>IFERROR(__xludf.DUMMYFUNCTION("""COMPUTED_VALUE"""),15353.0)</f>
        <v>15353</v>
      </c>
      <c r="C11" s="311">
        <f>IFERROR(__xludf.DUMMYFUNCTION("""COMPUTED_VALUE"""),15353.0)</f>
        <v>15353</v>
      </c>
      <c r="D11" s="312" t="str">
        <f>IFERROR(__xludf.DUMMYFUNCTION("""COMPUTED_VALUE"""),"AUDIÊNCIAS ZOOM - Viabilizar a continuidade de audiências, sessões e reuniões por meio de videoconferências (Zoom)")</f>
        <v>AUDIÊNCIAS ZOOM - Viabilizar a continuidade de audiências, sessões e reuniões por meio de videoconferências (Zoom)</v>
      </c>
      <c r="E11" s="313" t="str">
        <f>IFERROR(__xludf.DUMMYFUNCTION("""COMPUTED_VALUE"""),"150/2022")</f>
        <v>150/2022</v>
      </c>
      <c r="F11" s="313" t="str">
        <f>IFERROR(__xludf.DUMMYFUNCTION("""COMPUTED_VALUE"""),"1038/2021")</f>
        <v>1038/2021</v>
      </c>
      <c r="G11" s="314" t="str">
        <f>IFERROR(__xludf.DUMMYFUNCTION("""COMPUTED_VALUE"""),"SETIC")</f>
        <v>SETIC</v>
      </c>
      <c r="H11" s="315" t="str">
        <f>IFERROR(__xludf.DUMMYFUNCTION("""COMPUTED_VALUE"""),"1 - Imprescindível")</f>
        <v>1 - Imprescindível</v>
      </c>
      <c r="I11" s="316">
        <f>IFERROR(__xludf.DUMMYFUNCTION("""COMPUTED_VALUE"""),300000.0)</f>
        <v>300000</v>
      </c>
      <c r="J11" s="317" t="str">
        <f>IFERROR(__xludf.DUMMYFUNCTION("""COMPUTED_VALUE"""),"07 - Concluída")</f>
        <v>07 - Concluída</v>
      </c>
      <c r="K11" s="318"/>
      <c r="L11" s="318">
        <f>IFERROR(__xludf.DUMMYFUNCTION("""COMPUTED_VALUE"""),55999.92)</f>
        <v>55999.92</v>
      </c>
      <c r="M11" s="318"/>
      <c r="N11" s="318">
        <f>IFERROR(__xludf.DUMMYFUNCTION("""COMPUTED_VALUE"""),55999.92)</f>
        <v>55999.92</v>
      </c>
      <c r="O11" s="319">
        <f>IFERROR(__xludf.DUMMYFUNCTION("""COMPUTED_VALUE"""),44561.0)</f>
        <v>44561</v>
      </c>
      <c r="P11" s="319">
        <f>IFERROR(__xludf.DUMMYFUNCTION("""COMPUTED_VALUE"""),44651.0)</f>
        <v>44651</v>
      </c>
      <c r="Q11" s="318">
        <f t="shared" si="1"/>
        <v>248484.37</v>
      </c>
      <c r="R11" s="318">
        <v>55999.92</v>
      </c>
      <c r="S11" s="320">
        <f>S9-Q45</f>
        <v>-19661.43967</v>
      </c>
      <c r="T11" s="297" t="s">
        <v>719</v>
      </c>
    </row>
    <row r="12">
      <c r="B12" s="311">
        <f>IFERROR(__xludf.DUMMYFUNCTION("""COMPUTED_VALUE"""),15311.0)</f>
        <v>15311</v>
      </c>
      <c r="C12" s="311">
        <f>IFERROR(__xludf.DUMMYFUNCTION("""COMPUTED_VALUE"""),15304.0)</f>
        <v>15304</v>
      </c>
      <c r="D12" s="312" t="str">
        <f>IFERROR(__xludf.DUMMYFUNCTION("""COMPUTED_VALUE"""),"BACKUP FITAS - Aquisição de fitas com capacidade de 12TB (272 unidades) e de limpeza (20 unidades).")</f>
        <v>BACKUP FITAS - Aquisição de fitas com capacidade de 12TB (272 unidades) e de limpeza (20 unidades).</v>
      </c>
      <c r="E12" s="313" t="str">
        <f>IFERROR(__xludf.DUMMYFUNCTION("""COMPUTED_VALUE"""),"8147/2021")</f>
        <v>8147/2021</v>
      </c>
      <c r="F12" s="313" t="str">
        <f>IFERROR(__xludf.DUMMYFUNCTION("""COMPUTED_VALUE"""),"10394/2021")</f>
        <v>10394/2021</v>
      </c>
      <c r="G12" s="314" t="str">
        <f>IFERROR(__xludf.DUMMYFUNCTION("""COMPUTED_VALUE"""),"SETIC")</f>
        <v>SETIC</v>
      </c>
      <c r="H12" s="315" t="str">
        <f>IFERROR(__xludf.DUMMYFUNCTION("""COMPUTED_VALUE"""),"1 - Imprescindível")</f>
        <v>1 - Imprescindível</v>
      </c>
      <c r="I12" s="316">
        <f>IFERROR(__xludf.DUMMYFUNCTION("""COMPUTED_VALUE"""),300000.0)</f>
        <v>300000</v>
      </c>
      <c r="J12" s="321" t="str">
        <f>IFERROR(__xludf.DUMMYFUNCTION("""COMPUTED_VALUE"""),"05 - PB enviado")</f>
        <v>05 - PB enviado</v>
      </c>
      <c r="K12" s="322"/>
      <c r="L12" s="322">
        <f>IFERROR(__xludf.DUMMYFUNCTION("""COMPUTED_VALUE"""),262444.0)</f>
        <v>262444</v>
      </c>
      <c r="M12" s="322"/>
      <c r="N12" s="322">
        <f>IFERROR(__xludf.DUMMYFUNCTION("""COMPUTED_VALUE"""),262444.0)</f>
        <v>262444</v>
      </c>
      <c r="O12" s="323">
        <f>IFERROR(__xludf.DUMMYFUNCTION("""COMPUTED_VALUE"""),44525.0)</f>
        <v>44525</v>
      </c>
      <c r="P12" s="323">
        <f>IFERROR(__xludf.DUMMYFUNCTION("""COMPUTED_VALUE"""),44635.0)</f>
        <v>44635</v>
      </c>
      <c r="Q12" s="318">
        <f t="shared" si="1"/>
        <v>510928.37</v>
      </c>
      <c r="R12" s="318">
        <v>262444.0</v>
      </c>
      <c r="S12" s="320">
        <v>30000.0</v>
      </c>
      <c r="T12" s="297" t="s">
        <v>719</v>
      </c>
    </row>
    <row r="13">
      <c r="B13" s="311">
        <f>IFERROR(__xludf.DUMMYFUNCTION("""COMPUTED_VALUE"""),15151.0)</f>
        <v>15151</v>
      </c>
      <c r="C13" s="311">
        <f>IFERROR(__xludf.DUMMYFUNCTION("""COMPUTED_VALUE"""),0.0)</f>
        <v>0</v>
      </c>
      <c r="D13" s="312" t="str">
        <f>IFERROR(__xludf.DUMMYFUNCTION("""COMPUTED_VALUE"""),"BANCO DE DADOS - Contratação de monitoramento remoto e suporte técnico para os bancos de dados Oracle, PostgreSQL e MySQL, contratado como item obrigatório do CSJT")</f>
        <v>BANCO DE DADOS - Contratação de monitoramento remoto e suporte técnico para os bancos de dados Oracle, PostgreSQL e MySQL, contratado como item obrigatório do CSJT</v>
      </c>
      <c r="E13" s="313"/>
      <c r="F13" s="313" t="str">
        <f>IFERROR(__xludf.DUMMYFUNCTION("""COMPUTED_VALUE"""),"9447/2017")</f>
        <v>9447/2017</v>
      </c>
      <c r="G13" s="314" t="str">
        <f>IFERROR(__xludf.DUMMYFUNCTION("""COMPUTED_VALUE"""),"SETIC")</f>
        <v>SETIC</v>
      </c>
      <c r="H13" s="315" t="str">
        <f>IFERROR(__xludf.DUMMYFUNCTION("""COMPUTED_VALUE"""),"1 - Imprescindível")</f>
        <v>1 - Imprescindível</v>
      </c>
      <c r="I13" s="316">
        <f>IFERROR(__xludf.DUMMYFUNCTION("""COMPUTED_VALUE"""),300000.0)</f>
        <v>300000</v>
      </c>
      <c r="J13" s="317" t="str">
        <f>IFERROR(__xludf.DUMMYFUNCTION("""COMPUTED_VALUE"""),"99 - Orçamentário")</f>
        <v>99 - Orçamentário</v>
      </c>
      <c r="K13" s="318"/>
      <c r="L13" s="318">
        <f>IFERROR(__xludf.DUMMYFUNCTION("""COMPUTED_VALUE"""),187200.0)</f>
        <v>187200</v>
      </c>
      <c r="M13" s="318" t="str">
        <f>IFERROR(__xludf.DUMMYFUNCTION("""COMPUTED_VALUE"""),"2021NE000127")</f>
        <v>2021NE000127</v>
      </c>
      <c r="N13" s="318">
        <f>IFERROR(__xludf.DUMMYFUNCTION("""COMPUTED_VALUE"""),187200.0)</f>
        <v>187200</v>
      </c>
      <c r="O13" s="319">
        <f>IFERROR(__xludf.DUMMYFUNCTION("""COMPUTED_VALUE"""),44958.0)</f>
        <v>44958</v>
      </c>
      <c r="P13" s="319">
        <f>IFERROR(__xludf.DUMMYFUNCTION("""COMPUTED_VALUE"""),44958.0)</f>
        <v>44958</v>
      </c>
      <c r="Q13" s="318">
        <f t="shared" si="1"/>
        <v>698128.37</v>
      </c>
      <c r="R13" s="318">
        <v>187200.0</v>
      </c>
      <c r="S13" s="320">
        <v>100000.0</v>
      </c>
      <c r="T13" s="297" t="s">
        <v>719</v>
      </c>
    </row>
    <row r="14">
      <c r="B14" s="311">
        <f>IFERROR(__xludf.DUMMYFUNCTION("""COMPUTED_VALUE"""),15355.0)</f>
        <v>15355</v>
      </c>
      <c r="C14" s="311">
        <f>IFERROR(__xludf.DUMMYFUNCTION("""COMPUTED_VALUE"""),0.0)</f>
        <v>0</v>
      </c>
      <c r="D14" s="312" t="str">
        <f>IFERROR(__xludf.DUMMYFUNCTION("""COMPUTED_VALUE"""),"BANCO DE DADOS ORACLE - Contratação de suporte e atualização de licenças Oracle, para os sistemas PROAD, SIGEP")</f>
        <v>BANCO DE DADOS ORACLE - Contratação de suporte e atualização de licenças Oracle, para os sistemas PROAD, SIGEP</v>
      </c>
      <c r="E14" s="313"/>
      <c r="F14" s="313" t="str">
        <f>IFERROR(__xludf.DUMMYFUNCTION("""COMPUTED_VALUE"""),"9758/2021")</f>
        <v>9758/2021</v>
      </c>
      <c r="G14" s="314" t="str">
        <f>IFERROR(__xludf.DUMMYFUNCTION("""COMPUTED_VALUE"""),"SETIC")</f>
        <v>SETIC</v>
      </c>
      <c r="H14" s="315" t="str">
        <f>IFERROR(__xludf.DUMMYFUNCTION("""COMPUTED_VALUE"""),"1 - Imprescindível")</f>
        <v>1 - Imprescindível</v>
      </c>
      <c r="I14" s="316">
        <f>IFERROR(__xludf.DUMMYFUNCTION("""COMPUTED_VALUE"""),300000.0)</f>
        <v>300000</v>
      </c>
      <c r="J14" s="317" t="str">
        <f>IFERROR(__xludf.DUMMYFUNCTION("""COMPUTED_VALUE"""),"01 - Não oficializado")</f>
        <v>01 - Não oficializado</v>
      </c>
      <c r="K14" s="318"/>
      <c r="L14" s="318">
        <f>IFERROR(__xludf.DUMMYFUNCTION("""COMPUTED_VALUE"""),314626.19999999995)</f>
        <v>314626.2</v>
      </c>
      <c r="M14" s="318" t="str">
        <f>IFERROR(__xludf.DUMMYFUNCTION("""COMPUTED_VALUE"""),"2021NE000445")</f>
        <v>2021NE000445</v>
      </c>
      <c r="N14" s="318">
        <f>IFERROR(__xludf.DUMMYFUNCTION("""COMPUTED_VALUE"""),314626.19999999995)</f>
        <v>314626.2</v>
      </c>
      <c r="O14" s="319">
        <f>IFERROR(__xludf.DUMMYFUNCTION("""COMPUTED_VALUE"""),44784.0)</f>
        <v>44784</v>
      </c>
      <c r="P14" s="319">
        <f>IFERROR(__xludf.DUMMYFUNCTION("""COMPUTED_VALUE"""),44874.0)</f>
        <v>44874</v>
      </c>
      <c r="Q14" s="318">
        <f t="shared" si="1"/>
        <v>1012754.57</v>
      </c>
      <c r="R14" s="318">
        <v>314626.19999999995</v>
      </c>
      <c r="S14" s="320">
        <v>540.0</v>
      </c>
      <c r="T14" s="297" t="s">
        <v>719</v>
      </c>
    </row>
    <row r="15">
      <c r="B15" s="311">
        <f>IFERROR(__xludf.DUMMYFUNCTION("""COMPUTED_VALUE"""),15055.0)</f>
        <v>15055</v>
      </c>
      <c r="C15" s="311">
        <f>IFERROR(__xludf.DUMMYFUNCTION("""COMPUTED_VALUE"""),0.0)</f>
        <v>0</v>
      </c>
      <c r="D15" s="312" t="str">
        <f>IFERROR(__xludf.DUMMYFUNCTION("""COMPUTED_VALUE"""),"CELESC - Contratação de uso de postes (passagem da fibra óptica - locação CELESC) para conexão redundante entre o datacenter principal e auxiliar (Sede/Utrillo)")</f>
        <v>CELESC - Contratação de uso de postes (passagem da fibra óptica - locação CELESC) para conexão redundante entre o datacenter principal e auxiliar (Sede/Utrillo)</v>
      </c>
      <c r="E15" s="313"/>
      <c r="F15" s="313" t="str">
        <f>IFERROR(__xludf.DUMMYFUNCTION("""COMPUTED_VALUE"""),"1674/2021")</f>
        <v>1674/2021</v>
      </c>
      <c r="G15" s="314" t="str">
        <f>IFERROR(__xludf.DUMMYFUNCTION("""COMPUTED_VALUE"""),"SETIC")</f>
        <v>SETIC</v>
      </c>
      <c r="H15" s="315" t="str">
        <f>IFERROR(__xludf.DUMMYFUNCTION("""COMPUTED_VALUE"""),"1 - Imprescindível")</f>
        <v>1 - Imprescindível</v>
      </c>
      <c r="I15" s="316">
        <f>IFERROR(__xludf.DUMMYFUNCTION("""COMPUTED_VALUE"""),300000.0)</f>
        <v>300000</v>
      </c>
      <c r="J15" s="317" t="str">
        <f>IFERROR(__xludf.DUMMYFUNCTION("""COMPUTED_VALUE"""),"99 - Orçamentário")</f>
        <v>99 - Orçamentário</v>
      </c>
      <c r="K15" s="318"/>
      <c r="L15" s="318">
        <f>IFERROR(__xludf.DUMMYFUNCTION("""COMPUTED_VALUE"""),4494.4800000000005)</f>
        <v>4494.48</v>
      </c>
      <c r="M15" s="318"/>
      <c r="N15" s="318">
        <f>IFERROR(__xludf.DUMMYFUNCTION("""COMPUTED_VALUE"""),4494.4800000000005)</f>
        <v>4494.48</v>
      </c>
      <c r="O15" s="319"/>
      <c r="P15" s="319"/>
      <c r="Q15" s="318">
        <f t="shared" si="1"/>
        <v>1017249.05</v>
      </c>
      <c r="R15" s="318">
        <v>4494.4800000000005</v>
      </c>
      <c r="S15" s="297">
        <f>-sum(R:R)</f>
        <v>-5108036.253</v>
      </c>
      <c r="T15" s="297" t="s">
        <v>719</v>
      </c>
    </row>
    <row r="16">
      <c r="B16" s="311">
        <f>IFERROR(__xludf.DUMMYFUNCTION("""COMPUTED_VALUE"""),15060.0)</f>
        <v>15060</v>
      </c>
      <c r="C16" s="311">
        <f>IFERROR(__xludf.DUMMYFUNCTION("""COMPUTED_VALUE"""),15060.0)</f>
        <v>15060</v>
      </c>
      <c r="D16" s="312" t="str">
        <f>IFERROR(__xludf.DUMMYFUNCTION("""COMPUTED_VALUE"""),"CENTRAL DE SERVIÇOS - Contratação de serviços de suporte de TIC em 1º e 2º níveis - 2019, para fornecimento de técnicos terceirizados para atendimento aos chamados de TIC, no Estado.")</f>
        <v>CENTRAL DE SERVIÇOS - Contratação de serviços de suporte de TIC em 1º e 2º níveis - 2019, para fornecimento de técnicos terceirizados para atendimento aos chamados de TIC, no Estado.</v>
      </c>
      <c r="E16" s="313" t="str">
        <f>IFERROR(__xludf.DUMMYFUNCTION("""COMPUTED_VALUE"""),"1293/2021")</f>
        <v>1293/2021</v>
      </c>
      <c r="F16" s="324" t="str">
        <f>IFERROR(__xludf.DUMMYFUNCTION("""COMPUTED_VALUE"""),"3995/2019")</f>
        <v>3995/2019</v>
      </c>
      <c r="G16" s="314" t="str">
        <f>IFERROR(__xludf.DUMMYFUNCTION("""COMPUTED_VALUE"""),"SETIC")</f>
        <v>SETIC</v>
      </c>
      <c r="H16" s="315" t="str">
        <f>IFERROR(__xludf.DUMMYFUNCTION("""COMPUTED_VALUE"""),"1 - Imprescindível")</f>
        <v>1 - Imprescindível</v>
      </c>
      <c r="I16" s="316">
        <f>IFERROR(__xludf.DUMMYFUNCTION("""COMPUTED_VALUE"""),300000.0)</f>
        <v>300000</v>
      </c>
      <c r="J16" s="317" t="str">
        <f>IFERROR(__xludf.DUMMYFUNCTION("""COMPUTED_VALUE"""),"07 - Concluída")</f>
        <v>07 - Concluída</v>
      </c>
      <c r="K16" s="318"/>
      <c r="L16" s="318">
        <f>IFERROR(__xludf.DUMMYFUNCTION("""COMPUTED_VALUE"""),891880.8)</f>
        <v>891880.8</v>
      </c>
      <c r="M16" s="318" t="str">
        <f>IFERROR(__xludf.DUMMYFUNCTION("""COMPUTED_VALUE"""),"2021NE000159")</f>
        <v>2021NE000159</v>
      </c>
      <c r="N16" s="318">
        <f>IFERROR(__xludf.DUMMYFUNCTION("""COMPUTED_VALUE"""),891880.8)</f>
        <v>891880.8</v>
      </c>
      <c r="O16" s="319">
        <f>IFERROR(__xludf.DUMMYFUNCTION("""COMPUTED_VALUE"""),44529.0)</f>
        <v>44529</v>
      </c>
      <c r="P16" s="319">
        <f>IFERROR(__xludf.DUMMYFUNCTION("""COMPUTED_VALUE"""),44619.0)</f>
        <v>44619</v>
      </c>
      <c r="Q16" s="318">
        <f t="shared" si="1"/>
        <v>1909129.85</v>
      </c>
      <c r="R16" s="318">
        <v>891880.8</v>
      </c>
      <c r="S16" s="320">
        <v>65000.0</v>
      </c>
      <c r="T16" s="297" t="s">
        <v>719</v>
      </c>
    </row>
    <row r="17">
      <c r="B17" s="311">
        <f>IFERROR(__xludf.DUMMYFUNCTION("""COMPUTED_VALUE"""),15392.0)</f>
        <v>15392</v>
      </c>
      <c r="C17" s="311">
        <f>IFERROR(__xludf.DUMMYFUNCTION("""COMPUTED_VALUE"""),15060.0)</f>
        <v>15060</v>
      </c>
      <c r="D17" s="312" t="str">
        <f>IFERROR(__xludf.DUMMYFUNCTION("""COMPUTED_VALUE"""),"CENTRAL DE SERVIÇOS - Contratação de serviços de suporte de TIC em 1º e 2º níveis - 2019, para fornecimento de técnicos terceirizados para atendimento aos chamados de TIC, no Estado. (Reconhecimento de dívida de exercício anterior)")</f>
        <v>CENTRAL DE SERVIÇOS - Contratação de serviços de suporte de TIC em 1º e 2º níveis - 2019, para fornecimento de técnicos terceirizados para atendimento aos chamados de TIC, no Estado. (Reconhecimento de dívida de exercício anterior)</v>
      </c>
      <c r="E17" s="313"/>
      <c r="F17" s="313" t="str">
        <f>IFERROR(__xludf.DUMMYFUNCTION("""COMPUTED_VALUE"""),"3995/2019")</f>
        <v>3995/2019</v>
      </c>
      <c r="G17" s="314" t="str">
        <f>IFERROR(__xludf.DUMMYFUNCTION("""COMPUTED_VALUE"""),"SETIC")</f>
        <v>SETIC</v>
      </c>
      <c r="H17" s="315" t="str">
        <f>IFERROR(__xludf.DUMMYFUNCTION("""COMPUTED_VALUE"""),"1 - Imprescindível")</f>
        <v>1 - Imprescindível</v>
      </c>
      <c r="I17" s="316">
        <f>IFERROR(__xludf.DUMMYFUNCTION("""COMPUTED_VALUE"""),300000.0)</f>
        <v>300000</v>
      </c>
      <c r="J17" s="317" t="str">
        <f>IFERROR(__xludf.DUMMYFUNCTION("""COMPUTED_VALUE"""),"99 - Orçamentário")</f>
        <v>99 - Orçamentário</v>
      </c>
      <c r="K17" s="318"/>
      <c r="L17" s="318">
        <f>IFERROR(__xludf.DUMMYFUNCTION("""COMPUTED_VALUE"""),11760.9)</f>
        <v>11760.9</v>
      </c>
      <c r="M17" s="318"/>
      <c r="N17" s="318">
        <f>IFERROR(__xludf.DUMMYFUNCTION("""COMPUTED_VALUE"""),11760.9)</f>
        <v>11760.9</v>
      </c>
      <c r="O17" s="319"/>
      <c r="P17" s="319"/>
      <c r="Q17" s="318">
        <f t="shared" si="1"/>
        <v>1920890.75</v>
      </c>
      <c r="R17" s="318">
        <v>11760.9</v>
      </c>
      <c r="S17" s="297"/>
      <c r="T17" s="297" t="s">
        <v>719</v>
      </c>
    </row>
    <row r="18">
      <c r="B18" s="311">
        <f>IFERROR(__xludf.DUMMYFUNCTION("""COMPUTED_VALUE"""),15315.0)</f>
        <v>15315</v>
      </c>
      <c r="C18" s="311">
        <f>IFERROR(__xludf.DUMMYFUNCTION("""COMPUTED_VALUE"""),0.0)</f>
        <v>0</v>
      </c>
      <c r="D18" s="312" t="str">
        <f>IFERROR(__xludf.DUMMYFUNCTION("""COMPUTED_VALUE"""),"CERTIFICADOS PF - Aquisição de certificados digitais (tokens) para pessoa física, para todo o Estado")</f>
        <v>CERTIFICADOS PF - Aquisição de certificados digitais (tokens) para pessoa física, para todo o Estado</v>
      </c>
      <c r="E18" s="313" t="str">
        <f>IFERROR(__xludf.DUMMYFUNCTION("""COMPUTED_VALUE"""),"2836/2022")</f>
        <v>2836/2022</v>
      </c>
      <c r="F18" s="313" t="str">
        <f>IFERROR(__xludf.DUMMYFUNCTION("""COMPUTED_VALUE"""),"4057/2020")</f>
        <v>4057/2020</v>
      </c>
      <c r="G18" s="314" t="str">
        <f>IFERROR(__xludf.DUMMYFUNCTION("""COMPUTED_VALUE"""),"SETIC")</f>
        <v>SETIC</v>
      </c>
      <c r="H18" s="315" t="str">
        <f>IFERROR(__xludf.DUMMYFUNCTION("""COMPUTED_VALUE"""),"1 - Imprescindível")</f>
        <v>1 - Imprescindível</v>
      </c>
      <c r="I18" s="316">
        <f>IFERROR(__xludf.DUMMYFUNCTION("""COMPUTED_VALUE"""),300000.0)</f>
        <v>300000</v>
      </c>
      <c r="J18" s="317" t="str">
        <f>IFERROR(__xludf.DUMMYFUNCTION("""COMPUTED_VALUE"""),"02 - DOD emitido")</f>
        <v>02 - DOD emitido</v>
      </c>
      <c r="K18" s="318"/>
      <c r="L18" s="318">
        <f>IFERROR(__xludf.DUMMYFUNCTION("""COMPUTED_VALUE"""),42020.0)</f>
        <v>42020</v>
      </c>
      <c r="M18" s="318"/>
      <c r="N18" s="318">
        <f>IFERROR(__xludf.DUMMYFUNCTION("""COMPUTED_VALUE"""),42020.0)</f>
        <v>42020</v>
      </c>
      <c r="O18" s="319">
        <f>IFERROR(__xludf.DUMMYFUNCTION("""COMPUTED_VALUE"""),44710.0)</f>
        <v>44710</v>
      </c>
      <c r="P18" s="319">
        <f>IFERROR(__xludf.DUMMYFUNCTION("""COMPUTED_VALUE"""),44800.0)</f>
        <v>44800</v>
      </c>
      <c r="Q18" s="318">
        <f t="shared" si="1"/>
        <v>1962910.75</v>
      </c>
      <c r="R18" s="318">
        <v>42020.0</v>
      </c>
      <c r="S18" s="297"/>
      <c r="T18" s="297" t="s">
        <v>719</v>
      </c>
    </row>
    <row r="19">
      <c r="B19" s="311">
        <f>IFERROR(__xludf.DUMMYFUNCTION("""COMPUTED_VALUE"""),15254.0)</f>
        <v>15254</v>
      </c>
      <c r="C19" s="311">
        <f>IFERROR(__xludf.DUMMYFUNCTION("""COMPUTED_VALUE"""),15254.0)</f>
        <v>15254</v>
      </c>
      <c r="D19" s="312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(CERTISIGN).")</f>
        <v>CERTIFICADOS PJ - Aquisição Certificados Digitais SSL (PJe, domínio trt12.jus.br e siscondj), obrigatório para estabelecer autenticação de confiança entre sistemas de informação. Exigido pela instituição bancária (CERTISIGN).</v>
      </c>
      <c r="E19" s="313" t="str">
        <f>IFERROR(__xludf.DUMMYFUNCTION("""COMPUTED_VALUE"""),"1891/2022")</f>
        <v>1891/2022</v>
      </c>
      <c r="F19" s="313" t="str">
        <f>IFERROR(__xludf.DUMMYFUNCTION("""COMPUTED_VALUE"""),"2832/2022")</f>
        <v>2832/2022</v>
      </c>
      <c r="G19" s="314" t="str">
        <f>IFERROR(__xludf.DUMMYFUNCTION("""COMPUTED_VALUE"""),"SETIC")</f>
        <v>SETIC</v>
      </c>
      <c r="H19" s="315" t="str">
        <f>IFERROR(__xludf.DUMMYFUNCTION("""COMPUTED_VALUE"""),"1 - Imprescindível")</f>
        <v>1 - Imprescindível</v>
      </c>
      <c r="I19" s="316">
        <f>IFERROR(__xludf.DUMMYFUNCTION("""COMPUTED_VALUE"""),300000.0)</f>
        <v>300000</v>
      </c>
      <c r="J19" s="317" t="str">
        <f>IFERROR(__xludf.DUMMYFUNCTION("""COMPUTED_VALUE"""),"07 - Concluída")</f>
        <v>07 - Concluída</v>
      </c>
      <c r="K19" s="318"/>
      <c r="L19" s="318">
        <f>IFERROR(__xludf.DUMMYFUNCTION("""COMPUTED_VALUE"""),1890.0)</f>
        <v>1890</v>
      </c>
      <c r="M19" s="318"/>
      <c r="N19" s="318">
        <f>IFERROR(__xludf.DUMMYFUNCTION("""COMPUTED_VALUE"""),1890.0)</f>
        <v>1890</v>
      </c>
      <c r="O19" s="319">
        <f>IFERROR(__xludf.DUMMYFUNCTION("""COMPUTED_VALUE"""),44643.0)</f>
        <v>44643</v>
      </c>
      <c r="P19" s="319">
        <f>IFERROR(__xludf.DUMMYFUNCTION("""COMPUTED_VALUE"""),44653.0)</f>
        <v>44653</v>
      </c>
      <c r="Q19" s="318">
        <f t="shared" si="1"/>
        <v>1964800.75</v>
      </c>
      <c r="R19" s="318">
        <v>1890.0</v>
      </c>
      <c r="S19" s="297"/>
      <c r="T19" s="297" t="s">
        <v>719</v>
      </c>
    </row>
    <row r="20">
      <c r="B20" s="311">
        <f>IFERROR(__xludf.DUMMYFUNCTION("""COMPUTED_VALUE"""),15896.0)</f>
        <v>15896</v>
      </c>
      <c r="C20" s="311">
        <f>IFERROR(__xludf.DUMMYFUNCTION("""COMPUTED_VALUE"""),15254.0)</f>
        <v>15254</v>
      </c>
      <c r="D20" s="312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(HZ PORTAIS).")</f>
        <v>CERTIFICADOS PJ - Aquisição Certificados Digitais SSL (PJe, domínio trt12.jus.br e siscondj), obrigatório para estabelecer autenticação de confiança entre sistemas de informação. Exigido pela instituição bancária (HZ PORTAIS).</v>
      </c>
      <c r="E20" s="313" t="str">
        <f>IFERROR(__xludf.DUMMYFUNCTION("""COMPUTED_VALUE"""),"1891/2022")</f>
        <v>1891/2022</v>
      </c>
      <c r="F20" s="313" t="str">
        <f>IFERROR(__xludf.DUMMYFUNCTION("""COMPUTED_VALUE"""),"2832/2022")</f>
        <v>2832/2022</v>
      </c>
      <c r="G20" s="314" t="str">
        <f>IFERROR(__xludf.DUMMYFUNCTION("""COMPUTED_VALUE"""),"SETIC")</f>
        <v>SETIC</v>
      </c>
      <c r="H20" s="315" t="str">
        <f>IFERROR(__xludf.DUMMYFUNCTION("""COMPUTED_VALUE"""),"1 - Imprescindível")</f>
        <v>1 - Imprescindível</v>
      </c>
      <c r="I20" s="316">
        <f>IFERROR(__xludf.DUMMYFUNCTION("""COMPUTED_VALUE"""),300000.0)</f>
        <v>300000</v>
      </c>
      <c r="J20" s="317" t="str">
        <f>IFERROR(__xludf.DUMMYFUNCTION("""COMPUTED_VALUE"""),"07 - Concluída")</f>
        <v>07 - Concluída</v>
      </c>
      <c r="K20" s="318"/>
      <c r="L20" s="318">
        <f>IFERROR(__xludf.DUMMYFUNCTION("""COMPUTED_VALUE"""),1265.4)</f>
        <v>1265.4</v>
      </c>
      <c r="M20" s="318"/>
      <c r="N20" s="318">
        <f>IFERROR(__xludf.DUMMYFUNCTION("""COMPUTED_VALUE"""),1265.4)</f>
        <v>1265.4</v>
      </c>
      <c r="O20" s="319">
        <f>IFERROR(__xludf.DUMMYFUNCTION("""COMPUTED_VALUE"""),44643.0)</f>
        <v>44643</v>
      </c>
      <c r="P20" s="319">
        <f>IFERROR(__xludf.DUMMYFUNCTION("""COMPUTED_VALUE"""),44653.0)</f>
        <v>44653</v>
      </c>
      <c r="Q20" s="318">
        <f t="shared" si="1"/>
        <v>1966066.15</v>
      </c>
      <c r="R20" s="318">
        <v>1265.4</v>
      </c>
      <c r="S20" s="297"/>
      <c r="T20" s="297" t="s">
        <v>719</v>
      </c>
    </row>
    <row r="21">
      <c r="B21" s="311">
        <f>IFERROR(__xludf.DUMMYFUNCTION("""COMPUTED_VALUE"""),15259.0)</f>
        <v>15259</v>
      </c>
      <c r="C21" s="311">
        <f>IFERROR(__xludf.DUMMYFUNCTION("""COMPUTED_VALUE"""),0.0)</f>
        <v>0</v>
      </c>
      <c r="D21" s="312" t="str">
        <f>IFERROR(__xludf.DUMMYFUNCTION("""COMPUTED_VALUE"""),"INTERNET LINK 1 - Contratação de acesso corporativo à internet")</f>
        <v>INTERNET LINK 1 - Contratação de acesso corporativo à internet</v>
      </c>
      <c r="E21" s="313"/>
      <c r="F21" s="313" t="str">
        <f>IFERROR(__xludf.DUMMYFUNCTION("""COMPUTED_VALUE"""),"8016/2019")</f>
        <v>8016/2019</v>
      </c>
      <c r="G21" s="314" t="str">
        <f>IFERROR(__xludf.DUMMYFUNCTION("""COMPUTED_VALUE"""),"SETIC")</f>
        <v>SETIC</v>
      </c>
      <c r="H21" s="315" t="str">
        <f>IFERROR(__xludf.DUMMYFUNCTION("""COMPUTED_VALUE"""),"1 - Imprescindível")</f>
        <v>1 - Imprescindível</v>
      </c>
      <c r="I21" s="316">
        <f>IFERROR(__xludf.DUMMYFUNCTION("""COMPUTED_VALUE"""),300000.0)</f>
        <v>300000</v>
      </c>
      <c r="J21" s="317" t="str">
        <f>IFERROR(__xludf.DUMMYFUNCTION("""COMPUTED_VALUE"""),"99 - Orçamentário")</f>
        <v>99 - Orçamentário</v>
      </c>
      <c r="K21" s="318"/>
      <c r="L21" s="318">
        <f>IFERROR(__xludf.DUMMYFUNCTION("""COMPUTED_VALUE"""),6000.0)</f>
        <v>6000</v>
      </c>
      <c r="M21" s="318"/>
      <c r="N21" s="318">
        <f>IFERROR(__xludf.DUMMYFUNCTION("""COMPUTED_VALUE"""),6000.0)</f>
        <v>6000</v>
      </c>
      <c r="O21" s="319">
        <f>IFERROR(__xludf.DUMMYFUNCTION("""COMPUTED_VALUE"""),44726.0)</f>
        <v>44726</v>
      </c>
      <c r="P21" s="319">
        <f>IFERROR(__xludf.DUMMYFUNCTION("""COMPUTED_VALUE"""),44726.0)</f>
        <v>44726</v>
      </c>
      <c r="Q21" s="318">
        <f t="shared" si="1"/>
        <v>1972066.15</v>
      </c>
      <c r="R21" s="318">
        <v>6000.0</v>
      </c>
      <c r="S21" s="297"/>
      <c r="T21" s="297" t="s">
        <v>719</v>
      </c>
    </row>
    <row r="22">
      <c r="B22" s="311">
        <f>IFERROR(__xludf.DUMMYFUNCTION("""COMPUTED_VALUE"""),15057.0)</f>
        <v>15057</v>
      </c>
      <c r="C22" s="311">
        <f>IFERROR(__xludf.DUMMYFUNCTION("""COMPUTED_VALUE"""),0.0)</f>
        <v>0</v>
      </c>
      <c r="D22" s="312" t="str">
        <f>IFERROR(__xludf.DUMMYFUNCTION("""COMPUTED_VALUE"""),"INTERNET LINK 2 - Contratação de acesso corporativo à internet")</f>
        <v>INTERNET LINK 2 - Contratação de acesso corporativo à internet</v>
      </c>
      <c r="E22" s="313"/>
      <c r="F22" s="313" t="str">
        <f>IFERROR(__xludf.DUMMYFUNCTION("""COMPUTED_VALUE"""),"280/2020")</f>
        <v>280/2020</v>
      </c>
      <c r="G22" s="314" t="str">
        <f>IFERROR(__xludf.DUMMYFUNCTION("""COMPUTED_VALUE"""),"SETIC")</f>
        <v>SETIC</v>
      </c>
      <c r="H22" s="315" t="str">
        <f>IFERROR(__xludf.DUMMYFUNCTION("""COMPUTED_VALUE"""),"1 - Imprescindível")</f>
        <v>1 - Imprescindível</v>
      </c>
      <c r="I22" s="316">
        <f>IFERROR(__xludf.DUMMYFUNCTION("""COMPUTED_VALUE"""),300000.0)</f>
        <v>300000</v>
      </c>
      <c r="J22" s="317" t="str">
        <f>IFERROR(__xludf.DUMMYFUNCTION("""COMPUTED_VALUE"""),"99 - Orçamentário")</f>
        <v>99 - Orçamentário</v>
      </c>
      <c r="K22" s="318"/>
      <c r="L22" s="318">
        <f>IFERROR(__xludf.DUMMYFUNCTION("""COMPUTED_VALUE"""),9350.0)</f>
        <v>9350</v>
      </c>
      <c r="M22" s="318"/>
      <c r="N22" s="318">
        <f>IFERROR(__xludf.DUMMYFUNCTION("""COMPUTED_VALUE"""),9350.0)</f>
        <v>9350</v>
      </c>
      <c r="O22" s="319">
        <f>IFERROR(__xludf.DUMMYFUNCTION("""COMPUTED_VALUE"""),44859.0)</f>
        <v>44859</v>
      </c>
      <c r="P22" s="319">
        <f>IFERROR(__xludf.DUMMYFUNCTION("""COMPUTED_VALUE"""),44859.0)</f>
        <v>44859</v>
      </c>
      <c r="Q22" s="318">
        <f t="shared" si="1"/>
        <v>1981416.15</v>
      </c>
      <c r="R22" s="318">
        <v>9350.0</v>
      </c>
      <c r="S22" s="297"/>
      <c r="T22" s="297" t="s">
        <v>719</v>
      </c>
    </row>
    <row r="23">
      <c r="B23" s="311">
        <f>IFERROR(__xludf.DUMMYFUNCTION("""COMPUTED_VALUE"""),15369.0)</f>
        <v>15369</v>
      </c>
      <c r="C23" s="311">
        <f>IFERROR(__xludf.DUMMYFUNCTION("""COMPUTED_VALUE"""),0.0)</f>
        <v>0</v>
      </c>
      <c r="D23" s="312" t="str">
        <f>IFERROR(__xludf.DUMMYFUNCTION("""COMPUTED_VALUE"""),"INTERNET LINK 3 - Contratação de acesso corporativo à internet (substitui LINK 1)")</f>
        <v>INTERNET LINK 3 - Contratação de acesso corporativo à internet (substitui LINK 1)</v>
      </c>
      <c r="E23" s="313" t="str">
        <f>IFERROR(__xludf.DUMMYFUNCTION("""COMPUTED_VALUE"""),"1358/2022")</f>
        <v>1358/2022</v>
      </c>
      <c r="F23" s="313" t="str">
        <f>IFERROR(__xludf.DUMMYFUNCTION("""COMPUTED_VALUE"""),"2049/2022")</f>
        <v>2049/2022</v>
      </c>
      <c r="G23" s="314" t="str">
        <f>IFERROR(__xludf.DUMMYFUNCTION("""COMPUTED_VALUE"""),"SETIC")</f>
        <v>SETIC</v>
      </c>
      <c r="H23" s="315" t="str">
        <f>IFERROR(__xludf.DUMMYFUNCTION("""COMPUTED_VALUE"""),"1 - Imprescindível")</f>
        <v>1 - Imprescindível</v>
      </c>
      <c r="I23" s="316">
        <f>IFERROR(__xludf.DUMMYFUNCTION("""COMPUTED_VALUE"""),300000.0)</f>
        <v>300000</v>
      </c>
      <c r="J23" s="317" t="str">
        <f>IFERROR(__xludf.DUMMYFUNCTION("""COMPUTED_VALUE"""),"05 - PB enviado")</f>
        <v>05 - PB enviado</v>
      </c>
      <c r="K23" s="318"/>
      <c r="L23" s="318">
        <f>IFERROR(__xludf.DUMMYFUNCTION("""COMPUTED_VALUE"""),10450.0)</f>
        <v>10450</v>
      </c>
      <c r="M23" s="318"/>
      <c r="N23" s="318">
        <f>IFERROR(__xludf.DUMMYFUNCTION("""COMPUTED_VALUE"""),10450.0)</f>
        <v>10450</v>
      </c>
      <c r="O23" s="319">
        <f>IFERROR(__xludf.DUMMYFUNCTION("""COMPUTED_VALUE"""),44647.0)</f>
        <v>44647</v>
      </c>
      <c r="P23" s="319">
        <f>IFERROR(__xludf.DUMMYFUNCTION("""COMPUTED_VALUE"""),44757.0)</f>
        <v>44757</v>
      </c>
      <c r="Q23" s="318">
        <f t="shared" si="1"/>
        <v>1991866.15</v>
      </c>
      <c r="R23" s="318">
        <v>10450.0</v>
      </c>
      <c r="S23" s="297"/>
      <c r="T23" s="297" t="s">
        <v>719</v>
      </c>
    </row>
    <row r="24">
      <c r="B24" s="311">
        <f>IFERROR(__xludf.DUMMYFUNCTION("""COMPUTED_VALUE"""),15381.0)</f>
        <v>15381</v>
      </c>
      <c r="C24" s="311">
        <f>IFERROR(__xludf.DUMMYFUNCTION("""COMPUTED_VALUE"""),0.0)</f>
        <v>0</v>
      </c>
      <c r="D24" s="312" t="str">
        <f>IFERROR(__xludf.DUMMYFUNCTION("""COMPUTED_VALUE"""),"INTERNET LINK 4 - Contratação de acesso corporativo à internet (substitui LINK 2)")</f>
        <v>INTERNET LINK 4 - Contratação de acesso corporativo à internet (substitui LINK 2)</v>
      </c>
      <c r="E24" s="313"/>
      <c r="F24" s="313" t="str">
        <f>IFERROR(__xludf.DUMMYFUNCTION("""COMPUTED_VALUE"""),"9016/2021")</f>
        <v>9016/2021</v>
      </c>
      <c r="G24" s="314" t="str">
        <f>IFERROR(__xludf.DUMMYFUNCTION("""COMPUTED_VALUE"""),"SETIC")</f>
        <v>SETIC</v>
      </c>
      <c r="H24" s="315" t="str">
        <f>IFERROR(__xludf.DUMMYFUNCTION("""COMPUTED_VALUE"""),"1 - Imprescindível")</f>
        <v>1 - Imprescindível</v>
      </c>
      <c r="I24" s="316">
        <f>IFERROR(__xludf.DUMMYFUNCTION("""COMPUTED_VALUE"""),300000.0)</f>
        <v>300000</v>
      </c>
      <c r="J24" s="317" t="str">
        <f>IFERROR(__xludf.DUMMYFUNCTION("""COMPUTED_VALUE"""),"99 - Orçamentário")</f>
        <v>99 - Orçamentário</v>
      </c>
      <c r="K24" s="318"/>
      <c r="L24" s="318">
        <f>IFERROR(__xludf.DUMMYFUNCTION("""COMPUTED_VALUE"""),22800.0)</f>
        <v>22800</v>
      </c>
      <c r="M24" s="318"/>
      <c r="N24" s="318">
        <f>IFERROR(__xludf.DUMMYFUNCTION("""COMPUTED_VALUE"""),22800.0)</f>
        <v>22800</v>
      </c>
      <c r="O24" s="319">
        <f>IFERROR(__xludf.DUMMYFUNCTION("""COMPUTED_VALUE"""),45435.0)</f>
        <v>45435</v>
      </c>
      <c r="P24" s="319">
        <f>IFERROR(__xludf.DUMMYFUNCTION("""COMPUTED_VALUE"""),45435.0)</f>
        <v>45435</v>
      </c>
      <c r="Q24" s="318">
        <f t="shared" si="1"/>
        <v>2014666.15</v>
      </c>
      <c r="R24" s="318">
        <v>22800.0</v>
      </c>
      <c r="S24" s="297"/>
      <c r="T24" s="297" t="s">
        <v>719</v>
      </c>
    </row>
    <row r="25">
      <c r="B25" s="311">
        <f>IFERROR(__xludf.DUMMYFUNCTION("""COMPUTED_VALUE"""),15379.0)</f>
        <v>15379</v>
      </c>
      <c r="C25" s="311">
        <f>IFERROR(__xludf.DUMMYFUNCTION("""COMPUTED_VALUE"""),0.0)</f>
        <v>0</v>
      </c>
      <c r="D25" s="312" t="str">
        <f>IFERROR(__xludf.DUMMYFUNCTION("""COMPUTED_VALUE"""),"NOBREAKS BATERIAS - Aquisição baterias dos Nobreaks de 40kVA (SUVT)")</f>
        <v>NOBREAKS BATERIAS - Aquisição baterias dos Nobreaks de 40kVA (SUVT)</v>
      </c>
      <c r="E25" s="313"/>
      <c r="F25" s="313"/>
      <c r="G25" s="314" t="str">
        <f>IFERROR(__xludf.DUMMYFUNCTION("""COMPUTED_VALUE"""),"SETIC")</f>
        <v>SETIC</v>
      </c>
      <c r="H25" s="315" t="str">
        <f>IFERROR(__xludf.DUMMYFUNCTION("""COMPUTED_VALUE"""),"1 - Imprescindível")</f>
        <v>1 - Imprescindível</v>
      </c>
      <c r="I25" s="316">
        <f>IFERROR(__xludf.DUMMYFUNCTION("""COMPUTED_VALUE"""),300000.0)</f>
        <v>300000</v>
      </c>
      <c r="J25" s="317" t="str">
        <f>IFERROR(__xludf.DUMMYFUNCTION("""COMPUTED_VALUE"""),"01 - Não oficializado")</f>
        <v>01 - Não oficializado</v>
      </c>
      <c r="K25" s="318"/>
      <c r="L25" s="318">
        <f>IFERROR(__xludf.DUMMYFUNCTION("""COMPUTED_VALUE"""),100000.0)</f>
        <v>100000</v>
      </c>
      <c r="M25" s="318"/>
      <c r="N25" s="318">
        <f>IFERROR(__xludf.DUMMYFUNCTION("""COMPUTED_VALUE"""),100000.0)</f>
        <v>100000</v>
      </c>
      <c r="O25" s="319">
        <f>IFERROR(__xludf.DUMMYFUNCTION("""COMPUTED_VALUE"""),44795.0)</f>
        <v>44795</v>
      </c>
      <c r="P25" s="319">
        <f>IFERROR(__xludf.DUMMYFUNCTION("""COMPUTED_VALUE"""),44805.0)</f>
        <v>44805</v>
      </c>
      <c r="Q25" s="318">
        <f t="shared" si="1"/>
        <v>2114666.15</v>
      </c>
      <c r="R25" s="318">
        <v>100000.0</v>
      </c>
      <c r="S25" s="297"/>
      <c r="T25" s="297" t="s">
        <v>719</v>
      </c>
    </row>
    <row r="26">
      <c r="B26" s="311">
        <f>IFERROR(__xludf.DUMMYFUNCTION("""COMPUTED_VALUE"""),15220.0)</f>
        <v>15220</v>
      </c>
      <c r="C26" s="311">
        <f>IFERROR(__xludf.DUMMYFUNCTION("""COMPUTED_VALUE"""),0.0)</f>
        <v>0</v>
      </c>
      <c r="D26" s="312" t="str">
        <f>IFERROR(__xludf.DUMMYFUNCTION("""COMPUTED_VALUE"""),"NOBREAKS SURT - Suporte e manutenção dos nobreaks de varas e foros (SURT 15kVA)")</f>
        <v>NOBREAKS SURT - Suporte e manutenção dos nobreaks de varas e foros (SURT 15kVA)</v>
      </c>
      <c r="E26" s="313"/>
      <c r="F26" s="313" t="str">
        <f>IFERROR(__xludf.DUMMYFUNCTION("""COMPUTED_VALUE"""),"7005/2020")</f>
        <v>7005/2020</v>
      </c>
      <c r="G26" s="314" t="str">
        <f>IFERROR(__xludf.DUMMYFUNCTION("""COMPUTED_VALUE"""),"SETIC")</f>
        <v>SETIC</v>
      </c>
      <c r="H26" s="315" t="str">
        <f>IFERROR(__xludf.DUMMYFUNCTION("""COMPUTED_VALUE"""),"1 - Imprescindível")</f>
        <v>1 - Imprescindível</v>
      </c>
      <c r="I26" s="316">
        <f>IFERROR(__xludf.DUMMYFUNCTION("""COMPUTED_VALUE"""),300000.0)</f>
        <v>300000</v>
      </c>
      <c r="J26" s="317" t="str">
        <f>IFERROR(__xludf.DUMMYFUNCTION("""COMPUTED_VALUE"""),"01 - Não oficializado")</f>
        <v>01 - Não oficializado</v>
      </c>
      <c r="K26" s="318"/>
      <c r="L26" s="318">
        <f>IFERROR(__xludf.DUMMYFUNCTION("""COMPUTED_VALUE"""),32390.399999999998)</f>
        <v>32390.4</v>
      </c>
      <c r="M26" s="318"/>
      <c r="N26" s="318">
        <f>IFERROR(__xludf.DUMMYFUNCTION("""COMPUTED_VALUE"""),32390.399999999998)</f>
        <v>32390.4</v>
      </c>
      <c r="O26" s="319">
        <f>IFERROR(__xludf.DUMMYFUNCTION("""COMPUTED_VALUE"""),44758.0)</f>
        <v>44758</v>
      </c>
      <c r="P26" s="319">
        <f>IFERROR(__xludf.DUMMYFUNCTION("""COMPUTED_VALUE"""),44848.0)</f>
        <v>44848</v>
      </c>
      <c r="Q26" s="318">
        <f t="shared" si="1"/>
        <v>2147056.55</v>
      </c>
      <c r="R26" s="318">
        <v>32390.399999999998</v>
      </c>
      <c r="S26" s="297"/>
      <c r="T26" s="297" t="s">
        <v>719</v>
      </c>
    </row>
    <row r="27">
      <c r="B27" s="311">
        <f>IFERROR(__xludf.DUMMYFUNCTION("""COMPUTED_VALUE"""),15019.0)</f>
        <v>15019</v>
      </c>
      <c r="C27" s="311">
        <f>IFERROR(__xludf.DUMMYFUNCTION("""COMPUTED_VALUE"""),0.0)</f>
        <v>0</v>
      </c>
      <c r="D27" s="312" t="str">
        <f>IFERROR(__xludf.DUMMYFUNCTION("""COMPUTED_VALUE"""),"NOBREAKS SUVT 2016 - Suporte e manutenção dos nobreaks SUVT 40kVA do Datacenter e dos foros da Capital, de São José e da sede (prorrogação emergencial em 2021)")</f>
        <v>NOBREAKS SUVT 2016 - Suporte e manutenção dos nobreaks SUVT 40kVA do Datacenter e dos foros da Capital, de São José e da sede (prorrogação emergencial em 2021)</v>
      </c>
      <c r="E27" s="313"/>
      <c r="F27" s="313" t="str">
        <f>IFERROR(__xludf.DUMMYFUNCTION("""COMPUTED_VALUE"""),"12216/2016")</f>
        <v>12216/2016</v>
      </c>
      <c r="G27" s="314" t="str">
        <f>IFERROR(__xludf.DUMMYFUNCTION("""COMPUTED_VALUE"""),"SETIC")</f>
        <v>SETIC</v>
      </c>
      <c r="H27" s="315" t="str">
        <f>IFERROR(__xludf.DUMMYFUNCTION("""COMPUTED_VALUE"""),"1 - Imprescindível")</f>
        <v>1 - Imprescindível</v>
      </c>
      <c r="I27" s="316">
        <f>IFERROR(__xludf.DUMMYFUNCTION("""COMPUTED_VALUE"""),300000.0)</f>
        <v>300000</v>
      </c>
      <c r="J27" s="317" t="str">
        <f>IFERROR(__xludf.DUMMYFUNCTION("""COMPUTED_VALUE"""),"99 - Orçamentário")</f>
        <v>99 - Orçamentário</v>
      </c>
      <c r="K27" s="318"/>
      <c r="L27" s="318">
        <f>IFERROR(__xludf.DUMMYFUNCTION("""COMPUTED_VALUE"""),11221.333333333334)</f>
        <v>11221.33333</v>
      </c>
      <c r="M27" s="318"/>
      <c r="N27" s="318">
        <f>IFERROR(__xludf.DUMMYFUNCTION("""COMPUTED_VALUE"""),11221.333333333334)</f>
        <v>11221.33333</v>
      </c>
      <c r="O27" s="319">
        <f>IFERROR(__xludf.DUMMYFUNCTION("""COMPUTED_VALUE"""),44595.0)</f>
        <v>44595</v>
      </c>
      <c r="P27" s="319">
        <f>IFERROR(__xludf.DUMMYFUNCTION("""COMPUTED_VALUE"""),44595.0)</f>
        <v>44595</v>
      </c>
      <c r="Q27" s="318">
        <f t="shared" si="1"/>
        <v>2158277.883</v>
      </c>
      <c r="R27" s="318">
        <v>11221.333333333334</v>
      </c>
      <c r="S27" s="297"/>
      <c r="T27" s="297" t="s">
        <v>719</v>
      </c>
    </row>
    <row r="28">
      <c r="B28" s="311">
        <f>IFERROR(__xludf.DUMMYFUNCTION("""COMPUTED_VALUE"""),15357.0)</f>
        <v>15357</v>
      </c>
      <c r="C28" s="311">
        <f>IFERROR(__xludf.DUMMYFUNCTION("""COMPUTED_VALUE"""),0.0)</f>
        <v>0</v>
      </c>
      <c r="D28" s="312" t="str">
        <f>IFERROR(__xludf.DUMMYFUNCTION("""COMPUTED_VALUE"""),"NOBREAKS SUVT 2022 - Suporte e manutenção dos nobreaks SUVT 40kVA do Datacenter e dos foros da Capital, de São José e da sede (substitui o 15019; há indicativo preliminar de que a aquisição de novos equipamentos pode ser mais vantajosa, o que será definid"&amp;"o pelo planejamento da contratação)")</f>
        <v>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E28" s="313" t="str">
        <f>IFERROR(__xludf.DUMMYFUNCTION("""COMPUTED_VALUE"""),"3551/2021")</f>
        <v>3551/2021</v>
      </c>
      <c r="F28" s="313" t="str">
        <f>IFERROR(__xludf.DUMMYFUNCTION("""COMPUTED_VALUE"""),"148/2022")</f>
        <v>148/2022</v>
      </c>
      <c r="G28" s="314" t="str">
        <f>IFERROR(__xludf.DUMMYFUNCTION("""COMPUTED_VALUE"""),"SETIC")</f>
        <v>SETIC</v>
      </c>
      <c r="H28" s="315" t="str">
        <f>IFERROR(__xludf.DUMMYFUNCTION("""COMPUTED_VALUE"""),"1 - Imprescindível")</f>
        <v>1 - Imprescindível</v>
      </c>
      <c r="I28" s="316">
        <f>IFERROR(__xludf.DUMMYFUNCTION("""COMPUTED_VALUE"""),300000.0)</f>
        <v>300000</v>
      </c>
      <c r="J28" s="317" t="str">
        <f>IFERROR(__xludf.DUMMYFUNCTION("""COMPUTED_VALUE"""),"07 - Concluída")</f>
        <v>07 - Concluída</v>
      </c>
      <c r="K28" s="318"/>
      <c r="L28" s="318">
        <f>IFERROR(__xludf.DUMMYFUNCTION("""COMPUTED_VALUE"""),65100.0)</f>
        <v>65100</v>
      </c>
      <c r="M28" s="318"/>
      <c r="N28" s="318">
        <f>IFERROR(__xludf.DUMMYFUNCTION("""COMPUTED_VALUE"""),65100.0)</f>
        <v>65100</v>
      </c>
      <c r="O28" s="319">
        <f>IFERROR(__xludf.DUMMYFUNCTION("""COMPUTED_VALUE"""),44733.0)</f>
        <v>44733</v>
      </c>
      <c r="P28" s="319">
        <f>IFERROR(__xludf.DUMMYFUNCTION("""COMPUTED_VALUE"""),44743.0)</f>
        <v>44743</v>
      </c>
      <c r="Q28" s="318">
        <f t="shared" si="1"/>
        <v>2223377.883</v>
      </c>
      <c r="R28" s="318">
        <v>65100.0</v>
      </c>
      <c r="S28" s="297"/>
      <c r="T28" s="297" t="s">
        <v>719</v>
      </c>
    </row>
    <row r="29">
      <c r="B29" s="311">
        <f>IFERROR(__xludf.DUMMYFUNCTION("""COMPUTED_VALUE"""),15314.0)</f>
        <v>15314</v>
      </c>
      <c r="C29" s="311">
        <f>IFERROR(__xludf.DUMMYFUNCTION("""COMPUTED_VALUE"""),15314.0)</f>
        <v>15314</v>
      </c>
      <c r="D29" s="312" t="str">
        <f>IFERROR(__xludf.DUMMYFUNCTION("""COMPUTED_VALUE"""),"NOBREAKS SYMMETRA - Suporte e manutenção de nobreaks do datacenter - SYMMETRA")</f>
        <v>NOBREAKS SYMMETRA - Suporte e manutenção de nobreaks do datacenter - SYMMETRA</v>
      </c>
      <c r="E29" s="313" t="str">
        <f>IFERROR(__xludf.DUMMYFUNCTION("""COMPUTED_VALUE"""),"3731/2021")</f>
        <v>3731/2021</v>
      </c>
      <c r="F29" s="313" t="str">
        <f>IFERROR(__xludf.DUMMYFUNCTION("""COMPUTED_VALUE"""),"5228/2020")</f>
        <v>5228/2020</v>
      </c>
      <c r="G29" s="314" t="str">
        <f>IFERROR(__xludf.DUMMYFUNCTION("""COMPUTED_VALUE"""),"SETIC")</f>
        <v>SETIC</v>
      </c>
      <c r="H29" s="315" t="str">
        <f>IFERROR(__xludf.DUMMYFUNCTION("""COMPUTED_VALUE"""),"1 - Imprescindível")</f>
        <v>1 - Imprescindível</v>
      </c>
      <c r="I29" s="316">
        <f>IFERROR(__xludf.DUMMYFUNCTION("""COMPUTED_VALUE"""),300000.0)</f>
        <v>300000</v>
      </c>
      <c r="J29" s="317" t="str">
        <f>IFERROR(__xludf.DUMMYFUNCTION("""COMPUTED_VALUE"""),"07 - Concluída")</f>
        <v>07 - Concluída</v>
      </c>
      <c r="K29" s="318"/>
      <c r="L29" s="318">
        <f>IFERROR(__xludf.DUMMYFUNCTION("""COMPUTED_VALUE"""),8886.37)</f>
        <v>8886.37</v>
      </c>
      <c r="M29" s="318" t="str">
        <f>IFERROR(__xludf.DUMMYFUNCTION("""COMPUTED_VALUE"""),"2021NE000154")</f>
        <v>2021NE000154</v>
      </c>
      <c r="N29" s="318">
        <f>IFERROR(__xludf.DUMMYFUNCTION("""COMPUTED_VALUE"""),8886.37)</f>
        <v>8886.37</v>
      </c>
      <c r="O29" s="319">
        <f>IFERROR(__xludf.DUMMYFUNCTION("""COMPUTED_VALUE"""),44519.0)</f>
        <v>44519</v>
      </c>
      <c r="P29" s="319">
        <f>IFERROR(__xludf.DUMMYFUNCTION("""COMPUTED_VALUE"""),44609.0)</f>
        <v>44609</v>
      </c>
      <c r="Q29" s="318">
        <f t="shared" si="1"/>
        <v>2232264.253</v>
      </c>
      <c r="R29" s="318">
        <v>8886.37</v>
      </c>
      <c r="S29" s="297"/>
      <c r="T29" s="297" t="s">
        <v>719</v>
      </c>
    </row>
    <row r="30">
      <c r="B30" s="311">
        <f>IFERROR(__xludf.DUMMYFUNCTION("""COMPUTED_VALUE"""),15899.0)</f>
        <v>15899</v>
      </c>
      <c r="C30" s="311">
        <f>IFERROR(__xludf.DUMMYFUNCTION("""COMPUTED_VALUE"""),15314.0)</f>
        <v>15314</v>
      </c>
      <c r="D30" s="312" t="str">
        <f>IFERROR(__xludf.DUMMYFUNCTION("""COMPUTED_VALUE"""),"NOBREAKS SYMMETRA - Suporte e manutenção de nobreaks do datacenter - SYMMETRA (complemento por mudança de CNPJ da contratada)")</f>
        <v>NOBREAKS SYMMETRA - Suporte e manutenção de nobreaks do datacenter - SYMMETRA (complemento por mudança de CNPJ da contratada)</v>
      </c>
      <c r="E30" s="313"/>
      <c r="F30" s="313" t="str">
        <f>IFERROR(__xludf.DUMMYFUNCTION("""COMPUTED_VALUE"""),"5228/2020")</f>
        <v>5228/2020</v>
      </c>
      <c r="G30" s="314" t="str">
        <f>IFERROR(__xludf.DUMMYFUNCTION("""COMPUTED_VALUE"""),"SETIC")</f>
        <v>SETIC</v>
      </c>
      <c r="H30" s="315" t="str">
        <f>IFERROR(__xludf.DUMMYFUNCTION("""COMPUTED_VALUE"""),"1 - Imprescindível")</f>
        <v>1 - Imprescindível</v>
      </c>
      <c r="I30" s="316">
        <f>IFERROR(__xludf.DUMMYFUNCTION("""COMPUTED_VALUE"""),300000.0)</f>
        <v>300000</v>
      </c>
      <c r="J30" s="317" t="str">
        <f>IFERROR(__xludf.DUMMYFUNCTION("""COMPUTED_VALUE"""),"99 - Orçamentário")</f>
        <v>99 - Orçamentário</v>
      </c>
      <c r="K30" s="318"/>
      <c r="L30" s="318">
        <f>IFERROR(__xludf.DUMMYFUNCTION("""COMPUTED_VALUE"""),44431.85)</f>
        <v>44431.85</v>
      </c>
      <c r="M30" s="318"/>
      <c r="N30" s="318">
        <f>IFERROR(__xludf.DUMMYFUNCTION("""COMPUTED_VALUE"""),44431.85)</f>
        <v>44431.85</v>
      </c>
      <c r="O30" s="319"/>
      <c r="P30" s="319"/>
      <c r="Q30" s="318">
        <f t="shared" si="1"/>
        <v>2276696.103</v>
      </c>
      <c r="R30" s="318">
        <v>44431.85</v>
      </c>
      <c r="S30" s="297"/>
      <c r="T30" s="297" t="s">
        <v>719</v>
      </c>
    </row>
    <row r="31">
      <c r="B31" s="311">
        <f>IFERROR(__xludf.DUMMYFUNCTION("""COMPUTED_VALUE"""),15383.0)</f>
        <v>15383</v>
      </c>
      <c r="C31" s="311">
        <f>IFERROR(__xludf.DUMMYFUNCTION("""COMPUTED_VALUE"""),15383.0)</f>
        <v>15383</v>
      </c>
      <c r="D31" s="312" t="str">
        <f>IFERROR(__xludf.DUMMYFUNCTION("""COMPUTED_VALUE"""),"NUVEM GOOGLE - Contratação de licença de uso de serviço de nuvem de comunicação e colaboração (substitui 15072 e 15382)")</f>
        <v>NUVEM GOOGLE - Contratação de licença de uso de serviço de nuvem de comunicação e colaboração (substitui 15072 e 15382)</v>
      </c>
      <c r="E31" s="313"/>
      <c r="F31" s="313"/>
      <c r="G31" s="314" t="str">
        <f>IFERROR(__xludf.DUMMYFUNCTION("""COMPUTED_VALUE"""),"SETIC")</f>
        <v>SETIC</v>
      </c>
      <c r="H31" s="315" t="str">
        <f>IFERROR(__xludf.DUMMYFUNCTION("""COMPUTED_VALUE"""),"1 - Imprescindível")</f>
        <v>1 - Imprescindível</v>
      </c>
      <c r="I31" s="316">
        <f>IFERROR(__xludf.DUMMYFUNCTION("""COMPUTED_VALUE"""),300000.0)</f>
        <v>300000</v>
      </c>
      <c r="J31" s="317" t="str">
        <f>IFERROR(__xludf.DUMMYFUNCTION("""COMPUTED_VALUE"""),"01 - Não oficializado")</f>
        <v>01 - Não oficializado</v>
      </c>
      <c r="K31" s="318"/>
      <c r="L31" s="318">
        <f>IFERROR(__xludf.DUMMYFUNCTION("""COMPUTED_VALUE"""),54920.0)</f>
        <v>54920</v>
      </c>
      <c r="M31" s="318"/>
      <c r="N31" s="318">
        <f>IFERROR(__xludf.DUMMYFUNCTION("""COMPUTED_VALUE"""),54920.0)</f>
        <v>54920</v>
      </c>
      <c r="O31" s="319">
        <f>IFERROR(__xludf.DUMMYFUNCTION("""COMPUTED_VALUE"""),44863.0)</f>
        <v>44863</v>
      </c>
      <c r="P31" s="319">
        <f>IFERROR(__xludf.DUMMYFUNCTION("""COMPUTED_VALUE"""),44908.0)</f>
        <v>44908</v>
      </c>
      <c r="Q31" s="318">
        <f t="shared" si="1"/>
        <v>2331616.103</v>
      </c>
      <c r="R31" s="318">
        <v>54920.0</v>
      </c>
      <c r="S31" s="297"/>
      <c r="T31" s="297" t="s">
        <v>719</v>
      </c>
    </row>
    <row r="32">
      <c r="B32" s="311">
        <f>IFERROR(__xludf.DUMMYFUNCTION("""COMPUTED_VALUE"""),15072.0)</f>
        <v>15072</v>
      </c>
      <c r="C32" s="311">
        <f>IFERROR(__xludf.DUMMYFUNCTION("""COMPUTED_VALUE"""),0.0)</f>
        <v>0</v>
      </c>
      <c r="D32" s="312" t="str">
        <f>IFERROR(__xludf.DUMMYFUNCTION("""COMPUTED_VALUE"""),"NUVEM GOOGLE 1 - Contratação de licença de uso de serviço de nuvem de comunicação e colaboração")</f>
        <v>NUVEM GOOGLE 1 - Contratação de licença de uso de serviço de nuvem de comunicação e colaboração</v>
      </c>
      <c r="E32" s="313"/>
      <c r="F32" s="313" t="str">
        <f>IFERROR(__xludf.DUMMYFUNCTION("""COMPUTED_VALUE"""),"11741/2017")</f>
        <v>11741/2017</v>
      </c>
      <c r="G32" s="314" t="str">
        <f>IFERROR(__xludf.DUMMYFUNCTION("""COMPUTED_VALUE"""),"SETIC")</f>
        <v>SETIC</v>
      </c>
      <c r="H32" s="315" t="str">
        <f>IFERROR(__xludf.DUMMYFUNCTION("""COMPUTED_VALUE"""),"1 - Imprescindível")</f>
        <v>1 - Imprescindível</v>
      </c>
      <c r="I32" s="316">
        <f>IFERROR(__xludf.DUMMYFUNCTION("""COMPUTED_VALUE"""),300000.0)</f>
        <v>300000</v>
      </c>
      <c r="J32" s="317" t="str">
        <f>IFERROR(__xludf.DUMMYFUNCTION("""COMPUTED_VALUE"""),"99 - Orçamentário")</f>
        <v>99 - Orçamentário</v>
      </c>
      <c r="K32" s="318"/>
      <c r="L32" s="318">
        <f>IFERROR(__xludf.DUMMYFUNCTION("""COMPUTED_VALUE"""),264255.078)</f>
        <v>264255.078</v>
      </c>
      <c r="M32" s="318" t="str">
        <f>IFERROR(__xludf.DUMMYFUNCTION("""COMPUTED_VALUE"""),"2021NE000147")</f>
        <v>2021NE000147</v>
      </c>
      <c r="N32" s="318">
        <f>IFERROR(__xludf.DUMMYFUNCTION("""COMPUTED_VALUE"""),264255.078)</f>
        <v>264255.078</v>
      </c>
      <c r="O32" s="319">
        <f>IFERROR(__xludf.DUMMYFUNCTION("""COMPUTED_VALUE"""),44908.0)</f>
        <v>44908</v>
      </c>
      <c r="P32" s="319">
        <f>IFERROR(__xludf.DUMMYFUNCTION("""COMPUTED_VALUE"""),44908.0)</f>
        <v>44908</v>
      </c>
      <c r="Q32" s="318">
        <f t="shared" si="1"/>
        <v>2595871.181</v>
      </c>
      <c r="R32" s="318">
        <v>264255.078</v>
      </c>
      <c r="S32" s="297"/>
      <c r="T32" s="297" t="s">
        <v>719</v>
      </c>
    </row>
    <row r="33">
      <c r="B33" s="311">
        <f>IFERROR(__xludf.DUMMYFUNCTION("""COMPUTED_VALUE"""),15070.0)</f>
        <v>15070</v>
      </c>
      <c r="C33" s="311">
        <f>IFERROR(__xludf.DUMMYFUNCTION("""COMPUTED_VALUE"""),0.0)</f>
        <v>0</v>
      </c>
      <c r="D33" s="312" t="str">
        <f>IFERROR(__xludf.DUMMYFUNCTION("""COMPUTED_VALUE"""),"REDE JT - Alt - Contratação de links para conexão da sede com as unidades do interior do estado.")</f>
        <v>REDE JT - Alt - Contratação de links para conexão da sede com as unidades do interior do estado.</v>
      </c>
      <c r="E33" s="313"/>
      <c r="F33" s="313" t="str">
        <f>IFERROR(__xludf.DUMMYFUNCTION("""COMPUTED_VALUE"""),"5910/2017")</f>
        <v>5910/2017</v>
      </c>
      <c r="G33" s="314" t="str">
        <f>IFERROR(__xludf.DUMMYFUNCTION("""COMPUTED_VALUE"""),"SETIC")</f>
        <v>SETIC</v>
      </c>
      <c r="H33" s="315" t="str">
        <f>IFERROR(__xludf.DUMMYFUNCTION("""COMPUTED_VALUE"""),"1 - Imprescindível")</f>
        <v>1 - Imprescindível</v>
      </c>
      <c r="I33" s="316">
        <f>IFERROR(__xludf.DUMMYFUNCTION("""COMPUTED_VALUE"""),300000.0)</f>
        <v>300000</v>
      </c>
      <c r="J33" s="317" t="str">
        <f>IFERROR(__xludf.DUMMYFUNCTION("""COMPUTED_VALUE"""),"99 - Orçamentário")</f>
        <v>99 - Orçamentário</v>
      </c>
      <c r="K33" s="318"/>
      <c r="L33" s="318">
        <f>IFERROR(__xludf.DUMMYFUNCTION("""COMPUTED_VALUE"""),125208.18000000001)</f>
        <v>125208.18</v>
      </c>
      <c r="M33" s="318" t="str">
        <f>IFERROR(__xludf.DUMMYFUNCTION("""COMPUTED_VALUE"""),"2021NE000243")</f>
        <v>2021NE000243</v>
      </c>
      <c r="N33" s="318">
        <f>IFERROR(__xludf.DUMMYFUNCTION("""COMPUTED_VALUE"""),125208.18000000001)</f>
        <v>125208.18</v>
      </c>
      <c r="O33" s="319"/>
      <c r="P33" s="319"/>
      <c r="Q33" s="318">
        <f t="shared" si="1"/>
        <v>2721079.361</v>
      </c>
      <c r="R33" s="318">
        <v>125208.18000000001</v>
      </c>
      <c r="S33" s="297"/>
      <c r="T33" s="297" t="s">
        <v>719</v>
      </c>
    </row>
    <row r="34">
      <c r="B34" s="311">
        <f>IFERROR(__xludf.DUMMYFUNCTION("""COMPUTED_VALUE"""),15056.0)</f>
        <v>15056</v>
      </c>
      <c r="C34" s="311">
        <f>IFERROR(__xludf.DUMMYFUNCTION("""COMPUTED_VALUE"""),15056.0)</f>
        <v>15056</v>
      </c>
      <c r="D34" s="312" t="str">
        <f>IFERROR(__xludf.DUMMYFUNCTION("""COMPUTED_VALUE"""),"REDE JT - Ciasc - Contratação de links de alto desempenho para as conexões de dados entre as unidades do TRT")</f>
        <v>REDE JT - Ciasc - Contratação de links de alto desempenho para as conexões de dados entre as unidades do TRT</v>
      </c>
      <c r="E34" s="313"/>
      <c r="F34" s="313" t="str">
        <f>IFERROR(__xludf.DUMMYFUNCTION("""COMPUTED_VALUE"""),"5907/2017")</f>
        <v>5907/2017</v>
      </c>
      <c r="G34" s="314" t="str">
        <f>IFERROR(__xludf.DUMMYFUNCTION("""COMPUTED_VALUE"""),"SETIC")</f>
        <v>SETIC</v>
      </c>
      <c r="H34" s="315" t="str">
        <f>IFERROR(__xludf.DUMMYFUNCTION("""COMPUTED_VALUE"""),"1 - Imprescindível")</f>
        <v>1 - Imprescindível</v>
      </c>
      <c r="I34" s="316">
        <f>IFERROR(__xludf.DUMMYFUNCTION("""COMPUTED_VALUE"""),300000.0)</f>
        <v>300000</v>
      </c>
      <c r="J34" s="317" t="str">
        <f>IFERROR(__xludf.DUMMYFUNCTION("""COMPUTED_VALUE"""),"99 - Orçamentário")</f>
        <v>99 - Orçamentário</v>
      </c>
      <c r="K34" s="318"/>
      <c r="L34" s="318">
        <f>IFERROR(__xludf.DUMMYFUNCTION("""COMPUTED_VALUE"""),338693.6)</f>
        <v>338693.6</v>
      </c>
      <c r="M34" s="318" t="str">
        <f>IFERROR(__xludf.DUMMYFUNCTION("""COMPUTED_VALUE"""),"2021NE000124")</f>
        <v>2021NE000124</v>
      </c>
      <c r="N34" s="318">
        <f>IFERROR(__xludf.DUMMYFUNCTION("""COMPUTED_VALUE"""),338693.6)</f>
        <v>338693.6</v>
      </c>
      <c r="O34" s="319">
        <f>IFERROR(__xludf.DUMMYFUNCTION("""COMPUTED_VALUE"""),44781.0)</f>
        <v>44781</v>
      </c>
      <c r="P34" s="319">
        <f>IFERROR(__xludf.DUMMYFUNCTION("""COMPUTED_VALUE"""),44781.0)</f>
        <v>44781</v>
      </c>
      <c r="Q34" s="318">
        <f t="shared" si="1"/>
        <v>3059772.961</v>
      </c>
      <c r="R34" s="318">
        <v>338693.6</v>
      </c>
      <c r="S34" s="297"/>
      <c r="T34" s="297" t="s">
        <v>719</v>
      </c>
    </row>
    <row r="35">
      <c r="B35" s="311">
        <f>IFERROR(__xludf.DUMMYFUNCTION("""COMPUTED_VALUE"""),15390.0)</f>
        <v>15390</v>
      </c>
      <c r="C35" s="311">
        <f>IFERROR(__xludf.DUMMYFUNCTION("""COMPUTED_VALUE"""),15056.0)</f>
        <v>15056</v>
      </c>
      <c r="D35" s="312" t="str">
        <f>IFERROR(__xludf.DUMMYFUNCTION("""COMPUTED_VALUE"""),"REDE JT CIASC - Contratação de links de alto desempenho para as conexões de dados entre as unidades do TRT - 2022")</f>
        <v>REDE JT CIASC - Contratação de links de alto desempenho para as conexões de dados entre as unidades do TRT - 2022</v>
      </c>
      <c r="E35" s="313"/>
      <c r="F35" s="313"/>
      <c r="G35" s="314" t="str">
        <f>IFERROR(__xludf.DUMMYFUNCTION("""COMPUTED_VALUE"""),"SETIC")</f>
        <v>SETIC</v>
      </c>
      <c r="H35" s="315" t="str">
        <f>IFERROR(__xludf.DUMMYFUNCTION("""COMPUTED_VALUE"""),"1 - Imprescindível")</f>
        <v>1 - Imprescindível</v>
      </c>
      <c r="I35" s="316">
        <f>IFERROR(__xludf.DUMMYFUNCTION("""COMPUTED_VALUE"""),300000.0)</f>
        <v>300000</v>
      </c>
      <c r="J35" s="317" t="str">
        <f>IFERROR(__xludf.DUMMYFUNCTION("""COMPUTED_VALUE"""),"01 - Não oficializado")</f>
        <v>01 - Não oficializado</v>
      </c>
      <c r="K35" s="318"/>
      <c r="L35" s="318">
        <f>IFERROR(__xludf.DUMMYFUNCTION("""COMPUTED_VALUE"""),361306.4)</f>
        <v>361306.4</v>
      </c>
      <c r="M35" s="318"/>
      <c r="N35" s="318">
        <f>IFERROR(__xludf.DUMMYFUNCTION("""COMPUTED_VALUE"""),361306.4)</f>
        <v>361306.4</v>
      </c>
      <c r="O35" s="319">
        <f>IFERROR(__xludf.DUMMYFUNCTION("""COMPUTED_VALUE"""),44771.0)</f>
        <v>44771</v>
      </c>
      <c r="P35" s="319">
        <f>IFERROR(__xludf.DUMMYFUNCTION("""COMPUTED_VALUE"""),44781.0)</f>
        <v>44781</v>
      </c>
      <c r="Q35" s="318">
        <f t="shared" si="1"/>
        <v>3421079.361</v>
      </c>
      <c r="R35" s="318">
        <v>361306.4</v>
      </c>
      <c r="S35" s="297"/>
      <c r="T35" s="297" t="s">
        <v>719</v>
      </c>
    </row>
    <row r="36">
      <c r="B36" s="311">
        <f>IFERROR(__xludf.DUMMYFUNCTION("""COMPUTED_VALUE"""),15099.0)</f>
        <v>15099</v>
      </c>
      <c r="C36" s="311">
        <f>IFERROR(__xludf.DUMMYFUNCTION("""COMPUTED_VALUE"""),0.0)</f>
        <v>0</v>
      </c>
      <c r="D36" s="312" t="str">
        <f>IFERROR(__xludf.DUMMYFUNCTION("""COMPUTED_VALUE"""),"RESERVA - Fundo de reserva e materiais diversos, para despesas imprevisíveis e reserva para capacitação a ser transferida tempestivamente à SEDUC")</f>
        <v>RESERVA - Fundo de reserva e materiais diversos, para despesas imprevisíveis e reserva para capacitação a ser transferida tempestivamente à SEDUC</v>
      </c>
      <c r="E36" s="313"/>
      <c r="F36" s="313"/>
      <c r="G36" s="314" t="str">
        <f>IFERROR(__xludf.DUMMYFUNCTION("""COMPUTED_VALUE"""),"SETIC")</f>
        <v>SETIC</v>
      </c>
      <c r="H36" s="315" t="str">
        <f>IFERROR(__xludf.DUMMYFUNCTION("""COMPUTED_VALUE"""),"1 - Imprescindível")</f>
        <v>1 - Imprescindível</v>
      </c>
      <c r="I36" s="316">
        <f>IFERROR(__xludf.DUMMYFUNCTION("""COMPUTED_VALUE"""),300000.0)</f>
        <v>300000</v>
      </c>
      <c r="J36" s="317" t="str">
        <f>IFERROR(__xludf.DUMMYFUNCTION("""COMPUTED_VALUE"""),"01 - Não oficializado")</f>
        <v>01 - Não oficializado</v>
      </c>
      <c r="K36" s="318"/>
      <c r="L36" s="318">
        <f>IFERROR(__xludf.DUMMYFUNCTION("""COMPUTED_VALUE"""),50000.0)</f>
        <v>50000</v>
      </c>
      <c r="M36" s="318"/>
      <c r="N36" s="318">
        <f>IFERROR(__xludf.DUMMYFUNCTION("""COMPUTED_VALUE"""),50000.0)</f>
        <v>50000</v>
      </c>
      <c r="O36" s="319">
        <f>IFERROR(__xludf.DUMMYFUNCTION("""COMPUTED_VALUE"""),44795.0)</f>
        <v>44795</v>
      </c>
      <c r="P36" s="319">
        <f>IFERROR(__xludf.DUMMYFUNCTION("""COMPUTED_VALUE"""),44805.0)</f>
        <v>44805</v>
      </c>
      <c r="Q36" s="318">
        <f t="shared" si="1"/>
        <v>3471079.361</v>
      </c>
      <c r="R36" s="318">
        <v>50000.0</v>
      </c>
      <c r="S36" s="297"/>
      <c r="T36" s="297" t="s">
        <v>719</v>
      </c>
    </row>
    <row r="37">
      <c r="B37" s="311">
        <f>IFERROR(__xludf.DUMMYFUNCTION("""COMPUTED_VALUE"""),15364.0)</f>
        <v>15364</v>
      </c>
      <c r="C37" s="311">
        <f>IFERROR(__xludf.DUMMYFUNCTION("""COMPUTED_VALUE"""),15364.0)</f>
        <v>15364</v>
      </c>
      <c r="D37" s="312" t="str">
        <f>IFERROR(__xludf.DUMMYFUNCTION("""COMPUTED_VALUE"""),"SALA COFRE 2017 - Contratação de manutenção de sala cofre, que abriga o Datacenter principal, onde são armazenados todos os dados e os equipamentos de processamento de dados corporativos ")</f>
        <v>SALA COFRE 2017 - Contratação de manutenção de sala cofre, que abriga o Datacenter principal, onde são armazenados todos os dados e os equipamentos de processamento de dados corporativos </v>
      </c>
      <c r="E37" s="313"/>
      <c r="F37" s="313" t="str">
        <f>IFERROR(__xludf.DUMMYFUNCTION("""COMPUTED_VALUE"""),"6133/2017")</f>
        <v>6133/2017</v>
      </c>
      <c r="G37" s="314" t="str">
        <f>IFERROR(__xludf.DUMMYFUNCTION("""COMPUTED_VALUE"""),"SETIC")</f>
        <v>SETIC</v>
      </c>
      <c r="H37" s="315" t="str">
        <f>IFERROR(__xludf.DUMMYFUNCTION("""COMPUTED_VALUE"""),"1 - Imprescindível")</f>
        <v>1 - Imprescindível</v>
      </c>
      <c r="I37" s="316">
        <f>IFERROR(__xludf.DUMMYFUNCTION("""COMPUTED_VALUE"""),300000.0)</f>
        <v>300000</v>
      </c>
      <c r="J37" s="317" t="str">
        <f>IFERROR(__xludf.DUMMYFUNCTION("""COMPUTED_VALUE"""),"99 - Orçamentário")</f>
        <v>99 - Orçamentário</v>
      </c>
      <c r="K37" s="318"/>
      <c r="L37" s="318">
        <f>IFERROR(__xludf.DUMMYFUNCTION("""COMPUTED_VALUE"""),263192.44)</f>
        <v>263192.44</v>
      </c>
      <c r="M37" s="318" t="str">
        <f>IFERROR(__xludf.DUMMYFUNCTION("""COMPUTED_VALUE"""),"2021NE000328")</f>
        <v>2021NE000328</v>
      </c>
      <c r="N37" s="318">
        <f>IFERROR(__xludf.DUMMYFUNCTION("""COMPUTED_VALUE"""),263192.44)</f>
        <v>263192.44</v>
      </c>
      <c r="O37" s="319">
        <f>IFERROR(__xludf.DUMMYFUNCTION("""COMPUTED_VALUE"""),44845.0)</f>
        <v>44845</v>
      </c>
      <c r="P37" s="319">
        <f>IFERROR(__xludf.DUMMYFUNCTION("""COMPUTED_VALUE"""),44845.0)</f>
        <v>44845</v>
      </c>
      <c r="Q37" s="318">
        <f t="shared" si="1"/>
        <v>3734271.801</v>
      </c>
      <c r="R37" s="318">
        <v>263192.44</v>
      </c>
      <c r="S37" s="297"/>
      <c r="T37" s="297" t="s">
        <v>719</v>
      </c>
    </row>
    <row r="38">
      <c r="B38" s="311">
        <f>IFERROR(__xludf.DUMMYFUNCTION("""COMPUTED_VALUE"""),15384.0)</f>
        <v>15384</v>
      </c>
      <c r="C38" s="311">
        <f>IFERROR(__xludf.DUMMYFUNCTION("""COMPUTED_VALUE"""),15364.0)</f>
        <v>15364</v>
      </c>
      <c r="D38" s="312" t="str">
        <f>IFERROR(__xludf.DUMMYFUNCTION("""COMPUTED_VALUE"""),"SALA COFRE 2022 - Contratação de manutenção de sala cofre, que abriga o Datacenter principal, onde são armazenados todos os dados e os equipamentos de processamento de dados corporativos. ")</f>
        <v>SALA COFRE 2022 - Contratação de manutenção de sala cofre, que abriga o Datacenter principal, onde são armazenados todos os dados e os equipamentos de processamento de dados corporativos. </v>
      </c>
      <c r="E38" s="313" t="str">
        <f>IFERROR(__xludf.DUMMYFUNCTION("""COMPUTED_VALUE"""),"2207/2022")</f>
        <v>2207/2022</v>
      </c>
      <c r="F38" s="313"/>
      <c r="G38" s="314" t="str">
        <f>IFERROR(__xludf.DUMMYFUNCTION("""COMPUTED_VALUE"""),"SETIC")</f>
        <v>SETIC</v>
      </c>
      <c r="H38" s="315" t="str">
        <f>IFERROR(__xludf.DUMMYFUNCTION("""COMPUTED_VALUE"""),"1 - Imprescindível")</f>
        <v>1 - Imprescindível</v>
      </c>
      <c r="I38" s="316">
        <f>IFERROR(__xludf.DUMMYFUNCTION("""COMPUTED_VALUE"""),300000.0)</f>
        <v>300000</v>
      </c>
      <c r="J38" s="317" t="str">
        <f>IFERROR(__xludf.DUMMYFUNCTION("""COMPUTED_VALUE"""),"02 - DOD emitido")</f>
        <v>02 - DOD emitido</v>
      </c>
      <c r="K38" s="318"/>
      <c r="L38" s="318">
        <f>IFERROR(__xludf.DUMMYFUNCTION("""COMPUTED_VALUE"""),68091.65333333332)</f>
        <v>68091.65333</v>
      </c>
      <c r="M38" s="318"/>
      <c r="N38" s="318">
        <f>IFERROR(__xludf.DUMMYFUNCTION("""COMPUTED_VALUE"""),68091.65333333332)</f>
        <v>68091.65333</v>
      </c>
      <c r="O38" s="319">
        <f>IFERROR(__xludf.DUMMYFUNCTION("""COMPUTED_VALUE"""),44735.0)</f>
        <v>44735</v>
      </c>
      <c r="P38" s="319">
        <f>IFERROR(__xludf.DUMMYFUNCTION("""COMPUTED_VALUE"""),44845.0)</f>
        <v>44845</v>
      </c>
      <c r="Q38" s="318">
        <f t="shared" si="1"/>
        <v>3802363.455</v>
      </c>
      <c r="R38" s="318">
        <v>68091.65333333332</v>
      </c>
      <c r="S38" s="297"/>
      <c r="T38" s="297" t="s">
        <v>719</v>
      </c>
    </row>
    <row r="39">
      <c r="B39" s="311">
        <f>IFERROR(__xludf.DUMMYFUNCTION("""COMPUTED_VALUE"""),15107.0)</f>
        <v>15107</v>
      </c>
      <c r="C39" s="311">
        <f>IFERROR(__xludf.DUMMYFUNCTION("""COMPUTED_VALUE"""),0.0)</f>
        <v>0</v>
      </c>
      <c r="D39" s="312" t="str">
        <f>IFERROR(__xludf.DUMMYFUNCTION("""COMPUTED_VALUE"""),"SCANNER MANUTENÇÃO - Contratação de manutenção dos scanneres para remessa de processo ao TST - SECART (Kodak i4600 e Fujitsu fi-6800)")</f>
        <v>SCANNER MANUTENÇÃO - Contratação de manutenção dos scanneres para remessa de processo ao TST - SECART (Kodak i4600 e Fujitsu fi-6800)</v>
      </c>
      <c r="E39" s="313"/>
      <c r="F39" s="313" t="str">
        <f>IFERROR(__xludf.DUMMYFUNCTION("""COMPUTED_VALUE"""),"7373/2017")</f>
        <v>7373/2017</v>
      </c>
      <c r="G39" s="314" t="str">
        <f>IFERROR(__xludf.DUMMYFUNCTION("""COMPUTED_VALUE"""),"SECAP")</f>
        <v>SECAP</v>
      </c>
      <c r="H39" s="315" t="str">
        <f>IFERROR(__xludf.DUMMYFUNCTION("""COMPUTED_VALUE"""),"1 - Imprescindível")</f>
        <v>1 - Imprescindível</v>
      </c>
      <c r="I39" s="316">
        <f>IFERROR(__xludf.DUMMYFUNCTION("""COMPUTED_VALUE"""),300000.0)</f>
        <v>300000</v>
      </c>
      <c r="J39" s="317" t="str">
        <f>IFERROR(__xludf.DUMMYFUNCTION("""COMPUTED_VALUE"""),"01 - Não oficializado")</f>
        <v>01 - Não oficializado</v>
      </c>
      <c r="K39" s="318"/>
      <c r="L39" s="318">
        <f>IFERROR(__xludf.DUMMYFUNCTION("""COMPUTED_VALUE"""),17940.0)</f>
        <v>17940</v>
      </c>
      <c r="M39" s="318"/>
      <c r="N39" s="318">
        <f>IFERROR(__xludf.DUMMYFUNCTION("""COMPUTED_VALUE"""),17940.0)</f>
        <v>17940</v>
      </c>
      <c r="O39" s="319">
        <f>IFERROR(__xludf.DUMMYFUNCTION("""COMPUTED_VALUE"""),44728.0)</f>
        <v>44728</v>
      </c>
      <c r="P39" s="319">
        <f>IFERROR(__xludf.DUMMYFUNCTION("""COMPUTED_VALUE"""),44818.0)</f>
        <v>44818</v>
      </c>
      <c r="Q39" s="318">
        <f t="shared" si="1"/>
        <v>3820303.455</v>
      </c>
      <c r="R39" s="318">
        <v>17940.0</v>
      </c>
      <c r="S39" s="297"/>
      <c r="T39" s="297" t="s">
        <v>719</v>
      </c>
    </row>
    <row r="40">
      <c r="B40" s="311">
        <f>IFERROR(__xludf.DUMMYFUNCTION("""COMPUTED_VALUE"""),15244.0)</f>
        <v>15244</v>
      </c>
      <c r="C40" s="311">
        <f>IFERROR(__xludf.DUMMYFUNCTION("""COMPUTED_VALUE"""),0.0)</f>
        <v>0</v>
      </c>
      <c r="D40" s="312" t="str">
        <f>IFERROR(__xludf.DUMMYFUNCTION("""COMPUTED_VALUE"""),"SERPRO - Contratação de serviço web de acesso a dados")</f>
        <v>SERPRO - Contratação de serviço web de acesso a dados</v>
      </c>
      <c r="E40" s="313"/>
      <c r="F40" s="313" t="str">
        <f>IFERROR(__xludf.DUMMYFUNCTION("""COMPUTED_VALUE"""),"14060/2018")</f>
        <v>14060/2018</v>
      </c>
      <c r="G40" s="314" t="str">
        <f>IFERROR(__xludf.DUMMYFUNCTION("""COMPUTED_VALUE"""),"SECAJ")</f>
        <v>SECAJ</v>
      </c>
      <c r="H40" s="315" t="str">
        <f>IFERROR(__xludf.DUMMYFUNCTION("""COMPUTED_VALUE"""),"1 - Imprescindível")</f>
        <v>1 - Imprescindível</v>
      </c>
      <c r="I40" s="316">
        <f>IFERROR(__xludf.DUMMYFUNCTION("""COMPUTED_VALUE"""),300000.0)</f>
        <v>300000</v>
      </c>
      <c r="J40" s="317" t="str">
        <f>IFERROR(__xludf.DUMMYFUNCTION("""COMPUTED_VALUE"""),"99 - Orçamentário")</f>
        <v>99 - Orçamentário</v>
      </c>
      <c r="K40" s="318"/>
      <c r="L40" s="318">
        <f>IFERROR(__xludf.DUMMYFUNCTION("""COMPUTED_VALUE"""),43954.44)</f>
        <v>43954.44</v>
      </c>
      <c r="M40" s="318"/>
      <c r="N40" s="318">
        <f>IFERROR(__xludf.DUMMYFUNCTION("""COMPUTED_VALUE"""),43954.44)</f>
        <v>43954.44</v>
      </c>
      <c r="O40" s="319">
        <f>IFERROR(__xludf.DUMMYFUNCTION("""COMPUTED_VALUE"""),45287.0)</f>
        <v>45287</v>
      </c>
      <c r="P40" s="319">
        <f>IFERROR(__xludf.DUMMYFUNCTION("""COMPUTED_VALUE"""),45287.0)</f>
        <v>45287</v>
      </c>
      <c r="Q40" s="318">
        <f t="shared" si="1"/>
        <v>3864257.895</v>
      </c>
      <c r="R40" s="318">
        <v>43954.44</v>
      </c>
      <c r="S40" s="297"/>
      <c r="T40" s="297" t="s">
        <v>719</v>
      </c>
    </row>
    <row r="41">
      <c r="B41" s="311">
        <f>IFERROR(__xludf.DUMMYFUNCTION("""COMPUTED_VALUE"""),15895.0)</f>
        <v>15895</v>
      </c>
      <c r="C41" s="311">
        <f>IFERROR(__xludf.DUMMYFUNCTION("""COMPUTED_VALUE"""),15373.0)</f>
        <v>15373</v>
      </c>
      <c r="D41" s="312" t="str">
        <f>IFERROR(__xludf.DUMMYFUNCTION("""COMPUTED_VALUE"""),"SO - Contratação de suporte e operação de infraestrutura de TIC/PJe - PO CSJT, inclui suporte Linux, contrato obrigatório dedicado ao PJe (Reconhecimento de dívida de exercício anterior)")</f>
        <v>SO - Contratação de suporte e operação de infraestrutura de TIC/PJe - PO CSJT, inclui suporte Linux, contrato obrigatório dedicado ao PJe (Reconhecimento de dívida de exercício anterior)</v>
      </c>
      <c r="E41" s="313"/>
      <c r="F41" s="313" t="str">
        <f>IFERROR(__xludf.DUMMYFUNCTION("""COMPUTED_VALUE"""),"6789/2021")</f>
        <v>6789/2021</v>
      </c>
      <c r="G41" s="314" t="str">
        <f>IFERROR(__xludf.DUMMYFUNCTION("""COMPUTED_VALUE"""),"SETIC")</f>
        <v>SETIC</v>
      </c>
      <c r="H41" s="315" t="str">
        <f>IFERROR(__xludf.DUMMYFUNCTION("""COMPUTED_VALUE"""),"1 - Imprescindível")</f>
        <v>1 - Imprescindível</v>
      </c>
      <c r="I41" s="316">
        <f>IFERROR(__xludf.DUMMYFUNCTION("""COMPUTED_VALUE"""),300000.0)</f>
        <v>300000</v>
      </c>
      <c r="J41" s="317" t="str">
        <f>IFERROR(__xludf.DUMMYFUNCTION("""COMPUTED_VALUE"""),"99 - Orçamentário")</f>
        <v>99 - Orçamentário</v>
      </c>
      <c r="K41" s="318"/>
      <c r="L41" s="318">
        <f>IFERROR(__xludf.DUMMYFUNCTION("""COMPUTED_VALUE"""),583.33)</f>
        <v>583.33</v>
      </c>
      <c r="M41" s="318"/>
      <c r="N41" s="318">
        <f>IFERROR(__xludf.DUMMYFUNCTION("""COMPUTED_VALUE"""),583.33)</f>
        <v>583.33</v>
      </c>
      <c r="O41" s="319"/>
      <c r="P41" s="319"/>
      <c r="Q41" s="318">
        <f t="shared" si="1"/>
        <v>3864841.225</v>
      </c>
      <c r="R41" s="318">
        <v>583.33</v>
      </c>
      <c r="S41" s="297"/>
      <c r="T41" s="297" t="s">
        <v>719</v>
      </c>
    </row>
    <row r="42">
      <c r="B42" s="311">
        <f>IFERROR(__xludf.DUMMYFUNCTION("""COMPUTED_VALUE"""),15373.0)</f>
        <v>15373</v>
      </c>
      <c r="C42" s="311">
        <f>IFERROR(__xludf.DUMMYFUNCTION("""COMPUTED_VALUE"""),15373.0)</f>
        <v>15373</v>
      </c>
      <c r="D42" s="312" t="str">
        <f>IFERROR(__xludf.DUMMYFUNCTION("""COMPUTED_VALUE"""),"SO SUPORTE - Contratação de suporte e operação de infraestrutura de TIC/PJe - PO CSJT, inclui suporte Linux, contrato obrigatório dedicado ao PJe")</f>
        <v>SO SUPORTE - Contratação de suporte e operação de infraestrutura de TIC/PJe - PO CSJT, inclui suporte Linux, contrato obrigatório dedicado ao PJe</v>
      </c>
      <c r="E42" s="313"/>
      <c r="F42" s="313" t="str">
        <f>IFERROR(__xludf.DUMMYFUNCTION("""COMPUTED_VALUE"""),"6789/2021")</f>
        <v>6789/2021</v>
      </c>
      <c r="G42" s="314" t="str">
        <f>IFERROR(__xludf.DUMMYFUNCTION("""COMPUTED_VALUE"""),"SETIC")</f>
        <v>SETIC</v>
      </c>
      <c r="H42" s="315" t="str">
        <f>IFERROR(__xludf.DUMMYFUNCTION("""COMPUTED_VALUE"""),"1 - Imprescindível")</f>
        <v>1 - Imprescindível</v>
      </c>
      <c r="I42" s="316">
        <f>IFERROR(__xludf.DUMMYFUNCTION("""COMPUTED_VALUE"""),300000.0)</f>
        <v>300000</v>
      </c>
      <c r="J42" s="317" t="str">
        <f>IFERROR(__xludf.DUMMYFUNCTION("""COMPUTED_VALUE"""),"01 - Não oficializado")</f>
        <v>01 - Não oficializado</v>
      </c>
      <c r="K42" s="318"/>
      <c r="L42" s="318">
        <f>IFERROR(__xludf.DUMMYFUNCTION("""COMPUTED_VALUE"""),42000.0)</f>
        <v>42000</v>
      </c>
      <c r="M42" s="318"/>
      <c r="N42" s="318">
        <f>IFERROR(__xludf.DUMMYFUNCTION("""COMPUTED_VALUE"""),42000.0)</f>
        <v>42000</v>
      </c>
      <c r="O42" s="319">
        <f>IFERROR(__xludf.DUMMYFUNCTION("""COMPUTED_VALUE"""),44779.0)</f>
        <v>44779</v>
      </c>
      <c r="P42" s="319">
        <f>IFERROR(__xludf.DUMMYFUNCTION("""COMPUTED_VALUE"""),44869.0)</f>
        <v>44869</v>
      </c>
      <c r="Q42" s="318">
        <f t="shared" si="1"/>
        <v>3906841.225</v>
      </c>
      <c r="R42" s="318">
        <v>42000.0</v>
      </c>
      <c r="S42" s="297"/>
      <c r="T42" s="297" t="s">
        <v>719</v>
      </c>
    </row>
    <row r="43">
      <c r="B43" s="311">
        <f>IFERROR(__xludf.DUMMYFUNCTION("""COMPUTED_VALUE"""),15388.0)</f>
        <v>15388</v>
      </c>
      <c r="C43" s="311">
        <f>IFERROR(__xludf.DUMMYFUNCTION("""COMPUTED_VALUE"""),99999.0)</f>
        <v>99999</v>
      </c>
      <c r="D43" s="312" t="str">
        <f>IFERROR(__xludf.DUMMYFUNCTION("""COMPUTED_VALUE"""),"VMWARE SUPORTE - Suporte e Subscrição Production e Basic, para o VMware vCenter Server 7 Standard for vSphere 7, por 5 anos (itens 1 e 3 do DOD)")</f>
        <v>VMWARE SUPORTE - Suporte e Subscrição Production e Basic, para o VMware vCenter Server 7 Standard for vSphere 7, por 5 anos (itens 1 e 3 do DOD)</v>
      </c>
      <c r="E43" s="313" t="str">
        <f>IFERROR(__xludf.DUMMYFUNCTION("""COMPUTED_VALUE"""),"12634/2021")</f>
        <v>12634/2021</v>
      </c>
      <c r="F43" s="313"/>
      <c r="G43" s="314" t="str">
        <f>IFERROR(__xludf.DUMMYFUNCTION("""COMPUTED_VALUE"""),"SETIC")</f>
        <v>SETIC</v>
      </c>
      <c r="H43" s="315" t="str">
        <f>IFERROR(__xludf.DUMMYFUNCTION("""COMPUTED_VALUE"""),"1 - Imprescindível")</f>
        <v>1 - Imprescindível</v>
      </c>
      <c r="I43" s="316">
        <f>IFERROR(__xludf.DUMMYFUNCTION("""COMPUTED_VALUE"""),300000.0)</f>
        <v>300000</v>
      </c>
      <c r="J43" s="317" t="str">
        <f>IFERROR(__xludf.DUMMYFUNCTION("""COMPUTED_VALUE"""),"02 - DOD emitido")</f>
        <v>02 - DOD emitido</v>
      </c>
      <c r="K43" s="318"/>
      <c r="L43" s="318">
        <f>IFERROR(__xludf.DUMMYFUNCTION("""COMPUTED_VALUE"""),352160.0)</f>
        <v>352160</v>
      </c>
      <c r="M43" s="318"/>
      <c r="N43" s="318">
        <f>IFERROR(__xludf.DUMMYFUNCTION("""COMPUTED_VALUE"""),352160.0)</f>
        <v>352160</v>
      </c>
      <c r="O43" s="319">
        <f>IFERROR(__xludf.DUMMYFUNCTION("""COMPUTED_VALUE"""),44575.0)</f>
        <v>44575</v>
      </c>
      <c r="P43" s="319">
        <f>IFERROR(__xludf.DUMMYFUNCTION("""COMPUTED_VALUE"""),44635.0)</f>
        <v>44635</v>
      </c>
      <c r="Q43" s="318">
        <f t="shared" si="1"/>
        <v>4259001.225</v>
      </c>
      <c r="R43" s="318">
        <v>352160.0</v>
      </c>
      <c r="S43" s="297"/>
      <c r="T43" s="297" t="s">
        <v>720</v>
      </c>
    </row>
    <row r="44">
      <c r="B44" s="311">
        <f>IFERROR(__xludf.DUMMYFUNCTION("""COMPUTED_VALUE"""),15166.0)</f>
        <v>15166</v>
      </c>
      <c r="C44" s="311">
        <f>IFERROR(__xludf.DUMMYFUNCTION("""COMPUTED_VALUE"""),0.0)</f>
        <v>0</v>
      </c>
      <c r="D44" s="312" t="str">
        <f>IFERROR(__xludf.DUMMYFUNCTION("""COMPUTED_VALUE"""),"ADOBE LICENÇAS - Manutenção da LICENÇA DE SOFTWARE PACOTE ADOBE - EJUD e SECOM (para 3 anos)")</f>
        <v>ADOBE LICENÇAS - Manutenção da LICENÇA DE SOFTWARE PACOTE ADOBE - EJUD e SECOM (para 3 anos)</v>
      </c>
      <c r="E44" s="313" t="str">
        <f>IFERROR(__xludf.DUMMYFUNCTION("""COMPUTED_VALUE"""),"10620/2020")</f>
        <v>10620/2020</v>
      </c>
      <c r="F44" s="313" t="str">
        <f>IFERROR(__xludf.DUMMYFUNCTION("""COMPUTED_VALUE"""),"447/2022")</f>
        <v>447/2022</v>
      </c>
      <c r="G44" s="314" t="str">
        <f>IFERROR(__xludf.DUMMYFUNCTION("""COMPUTED_VALUE"""),"EJUD SECOM")</f>
        <v>EJUD SECOM</v>
      </c>
      <c r="H44" s="315" t="str">
        <f>IFERROR(__xludf.DUMMYFUNCTION("""COMPUTED_VALUE"""),"2 - Importante")</f>
        <v>2 - Importante</v>
      </c>
      <c r="I44" s="316">
        <f>IFERROR(__xludf.DUMMYFUNCTION("""COMPUTED_VALUE"""),200000.0)</f>
        <v>200000</v>
      </c>
      <c r="J44" s="317" t="str">
        <f>IFERROR(__xludf.DUMMYFUNCTION("""COMPUTED_VALUE"""),"07 - Concluída")</f>
        <v>07 - Concluída</v>
      </c>
      <c r="K44" s="318"/>
      <c r="L44" s="318">
        <f>IFERROR(__xludf.DUMMYFUNCTION("""COMPUTED_VALUE"""),59760.0)</f>
        <v>59760</v>
      </c>
      <c r="M44" s="318"/>
      <c r="N44" s="318">
        <f>IFERROR(__xludf.DUMMYFUNCTION("""COMPUTED_VALUE"""),59760.0)</f>
        <v>59760</v>
      </c>
      <c r="O44" s="319">
        <f>IFERROR(__xludf.DUMMYFUNCTION("""COMPUTED_VALUE"""),44536.0)</f>
        <v>44536</v>
      </c>
      <c r="P44" s="319">
        <f>IFERROR(__xludf.DUMMYFUNCTION("""COMPUTED_VALUE"""),44581.0)</f>
        <v>44581</v>
      </c>
      <c r="Q44" s="318">
        <f t="shared" si="1"/>
        <v>4318761.225</v>
      </c>
      <c r="R44" s="318">
        <v>59760.0</v>
      </c>
      <c r="S44" s="297"/>
      <c r="T44" s="297" t="s">
        <v>720</v>
      </c>
    </row>
    <row r="45">
      <c r="B45" s="311">
        <f>IFERROR(__xludf.DUMMYFUNCTION("""COMPUTED_VALUE"""),15389.0)</f>
        <v>15389</v>
      </c>
      <c r="C45" s="311">
        <f>IFERROR(__xludf.DUMMYFUNCTION("""COMPUTED_VALUE"""),15018.0)</f>
        <v>15018</v>
      </c>
      <c r="D45" s="312" t="str">
        <f>IFERROR(__xludf.DUMMYFUNCTION("""COMPUTED_VALUE"""),"ASSYST - Contratação de suporte e atualização de licenças da solução de gerenciamento de serviços e registro de chamadas de TIC (2022)")</f>
        <v>ASSYST - Contratação de suporte e atualização de licenças da solução de gerenciamento de serviços e registro de chamadas de TIC (2022)</v>
      </c>
      <c r="E45" s="313" t="str">
        <f>IFERROR(__xludf.DUMMYFUNCTION("""COMPUTED_VALUE"""),"1353/2022")</f>
        <v>1353/2022</v>
      </c>
      <c r="F45" s="313"/>
      <c r="G45" s="314" t="str">
        <f>IFERROR(__xludf.DUMMYFUNCTION("""COMPUTED_VALUE"""),"SETIC")</f>
        <v>SETIC</v>
      </c>
      <c r="H45" s="315" t="str">
        <f>IFERROR(__xludf.DUMMYFUNCTION("""COMPUTED_VALUE"""),"2 - Importante")</f>
        <v>2 - Importante</v>
      </c>
      <c r="I45" s="316">
        <f>IFERROR(__xludf.DUMMYFUNCTION("""COMPUTED_VALUE"""),200000.0)</f>
        <v>200000</v>
      </c>
      <c r="J45" s="317" t="str">
        <f>IFERROR(__xludf.DUMMYFUNCTION("""COMPUTED_VALUE"""),"02 - DOD emitido")</f>
        <v>02 - DOD emitido</v>
      </c>
      <c r="K45" s="318"/>
      <c r="L45" s="318">
        <f>IFERROR(__xludf.DUMMYFUNCTION("""COMPUTED_VALUE"""),48752.125)</f>
        <v>48752.125</v>
      </c>
      <c r="M45" s="318" t="str">
        <f>IFERROR(__xludf.DUMMYFUNCTION("""COMPUTED_VALUE"""),"7.905,75")</f>
        <v>7.905,75</v>
      </c>
      <c r="N45" s="318">
        <f>IFERROR(__xludf.DUMMYFUNCTION("""COMPUTED_VALUE"""),48752.125)</f>
        <v>48752.125</v>
      </c>
      <c r="O45" s="319">
        <f>IFERROR(__xludf.DUMMYFUNCTION("""COMPUTED_VALUE"""),44693.0)</f>
        <v>44693</v>
      </c>
      <c r="P45" s="319">
        <f>IFERROR(__xludf.DUMMYFUNCTION("""COMPUTED_VALUE"""),44738.0)</f>
        <v>44738</v>
      </c>
      <c r="Q45" s="318">
        <f t="shared" si="1"/>
        <v>4367513.35</v>
      </c>
      <c r="R45" s="318">
        <v>48752.125</v>
      </c>
      <c r="S45" s="297">
        <f>4347311.91-Q45+79010</f>
        <v>58808.56033</v>
      </c>
      <c r="T45" s="297" t="s">
        <v>720</v>
      </c>
    </row>
    <row r="46">
      <c r="B46" s="311">
        <f>IFERROR(__xludf.DUMMYFUNCTION("""COMPUTED_VALUE"""),15018.0)</f>
        <v>15018</v>
      </c>
      <c r="C46" s="311">
        <f>IFERROR(__xludf.DUMMYFUNCTION("""COMPUTED_VALUE"""),15018.0)</f>
        <v>15018</v>
      </c>
      <c r="D46" s="312" t="str">
        <f>IFERROR(__xludf.DUMMYFUNCTION("""COMPUTED_VALUE"""),"ASSYST - Contratação de suporte e atualização de licenças da solução de gerenciamento de serviços e registro de chamadas de TIC.")</f>
        <v>ASSYST - Contratação de suporte e atualização de licenças da solução de gerenciamento de serviços e registro de chamadas de TIC.</v>
      </c>
      <c r="E46" s="313"/>
      <c r="F46" s="313" t="str">
        <f>IFERROR(__xludf.DUMMYFUNCTION("""COMPUTED_VALUE"""),"3891/2017")</f>
        <v>3891/2017</v>
      </c>
      <c r="G46" s="314" t="str">
        <f>IFERROR(__xludf.DUMMYFUNCTION("""COMPUTED_VALUE"""),"SETIC")</f>
        <v>SETIC</v>
      </c>
      <c r="H46" s="315" t="str">
        <f>IFERROR(__xludf.DUMMYFUNCTION("""COMPUTED_VALUE"""),"2 - Importante")</f>
        <v>2 - Importante</v>
      </c>
      <c r="I46" s="316">
        <f>IFERROR(__xludf.DUMMYFUNCTION("""COMPUTED_VALUE"""),200000.0)</f>
        <v>200000</v>
      </c>
      <c r="J46" s="317" t="str">
        <f>IFERROR(__xludf.DUMMYFUNCTION("""COMPUTED_VALUE"""),"99 - Orçamentário")</f>
        <v>99 - Orçamentário</v>
      </c>
      <c r="K46" s="318"/>
      <c r="L46" s="318">
        <f>IFERROR(__xludf.DUMMYFUNCTION("""COMPUTED_VALUE"""),41901.183333333334)</f>
        <v>41901.18333</v>
      </c>
      <c r="M46" s="318" t="str">
        <f>IFERROR(__xludf.DUMMYFUNCTION("""COMPUTED_VALUE"""),"2021NE000129")</f>
        <v>2021NE000129</v>
      </c>
      <c r="N46" s="318">
        <f>IFERROR(__xludf.DUMMYFUNCTION("""COMPUTED_VALUE"""),41901.183333333334)</f>
        <v>41901.18333</v>
      </c>
      <c r="O46" s="319">
        <f>IFERROR(__xludf.DUMMYFUNCTION("""COMPUTED_VALUE"""),44738.0)</f>
        <v>44738</v>
      </c>
      <c r="P46" s="319">
        <f>IFERROR(__xludf.DUMMYFUNCTION("""COMPUTED_VALUE"""),44738.0)</f>
        <v>44738</v>
      </c>
      <c r="Q46" s="318">
        <f t="shared" si="1"/>
        <v>4409414.533</v>
      </c>
      <c r="R46" s="318">
        <v>41901.183333333334</v>
      </c>
      <c r="S46" s="297"/>
      <c r="T46" s="297" t="s">
        <v>720</v>
      </c>
    </row>
    <row r="47">
      <c r="B47" s="311">
        <f>IFERROR(__xludf.DUMMYFUNCTION("""COMPUTED_VALUE"""),15394.0)</f>
        <v>15394</v>
      </c>
      <c r="C47" s="311">
        <f>IFERROR(__xludf.DUMMYFUNCTION("""COMPUTED_VALUE"""),15018.0)</f>
        <v>15018</v>
      </c>
      <c r="D47" s="312" t="str">
        <f>IFERROR(__xludf.DUMMYFUNCTION("""COMPUTED_VALUE"""),"ASSYST - Contratação de suporte e atualização de licenças da solução de gerenciamento de serviços e registro de chamadas de TIC. (Reconhecimento de dívida de exercício anterior)")</f>
        <v>ASSYST - Contratação de suporte e atualização de licenças da solução de gerenciamento de serviços e registro de chamadas de TIC. (Reconhecimento de dívida de exercício anterior)</v>
      </c>
      <c r="E47" s="313"/>
      <c r="F47" s="313" t="str">
        <f>IFERROR(__xludf.DUMMYFUNCTION("""COMPUTED_VALUE"""),"3891/2017")</f>
        <v>3891/2017</v>
      </c>
      <c r="G47" s="314" t="str">
        <f>IFERROR(__xludf.DUMMYFUNCTION("""COMPUTED_VALUE"""),"SETIC")</f>
        <v>SETIC</v>
      </c>
      <c r="H47" s="315" t="str">
        <f>IFERROR(__xludf.DUMMYFUNCTION("""COMPUTED_VALUE"""),"2 - Importante")</f>
        <v>2 - Importante</v>
      </c>
      <c r="I47" s="316">
        <f>IFERROR(__xludf.DUMMYFUNCTION("""COMPUTED_VALUE"""),200000.0)</f>
        <v>200000</v>
      </c>
      <c r="J47" s="317" t="str">
        <f>IFERROR(__xludf.DUMMYFUNCTION("""COMPUTED_VALUE"""),"99 - Orçamentário")</f>
        <v>99 - Orçamentário</v>
      </c>
      <c r="K47" s="318"/>
      <c r="L47" s="318">
        <f>IFERROR(__xludf.DUMMYFUNCTION("""COMPUTED_VALUE"""),620.92)</f>
        <v>620.92</v>
      </c>
      <c r="M47" s="318"/>
      <c r="N47" s="318">
        <f>IFERROR(__xludf.DUMMYFUNCTION("""COMPUTED_VALUE"""),620.92)</f>
        <v>620.92</v>
      </c>
      <c r="O47" s="319"/>
      <c r="P47" s="319"/>
      <c r="Q47" s="318">
        <f t="shared" si="1"/>
        <v>4410035.453</v>
      </c>
      <c r="R47" s="318">
        <v>620.92</v>
      </c>
      <c r="S47" s="297"/>
      <c r="T47" s="297" t="s">
        <v>720</v>
      </c>
    </row>
    <row r="48">
      <c r="B48" s="311">
        <f>IFERROR(__xludf.DUMMYFUNCTION("""COMPUTED_VALUE"""),15349.0)</f>
        <v>15349</v>
      </c>
      <c r="C48" s="311">
        <f>IFERROR(__xludf.DUMMYFUNCTION("""COMPUTED_VALUE"""),0.0)</f>
        <v>0</v>
      </c>
      <c r="D48" s="312" t="str">
        <f>IFERROR(__xludf.DUMMYFUNCTION("""COMPUTED_VALUE"""),"BI SOFTWARE - Contratação de uso de software em nuvem, para gerar relatórios e informações gerenciais para apoio à decisão e à gestão")</f>
        <v>BI SOFTWARE - Contratação de uso de software em nuvem, para gerar relatórios e informações gerenciais para apoio à decisão e à gestão</v>
      </c>
      <c r="E48" s="313"/>
      <c r="F48" s="313" t="str">
        <f>IFERROR(__xludf.DUMMYFUNCTION("""COMPUTED_VALUE"""),"12010/2020")</f>
        <v>12010/2020</v>
      </c>
      <c r="G48" s="314" t="str">
        <f>IFERROR(__xludf.DUMMYFUNCTION("""COMPUTED_VALUE"""),"SETIC")</f>
        <v>SETIC</v>
      </c>
      <c r="H48" s="315" t="str">
        <f>IFERROR(__xludf.DUMMYFUNCTION("""COMPUTED_VALUE"""),"2 - Importante")</f>
        <v>2 - Importante</v>
      </c>
      <c r="I48" s="316">
        <f>IFERROR(__xludf.DUMMYFUNCTION("""COMPUTED_VALUE"""),200000.0)</f>
        <v>200000</v>
      </c>
      <c r="J48" s="317" t="str">
        <f>IFERROR(__xludf.DUMMYFUNCTION("""COMPUTED_VALUE"""),"01 - Não oficializado")</f>
        <v>01 - Não oficializado</v>
      </c>
      <c r="K48" s="318"/>
      <c r="L48" s="318">
        <f>IFERROR(__xludf.DUMMYFUNCTION("""COMPUTED_VALUE"""),11870.76)</f>
        <v>11870.76</v>
      </c>
      <c r="M48" s="318"/>
      <c r="N48" s="318">
        <f>IFERROR(__xludf.DUMMYFUNCTION("""COMPUTED_VALUE"""),11870.76)</f>
        <v>11870.76</v>
      </c>
      <c r="O48" s="319">
        <f>IFERROR(__xludf.DUMMYFUNCTION("""COMPUTED_VALUE"""),44835.0)</f>
        <v>44835</v>
      </c>
      <c r="P48" s="319">
        <f>IFERROR(__xludf.DUMMYFUNCTION("""COMPUTED_VALUE"""),44925.0)</f>
        <v>44925</v>
      </c>
      <c r="Q48" s="318">
        <f t="shared" si="1"/>
        <v>4421906.213</v>
      </c>
      <c r="R48" s="318">
        <v>11870.76</v>
      </c>
      <c r="S48" s="297"/>
      <c r="T48" s="297" t="s">
        <v>720</v>
      </c>
    </row>
    <row r="49">
      <c r="B49" s="311">
        <f>IFERROR(__xludf.DUMMYFUNCTION("""COMPUTED_VALUE"""),15329.0)</f>
        <v>15329</v>
      </c>
      <c r="C49" s="311">
        <f>IFERROR(__xludf.DUMMYFUNCTION("""COMPUTED_VALUE"""),0.0)</f>
        <v>0</v>
      </c>
      <c r="D49" s="312" t="str">
        <f>IFERROR(__xludf.DUMMYFUNCTION("""COMPUTED_VALUE"""),"DRUPAL SUPORTE - Suporte técnico para o portal de internet e intranet do TRT12, em tecnologia DRUPAL 8")</f>
        <v>DRUPAL SUPORTE - Suporte técnico para o portal de internet e intranet do TRT12, em tecnologia DRUPAL 8</v>
      </c>
      <c r="E49" s="313" t="str">
        <f>IFERROR(__xludf.DUMMYFUNCTION("""COMPUTED_VALUE"""),"12196/2021")</f>
        <v>12196/2021</v>
      </c>
      <c r="F49" s="313"/>
      <c r="G49" s="314" t="str">
        <f>IFERROR(__xludf.DUMMYFUNCTION("""COMPUTED_VALUE"""),"SETIC")</f>
        <v>SETIC</v>
      </c>
      <c r="H49" s="315" t="str">
        <f>IFERROR(__xludf.DUMMYFUNCTION("""COMPUTED_VALUE"""),"2 - Importante")</f>
        <v>2 - Importante</v>
      </c>
      <c r="I49" s="316">
        <f>IFERROR(__xludf.DUMMYFUNCTION("""COMPUTED_VALUE"""),200000.0)</f>
        <v>200000</v>
      </c>
      <c r="J49" s="317" t="str">
        <f>IFERROR(__xludf.DUMMYFUNCTION("""COMPUTED_VALUE"""),"02 - DOD emitido")</f>
        <v>02 - DOD emitido</v>
      </c>
      <c r="K49" s="318"/>
      <c r="L49" s="318">
        <f>IFERROR(__xludf.DUMMYFUNCTION("""COMPUTED_VALUE"""),76800.0)</f>
        <v>76800</v>
      </c>
      <c r="M49" s="318"/>
      <c r="N49" s="318">
        <f>IFERROR(__xludf.DUMMYFUNCTION("""COMPUTED_VALUE"""),76800.0)</f>
        <v>76800</v>
      </c>
      <c r="O49" s="319">
        <f>IFERROR(__xludf.DUMMYFUNCTION("""COMPUTED_VALUE"""),44511.0)</f>
        <v>44511</v>
      </c>
      <c r="P49" s="319">
        <f>IFERROR(__xludf.DUMMYFUNCTION("""COMPUTED_VALUE"""),44621.0)</f>
        <v>44621</v>
      </c>
      <c r="Q49" s="318">
        <f t="shared" si="1"/>
        <v>4498706.213</v>
      </c>
      <c r="R49" s="318">
        <v>76800.0</v>
      </c>
      <c r="S49" s="297"/>
      <c r="T49" s="297" t="s">
        <v>720</v>
      </c>
    </row>
    <row r="50">
      <c r="B50" s="311">
        <f>IFERROR(__xludf.DUMMYFUNCTION("""COMPUTED_VALUE"""),15380.0)</f>
        <v>15380</v>
      </c>
      <c r="C50" s="311">
        <f>IFERROR(__xludf.DUMMYFUNCTION("""COMPUTED_VALUE"""),0.0)</f>
        <v>0</v>
      </c>
      <c r="D50" s="312" t="str">
        <f>IFERROR(__xludf.DUMMYFUNCTION("""COMPUTED_VALUE"""),"IMPRESSORAS MANUTENÇÃO - Contatação de manutenção de impressoras multifuncionais Lexmark MX722")</f>
        <v>IMPRESSORAS MANUTENÇÃO - Contatação de manutenção de impressoras multifuncionais Lexmark MX722</v>
      </c>
      <c r="E50" s="313"/>
      <c r="F50" s="313"/>
      <c r="G50" s="314" t="str">
        <f>IFERROR(__xludf.DUMMYFUNCTION("""COMPUTED_VALUE"""),"SETIC")</f>
        <v>SETIC</v>
      </c>
      <c r="H50" s="315" t="str">
        <f>IFERROR(__xludf.DUMMYFUNCTION("""COMPUTED_VALUE"""),"2 - Importante")</f>
        <v>2 - Importante</v>
      </c>
      <c r="I50" s="316">
        <f>IFERROR(__xludf.DUMMYFUNCTION("""COMPUTED_VALUE"""),200000.0)</f>
        <v>200000</v>
      </c>
      <c r="J50" s="317" t="str">
        <f>IFERROR(__xludf.DUMMYFUNCTION("""COMPUTED_VALUE"""),"01 - Não oficializado")</f>
        <v>01 - Não oficializado</v>
      </c>
      <c r="K50" s="318"/>
      <c r="L50" s="318">
        <f>IFERROR(__xludf.DUMMYFUNCTION("""COMPUTED_VALUE"""),12000.0)</f>
        <v>12000</v>
      </c>
      <c r="M50" s="318"/>
      <c r="N50" s="318">
        <f>IFERROR(__xludf.DUMMYFUNCTION("""COMPUTED_VALUE"""),12000.0)</f>
        <v>12000</v>
      </c>
      <c r="O50" s="319">
        <f>IFERROR(__xludf.DUMMYFUNCTION("""COMPUTED_VALUE"""),44735.0)</f>
        <v>44735</v>
      </c>
      <c r="P50" s="319">
        <f>IFERROR(__xludf.DUMMYFUNCTION("""COMPUTED_VALUE"""),44845.0)</f>
        <v>44845</v>
      </c>
      <c r="Q50" s="318">
        <f t="shared" si="1"/>
        <v>4510706.213</v>
      </c>
      <c r="R50" s="318">
        <v>12000.0</v>
      </c>
      <c r="S50" s="297"/>
      <c r="T50" s="297" t="s">
        <v>720</v>
      </c>
    </row>
    <row r="51">
      <c r="B51" s="311">
        <f>IFERROR(__xludf.DUMMYFUNCTION("""COMPUTED_VALUE"""),15066.0)</f>
        <v>15066</v>
      </c>
      <c r="C51" s="311">
        <f>IFERROR(__xludf.DUMMYFUNCTION("""COMPUTED_VALUE"""),0.0)</f>
        <v>0</v>
      </c>
      <c r="D51" s="312" t="str">
        <f>IFERROR(__xludf.DUMMYFUNCTION("""COMPUTED_VALUE"""),"INTERNET MOVEL - Contratação de linhas de internet móvel. O quantitativo atual é de 151 e deve ser confirmado pelos estudos da contração (Ato CSJT 43/2013).")</f>
        <v>INTERNET MOVEL - Contratação de linhas de internet móvel. O quantitativo atual é de 151 e deve ser confirmado pelos estudos da contração (Ato CSJT 43/2013).</v>
      </c>
      <c r="E51" s="313" t="str">
        <f>IFERROR(__xludf.DUMMYFUNCTION("""COMPUTED_VALUE"""),"1287/2021")</f>
        <v>1287/2021</v>
      </c>
      <c r="F51" s="313" t="str">
        <f>IFERROR(__xludf.DUMMYFUNCTION("""COMPUTED_VALUE"""),"8560/2018")</f>
        <v>8560/2018</v>
      </c>
      <c r="G51" s="314" t="str">
        <f>IFERROR(__xludf.DUMMYFUNCTION("""COMPUTED_VALUE"""),"SETIC")</f>
        <v>SETIC</v>
      </c>
      <c r="H51" s="315" t="str">
        <f>IFERROR(__xludf.DUMMYFUNCTION("""COMPUTED_VALUE"""),"2 - Importante")</f>
        <v>2 - Importante</v>
      </c>
      <c r="I51" s="316">
        <f>IFERROR(__xludf.DUMMYFUNCTION("""COMPUTED_VALUE"""),200000.0)</f>
        <v>200000</v>
      </c>
      <c r="J51" s="317" t="str">
        <f>IFERROR(__xludf.DUMMYFUNCTION("""COMPUTED_VALUE"""),"07 - Concluída")</f>
        <v>07 - Concluída</v>
      </c>
      <c r="K51" s="318"/>
      <c r="L51" s="318">
        <f>IFERROR(__xludf.DUMMYFUNCTION("""COMPUTED_VALUE"""),41494.8)</f>
        <v>41494.8</v>
      </c>
      <c r="M51" s="318"/>
      <c r="N51" s="318">
        <f>IFERROR(__xludf.DUMMYFUNCTION("""COMPUTED_VALUE"""),41494.8)</f>
        <v>41494.8</v>
      </c>
      <c r="O51" s="319">
        <f>IFERROR(__xludf.DUMMYFUNCTION("""COMPUTED_VALUE"""),44510.0)</f>
        <v>44510</v>
      </c>
      <c r="P51" s="319">
        <f>IFERROR(__xludf.DUMMYFUNCTION("""COMPUTED_VALUE"""),44600.0)</f>
        <v>44600</v>
      </c>
      <c r="Q51" s="318">
        <f t="shared" si="1"/>
        <v>4552201.013</v>
      </c>
      <c r="R51" s="318">
        <v>41494.8</v>
      </c>
      <c r="S51" s="297"/>
      <c r="T51" s="297" t="s">
        <v>720</v>
      </c>
    </row>
    <row r="52">
      <c r="B52" s="311">
        <f>IFERROR(__xludf.DUMMYFUNCTION("""COMPUTED_VALUE"""),15371.0)</f>
        <v>15371</v>
      </c>
      <c r="C52" s="311">
        <f>IFERROR(__xludf.DUMMYFUNCTION("""COMPUTED_VALUE"""),0.0)</f>
        <v>0</v>
      </c>
      <c r="D52" s="312" t="str">
        <f>IFERROR(__xludf.DUMMYFUNCTION("""COMPUTED_VALUE"""),"PRODENT - Contratação de suporte e atualização para licenças de software odontológico")</f>
        <v>PRODENT - Contratação de suporte e atualização para licenças de software odontológico</v>
      </c>
      <c r="E52" s="313" t="str">
        <f>IFERROR(__xludf.DUMMYFUNCTION("""COMPUTED_VALUE"""),"2407/2022")</f>
        <v>2407/2022</v>
      </c>
      <c r="F52" s="313" t="str">
        <f>IFERROR(__xludf.DUMMYFUNCTION("""COMPUTED_VALUE"""),"5707/2021")</f>
        <v>5707/2021</v>
      </c>
      <c r="G52" s="314" t="str">
        <f>IFERROR(__xludf.DUMMYFUNCTION("""COMPUTED_VALUE"""),"SAÚDE")</f>
        <v>SAÚDE</v>
      </c>
      <c r="H52" s="315" t="str">
        <f>IFERROR(__xludf.DUMMYFUNCTION("""COMPUTED_VALUE"""),"2 - Importante")</f>
        <v>2 - Importante</v>
      </c>
      <c r="I52" s="316">
        <f>IFERROR(__xludf.DUMMYFUNCTION("""COMPUTED_VALUE"""),200000.0)</f>
        <v>200000</v>
      </c>
      <c r="J52" s="317" t="str">
        <f>IFERROR(__xludf.DUMMYFUNCTION("""COMPUTED_VALUE"""),"02 - DOD emitido")</f>
        <v>02 - DOD emitido</v>
      </c>
      <c r="K52" s="318"/>
      <c r="L52" s="318">
        <f>IFERROR(__xludf.DUMMYFUNCTION("""COMPUTED_VALUE"""),2992.44)</f>
        <v>2992.44</v>
      </c>
      <c r="M52" s="318"/>
      <c r="N52" s="318">
        <f>IFERROR(__xludf.DUMMYFUNCTION("""COMPUTED_VALUE"""),2992.44)</f>
        <v>2992.44</v>
      </c>
      <c r="O52" s="319">
        <f>IFERROR(__xludf.DUMMYFUNCTION("""COMPUTED_VALUE"""),44693.0)</f>
        <v>44693</v>
      </c>
      <c r="P52" s="319">
        <f>IFERROR(__xludf.DUMMYFUNCTION("""COMPUTED_VALUE"""),44783.0)</f>
        <v>44783</v>
      </c>
      <c r="Q52" s="318">
        <f t="shared" si="1"/>
        <v>4555193.453</v>
      </c>
      <c r="R52" s="318">
        <v>2992.44</v>
      </c>
      <c r="S52" s="297"/>
      <c r="T52" s="297" t="s">
        <v>720</v>
      </c>
    </row>
    <row r="53">
      <c r="B53" s="311">
        <f>IFERROR(__xludf.DUMMYFUNCTION("""COMPUTED_VALUE"""),15347.0)</f>
        <v>15347</v>
      </c>
      <c r="C53" s="311">
        <f>IFERROR(__xludf.DUMMYFUNCTION("""COMPUTED_VALUE"""),0.0)</f>
        <v>0</v>
      </c>
      <c r="D53" s="312" t="str">
        <f>IFERROR(__xludf.DUMMYFUNCTION("""COMPUTED_VALUE"""),"SEGURANÇA MANUTENÇÃO - Contratação de serviços de manutenção preventiva e corretiva, com eventual fornecimento de peças de reposição, para as câmeras IP e outros equipamentos que compõem o sistema de imagens de segurança.")</f>
        <v>SEGURANÇA MANUTENÇÃO - Contratação de serviços de manutenção preventiva e corretiva, com eventual fornecimento de peças de reposição, para as câmeras IP e outros equipamentos que compõem o sistema de imagens de segurança.</v>
      </c>
      <c r="E53" s="313"/>
      <c r="F53" s="313"/>
      <c r="G53" s="314" t="str">
        <f>IFERROR(__xludf.DUMMYFUNCTION("""COMPUTED_VALUE"""),"CPJUD")</f>
        <v>CPJUD</v>
      </c>
      <c r="H53" s="315" t="str">
        <f>IFERROR(__xludf.DUMMYFUNCTION("""COMPUTED_VALUE"""),"2 - Importante")</f>
        <v>2 - Importante</v>
      </c>
      <c r="I53" s="316">
        <f>IFERROR(__xludf.DUMMYFUNCTION("""COMPUTED_VALUE"""),200000.0)</f>
        <v>200000</v>
      </c>
      <c r="J53" s="317" t="str">
        <f>IFERROR(__xludf.DUMMYFUNCTION("""COMPUTED_VALUE"""),"01 - Não oficializado")</f>
        <v>01 - Não oficializado</v>
      </c>
      <c r="K53" s="318"/>
      <c r="L53" s="318">
        <f>IFERROR(__xludf.DUMMYFUNCTION("""COMPUTED_VALUE"""),258600.0)</f>
        <v>258600</v>
      </c>
      <c r="M53" s="318"/>
      <c r="N53" s="318">
        <f>IFERROR(__xludf.DUMMYFUNCTION("""COMPUTED_VALUE"""),258600.0)</f>
        <v>258600</v>
      </c>
      <c r="O53" s="319">
        <f>IFERROR(__xludf.DUMMYFUNCTION("""COMPUTED_VALUE"""),44632.0)</f>
        <v>44632</v>
      </c>
      <c r="P53" s="319">
        <f>IFERROR(__xludf.DUMMYFUNCTION("""COMPUTED_VALUE"""),44742.0)</f>
        <v>44742</v>
      </c>
      <c r="Q53" s="318">
        <f t="shared" si="1"/>
        <v>4813793.453</v>
      </c>
      <c r="R53" s="318">
        <v>258600.0</v>
      </c>
      <c r="S53" s="297"/>
      <c r="T53" s="297" t="s">
        <v>720</v>
      </c>
    </row>
    <row r="54">
      <c r="B54" s="311">
        <f>IFERROR(__xludf.DUMMYFUNCTION("""COMPUTED_VALUE"""),15308.0)</f>
        <v>15308</v>
      </c>
      <c r="C54" s="311">
        <f>IFERROR(__xludf.DUMMYFUNCTION("""COMPUTED_VALUE"""),0.0)</f>
        <v>0</v>
      </c>
      <c r="D54" s="312" t="str">
        <f>IFERROR(__xludf.DUMMYFUNCTION("""COMPUTED_VALUE"""),"SEGURANÇA SUPORTE - Continuidade do serviço de suporte técnico do Sistema de Softwares de Segurança em uso nas unidades do TRT/SC (SENIOR)")</f>
        <v>SEGURANÇA SUPORTE - Continuidade do serviço de suporte técnico do Sistema de Softwares de Segurança em uso nas unidades do TRT/SC (SENIOR)</v>
      </c>
      <c r="E54" s="313"/>
      <c r="F54" s="313" t="str">
        <f>IFERROR(__xludf.DUMMYFUNCTION("""COMPUTED_VALUE"""),"7825/2020")</f>
        <v>7825/2020</v>
      </c>
      <c r="G54" s="314" t="str">
        <f>IFERROR(__xludf.DUMMYFUNCTION("""COMPUTED_VALUE"""),"CPJUD")</f>
        <v>CPJUD</v>
      </c>
      <c r="H54" s="315" t="str">
        <f>IFERROR(__xludf.DUMMYFUNCTION("""COMPUTED_VALUE"""),"2 - Importante")</f>
        <v>2 - Importante</v>
      </c>
      <c r="I54" s="316">
        <f>IFERROR(__xludf.DUMMYFUNCTION("""COMPUTED_VALUE"""),200000.0)</f>
        <v>200000</v>
      </c>
      <c r="J54" s="317" t="str">
        <f>IFERROR(__xludf.DUMMYFUNCTION("""COMPUTED_VALUE"""),"01 - Não oficializado")</f>
        <v>01 - Não oficializado</v>
      </c>
      <c r="K54" s="318"/>
      <c r="L54" s="318">
        <f>IFERROR(__xludf.DUMMYFUNCTION("""COMPUTED_VALUE"""),64215.96)</f>
        <v>64215.96</v>
      </c>
      <c r="M54" s="318" t="str">
        <f>IFERROR(__xludf.DUMMYFUNCTION("""COMPUTED_VALUE"""),"2021NE000332")</f>
        <v>2021NE000332</v>
      </c>
      <c r="N54" s="318">
        <f>IFERROR(__xludf.DUMMYFUNCTION("""COMPUTED_VALUE"""),64215.96)</f>
        <v>64215.96</v>
      </c>
      <c r="O54" s="319">
        <f>IFERROR(__xludf.DUMMYFUNCTION("""COMPUTED_VALUE"""),44745.0)</f>
        <v>44745</v>
      </c>
      <c r="P54" s="319">
        <f>IFERROR(__xludf.DUMMYFUNCTION("""COMPUTED_VALUE"""),44835.0)</f>
        <v>44835</v>
      </c>
      <c r="Q54" s="318">
        <f t="shared" si="1"/>
        <v>4878009.413</v>
      </c>
      <c r="R54" s="318">
        <v>64215.96</v>
      </c>
      <c r="S54" s="297"/>
      <c r="T54" s="297" t="s">
        <v>720</v>
      </c>
    </row>
    <row r="55">
      <c r="B55" s="311">
        <f>IFERROR(__xludf.DUMMYFUNCTION("""COMPUTED_VALUE"""),15360.0)</f>
        <v>15360</v>
      </c>
      <c r="C55" s="311">
        <f>IFERROR(__xludf.DUMMYFUNCTION("""COMPUTED_VALUE"""),0.0)</f>
        <v>0</v>
      </c>
      <c r="D55" s="312" t="str">
        <f>IFERROR(__xludf.DUMMYFUNCTION("""COMPUTED_VALUE"""),"SIABI - Contratação de suporte técnico e atualização de licenças do software de gerenciamento de bibliotecas")</f>
        <v>SIABI - Contratação de suporte técnico e atualização de licenças do software de gerenciamento de bibliotecas</v>
      </c>
      <c r="E55" s="313" t="str">
        <f>IFERROR(__xludf.DUMMYFUNCTION("""COMPUTED_VALUE"""),"532/2022")</f>
        <v>532/2022</v>
      </c>
      <c r="F55" s="313" t="str">
        <f>IFERROR(__xludf.DUMMYFUNCTION("""COMPUTED_VALUE"""),"2689/2021")</f>
        <v>2689/2021</v>
      </c>
      <c r="G55" s="314" t="str">
        <f>IFERROR(__xludf.DUMMYFUNCTION("""COMPUTED_VALUE"""),"SEJUP")</f>
        <v>SEJUP</v>
      </c>
      <c r="H55" s="315" t="str">
        <f>IFERROR(__xludf.DUMMYFUNCTION("""COMPUTED_VALUE"""),"2 - Importante")</f>
        <v>2 - Importante</v>
      </c>
      <c r="I55" s="316">
        <f>IFERROR(__xludf.DUMMYFUNCTION("""COMPUTED_VALUE"""),200000.0)</f>
        <v>200000</v>
      </c>
      <c r="J55" s="317" t="str">
        <f>IFERROR(__xludf.DUMMYFUNCTION("""COMPUTED_VALUE"""),"07 - Concluída")</f>
        <v>07 - Concluída</v>
      </c>
      <c r="K55" s="318"/>
      <c r="L55" s="318">
        <f>IFERROR(__xludf.DUMMYFUNCTION("""COMPUTED_VALUE"""),7626.48)</f>
        <v>7626.48</v>
      </c>
      <c r="M55" s="318"/>
      <c r="N55" s="318">
        <f>IFERROR(__xludf.DUMMYFUNCTION("""COMPUTED_VALUE"""),7626.48)</f>
        <v>7626.48</v>
      </c>
      <c r="O55" s="319">
        <f>IFERROR(__xludf.DUMMYFUNCTION("""COMPUTED_VALUE"""),44546.0)</f>
        <v>44546</v>
      </c>
      <c r="P55" s="319">
        <f>IFERROR(__xludf.DUMMYFUNCTION("""COMPUTED_VALUE"""),44636.0)</f>
        <v>44636</v>
      </c>
      <c r="Q55" s="318">
        <f t="shared" si="1"/>
        <v>4885635.893</v>
      </c>
      <c r="R55" s="318">
        <v>7626.48</v>
      </c>
      <c r="S55" s="297"/>
      <c r="T55" s="297" t="s">
        <v>720</v>
      </c>
    </row>
    <row r="56">
      <c r="B56" s="311">
        <f>IFERROR(__xludf.DUMMYFUNCTION("""COMPUTED_VALUE"""),15897.0)</f>
        <v>15897</v>
      </c>
      <c r="C56" s="311">
        <f>IFERROR(__xludf.DUMMYFUNCTION("""COMPUTED_VALUE"""),99999.0)</f>
        <v>99999</v>
      </c>
      <c r="D56" s="312" t="str">
        <f>IFERROR(__xludf.DUMMYFUNCTION("""COMPUTED_VALUE"""),"SIABI MEMORIAL - Licenças e serviços de suporte técnico e manutenção para o SIABI (Sistema de software
Automação de Bibliotecas, Arquivos, museus e Memoriais) com direito a versões
atualizadas.")</f>
        <v>SIABI MEMORIAL - Licenças e serviços de suporte técnico e manutenção para o SIABI (Sistema de software
Automação de Bibliotecas, Arquivos, museus e Memoriais) com direito a versões
atualizadas.</v>
      </c>
      <c r="E56" s="313" t="str">
        <f>IFERROR(__xludf.DUMMYFUNCTION("""COMPUTED_VALUE"""),"2754/2022")</f>
        <v>2754/2022</v>
      </c>
      <c r="F56" s="313"/>
      <c r="G56" s="314" t="str">
        <f>IFERROR(__xludf.DUMMYFUNCTION("""COMPUTED_VALUE"""),"SEJUP")</f>
        <v>SEJUP</v>
      </c>
      <c r="H56" s="315" t="str">
        <f>IFERROR(__xludf.DUMMYFUNCTION("""COMPUTED_VALUE"""),"2 - Importante")</f>
        <v>2 - Importante</v>
      </c>
      <c r="I56" s="316">
        <f>IFERROR(__xludf.DUMMYFUNCTION("""COMPUTED_VALUE"""),200000.0)</f>
        <v>200000</v>
      </c>
      <c r="J56" s="317" t="str">
        <f>IFERROR(__xludf.DUMMYFUNCTION("""COMPUTED_VALUE"""),"02 - DOD emitido")</f>
        <v>02 - DOD emitido</v>
      </c>
      <c r="K56" s="318"/>
      <c r="L56" s="318">
        <f>IFERROR(__xludf.DUMMYFUNCTION("""COMPUTED_VALUE"""),15571.36)</f>
        <v>15571.36</v>
      </c>
      <c r="M56" s="318"/>
      <c r="N56" s="318">
        <f>IFERROR(__xludf.DUMMYFUNCTION("""COMPUTED_VALUE"""),15571.36)</f>
        <v>15571.36</v>
      </c>
      <c r="O56" s="319">
        <f>IFERROR(__xludf.DUMMYFUNCTION("""COMPUTED_VALUE"""),44672.0)</f>
        <v>44672</v>
      </c>
      <c r="P56" s="319">
        <f>IFERROR(__xludf.DUMMYFUNCTION("""COMPUTED_VALUE"""),44682.0)</f>
        <v>44682</v>
      </c>
      <c r="Q56" s="318">
        <f t="shared" si="1"/>
        <v>4901207.253</v>
      </c>
      <c r="R56" s="318">
        <v>15571.36</v>
      </c>
      <c r="S56" s="297"/>
      <c r="T56" s="297" t="s">
        <v>720</v>
      </c>
    </row>
    <row r="57">
      <c r="B57" s="311">
        <f>IFERROR(__xludf.DUMMYFUNCTION("""COMPUTED_VALUE"""),15374.0)</f>
        <v>15374</v>
      </c>
      <c r="C57" s="311">
        <f>IFERROR(__xludf.DUMMYFUNCTION("""COMPUTED_VALUE"""),0.0)</f>
        <v>0</v>
      </c>
      <c r="D57" s="312" t="str">
        <f>IFERROR(__xludf.DUMMYFUNCTION("""COMPUTED_VALUE"""),"VIDEOCONFERÊNCIAS EQUIPAMENTOS - Aquisição de câmeras com microfone")</f>
        <v>VIDEOCONFERÊNCIAS EQUIPAMENTOS - Aquisição de câmeras com microfone</v>
      </c>
      <c r="E57" s="313" t="str">
        <f>IFERROR(__xludf.DUMMYFUNCTION("""COMPUTED_VALUE"""),"8623/2021")</f>
        <v>8623/2021</v>
      </c>
      <c r="F57" s="313"/>
      <c r="G57" s="314" t="str">
        <f>IFERROR(__xludf.DUMMYFUNCTION("""COMPUTED_VALUE"""),"SETIC")</f>
        <v>SETIC</v>
      </c>
      <c r="H57" s="315" t="str">
        <f>IFERROR(__xludf.DUMMYFUNCTION("""COMPUTED_VALUE"""),"2 - Importante")</f>
        <v>2 - Importante</v>
      </c>
      <c r="I57" s="316">
        <f>IFERROR(__xludf.DUMMYFUNCTION("""COMPUTED_VALUE"""),200000.0)</f>
        <v>200000</v>
      </c>
      <c r="J57" s="317" t="str">
        <f>IFERROR(__xludf.DUMMYFUNCTION("""COMPUTED_VALUE"""),"02 - DOD emitido")</f>
        <v>02 - DOD emitido</v>
      </c>
      <c r="K57" s="318"/>
      <c r="L57" s="318">
        <f>IFERROR(__xludf.DUMMYFUNCTION("""COMPUTED_VALUE"""),136300.0)</f>
        <v>136300</v>
      </c>
      <c r="M57" s="318"/>
      <c r="N57" s="318">
        <f>IFERROR(__xludf.DUMMYFUNCTION("""COMPUTED_VALUE"""),136300.0)</f>
        <v>136300</v>
      </c>
      <c r="O57" s="319">
        <f>IFERROR(__xludf.DUMMYFUNCTION("""COMPUTED_VALUE"""),44697.0)</f>
        <v>44697</v>
      </c>
      <c r="P57" s="319">
        <f>IFERROR(__xludf.DUMMYFUNCTION("""COMPUTED_VALUE"""),44742.0)</f>
        <v>44742</v>
      </c>
      <c r="Q57" s="318">
        <f t="shared" si="1"/>
        <v>5037507.253</v>
      </c>
      <c r="R57" s="318">
        <v>136300.0</v>
      </c>
      <c r="S57" s="297"/>
      <c r="T57" s="297" t="s">
        <v>720</v>
      </c>
    </row>
    <row r="58">
      <c r="B58" s="311">
        <f>IFERROR(__xludf.DUMMYFUNCTION("""COMPUTED_VALUE"""),15306.0)</f>
        <v>15306</v>
      </c>
      <c r="C58" s="311">
        <f>IFERROR(__xludf.DUMMYFUNCTION("""COMPUTED_VALUE"""),0.0)</f>
        <v>0</v>
      </c>
      <c r="D58" s="312" t="str">
        <f>IFERROR(__xludf.DUMMYFUNCTION("""COMPUTED_VALUE"""),"AUTOCAD LICENÇAS - Contratação/prorrogação de licanças de Autodesk AutoCAD Revit Suite")</f>
        <v>AUTOCAD LICENÇAS - Contratação/prorrogação de licanças de Autodesk AutoCAD Revit Suite</v>
      </c>
      <c r="E58" s="313" t="str">
        <f>IFERROR(__xludf.DUMMYFUNCTION("""COMPUTED_VALUE"""),"1964/2022")</f>
        <v>1964/2022</v>
      </c>
      <c r="F58" s="313"/>
      <c r="G58" s="314" t="str">
        <f>IFERROR(__xludf.DUMMYFUNCTION("""COMPUTED_VALUE"""),"SPO")</f>
        <v>SPO</v>
      </c>
      <c r="H58" s="315" t="str">
        <f>IFERROR(__xludf.DUMMYFUNCTION("""COMPUTED_VALUE"""),"3 - Desejável")</f>
        <v>3 - Desejável</v>
      </c>
      <c r="I58" s="316">
        <f>IFERROR(__xludf.DUMMYFUNCTION("""COMPUTED_VALUE"""),100000.0)</f>
        <v>100000</v>
      </c>
      <c r="J58" s="317" t="str">
        <f>IFERROR(__xludf.DUMMYFUNCTION("""COMPUTED_VALUE"""),"02 - DOD emitido")</f>
        <v>02 - DOD emitido</v>
      </c>
      <c r="K58" s="318"/>
      <c r="L58" s="318">
        <f>IFERROR(__xludf.DUMMYFUNCTION("""COMPUTED_VALUE"""),68648.0)</f>
        <v>68648</v>
      </c>
      <c r="M58" s="318"/>
      <c r="N58" s="318">
        <f>IFERROR(__xludf.DUMMYFUNCTION("""COMPUTED_VALUE"""),68648.0)</f>
        <v>68648</v>
      </c>
      <c r="O58" s="319">
        <f>IFERROR(__xludf.DUMMYFUNCTION("""COMPUTED_VALUE"""),44756.0)</f>
        <v>44756</v>
      </c>
      <c r="P58" s="319">
        <f>IFERROR(__xludf.DUMMYFUNCTION("""COMPUTED_VALUE"""),44866.0)</f>
        <v>44866</v>
      </c>
      <c r="Q58" s="318">
        <f t="shared" si="1"/>
        <v>5106155.253</v>
      </c>
      <c r="R58" s="318">
        <v>68648.0</v>
      </c>
      <c r="S58" s="297"/>
      <c r="T58" s="297" t="s">
        <v>720</v>
      </c>
    </row>
    <row r="59">
      <c r="B59" s="311">
        <f>IFERROR(__xludf.DUMMYFUNCTION("""COMPUTED_VALUE"""),15307.0)</f>
        <v>15307</v>
      </c>
      <c r="C59" s="311">
        <f>IFERROR(__xludf.DUMMYFUNCTION("""COMPUTED_VALUE"""),0.0)</f>
        <v>0</v>
      </c>
      <c r="D59" s="312" t="str">
        <f>IFERROR(__xludf.DUMMYFUNCTION("""COMPUTED_VALUE"""),"SKETCHUP PRO - Licença SketchUp Pro - Trimble (12 meses)")</f>
        <v>SKETCHUP PRO - Licença SketchUp Pro - Trimble (12 meses)</v>
      </c>
      <c r="E59" s="313" t="str">
        <f>IFERROR(__xludf.DUMMYFUNCTION("""COMPUTED_VALUE"""),"2265/2022")</f>
        <v>2265/2022</v>
      </c>
      <c r="F59" s="313"/>
      <c r="G59" s="314" t="str">
        <f>IFERROR(__xludf.DUMMYFUNCTION("""COMPUTED_VALUE"""),"SPO")</f>
        <v>SPO</v>
      </c>
      <c r="H59" s="315" t="str">
        <f>IFERROR(__xludf.DUMMYFUNCTION("""COMPUTED_VALUE"""),"3 - Desejável")</f>
        <v>3 - Desejável</v>
      </c>
      <c r="I59" s="316">
        <f>IFERROR(__xludf.DUMMYFUNCTION("""COMPUTED_VALUE"""),100000.0)</f>
        <v>100000</v>
      </c>
      <c r="J59" s="317" t="str">
        <f>IFERROR(__xludf.DUMMYFUNCTION("""COMPUTED_VALUE"""),"02 - DOD emitido")</f>
        <v>02 - DOD emitido</v>
      </c>
      <c r="K59" s="318"/>
      <c r="L59" s="318">
        <f>IFERROR(__xludf.DUMMYFUNCTION("""COMPUTED_VALUE"""),1881.0)</f>
        <v>1881</v>
      </c>
      <c r="M59" s="318"/>
      <c r="N59" s="318">
        <f>IFERROR(__xludf.DUMMYFUNCTION("""COMPUTED_VALUE"""),1881.0)</f>
        <v>1881</v>
      </c>
      <c r="O59" s="319">
        <f>IFERROR(__xludf.DUMMYFUNCTION("""COMPUTED_VALUE"""),44825.0)</f>
        <v>44825</v>
      </c>
      <c r="P59" s="319">
        <f>IFERROR(__xludf.DUMMYFUNCTION("""COMPUTED_VALUE"""),44835.0)</f>
        <v>44835</v>
      </c>
      <c r="Q59" s="318">
        <f t="shared" si="1"/>
        <v>5108036.253</v>
      </c>
      <c r="R59" s="318">
        <v>1881.0</v>
      </c>
      <c r="S59" s="297"/>
      <c r="T59" s="297" t="s">
        <v>720</v>
      </c>
    </row>
    <row r="60">
      <c r="B60" s="291"/>
      <c r="C60" s="291"/>
      <c r="D60" s="181"/>
      <c r="E60" s="292"/>
      <c r="F60" s="292"/>
      <c r="G60" s="293"/>
      <c r="H60" s="294"/>
      <c r="I60" s="295"/>
      <c r="J60" s="296"/>
      <c r="K60" s="297"/>
      <c r="L60" s="297"/>
      <c r="M60" s="297"/>
      <c r="N60" s="297"/>
      <c r="O60" s="298"/>
      <c r="P60" s="298"/>
      <c r="Q60" s="297"/>
      <c r="R60" s="297">
        <v>0.0</v>
      </c>
      <c r="S60" s="297"/>
      <c r="T60" s="297" t="s">
        <v>719</v>
      </c>
    </row>
    <row r="61">
      <c r="B61" s="291"/>
      <c r="C61" s="291"/>
      <c r="D61" s="181"/>
      <c r="E61" s="292"/>
      <c r="F61" s="292"/>
      <c r="G61" s="293"/>
      <c r="H61" s="294"/>
      <c r="I61" s="295"/>
      <c r="J61" s="296"/>
      <c r="K61" s="297"/>
      <c r="L61" s="297"/>
      <c r="M61" s="297"/>
      <c r="N61" s="297"/>
      <c r="O61" s="298"/>
      <c r="P61" s="298"/>
      <c r="Q61" s="297"/>
      <c r="R61" s="297">
        <v>0.0</v>
      </c>
      <c r="S61" s="297"/>
      <c r="T61" s="297" t="s">
        <v>719</v>
      </c>
    </row>
    <row r="62">
      <c r="B62" s="291"/>
      <c r="C62" s="291"/>
      <c r="D62" s="181"/>
      <c r="E62" s="292"/>
      <c r="F62" s="292"/>
      <c r="G62" s="293"/>
      <c r="H62" s="294"/>
      <c r="I62" s="295"/>
      <c r="J62" s="296"/>
      <c r="K62" s="297"/>
      <c r="L62" s="297"/>
      <c r="M62" s="297"/>
      <c r="N62" s="297"/>
      <c r="O62" s="298"/>
      <c r="P62" s="298"/>
      <c r="Q62" s="297"/>
      <c r="R62" s="297">
        <v>0.0</v>
      </c>
      <c r="S62" s="297"/>
      <c r="T62" s="297" t="s">
        <v>719</v>
      </c>
    </row>
    <row r="63">
      <c r="B63" s="291"/>
      <c r="C63" s="291"/>
      <c r="D63" s="181"/>
      <c r="E63" s="292"/>
      <c r="F63" s="292"/>
      <c r="G63" s="293"/>
      <c r="H63" s="294"/>
      <c r="I63" s="295"/>
      <c r="J63" s="296"/>
      <c r="K63" s="297"/>
      <c r="L63" s="297"/>
      <c r="M63" s="297"/>
      <c r="N63" s="297"/>
      <c r="O63" s="298"/>
      <c r="P63" s="298"/>
      <c r="Q63" s="297"/>
      <c r="R63" s="297">
        <v>0.0</v>
      </c>
      <c r="S63" s="297"/>
      <c r="T63" s="297" t="s">
        <v>719</v>
      </c>
    </row>
    <row r="64">
      <c r="B64" s="291"/>
      <c r="C64" s="291"/>
      <c r="D64" s="181"/>
      <c r="E64" s="292"/>
      <c r="F64" s="292"/>
      <c r="G64" s="293"/>
      <c r="H64" s="294"/>
      <c r="I64" s="295"/>
      <c r="J64" s="296"/>
      <c r="K64" s="297"/>
      <c r="L64" s="297"/>
      <c r="M64" s="297"/>
      <c r="N64" s="297"/>
      <c r="O64" s="298"/>
      <c r="P64" s="298"/>
      <c r="Q64" s="297"/>
      <c r="R64" s="297">
        <v>0.0</v>
      </c>
      <c r="S64" s="297"/>
      <c r="T64" s="297" t="s">
        <v>719</v>
      </c>
    </row>
    <row r="65">
      <c r="B65" s="291"/>
      <c r="C65" s="291"/>
      <c r="D65" s="181"/>
      <c r="E65" s="292"/>
      <c r="F65" s="292"/>
      <c r="G65" s="293"/>
      <c r="H65" s="294"/>
      <c r="I65" s="295"/>
      <c r="J65" s="296"/>
      <c r="K65" s="297"/>
      <c r="L65" s="297"/>
      <c r="M65" s="297"/>
      <c r="N65" s="297"/>
      <c r="O65" s="298"/>
      <c r="P65" s="298"/>
      <c r="Q65" s="297"/>
      <c r="R65" s="297">
        <v>0.0</v>
      </c>
      <c r="S65" s="297"/>
      <c r="T65" s="297" t="s">
        <v>719</v>
      </c>
    </row>
    <row r="66">
      <c r="B66" s="291"/>
      <c r="C66" s="291"/>
      <c r="D66" s="181"/>
      <c r="E66" s="292"/>
      <c r="F66" s="292"/>
      <c r="G66" s="293"/>
      <c r="H66" s="294"/>
      <c r="I66" s="295"/>
      <c r="J66" s="296"/>
      <c r="K66" s="297"/>
      <c r="L66" s="297"/>
      <c r="M66" s="297"/>
      <c r="N66" s="297"/>
      <c r="O66" s="298"/>
      <c r="P66" s="298"/>
      <c r="Q66" s="297"/>
      <c r="R66" s="297">
        <v>0.0</v>
      </c>
      <c r="S66" s="297"/>
      <c r="T66" s="297" t="s">
        <v>719</v>
      </c>
    </row>
    <row r="67">
      <c r="B67" s="291"/>
      <c r="C67" s="291"/>
      <c r="D67" s="181"/>
      <c r="E67" s="292"/>
      <c r="F67" s="292"/>
      <c r="G67" s="293"/>
      <c r="H67" s="294"/>
      <c r="I67" s="295"/>
      <c r="J67" s="296"/>
      <c r="K67" s="297"/>
      <c r="L67" s="297"/>
      <c r="M67" s="297"/>
      <c r="N67" s="297"/>
      <c r="O67" s="298"/>
      <c r="P67" s="298"/>
      <c r="Q67" s="297"/>
      <c r="R67" s="297">
        <v>0.0</v>
      </c>
      <c r="S67" s="297"/>
      <c r="T67" s="297" t="s">
        <v>719</v>
      </c>
    </row>
    <row r="68">
      <c r="B68" s="291"/>
      <c r="C68" s="291"/>
      <c r="D68" s="181"/>
      <c r="E68" s="292"/>
      <c r="F68" s="292"/>
      <c r="G68" s="293"/>
      <c r="H68" s="294"/>
      <c r="I68" s="295"/>
      <c r="J68" s="296"/>
      <c r="K68" s="297"/>
      <c r="L68" s="297"/>
      <c r="M68" s="297"/>
      <c r="N68" s="297"/>
      <c r="O68" s="298"/>
      <c r="P68" s="298"/>
      <c r="Q68" s="297"/>
      <c r="R68" s="297">
        <v>0.0</v>
      </c>
      <c r="S68" s="297"/>
      <c r="T68" s="297" t="s">
        <v>719</v>
      </c>
    </row>
    <row r="69">
      <c r="B69" s="291"/>
      <c r="C69" s="291"/>
      <c r="D69" s="181"/>
      <c r="E69" s="292"/>
      <c r="F69" s="292"/>
      <c r="G69" s="293"/>
      <c r="H69" s="294"/>
      <c r="I69" s="295"/>
      <c r="J69" s="296"/>
      <c r="K69" s="297"/>
      <c r="L69" s="297"/>
      <c r="M69" s="297"/>
      <c r="N69" s="297"/>
      <c r="O69" s="298"/>
      <c r="P69" s="298"/>
      <c r="Q69" s="297"/>
      <c r="R69" s="297">
        <v>0.0</v>
      </c>
      <c r="S69" s="297"/>
      <c r="T69" s="297" t="s">
        <v>719</v>
      </c>
    </row>
    <row r="70">
      <c r="B70" s="291"/>
      <c r="C70" s="291"/>
      <c r="D70" s="181"/>
      <c r="E70" s="292"/>
      <c r="F70" s="292"/>
      <c r="G70" s="293"/>
      <c r="H70" s="294"/>
      <c r="I70" s="295"/>
      <c r="J70" s="296"/>
      <c r="K70" s="297"/>
      <c r="L70" s="297"/>
      <c r="M70" s="297"/>
      <c r="N70" s="297"/>
      <c r="O70" s="298"/>
      <c r="P70" s="298"/>
      <c r="Q70" s="297"/>
      <c r="R70" s="297">
        <v>0.0</v>
      </c>
      <c r="S70" s="297"/>
      <c r="T70" s="297" t="s">
        <v>719</v>
      </c>
    </row>
    <row r="71">
      <c r="B71" s="291"/>
      <c r="C71" s="291"/>
      <c r="D71" s="181"/>
      <c r="E71" s="292"/>
      <c r="F71" s="292"/>
      <c r="G71" s="293"/>
      <c r="H71" s="294"/>
      <c r="I71" s="295"/>
      <c r="J71" s="296"/>
      <c r="K71" s="297"/>
      <c r="L71" s="297"/>
      <c r="M71" s="297"/>
      <c r="N71" s="297"/>
      <c r="O71" s="298"/>
      <c r="P71" s="298"/>
      <c r="Q71" s="297"/>
      <c r="R71" s="297">
        <v>0.0</v>
      </c>
      <c r="S71" s="297"/>
      <c r="T71" s="297" t="s">
        <v>719</v>
      </c>
    </row>
    <row r="72">
      <c r="B72" s="291"/>
      <c r="C72" s="291"/>
      <c r="D72" s="181"/>
      <c r="E72" s="292"/>
      <c r="F72" s="292"/>
      <c r="G72" s="293"/>
      <c r="H72" s="294"/>
      <c r="I72" s="295"/>
      <c r="J72" s="296"/>
      <c r="K72" s="297"/>
      <c r="L72" s="297"/>
      <c r="M72" s="297"/>
      <c r="N72" s="297"/>
      <c r="O72" s="298"/>
      <c r="P72" s="298"/>
      <c r="Q72" s="297"/>
      <c r="R72" s="297">
        <v>0.0</v>
      </c>
      <c r="S72" s="297"/>
      <c r="T72" s="297" t="s">
        <v>719</v>
      </c>
    </row>
    <row r="73">
      <c r="B73" s="291"/>
      <c r="C73" s="291"/>
      <c r="D73" s="181"/>
      <c r="E73" s="292"/>
      <c r="F73" s="292"/>
      <c r="G73" s="293"/>
      <c r="H73" s="294"/>
      <c r="I73" s="295"/>
      <c r="J73" s="296"/>
      <c r="K73" s="297"/>
      <c r="L73" s="297"/>
      <c r="M73" s="297"/>
      <c r="N73" s="297"/>
      <c r="O73" s="298"/>
      <c r="P73" s="298"/>
      <c r="Q73" s="297"/>
      <c r="R73" s="297">
        <v>0.0</v>
      </c>
      <c r="S73" s="297"/>
      <c r="T73" s="297" t="s">
        <v>719</v>
      </c>
    </row>
    <row r="74">
      <c r="B74" s="291"/>
      <c r="C74" s="291"/>
      <c r="D74" s="181"/>
      <c r="E74" s="292"/>
      <c r="F74" s="292"/>
      <c r="G74" s="293"/>
      <c r="H74" s="294"/>
      <c r="I74" s="295"/>
      <c r="J74" s="296"/>
      <c r="K74" s="297"/>
      <c r="L74" s="297"/>
      <c r="M74" s="297"/>
      <c r="N74" s="297"/>
      <c r="O74" s="298"/>
      <c r="P74" s="298"/>
      <c r="Q74" s="297"/>
      <c r="R74" s="297">
        <v>0.0</v>
      </c>
      <c r="S74" s="297"/>
      <c r="T74" s="297" t="s">
        <v>719</v>
      </c>
    </row>
    <row r="75">
      <c r="B75" s="291"/>
      <c r="C75" s="291"/>
      <c r="D75" s="181"/>
      <c r="E75" s="292"/>
      <c r="F75" s="292"/>
      <c r="G75" s="293"/>
      <c r="H75" s="294"/>
      <c r="I75" s="295"/>
      <c r="J75" s="296"/>
      <c r="K75" s="297"/>
      <c r="L75" s="297"/>
      <c r="M75" s="297"/>
      <c r="N75" s="297"/>
      <c r="O75" s="298"/>
      <c r="P75" s="298"/>
      <c r="Q75" s="297"/>
      <c r="R75" s="297">
        <v>0.0</v>
      </c>
      <c r="S75" s="297"/>
      <c r="T75" s="297" t="s">
        <v>719</v>
      </c>
    </row>
    <row r="76">
      <c r="B76" s="291"/>
      <c r="C76" s="291"/>
      <c r="D76" s="181"/>
      <c r="E76" s="292"/>
      <c r="F76" s="292"/>
      <c r="G76" s="293"/>
      <c r="H76" s="294"/>
      <c r="I76" s="295"/>
      <c r="J76" s="296"/>
      <c r="K76" s="297"/>
      <c r="L76" s="297"/>
      <c r="M76" s="297"/>
      <c r="N76" s="297"/>
      <c r="O76" s="298"/>
      <c r="P76" s="298"/>
      <c r="Q76" s="297"/>
      <c r="R76" s="297">
        <v>0.0</v>
      </c>
      <c r="S76" s="297"/>
      <c r="T76" s="297" t="s">
        <v>719</v>
      </c>
    </row>
    <row r="77">
      <c r="B77" s="291"/>
      <c r="C77" s="291"/>
      <c r="D77" s="181"/>
      <c r="E77" s="292"/>
      <c r="F77" s="292"/>
      <c r="G77" s="293"/>
      <c r="H77" s="294"/>
      <c r="I77" s="295"/>
      <c r="J77" s="296"/>
      <c r="K77" s="297"/>
      <c r="L77" s="297"/>
      <c r="M77" s="297"/>
      <c r="N77" s="297"/>
      <c r="O77" s="298"/>
      <c r="P77" s="298"/>
      <c r="Q77" s="297"/>
      <c r="R77" s="297">
        <v>0.0</v>
      </c>
      <c r="S77" s="297"/>
      <c r="T77" s="297" t="s">
        <v>719</v>
      </c>
    </row>
    <row r="78">
      <c r="B78" s="291"/>
      <c r="C78" s="291"/>
      <c r="D78" s="181"/>
      <c r="E78" s="292"/>
      <c r="F78" s="292"/>
      <c r="G78" s="293"/>
      <c r="H78" s="294"/>
      <c r="I78" s="295"/>
      <c r="J78" s="296"/>
      <c r="K78" s="297"/>
      <c r="L78" s="297"/>
      <c r="M78" s="297"/>
      <c r="N78" s="297"/>
      <c r="O78" s="298"/>
      <c r="P78" s="298"/>
      <c r="Q78" s="297"/>
      <c r="R78" s="297">
        <v>0.0</v>
      </c>
      <c r="S78" s="297"/>
      <c r="T78" s="297" t="s">
        <v>719</v>
      </c>
    </row>
    <row r="79">
      <c r="B79" s="291"/>
      <c r="C79" s="291"/>
      <c r="D79" s="181"/>
      <c r="E79" s="292"/>
      <c r="F79" s="292"/>
      <c r="G79" s="293"/>
      <c r="H79" s="294"/>
      <c r="I79" s="295"/>
      <c r="J79" s="296"/>
      <c r="K79" s="297"/>
      <c r="L79" s="297"/>
      <c r="M79" s="297"/>
      <c r="N79" s="297"/>
      <c r="O79" s="298"/>
      <c r="P79" s="298"/>
      <c r="Q79" s="297"/>
      <c r="R79" s="297">
        <v>0.0</v>
      </c>
      <c r="S79" s="297"/>
      <c r="T79" s="297" t="s">
        <v>719</v>
      </c>
    </row>
    <row r="80">
      <c r="B80" s="291"/>
      <c r="C80" s="291"/>
      <c r="D80" s="181"/>
      <c r="E80" s="292"/>
      <c r="F80" s="292"/>
      <c r="G80" s="293"/>
      <c r="H80" s="294"/>
      <c r="I80" s="295"/>
      <c r="J80" s="296"/>
      <c r="K80" s="297"/>
      <c r="L80" s="297"/>
      <c r="M80" s="297"/>
      <c r="N80" s="297"/>
      <c r="O80" s="298"/>
      <c r="P80" s="298"/>
      <c r="Q80" s="297"/>
      <c r="R80" s="297">
        <v>0.0</v>
      </c>
      <c r="S80" s="297"/>
      <c r="T80" s="297" t="s">
        <v>719</v>
      </c>
    </row>
    <row r="81">
      <c r="B81" s="291"/>
      <c r="C81" s="291"/>
      <c r="D81" s="181"/>
      <c r="E81" s="292"/>
      <c r="F81" s="292"/>
      <c r="G81" s="293"/>
      <c r="H81" s="294"/>
      <c r="I81" s="295"/>
      <c r="J81" s="296"/>
      <c r="K81" s="297"/>
      <c r="L81" s="297"/>
      <c r="M81" s="297"/>
      <c r="N81" s="297"/>
      <c r="O81" s="298"/>
      <c r="P81" s="298"/>
      <c r="Q81" s="297"/>
      <c r="R81" s="297">
        <v>0.0</v>
      </c>
      <c r="S81" s="297"/>
      <c r="T81" s="297" t="s">
        <v>719</v>
      </c>
    </row>
    <row r="82">
      <c r="B82" s="291"/>
      <c r="C82" s="291"/>
      <c r="D82" s="181"/>
      <c r="E82" s="292"/>
      <c r="F82" s="292"/>
      <c r="G82" s="293"/>
      <c r="H82" s="294"/>
      <c r="I82" s="295"/>
      <c r="J82" s="296"/>
      <c r="K82" s="297"/>
      <c r="L82" s="297"/>
      <c r="M82" s="297"/>
      <c r="N82" s="297"/>
      <c r="O82" s="298"/>
      <c r="P82" s="298"/>
      <c r="Q82" s="297"/>
      <c r="R82" s="297">
        <v>0.0</v>
      </c>
      <c r="S82" s="297"/>
      <c r="T82" s="297" t="s">
        <v>719</v>
      </c>
    </row>
    <row r="83">
      <c r="B83" s="291"/>
      <c r="C83" s="291"/>
      <c r="D83" s="181"/>
      <c r="E83" s="292"/>
      <c r="F83" s="292"/>
      <c r="G83" s="293"/>
      <c r="H83" s="294"/>
      <c r="I83" s="295"/>
      <c r="J83" s="296"/>
      <c r="K83" s="297"/>
      <c r="L83" s="297"/>
      <c r="M83" s="297"/>
      <c r="N83" s="297"/>
      <c r="O83" s="298"/>
      <c r="P83" s="298"/>
      <c r="Q83" s="297"/>
      <c r="R83" s="297">
        <v>0.0</v>
      </c>
      <c r="S83" s="297"/>
      <c r="T83" s="297" t="s">
        <v>719</v>
      </c>
    </row>
    <row r="84">
      <c r="B84" s="291"/>
      <c r="C84" s="291"/>
      <c r="D84" s="181"/>
      <c r="E84" s="292"/>
      <c r="F84" s="292"/>
      <c r="G84" s="293"/>
      <c r="H84" s="294"/>
      <c r="I84" s="295"/>
      <c r="J84" s="296"/>
      <c r="K84" s="297"/>
      <c r="L84" s="297"/>
      <c r="M84" s="297"/>
      <c r="N84" s="297"/>
      <c r="O84" s="298"/>
      <c r="P84" s="298"/>
      <c r="Q84" s="297"/>
      <c r="R84" s="297">
        <v>0.0</v>
      </c>
      <c r="S84" s="297"/>
      <c r="T84" s="297" t="s">
        <v>719</v>
      </c>
    </row>
    <row r="85">
      <c r="B85" s="291"/>
      <c r="C85" s="291"/>
      <c r="D85" s="181"/>
      <c r="E85" s="292"/>
      <c r="F85" s="292"/>
      <c r="G85" s="293"/>
      <c r="H85" s="294"/>
      <c r="I85" s="295"/>
      <c r="J85" s="296"/>
      <c r="K85" s="297"/>
      <c r="L85" s="297"/>
      <c r="M85" s="297"/>
      <c r="N85" s="297"/>
      <c r="O85" s="298"/>
      <c r="P85" s="298"/>
      <c r="Q85" s="297"/>
      <c r="R85" s="297">
        <v>0.0</v>
      </c>
      <c r="S85" s="297"/>
      <c r="T85" s="297" t="s">
        <v>719</v>
      </c>
    </row>
    <row r="86">
      <c r="B86" s="291"/>
      <c r="C86" s="291"/>
      <c r="D86" s="181"/>
      <c r="E86" s="292"/>
      <c r="F86" s="292"/>
      <c r="G86" s="293"/>
      <c r="H86" s="294"/>
      <c r="I86" s="295"/>
      <c r="J86" s="296"/>
      <c r="K86" s="297"/>
      <c r="L86" s="297"/>
      <c r="M86" s="297"/>
      <c r="N86" s="297"/>
      <c r="O86" s="298"/>
      <c r="P86" s="298"/>
      <c r="Q86" s="297"/>
      <c r="R86" s="297">
        <v>0.0</v>
      </c>
      <c r="S86" s="297"/>
      <c r="T86" s="297" t="s">
        <v>719</v>
      </c>
    </row>
    <row r="87">
      <c r="B87" s="291"/>
      <c r="C87" s="291"/>
      <c r="D87" s="181"/>
      <c r="E87" s="292"/>
      <c r="F87" s="292"/>
      <c r="G87" s="293"/>
      <c r="H87" s="294"/>
      <c r="I87" s="295"/>
      <c r="J87" s="296"/>
      <c r="K87" s="297"/>
      <c r="L87" s="297"/>
      <c r="M87" s="297"/>
      <c r="N87" s="297"/>
      <c r="O87" s="298"/>
      <c r="P87" s="298"/>
      <c r="Q87" s="297"/>
      <c r="R87" s="297">
        <v>0.0</v>
      </c>
      <c r="S87" s="297"/>
      <c r="T87" s="297" t="s">
        <v>719</v>
      </c>
    </row>
    <row r="88">
      <c r="B88" s="291"/>
      <c r="C88" s="291"/>
      <c r="D88" s="181"/>
      <c r="E88" s="292"/>
      <c r="F88" s="292"/>
      <c r="G88" s="293"/>
      <c r="H88" s="294"/>
      <c r="I88" s="295"/>
      <c r="J88" s="296"/>
      <c r="K88" s="297"/>
      <c r="L88" s="297"/>
      <c r="M88" s="297"/>
      <c r="N88" s="297"/>
      <c r="O88" s="298"/>
      <c r="P88" s="298"/>
      <c r="Q88" s="297"/>
      <c r="R88" s="297">
        <v>0.0</v>
      </c>
      <c r="S88" s="297"/>
      <c r="T88" s="297" t="s">
        <v>719</v>
      </c>
    </row>
    <row r="89">
      <c r="B89" s="291"/>
      <c r="C89" s="291"/>
      <c r="D89" s="181"/>
      <c r="E89" s="292"/>
      <c r="F89" s="292"/>
      <c r="G89" s="293"/>
      <c r="H89" s="294"/>
      <c r="I89" s="295"/>
      <c r="J89" s="296"/>
      <c r="K89" s="297"/>
      <c r="L89" s="297"/>
      <c r="M89" s="297"/>
      <c r="N89" s="297"/>
      <c r="O89" s="298"/>
      <c r="P89" s="298"/>
      <c r="Q89" s="297"/>
      <c r="R89" s="297">
        <v>0.0</v>
      </c>
      <c r="S89" s="297"/>
      <c r="T89" s="297" t="s">
        <v>719</v>
      </c>
    </row>
    <row r="90">
      <c r="B90" s="291"/>
      <c r="C90" s="291"/>
      <c r="D90" s="181"/>
      <c r="E90" s="292"/>
      <c r="F90" s="292"/>
      <c r="G90" s="293"/>
      <c r="H90" s="294"/>
      <c r="I90" s="295"/>
      <c r="J90" s="296"/>
      <c r="K90" s="297"/>
      <c r="L90" s="297"/>
      <c r="M90" s="297"/>
      <c r="N90" s="297"/>
      <c r="O90" s="298"/>
      <c r="P90" s="298"/>
      <c r="Q90" s="297"/>
      <c r="R90" s="297">
        <v>0.0</v>
      </c>
      <c r="S90" s="297"/>
      <c r="T90" s="297" t="s">
        <v>719</v>
      </c>
    </row>
    <row r="91">
      <c r="B91" s="291"/>
      <c r="C91" s="291"/>
      <c r="D91" s="181"/>
      <c r="E91" s="292"/>
      <c r="F91" s="292"/>
      <c r="G91" s="293"/>
      <c r="H91" s="294"/>
      <c r="I91" s="295"/>
      <c r="J91" s="296"/>
      <c r="K91" s="297"/>
      <c r="L91" s="297"/>
      <c r="M91" s="297"/>
      <c r="N91" s="297"/>
      <c r="O91" s="298"/>
      <c r="P91" s="298"/>
      <c r="Q91" s="297"/>
      <c r="R91" s="297">
        <v>0.0</v>
      </c>
      <c r="S91" s="297"/>
      <c r="T91" s="297" t="s">
        <v>719</v>
      </c>
    </row>
    <row r="92">
      <c r="B92" s="291"/>
      <c r="C92" s="291"/>
      <c r="D92" s="181"/>
      <c r="E92" s="292"/>
      <c r="F92" s="292"/>
      <c r="G92" s="293"/>
      <c r="H92" s="294"/>
      <c r="I92" s="295"/>
      <c r="J92" s="296"/>
      <c r="K92" s="297"/>
      <c r="L92" s="297"/>
      <c r="M92" s="297"/>
      <c r="N92" s="297"/>
      <c r="O92" s="298"/>
      <c r="P92" s="298"/>
      <c r="Q92" s="297"/>
      <c r="R92" s="297">
        <v>0.0</v>
      </c>
      <c r="S92" s="297"/>
      <c r="T92" s="297" t="s">
        <v>719</v>
      </c>
    </row>
    <row r="93">
      <c r="B93" s="291"/>
      <c r="C93" s="291"/>
      <c r="D93" s="181"/>
      <c r="E93" s="292"/>
      <c r="F93" s="292"/>
      <c r="G93" s="293"/>
      <c r="H93" s="294"/>
      <c r="I93" s="295"/>
      <c r="J93" s="296"/>
      <c r="K93" s="297"/>
      <c r="L93" s="297"/>
      <c r="M93" s="297"/>
      <c r="N93" s="297"/>
      <c r="O93" s="298"/>
      <c r="P93" s="298"/>
      <c r="Q93" s="297"/>
      <c r="R93" s="297">
        <v>0.0</v>
      </c>
      <c r="S93" s="297"/>
      <c r="T93" s="297" t="s">
        <v>719</v>
      </c>
    </row>
    <row r="94">
      <c r="B94" s="291"/>
      <c r="C94" s="291"/>
      <c r="D94" s="181"/>
      <c r="E94" s="292"/>
      <c r="F94" s="292"/>
      <c r="G94" s="293"/>
      <c r="H94" s="294"/>
      <c r="I94" s="295"/>
      <c r="J94" s="296"/>
      <c r="K94" s="297"/>
      <c r="L94" s="297"/>
      <c r="M94" s="297"/>
      <c r="N94" s="297"/>
      <c r="O94" s="298"/>
      <c r="P94" s="298"/>
      <c r="Q94" s="297"/>
      <c r="R94" s="297">
        <v>0.0</v>
      </c>
      <c r="S94" s="297"/>
      <c r="T94" s="297" t="s">
        <v>719</v>
      </c>
    </row>
    <row r="95">
      <c r="B95" s="291"/>
      <c r="C95" s="291"/>
      <c r="D95" s="181"/>
      <c r="E95" s="292"/>
      <c r="F95" s="292"/>
      <c r="G95" s="293"/>
      <c r="H95" s="294"/>
      <c r="I95" s="295"/>
      <c r="J95" s="296"/>
      <c r="K95" s="297"/>
      <c r="L95" s="297"/>
      <c r="M95" s="297"/>
      <c r="N95" s="297"/>
      <c r="O95" s="298"/>
      <c r="P95" s="298"/>
      <c r="Q95" s="297"/>
      <c r="R95" s="297">
        <v>0.0</v>
      </c>
      <c r="S95" s="297"/>
      <c r="T95" s="297" t="s">
        <v>719</v>
      </c>
    </row>
    <row r="96">
      <c r="B96" s="291"/>
      <c r="C96" s="291"/>
      <c r="D96" s="181"/>
      <c r="E96" s="292"/>
      <c r="F96" s="292"/>
      <c r="G96" s="293"/>
      <c r="H96" s="294"/>
      <c r="I96" s="295"/>
      <c r="J96" s="296"/>
      <c r="K96" s="297"/>
      <c r="L96" s="297"/>
      <c r="M96" s="297"/>
      <c r="N96" s="297"/>
      <c r="O96" s="298"/>
      <c r="P96" s="298"/>
      <c r="Q96" s="297"/>
      <c r="R96" s="297">
        <v>0.0</v>
      </c>
      <c r="S96" s="297"/>
      <c r="T96" s="297" t="s">
        <v>719</v>
      </c>
    </row>
    <row r="97">
      <c r="B97" s="291"/>
      <c r="C97" s="291"/>
      <c r="D97" s="181"/>
      <c r="E97" s="292"/>
      <c r="F97" s="292"/>
      <c r="G97" s="293"/>
      <c r="H97" s="294"/>
      <c r="I97" s="295"/>
      <c r="J97" s="296"/>
      <c r="K97" s="297"/>
      <c r="L97" s="297"/>
      <c r="M97" s="297"/>
      <c r="N97" s="297"/>
      <c r="O97" s="298"/>
      <c r="P97" s="298"/>
      <c r="Q97" s="297"/>
      <c r="R97" s="297">
        <v>0.0</v>
      </c>
      <c r="S97" s="297"/>
      <c r="T97" s="297" t="s">
        <v>719</v>
      </c>
    </row>
    <row r="98">
      <c r="B98" s="291"/>
      <c r="C98" s="291"/>
      <c r="D98" s="181"/>
      <c r="E98" s="292"/>
      <c r="F98" s="292"/>
      <c r="G98" s="293"/>
      <c r="H98" s="294"/>
      <c r="I98" s="295"/>
      <c r="J98" s="296"/>
      <c r="K98" s="297"/>
      <c r="L98" s="297"/>
      <c r="M98" s="297"/>
      <c r="N98" s="297"/>
      <c r="O98" s="298"/>
      <c r="P98" s="298"/>
      <c r="Q98" s="297"/>
      <c r="R98" s="297">
        <v>0.0</v>
      </c>
      <c r="S98" s="297"/>
      <c r="T98" s="297" t="s">
        <v>719</v>
      </c>
    </row>
    <row r="99">
      <c r="B99" s="291"/>
      <c r="C99" s="291"/>
      <c r="D99" s="181"/>
      <c r="E99" s="292"/>
      <c r="F99" s="292"/>
      <c r="G99" s="293"/>
      <c r="H99" s="294"/>
      <c r="I99" s="295"/>
      <c r="J99" s="296"/>
      <c r="K99" s="297"/>
      <c r="L99" s="297"/>
      <c r="M99" s="297"/>
      <c r="N99" s="297"/>
      <c r="O99" s="298"/>
      <c r="P99" s="298"/>
      <c r="Q99" s="297"/>
      <c r="R99" s="297">
        <v>0.0</v>
      </c>
      <c r="S99" s="297"/>
      <c r="T99" s="297" t="s">
        <v>719</v>
      </c>
    </row>
    <row r="100">
      <c r="B100" s="291"/>
      <c r="C100" s="291"/>
      <c r="D100" s="181"/>
      <c r="E100" s="292"/>
      <c r="F100" s="292"/>
      <c r="G100" s="293"/>
      <c r="H100" s="294"/>
      <c r="I100" s="295"/>
      <c r="J100" s="296"/>
      <c r="K100" s="297"/>
      <c r="L100" s="297"/>
      <c r="M100" s="297"/>
      <c r="N100" s="297"/>
      <c r="O100" s="298"/>
      <c r="P100" s="298"/>
      <c r="Q100" s="297"/>
      <c r="R100" s="297">
        <v>0.0</v>
      </c>
      <c r="S100" s="297"/>
      <c r="T100" s="297" t="s">
        <v>719</v>
      </c>
    </row>
    <row r="101">
      <c r="B101" s="291"/>
      <c r="C101" s="291"/>
      <c r="D101" s="181"/>
      <c r="E101" s="292"/>
      <c r="F101" s="292"/>
      <c r="G101" s="293"/>
      <c r="H101" s="294"/>
      <c r="I101" s="295"/>
      <c r="J101" s="296"/>
      <c r="K101" s="297"/>
      <c r="L101" s="297"/>
      <c r="M101" s="297"/>
      <c r="N101" s="297"/>
      <c r="O101" s="298"/>
      <c r="P101" s="298"/>
      <c r="Q101" s="297"/>
      <c r="R101" s="297">
        <v>0.0</v>
      </c>
      <c r="S101" s="297"/>
      <c r="T101" s="297" t="s">
        <v>719</v>
      </c>
    </row>
    <row r="102">
      <c r="B102" s="291"/>
      <c r="C102" s="291"/>
      <c r="D102" s="181"/>
      <c r="E102" s="292"/>
      <c r="F102" s="292"/>
      <c r="G102" s="293"/>
      <c r="H102" s="294"/>
      <c r="I102" s="295"/>
      <c r="J102" s="296"/>
      <c r="K102" s="297"/>
      <c r="L102" s="297"/>
      <c r="M102" s="297"/>
      <c r="N102" s="297"/>
      <c r="O102" s="298"/>
      <c r="P102" s="298"/>
      <c r="Q102" s="297"/>
      <c r="R102" s="297">
        <v>0.0</v>
      </c>
      <c r="S102" s="297"/>
      <c r="T102" s="297" t="s">
        <v>719</v>
      </c>
    </row>
    <row r="103">
      <c r="B103" s="291"/>
      <c r="C103" s="291"/>
      <c r="D103" s="181"/>
      <c r="E103" s="292"/>
      <c r="F103" s="292"/>
      <c r="G103" s="293"/>
      <c r="H103" s="294"/>
      <c r="I103" s="295"/>
      <c r="J103" s="296"/>
      <c r="K103" s="297"/>
      <c r="L103" s="297"/>
      <c r="M103" s="297"/>
      <c r="N103" s="297"/>
      <c r="O103" s="298"/>
      <c r="P103" s="298"/>
      <c r="Q103" s="297"/>
      <c r="R103" s="297">
        <v>0.0</v>
      </c>
      <c r="S103" s="297"/>
      <c r="T103" s="297" t="s">
        <v>719</v>
      </c>
    </row>
    <row r="104">
      <c r="B104" s="291"/>
      <c r="C104" s="291"/>
      <c r="D104" s="181"/>
      <c r="E104" s="292"/>
      <c r="F104" s="292"/>
      <c r="G104" s="293"/>
      <c r="H104" s="294"/>
      <c r="I104" s="295"/>
      <c r="J104" s="296"/>
      <c r="K104" s="297"/>
      <c r="L104" s="297"/>
      <c r="M104" s="297"/>
      <c r="N104" s="297"/>
      <c r="O104" s="298"/>
      <c r="P104" s="298"/>
      <c r="Q104" s="297"/>
      <c r="R104" s="297">
        <v>0.0</v>
      </c>
      <c r="S104" s="297"/>
      <c r="T104" s="297" t="s">
        <v>719</v>
      </c>
    </row>
    <row r="105">
      <c r="B105" s="291"/>
      <c r="C105" s="291"/>
      <c r="D105" s="181"/>
      <c r="E105" s="292"/>
      <c r="F105" s="292"/>
      <c r="G105" s="293"/>
      <c r="H105" s="294"/>
      <c r="I105" s="295"/>
      <c r="J105" s="296"/>
      <c r="K105" s="297"/>
      <c r="L105" s="297"/>
      <c r="M105" s="297"/>
      <c r="N105" s="297"/>
      <c r="O105" s="298"/>
      <c r="P105" s="298"/>
      <c r="Q105" s="297"/>
      <c r="R105" s="297">
        <v>0.0</v>
      </c>
      <c r="S105" s="297"/>
      <c r="T105" s="297" t="s">
        <v>719</v>
      </c>
    </row>
    <row r="106">
      <c r="B106" s="291"/>
      <c r="C106" s="291"/>
      <c r="D106" s="181"/>
      <c r="E106" s="292"/>
      <c r="F106" s="292"/>
      <c r="G106" s="293"/>
      <c r="H106" s="294"/>
      <c r="I106" s="295"/>
      <c r="J106" s="296"/>
      <c r="K106" s="297"/>
      <c r="L106" s="297"/>
      <c r="M106" s="297"/>
      <c r="N106" s="297"/>
      <c r="O106" s="298"/>
      <c r="P106" s="298"/>
      <c r="Q106" s="297"/>
      <c r="R106" s="297">
        <v>0.0</v>
      </c>
      <c r="S106" s="297"/>
      <c r="T106" s="297" t="s">
        <v>719</v>
      </c>
    </row>
    <row r="107">
      <c r="B107" s="291"/>
      <c r="C107" s="291"/>
      <c r="D107" s="181"/>
      <c r="E107" s="292"/>
      <c r="F107" s="292"/>
      <c r="G107" s="293"/>
      <c r="H107" s="294"/>
      <c r="I107" s="295"/>
      <c r="J107" s="296"/>
      <c r="K107" s="297"/>
      <c r="L107" s="297"/>
      <c r="M107" s="297"/>
      <c r="N107" s="297"/>
      <c r="O107" s="298"/>
      <c r="P107" s="298"/>
      <c r="Q107" s="297"/>
      <c r="R107" s="297">
        <v>0.0</v>
      </c>
      <c r="S107" s="297"/>
      <c r="T107" s="297" t="s">
        <v>719</v>
      </c>
    </row>
    <row r="108">
      <c r="B108" s="291"/>
      <c r="C108" s="291"/>
      <c r="D108" s="181"/>
      <c r="E108" s="292"/>
      <c r="F108" s="292"/>
      <c r="G108" s="293"/>
      <c r="H108" s="294"/>
      <c r="I108" s="295"/>
      <c r="J108" s="296"/>
      <c r="K108" s="297"/>
      <c r="L108" s="297"/>
      <c r="M108" s="297"/>
      <c r="N108" s="297"/>
      <c r="O108" s="298"/>
      <c r="P108" s="298"/>
      <c r="Q108" s="297"/>
      <c r="R108" s="297">
        <v>0.0</v>
      </c>
      <c r="S108" s="297"/>
      <c r="T108" s="297" t="s">
        <v>719</v>
      </c>
    </row>
    <row r="109">
      <c r="B109" s="291"/>
      <c r="C109" s="291"/>
      <c r="D109" s="181"/>
      <c r="E109" s="292"/>
      <c r="F109" s="292"/>
      <c r="G109" s="293"/>
      <c r="H109" s="294"/>
      <c r="I109" s="295"/>
      <c r="J109" s="296"/>
      <c r="K109" s="297"/>
      <c r="L109" s="297"/>
      <c r="M109" s="297"/>
      <c r="N109" s="297"/>
      <c r="O109" s="298"/>
      <c r="P109" s="298"/>
      <c r="Q109" s="297"/>
      <c r="R109" s="297">
        <v>0.0</v>
      </c>
      <c r="S109" s="297"/>
      <c r="T109" s="297" t="s">
        <v>719</v>
      </c>
    </row>
    <row r="110">
      <c r="B110" s="291"/>
      <c r="C110" s="291"/>
      <c r="D110" s="181"/>
      <c r="E110" s="292"/>
      <c r="F110" s="292"/>
      <c r="G110" s="293"/>
      <c r="H110" s="294"/>
      <c r="I110" s="295"/>
      <c r="J110" s="296"/>
      <c r="K110" s="297"/>
      <c r="L110" s="297"/>
      <c r="M110" s="297"/>
      <c r="N110" s="297"/>
      <c r="O110" s="298"/>
      <c r="P110" s="298"/>
      <c r="Q110" s="297"/>
      <c r="R110" s="297">
        <v>0.0</v>
      </c>
      <c r="S110" s="297"/>
      <c r="T110" s="297" t="s">
        <v>719</v>
      </c>
    </row>
    <row r="111">
      <c r="B111" s="291"/>
      <c r="C111" s="291"/>
      <c r="D111" s="181"/>
      <c r="E111" s="292"/>
      <c r="F111" s="292"/>
      <c r="G111" s="293"/>
      <c r="H111" s="294"/>
      <c r="I111" s="295"/>
      <c r="J111" s="296"/>
      <c r="K111" s="297"/>
      <c r="L111" s="297"/>
      <c r="M111" s="297"/>
      <c r="N111" s="297"/>
      <c r="O111" s="298"/>
      <c r="P111" s="298"/>
      <c r="Q111" s="297"/>
      <c r="R111" s="297">
        <v>0.0</v>
      </c>
      <c r="S111" s="297"/>
      <c r="T111" s="297" t="s">
        <v>719</v>
      </c>
    </row>
    <row r="112">
      <c r="B112" s="291"/>
      <c r="C112" s="291"/>
      <c r="D112" s="181"/>
      <c r="E112" s="292"/>
      <c r="F112" s="292"/>
      <c r="G112" s="293"/>
      <c r="H112" s="294"/>
      <c r="I112" s="295"/>
      <c r="J112" s="296"/>
      <c r="K112" s="297"/>
      <c r="L112" s="297"/>
      <c r="M112" s="297"/>
      <c r="N112" s="297"/>
      <c r="O112" s="298"/>
      <c r="P112" s="298"/>
      <c r="Q112" s="297"/>
      <c r="R112" s="297">
        <v>0.0</v>
      </c>
      <c r="S112" s="297"/>
      <c r="T112" s="297" t="s">
        <v>719</v>
      </c>
    </row>
    <row r="113">
      <c r="B113" s="291"/>
      <c r="C113" s="291"/>
      <c r="D113" s="181"/>
      <c r="E113" s="292"/>
      <c r="F113" s="292"/>
      <c r="G113" s="293"/>
      <c r="H113" s="294"/>
      <c r="I113" s="295"/>
      <c r="J113" s="296"/>
      <c r="K113" s="297"/>
      <c r="L113" s="297"/>
      <c r="M113" s="297"/>
      <c r="N113" s="297"/>
      <c r="O113" s="298"/>
      <c r="P113" s="298"/>
      <c r="Q113" s="297"/>
      <c r="R113" s="297">
        <v>0.0</v>
      </c>
      <c r="S113" s="297"/>
      <c r="T113" s="297" t="s">
        <v>719</v>
      </c>
    </row>
    <row r="114">
      <c r="B114" s="291"/>
      <c r="C114" s="291"/>
      <c r="D114" s="181"/>
      <c r="E114" s="292"/>
      <c r="F114" s="292"/>
      <c r="G114" s="293"/>
      <c r="H114" s="294"/>
      <c r="I114" s="295"/>
      <c r="J114" s="296"/>
      <c r="K114" s="297"/>
      <c r="L114" s="297"/>
      <c r="M114" s="297"/>
      <c r="N114" s="297"/>
      <c r="O114" s="298"/>
      <c r="P114" s="298"/>
      <c r="Q114" s="297"/>
      <c r="R114" s="297">
        <v>0.0</v>
      </c>
      <c r="S114" s="297"/>
      <c r="T114" s="297" t="s">
        <v>719</v>
      </c>
    </row>
    <row r="115">
      <c r="B115" s="291"/>
      <c r="C115" s="291"/>
      <c r="D115" s="181"/>
      <c r="E115" s="292"/>
      <c r="F115" s="292"/>
      <c r="G115" s="293"/>
      <c r="H115" s="294"/>
      <c r="I115" s="295"/>
      <c r="J115" s="296"/>
      <c r="K115" s="297"/>
      <c r="L115" s="297"/>
      <c r="M115" s="297"/>
      <c r="N115" s="297"/>
      <c r="O115" s="298"/>
      <c r="P115" s="298"/>
      <c r="Q115" s="297"/>
      <c r="R115" s="297">
        <v>0.0</v>
      </c>
      <c r="S115" s="297"/>
      <c r="T115" s="297" t="s">
        <v>719</v>
      </c>
    </row>
    <row r="116">
      <c r="B116" s="291"/>
      <c r="C116" s="291"/>
      <c r="D116" s="181"/>
      <c r="E116" s="292"/>
      <c r="F116" s="292"/>
      <c r="G116" s="293"/>
      <c r="H116" s="294"/>
      <c r="I116" s="295"/>
      <c r="J116" s="296"/>
      <c r="K116" s="297"/>
      <c r="L116" s="297"/>
      <c r="M116" s="297"/>
      <c r="N116" s="297"/>
      <c r="O116" s="298"/>
      <c r="P116" s="298"/>
      <c r="Q116" s="297"/>
      <c r="R116" s="297">
        <v>0.0</v>
      </c>
      <c r="S116" s="297"/>
      <c r="T116" s="297" t="s">
        <v>719</v>
      </c>
    </row>
    <row r="117">
      <c r="B117" s="291"/>
      <c r="C117" s="291"/>
      <c r="D117" s="181"/>
      <c r="E117" s="292"/>
      <c r="F117" s="292"/>
      <c r="G117" s="293"/>
      <c r="H117" s="294"/>
      <c r="I117" s="295"/>
      <c r="J117" s="296"/>
      <c r="K117" s="297"/>
      <c r="L117" s="297"/>
      <c r="M117" s="297"/>
      <c r="N117" s="297"/>
      <c r="O117" s="298"/>
      <c r="P117" s="298"/>
      <c r="Q117" s="297"/>
      <c r="R117" s="297">
        <v>0.0</v>
      </c>
      <c r="S117" s="297"/>
      <c r="T117" s="297" t="s">
        <v>719</v>
      </c>
    </row>
    <row r="118">
      <c r="B118" s="291"/>
      <c r="C118" s="291"/>
      <c r="D118" s="181"/>
      <c r="E118" s="292"/>
      <c r="F118" s="292"/>
      <c r="G118" s="293"/>
      <c r="H118" s="294"/>
      <c r="I118" s="295"/>
      <c r="J118" s="296"/>
      <c r="K118" s="297"/>
      <c r="L118" s="297"/>
      <c r="M118" s="297"/>
      <c r="N118" s="297"/>
      <c r="O118" s="298"/>
      <c r="P118" s="298"/>
      <c r="Q118" s="297"/>
      <c r="R118" s="297">
        <v>0.0</v>
      </c>
      <c r="S118" s="297"/>
      <c r="T118" s="297" t="s">
        <v>719</v>
      </c>
    </row>
    <row r="119">
      <c r="B119" s="291"/>
      <c r="C119" s="291"/>
      <c r="D119" s="181"/>
      <c r="E119" s="292"/>
      <c r="F119" s="292"/>
      <c r="G119" s="293"/>
      <c r="H119" s="294"/>
      <c r="I119" s="295"/>
      <c r="J119" s="296"/>
      <c r="K119" s="297"/>
      <c r="L119" s="297"/>
      <c r="M119" s="297"/>
      <c r="N119" s="297"/>
      <c r="O119" s="298"/>
      <c r="P119" s="298"/>
      <c r="Q119" s="297"/>
      <c r="R119" s="297">
        <v>0.0</v>
      </c>
      <c r="S119" s="297"/>
      <c r="T119" s="297" t="s">
        <v>719</v>
      </c>
    </row>
    <row r="120">
      <c r="B120" s="291"/>
      <c r="C120" s="291"/>
      <c r="D120" s="181"/>
      <c r="E120" s="292"/>
      <c r="F120" s="292"/>
      <c r="G120" s="293"/>
      <c r="H120" s="294"/>
      <c r="I120" s="295"/>
      <c r="J120" s="296"/>
      <c r="K120" s="297"/>
      <c r="L120" s="297"/>
      <c r="M120" s="297"/>
      <c r="N120" s="297"/>
      <c r="O120" s="298"/>
      <c r="P120" s="298"/>
      <c r="Q120" s="297"/>
      <c r="R120" s="297">
        <v>0.0</v>
      </c>
      <c r="S120" s="297"/>
      <c r="T120" s="297" t="s">
        <v>719</v>
      </c>
    </row>
    <row r="121">
      <c r="B121" s="291"/>
      <c r="C121" s="291"/>
      <c r="D121" s="181"/>
      <c r="E121" s="292"/>
      <c r="F121" s="292"/>
      <c r="G121" s="293"/>
      <c r="H121" s="294"/>
      <c r="I121" s="295"/>
      <c r="J121" s="296"/>
      <c r="K121" s="297"/>
      <c r="L121" s="297"/>
      <c r="M121" s="297"/>
      <c r="N121" s="297"/>
      <c r="O121" s="298"/>
      <c r="P121" s="298"/>
      <c r="Q121" s="297"/>
      <c r="R121" s="297">
        <v>0.0</v>
      </c>
      <c r="S121" s="297"/>
      <c r="T121" s="297" t="s">
        <v>719</v>
      </c>
    </row>
    <row r="122">
      <c r="B122" s="291"/>
      <c r="C122" s="291"/>
      <c r="D122" s="181"/>
      <c r="E122" s="292"/>
      <c r="F122" s="292"/>
      <c r="G122" s="293"/>
      <c r="H122" s="294"/>
      <c r="I122" s="295"/>
      <c r="J122" s="296"/>
      <c r="K122" s="297"/>
      <c r="L122" s="297"/>
      <c r="M122" s="297"/>
      <c r="N122" s="297"/>
      <c r="O122" s="298"/>
      <c r="P122" s="298"/>
      <c r="Q122" s="297"/>
      <c r="R122" s="297">
        <v>0.0</v>
      </c>
      <c r="S122" s="297"/>
      <c r="T122" s="297" t="s">
        <v>719</v>
      </c>
    </row>
    <row r="123">
      <c r="B123" s="291"/>
      <c r="C123" s="291"/>
      <c r="D123" s="181"/>
      <c r="E123" s="292"/>
      <c r="F123" s="292"/>
      <c r="G123" s="293"/>
      <c r="H123" s="294"/>
      <c r="I123" s="295"/>
      <c r="J123" s="296"/>
      <c r="K123" s="297"/>
      <c r="L123" s="297"/>
      <c r="M123" s="297"/>
      <c r="N123" s="297"/>
      <c r="O123" s="298"/>
      <c r="P123" s="298"/>
      <c r="Q123" s="297"/>
      <c r="R123" s="297">
        <v>0.0</v>
      </c>
      <c r="S123" s="297"/>
      <c r="T123" s="297" t="s">
        <v>719</v>
      </c>
    </row>
    <row r="124">
      <c r="B124" s="291"/>
      <c r="C124" s="291"/>
      <c r="D124" s="181"/>
      <c r="E124" s="292"/>
      <c r="F124" s="292"/>
      <c r="G124" s="293"/>
      <c r="H124" s="294"/>
      <c r="I124" s="295"/>
      <c r="J124" s="296"/>
      <c r="K124" s="297"/>
      <c r="L124" s="297"/>
      <c r="M124" s="297"/>
      <c r="N124" s="297"/>
      <c r="O124" s="298"/>
      <c r="P124" s="298"/>
      <c r="Q124" s="297"/>
      <c r="R124" s="297">
        <v>0.0</v>
      </c>
      <c r="S124" s="297"/>
      <c r="T124" s="297" t="s">
        <v>719</v>
      </c>
    </row>
    <row r="125">
      <c r="B125" s="291"/>
      <c r="C125" s="291"/>
      <c r="D125" s="181"/>
      <c r="E125" s="292"/>
      <c r="F125" s="292"/>
      <c r="G125" s="293"/>
      <c r="H125" s="294"/>
      <c r="I125" s="295"/>
      <c r="J125" s="296"/>
      <c r="K125" s="297"/>
      <c r="L125" s="297"/>
      <c r="M125" s="297"/>
      <c r="N125" s="297"/>
      <c r="O125" s="298"/>
      <c r="P125" s="298"/>
      <c r="Q125" s="297"/>
      <c r="R125" s="297">
        <v>0.0</v>
      </c>
      <c r="S125" s="297"/>
      <c r="T125" s="297" t="s">
        <v>719</v>
      </c>
    </row>
    <row r="126">
      <c r="B126" s="291"/>
      <c r="C126" s="291"/>
      <c r="D126" s="181"/>
      <c r="E126" s="292"/>
      <c r="F126" s="292"/>
      <c r="G126" s="293"/>
      <c r="H126" s="294"/>
      <c r="I126" s="295"/>
      <c r="J126" s="296"/>
      <c r="K126" s="297"/>
      <c r="L126" s="297"/>
      <c r="M126" s="297"/>
      <c r="N126" s="297"/>
      <c r="O126" s="298"/>
      <c r="P126" s="298"/>
      <c r="Q126" s="297"/>
      <c r="R126" s="297">
        <v>0.0</v>
      </c>
      <c r="S126" s="297"/>
      <c r="T126" s="297" t="s">
        <v>719</v>
      </c>
    </row>
    <row r="127">
      <c r="B127" s="291"/>
      <c r="C127" s="291"/>
      <c r="D127" s="181"/>
      <c r="E127" s="292"/>
      <c r="F127" s="292"/>
      <c r="G127" s="293"/>
      <c r="H127" s="294"/>
      <c r="I127" s="295"/>
      <c r="J127" s="296"/>
      <c r="K127" s="297"/>
      <c r="L127" s="297"/>
      <c r="M127" s="297"/>
      <c r="N127" s="297"/>
      <c r="O127" s="298"/>
      <c r="P127" s="298"/>
      <c r="Q127" s="297"/>
      <c r="R127" s="297">
        <v>0.0</v>
      </c>
      <c r="S127" s="297"/>
      <c r="T127" s="297" t="s">
        <v>719</v>
      </c>
    </row>
    <row r="128">
      <c r="B128" s="291"/>
      <c r="C128" s="291"/>
      <c r="D128" s="181"/>
      <c r="E128" s="292"/>
      <c r="F128" s="292"/>
      <c r="G128" s="293"/>
      <c r="H128" s="294"/>
      <c r="I128" s="295"/>
      <c r="J128" s="296"/>
      <c r="K128" s="297"/>
      <c r="L128" s="297"/>
      <c r="M128" s="297"/>
      <c r="N128" s="297"/>
      <c r="O128" s="298"/>
      <c r="P128" s="298"/>
      <c r="Q128" s="297"/>
      <c r="R128" s="297">
        <v>0.0</v>
      </c>
      <c r="S128" s="297"/>
      <c r="T128" s="297" t="s">
        <v>719</v>
      </c>
    </row>
    <row r="129">
      <c r="B129" s="291"/>
      <c r="C129" s="291"/>
      <c r="D129" s="181"/>
      <c r="E129" s="292"/>
      <c r="F129" s="292"/>
      <c r="G129" s="293"/>
      <c r="H129" s="294"/>
      <c r="I129" s="295"/>
      <c r="J129" s="296"/>
      <c r="K129" s="297"/>
      <c r="L129" s="297"/>
      <c r="M129" s="297"/>
      <c r="N129" s="297"/>
      <c r="O129" s="298"/>
      <c r="P129" s="298"/>
      <c r="Q129" s="297"/>
      <c r="R129" s="297">
        <v>0.0</v>
      </c>
      <c r="S129" s="297"/>
      <c r="T129" s="297" t="s">
        <v>719</v>
      </c>
    </row>
    <row r="130">
      <c r="B130" s="291"/>
      <c r="C130" s="291"/>
      <c r="D130" s="181"/>
      <c r="E130" s="292"/>
      <c r="F130" s="292"/>
      <c r="G130" s="293"/>
      <c r="H130" s="294"/>
      <c r="I130" s="295"/>
      <c r="J130" s="296"/>
      <c r="K130" s="297"/>
      <c r="L130" s="297"/>
      <c r="M130" s="297"/>
      <c r="N130" s="297"/>
      <c r="O130" s="298"/>
      <c r="P130" s="298"/>
      <c r="Q130" s="297"/>
      <c r="R130" s="297">
        <v>0.0</v>
      </c>
      <c r="S130" s="297"/>
      <c r="T130" s="297" t="s">
        <v>719</v>
      </c>
    </row>
    <row r="131">
      <c r="B131" s="291"/>
      <c r="C131" s="291"/>
      <c r="D131" s="181"/>
      <c r="E131" s="292"/>
      <c r="F131" s="292"/>
      <c r="G131" s="293"/>
      <c r="H131" s="294"/>
      <c r="I131" s="295"/>
      <c r="J131" s="296"/>
      <c r="K131" s="297"/>
      <c r="L131" s="297"/>
      <c r="M131" s="297"/>
      <c r="N131" s="297"/>
      <c r="O131" s="298"/>
      <c r="P131" s="298"/>
      <c r="Q131" s="297"/>
      <c r="R131" s="297">
        <v>0.0</v>
      </c>
      <c r="S131" s="297"/>
      <c r="T131" s="297" t="s">
        <v>719</v>
      </c>
    </row>
    <row r="132">
      <c r="B132" s="291"/>
      <c r="C132" s="291"/>
      <c r="D132" s="181"/>
      <c r="E132" s="292"/>
      <c r="F132" s="292"/>
      <c r="G132" s="293"/>
      <c r="H132" s="294"/>
      <c r="I132" s="295"/>
      <c r="J132" s="296"/>
      <c r="K132" s="297"/>
      <c r="L132" s="297"/>
      <c r="M132" s="297"/>
      <c r="N132" s="297"/>
      <c r="O132" s="298"/>
      <c r="P132" s="298"/>
      <c r="Q132" s="297"/>
      <c r="R132" s="297">
        <v>0.0</v>
      </c>
      <c r="S132" s="297"/>
      <c r="T132" s="297" t="s">
        <v>719</v>
      </c>
    </row>
    <row r="133">
      <c r="B133" s="291"/>
      <c r="C133" s="291"/>
      <c r="D133" s="181"/>
      <c r="E133" s="292"/>
      <c r="F133" s="292"/>
      <c r="G133" s="293"/>
      <c r="H133" s="294"/>
      <c r="I133" s="295"/>
      <c r="J133" s="296"/>
      <c r="K133" s="297"/>
      <c r="L133" s="297"/>
      <c r="M133" s="297"/>
      <c r="N133" s="297"/>
      <c r="O133" s="298"/>
      <c r="P133" s="298"/>
      <c r="Q133" s="297"/>
      <c r="R133" s="297">
        <v>0.0</v>
      </c>
      <c r="S133" s="297"/>
      <c r="T133" s="297" t="s">
        <v>719</v>
      </c>
    </row>
    <row r="134">
      <c r="B134" s="291"/>
      <c r="C134" s="291"/>
      <c r="D134" s="181"/>
      <c r="E134" s="292"/>
      <c r="F134" s="292"/>
      <c r="G134" s="293"/>
      <c r="H134" s="294"/>
      <c r="I134" s="295"/>
      <c r="J134" s="296"/>
      <c r="K134" s="297"/>
      <c r="L134" s="297"/>
      <c r="M134" s="297"/>
      <c r="N134" s="297"/>
      <c r="O134" s="298"/>
      <c r="P134" s="298"/>
      <c r="Q134" s="297"/>
      <c r="R134" s="297">
        <v>0.0</v>
      </c>
      <c r="S134" s="297"/>
      <c r="T134" s="297" t="s">
        <v>719</v>
      </c>
    </row>
    <row r="135">
      <c r="B135" s="291"/>
      <c r="C135" s="291"/>
      <c r="D135" s="181"/>
      <c r="E135" s="292"/>
      <c r="F135" s="292"/>
      <c r="G135" s="293"/>
      <c r="H135" s="294"/>
      <c r="I135" s="295"/>
      <c r="J135" s="296"/>
      <c r="K135" s="297"/>
      <c r="L135" s="297"/>
      <c r="M135" s="297"/>
      <c r="N135" s="297"/>
      <c r="O135" s="298"/>
      <c r="P135" s="298"/>
      <c r="Q135" s="297"/>
      <c r="R135" s="297">
        <v>0.0</v>
      </c>
      <c r="S135" s="297"/>
      <c r="T135" s="297" t="s">
        <v>719</v>
      </c>
    </row>
    <row r="136">
      <c r="B136" s="291"/>
      <c r="C136" s="291"/>
      <c r="D136" s="181"/>
      <c r="E136" s="292"/>
      <c r="F136" s="292"/>
      <c r="G136" s="293"/>
      <c r="H136" s="294"/>
      <c r="I136" s="295"/>
      <c r="J136" s="296"/>
      <c r="K136" s="297"/>
      <c r="L136" s="297"/>
      <c r="M136" s="297"/>
      <c r="N136" s="297"/>
      <c r="O136" s="298"/>
      <c r="P136" s="298"/>
      <c r="Q136" s="297"/>
      <c r="R136" s="297">
        <v>0.0</v>
      </c>
      <c r="S136" s="297"/>
      <c r="T136" s="297" t="s">
        <v>719</v>
      </c>
    </row>
    <row r="137">
      <c r="B137" s="291"/>
      <c r="C137" s="291"/>
      <c r="D137" s="181"/>
      <c r="E137" s="292"/>
      <c r="F137" s="292"/>
      <c r="G137" s="293"/>
      <c r="H137" s="294"/>
      <c r="I137" s="295"/>
      <c r="J137" s="296"/>
      <c r="K137" s="297"/>
      <c r="L137" s="297"/>
      <c r="M137" s="297"/>
      <c r="N137" s="297"/>
      <c r="O137" s="298"/>
      <c r="P137" s="298"/>
      <c r="Q137" s="297"/>
      <c r="R137" s="297">
        <v>0.0</v>
      </c>
      <c r="S137" s="297"/>
      <c r="T137" s="297" t="s">
        <v>719</v>
      </c>
    </row>
    <row r="138">
      <c r="B138" s="291"/>
      <c r="C138" s="291"/>
      <c r="D138" s="181"/>
      <c r="E138" s="292"/>
      <c r="F138" s="292"/>
      <c r="G138" s="293"/>
      <c r="H138" s="294"/>
      <c r="I138" s="295"/>
      <c r="J138" s="296"/>
      <c r="K138" s="297"/>
      <c r="L138" s="297"/>
      <c r="M138" s="297"/>
      <c r="N138" s="297"/>
      <c r="O138" s="298"/>
      <c r="P138" s="298"/>
      <c r="Q138" s="297"/>
      <c r="R138" s="297">
        <v>0.0</v>
      </c>
      <c r="S138" s="297"/>
      <c r="T138" s="297" t="s">
        <v>719</v>
      </c>
    </row>
    <row r="139">
      <c r="B139" s="291"/>
      <c r="C139" s="291"/>
      <c r="D139" s="181"/>
      <c r="E139" s="292"/>
      <c r="F139" s="292"/>
      <c r="G139" s="293"/>
      <c r="H139" s="294"/>
      <c r="I139" s="295"/>
      <c r="J139" s="296"/>
      <c r="K139" s="297"/>
      <c r="L139" s="297"/>
      <c r="M139" s="297"/>
      <c r="N139" s="297"/>
      <c r="O139" s="298"/>
      <c r="P139" s="298"/>
      <c r="Q139" s="297"/>
      <c r="R139" s="297">
        <v>0.0</v>
      </c>
      <c r="S139" s="297"/>
      <c r="T139" s="297" t="s">
        <v>719</v>
      </c>
    </row>
    <row r="140">
      <c r="B140" s="291"/>
      <c r="C140" s="291"/>
      <c r="D140" s="181"/>
      <c r="E140" s="292"/>
      <c r="F140" s="292"/>
      <c r="G140" s="293"/>
      <c r="H140" s="294"/>
      <c r="I140" s="295"/>
      <c r="J140" s="296"/>
      <c r="K140" s="297"/>
      <c r="L140" s="297"/>
      <c r="M140" s="297"/>
      <c r="N140" s="297"/>
      <c r="O140" s="298"/>
      <c r="P140" s="298"/>
      <c r="Q140" s="297"/>
      <c r="R140" s="297">
        <v>0.0</v>
      </c>
      <c r="S140" s="297"/>
      <c r="T140" s="297" t="s">
        <v>719</v>
      </c>
    </row>
    <row r="141">
      <c r="B141" s="291"/>
      <c r="C141" s="291"/>
      <c r="D141" s="181"/>
      <c r="E141" s="292"/>
      <c r="F141" s="292"/>
      <c r="G141" s="293"/>
      <c r="H141" s="294"/>
      <c r="I141" s="295"/>
      <c r="J141" s="296"/>
      <c r="K141" s="297"/>
      <c r="L141" s="297"/>
      <c r="M141" s="297"/>
      <c r="N141" s="297"/>
      <c r="O141" s="298"/>
      <c r="P141" s="298"/>
      <c r="Q141" s="297"/>
      <c r="R141" s="297">
        <v>0.0</v>
      </c>
      <c r="S141" s="297"/>
      <c r="T141" s="297" t="s">
        <v>719</v>
      </c>
    </row>
    <row r="142">
      <c r="B142" s="291"/>
      <c r="C142" s="291"/>
      <c r="D142" s="181"/>
      <c r="E142" s="292"/>
      <c r="F142" s="292"/>
      <c r="G142" s="293"/>
      <c r="H142" s="294"/>
      <c r="I142" s="295"/>
      <c r="J142" s="296"/>
      <c r="K142" s="297"/>
      <c r="L142" s="297"/>
      <c r="M142" s="297"/>
      <c r="N142" s="297"/>
      <c r="O142" s="298"/>
      <c r="P142" s="298"/>
      <c r="Q142" s="297"/>
      <c r="R142" s="297">
        <v>0.0</v>
      </c>
      <c r="S142" s="297"/>
      <c r="T142" s="297" t="s">
        <v>719</v>
      </c>
    </row>
    <row r="143">
      <c r="B143" s="291"/>
      <c r="C143" s="291"/>
      <c r="D143" s="181"/>
      <c r="E143" s="292"/>
      <c r="F143" s="292"/>
      <c r="G143" s="293"/>
      <c r="H143" s="294"/>
      <c r="I143" s="295"/>
      <c r="J143" s="296"/>
      <c r="K143" s="297"/>
      <c r="L143" s="297"/>
      <c r="M143" s="297"/>
      <c r="N143" s="297"/>
      <c r="O143" s="298"/>
      <c r="P143" s="298"/>
      <c r="Q143" s="297"/>
      <c r="R143" s="297">
        <v>0.0</v>
      </c>
      <c r="S143" s="297"/>
      <c r="T143" s="297" t="s">
        <v>719</v>
      </c>
    </row>
    <row r="144">
      <c r="B144" s="291"/>
      <c r="C144" s="291"/>
      <c r="D144" s="181"/>
      <c r="E144" s="292"/>
      <c r="F144" s="292"/>
      <c r="G144" s="293"/>
      <c r="H144" s="294"/>
      <c r="I144" s="295"/>
      <c r="J144" s="296"/>
      <c r="K144" s="297"/>
      <c r="L144" s="297"/>
      <c r="M144" s="297"/>
      <c r="N144" s="297"/>
      <c r="O144" s="298"/>
      <c r="P144" s="298"/>
      <c r="Q144" s="297"/>
      <c r="R144" s="297">
        <v>0.0</v>
      </c>
      <c r="S144" s="297"/>
      <c r="T144" s="297" t="s">
        <v>719</v>
      </c>
    </row>
    <row r="145">
      <c r="B145" s="291"/>
      <c r="C145" s="291"/>
      <c r="D145" s="181"/>
      <c r="E145" s="292"/>
      <c r="F145" s="292"/>
      <c r="G145" s="293"/>
      <c r="H145" s="294"/>
      <c r="I145" s="295"/>
      <c r="J145" s="296"/>
      <c r="K145" s="297"/>
      <c r="L145" s="297"/>
      <c r="M145" s="297"/>
      <c r="N145" s="297"/>
      <c r="O145" s="298"/>
      <c r="P145" s="298"/>
      <c r="Q145" s="297"/>
      <c r="R145" s="297">
        <v>0.0</v>
      </c>
      <c r="S145" s="297"/>
      <c r="T145" s="297" t="s">
        <v>719</v>
      </c>
    </row>
    <row r="146">
      <c r="B146" s="291"/>
      <c r="C146" s="291"/>
      <c r="D146" s="181"/>
      <c r="E146" s="292"/>
      <c r="F146" s="292"/>
      <c r="G146" s="293"/>
      <c r="H146" s="294"/>
      <c r="I146" s="295"/>
      <c r="J146" s="296"/>
      <c r="K146" s="297"/>
      <c r="L146" s="297"/>
      <c r="M146" s="297"/>
      <c r="N146" s="297"/>
      <c r="O146" s="298"/>
      <c r="P146" s="298"/>
      <c r="Q146" s="297"/>
      <c r="R146" s="297">
        <v>0.0</v>
      </c>
      <c r="S146" s="297"/>
      <c r="T146" s="297" t="s">
        <v>719</v>
      </c>
    </row>
    <row r="147">
      <c r="B147" s="291"/>
      <c r="C147" s="291"/>
      <c r="D147" s="181"/>
      <c r="E147" s="292"/>
      <c r="F147" s="292"/>
      <c r="G147" s="293"/>
      <c r="H147" s="294"/>
      <c r="I147" s="295"/>
      <c r="J147" s="296"/>
      <c r="K147" s="297"/>
      <c r="L147" s="297"/>
      <c r="M147" s="297"/>
      <c r="N147" s="297"/>
      <c r="O147" s="298"/>
      <c r="P147" s="298"/>
      <c r="Q147" s="297"/>
      <c r="R147" s="297">
        <v>0.0</v>
      </c>
      <c r="S147" s="297"/>
      <c r="T147" s="297" t="s">
        <v>719</v>
      </c>
    </row>
    <row r="148">
      <c r="B148" s="291"/>
      <c r="C148" s="291"/>
      <c r="D148" s="181"/>
      <c r="E148" s="292"/>
      <c r="F148" s="292"/>
      <c r="G148" s="293"/>
      <c r="H148" s="294"/>
      <c r="I148" s="295"/>
      <c r="J148" s="296"/>
      <c r="K148" s="297"/>
      <c r="L148" s="297"/>
      <c r="M148" s="297"/>
      <c r="N148" s="297"/>
      <c r="O148" s="298"/>
      <c r="P148" s="298"/>
      <c r="Q148" s="297"/>
      <c r="R148" s="297">
        <v>0.0</v>
      </c>
      <c r="S148" s="297"/>
      <c r="T148" s="297" t="s">
        <v>719</v>
      </c>
    </row>
    <row r="149">
      <c r="B149" s="291"/>
      <c r="C149" s="291"/>
      <c r="D149" s="181"/>
      <c r="E149" s="292"/>
      <c r="F149" s="292"/>
      <c r="G149" s="293"/>
      <c r="H149" s="294"/>
      <c r="I149" s="295"/>
      <c r="J149" s="296"/>
      <c r="K149" s="297"/>
      <c r="L149" s="297"/>
      <c r="M149" s="297"/>
      <c r="N149" s="297"/>
      <c r="O149" s="298"/>
      <c r="P149" s="298"/>
      <c r="Q149" s="297"/>
      <c r="R149" s="297">
        <v>0.0</v>
      </c>
      <c r="S149" s="297"/>
      <c r="T149" s="297" t="s">
        <v>719</v>
      </c>
    </row>
    <row r="150">
      <c r="B150" s="291"/>
      <c r="C150" s="291"/>
      <c r="D150" s="181"/>
      <c r="E150" s="292"/>
      <c r="F150" s="292"/>
      <c r="G150" s="293"/>
      <c r="H150" s="294"/>
      <c r="I150" s="295"/>
      <c r="J150" s="296"/>
      <c r="K150" s="297"/>
      <c r="L150" s="297"/>
      <c r="M150" s="297"/>
      <c r="N150" s="297"/>
      <c r="O150" s="298"/>
      <c r="P150" s="298"/>
      <c r="Q150" s="297"/>
      <c r="R150" s="297">
        <v>0.0</v>
      </c>
      <c r="S150" s="297"/>
      <c r="T150" s="297" t="s">
        <v>719</v>
      </c>
    </row>
    <row r="151">
      <c r="B151" s="291"/>
      <c r="C151" s="291"/>
      <c r="D151" s="181"/>
      <c r="E151" s="292"/>
      <c r="F151" s="292"/>
      <c r="G151" s="293"/>
      <c r="H151" s="294"/>
      <c r="I151" s="295"/>
      <c r="J151" s="296"/>
      <c r="K151" s="297"/>
      <c r="L151" s="297"/>
      <c r="M151" s="297"/>
      <c r="N151" s="297"/>
      <c r="O151" s="298"/>
      <c r="P151" s="298"/>
      <c r="Q151" s="297"/>
      <c r="R151" s="297">
        <v>0.0</v>
      </c>
      <c r="S151" s="297"/>
      <c r="T151" s="297" t="s">
        <v>719</v>
      </c>
    </row>
    <row r="152">
      <c r="B152" s="291"/>
      <c r="C152" s="291"/>
      <c r="D152" s="181"/>
      <c r="E152" s="292"/>
      <c r="F152" s="292"/>
      <c r="G152" s="293"/>
      <c r="H152" s="294"/>
      <c r="I152" s="295"/>
      <c r="J152" s="296"/>
      <c r="K152" s="297"/>
      <c r="L152" s="297"/>
      <c r="M152" s="297"/>
      <c r="N152" s="297"/>
      <c r="O152" s="298"/>
      <c r="P152" s="298"/>
      <c r="Q152" s="297"/>
      <c r="R152" s="297">
        <v>0.0</v>
      </c>
      <c r="S152" s="297"/>
      <c r="T152" s="297" t="s">
        <v>719</v>
      </c>
    </row>
    <row r="153">
      <c r="B153" s="291"/>
      <c r="C153" s="291"/>
      <c r="D153" s="181"/>
      <c r="E153" s="292"/>
      <c r="F153" s="292"/>
      <c r="G153" s="293"/>
      <c r="H153" s="294"/>
      <c r="I153" s="295"/>
      <c r="J153" s="296"/>
      <c r="K153" s="297"/>
      <c r="L153" s="297"/>
      <c r="M153" s="297"/>
      <c r="N153" s="297"/>
      <c r="O153" s="298"/>
      <c r="P153" s="298"/>
      <c r="Q153" s="297"/>
      <c r="R153" s="297">
        <v>0.0</v>
      </c>
      <c r="S153" s="297"/>
      <c r="T153" s="297" t="s">
        <v>719</v>
      </c>
    </row>
    <row r="154">
      <c r="B154" s="291"/>
      <c r="C154" s="291"/>
      <c r="D154" s="181"/>
      <c r="E154" s="292"/>
      <c r="F154" s="292"/>
      <c r="G154" s="293"/>
      <c r="H154" s="294"/>
      <c r="I154" s="295"/>
      <c r="J154" s="296"/>
      <c r="K154" s="297"/>
      <c r="L154" s="297"/>
      <c r="M154" s="297"/>
      <c r="N154" s="297"/>
      <c r="O154" s="298"/>
      <c r="P154" s="298"/>
      <c r="Q154" s="297"/>
      <c r="R154" s="297">
        <v>0.0</v>
      </c>
      <c r="S154" s="297"/>
      <c r="T154" s="297" t="s">
        <v>719</v>
      </c>
    </row>
    <row r="155">
      <c r="B155" s="291"/>
      <c r="C155" s="291"/>
      <c r="D155" s="181"/>
      <c r="E155" s="292"/>
      <c r="F155" s="292"/>
      <c r="G155" s="293"/>
      <c r="H155" s="294"/>
      <c r="I155" s="295"/>
      <c r="J155" s="296"/>
      <c r="K155" s="297"/>
      <c r="L155" s="297"/>
      <c r="M155" s="297"/>
      <c r="N155" s="297"/>
      <c r="O155" s="298"/>
      <c r="P155" s="298"/>
      <c r="Q155" s="297"/>
      <c r="R155" s="297">
        <v>0.0</v>
      </c>
      <c r="S155" s="297"/>
      <c r="T155" s="297" t="s">
        <v>719</v>
      </c>
    </row>
    <row r="156">
      <c r="B156" s="291"/>
      <c r="C156" s="291"/>
      <c r="D156" s="181"/>
      <c r="E156" s="292"/>
      <c r="F156" s="292"/>
      <c r="G156" s="293"/>
      <c r="H156" s="294"/>
      <c r="I156" s="295"/>
      <c r="J156" s="296"/>
      <c r="K156" s="297"/>
      <c r="L156" s="297"/>
      <c r="M156" s="297"/>
      <c r="N156" s="297"/>
      <c r="O156" s="298"/>
      <c r="P156" s="298"/>
      <c r="Q156" s="297"/>
      <c r="R156" s="297">
        <v>0.0</v>
      </c>
      <c r="S156" s="297"/>
      <c r="T156" s="297" t="s">
        <v>719</v>
      </c>
    </row>
    <row r="157">
      <c r="B157" s="291"/>
      <c r="C157" s="291"/>
      <c r="D157" s="181"/>
      <c r="E157" s="292"/>
      <c r="F157" s="292"/>
      <c r="G157" s="293"/>
      <c r="H157" s="294"/>
      <c r="I157" s="295"/>
      <c r="J157" s="296"/>
      <c r="K157" s="297"/>
      <c r="L157" s="297"/>
      <c r="M157" s="297"/>
      <c r="N157" s="297"/>
      <c r="O157" s="298"/>
      <c r="P157" s="298"/>
      <c r="Q157" s="297"/>
      <c r="R157" s="297">
        <v>0.0</v>
      </c>
      <c r="S157" s="297"/>
      <c r="T157" s="297" t="s">
        <v>719</v>
      </c>
    </row>
    <row r="158">
      <c r="B158" s="291"/>
      <c r="C158" s="291"/>
      <c r="D158" s="181"/>
      <c r="E158" s="292"/>
      <c r="F158" s="292"/>
      <c r="G158" s="293"/>
      <c r="H158" s="294"/>
      <c r="I158" s="295"/>
      <c r="J158" s="296"/>
      <c r="K158" s="297"/>
      <c r="L158" s="297"/>
      <c r="M158" s="297"/>
      <c r="N158" s="297"/>
      <c r="O158" s="298"/>
      <c r="P158" s="298"/>
      <c r="Q158" s="297"/>
      <c r="R158" s="297">
        <v>0.0</v>
      </c>
      <c r="S158" s="297"/>
      <c r="T158" s="297" t="s">
        <v>719</v>
      </c>
    </row>
    <row r="159">
      <c r="B159" s="291"/>
      <c r="C159" s="291"/>
      <c r="D159" s="181"/>
      <c r="E159" s="292"/>
      <c r="F159" s="292"/>
      <c r="G159" s="293"/>
      <c r="H159" s="294"/>
      <c r="I159" s="295"/>
      <c r="J159" s="296"/>
      <c r="K159" s="297"/>
      <c r="L159" s="297"/>
      <c r="M159" s="297"/>
      <c r="N159" s="297"/>
      <c r="O159" s="298"/>
      <c r="P159" s="298"/>
      <c r="Q159" s="297"/>
      <c r="R159" s="297">
        <v>0.0</v>
      </c>
      <c r="S159" s="297"/>
      <c r="T159" s="297" t="s">
        <v>719</v>
      </c>
    </row>
    <row r="160">
      <c r="B160" s="291"/>
      <c r="C160" s="291"/>
      <c r="D160" s="181"/>
      <c r="E160" s="292"/>
      <c r="F160" s="292"/>
      <c r="G160" s="293"/>
      <c r="H160" s="294"/>
      <c r="I160" s="295"/>
      <c r="J160" s="296"/>
      <c r="K160" s="297"/>
      <c r="L160" s="297"/>
      <c r="M160" s="297"/>
      <c r="N160" s="297"/>
      <c r="O160" s="298"/>
      <c r="P160" s="298"/>
      <c r="Q160" s="297"/>
      <c r="R160" s="297">
        <v>0.0</v>
      </c>
      <c r="S160" s="297"/>
      <c r="T160" s="297" t="s">
        <v>719</v>
      </c>
    </row>
    <row r="161">
      <c r="B161" s="291"/>
      <c r="C161" s="291"/>
      <c r="D161" s="181"/>
      <c r="E161" s="292"/>
      <c r="F161" s="292"/>
      <c r="G161" s="293"/>
      <c r="H161" s="294"/>
      <c r="I161" s="295"/>
      <c r="J161" s="296"/>
      <c r="K161" s="297"/>
      <c r="L161" s="297"/>
      <c r="M161" s="297"/>
      <c r="N161" s="297"/>
      <c r="O161" s="298"/>
      <c r="P161" s="298"/>
      <c r="Q161" s="297"/>
      <c r="R161" s="297">
        <v>0.0</v>
      </c>
      <c r="S161" s="297"/>
      <c r="T161" s="297" t="s">
        <v>719</v>
      </c>
    </row>
    <row r="162">
      <c r="B162" s="291"/>
      <c r="C162" s="291"/>
      <c r="D162" s="181"/>
      <c r="E162" s="292"/>
      <c r="F162" s="292"/>
      <c r="G162" s="293"/>
      <c r="H162" s="294"/>
      <c r="I162" s="295"/>
      <c r="J162" s="296"/>
      <c r="K162" s="297"/>
      <c r="L162" s="297"/>
      <c r="M162" s="297"/>
      <c r="N162" s="297"/>
      <c r="O162" s="298"/>
      <c r="P162" s="298"/>
      <c r="Q162" s="297"/>
      <c r="R162" s="297">
        <v>0.0</v>
      </c>
      <c r="S162" s="297"/>
      <c r="T162" s="297" t="s">
        <v>719</v>
      </c>
    </row>
    <row r="163">
      <c r="B163" s="291"/>
      <c r="C163" s="291"/>
      <c r="D163" s="181"/>
      <c r="E163" s="292"/>
      <c r="F163" s="292"/>
      <c r="G163" s="293"/>
      <c r="H163" s="294"/>
      <c r="I163" s="295"/>
      <c r="J163" s="296"/>
      <c r="K163" s="297"/>
      <c r="L163" s="297"/>
      <c r="M163" s="297"/>
      <c r="N163" s="297"/>
      <c r="O163" s="298"/>
      <c r="P163" s="298"/>
      <c r="Q163" s="297"/>
      <c r="R163" s="297">
        <v>0.0</v>
      </c>
      <c r="S163" s="297"/>
      <c r="T163" s="297" t="s">
        <v>719</v>
      </c>
    </row>
    <row r="164">
      <c r="B164" s="291"/>
      <c r="C164" s="291"/>
      <c r="D164" s="181"/>
      <c r="E164" s="292"/>
      <c r="F164" s="292"/>
      <c r="G164" s="293"/>
      <c r="H164" s="294"/>
      <c r="I164" s="295"/>
      <c r="J164" s="296"/>
      <c r="K164" s="297"/>
      <c r="L164" s="297"/>
      <c r="M164" s="297"/>
      <c r="N164" s="297"/>
      <c r="O164" s="298"/>
      <c r="P164" s="298"/>
      <c r="Q164" s="297"/>
      <c r="R164" s="297">
        <v>0.0</v>
      </c>
      <c r="S164" s="297"/>
      <c r="T164" s="297" t="s">
        <v>719</v>
      </c>
    </row>
    <row r="165">
      <c r="B165" s="291"/>
      <c r="C165" s="291"/>
      <c r="D165" s="181"/>
      <c r="E165" s="292"/>
      <c r="F165" s="292"/>
      <c r="G165" s="293"/>
      <c r="H165" s="294"/>
      <c r="I165" s="295"/>
      <c r="J165" s="296"/>
      <c r="K165" s="297"/>
      <c r="L165" s="297"/>
      <c r="M165" s="297"/>
      <c r="N165" s="297"/>
      <c r="O165" s="298"/>
      <c r="P165" s="298"/>
      <c r="Q165" s="297"/>
      <c r="R165" s="297">
        <v>0.0</v>
      </c>
      <c r="S165" s="297"/>
      <c r="T165" s="297" t="s">
        <v>719</v>
      </c>
    </row>
    <row r="166">
      <c r="B166" s="291"/>
      <c r="C166" s="291"/>
      <c r="D166" s="181"/>
      <c r="E166" s="292"/>
      <c r="F166" s="292"/>
      <c r="G166" s="293"/>
      <c r="H166" s="294"/>
      <c r="I166" s="295"/>
      <c r="J166" s="296"/>
      <c r="K166" s="297"/>
      <c r="L166" s="297"/>
      <c r="M166" s="297"/>
      <c r="N166" s="297"/>
      <c r="O166" s="298"/>
      <c r="P166" s="298"/>
      <c r="Q166" s="297"/>
      <c r="R166" s="297">
        <v>0.0</v>
      </c>
      <c r="S166" s="297"/>
      <c r="T166" s="297" t="s">
        <v>719</v>
      </c>
    </row>
    <row r="167">
      <c r="B167" s="291"/>
      <c r="C167" s="291"/>
      <c r="D167" s="181"/>
      <c r="E167" s="292"/>
      <c r="F167" s="292"/>
      <c r="G167" s="293"/>
      <c r="H167" s="294"/>
      <c r="I167" s="295"/>
      <c r="J167" s="296"/>
      <c r="K167" s="297"/>
      <c r="L167" s="297"/>
      <c r="M167" s="297"/>
      <c r="N167" s="297"/>
      <c r="O167" s="298"/>
      <c r="P167" s="298"/>
      <c r="Q167" s="297"/>
      <c r="R167" s="297">
        <v>0.0</v>
      </c>
      <c r="S167" s="297"/>
      <c r="T167" s="297" t="s">
        <v>719</v>
      </c>
    </row>
    <row r="168">
      <c r="B168" s="291"/>
      <c r="C168" s="291"/>
      <c r="D168" s="181"/>
      <c r="E168" s="292"/>
      <c r="F168" s="292"/>
      <c r="G168" s="293"/>
      <c r="H168" s="294"/>
      <c r="I168" s="295"/>
      <c r="J168" s="296"/>
      <c r="K168" s="297"/>
      <c r="L168" s="297"/>
      <c r="M168" s="297"/>
      <c r="N168" s="297"/>
      <c r="O168" s="298"/>
      <c r="P168" s="298"/>
      <c r="Q168" s="297"/>
      <c r="R168" s="297">
        <v>0.0</v>
      </c>
      <c r="S168" s="297"/>
      <c r="T168" s="297" t="s">
        <v>719</v>
      </c>
    </row>
    <row r="169">
      <c r="B169" s="291"/>
      <c r="C169" s="291"/>
      <c r="D169" s="181"/>
      <c r="E169" s="292"/>
      <c r="F169" s="292"/>
      <c r="G169" s="293"/>
      <c r="H169" s="294"/>
      <c r="I169" s="295"/>
      <c r="J169" s="296"/>
      <c r="K169" s="297"/>
      <c r="L169" s="297"/>
      <c r="M169" s="297"/>
      <c r="N169" s="297"/>
      <c r="O169" s="298"/>
      <c r="P169" s="298"/>
      <c r="Q169" s="297"/>
      <c r="R169" s="297">
        <v>0.0</v>
      </c>
      <c r="S169" s="297"/>
      <c r="T169" s="297" t="s">
        <v>719</v>
      </c>
    </row>
    <row r="170">
      <c r="B170" s="291"/>
      <c r="C170" s="291"/>
      <c r="D170" s="181"/>
      <c r="E170" s="292"/>
      <c r="F170" s="292"/>
      <c r="G170" s="293"/>
      <c r="H170" s="294"/>
      <c r="I170" s="295"/>
      <c r="J170" s="296"/>
      <c r="K170" s="297"/>
      <c r="L170" s="297"/>
      <c r="M170" s="297"/>
      <c r="N170" s="297"/>
      <c r="O170" s="298"/>
      <c r="P170" s="298"/>
      <c r="Q170" s="297"/>
      <c r="R170" s="297">
        <v>0.0</v>
      </c>
      <c r="S170" s="297"/>
      <c r="T170" s="297" t="s">
        <v>719</v>
      </c>
    </row>
    <row r="171">
      <c r="B171" s="291"/>
      <c r="C171" s="291"/>
      <c r="D171" s="181"/>
      <c r="E171" s="292"/>
      <c r="F171" s="292"/>
      <c r="G171" s="293"/>
      <c r="H171" s="294"/>
      <c r="I171" s="295"/>
      <c r="J171" s="296"/>
      <c r="K171" s="297"/>
      <c r="L171" s="297"/>
      <c r="M171" s="297"/>
      <c r="N171" s="297"/>
      <c r="O171" s="298"/>
      <c r="P171" s="298"/>
      <c r="Q171" s="297"/>
      <c r="R171" s="297">
        <v>0.0</v>
      </c>
      <c r="S171" s="297"/>
      <c r="T171" s="297" t="s">
        <v>719</v>
      </c>
    </row>
    <row r="172">
      <c r="B172" s="291"/>
      <c r="C172" s="291"/>
      <c r="D172" s="181"/>
      <c r="E172" s="292"/>
      <c r="F172" s="292"/>
      <c r="G172" s="293"/>
      <c r="H172" s="294"/>
      <c r="I172" s="295"/>
      <c r="J172" s="296"/>
      <c r="K172" s="297"/>
      <c r="L172" s="297"/>
      <c r="M172" s="297"/>
      <c r="N172" s="297"/>
      <c r="O172" s="298"/>
      <c r="P172" s="298"/>
      <c r="Q172" s="297"/>
      <c r="R172" s="297">
        <v>0.0</v>
      </c>
      <c r="S172" s="297"/>
      <c r="T172" s="297" t="s">
        <v>719</v>
      </c>
    </row>
    <row r="173">
      <c r="B173" s="291"/>
      <c r="C173" s="291"/>
      <c r="D173" s="181"/>
      <c r="E173" s="292"/>
      <c r="F173" s="292"/>
      <c r="G173" s="293"/>
      <c r="H173" s="294"/>
      <c r="I173" s="295"/>
      <c r="J173" s="296"/>
      <c r="K173" s="297"/>
      <c r="L173" s="297"/>
      <c r="M173" s="297"/>
      <c r="N173" s="297"/>
      <c r="O173" s="298"/>
      <c r="P173" s="298"/>
      <c r="Q173" s="297"/>
      <c r="R173" s="297">
        <v>0.0</v>
      </c>
      <c r="S173" s="297"/>
      <c r="T173" s="297" t="s">
        <v>719</v>
      </c>
    </row>
    <row r="174">
      <c r="B174" s="291"/>
      <c r="C174" s="291"/>
      <c r="D174" s="181"/>
      <c r="E174" s="292"/>
      <c r="F174" s="292"/>
      <c r="G174" s="293"/>
      <c r="H174" s="294"/>
      <c r="I174" s="295"/>
      <c r="J174" s="296"/>
      <c r="K174" s="297"/>
      <c r="L174" s="297"/>
      <c r="M174" s="297"/>
      <c r="N174" s="297"/>
      <c r="O174" s="298"/>
      <c r="P174" s="298"/>
      <c r="Q174" s="297"/>
      <c r="R174" s="297">
        <v>0.0</v>
      </c>
      <c r="S174" s="297"/>
      <c r="T174" s="297" t="s">
        <v>719</v>
      </c>
    </row>
    <row r="175">
      <c r="B175" s="291"/>
      <c r="C175" s="291"/>
      <c r="D175" s="181"/>
      <c r="E175" s="292"/>
      <c r="F175" s="292"/>
      <c r="G175" s="293"/>
      <c r="H175" s="294"/>
      <c r="I175" s="295"/>
      <c r="J175" s="296"/>
      <c r="K175" s="297"/>
      <c r="L175" s="297"/>
      <c r="M175" s="297"/>
      <c r="N175" s="297"/>
      <c r="O175" s="298"/>
      <c r="P175" s="298"/>
      <c r="Q175" s="297"/>
      <c r="R175" s="297">
        <v>0.0</v>
      </c>
      <c r="S175" s="297"/>
      <c r="T175" s="297" t="s">
        <v>719</v>
      </c>
    </row>
    <row r="176">
      <c r="B176" s="291"/>
      <c r="C176" s="291"/>
      <c r="D176" s="181"/>
      <c r="E176" s="292"/>
      <c r="F176" s="292"/>
      <c r="G176" s="293"/>
      <c r="H176" s="294"/>
      <c r="I176" s="295"/>
      <c r="J176" s="296"/>
      <c r="K176" s="297"/>
      <c r="L176" s="297"/>
      <c r="M176" s="297"/>
      <c r="N176" s="297"/>
      <c r="O176" s="298"/>
      <c r="P176" s="298"/>
      <c r="Q176" s="297"/>
      <c r="R176" s="297">
        <v>0.0</v>
      </c>
      <c r="S176" s="297"/>
      <c r="T176" s="297" t="s">
        <v>719</v>
      </c>
    </row>
    <row r="177">
      <c r="B177" s="291"/>
      <c r="C177" s="291"/>
      <c r="D177" s="181"/>
      <c r="E177" s="292"/>
      <c r="F177" s="292"/>
      <c r="G177" s="293"/>
      <c r="H177" s="294"/>
      <c r="I177" s="295"/>
      <c r="J177" s="296"/>
      <c r="K177" s="297"/>
      <c r="L177" s="297"/>
      <c r="M177" s="297"/>
      <c r="N177" s="297"/>
      <c r="O177" s="298"/>
      <c r="P177" s="298"/>
      <c r="Q177" s="297"/>
      <c r="R177" s="297">
        <v>0.0</v>
      </c>
      <c r="S177" s="297"/>
      <c r="T177" s="297" t="s">
        <v>719</v>
      </c>
    </row>
    <row r="178">
      <c r="B178" s="291"/>
      <c r="C178" s="291"/>
      <c r="D178" s="181"/>
      <c r="E178" s="292"/>
      <c r="F178" s="292"/>
      <c r="G178" s="293"/>
      <c r="H178" s="294"/>
      <c r="I178" s="295"/>
      <c r="J178" s="296"/>
      <c r="K178" s="297"/>
      <c r="L178" s="297"/>
      <c r="M178" s="297"/>
      <c r="N178" s="297"/>
      <c r="O178" s="298"/>
      <c r="P178" s="298"/>
      <c r="Q178" s="297"/>
      <c r="R178" s="297">
        <v>0.0</v>
      </c>
      <c r="S178" s="297"/>
      <c r="T178" s="297" t="s">
        <v>719</v>
      </c>
    </row>
    <row r="179">
      <c r="B179" s="291"/>
      <c r="C179" s="291"/>
      <c r="D179" s="181"/>
      <c r="E179" s="292"/>
      <c r="F179" s="292"/>
      <c r="G179" s="293"/>
      <c r="H179" s="294"/>
      <c r="I179" s="295"/>
      <c r="J179" s="296"/>
      <c r="K179" s="297"/>
      <c r="L179" s="297"/>
      <c r="M179" s="297"/>
      <c r="N179" s="297"/>
      <c r="O179" s="298"/>
      <c r="P179" s="298"/>
      <c r="Q179" s="297"/>
      <c r="R179" s="297">
        <v>0.0</v>
      </c>
      <c r="S179" s="297"/>
      <c r="T179" s="297" t="s">
        <v>719</v>
      </c>
    </row>
    <row r="180">
      <c r="B180" s="291"/>
      <c r="C180" s="291"/>
      <c r="D180" s="181"/>
      <c r="E180" s="292"/>
      <c r="F180" s="292"/>
      <c r="G180" s="293"/>
      <c r="H180" s="294"/>
      <c r="I180" s="295"/>
      <c r="J180" s="296"/>
      <c r="K180" s="297"/>
      <c r="L180" s="297"/>
      <c r="M180" s="297"/>
      <c r="N180" s="297"/>
      <c r="O180" s="298"/>
      <c r="P180" s="298"/>
      <c r="Q180" s="297"/>
      <c r="R180" s="297">
        <v>0.0</v>
      </c>
      <c r="S180" s="297"/>
      <c r="T180" s="297" t="s">
        <v>719</v>
      </c>
    </row>
    <row r="181">
      <c r="B181" s="291"/>
      <c r="C181" s="291"/>
      <c r="D181" s="181"/>
      <c r="E181" s="292"/>
      <c r="F181" s="292"/>
      <c r="G181" s="293"/>
      <c r="H181" s="294"/>
      <c r="I181" s="295"/>
      <c r="J181" s="296"/>
      <c r="K181" s="297"/>
      <c r="L181" s="297"/>
      <c r="M181" s="297"/>
      <c r="N181" s="297"/>
      <c r="O181" s="298"/>
      <c r="P181" s="298"/>
      <c r="Q181" s="297"/>
      <c r="R181" s="297">
        <v>0.0</v>
      </c>
      <c r="S181" s="297"/>
      <c r="T181" s="297" t="s">
        <v>719</v>
      </c>
    </row>
    <row r="182">
      <c r="B182" s="291"/>
      <c r="C182" s="291"/>
      <c r="D182" s="181"/>
      <c r="E182" s="292"/>
      <c r="F182" s="292"/>
      <c r="G182" s="293"/>
      <c r="H182" s="294"/>
      <c r="I182" s="295"/>
      <c r="J182" s="296"/>
      <c r="K182" s="297"/>
      <c r="L182" s="297"/>
      <c r="M182" s="297"/>
      <c r="N182" s="297"/>
      <c r="O182" s="298"/>
      <c r="P182" s="298"/>
      <c r="Q182" s="297"/>
      <c r="R182" s="297">
        <v>0.0</v>
      </c>
      <c r="S182" s="297"/>
      <c r="T182" s="297" t="s">
        <v>719</v>
      </c>
    </row>
    <row r="183">
      <c r="B183" s="291"/>
      <c r="C183" s="291"/>
      <c r="D183" s="181"/>
      <c r="E183" s="292"/>
      <c r="F183" s="292"/>
      <c r="G183" s="293"/>
      <c r="H183" s="294"/>
      <c r="I183" s="295"/>
      <c r="J183" s="296"/>
      <c r="K183" s="297"/>
      <c r="L183" s="297"/>
      <c r="M183" s="297"/>
      <c r="N183" s="297"/>
      <c r="O183" s="298"/>
      <c r="P183" s="298"/>
      <c r="Q183" s="297"/>
      <c r="R183" s="297">
        <v>0.0</v>
      </c>
      <c r="S183" s="297"/>
      <c r="T183" s="297" t="s">
        <v>719</v>
      </c>
    </row>
    <row r="184">
      <c r="B184" s="291"/>
      <c r="C184" s="291"/>
      <c r="D184" s="181"/>
      <c r="E184" s="292"/>
      <c r="F184" s="292"/>
      <c r="G184" s="293"/>
      <c r="H184" s="294"/>
      <c r="I184" s="295"/>
      <c r="J184" s="296"/>
      <c r="K184" s="297"/>
      <c r="L184" s="297"/>
      <c r="M184" s="297"/>
      <c r="N184" s="297"/>
      <c r="O184" s="298"/>
      <c r="P184" s="298"/>
      <c r="Q184" s="297"/>
      <c r="R184" s="297">
        <v>0.0</v>
      </c>
      <c r="S184" s="297"/>
      <c r="T184" s="297" t="s">
        <v>719</v>
      </c>
    </row>
    <row r="185">
      <c r="B185" s="291"/>
      <c r="C185" s="291"/>
      <c r="D185" s="181"/>
      <c r="E185" s="292"/>
      <c r="F185" s="292"/>
      <c r="G185" s="293"/>
      <c r="H185" s="294"/>
      <c r="I185" s="295"/>
      <c r="J185" s="296"/>
      <c r="K185" s="297"/>
      <c r="L185" s="297"/>
      <c r="M185" s="297"/>
      <c r="N185" s="297"/>
      <c r="O185" s="298"/>
      <c r="P185" s="298"/>
      <c r="Q185" s="297"/>
      <c r="R185" s="297">
        <v>0.0</v>
      </c>
      <c r="S185" s="297"/>
      <c r="T185" s="297" t="s">
        <v>719</v>
      </c>
    </row>
    <row r="186">
      <c r="B186" s="291"/>
      <c r="C186" s="291"/>
      <c r="D186" s="181"/>
      <c r="E186" s="292"/>
      <c r="F186" s="292"/>
      <c r="G186" s="293"/>
      <c r="H186" s="294"/>
      <c r="I186" s="295"/>
      <c r="J186" s="296"/>
      <c r="K186" s="297"/>
      <c r="L186" s="297"/>
      <c r="M186" s="297"/>
      <c r="N186" s="297"/>
      <c r="O186" s="298"/>
      <c r="P186" s="298"/>
      <c r="Q186" s="297"/>
      <c r="R186" s="297">
        <v>0.0</v>
      </c>
      <c r="S186" s="297"/>
      <c r="T186" s="297" t="s">
        <v>719</v>
      </c>
    </row>
    <row r="187">
      <c r="B187" s="291"/>
      <c r="C187" s="291"/>
      <c r="D187" s="181"/>
      <c r="E187" s="292"/>
      <c r="F187" s="292"/>
      <c r="G187" s="293"/>
      <c r="H187" s="294"/>
      <c r="I187" s="295"/>
      <c r="J187" s="296"/>
      <c r="K187" s="297"/>
      <c r="L187" s="297"/>
      <c r="M187" s="297"/>
      <c r="N187" s="297"/>
      <c r="O187" s="298"/>
      <c r="P187" s="298"/>
      <c r="Q187" s="297"/>
      <c r="R187" s="297">
        <v>0.0</v>
      </c>
      <c r="S187" s="297"/>
      <c r="T187" s="297" t="s">
        <v>719</v>
      </c>
    </row>
    <row r="188">
      <c r="B188" s="291"/>
      <c r="C188" s="291"/>
      <c r="D188" s="181"/>
      <c r="E188" s="292"/>
      <c r="F188" s="292"/>
      <c r="G188" s="293"/>
      <c r="H188" s="294"/>
      <c r="I188" s="295"/>
      <c r="J188" s="296"/>
      <c r="K188" s="297"/>
      <c r="L188" s="297"/>
      <c r="M188" s="297"/>
      <c r="N188" s="297"/>
      <c r="O188" s="298"/>
      <c r="P188" s="298"/>
      <c r="Q188" s="297"/>
      <c r="R188" s="297">
        <v>0.0</v>
      </c>
      <c r="S188" s="297"/>
      <c r="T188" s="297" t="s">
        <v>719</v>
      </c>
    </row>
    <row r="189">
      <c r="B189" s="291"/>
      <c r="C189" s="291"/>
      <c r="D189" s="181"/>
      <c r="E189" s="292"/>
      <c r="F189" s="292"/>
      <c r="G189" s="293"/>
      <c r="H189" s="294"/>
      <c r="I189" s="295"/>
      <c r="J189" s="296"/>
      <c r="K189" s="297"/>
      <c r="L189" s="297"/>
      <c r="M189" s="297"/>
      <c r="N189" s="297"/>
      <c r="O189" s="298"/>
      <c r="P189" s="298"/>
      <c r="Q189" s="297"/>
      <c r="R189" s="297">
        <v>0.0</v>
      </c>
      <c r="S189" s="297"/>
      <c r="T189" s="297" t="s">
        <v>719</v>
      </c>
    </row>
    <row r="190">
      <c r="B190" s="291"/>
      <c r="C190" s="291"/>
      <c r="D190" s="181"/>
      <c r="E190" s="292"/>
      <c r="F190" s="292"/>
      <c r="G190" s="293"/>
      <c r="H190" s="294"/>
      <c r="I190" s="295"/>
      <c r="J190" s="296"/>
      <c r="K190" s="297"/>
      <c r="L190" s="297"/>
      <c r="M190" s="297"/>
      <c r="N190" s="297"/>
      <c r="O190" s="298"/>
      <c r="P190" s="298"/>
      <c r="Q190" s="297"/>
      <c r="R190" s="297">
        <v>0.0</v>
      </c>
      <c r="S190" s="297"/>
      <c r="T190" s="297" t="s">
        <v>719</v>
      </c>
    </row>
    <row r="191">
      <c r="B191" s="291"/>
      <c r="C191" s="291"/>
      <c r="D191" s="181"/>
      <c r="E191" s="292"/>
      <c r="F191" s="292"/>
      <c r="G191" s="293"/>
      <c r="H191" s="294"/>
      <c r="I191" s="295"/>
      <c r="J191" s="296"/>
      <c r="K191" s="297"/>
      <c r="L191" s="297"/>
      <c r="M191" s="297"/>
      <c r="N191" s="297"/>
      <c r="O191" s="298"/>
      <c r="P191" s="298"/>
      <c r="Q191" s="297"/>
      <c r="R191" s="297">
        <v>0.0</v>
      </c>
      <c r="S191" s="297"/>
      <c r="T191" s="297" t="s">
        <v>719</v>
      </c>
    </row>
    <row r="192">
      <c r="B192" s="291"/>
      <c r="C192" s="291"/>
      <c r="D192" s="181"/>
      <c r="E192" s="292"/>
      <c r="F192" s="292"/>
      <c r="G192" s="293"/>
      <c r="H192" s="294"/>
      <c r="I192" s="295"/>
      <c r="J192" s="296"/>
      <c r="K192" s="297"/>
      <c r="L192" s="297"/>
      <c r="M192" s="297"/>
      <c r="N192" s="297"/>
      <c r="O192" s="298"/>
      <c r="P192" s="298"/>
      <c r="Q192" s="297"/>
      <c r="R192" s="297">
        <v>0.0</v>
      </c>
      <c r="S192" s="297"/>
      <c r="T192" s="297" t="s">
        <v>719</v>
      </c>
    </row>
    <row r="193">
      <c r="B193" s="291"/>
      <c r="C193" s="291"/>
      <c r="D193" s="181"/>
      <c r="E193" s="292"/>
      <c r="F193" s="292"/>
      <c r="G193" s="293"/>
      <c r="H193" s="294"/>
      <c r="I193" s="295"/>
      <c r="J193" s="296"/>
      <c r="K193" s="297"/>
      <c r="L193" s="297"/>
      <c r="M193" s="297"/>
      <c r="N193" s="297"/>
      <c r="O193" s="298"/>
      <c r="P193" s="298"/>
      <c r="Q193" s="297"/>
      <c r="R193" s="297">
        <v>0.0</v>
      </c>
      <c r="S193" s="297"/>
      <c r="T193" s="297" t="s">
        <v>719</v>
      </c>
    </row>
    <row r="194">
      <c r="B194" s="291"/>
      <c r="C194" s="291"/>
      <c r="D194" s="181"/>
      <c r="E194" s="292"/>
      <c r="F194" s="292"/>
      <c r="G194" s="293"/>
      <c r="H194" s="294"/>
      <c r="I194" s="295"/>
      <c r="J194" s="296"/>
      <c r="K194" s="297"/>
      <c r="L194" s="297"/>
      <c r="M194" s="297"/>
      <c r="N194" s="297"/>
      <c r="O194" s="298"/>
      <c r="P194" s="298"/>
      <c r="Q194" s="297"/>
      <c r="R194" s="297">
        <v>0.0</v>
      </c>
      <c r="S194" s="297"/>
      <c r="T194" s="297" t="s">
        <v>719</v>
      </c>
    </row>
    <row r="195">
      <c r="B195" s="291"/>
      <c r="C195" s="291"/>
      <c r="D195" s="181"/>
      <c r="E195" s="292"/>
      <c r="F195" s="292"/>
      <c r="G195" s="293"/>
      <c r="H195" s="294"/>
      <c r="I195" s="295"/>
      <c r="J195" s="296"/>
      <c r="K195" s="297"/>
      <c r="L195" s="297"/>
      <c r="M195" s="297"/>
      <c r="N195" s="297"/>
      <c r="O195" s="298"/>
      <c r="P195" s="298"/>
      <c r="Q195" s="297"/>
      <c r="R195" s="297">
        <v>0.0</v>
      </c>
      <c r="S195" s="297"/>
      <c r="T195" s="297" t="s">
        <v>719</v>
      </c>
    </row>
    <row r="196">
      <c r="B196" s="291"/>
      <c r="C196" s="291"/>
      <c r="D196" s="181"/>
      <c r="E196" s="292"/>
      <c r="F196" s="292"/>
      <c r="G196" s="293"/>
      <c r="H196" s="294"/>
      <c r="I196" s="295"/>
      <c r="J196" s="296"/>
      <c r="K196" s="297"/>
      <c r="L196" s="297"/>
      <c r="M196" s="297"/>
      <c r="N196" s="297"/>
      <c r="O196" s="298"/>
      <c r="P196" s="298"/>
      <c r="Q196" s="297"/>
      <c r="R196" s="297">
        <v>0.0</v>
      </c>
      <c r="S196" s="297"/>
      <c r="T196" s="297" t="s">
        <v>719</v>
      </c>
    </row>
    <row r="197">
      <c r="B197" s="291"/>
      <c r="C197" s="291"/>
      <c r="D197" s="181"/>
      <c r="E197" s="292"/>
      <c r="F197" s="292"/>
      <c r="G197" s="293"/>
      <c r="H197" s="294"/>
      <c r="I197" s="295"/>
      <c r="J197" s="296"/>
      <c r="K197" s="297"/>
      <c r="L197" s="297"/>
      <c r="M197" s="297"/>
      <c r="N197" s="297"/>
      <c r="O197" s="298"/>
      <c r="P197" s="298"/>
      <c r="Q197" s="297"/>
      <c r="R197" s="297">
        <v>0.0</v>
      </c>
      <c r="S197" s="297"/>
      <c r="T197" s="297" t="s">
        <v>719</v>
      </c>
    </row>
    <row r="198">
      <c r="B198" s="291"/>
      <c r="C198" s="291"/>
      <c r="D198" s="181"/>
      <c r="E198" s="292"/>
      <c r="F198" s="292"/>
      <c r="G198" s="293"/>
      <c r="H198" s="294"/>
      <c r="I198" s="295"/>
      <c r="J198" s="296"/>
      <c r="K198" s="297"/>
      <c r="L198" s="297"/>
      <c r="M198" s="297"/>
      <c r="N198" s="297"/>
      <c r="O198" s="298"/>
      <c r="P198" s="298"/>
      <c r="Q198" s="297"/>
      <c r="R198" s="297">
        <v>0.0</v>
      </c>
      <c r="S198" s="297"/>
      <c r="T198" s="297" t="s">
        <v>719</v>
      </c>
    </row>
    <row r="199">
      <c r="B199" s="291"/>
      <c r="C199" s="291"/>
      <c r="D199" s="181"/>
      <c r="E199" s="292"/>
      <c r="F199" s="292"/>
      <c r="G199" s="293"/>
      <c r="H199" s="294"/>
      <c r="I199" s="295"/>
      <c r="J199" s="296"/>
      <c r="K199" s="297"/>
      <c r="L199" s="297"/>
      <c r="M199" s="297"/>
      <c r="N199" s="297"/>
      <c r="O199" s="298"/>
      <c r="P199" s="298"/>
      <c r="Q199" s="297"/>
      <c r="R199" s="297">
        <v>0.0</v>
      </c>
      <c r="S199" s="297"/>
      <c r="T199" s="297" t="s">
        <v>719</v>
      </c>
    </row>
    <row r="200">
      <c r="B200" s="291"/>
      <c r="C200" s="291"/>
      <c r="D200" s="181"/>
      <c r="E200" s="292"/>
      <c r="F200" s="292"/>
      <c r="G200" s="293"/>
      <c r="H200" s="294"/>
      <c r="I200" s="295"/>
      <c r="J200" s="296"/>
      <c r="K200" s="297"/>
      <c r="L200" s="297"/>
      <c r="M200" s="297"/>
      <c r="N200" s="297"/>
      <c r="O200" s="298"/>
      <c r="P200" s="298"/>
      <c r="Q200" s="297"/>
      <c r="R200" s="297">
        <v>0.0</v>
      </c>
      <c r="S200" s="297"/>
      <c r="T200" s="297" t="s">
        <v>719</v>
      </c>
    </row>
    <row r="201">
      <c r="B201" s="291"/>
      <c r="C201" s="291"/>
      <c r="D201" s="181"/>
      <c r="E201" s="292"/>
      <c r="F201" s="292"/>
      <c r="G201" s="293"/>
      <c r="H201" s="294"/>
      <c r="I201" s="295"/>
      <c r="J201" s="296"/>
      <c r="K201" s="297"/>
      <c r="L201" s="297"/>
      <c r="M201" s="297"/>
      <c r="N201" s="297"/>
      <c r="O201" s="298"/>
      <c r="P201" s="298"/>
      <c r="Q201" s="297"/>
      <c r="R201" s="297">
        <v>0.0</v>
      </c>
      <c r="S201" s="297"/>
      <c r="T201" s="297" t="s">
        <v>719</v>
      </c>
    </row>
    <row r="202">
      <c r="B202" s="291"/>
      <c r="C202" s="291"/>
      <c r="D202" s="181"/>
      <c r="E202" s="292"/>
      <c r="F202" s="292"/>
      <c r="G202" s="293"/>
      <c r="H202" s="294"/>
      <c r="I202" s="295"/>
      <c r="J202" s="296"/>
      <c r="K202" s="297"/>
      <c r="L202" s="297"/>
      <c r="M202" s="297"/>
      <c r="N202" s="297"/>
      <c r="O202" s="298"/>
      <c r="P202" s="298"/>
      <c r="Q202" s="297"/>
      <c r="R202" s="297">
        <v>0.0</v>
      </c>
      <c r="S202" s="297"/>
      <c r="T202" s="297" t="s">
        <v>719</v>
      </c>
    </row>
    <row r="203">
      <c r="B203" s="291"/>
      <c r="C203" s="291"/>
      <c r="D203" s="181"/>
      <c r="E203" s="292"/>
      <c r="F203" s="292"/>
      <c r="G203" s="293"/>
      <c r="H203" s="294"/>
      <c r="I203" s="295"/>
      <c r="J203" s="296"/>
      <c r="K203" s="297"/>
      <c r="L203" s="297"/>
      <c r="M203" s="297"/>
      <c r="N203" s="297"/>
      <c r="O203" s="298"/>
      <c r="P203" s="298"/>
      <c r="Q203" s="297"/>
      <c r="R203" s="297">
        <v>0.0</v>
      </c>
      <c r="S203" s="297"/>
      <c r="T203" s="297" t="s">
        <v>719</v>
      </c>
    </row>
    <row r="204">
      <c r="B204" s="291"/>
      <c r="C204" s="291"/>
      <c r="D204" s="181"/>
      <c r="E204" s="292"/>
      <c r="F204" s="292"/>
      <c r="G204" s="293"/>
      <c r="H204" s="294"/>
      <c r="I204" s="295"/>
      <c r="J204" s="296"/>
      <c r="K204" s="297"/>
      <c r="L204" s="297"/>
      <c r="M204" s="297"/>
      <c r="N204" s="297"/>
      <c r="O204" s="298"/>
      <c r="P204" s="298"/>
      <c r="Q204" s="297"/>
      <c r="R204" s="297">
        <v>0.0</v>
      </c>
      <c r="S204" s="297"/>
      <c r="T204" s="297" t="s">
        <v>719</v>
      </c>
    </row>
    <row r="205">
      <c r="B205" s="291"/>
      <c r="C205" s="291"/>
      <c r="D205" s="181"/>
      <c r="E205" s="292"/>
      <c r="F205" s="292"/>
      <c r="G205" s="293"/>
      <c r="H205" s="294"/>
      <c r="I205" s="295"/>
      <c r="J205" s="296"/>
      <c r="K205" s="297"/>
      <c r="L205" s="297"/>
      <c r="M205" s="297"/>
      <c r="N205" s="297"/>
      <c r="O205" s="298"/>
      <c r="P205" s="298"/>
      <c r="Q205" s="297"/>
      <c r="R205" s="297">
        <v>0.0</v>
      </c>
      <c r="S205" s="297"/>
      <c r="T205" s="297" t="s">
        <v>719</v>
      </c>
    </row>
    <row r="206">
      <c r="B206" s="291"/>
      <c r="C206" s="291"/>
      <c r="D206" s="181"/>
      <c r="E206" s="292"/>
      <c r="F206" s="292"/>
      <c r="G206" s="293"/>
      <c r="H206" s="294"/>
      <c r="I206" s="295"/>
      <c r="J206" s="296"/>
      <c r="K206" s="297"/>
      <c r="L206" s="297"/>
      <c r="M206" s="297"/>
      <c r="N206" s="297"/>
      <c r="O206" s="298"/>
      <c r="P206" s="298"/>
      <c r="Q206" s="297"/>
      <c r="R206" s="297">
        <v>0.0</v>
      </c>
      <c r="S206" s="297"/>
      <c r="T206" s="297" t="s">
        <v>719</v>
      </c>
    </row>
    <row r="207">
      <c r="B207" s="291"/>
      <c r="C207" s="291"/>
      <c r="D207" s="181"/>
      <c r="E207" s="292"/>
      <c r="F207" s="292"/>
      <c r="G207" s="293"/>
      <c r="H207" s="294"/>
      <c r="I207" s="295"/>
      <c r="J207" s="296"/>
      <c r="K207" s="297"/>
      <c r="L207" s="297"/>
      <c r="M207" s="297"/>
      <c r="N207" s="297"/>
      <c r="O207" s="298"/>
      <c r="P207" s="298"/>
      <c r="Q207" s="297"/>
      <c r="R207" s="297">
        <v>0.0</v>
      </c>
      <c r="S207" s="297"/>
      <c r="T207" s="297" t="s">
        <v>719</v>
      </c>
    </row>
    <row r="208">
      <c r="B208" s="291"/>
      <c r="C208" s="291"/>
      <c r="D208" s="181"/>
      <c r="E208" s="292"/>
      <c r="F208" s="292"/>
      <c r="G208" s="293"/>
      <c r="H208" s="294"/>
      <c r="I208" s="295"/>
      <c r="J208" s="296"/>
      <c r="K208" s="297"/>
      <c r="L208" s="297"/>
      <c r="M208" s="297"/>
      <c r="N208" s="297"/>
      <c r="O208" s="298"/>
      <c r="P208" s="298"/>
      <c r="Q208" s="297"/>
      <c r="R208" s="297">
        <v>0.0</v>
      </c>
      <c r="S208" s="297"/>
      <c r="T208" s="297" t="s">
        <v>719</v>
      </c>
    </row>
    <row r="209">
      <c r="B209" s="291"/>
      <c r="C209" s="291"/>
      <c r="D209" s="181"/>
      <c r="E209" s="292"/>
      <c r="F209" s="292"/>
      <c r="G209" s="293"/>
      <c r="H209" s="294"/>
      <c r="I209" s="295"/>
      <c r="J209" s="296"/>
      <c r="K209" s="297"/>
      <c r="L209" s="297"/>
      <c r="M209" s="297"/>
      <c r="N209" s="297"/>
      <c r="O209" s="298"/>
      <c r="P209" s="298"/>
      <c r="Q209" s="297"/>
      <c r="R209" s="297">
        <v>0.0</v>
      </c>
      <c r="S209" s="297"/>
      <c r="T209" s="297" t="s">
        <v>719</v>
      </c>
    </row>
    <row r="210">
      <c r="B210" s="291"/>
      <c r="C210" s="291"/>
      <c r="D210" s="181"/>
      <c r="E210" s="292"/>
      <c r="F210" s="292"/>
      <c r="G210" s="293"/>
      <c r="H210" s="294"/>
      <c r="I210" s="295"/>
      <c r="J210" s="296"/>
      <c r="K210" s="297"/>
      <c r="L210" s="297"/>
      <c r="M210" s="297"/>
      <c r="N210" s="297"/>
      <c r="O210" s="298"/>
      <c r="P210" s="298"/>
      <c r="Q210" s="297"/>
      <c r="R210" s="297">
        <v>0.0</v>
      </c>
      <c r="S210" s="297"/>
      <c r="T210" s="297" t="s">
        <v>719</v>
      </c>
    </row>
    <row r="211">
      <c r="B211" s="291"/>
      <c r="C211" s="291"/>
      <c r="D211" s="181"/>
      <c r="E211" s="292"/>
      <c r="F211" s="292"/>
      <c r="G211" s="293"/>
      <c r="H211" s="294"/>
      <c r="I211" s="295"/>
      <c r="J211" s="296"/>
      <c r="K211" s="297"/>
      <c r="L211" s="297"/>
      <c r="M211" s="297"/>
      <c r="N211" s="297"/>
      <c r="O211" s="298"/>
      <c r="P211" s="298"/>
      <c r="Q211" s="297"/>
      <c r="R211" s="297">
        <v>0.0</v>
      </c>
      <c r="S211" s="297"/>
      <c r="T211" s="297" t="s">
        <v>719</v>
      </c>
    </row>
    <row r="212">
      <c r="B212" s="291"/>
      <c r="C212" s="291"/>
      <c r="D212" s="181"/>
      <c r="E212" s="292"/>
      <c r="F212" s="292"/>
      <c r="G212" s="293"/>
      <c r="H212" s="294"/>
      <c r="I212" s="295"/>
      <c r="J212" s="296"/>
      <c r="K212" s="297"/>
      <c r="L212" s="297"/>
      <c r="M212" s="297"/>
      <c r="N212" s="297"/>
      <c r="O212" s="298"/>
      <c r="P212" s="298"/>
      <c r="Q212" s="297"/>
      <c r="R212" s="297">
        <v>0.0</v>
      </c>
      <c r="S212" s="297"/>
      <c r="T212" s="297" t="s">
        <v>719</v>
      </c>
    </row>
    <row r="213">
      <c r="B213" s="291"/>
      <c r="C213" s="291"/>
      <c r="D213" s="181"/>
      <c r="E213" s="292"/>
      <c r="F213" s="292"/>
      <c r="G213" s="293"/>
      <c r="H213" s="294"/>
      <c r="I213" s="295"/>
      <c r="J213" s="296"/>
      <c r="K213" s="297"/>
      <c r="L213" s="297"/>
      <c r="M213" s="297"/>
      <c r="N213" s="297"/>
      <c r="O213" s="298"/>
      <c r="P213" s="298"/>
      <c r="Q213" s="297"/>
      <c r="R213" s="297">
        <v>0.0</v>
      </c>
      <c r="S213" s="297"/>
      <c r="T213" s="297" t="s">
        <v>719</v>
      </c>
    </row>
    <row r="214">
      <c r="B214" s="291"/>
      <c r="C214" s="291"/>
      <c r="D214" s="181"/>
      <c r="E214" s="292"/>
      <c r="F214" s="292"/>
      <c r="G214" s="293"/>
      <c r="H214" s="294"/>
      <c r="I214" s="295"/>
      <c r="J214" s="296"/>
      <c r="K214" s="297"/>
      <c r="L214" s="297"/>
      <c r="M214" s="297"/>
      <c r="N214" s="297"/>
      <c r="O214" s="298"/>
      <c r="P214" s="298"/>
      <c r="Q214" s="297"/>
      <c r="R214" s="297">
        <v>0.0</v>
      </c>
      <c r="S214" s="297"/>
      <c r="T214" s="297" t="s">
        <v>719</v>
      </c>
    </row>
    <row r="215">
      <c r="B215" s="291"/>
      <c r="C215" s="291"/>
      <c r="D215" s="181"/>
      <c r="E215" s="292"/>
      <c r="F215" s="292"/>
      <c r="G215" s="293"/>
      <c r="H215" s="294"/>
      <c r="I215" s="295"/>
      <c r="J215" s="296"/>
      <c r="K215" s="297"/>
      <c r="L215" s="297"/>
      <c r="M215" s="297"/>
      <c r="N215" s="297"/>
      <c r="O215" s="298"/>
      <c r="P215" s="298"/>
      <c r="Q215" s="297"/>
      <c r="R215" s="297">
        <v>0.0</v>
      </c>
      <c r="S215" s="297"/>
      <c r="T215" s="297" t="s">
        <v>719</v>
      </c>
    </row>
    <row r="216">
      <c r="B216" s="291"/>
      <c r="C216" s="291"/>
      <c r="D216" s="181"/>
      <c r="E216" s="292"/>
      <c r="F216" s="292"/>
      <c r="G216" s="293"/>
      <c r="H216" s="294"/>
      <c r="I216" s="295"/>
      <c r="J216" s="296"/>
      <c r="K216" s="297"/>
      <c r="L216" s="297"/>
      <c r="M216" s="297"/>
      <c r="N216" s="297"/>
      <c r="O216" s="298"/>
      <c r="P216" s="298"/>
      <c r="Q216" s="297"/>
      <c r="R216" s="297">
        <v>0.0</v>
      </c>
      <c r="S216" s="297"/>
      <c r="T216" s="297" t="s">
        <v>719</v>
      </c>
    </row>
    <row r="217">
      <c r="B217" s="291"/>
      <c r="C217" s="291"/>
      <c r="D217" s="181"/>
      <c r="E217" s="292"/>
      <c r="F217" s="292"/>
      <c r="G217" s="293"/>
      <c r="H217" s="294"/>
      <c r="I217" s="295"/>
      <c r="J217" s="296"/>
      <c r="K217" s="297"/>
      <c r="L217" s="297"/>
      <c r="M217" s="297"/>
      <c r="N217" s="297"/>
      <c r="O217" s="298"/>
      <c r="P217" s="298"/>
      <c r="Q217" s="297"/>
      <c r="R217" s="297">
        <v>0.0</v>
      </c>
      <c r="S217" s="297"/>
      <c r="T217" s="297" t="s">
        <v>719</v>
      </c>
    </row>
    <row r="218">
      <c r="B218" s="291"/>
      <c r="C218" s="291"/>
      <c r="D218" s="181"/>
      <c r="E218" s="292"/>
      <c r="F218" s="292"/>
      <c r="G218" s="293"/>
      <c r="H218" s="294"/>
      <c r="I218" s="295"/>
      <c r="J218" s="296"/>
      <c r="K218" s="297"/>
      <c r="L218" s="297"/>
      <c r="M218" s="297"/>
      <c r="N218" s="297"/>
      <c r="O218" s="298"/>
      <c r="P218" s="298"/>
      <c r="Q218" s="297"/>
      <c r="R218" s="297">
        <v>0.0</v>
      </c>
      <c r="S218" s="297"/>
      <c r="T218" s="297" t="s">
        <v>719</v>
      </c>
    </row>
    <row r="219">
      <c r="B219" s="291"/>
      <c r="C219" s="291"/>
      <c r="D219" s="181"/>
      <c r="E219" s="292"/>
      <c r="F219" s="292"/>
      <c r="G219" s="293"/>
      <c r="H219" s="294"/>
      <c r="I219" s="295"/>
      <c r="J219" s="296"/>
      <c r="K219" s="297"/>
      <c r="L219" s="297"/>
      <c r="M219" s="297"/>
      <c r="N219" s="297"/>
      <c r="O219" s="298"/>
      <c r="P219" s="298"/>
      <c r="Q219" s="297"/>
      <c r="R219" s="297">
        <v>0.0</v>
      </c>
      <c r="S219" s="297"/>
      <c r="T219" s="297" t="s">
        <v>719</v>
      </c>
    </row>
    <row r="220">
      <c r="B220" s="291"/>
      <c r="C220" s="291"/>
      <c r="D220" s="181"/>
      <c r="E220" s="292"/>
      <c r="F220" s="292"/>
      <c r="G220" s="293"/>
      <c r="H220" s="294"/>
      <c r="I220" s="295"/>
      <c r="J220" s="296"/>
      <c r="K220" s="297"/>
      <c r="L220" s="297"/>
      <c r="M220" s="297"/>
      <c r="N220" s="297"/>
      <c r="O220" s="298"/>
      <c r="P220" s="298"/>
      <c r="Q220" s="297"/>
      <c r="R220" s="297">
        <v>0.0</v>
      </c>
      <c r="S220" s="297"/>
      <c r="T220" s="297" t="s">
        <v>719</v>
      </c>
    </row>
    <row r="221">
      <c r="B221" s="291"/>
      <c r="C221" s="291"/>
      <c r="D221" s="181"/>
      <c r="E221" s="292"/>
      <c r="F221" s="292"/>
      <c r="G221" s="293"/>
      <c r="H221" s="294"/>
      <c r="I221" s="295"/>
      <c r="J221" s="296"/>
      <c r="K221" s="297"/>
      <c r="L221" s="297"/>
      <c r="M221" s="297"/>
      <c r="N221" s="297"/>
      <c r="O221" s="298"/>
      <c r="P221" s="298"/>
      <c r="Q221" s="297"/>
      <c r="R221" s="297">
        <v>0.0</v>
      </c>
      <c r="S221" s="297"/>
      <c r="T221" s="297" t="s">
        <v>719</v>
      </c>
    </row>
    <row r="222">
      <c r="B222" s="291"/>
      <c r="C222" s="291"/>
      <c r="D222" s="181"/>
      <c r="E222" s="292"/>
      <c r="F222" s="292"/>
      <c r="G222" s="293"/>
      <c r="H222" s="294"/>
      <c r="I222" s="295"/>
      <c r="J222" s="296"/>
      <c r="K222" s="297"/>
      <c r="L222" s="297"/>
      <c r="M222" s="297"/>
      <c r="N222" s="297"/>
      <c r="O222" s="298"/>
      <c r="P222" s="298"/>
      <c r="Q222" s="297"/>
      <c r="R222" s="297">
        <v>0.0</v>
      </c>
      <c r="S222" s="297"/>
      <c r="T222" s="297" t="s">
        <v>719</v>
      </c>
    </row>
    <row r="223">
      <c r="B223" s="291"/>
      <c r="C223" s="291"/>
      <c r="D223" s="181"/>
      <c r="E223" s="292"/>
      <c r="F223" s="292"/>
      <c r="G223" s="293"/>
      <c r="H223" s="294"/>
      <c r="I223" s="295"/>
      <c r="J223" s="296"/>
      <c r="K223" s="297"/>
      <c r="L223" s="297"/>
      <c r="M223" s="297"/>
      <c r="N223" s="297"/>
      <c r="O223" s="298"/>
      <c r="P223" s="298"/>
      <c r="Q223" s="297"/>
      <c r="R223" s="297">
        <v>0.0</v>
      </c>
      <c r="S223" s="297"/>
      <c r="T223" s="297" t="s">
        <v>719</v>
      </c>
    </row>
    <row r="224">
      <c r="B224" s="291"/>
      <c r="C224" s="291"/>
      <c r="D224" s="181"/>
      <c r="E224" s="292"/>
      <c r="F224" s="292"/>
      <c r="G224" s="293"/>
      <c r="H224" s="294"/>
      <c r="I224" s="295"/>
      <c r="J224" s="296"/>
      <c r="K224" s="297"/>
      <c r="L224" s="297"/>
      <c r="M224" s="297"/>
      <c r="N224" s="297"/>
      <c r="O224" s="298"/>
      <c r="P224" s="298"/>
      <c r="Q224" s="297"/>
      <c r="R224" s="297">
        <v>0.0</v>
      </c>
      <c r="S224" s="297"/>
      <c r="T224" s="297" t="s">
        <v>719</v>
      </c>
    </row>
    <row r="225">
      <c r="B225" s="291"/>
      <c r="C225" s="291"/>
      <c r="D225" s="181"/>
      <c r="E225" s="292"/>
      <c r="F225" s="292"/>
      <c r="G225" s="293"/>
      <c r="H225" s="294"/>
      <c r="I225" s="295"/>
      <c r="J225" s="296"/>
      <c r="K225" s="297"/>
      <c r="L225" s="297"/>
      <c r="M225" s="297"/>
      <c r="N225" s="297"/>
      <c r="O225" s="298"/>
      <c r="P225" s="298"/>
      <c r="Q225" s="297"/>
      <c r="R225" s="297">
        <v>0.0</v>
      </c>
      <c r="S225" s="297"/>
      <c r="T225" s="297" t="s">
        <v>719</v>
      </c>
    </row>
    <row r="226">
      <c r="B226" s="291"/>
      <c r="C226" s="291"/>
      <c r="D226" s="181"/>
      <c r="E226" s="292"/>
      <c r="F226" s="292"/>
      <c r="G226" s="293"/>
      <c r="H226" s="294"/>
      <c r="I226" s="295"/>
      <c r="J226" s="296"/>
      <c r="K226" s="297"/>
      <c r="L226" s="297"/>
      <c r="M226" s="297"/>
      <c r="N226" s="297"/>
      <c r="O226" s="298"/>
      <c r="P226" s="298"/>
      <c r="Q226" s="297"/>
      <c r="R226" s="297">
        <v>0.0</v>
      </c>
      <c r="S226" s="297"/>
      <c r="T226" s="297" t="s">
        <v>719</v>
      </c>
    </row>
    <row r="227">
      <c r="B227" s="291"/>
      <c r="C227" s="291"/>
      <c r="D227" s="181"/>
      <c r="E227" s="292"/>
      <c r="F227" s="292"/>
      <c r="G227" s="293"/>
      <c r="H227" s="294"/>
      <c r="I227" s="295"/>
      <c r="J227" s="296"/>
      <c r="K227" s="297"/>
      <c r="L227" s="297"/>
      <c r="M227" s="297"/>
      <c r="N227" s="297"/>
      <c r="O227" s="298"/>
      <c r="P227" s="298"/>
      <c r="Q227" s="297"/>
      <c r="R227" s="297">
        <v>0.0</v>
      </c>
      <c r="S227" s="297"/>
      <c r="T227" s="297" t="s">
        <v>719</v>
      </c>
    </row>
    <row r="228">
      <c r="B228" s="291"/>
      <c r="C228" s="291"/>
      <c r="D228" s="181"/>
      <c r="E228" s="292"/>
      <c r="F228" s="292"/>
      <c r="G228" s="293"/>
      <c r="H228" s="294"/>
      <c r="I228" s="295"/>
      <c r="J228" s="296"/>
      <c r="K228" s="297"/>
      <c r="L228" s="297"/>
      <c r="M228" s="297"/>
      <c r="N228" s="297"/>
      <c r="O228" s="298"/>
      <c r="P228" s="298"/>
      <c r="Q228" s="297"/>
      <c r="R228" s="297">
        <v>0.0</v>
      </c>
      <c r="S228" s="297"/>
      <c r="T228" s="297" t="s">
        <v>719</v>
      </c>
    </row>
    <row r="229">
      <c r="B229" s="291"/>
      <c r="C229" s="291"/>
      <c r="D229" s="181"/>
      <c r="E229" s="292"/>
      <c r="F229" s="292"/>
      <c r="G229" s="293"/>
      <c r="H229" s="294"/>
      <c r="I229" s="295"/>
      <c r="J229" s="296"/>
      <c r="K229" s="297"/>
      <c r="L229" s="297"/>
      <c r="M229" s="297"/>
      <c r="N229" s="297"/>
      <c r="O229" s="298"/>
      <c r="P229" s="298"/>
      <c r="Q229" s="297"/>
      <c r="R229" s="297">
        <v>0.0</v>
      </c>
      <c r="S229" s="297"/>
      <c r="T229" s="297" t="s">
        <v>719</v>
      </c>
    </row>
    <row r="230">
      <c r="B230" s="291"/>
      <c r="C230" s="291"/>
      <c r="D230" s="181"/>
      <c r="E230" s="292"/>
      <c r="F230" s="292"/>
      <c r="G230" s="293"/>
      <c r="H230" s="294"/>
      <c r="I230" s="295"/>
      <c r="J230" s="296"/>
      <c r="K230" s="297"/>
      <c r="L230" s="297"/>
      <c r="M230" s="297"/>
      <c r="N230" s="297"/>
      <c r="O230" s="298"/>
      <c r="P230" s="298"/>
      <c r="Q230" s="297"/>
      <c r="R230" s="297">
        <v>0.0</v>
      </c>
      <c r="S230" s="297"/>
      <c r="T230" s="297" t="s">
        <v>719</v>
      </c>
    </row>
    <row r="231">
      <c r="B231" s="291"/>
      <c r="C231" s="291"/>
      <c r="D231" s="181"/>
      <c r="E231" s="292"/>
      <c r="F231" s="292"/>
      <c r="G231" s="293"/>
      <c r="H231" s="294"/>
      <c r="I231" s="295"/>
      <c r="J231" s="296"/>
      <c r="K231" s="297"/>
      <c r="L231" s="297"/>
      <c r="M231" s="297"/>
      <c r="N231" s="297"/>
      <c r="O231" s="298"/>
      <c r="P231" s="298"/>
      <c r="Q231" s="297"/>
      <c r="R231" s="297">
        <v>0.0</v>
      </c>
      <c r="S231" s="297"/>
      <c r="T231" s="297" t="s">
        <v>719</v>
      </c>
    </row>
    <row r="232">
      <c r="B232" s="291"/>
      <c r="C232" s="291"/>
      <c r="D232" s="181"/>
      <c r="E232" s="292"/>
      <c r="F232" s="292"/>
      <c r="G232" s="293"/>
      <c r="H232" s="294"/>
      <c r="I232" s="295"/>
      <c r="J232" s="296"/>
      <c r="K232" s="297"/>
      <c r="L232" s="297"/>
      <c r="M232" s="297"/>
      <c r="N232" s="297"/>
      <c r="O232" s="298"/>
      <c r="P232" s="298"/>
      <c r="Q232" s="297"/>
      <c r="R232" s="297">
        <v>0.0</v>
      </c>
      <c r="S232" s="297"/>
      <c r="T232" s="297" t="s">
        <v>719</v>
      </c>
    </row>
    <row r="233">
      <c r="B233" s="291"/>
      <c r="C233" s="291"/>
      <c r="D233" s="181"/>
      <c r="E233" s="292"/>
      <c r="F233" s="292"/>
      <c r="G233" s="293"/>
      <c r="H233" s="294"/>
      <c r="I233" s="295"/>
      <c r="J233" s="296"/>
      <c r="K233" s="297"/>
      <c r="L233" s="297"/>
      <c r="M233" s="297"/>
      <c r="N233" s="297"/>
      <c r="O233" s="298"/>
      <c r="P233" s="298"/>
      <c r="Q233" s="297"/>
      <c r="R233" s="297">
        <v>0.0</v>
      </c>
      <c r="S233" s="297"/>
      <c r="T233" s="297" t="s">
        <v>719</v>
      </c>
    </row>
    <row r="234">
      <c r="B234" s="291"/>
      <c r="C234" s="291"/>
      <c r="D234" s="181"/>
      <c r="E234" s="292"/>
      <c r="F234" s="292"/>
      <c r="G234" s="293"/>
      <c r="H234" s="294"/>
      <c r="I234" s="295"/>
      <c r="J234" s="296"/>
      <c r="K234" s="297"/>
      <c r="L234" s="297"/>
      <c r="M234" s="297"/>
      <c r="N234" s="297"/>
      <c r="O234" s="298"/>
      <c r="P234" s="298"/>
      <c r="Q234" s="297"/>
      <c r="R234" s="297">
        <v>0.0</v>
      </c>
      <c r="S234" s="297"/>
      <c r="T234" s="297" t="s">
        <v>719</v>
      </c>
    </row>
    <row r="235">
      <c r="B235" s="291"/>
      <c r="C235" s="291"/>
      <c r="D235" s="181"/>
      <c r="E235" s="292"/>
      <c r="F235" s="292"/>
      <c r="G235" s="293"/>
      <c r="H235" s="294"/>
      <c r="I235" s="295"/>
      <c r="J235" s="296"/>
      <c r="K235" s="297"/>
      <c r="L235" s="297"/>
      <c r="M235" s="297"/>
      <c r="N235" s="297"/>
      <c r="O235" s="298"/>
      <c r="P235" s="298"/>
      <c r="Q235" s="297"/>
      <c r="R235" s="297">
        <v>0.0</v>
      </c>
      <c r="S235" s="297"/>
      <c r="T235" s="297" t="s">
        <v>719</v>
      </c>
    </row>
    <row r="236">
      <c r="B236" s="291"/>
      <c r="C236" s="291"/>
      <c r="D236" s="181"/>
      <c r="E236" s="292"/>
      <c r="F236" s="292"/>
      <c r="G236" s="293"/>
      <c r="H236" s="294"/>
      <c r="I236" s="295"/>
      <c r="J236" s="296"/>
      <c r="K236" s="297"/>
      <c r="L236" s="297"/>
      <c r="M236" s="297"/>
      <c r="N236" s="297"/>
      <c r="O236" s="298"/>
      <c r="P236" s="298"/>
      <c r="Q236" s="297"/>
      <c r="R236" s="297">
        <v>0.0</v>
      </c>
      <c r="S236" s="297"/>
      <c r="T236" s="297" t="s">
        <v>719</v>
      </c>
    </row>
    <row r="237">
      <c r="B237" s="291"/>
      <c r="C237" s="291"/>
      <c r="D237" s="181"/>
      <c r="E237" s="292"/>
      <c r="F237" s="292"/>
      <c r="G237" s="293"/>
      <c r="H237" s="294"/>
      <c r="I237" s="295"/>
      <c r="J237" s="296"/>
      <c r="K237" s="297"/>
      <c r="L237" s="297"/>
      <c r="M237" s="297"/>
      <c r="N237" s="297"/>
      <c r="O237" s="298"/>
      <c r="P237" s="298"/>
      <c r="Q237" s="297"/>
      <c r="R237" s="297">
        <v>0.0</v>
      </c>
      <c r="S237" s="297"/>
      <c r="T237" s="297" t="s">
        <v>719</v>
      </c>
    </row>
    <row r="238">
      <c r="B238" s="291"/>
      <c r="C238" s="291"/>
      <c r="D238" s="181"/>
      <c r="E238" s="292"/>
      <c r="F238" s="292"/>
      <c r="G238" s="293"/>
      <c r="H238" s="294"/>
      <c r="I238" s="295"/>
      <c r="J238" s="296"/>
      <c r="K238" s="297"/>
      <c r="L238" s="297"/>
      <c r="M238" s="297"/>
      <c r="N238" s="297"/>
      <c r="O238" s="298"/>
      <c r="P238" s="298"/>
      <c r="Q238" s="297"/>
      <c r="R238" s="297">
        <v>0.0</v>
      </c>
      <c r="S238" s="297"/>
      <c r="T238" s="297" t="s">
        <v>719</v>
      </c>
    </row>
    <row r="239">
      <c r="B239" s="291"/>
      <c r="C239" s="291"/>
      <c r="D239" s="181"/>
      <c r="E239" s="292"/>
      <c r="F239" s="292"/>
      <c r="G239" s="293"/>
      <c r="H239" s="294"/>
      <c r="I239" s="295"/>
      <c r="J239" s="296"/>
      <c r="K239" s="297"/>
      <c r="L239" s="297"/>
      <c r="M239" s="297"/>
      <c r="N239" s="297"/>
      <c r="O239" s="298"/>
      <c r="P239" s="298"/>
      <c r="Q239" s="297"/>
      <c r="R239" s="297">
        <v>0.0</v>
      </c>
      <c r="S239" s="297"/>
      <c r="T239" s="297" t="s">
        <v>719</v>
      </c>
    </row>
    <row r="240">
      <c r="B240" s="291"/>
      <c r="C240" s="291"/>
      <c r="D240" s="181"/>
      <c r="E240" s="292"/>
      <c r="F240" s="292"/>
      <c r="G240" s="293"/>
      <c r="H240" s="294"/>
      <c r="I240" s="295"/>
      <c r="J240" s="296"/>
      <c r="K240" s="297"/>
      <c r="L240" s="297"/>
      <c r="M240" s="297"/>
      <c r="N240" s="297"/>
      <c r="O240" s="298"/>
      <c r="P240" s="298"/>
      <c r="Q240" s="297"/>
      <c r="R240" s="297">
        <v>0.0</v>
      </c>
      <c r="S240" s="297"/>
      <c r="T240" s="297" t="s">
        <v>719</v>
      </c>
    </row>
    <row r="241">
      <c r="B241" s="291"/>
      <c r="C241" s="291"/>
      <c r="D241" s="181"/>
      <c r="E241" s="292"/>
      <c r="F241" s="292"/>
      <c r="G241" s="293"/>
      <c r="H241" s="294"/>
      <c r="I241" s="295"/>
      <c r="J241" s="296"/>
      <c r="K241" s="297"/>
      <c r="L241" s="297"/>
      <c r="M241" s="297"/>
      <c r="N241" s="297"/>
      <c r="O241" s="298"/>
      <c r="P241" s="298"/>
      <c r="Q241" s="297"/>
      <c r="R241" s="297">
        <v>0.0</v>
      </c>
      <c r="S241" s="297"/>
      <c r="T241" s="297" t="s">
        <v>719</v>
      </c>
    </row>
    <row r="242">
      <c r="B242" s="291"/>
      <c r="C242" s="291"/>
      <c r="D242" s="181"/>
      <c r="E242" s="292"/>
      <c r="F242" s="292"/>
      <c r="G242" s="293"/>
      <c r="H242" s="294"/>
      <c r="I242" s="295"/>
      <c r="J242" s="296"/>
      <c r="K242" s="297"/>
      <c r="L242" s="297"/>
      <c r="M242" s="297"/>
      <c r="N242" s="297"/>
      <c r="O242" s="298"/>
      <c r="P242" s="298"/>
      <c r="Q242" s="297"/>
      <c r="R242" s="297">
        <v>0.0</v>
      </c>
      <c r="S242" s="297"/>
      <c r="T242" s="297" t="s">
        <v>719</v>
      </c>
    </row>
    <row r="243">
      <c r="B243" s="291"/>
      <c r="C243" s="291"/>
      <c r="D243" s="181"/>
      <c r="E243" s="292"/>
      <c r="F243" s="292"/>
      <c r="G243" s="293"/>
      <c r="H243" s="294"/>
      <c r="I243" s="295"/>
      <c r="J243" s="296"/>
      <c r="K243" s="297"/>
      <c r="L243" s="297"/>
      <c r="M243" s="297"/>
      <c r="N243" s="297"/>
      <c r="O243" s="298"/>
      <c r="P243" s="298"/>
      <c r="Q243" s="297"/>
      <c r="R243" s="297">
        <v>0.0</v>
      </c>
      <c r="S243" s="297"/>
      <c r="T243" s="297" t="s">
        <v>719</v>
      </c>
    </row>
    <row r="244">
      <c r="B244" s="291"/>
      <c r="C244" s="291"/>
      <c r="D244" s="181"/>
      <c r="E244" s="292"/>
      <c r="F244" s="292"/>
      <c r="G244" s="293"/>
      <c r="H244" s="294"/>
      <c r="I244" s="295"/>
      <c r="J244" s="296"/>
      <c r="K244" s="297"/>
      <c r="L244" s="297"/>
      <c r="M244" s="297"/>
      <c r="N244" s="297"/>
      <c r="O244" s="298"/>
      <c r="P244" s="298"/>
      <c r="Q244" s="297"/>
      <c r="R244" s="297">
        <v>0.0</v>
      </c>
      <c r="S244" s="297"/>
      <c r="T244" s="297" t="s">
        <v>719</v>
      </c>
    </row>
    <row r="245">
      <c r="B245" s="291"/>
      <c r="C245" s="291"/>
      <c r="D245" s="181"/>
      <c r="E245" s="292"/>
      <c r="F245" s="292"/>
      <c r="G245" s="293"/>
      <c r="H245" s="294"/>
      <c r="I245" s="295"/>
      <c r="J245" s="296"/>
      <c r="K245" s="297"/>
      <c r="L245" s="297"/>
      <c r="M245" s="297"/>
      <c r="N245" s="297"/>
      <c r="O245" s="298"/>
      <c r="P245" s="298"/>
      <c r="Q245" s="297"/>
      <c r="R245" s="297">
        <v>0.0</v>
      </c>
      <c r="S245" s="297"/>
      <c r="T245" s="297" t="s">
        <v>719</v>
      </c>
    </row>
    <row r="246">
      <c r="B246" s="291"/>
      <c r="C246" s="291"/>
      <c r="D246" s="181"/>
      <c r="E246" s="292"/>
      <c r="F246" s="292"/>
      <c r="G246" s="293"/>
      <c r="H246" s="294"/>
      <c r="I246" s="295"/>
      <c r="J246" s="296"/>
      <c r="K246" s="297"/>
      <c r="L246" s="297"/>
      <c r="M246" s="297"/>
      <c r="N246" s="297"/>
      <c r="O246" s="298"/>
      <c r="P246" s="298"/>
      <c r="Q246" s="297"/>
      <c r="R246" s="297">
        <v>0.0</v>
      </c>
      <c r="S246" s="297"/>
      <c r="T246" s="297" t="s">
        <v>719</v>
      </c>
    </row>
    <row r="247">
      <c r="B247" s="291"/>
      <c r="C247" s="291"/>
      <c r="D247" s="181"/>
      <c r="E247" s="292"/>
      <c r="F247" s="292"/>
      <c r="G247" s="293"/>
      <c r="H247" s="294"/>
      <c r="I247" s="295"/>
      <c r="J247" s="296"/>
      <c r="K247" s="297"/>
      <c r="L247" s="297"/>
      <c r="M247" s="297"/>
      <c r="N247" s="297"/>
      <c r="O247" s="298"/>
      <c r="P247" s="298"/>
      <c r="Q247" s="297"/>
      <c r="R247" s="297">
        <v>0.0</v>
      </c>
      <c r="S247" s="297"/>
      <c r="T247" s="297" t="s">
        <v>719</v>
      </c>
    </row>
    <row r="248">
      <c r="B248" s="291"/>
      <c r="C248" s="291"/>
      <c r="D248" s="181"/>
      <c r="E248" s="292"/>
      <c r="F248" s="292"/>
      <c r="G248" s="293"/>
      <c r="H248" s="294"/>
      <c r="I248" s="295"/>
      <c r="J248" s="296"/>
      <c r="K248" s="297"/>
      <c r="L248" s="297"/>
      <c r="M248" s="297"/>
      <c r="N248" s="297"/>
      <c r="O248" s="298"/>
      <c r="P248" s="298"/>
      <c r="Q248" s="297"/>
      <c r="R248" s="297">
        <v>0.0</v>
      </c>
      <c r="S248" s="297"/>
      <c r="T248" s="297" t="s">
        <v>719</v>
      </c>
    </row>
    <row r="249">
      <c r="B249" s="291"/>
      <c r="C249" s="291"/>
      <c r="D249" s="181"/>
      <c r="E249" s="292"/>
      <c r="F249" s="292"/>
      <c r="G249" s="293"/>
      <c r="H249" s="294"/>
      <c r="I249" s="295"/>
      <c r="J249" s="296"/>
      <c r="K249" s="297"/>
      <c r="L249" s="297"/>
      <c r="M249" s="297"/>
      <c r="N249" s="297"/>
      <c r="O249" s="298"/>
      <c r="P249" s="298"/>
      <c r="Q249" s="297"/>
      <c r="R249" s="297">
        <v>0.0</v>
      </c>
      <c r="S249" s="297"/>
      <c r="T249" s="297" t="s">
        <v>719</v>
      </c>
    </row>
    <row r="250">
      <c r="B250" s="291"/>
      <c r="C250" s="291"/>
      <c r="D250" s="181"/>
      <c r="E250" s="292"/>
      <c r="F250" s="292"/>
      <c r="G250" s="293"/>
      <c r="H250" s="294"/>
      <c r="I250" s="295"/>
      <c r="J250" s="296"/>
      <c r="K250" s="297"/>
      <c r="L250" s="297"/>
      <c r="M250" s="297"/>
      <c r="N250" s="297"/>
      <c r="O250" s="298"/>
      <c r="P250" s="298"/>
      <c r="Q250" s="297"/>
      <c r="R250" s="297">
        <v>0.0</v>
      </c>
      <c r="S250" s="297"/>
      <c r="T250" s="297" t="s">
        <v>719</v>
      </c>
    </row>
    <row r="251">
      <c r="B251" s="291"/>
      <c r="C251" s="291"/>
      <c r="D251" s="181"/>
      <c r="E251" s="292"/>
      <c r="F251" s="292"/>
      <c r="G251" s="293"/>
      <c r="H251" s="294"/>
      <c r="I251" s="295"/>
      <c r="J251" s="296"/>
      <c r="K251" s="297"/>
      <c r="L251" s="297"/>
      <c r="M251" s="297"/>
      <c r="N251" s="297"/>
      <c r="O251" s="298"/>
      <c r="P251" s="298"/>
      <c r="Q251" s="297"/>
      <c r="R251" s="297">
        <v>0.0</v>
      </c>
      <c r="S251" s="297"/>
      <c r="T251" s="297" t="s">
        <v>719</v>
      </c>
    </row>
    <row r="252">
      <c r="B252" s="291"/>
      <c r="C252" s="291"/>
      <c r="D252" s="181"/>
      <c r="E252" s="292"/>
      <c r="F252" s="292"/>
      <c r="G252" s="293"/>
      <c r="H252" s="294"/>
      <c r="I252" s="295"/>
      <c r="J252" s="296"/>
      <c r="K252" s="297"/>
      <c r="L252" s="297"/>
      <c r="M252" s="297"/>
      <c r="N252" s="297"/>
      <c r="O252" s="298"/>
      <c r="P252" s="298"/>
      <c r="Q252" s="297"/>
      <c r="R252" s="297">
        <v>0.0</v>
      </c>
      <c r="S252" s="297"/>
      <c r="T252" s="297" t="s">
        <v>719</v>
      </c>
    </row>
    <row r="253">
      <c r="B253" s="291"/>
      <c r="C253" s="291"/>
      <c r="D253" s="181"/>
      <c r="E253" s="292"/>
      <c r="F253" s="292"/>
      <c r="G253" s="293"/>
      <c r="H253" s="294"/>
      <c r="I253" s="295"/>
      <c r="J253" s="296"/>
      <c r="K253" s="297"/>
      <c r="L253" s="297"/>
      <c r="M253" s="297"/>
      <c r="N253" s="297"/>
      <c r="O253" s="298"/>
      <c r="P253" s="298"/>
      <c r="Q253" s="297"/>
      <c r="R253" s="297">
        <v>0.0</v>
      </c>
      <c r="S253" s="297"/>
      <c r="T253" s="297" t="s">
        <v>719</v>
      </c>
    </row>
    <row r="254">
      <c r="B254" s="291"/>
      <c r="C254" s="291"/>
      <c r="D254" s="181"/>
      <c r="E254" s="292"/>
      <c r="F254" s="292"/>
      <c r="G254" s="293"/>
      <c r="H254" s="294"/>
      <c r="I254" s="295"/>
      <c r="J254" s="296"/>
      <c r="K254" s="297"/>
      <c r="L254" s="297"/>
      <c r="M254" s="297"/>
      <c r="N254" s="297"/>
      <c r="O254" s="298"/>
      <c r="P254" s="298"/>
      <c r="Q254" s="297"/>
      <c r="R254" s="297">
        <v>0.0</v>
      </c>
      <c r="S254" s="297"/>
      <c r="T254" s="297" t="s">
        <v>719</v>
      </c>
    </row>
    <row r="255">
      <c r="B255" s="291"/>
      <c r="C255" s="291"/>
      <c r="D255" s="181"/>
      <c r="E255" s="292"/>
      <c r="F255" s="292"/>
      <c r="G255" s="293"/>
      <c r="H255" s="294"/>
      <c r="I255" s="295"/>
      <c r="J255" s="296"/>
      <c r="K255" s="297"/>
      <c r="L255" s="297"/>
      <c r="M255" s="297"/>
      <c r="N255" s="297"/>
      <c r="O255" s="298"/>
      <c r="P255" s="298"/>
      <c r="Q255" s="297"/>
      <c r="R255" s="297">
        <v>0.0</v>
      </c>
      <c r="S255" s="297"/>
      <c r="T255" s="297" t="s">
        <v>719</v>
      </c>
    </row>
    <row r="256">
      <c r="B256" s="291"/>
      <c r="C256" s="291"/>
      <c r="D256" s="181"/>
      <c r="E256" s="292"/>
      <c r="F256" s="292"/>
      <c r="G256" s="293"/>
      <c r="H256" s="294"/>
      <c r="I256" s="295"/>
      <c r="J256" s="296"/>
      <c r="K256" s="297"/>
      <c r="L256" s="297"/>
      <c r="M256" s="297"/>
      <c r="N256" s="297"/>
      <c r="O256" s="298"/>
      <c r="P256" s="298"/>
      <c r="Q256" s="297"/>
      <c r="R256" s="297">
        <v>0.0</v>
      </c>
      <c r="S256" s="297"/>
      <c r="T256" s="297" t="s">
        <v>719</v>
      </c>
    </row>
    <row r="257">
      <c r="B257" s="291"/>
      <c r="C257" s="291"/>
      <c r="D257" s="181"/>
      <c r="E257" s="292"/>
      <c r="F257" s="292"/>
      <c r="G257" s="293"/>
      <c r="H257" s="294"/>
      <c r="I257" s="295"/>
      <c r="J257" s="296"/>
      <c r="K257" s="297"/>
      <c r="L257" s="297"/>
      <c r="M257" s="297"/>
      <c r="N257" s="297"/>
      <c r="O257" s="298"/>
      <c r="P257" s="298"/>
      <c r="Q257" s="297"/>
      <c r="R257" s="297">
        <v>0.0</v>
      </c>
      <c r="S257" s="297"/>
      <c r="T257" s="297" t="s">
        <v>719</v>
      </c>
    </row>
    <row r="258">
      <c r="B258" s="291"/>
      <c r="C258" s="291"/>
      <c r="D258" s="181"/>
      <c r="E258" s="292"/>
      <c r="F258" s="292"/>
      <c r="G258" s="293"/>
      <c r="H258" s="294"/>
      <c r="I258" s="295"/>
      <c r="J258" s="296"/>
      <c r="K258" s="297"/>
      <c r="L258" s="297"/>
      <c r="M258" s="297"/>
      <c r="N258" s="297"/>
      <c r="O258" s="298"/>
      <c r="P258" s="298"/>
      <c r="Q258" s="297"/>
      <c r="R258" s="297">
        <v>0.0</v>
      </c>
      <c r="S258" s="297"/>
      <c r="T258" s="297" t="s">
        <v>719</v>
      </c>
    </row>
    <row r="259">
      <c r="B259" s="291"/>
      <c r="C259" s="291"/>
      <c r="D259" s="181"/>
      <c r="E259" s="292"/>
      <c r="F259" s="292"/>
      <c r="G259" s="293"/>
      <c r="H259" s="294"/>
      <c r="I259" s="295"/>
      <c r="J259" s="296"/>
      <c r="K259" s="297"/>
      <c r="L259" s="297"/>
      <c r="M259" s="297"/>
      <c r="N259" s="297"/>
      <c r="O259" s="298"/>
      <c r="P259" s="298"/>
      <c r="Q259" s="297"/>
      <c r="R259" s="297">
        <v>0.0</v>
      </c>
      <c r="S259" s="297"/>
      <c r="T259" s="297" t="s">
        <v>719</v>
      </c>
    </row>
    <row r="260">
      <c r="B260" s="291"/>
      <c r="C260" s="291"/>
      <c r="D260" s="181"/>
      <c r="E260" s="292"/>
      <c r="F260" s="292"/>
      <c r="G260" s="293"/>
      <c r="H260" s="294"/>
      <c r="I260" s="295"/>
      <c r="J260" s="296"/>
      <c r="K260" s="297"/>
      <c r="L260" s="297"/>
      <c r="M260" s="297"/>
      <c r="N260" s="297"/>
      <c r="O260" s="298"/>
      <c r="P260" s="298"/>
      <c r="Q260" s="297"/>
      <c r="R260" s="297">
        <v>0.0</v>
      </c>
      <c r="S260" s="297"/>
      <c r="T260" s="297" t="s">
        <v>719</v>
      </c>
    </row>
    <row r="261">
      <c r="B261" s="291"/>
      <c r="C261" s="291"/>
      <c r="D261" s="181"/>
      <c r="E261" s="292"/>
      <c r="F261" s="292"/>
      <c r="G261" s="293"/>
      <c r="H261" s="294"/>
      <c r="I261" s="295"/>
      <c r="J261" s="296"/>
      <c r="K261" s="297"/>
      <c r="L261" s="297"/>
      <c r="M261" s="297"/>
      <c r="N261" s="297"/>
      <c r="O261" s="298"/>
      <c r="P261" s="298"/>
      <c r="Q261" s="297"/>
      <c r="R261" s="297">
        <v>0.0</v>
      </c>
      <c r="S261" s="297"/>
      <c r="T261" s="297" t="s">
        <v>719</v>
      </c>
    </row>
    <row r="262">
      <c r="B262" s="291"/>
      <c r="C262" s="291"/>
      <c r="D262" s="181"/>
      <c r="E262" s="292"/>
      <c r="F262" s="292"/>
      <c r="G262" s="293"/>
      <c r="H262" s="294"/>
      <c r="I262" s="295"/>
      <c r="J262" s="296"/>
      <c r="K262" s="297"/>
      <c r="L262" s="297"/>
      <c r="M262" s="297"/>
      <c r="N262" s="297"/>
      <c r="O262" s="298"/>
      <c r="P262" s="298"/>
      <c r="Q262" s="297"/>
      <c r="R262" s="297">
        <v>0.0</v>
      </c>
      <c r="S262" s="297"/>
      <c r="T262" s="297" t="s">
        <v>719</v>
      </c>
    </row>
    <row r="263">
      <c r="B263" s="291"/>
      <c r="C263" s="291"/>
      <c r="D263" s="181"/>
      <c r="E263" s="292"/>
      <c r="F263" s="292"/>
      <c r="G263" s="293"/>
      <c r="H263" s="294"/>
      <c r="I263" s="295"/>
      <c r="J263" s="296"/>
      <c r="K263" s="297"/>
      <c r="L263" s="297"/>
      <c r="M263" s="297"/>
      <c r="N263" s="297"/>
      <c r="O263" s="298"/>
      <c r="P263" s="298"/>
      <c r="Q263" s="297"/>
      <c r="R263" s="297">
        <v>0.0</v>
      </c>
      <c r="S263" s="297"/>
      <c r="T263" s="297" t="s">
        <v>719</v>
      </c>
    </row>
    <row r="264">
      <c r="B264" s="291"/>
      <c r="C264" s="291"/>
      <c r="D264" s="181"/>
      <c r="E264" s="292"/>
      <c r="F264" s="292"/>
      <c r="G264" s="293"/>
      <c r="H264" s="294"/>
      <c r="I264" s="295"/>
      <c r="J264" s="296"/>
      <c r="K264" s="297"/>
      <c r="L264" s="297"/>
      <c r="M264" s="297"/>
      <c r="N264" s="297"/>
      <c r="O264" s="298"/>
      <c r="P264" s="298"/>
      <c r="Q264" s="297"/>
      <c r="R264" s="297">
        <v>0.0</v>
      </c>
      <c r="S264" s="297"/>
      <c r="T264" s="297" t="s">
        <v>719</v>
      </c>
    </row>
    <row r="265">
      <c r="B265" s="291"/>
      <c r="C265" s="291"/>
      <c r="D265" s="181"/>
      <c r="E265" s="292"/>
      <c r="F265" s="292"/>
      <c r="G265" s="293"/>
      <c r="H265" s="294"/>
      <c r="I265" s="295"/>
      <c r="J265" s="296"/>
      <c r="K265" s="297"/>
      <c r="L265" s="297"/>
      <c r="M265" s="297"/>
      <c r="N265" s="297"/>
      <c r="O265" s="298"/>
      <c r="P265" s="298"/>
      <c r="Q265" s="297"/>
      <c r="R265" s="297">
        <v>0.0</v>
      </c>
      <c r="S265" s="297"/>
      <c r="T265" s="297" t="s">
        <v>719</v>
      </c>
    </row>
    <row r="266">
      <c r="B266" s="291"/>
      <c r="C266" s="291"/>
      <c r="D266" s="181"/>
      <c r="E266" s="292"/>
      <c r="F266" s="292"/>
      <c r="G266" s="293"/>
      <c r="H266" s="294"/>
      <c r="I266" s="295"/>
      <c r="J266" s="296"/>
      <c r="K266" s="297"/>
      <c r="L266" s="297"/>
      <c r="M266" s="297"/>
      <c r="N266" s="297"/>
      <c r="O266" s="298"/>
      <c r="P266" s="298"/>
      <c r="Q266" s="297"/>
      <c r="R266" s="297">
        <v>0.0</v>
      </c>
      <c r="S266" s="297"/>
      <c r="T266" s="297" t="s">
        <v>719</v>
      </c>
    </row>
    <row r="267">
      <c r="B267" s="291"/>
      <c r="C267" s="291"/>
      <c r="D267" s="181"/>
      <c r="E267" s="292"/>
      <c r="F267" s="292"/>
      <c r="G267" s="293"/>
      <c r="H267" s="294"/>
      <c r="I267" s="295"/>
      <c r="J267" s="296"/>
      <c r="K267" s="297"/>
      <c r="L267" s="297"/>
      <c r="M267" s="297"/>
      <c r="N267" s="297"/>
      <c r="O267" s="298"/>
      <c r="P267" s="298"/>
      <c r="Q267" s="297"/>
      <c r="R267" s="297">
        <v>0.0</v>
      </c>
      <c r="S267" s="297"/>
      <c r="T267" s="297" t="s">
        <v>719</v>
      </c>
    </row>
    <row r="268">
      <c r="B268" s="291"/>
      <c r="C268" s="291"/>
      <c r="D268" s="181"/>
      <c r="E268" s="292"/>
      <c r="F268" s="292"/>
      <c r="G268" s="293"/>
      <c r="H268" s="294"/>
      <c r="I268" s="295"/>
      <c r="J268" s="296"/>
      <c r="K268" s="297"/>
      <c r="L268" s="297"/>
      <c r="M268" s="297"/>
      <c r="N268" s="297"/>
      <c r="O268" s="298"/>
      <c r="P268" s="298"/>
      <c r="Q268" s="297"/>
      <c r="R268" s="297">
        <v>0.0</v>
      </c>
      <c r="S268" s="297"/>
      <c r="T268" s="297" t="s">
        <v>719</v>
      </c>
    </row>
    <row r="269">
      <c r="B269" s="291"/>
      <c r="C269" s="291"/>
      <c r="D269" s="181"/>
      <c r="E269" s="292"/>
      <c r="F269" s="292"/>
      <c r="G269" s="293"/>
      <c r="H269" s="294"/>
      <c r="I269" s="295"/>
      <c r="J269" s="296"/>
      <c r="K269" s="297"/>
      <c r="L269" s="297"/>
      <c r="M269" s="297"/>
      <c r="N269" s="297"/>
      <c r="O269" s="298"/>
      <c r="P269" s="298"/>
      <c r="Q269" s="297"/>
      <c r="R269" s="297">
        <v>0.0</v>
      </c>
      <c r="S269" s="297"/>
      <c r="T269" s="297" t="s">
        <v>719</v>
      </c>
    </row>
    <row r="270">
      <c r="B270" s="291"/>
      <c r="C270" s="291"/>
      <c r="D270" s="181"/>
      <c r="E270" s="292"/>
      <c r="F270" s="292"/>
      <c r="G270" s="293"/>
      <c r="H270" s="294"/>
      <c r="I270" s="295"/>
      <c r="J270" s="296"/>
      <c r="K270" s="297"/>
      <c r="L270" s="297"/>
      <c r="M270" s="297"/>
      <c r="N270" s="297"/>
      <c r="O270" s="298"/>
      <c r="P270" s="298"/>
      <c r="Q270" s="297"/>
      <c r="R270" s="297">
        <v>0.0</v>
      </c>
      <c r="S270" s="297"/>
      <c r="T270" s="297" t="s">
        <v>719</v>
      </c>
    </row>
    <row r="271">
      <c r="B271" s="291"/>
      <c r="C271" s="291"/>
      <c r="D271" s="181"/>
      <c r="E271" s="292"/>
      <c r="F271" s="292"/>
      <c r="G271" s="293"/>
      <c r="H271" s="294"/>
      <c r="I271" s="295"/>
      <c r="J271" s="296"/>
      <c r="K271" s="297"/>
      <c r="L271" s="297"/>
      <c r="M271" s="297"/>
      <c r="N271" s="297"/>
      <c r="O271" s="298"/>
      <c r="P271" s="298"/>
      <c r="Q271" s="297"/>
      <c r="R271" s="297">
        <v>0.0</v>
      </c>
      <c r="S271" s="297"/>
      <c r="T271" s="297" t="s">
        <v>719</v>
      </c>
    </row>
    <row r="272">
      <c r="B272" s="291"/>
      <c r="C272" s="291"/>
      <c r="D272" s="181"/>
      <c r="E272" s="292"/>
      <c r="F272" s="292"/>
      <c r="G272" s="293"/>
      <c r="H272" s="294"/>
      <c r="I272" s="295"/>
      <c r="J272" s="296"/>
      <c r="K272" s="297"/>
      <c r="L272" s="297"/>
      <c r="M272" s="297"/>
      <c r="N272" s="297"/>
      <c r="O272" s="298"/>
      <c r="P272" s="298"/>
      <c r="Q272" s="297"/>
      <c r="R272" s="297">
        <v>0.0</v>
      </c>
      <c r="S272" s="297"/>
      <c r="T272" s="297" t="s">
        <v>719</v>
      </c>
    </row>
    <row r="273">
      <c r="B273" s="291"/>
      <c r="C273" s="291"/>
      <c r="D273" s="181"/>
      <c r="E273" s="292"/>
      <c r="F273" s="292"/>
      <c r="G273" s="293"/>
      <c r="H273" s="294"/>
      <c r="I273" s="295"/>
      <c r="J273" s="296"/>
      <c r="K273" s="297"/>
      <c r="L273" s="297"/>
      <c r="M273" s="297"/>
      <c r="N273" s="297"/>
      <c r="O273" s="298"/>
      <c r="P273" s="298"/>
      <c r="Q273" s="297"/>
      <c r="R273" s="297">
        <v>0.0</v>
      </c>
      <c r="S273" s="297"/>
      <c r="T273" s="297" t="s">
        <v>719</v>
      </c>
    </row>
    <row r="274">
      <c r="B274" s="291"/>
      <c r="C274" s="291"/>
      <c r="D274" s="181"/>
      <c r="E274" s="292"/>
      <c r="F274" s="292"/>
      <c r="G274" s="293"/>
      <c r="H274" s="294"/>
      <c r="I274" s="295"/>
      <c r="J274" s="296"/>
      <c r="K274" s="297"/>
      <c r="L274" s="297"/>
      <c r="M274" s="297"/>
      <c r="N274" s="297"/>
      <c r="O274" s="298"/>
      <c r="P274" s="298"/>
      <c r="Q274" s="297"/>
      <c r="R274" s="297">
        <v>0.0</v>
      </c>
      <c r="S274" s="297"/>
      <c r="T274" s="297" t="s">
        <v>719</v>
      </c>
    </row>
    <row r="275">
      <c r="B275" s="291"/>
      <c r="C275" s="291"/>
      <c r="D275" s="181"/>
      <c r="E275" s="292"/>
      <c r="F275" s="292"/>
      <c r="G275" s="293"/>
      <c r="H275" s="294"/>
      <c r="I275" s="295"/>
      <c r="J275" s="296"/>
      <c r="K275" s="297"/>
      <c r="L275" s="297"/>
      <c r="M275" s="297"/>
      <c r="N275" s="297"/>
      <c r="O275" s="298"/>
      <c r="P275" s="298"/>
      <c r="Q275" s="297"/>
      <c r="R275" s="297">
        <v>0.0</v>
      </c>
      <c r="S275" s="297"/>
      <c r="T275" s="297" t="s">
        <v>719</v>
      </c>
    </row>
    <row r="276">
      <c r="B276" s="291"/>
      <c r="C276" s="291"/>
      <c r="D276" s="181"/>
      <c r="E276" s="292"/>
      <c r="F276" s="292"/>
      <c r="G276" s="293"/>
      <c r="H276" s="294"/>
      <c r="I276" s="295"/>
      <c r="J276" s="296"/>
      <c r="K276" s="297"/>
      <c r="L276" s="297"/>
      <c r="M276" s="297"/>
      <c r="N276" s="297"/>
      <c r="O276" s="298"/>
      <c r="P276" s="298"/>
      <c r="Q276" s="297"/>
      <c r="R276" s="297">
        <v>0.0</v>
      </c>
      <c r="S276" s="297"/>
      <c r="T276" s="297" t="s">
        <v>719</v>
      </c>
    </row>
    <row r="277">
      <c r="B277" s="291"/>
      <c r="C277" s="291"/>
      <c r="D277" s="181"/>
      <c r="E277" s="292"/>
      <c r="F277" s="292"/>
      <c r="G277" s="293"/>
      <c r="H277" s="294"/>
      <c r="I277" s="295"/>
      <c r="J277" s="296"/>
      <c r="K277" s="297"/>
      <c r="L277" s="297"/>
      <c r="M277" s="297"/>
      <c r="N277" s="297"/>
      <c r="O277" s="298"/>
      <c r="P277" s="298"/>
      <c r="Q277" s="297"/>
      <c r="R277" s="297">
        <v>0.0</v>
      </c>
      <c r="S277" s="297"/>
      <c r="T277" s="297" t="s">
        <v>719</v>
      </c>
    </row>
    <row r="278">
      <c r="B278" s="291"/>
      <c r="C278" s="291"/>
      <c r="D278" s="181"/>
      <c r="E278" s="292"/>
      <c r="F278" s="292"/>
      <c r="G278" s="293"/>
      <c r="H278" s="294"/>
      <c r="I278" s="295"/>
      <c r="J278" s="296"/>
      <c r="K278" s="297"/>
      <c r="L278" s="297"/>
      <c r="M278" s="297"/>
      <c r="N278" s="297"/>
      <c r="O278" s="298"/>
      <c r="P278" s="298"/>
      <c r="Q278" s="297"/>
      <c r="R278" s="297">
        <v>0.0</v>
      </c>
      <c r="S278" s="297"/>
      <c r="T278" s="297" t="s">
        <v>719</v>
      </c>
    </row>
    <row r="279">
      <c r="B279" s="291"/>
      <c r="C279" s="291"/>
      <c r="D279" s="181"/>
      <c r="E279" s="292"/>
      <c r="F279" s="292"/>
      <c r="G279" s="293"/>
      <c r="H279" s="294"/>
      <c r="I279" s="295"/>
      <c r="J279" s="296"/>
      <c r="K279" s="297"/>
      <c r="L279" s="297"/>
      <c r="M279" s="297"/>
      <c r="N279" s="297"/>
      <c r="O279" s="298"/>
      <c r="P279" s="298"/>
      <c r="Q279" s="297"/>
      <c r="R279" s="297">
        <v>0.0</v>
      </c>
      <c r="S279" s="297"/>
      <c r="T279" s="297" t="s">
        <v>719</v>
      </c>
    </row>
    <row r="280">
      <c r="B280" s="291"/>
      <c r="C280" s="291"/>
      <c r="D280" s="181"/>
      <c r="E280" s="292"/>
      <c r="F280" s="292"/>
      <c r="G280" s="293"/>
      <c r="H280" s="294"/>
      <c r="I280" s="295"/>
      <c r="J280" s="296"/>
      <c r="K280" s="297"/>
      <c r="L280" s="297"/>
      <c r="M280" s="297"/>
      <c r="N280" s="297"/>
      <c r="O280" s="298"/>
      <c r="P280" s="298"/>
      <c r="Q280" s="297"/>
      <c r="R280" s="297">
        <v>0.0</v>
      </c>
      <c r="S280" s="297"/>
      <c r="T280" s="297" t="s">
        <v>719</v>
      </c>
    </row>
    <row r="281">
      <c r="B281" s="291"/>
      <c r="C281" s="291"/>
      <c r="D281" s="181"/>
      <c r="E281" s="292"/>
      <c r="F281" s="292"/>
      <c r="G281" s="293"/>
      <c r="H281" s="294"/>
      <c r="I281" s="295"/>
      <c r="J281" s="296"/>
      <c r="K281" s="297"/>
      <c r="L281" s="297"/>
      <c r="M281" s="297"/>
      <c r="N281" s="297"/>
      <c r="O281" s="298"/>
      <c r="P281" s="298"/>
      <c r="Q281" s="297"/>
      <c r="R281" s="297">
        <v>0.0</v>
      </c>
      <c r="S281" s="297"/>
      <c r="T281" s="297" t="s">
        <v>719</v>
      </c>
    </row>
    <row r="282">
      <c r="B282" s="291"/>
      <c r="C282" s="291"/>
      <c r="D282" s="181"/>
      <c r="E282" s="292"/>
      <c r="F282" s="292"/>
      <c r="G282" s="293"/>
      <c r="H282" s="294"/>
      <c r="I282" s="295"/>
      <c r="J282" s="296"/>
      <c r="K282" s="297"/>
      <c r="L282" s="297"/>
      <c r="M282" s="297"/>
      <c r="N282" s="297"/>
      <c r="O282" s="298"/>
      <c r="P282" s="298"/>
      <c r="Q282" s="297"/>
      <c r="R282" s="297">
        <v>0.0</v>
      </c>
      <c r="S282" s="297"/>
      <c r="T282" s="297" t="s">
        <v>719</v>
      </c>
    </row>
    <row r="283">
      <c r="B283" s="291"/>
      <c r="C283" s="291"/>
      <c r="D283" s="181"/>
      <c r="E283" s="292"/>
      <c r="F283" s="292"/>
      <c r="G283" s="293"/>
      <c r="H283" s="294"/>
      <c r="I283" s="295"/>
      <c r="J283" s="296"/>
      <c r="K283" s="297"/>
      <c r="L283" s="297"/>
      <c r="M283" s="297"/>
      <c r="N283" s="297"/>
      <c r="O283" s="298"/>
      <c r="P283" s="298"/>
      <c r="Q283" s="297"/>
      <c r="R283" s="297">
        <v>0.0</v>
      </c>
      <c r="S283" s="297"/>
      <c r="T283" s="297" t="s">
        <v>719</v>
      </c>
    </row>
    <row r="284">
      <c r="B284" s="291"/>
      <c r="C284" s="291"/>
      <c r="D284" s="181"/>
      <c r="E284" s="292"/>
      <c r="F284" s="292"/>
      <c r="G284" s="293"/>
      <c r="H284" s="294"/>
      <c r="I284" s="295"/>
      <c r="J284" s="296"/>
      <c r="K284" s="297"/>
      <c r="L284" s="297"/>
      <c r="M284" s="297"/>
      <c r="N284" s="297"/>
      <c r="O284" s="298"/>
      <c r="P284" s="298"/>
      <c r="Q284" s="297"/>
      <c r="R284" s="297">
        <v>0.0</v>
      </c>
      <c r="S284" s="297"/>
      <c r="T284" s="297" t="s">
        <v>719</v>
      </c>
    </row>
    <row r="285">
      <c r="B285" s="291"/>
      <c r="C285" s="291"/>
      <c r="D285" s="181"/>
      <c r="E285" s="292"/>
      <c r="F285" s="292"/>
      <c r="G285" s="293"/>
      <c r="H285" s="294"/>
      <c r="I285" s="295"/>
      <c r="J285" s="296"/>
      <c r="K285" s="297"/>
      <c r="L285" s="297"/>
      <c r="M285" s="297"/>
      <c r="N285" s="297"/>
      <c r="O285" s="298"/>
      <c r="P285" s="298"/>
      <c r="Q285" s="297"/>
      <c r="R285" s="297">
        <v>0.0</v>
      </c>
      <c r="S285" s="297"/>
      <c r="T285" s="297" t="s">
        <v>719</v>
      </c>
    </row>
    <row r="286">
      <c r="B286" s="291"/>
      <c r="C286" s="291"/>
      <c r="D286" s="181"/>
      <c r="E286" s="292"/>
      <c r="F286" s="292"/>
      <c r="G286" s="293"/>
      <c r="H286" s="294"/>
      <c r="I286" s="295"/>
      <c r="J286" s="296"/>
      <c r="K286" s="297"/>
      <c r="L286" s="297"/>
      <c r="M286" s="297"/>
      <c r="N286" s="297"/>
      <c r="O286" s="298"/>
      <c r="P286" s="298"/>
      <c r="Q286" s="297"/>
      <c r="R286" s="297">
        <v>0.0</v>
      </c>
      <c r="S286" s="297"/>
      <c r="T286" s="297" t="s">
        <v>719</v>
      </c>
    </row>
    <row r="287">
      <c r="B287" s="291"/>
      <c r="C287" s="291"/>
      <c r="D287" s="181"/>
      <c r="E287" s="292"/>
      <c r="F287" s="292"/>
      <c r="G287" s="293"/>
      <c r="H287" s="294"/>
      <c r="I287" s="295"/>
      <c r="J287" s="296"/>
      <c r="K287" s="297"/>
      <c r="L287" s="297"/>
      <c r="M287" s="297"/>
      <c r="N287" s="297"/>
      <c r="O287" s="298"/>
      <c r="P287" s="298"/>
      <c r="Q287" s="297"/>
      <c r="R287" s="297">
        <v>0.0</v>
      </c>
      <c r="S287" s="297"/>
      <c r="T287" s="297" t="s">
        <v>719</v>
      </c>
    </row>
    <row r="288">
      <c r="B288" s="291"/>
      <c r="C288" s="291"/>
      <c r="D288" s="181"/>
      <c r="E288" s="292"/>
      <c r="F288" s="292"/>
      <c r="G288" s="293"/>
      <c r="H288" s="294"/>
      <c r="I288" s="295"/>
      <c r="J288" s="296"/>
      <c r="K288" s="297"/>
      <c r="L288" s="297"/>
      <c r="M288" s="297"/>
      <c r="N288" s="297"/>
      <c r="O288" s="298"/>
      <c r="P288" s="298"/>
      <c r="Q288" s="297"/>
      <c r="R288" s="297">
        <v>0.0</v>
      </c>
      <c r="S288" s="297"/>
      <c r="T288" s="297" t="s">
        <v>719</v>
      </c>
    </row>
    <row r="289">
      <c r="B289" s="291"/>
      <c r="C289" s="291"/>
      <c r="D289" s="181"/>
      <c r="E289" s="292"/>
      <c r="F289" s="292"/>
      <c r="G289" s="293"/>
      <c r="H289" s="294"/>
      <c r="I289" s="295"/>
      <c r="J289" s="296"/>
      <c r="K289" s="297"/>
      <c r="L289" s="297"/>
      <c r="M289" s="297"/>
      <c r="N289" s="297"/>
      <c r="O289" s="298"/>
      <c r="P289" s="298"/>
      <c r="Q289" s="297"/>
      <c r="R289" s="297">
        <v>0.0</v>
      </c>
      <c r="S289" s="297"/>
      <c r="T289" s="297" t="s">
        <v>719</v>
      </c>
    </row>
    <row r="290">
      <c r="B290" s="291"/>
      <c r="C290" s="291"/>
      <c r="D290" s="181"/>
      <c r="E290" s="292"/>
      <c r="F290" s="292"/>
      <c r="G290" s="293"/>
      <c r="H290" s="294"/>
      <c r="I290" s="295"/>
      <c r="J290" s="296"/>
      <c r="K290" s="297"/>
      <c r="L290" s="297"/>
      <c r="M290" s="297"/>
      <c r="N290" s="297"/>
      <c r="O290" s="298"/>
      <c r="P290" s="298"/>
      <c r="Q290" s="297"/>
      <c r="R290" s="297">
        <v>0.0</v>
      </c>
      <c r="S290" s="297"/>
      <c r="T290" s="297" t="s">
        <v>719</v>
      </c>
    </row>
    <row r="291">
      <c r="B291" s="291"/>
      <c r="C291" s="291"/>
      <c r="D291" s="181"/>
      <c r="E291" s="292"/>
      <c r="F291" s="292"/>
      <c r="G291" s="293"/>
      <c r="H291" s="294"/>
      <c r="I291" s="295"/>
      <c r="J291" s="296"/>
      <c r="K291" s="297"/>
      <c r="L291" s="297"/>
      <c r="M291" s="297"/>
      <c r="N291" s="297"/>
      <c r="O291" s="298"/>
      <c r="P291" s="298"/>
      <c r="Q291" s="297"/>
      <c r="R291" s="297">
        <v>0.0</v>
      </c>
      <c r="S291" s="297"/>
      <c r="T291" s="297" t="s">
        <v>719</v>
      </c>
    </row>
    <row r="292">
      <c r="B292" s="291"/>
      <c r="C292" s="291"/>
      <c r="D292" s="181"/>
      <c r="E292" s="292"/>
      <c r="F292" s="292"/>
      <c r="G292" s="293"/>
      <c r="H292" s="294"/>
      <c r="I292" s="295"/>
      <c r="J292" s="296"/>
      <c r="K292" s="297"/>
      <c r="L292" s="297"/>
      <c r="M292" s="297"/>
      <c r="N292" s="297"/>
      <c r="O292" s="298"/>
      <c r="P292" s="298"/>
      <c r="Q292" s="297"/>
      <c r="R292" s="297">
        <v>0.0</v>
      </c>
      <c r="S292" s="297"/>
      <c r="T292" s="297" t="s">
        <v>719</v>
      </c>
    </row>
    <row r="293">
      <c r="B293" s="291"/>
      <c r="C293" s="291"/>
      <c r="D293" s="181"/>
      <c r="E293" s="292"/>
      <c r="F293" s="292"/>
      <c r="G293" s="293"/>
      <c r="H293" s="294"/>
      <c r="I293" s="295"/>
      <c r="J293" s="296"/>
      <c r="K293" s="297"/>
      <c r="L293" s="297"/>
      <c r="M293" s="297"/>
      <c r="N293" s="297"/>
      <c r="O293" s="298"/>
      <c r="P293" s="298"/>
      <c r="Q293" s="297"/>
      <c r="R293" s="297">
        <v>0.0</v>
      </c>
      <c r="S293" s="297"/>
      <c r="T293" s="297" t="s">
        <v>719</v>
      </c>
    </row>
    <row r="294">
      <c r="B294" s="291"/>
      <c r="C294" s="291"/>
      <c r="D294" s="181"/>
      <c r="E294" s="292"/>
      <c r="F294" s="292"/>
      <c r="G294" s="293"/>
      <c r="H294" s="294"/>
      <c r="I294" s="295"/>
      <c r="J294" s="296"/>
      <c r="K294" s="297"/>
      <c r="L294" s="297"/>
      <c r="M294" s="297"/>
      <c r="N294" s="297"/>
      <c r="O294" s="298"/>
      <c r="P294" s="298"/>
      <c r="Q294" s="297"/>
      <c r="R294" s="297">
        <v>0.0</v>
      </c>
      <c r="S294" s="297"/>
      <c r="T294" s="297" t="s">
        <v>719</v>
      </c>
    </row>
    <row r="295">
      <c r="B295" s="291"/>
      <c r="C295" s="291"/>
      <c r="D295" s="181"/>
      <c r="E295" s="292"/>
      <c r="F295" s="292"/>
      <c r="G295" s="293"/>
      <c r="H295" s="294"/>
      <c r="I295" s="295"/>
      <c r="J295" s="296"/>
      <c r="K295" s="297"/>
      <c r="L295" s="297"/>
      <c r="M295" s="297"/>
      <c r="N295" s="297"/>
      <c r="O295" s="298"/>
      <c r="P295" s="298"/>
      <c r="Q295" s="297"/>
      <c r="R295" s="297">
        <v>0.0</v>
      </c>
      <c r="S295" s="297"/>
      <c r="T295" s="297" t="s">
        <v>719</v>
      </c>
    </row>
    <row r="296">
      <c r="B296" s="291"/>
      <c r="C296" s="291"/>
      <c r="D296" s="181"/>
      <c r="E296" s="292"/>
      <c r="F296" s="292"/>
      <c r="G296" s="293"/>
      <c r="H296" s="294"/>
      <c r="I296" s="295"/>
      <c r="J296" s="296"/>
      <c r="K296" s="297"/>
      <c r="L296" s="297"/>
      <c r="M296" s="297"/>
      <c r="N296" s="297"/>
      <c r="O296" s="298"/>
      <c r="P296" s="298"/>
      <c r="Q296" s="297"/>
      <c r="R296" s="297">
        <v>0.0</v>
      </c>
      <c r="S296" s="297"/>
      <c r="T296" s="297" t="s">
        <v>719</v>
      </c>
    </row>
    <row r="297">
      <c r="B297" s="291"/>
      <c r="C297" s="291"/>
      <c r="D297" s="181"/>
      <c r="E297" s="292"/>
      <c r="F297" s="292"/>
      <c r="G297" s="293"/>
      <c r="H297" s="294"/>
      <c r="I297" s="295"/>
      <c r="J297" s="296"/>
      <c r="K297" s="297"/>
      <c r="L297" s="297"/>
      <c r="M297" s="297"/>
      <c r="N297" s="297"/>
      <c r="O297" s="298"/>
      <c r="P297" s="298"/>
      <c r="Q297" s="297"/>
      <c r="R297" s="297">
        <v>0.0</v>
      </c>
      <c r="S297" s="297"/>
      <c r="T297" s="297" t="s">
        <v>719</v>
      </c>
    </row>
    <row r="298">
      <c r="B298" s="291"/>
      <c r="C298" s="291"/>
      <c r="D298" s="181"/>
      <c r="E298" s="292"/>
      <c r="F298" s="292"/>
      <c r="G298" s="293"/>
      <c r="H298" s="294"/>
      <c r="I298" s="295"/>
      <c r="J298" s="296"/>
      <c r="K298" s="297"/>
      <c r="L298" s="297"/>
      <c r="M298" s="297"/>
      <c r="N298" s="297"/>
      <c r="O298" s="298"/>
      <c r="P298" s="298"/>
      <c r="Q298" s="297"/>
      <c r="R298" s="297">
        <v>0.0</v>
      </c>
      <c r="S298" s="297"/>
      <c r="T298" s="297" t="s">
        <v>719</v>
      </c>
    </row>
    <row r="299">
      <c r="B299" s="291"/>
      <c r="C299" s="291"/>
      <c r="D299" s="181"/>
      <c r="E299" s="292"/>
      <c r="F299" s="292"/>
      <c r="G299" s="293"/>
      <c r="H299" s="294"/>
      <c r="I299" s="295"/>
      <c r="J299" s="296"/>
      <c r="K299" s="297"/>
      <c r="L299" s="297"/>
      <c r="M299" s="297"/>
      <c r="N299" s="297"/>
      <c r="O299" s="298"/>
      <c r="P299" s="298"/>
      <c r="Q299" s="297"/>
      <c r="R299" s="297">
        <v>0.0</v>
      </c>
      <c r="S299" s="297"/>
      <c r="T299" s="297" t="s">
        <v>719</v>
      </c>
    </row>
    <row r="300">
      <c r="B300" s="291"/>
      <c r="C300" s="291"/>
      <c r="D300" s="181"/>
      <c r="E300" s="292"/>
      <c r="F300" s="292"/>
      <c r="G300" s="293"/>
      <c r="H300" s="294"/>
      <c r="I300" s="295"/>
      <c r="J300" s="296"/>
      <c r="K300" s="297"/>
      <c r="L300" s="297"/>
      <c r="M300" s="297"/>
      <c r="N300" s="297"/>
      <c r="O300" s="298"/>
      <c r="P300" s="298"/>
      <c r="Q300" s="297"/>
      <c r="R300" s="297">
        <v>0.0</v>
      </c>
      <c r="S300" s="297"/>
      <c r="T300" s="297" t="s">
        <v>719</v>
      </c>
    </row>
    <row r="301">
      <c r="B301" s="291"/>
      <c r="C301" s="291"/>
      <c r="D301" s="181"/>
      <c r="E301" s="292"/>
      <c r="F301" s="292"/>
      <c r="G301" s="293"/>
      <c r="H301" s="294"/>
      <c r="I301" s="295"/>
      <c r="J301" s="296"/>
      <c r="K301" s="297"/>
      <c r="L301" s="297"/>
      <c r="M301" s="297"/>
      <c r="N301" s="297"/>
      <c r="O301" s="298"/>
      <c r="P301" s="298"/>
      <c r="Q301" s="297"/>
      <c r="R301" s="297">
        <v>0.0</v>
      </c>
      <c r="S301" s="297"/>
      <c r="T301" s="297" t="s">
        <v>719</v>
      </c>
    </row>
    <row r="302">
      <c r="B302" s="291"/>
      <c r="C302" s="291"/>
      <c r="D302" s="181"/>
      <c r="E302" s="292"/>
      <c r="F302" s="292"/>
      <c r="G302" s="293"/>
      <c r="H302" s="294"/>
      <c r="I302" s="295"/>
      <c r="J302" s="296"/>
      <c r="K302" s="297"/>
      <c r="L302" s="297"/>
      <c r="M302" s="297"/>
      <c r="N302" s="297"/>
      <c r="O302" s="298"/>
      <c r="P302" s="298"/>
      <c r="Q302" s="297"/>
      <c r="R302" s="297">
        <v>0.0</v>
      </c>
      <c r="S302" s="297"/>
      <c r="T302" s="297" t="s">
        <v>719</v>
      </c>
    </row>
    <row r="303">
      <c r="B303" s="291"/>
      <c r="C303" s="291"/>
      <c r="D303" s="181"/>
      <c r="E303" s="292"/>
      <c r="F303" s="292"/>
      <c r="G303" s="293"/>
      <c r="H303" s="294"/>
      <c r="I303" s="295"/>
      <c r="J303" s="296"/>
      <c r="K303" s="297"/>
      <c r="L303" s="297"/>
      <c r="M303" s="297"/>
      <c r="N303" s="297"/>
      <c r="O303" s="298"/>
      <c r="P303" s="298"/>
      <c r="Q303" s="297"/>
      <c r="R303" s="297">
        <v>0.0</v>
      </c>
      <c r="S303" s="297"/>
      <c r="T303" s="297" t="s">
        <v>719</v>
      </c>
    </row>
    <row r="304">
      <c r="B304" s="291"/>
      <c r="C304" s="291"/>
      <c r="D304" s="181"/>
      <c r="E304" s="292"/>
      <c r="F304" s="292"/>
      <c r="G304" s="293"/>
      <c r="H304" s="294"/>
      <c r="I304" s="295"/>
      <c r="J304" s="296"/>
      <c r="K304" s="297"/>
      <c r="L304" s="297"/>
      <c r="M304" s="297"/>
      <c r="N304" s="297"/>
      <c r="O304" s="298"/>
      <c r="P304" s="298"/>
      <c r="Q304" s="297"/>
      <c r="R304" s="297">
        <v>0.0</v>
      </c>
      <c r="S304" s="297"/>
      <c r="T304" s="297" t="s">
        <v>719</v>
      </c>
    </row>
    <row r="305">
      <c r="B305" s="291"/>
      <c r="C305" s="291"/>
      <c r="D305" s="181"/>
      <c r="E305" s="292"/>
      <c r="F305" s="292"/>
      <c r="G305" s="293"/>
      <c r="H305" s="294"/>
      <c r="I305" s="295"/>
      <c r="J305" s="296"/>
      <c r="K305" s="297"/>
      <c r="L305" s="297"/>
      <c r="M305" s="297"/>
      <c r="N305" s="297"/>
      <c r="O305" s="298"/>
      <c r="P305" s="298"/>
      <c r="Q305" s="297"/>
      <c r="R305" s="297">
        <v>0.0</v>
      </c>
      <c r="S305" s="297"/>
      <c r="T305" s="297" t="s">
        <v>719</v>
      </c>
    </row>
    <row r="306">
      <c r="B306" s="291"/>
      <c r="C306" s="291"/>
      <c r="D306" s="181"/>
      <c r="E306" s="292"/>
      <c r="F306" s="292"/>
      <c r="G306" s="293"/>
      <c r="H306" s="294"/>
      <c r="I306" s="295"/>
      <c r="J306" s="296"/>
      <c r="K306" s="297"/>
      <c r="L306" s="297"/>
      <c r="M306" s="297"/>
      <c r="N306" s="297"/>
      <c r="O306" s="298"/>
      <c r="P306" s="298"/>
      <c r="Q306" s="297"/>
      <c r="R306" s="297">
        <v>0.0</v>
      </c>
      <c r="S306" s="297"/>
      <c r="T306" s="297" t="s">
        <v>719</v>
      </c>
    </row>
    <row r="307">
      <c r="B307" s="291"/>
      <c r="C307" s="291"/>
      <c r="D307" s="181"/>
      <c r="E307" s="292"/>
      <c r="F307" s="292"/>
      <c r="G307" s="293"/>
      <c r="H307" s="294"/>
      <c r="I307" s="295"/>
      <c r="J307" s="296"/>
      <c r="K307" s="297"/>
      <c r="L307" s="297"/>
      <c r="M307" s="297"/>
      <c r="N307" s="297"/>
      <c r="O307" s="298"/>
      <c r="P307" s="298"/>
      <c r="Q307" s="297"/>
      <c r="R307" s="297">
        <v>0.0</v>
      </c>
      <c r="S307" s="297"/>
      <c r="T307" s="297" t="s">
        <v>719</v>
      </c>
    </row>
    <row r="308">
      <c r="B308" s="291"/>
      <c r="C308" s="291"/>
      <c r="D308" s="181"/>
      <c r="E308" s="292"/>
      <c r="F308" s="292"/>
      <c r="G308" s="293"/>
      <c r="H308" s="294"/>
      <c r="I308" s="295"/>
      <c r="J308" s="296"/>
      <c r="K308" s="297"/>
      <c r="L308" s="297"/>
      <c r="M308" s="297"/>
      <c r="N308" s="297"/>
      <c r="O308" s="298"/>
      <c r="P308" s="298"/>
      <c r="Q308" s="297"/>
      <c r="R308" s="297">
        <v>0.0</v>
      </c>
      <c r="S308" s="297"/>
      <c r="T308" s="297" t="s">
        <v>719</v>
      </c>
    </row>
    <row r="309">
      <c r="B309" s="291"/>
      <c r="C309" s="291"/>
      <c r="D309" s="181"/>
      <c r="E309" s="292"/>
      <c r="F309" s="292"/>
      <c r="G309" s="293"/>
      <c r="H309" s="294"/>
      <c r="I309" s="295"/>
      <c r="J309" s="296"/>
      <c r="K309" s="297"/>
      <c r="L309" s="297"/>
      <c r="M309" s="297"/>
      <c r="N309" s="297"/>
      <c r="O309" s="298"/>
      <c r="P309" s="298"/>
      <c r="Q309" s="297"/>
      <c r="R309" s="297">
        <v>0.0</v>
      </c>
      <c r="S309" s="297"/>
      <c r="T309" s="297" t="s">
        <v>719</v>
      </c>
    </row>
    <row r="310">
      <c r="B310" s="291"/>
      <c r="C310" s="291"/>
      <c r="D310" s="181"/>
      <c r="E310" s="292"/>
      <c r="F310" s="292"/>
      <c r="G310" s="293"/>
      <c r="H310" s="294"/>
      <c r="I310" s="295"/>
      <c r="J310" s="296"/>
      <c r="K310" s="297"/>
      <c r="L310" s="297"/>
      <c r="M310" s="297"/>
      <c r="N310" s="297"/>
      <c r="O310" s="298"/>
      <c r="P310" s="298"/>
      <c r="Q310" s="297"/>
      <c r="R310" s="297">
        <v>0.0</v>
      </c>
      <c r="S310" s="297"/>
      <c r="T310" s="297" t="s">
        <v>719</v>
      </c>
    </row>
    <row r="311">
      <c r="B311" s="291"/>
      <c r="C311" s="291"/>
      <c r="D311" s="181"/>
      <c r="E311" s="292"/>
      <c r="F311" s="292"/>
      <c r="G311" s="293"/>
      <c r="H311" s="294"/>
      <c r="I311" s="295"/>
      <c r="J311" s="296"/>
      <c r="K311" s="297"/>
      <c r="L311" s="297"/>
      <c r="M311" s="297"/>
      <c r="N311" s="297"/>
      <c r="O311" s="298"/>
      <c r="P311" s="298"/>
      <c r="Q311" s="297"/>
      <c r="R311" s="297">
        <v>0.0</v>
      </c>
      <c r="S311" s="297"/>
      <c r="T311" s="297" t="s">
        <v>719</v>
      </c>
    </row>
    <row r="312">
      <c r="B312" s="291"/>
      <c r="C312" s="291"/>
      <c r="D312" s="181"/>
      <c r="E312" s="292"/>
      <c r="F312" s="292"/>
      <c r="G312" s="293"/>
      <c r="H312" s="294"/>
      <c r="I312" s="295"/>
      <c r="J312" s="296"/>
      <c r="K312" s="297"/>
      <c r="L312" s="297"/>
      <c r="M312" s="297"/>
      <c r="N312" s="297"/>
      <c r="O312" s="298"/>
      <c r="P312" s="298"/>
      <c r="Q312" s="297"/>
      <c r="R312" s="297">
        <v>0.0</v>
      </c>
      <c r="S312" s="297"/>
      <c r="T312" s="297" t="s">
        <v>719</v>
      </c>
    </row>
    <row r="313">
      <c r="B313" s="291"/>
      <c r="C313" s="291"/>
      <c r="D313" s="181"/>
      <c r="E313" s="292"/>
      <c r="F313" s="292"/>
      <c r="G313" s="293"/>
      <c r="H313" s="294"/>
      <c r="I313" s="295"/>
      <c r="J313" s="296"/>
      <c r="K313" s="297"/>
      <c r="L313" s="297"/>
      <c r="M313" s="297"/>
      <c r="N313" s="297"/>
      <c r="O313" s="298"/>
      <c r="P313" s="298"/>
      <c r="Q313" s="297"/>
      <c r="R313" s="297">
        <v>0.0</v>
      </c>
      <c r="S313" s="297"/>
      <c r="T313" s="297" t="s">
        <v>719</v>
      </c>
    </row>
    <row r="314">
      <c r="B314" s="291"/>
      <c r="C314" s="291"/>
      <c r="D314" s="181"/>
      <c r="E314" s="292"/>
      <c r="F314" s="292"/>
      <c r="G314" s="293"/>
      <c r="H314" s="294"/>
      <c r="I314" s="295"/>
      <c r="J314" s="296"/>
      <c r="K314" s="297"/>
      <c r="L314" s="297"/>
      <c r="M314" s="297"/>
      <c r="N314" s="297"/>
      <c r="O314" s="298"/>
      <c r="P314" s="298"/>
      <c r="Q314" s="297"/>
      <c r="R314" s="297">
        <v>0.0</v>
      </c>
      <c r="S314" s="297"/>
      <c r="T314" s="297" t="s">
        <v>719</v>
      </c>
    </row>
    <row r="315">
      <c r="B315" s="291"/>
      <c r="C315" s="291"/>
      <c r="D315" s="181"/>
      <c r="E315" s="292"/>
      <c r="F315" s="292"/>
      <c r="G315" s="293"/>
      <c r="H315" s="294"/>
      <c r="I315" s="295"/>
      <c r="J315" s="296"/>
      <c r="K315" s="297"/>
      <c r="L315" s="297"/>
      <c r="M315" s="297"/>
      <c r="N315" s="297"/>
      <c r="O315" s="298"/>
      <c r="P315" s="298"/>
      <c r="Q315" s="297"/>
      <c r="R315" s="297">
        <v>0.0</v>
      </c>
      <c r="S315" s="297"/>
      <c r="T315" s="297" t="s">
        <v>719</v>
      </c>
    </row>
    <row r="316">
      <c r="B316" s="291"/>
      <c r="C316" s="291"/>
      <c r="D316" s="181"/>
      <c r="E316" s="292"/>
      <c r="F316" s="292"/>
      <c r="G316" s="293"/>
      <c r="H316" s="294"/>
      <c r="I316" s="295"/>
      <c r="J316" s="296"/>
      <c r="K316" s="297"/>
      <c r="L316" s="297"/>
      <c r="M316" s="297"/>
      <c r="N316" s="297"/>
      <c r="O316" s="298"/>
      <c r="P316" s="298"/>
      <c r="Q316" s="297"/>
      <c r="R316" s="297">
        <v>0.0</v>
      </c>
      <c r="S316" s="297"/>
      <c r="T316" s="297" t="s">
        <v>719</v>
      </c>
    </row>
    <row r="317">
      <c r="B317" s="291"/>
      <c r="C317" s="291"/>
      <c r="D317" s="181"/>
      <c r="E317" s="292"/>
      <c r="F317" s="292"/>
      <c r="G317" s="293"/>
      <c r="H317" s="294"/>
      <c r="I317" s="295"/>
      <c r="J317" s="296"/>
      <c r="K317" s="297"/>
      <c r="L317" s="297"/>
      <c r="M317" s="297"/>
      <c r="N317" s="297"/>
      <c r="O317" s="298"/>
      <c r="P317" s="298"/>
      <c r="Q317" s="297"/>
      <c r="R317" s="297">
        <v>0.0</v>
      </c>
      <c r="S317" s="297"/>
      <c r="T317" s="297" t="s">
        <v>719</v>
      </c>
    </row>
    <row r="318">
      <c r="B318" s="291"/>
      <c r="C318" s="291"/>
      <c r="D318" s="181"/>
      <c r="E318" s="292"/>
      <c r="F318" s="292"/>
      <c r="G318" s="293"/>
      <c r="H318" s="294"/>
      <c r="I318" s="295"/>
      <c r="J318" s="296"/>
      <c r="K318" s="297"/>
      <c r="L318" s="297"/>
      <c r="M318" s="297"/>
      <c r="N318" s="297"/>
      <c r="O318" s="298"/>
      <c r="P318" s="298"/>
      <c r="Q318" s="297"/>
      <c r="R318" s="297">
        <v>0.0</v>
      </c>
      <c r="S318" s="297"/>
      <c r="T318" s="297" t="s">
        <v>719</v>
      </c>
    </row>
    <row r="319">
      <c r="B319" s="291"/>
      <c r="C319" s="291"/>
      <c r="D319" s="181"/>
      <c r="E319" s="292"/>
      <c r="F319" s="292"/>
      <c r="G319" s="293"/>
      <c r="H319" s="294"/>
      <c r="I319" s="295"/>
      <c r="J319" s="296"/>
      <c r="K319" s="297"/>
      <c r="L319" s="297"/>
      <c r="M319" s="297"/>
      <c r="N319" s="297"/>
      <c r="O319" s="298"/>
      <c r="P319" s="298"/>
      <c r="Q319" s="297"/>
      <c r="R319" s="297">
        <v>0.0</v>
      </c>
      <c r="S319" s="297"/>
      <c r="T319" s="297" t="s">
        <v>719</v>
      </c>
    </row>
    <row r="320">
      <c r="B320" s="291"/>
      <c r="C320" s="291"/>
      <c r="D320" s="181"/>
      <c r="E320" s="292"/>
      <c r="F320" s="292"/>
      <c r="G320" s="293"/>
      <c r="H320" s="294"/>
      <c r="I320" s="295"/>
      <c r="J320" s="296"/>
      <c r="K320" s="297"/>
      <c r="L320" s="297"/>
      <c r="M320" s="297"/>
      <c r="N320" s="297"/>
      <c r="O320" s="298"/>
      <c r="P320" s="298"/>
      <c r="Q320" s="297"/>
      <c r="R320" s="297">
        <v>0.0</v>
      </c>
      <c r="S320" s="297"/>
      <c r="T320" s="297" t="s">
        <v>719</v>
      </c>
    </row>
    <row r="321">
      <c r="B321" s="291"/>
      <c r="C321" s="291"/>
      <c r="D321" s="181"/>
      <c r="E321" s="292"/>
      <c r="F321" s="292"/>
      <c r="G321" s="293"/>
      <c r="H321" s="294"/>
      <c r="I321" s="295"/>
      <c r="J321" s="296"/>
      <c r="K321" s="297"/>
      <c r="L321" s="297"/>
      <c r="M321" s="297"/>
      <c r="N321" s="297"/>
      <c r="O321" s="298"/>
      <c r="P321" s="298"/>
      <c r="Q321" s="297"/>
      <c r="R321" s="297">
        <v>0.0</v>
      </c>
      <c r="S321" s="297"/>
      <c r="T321" s="297" t="s">
        <v>719</v>
      </c>
    </row>
    <row r="322">
      <c r="B322" s="291"/>
      <c r="C322" s="291"/>
      <c r="D322" s="181"/>
      <c r="E322" s="292"/>
      <c r="F322" s="292"/>
      <c r="G322" s="293"/>
      <c r="H322" s="294"/>
      <c r="I322" s="295"/>
      <c r="J322" s="296"/>
      <c r="K322" s="297"/>
      <c r="L322" s="297"/>
      <c r="M322" s="297"/>
      <c r="N322" s="297"/>
      <c r="O322" s="298"/>
      <c r="P322" s="298"/>
      <c r="Q322" s="297"/>
      <c r="R322" s="297">
        <v>0.0</v>
      </c>
      <c r="S322" s="297"/>
      <c r="T322" s="297" t="s">
        <v>719</v>
      </c>
    </row>
    <row r="323">
      <c r="B323" s="291"/>
      <c r="C323" s="291"/>
      <c r="D323" s="181"/>
      <c r="E323" s="292"/>
      <c r="F323" s="292"/>
      <c r="G323" s="293"/>
      <c r="H323" s="294"/>
      <c r="I323" s="295"/>
      <c r="J323" s="296"/>
      <c r="K323" s="297"/>
      <c r="L323" s="297"/>
      <c r="M323" s="297"/>
      <c r="N323" s="297"/>
      <c r="O323" s="298"/>
      <c r="P323" s="298"/>
      <c r="Q323" s="297"/>
      <c r="R323" s="297">
        <v>0.0</v>
      </c>
      <c r="S323" s="297"/>
      <c r="T323" s="297" t="s">
        <v>719</v>
      </c>
    </row>
    <row r="324">
      <c r="B324" s="291"/>
      <c r="C324" s="291"/>
      <c r="D324" s="181"/>
      <c r="E324" s="292"/>
      <c r="F324" s="292"/>
      <c r="G324" s="293"/>
      <c r="H324" s="294"/>
      <c r="I324" s="295"/>
      <c r="J324" s="296"/>
      <c r="K324" s="297"/>
      <c r="L324" s="297"/>
      <c r="M324" s="297"/>
      <c r="N324" s="297"/>
      <c r="O324" s="298"/>
      <c r="P324" s="298"/>
      <c r="Q324" s="297"/>
      <c r="R324" s="297">
        <v>0.0</v>
      </c>
      <c r="S324" s="297"/>
      <c r="T324" s="297" t="s">
        <v>719</v>
      </c>
    </row>
    <row r="325">
      <c r="B325" s="291"/>
      <c r="C325" s="291"/>
      <c r="D325" s="181"/>
      <c r="E325" s="292"/>
      <c r="F325" s="292"/>
      <c r="G325" s="293"/>
      <c r="H325" s="294"/>
      <c r="I325" s="295"/>
      <c r="J325" s="296"/>
      <c r="K325" s="297"/>
      <c r="L325" s="297"/>
      <c r="M325" s="297"/>
      <c r="N325" s="297"/>
      <c r="O325" s="298"/>
      <c r="P325" s="298"/>
      <c r="Q325" s="297"/>
      <c r="R325" s="297">
        <v>0.0</v>
      </c>
      <c r="S325" s="297"/>
      <c r="T325" s="297" t="s">
        <v>719</v>
      </c>
    </row>
    <row r="326">
      <c r="B326" s="291"/>
      <c r="C326" s="291"/>
      <c r="D326" s="181"/>
      <c r="E326" s="292"/>
      <c r="F326" s="292"/>
      <c r="G326" s="293"/>
      <c r="H326" s="294"/>
      <c r="I326" s="295"/>
      <c r="J326" s="296"/>
      <c r="K326" s="297"/>
      <c r="L326" s="297"/>
      <c r="M326" s="297"/>
      <c r="N326" s="297"/>
      <c r="O326" s="298"/>
      <c r="P326" s="298"/>
      <c r="Q326" s="297"/>
      <c r="R326" s="297">
        <v>0.0</v>
      </c>
      <c r="S326" s="297"/>
      <c r="T326" s="297" t="s">
        <v>719</v>
      </c>
    </row>
    <row r="327">
      <c r="B327" s="291"/>
      <c r="C327" s="291"/>
      <c r="D327" s="181"/>
      <c r="E327" s="292"/>
      <c r="F327" s="292"/>
      <c r="G327" s="293"/>
      <c r="H327" s="294"/>
      <c r="I327" s="295"/>
      <c r="J327" s="296"/>
      <c r="K327" s="297"/>
      <c r="L327" s="297"/>
      <c r="M327" s="297"/>
      <c r="N327" s="297"/>
      <c r="O327" s="298"/>
      <c r="P327" s="298"/>
      <c r="Q327" s="297"/>
      <c r="R327" s="297">
        <v>0.0</v>
      </c>
      <c r="S327" s="297"/>
      <c r="T327" s="297" t="s">
        <v>719</v>
      </c>
    </row>
    <row r="328">
      <c r="B328" s="291"/>
      <c r="C328" s="291"/>
      <c r="D328" s="181"/>
      <c r="E328" s="292"/>
      <c r="F328" s="292"/>
      <c r="G328" s="293"/>
      <c r="H328" s="294"/>
      <c r="I328" s="295"/>
      <c r="J328" s="296"/>
      <c r="K328" s="297"/>
      <c r="L328" s="297"/>
      <c r="M328" s="297"/>
      <c r="N328" s="297"/>
      <c r="O328" s="298"/>
      <c r="P328" s="298"/>
      <c r="Q328" s="297"/>
      <c r="R328" s="297">
        <v>0.0</v>
      </c>
      <c r="S328" s="297"/>
      <c r="T328" s="297" t="s">
        <v>719</v>
      </c>
    </row>
    <row r="329">
      <c r="B329" s="291"/>
      <c r="C329" s="291"/>
      <c r="D329" s="181"/>
      <c r="E329" s="292"/>
      <c r="F329" s="292"/>
      <c r="G329" s="293"/>
      <c r="H329" s="294"/>
      <c r="I329" s="295"/>
      <c r="J329" s="296"/>
      <c r="K329" s="297"/>
      <c r="L329" s="297"/>
      <c r="M329" s="297"/>
      <c r="N329" s="297"/>
      <c r="O329" s="298"/>
      <c r="P329" s="298"/>
      <c r="Q329" s="297"/>
      <c r="R329" s="297">
        <v>0.0</v>
      </c>
      <c r="S329" s="297"/>
      <c r="T329" s="297" t="s">
        <v>719</v>
      </c>
    </row>
    <row r="330">
      <c r="B330" s="291"/>
      <c r="C330" s="291"/>
      <c r="D330" s="181"/>
      <c r="E330" s="292"/>
      <c r="F330" s="292"/>
      <c r="G330" s="293"/>
      <c r="H330" s="294"/>
      <c r="I330" s="295"/>
      <c r="J330" s="296"/>
      <c r="K330" s="297"/>
      <c r="L330" s="297"/>
      <c r="M330" s="297"/>
      <c r="N330" s="297"/>
      <c r="O330" s="298"/>
      <c r="P330" s="298"/>
      <c r="Q330" s="297"/>
      <c r="R330" s="297">
        <v>0.0</v>
      </c>
      <c r="S330" s="297"/>
      <c r="T330" s="297" t="s">
        <v>719</v>
      </c>
    </row>
    <row r="331">
      <c r="B331" s="291"/>
      <c r="C331" s="291"/>
      <c r="D331" s="181"/>
      <c r="E331" s="292"/>
      <c r="F331" s="292"/>
      <c r="G331" s="293"/>
      <c r="H331" s="294"/>
      <c r="I331" s="295"/>
      <c r="J331" s="296"/>
      <c r="K331" s="297"/>
      <c r="L331" s="297"/>
      <c r="M331" s="297"/>
      <c r="N331" s="297"/>
      <c r="O331" s="298"/>
      <c r="P331" s="298"/>
      <c r="Q331" s="297"/>
      <c r="R331" s="297">
        <v>0.0</v>
      </c>
      <c r="S331" s="297"/>
      <c r="T331" s="297" t="s">
        <v>719</v>
      </c>
    </row>
    <row r="332">
      <c r="B332" s="291"/>
      <c r="C332" s="291"/>
      <c r="D332" s="181"/>
      <c r="E332" s="292"/>
      <c r="F332" s="292"/>
      <c r="G332" s="293"/>
      <c r="H332" s="294"/>
      <c r="I332" s="295"/>
      <c r="J332" s="296"/>
      <c r="K332" s="297"/>
      <c r="L332" s="297"/>
      <c r="M332" s="297"/>
      <c r="N332" s="297"/>
      <c r="O332" s="298"/>
      <c r="P332" s="298"/>
      <c r="Q332" s="297"/>
      <c r="R332" s="297">
        <v>0.0</v>
      </c>
      <c r="S332" s="297"/>
      <c r="T332" s="297" t="s">
        <v>719</v>
      </c>
    </row>
    <row r="333">
      <c r="B333" s="291"/>
      <c r="C333" s="291"/>
      <c r="D333" s="181"/>
      <c r="E333" s="292"/>
      <c r="F333" s="292"/>
      <c r="G333" s="293"/>
      <c r="H333" s="294"/>
      <c r="I333" s="295"/>
      <c r="J333" s="296"/>
      <c r="K333" s="297"/>
      <c r="L333" s="297"/>
      <c r="M333" s="297"/>
      <c r="N333" s="297"/>
      <c r="O333" s="298"/>
      <c r="P333" s="298"/>
      <c r="Q333" s="297"/>
      <c r="R333" s="297">
        <v>0.0</v>
      </c>
      <c r="S333" s="297"/>
      <c r="T333" s="297" t="s">
        <v>719</v>
      </c>
    </row>
    <row r="334">
      <c r="B334" s="291"/>
      <c r="C334" s="291"/>
      <c r="D334" s="181"/>
      <c r="E334" s="292"/>
      <c r="F334" s="292"/>
      <c r="G334" s="293"/>
      <c r="H334" s="294"/>
      <c r="I334" s="295"/>
      <c r="J334" s="296"/>
      <c r="K334" s="297"/>
      <c r="L334" s="297"/>
      <c r="M334" s="297"/>
      <c r="N334" s="297"/>
      <c r="O334" s="298"/>
      <c r="P334" s="298"/>
      <c r="Q334" s="297"/>
      <c r="R334" s="297">
        <v>0.0</v>
      </c>
      <c r="S334" s="297"/>
      <c r="T334" s="297" t="s">
        <v>719</v>
      </c>
    </row>
    <row r="335">
      <c r="B335" s="291"/>
      <c r="C335" s="291"/>
      <c r="D335" s="181"/>
      <c r="E335" s="292"/>
      <c r="F335" s="292"/>
      <c r="G335" s="293"/>
      <c r="H335" s="294"/>
      <c r="I335" s="295"/>
      <c r="J335" s="296"/>
      <c r="K335" s="297"/>
      <c r="L335" s="297"/>
      <c r="M335" s="297"/>
      <c r="N335" s="297"/>
      <c r="O335" s="298"/>
      <c r="P335" s="298"/>
      <c r="Q335" s="297"/>
      <c r="R335" s="297">
        <v>0.0</v>
      </c>
      <c r="S335" s="297"/>
      <c r="T335" s="297" t="s">
        <v>719</v>
      </c>
    </row>
    <row r="336">
      <c r="B336" s="291"/>
      <c r="C336" s="291"/>
      <c r="D336" s="181"/>
      <c r="E336" s="292"/>
      <c r="F336" s="292"/>
      <c r="G336" s="293"/>
      <c r="H336" s="294"/>
      <c r="I336" s="295"/>
      <c r="J336" s="296"/>
      <c r="K336" s="297"/>
      <c r="L336" s="297"/>
      <c r="M336" s="297"/>
      <c r="N336" s="297"/>
      <c r="O336" s="298"/>
      <c r="P336" s="298"/>
      <c r="Q336" s="297"/>
      <c r="R336" s="297">
        <v>0.0</v>
      </c>
      <c r="S336" s="297"/>
      <c r="T336" s="297" t="s">
        <v>719</v>
      </c>
    </row>
    <row r="337">
      <c r="B337" s="291"/>
      <c r="C337" s="291"/>
      <c r="D337" s="181"/>
      <c r="E337" s="292"/>
      <c r="F337" s="292"/>
      <c r="G337" s="293"/>
      <c r="H337" s="294"/>
      <c r="I337" s="295"/>
      <c r="J337" s="296"/>
      <c r="K337" s="297"/>
      <c r="L337" s="297"/>
      <c r="M337" s="297"/>
      <c r="N337" s="297"/>
      <c r="O337" s="298"/>
      <c r="P337" s="298"/>
      <c r="Q337" s="297"/>
      <c r="R337" s="297">
        <v>0.0</v>
      </c>
      <c r="S337" s="297"/>
      <c r="T337" s="297" t="s">
        <v>719</v>
      </c>
    </row>
    <row r="338">
      <c r="B338" s="291"/>
      <c r="C338" s="291"/>
      <c r="D338" s="181"/>
      <c r="E338" s="292"/>
      <c r="F338" s="292"/>
      <c r="G338" s="293"/>
      <c r="H338" s="294"/>
      <c r="I338" s="295"/>
      <c r="J338" s="296"/>
      <c r="K338" s="297"/>
      <c r="L338" s="297"/>
      <c r="M338" s="297"/>
      <c r="N338" s="297"/>
      <c r="O338" s="298"/>
      <c r="P338" s="298"/>
      <c r="Q338" s="297"/>
      <c r="R338" s="297">
        <v>0.0</v>
      </c>
      <c r="S338" s="297"/>
      <c r="T338" s="297" t="s">
        <v>719</v>
      </c>
    </row>
    <row r="339">
      <c r="B339" s="291"/>
      <c r="C339" s="291"/>
      <c r="D339" s="181"/>
      <c r="E339" s="292"/>
      <c r="F339" s="292"/>
      <c r="G339" s="293"/>
      <c r="H339" s="294"/>
      <c r="I339" s="295"/>
      <c r="J339" s="296"/>
      <c r="K339" s="297"/>
      <c r="L339" s="297"/>
      <c r="M339" s="297"/>
      <c r="N339" s="297"/>
      <c r="O339" s="298"/>
      <c r="P339" s="298"/>
      <c r="Q339" s="297"/>
      <c r="R339" s="297">
        <v>0.0</v>
      </c>
      <c r="S339" s="297"/>
      <c r="T339" s="297" t="s">
        <v>719</v>
      </c>
    </row>
    <row r="340">
      <c r="B340" s="291"/>
      <c r="C340" s="291"/>
      <c r="D340" s="181"/>
      <c r="E340" s="292"/>
      <c r="F340" s="292"/>
      <c r="G340" s="293"/>
      <c r="H340" s="294"/>
      <c r="I340" s="295"/>
      <c r="J340" s="296"/>
      <c r="K340" s="297"/>
      <c r="L340" s="297"/>
      <c r="M340" s="297"/>
      <c r="N340" s="297"/>
      <c r="O340" s="298"/>
      <c r="P340" s="298"/>
      <c r="Q340" s="297"/>
      <c r="R340" s="297">
        <v>0.0</v>
      </c>
      <c r="S340" s="297"/>
      <c r="T340" s="297" t="s">
        <v>719</v>
      </c>
    </row>
    <row r="341">
      <c r="B341" s="291"/>
      <c r="C341" s="291"/>
      <c r="D341" s="181"/>
      <c r="E341" s="292"/>
      <c r="F341" s="292"/>
      <c r="G341" s="293"/>
      <c r="H341" s="294"/>
      <c r="I341" s="295"/>
      <c r="J341" s="296"/>
      <c r="K341" s="297"/>
      <c r="L341" s="297"/>
      <c r="M341" s="297"/>
      <c r="N341" s="297"/>
      <c r="O341" s="298"/>
      <c r="P341" s="298"/>
      <c r="Q341" s="297"/>
      <c r="R341" s="297">
        <v>0.0</v>
      </c>
      <c r="S341" s="297"/>
      <c r="T341" s="297" t="s">
        <v>719</v>
      </c>
    </row>
    <row r="342">
      <c r="B342" s="291"/>
      <c r="C342" s="291"/>
      <c r="D342" s="181"/>
      <c r="E342" s="292"/>
      <c r="F342" s="292"/>
      <c r="G342" s="293"/>
      <c r="H342" s="294"/>
      <c r="I342" s="295"/>
      <c r="J342" s="296"/>
      <c r="K342" s="297"/>
      <c r="L342" s="297"/>
      <c r="M342" s="297"/>
      <c r="N342" s="297"/>
      <c r="O342" s="298"/>
      <c r="P342" s="298"/>
      <c r="Q342" s="297"/>
      <c r="R342" s="297">
        <v>0.0</v>
      </c>
      <c r="S342" s="297"/>
      <c r="T342" s="297" t="s">
        <v>719</v>
      </c>
    </row>
    <row r="343">
      <c r="B343" s="291"/>
      <c r="C343" s="291"/>
      <c r="D343" s="181"/>
      <c r="E343" s="292"/>
      <c r="F343" s="292"/>
      <c r="G343" s="293"/>
      <c r="H343" s="294"/>
      <c r="I343" s="295"/>
      <c r="J343" s="296"/>
      <c r="K343" s="297"/>
      <c r="L343" s="297"/>
      <c r="M343" s="297"/>
      <c r="N343" s="297"/>
      <c r="O343" s="298"/>
      <c r="P343" s="298"/>
      <c r="Q343" s="297"/>
      <c r="R343" s="297">
        <v>0.0</v>
      </c>
      <c r="S343" s="297"/>
      <c r="T343" s="297" t="s">
        <v>719</v>
      </c>
    </row>
    <row r="344">
      <c r="B344" s="291"/>
      <c r="C344" s="291"/>
      <c r="D344" s="181"/>
      <c r="E344" s="292"/>
      <c r="F344" s="292"/>
      <c r="G344" s="293"/>
      <c r="H344" s="294"/>
      <c r="I344" s="295"/>
      <c r="J344" s="296"/>
      <c r="K344" s="297"/>
      <c r="L344" s="297"/>
      <c r="M344" s="297"/>
      <c r="N344" s="297"/>
      <c r="O344" s="298"/>
      <c r="P344" s="298"/>
      <c r="Q344" s="297"/>
      <c r="R344" s="297">
        <v>0.0</v>
      </c>
      <c r="S344" s="297"/>
      <c r="T344" s="297" t="s">
        <v>719</v>
      </c>
    </row>
    <row r="345">
      <c r="B345" s="291"/>
      <c r="C345" s="291"/>
      <c r="D345" s="181"/>
      <c r="E345" s="292"/>
      <c r="F345" s="292"/>
      <c r="G345" s="293"/>
      <c r="H345" s="294"/>
      <c r="I345" s="295"/>
      <c r="J345" s="296"/>
      <c r="K345" s="297"/>
      <c r="L345" s="297"/>
      <c r="M345" s="297"/>
      <c r="N345" s="297"/>
      <c r="O345" s="298"/>
      <c r="P345" s="298"/>
      <c r="Q345" s="297"/>
      <c r="R345" s="297">
        <v>0.0</v>
      </c>
      <c r="S345" s="297"/>
      <c r="T345" s="297" t="s">
        <v>719</v>
      </c>
    </row>
    <row r="346">
      <c r="B346" s="291"/>
      <c r="C346" s="291"/>
      <c r="D346" s="181"/>
      <c r="E346" s="292"/>
      <c r="F346" s="292"/>
      <c r="G346" s="293"/>
      <c r="H346" s="294"/>
      <c r="I346" s="295"/>
      <c r="J346" s="296"/>
      <c r="K346" s="297"/>
      <c r="L346" s="297"/>
      <c r="M346" s="297"/>
      <c r="N346" s="297"/>
      <c r="O346" s="298"/>
      <c r="P346" s="298"/>
      <c r="Q346" s="297"/>
      <c r="R346" s="297">
        <v>0.0</v>
      </c>
      <c r="S346" s="297"/>
      <c r="T346" s="297" t="s">
        <v>719</v>
      </c>
    </row>
    <row r="347">
      <c r="B347" s="291"/>
      <c r="C347" s="291"/>
      <c r="D347" s="181"/>
      <c r="E347" s="292"/>
      <c r="F347" s="292"/>
      <c r="G347" s="293"/>
      <c r="H347" s="294"/>
      <c r="I347" s="295"/>
      <c r="J347" s="296"/>
      <c r="K347" s="297"/>
      <c r="L347" s="297"/>
      <c r="M347" s="297"/>
      <c r="N347" s="297"/>
      <c r="O347" s="298"/>
      <c r="P347" s="298"/>
      <c r="Q347" s="297"/>
      <c r="R347" s="297">
        <v>0.0</v>
      </c>
      <c r="S347" s="297"/>
      <c r="T347" s="297" t="s">
        <v>719</v>
      </c>
    </row>
    <row r="348">
      <c r="B348" s="291"/>
      <c r="C348" s="291"/>
      <c r="D348" s="181"/>
      <c r="E348" s="292"/>
      <c r="F348" s="292"/>
      <c r="G348" s="293"/>
      <c r="H348" s="294"/>
      <c r="I348" s="295"/>
      <c r="J348" s="296"/>
      <c r="K348" s="297"/>
      <c r="L348" s="297"/>
      <c r="M348" s="297"/>
      <c r="N348" s="297"/>
      <c r="O348" s="298"/>
      <c r="P348" s="298"/>
      <c r="Q348" s="297"/>
      <c r="R348" s="297">
        <v>0.0</v>
      </c>
      <c r="S348" s="297"/>
      <c r="T348" s="297" t="s">
        <v>719</v>
      </c>
    </row>
    <row r="349">
      <c r="B349" s="291"/>
      <c r="C349" s="291"/>
      <c r="D349" s="181"/>
      <c r="E349" s="292"/>
      <c r="F349" s="292"/>
      <c r="G349" s="293"/>
      <c r="H349" s="294"/>
      <c r="I349" s="295"/>
      <c r="J349" s="296"/>
      <c r="K349" s="297"/>
      <c r="L349" s="297"/>
      <c r="M349" s="297"/>
      <c r="N349" s="297"/>
      <c r="O349" s="298"/>
      <c r="P349" s="298"/>
      <c r="Q349" s="297"/>
      <c r="R349" s="297">
        <v>0.0</v>
      </c>
      <c r="S349" s="297"/>
      <c r="T349" s="297" t="s">
        <v>719</v>
      </c>
    </row>
    <row r="350">
      <c r="B350" s="291"/>
      <c r="C350" s="291"/>
      <c r="D350" s="181"/>
      <c r="E350" s="292"/>
      <c r="F350" s="292"/>
      <c r="G350" s="293"/>
      <c r="H350" s="294"/>
      <c r="I350" s="295"/>
      <c r="J350" s="296"/>
      <c r="K350" s="297"/>
      <c r="L350" s="297"/>
      <c r="M350" s="297"/>
      <c r="N350" s="297"/>
      <c r="O350" s="298"/>
      <c r="P350" s="298"/>
      <c r="Q350" s="297"/>
      <c r="R350" s="297">
        <v>0.0</v>
      </c>
      <c r="S350" s="297"/>
      <c r="T350" s="297" t="s">
        <v>719</v>
      </c>
    </row>
    <row r="351">
      <c r="B351" s="291"/>
      <c r="C351" s="291"/>
      <c r="D351" s="181"/>
      <c r="E351" s="292"/>
      <c r="F351" s="292"/>
      <c r="G351" s="293"/>
      <c r="H351" s="294"/>
      <c r="I351" s="295"/>
      <c r="J351" s="296"/>
      <c r="K351" s="297"/>
      <c r="L351" s="297"/>
      <c r="M351" s="297"/>
      <c r="N351" s="297"/>
      <c r="O351" s="298"/>
      <c r="P351" s="298"/>
      <c r="Q351" s="297"/>
      <c r="R351" s="297">
        <v>0.0</v>
      </c>
      <c r="S351" s="297"/>
      <c r="T351" s="297" t="s">
        <v>719</v>
      </c>
    </row>
    <row r="352">
      <c r="B352" s="291"/>
      <c r="C352" s="291"/>
      <c r="D352" s="181"/>
      <c r="E352" s="292"/>
      <c r="F352" s="292"/>
      <c r="G352" s="293"/>
      <c r="H352" s="294"/>
      <c r="I352" s="295"/>
      <c r="J352" s="296"/>
      <c r="K352" s="297"/>
      <c r="L352" s="297"/>
      <c r="M352" s="297"/>
      <c r="N352" s="297"/>
      <c r="O352" s="298"/>
      <c r="P352" s="298"/>
      <c r="Q352" s="297"/>
      <c r="R352" s="297">
        <v>0.0</v>
      </c>
      <c r="S352" s="297"/>
      <c r="T352" s="297" t="s">
        <v>719</v>
      </c>
    </row>
    <row r="353">
      <c r="B353" s="291"/>
      <c r="C353" s="291"/>
      <c r="D353" s="181"/>
      <c r="E353" s="292"/>
      <c r="F353" s="292"/>
      <c r="G353" s="293"/>
      <c r="H353" s="294"/>
      <c r="I353" s="295"/>
      <c r="J353" s="296"/>
      <c r="K353" s="297"/>
      <c r="L353" s="297"/>
      <c r="M353" s="297"/>
      <c r="N353" s="297"/>
      <c r="O353" s="298"/>
      <c r="P353" s="298"/>
      <c r="Q353" s="297"/>
      <c r="R353" s="297">
        <v>0.0</v>
      </c>
      <c r="S353" s="297"/>
      <c r="T353" s="297" t="s">
        <v>719</v>
      </c>
    </row>
    <row r="354">
      <c r="B354" s="291"/>
      <c r="C354" s="291"/>
      <c r="D354" s="181"/>
      <c r="E354" s="292"/>
      <c r="F354" s="292"/>
      <c r="G354" s="293"/>
      <c r="H354" s="294"/>
      <c r="I354" s="295"/>
      <c r="J354" s="296"/>
      <c r="K354" s="297"/>
      <c r="L354" s="297"/>
      <c r="M354" s="297"/>
      <c r="N354" s="297"/>
      <c r="O354" s="298"/>
      <c r="P354" s="298"/>
      <c r="Q354" s="297"/>
      <c r="R354" s="297">
        <v>0.0</v>
      </c>
      <c r="S354" s="297"/>
      <c r="T354" s="297" t="s">
        <v>719</v>
      </c>
    </row>
    <row r="355">
      <c r="B355" s="291"/>
      <c r="C355" s="291"/>
      <c r="D355" s="181"/>
      <c r="E355" s="292"/>
      <c r="F355" s="292"/>
      <c r="G355" s="293"/>
      <c r="H355" s="294"/>
      <c r="I355" s="295"/>
      <c r="J355" s="296"/>
      <c r="K355" s="297"/>
      <c r="L355" s="297"/>
      <c r="M355" s="297"/>
      <c r="N355" s="297"/>
      <c r="O355" s="298"/>
      <c r="P355" s="298"/>
      <c r="Q355" s="297"/>
      <c r="R355" s="297">
        <v>0.0</v>
      </c>
      <c r="S355" s="297"/>
      <c r="T355" s="297" t="s">
        <v>719</v>
      </c>
    </row>
    <row r="356">
      <c r="B356" s="291"/>
      <c r="C356" s="291"/>
      <c r="D356" s="181"/>
      <c r="E356" s="292"/>
      <c r="F356" s="292"/>
      <c r="G356" s="293"/>
      <c r="H356" s="294"/>
      <c r="I356" s="295"/>
      <c r="J356" s="296"/>
      <c r="K356" s="297"/>
      <c r="L356" s="297"/>
      <c r="M356" s="297"/>
      <c r="N356" s="297"/>
      <c r="O356" s="298"/>
      <c r="P356" s="298"/>
      <c r="Q356" s="297"/>
      <c r="R356" s="297">
        <v>0.0</v>
      </c>
      <c r="S356" s="297"/>
      <c r="T356" s="297" t="s">
        <v>719</v>
      </c>
    </row>
    <row r="357">
      <c r="B357" s="291"/>
      <c r="C357" s="291"/>
      <c r="D357" s="181"/>
      <c r="E357" s="292"/>
      <c r="F357" s="292"/>
      <c r="G357" s="293"/>
      <c r="H357" s="294"/>
      <c r="I357" s="295"/>
      <c r="J357" s="296"/>
      <c r="K357" s="297"/>
      <c r="L357" s="297"/>
      <c r="M357" s="297"/>
      <c r="N357" s="297"/>
      <c r="O357" s="298"/>
      <c r="P357" s="298"/>
      <c r="Q357" s="297"/>
      <c r="R357" s="297">
        <v>0.0</v>
      </c>
      <c r="S357" s="297"/>
      <c r="T357" s="297" t="s">
        <v>719</v>
      </c>
    </row>
    <row r="358">
      <c r="B358" s="291"/>
      <c r="C358" s="291"/>
      <c r="D358" s="181"/>
      <c r="E358" s="292"/>
      <c r="F358" s="292"/>
      <c r="G358" s="293"/>
      <c r="H358" s="294"/>
      <c r="I358" s="295"/>
      <c r="J358" s="296"/>
      <c r="K358" s="297"/>
      <c r="L358" s="297"/>
      <c r="M358" s="297"/>
      <c r="N358" s="297"/>
      <c r="O358" s="298"/>
      <c r="P358" s="298"/>
      <c r="Q358" s="297"/>
      <c r="R358" s="297">
        <v>0.0</v>
      </c>
      <c r="S358" s="297"/>
      <c r="T358" s="297" t="s">
        <v>719</v>
      </c>
    </row>
    <row r="359">
      <c r="B359" s="291"/>
      <c r="C359" s="291"/>
      <c r="D359" s="181"/>
      <c r="E359" s="292"/>
      <c r="F359" s="292"/>
      <c r="G359" s="293"/>
      <c r="H359" s="294"/>
      <c r="I359" s="295"/>
      <c r="J359" s="296"/>
      <c r="K359" s="297"/>
      <c r="L359" s="297"/>
      <c r="M359" s="297"/>
      <c r="N359" s="297"/>
      <c r="O359" s="298"/>
      <c r="P359" s="298"/>
      <c r="Q359" s="297"/>
      <c r="R359" s="297">
        <v>0.0</v>
      </c>
      <c r="S359" s="297"/>
      <c r="T359" s="297" t="s">
        <v>719</v>
      </c>
    </row>
    <row r="360">
      <c r="B360" s="291"/>
      <c r="C360" s="291"/>
      <c r="D360" s="181"/>
      <c r="E360" s="292"/>
      <c r="F360" s="292"/>
      <c r="G360" s="293"/>
      <c r="H360" s="294"/>
      <c r="I360" s="295"/>
      <c r="J360" s="296"/>
      <c r="K360" s="297"/>
      <c r="L360" s="297"/>
      <c r="M360" s="297"/>
      <c r="N360" s="297"/>
      <c r="O360" s="298"/>
      <c r="P360" s="298"/>
      <c r="Q360" s="297"/>
      <c r="R360" s="297">
        <v>0.0</v>
      </c>
      <c r="S360" s="297"/>
      <c r="T360" s="297" t="s">
        <v>719</v>
      </c>
    </row>
    <row r="361">
      <c r="B361" s="291"/>
      <c r="C361" s="291"/>
      <c r="D361" s="181"/>
      <c r="E361" s="292"/>
      <c r="F361" s="292"/>
      <c r="G361" s="293"/>
      <c r="H361" s="294"/>
      <c r="I361" s="295"/>
      <c r="J361" s="296"/>
      <c r="K361" s="297"/>
      <c r="L361" s="297"/>
      <c r="M361" s="297"/>
      <c r="N361" s="297"/>
      <c r="O361" s="298"/>
      <c r="P361" s="298"/>
      <c r="Q361" s="297"/>
      <c r="R361" s="297">
        <v>0.0</v>
      </c>
      <c r="S361" s="297"/>
      <c r="T361" s="297" t="s">
        <v>719</v>
      </c>
    </row>
    <row r="362">
      <c r="B362" s="291"/>
      <c r="C362" s="291"/>
      <c r="D362" s="181"/>
      <c r="E362" s="292"/>
      <c r="F362" s="292"/>
      <c r="G362" s="293"/>
      <c r="H362" s="294"/>
      <c r="I362" s="295"/>
      <c r="J362" s="296"/>
      <c r="K362" s="297"/>
      <c r="L362" s="297"/>
      <c r="M362" s="297"/>
      <c r="N362" s="297"/>
      <c r="O362" s="298"/>
      <c r="P362" s="298"/>
      <c r="Q362" s="297"/>
      <c r="R362" s="297">
        <v>0.0</v>
      </c>
      <c r="S362" s="297"/>
      <c r="T362" s="297" t="s">
        <v>719</v>
      </c>
    </row>
    <row r="363">
      <c r="B363" s="291"/>
      <c r="C363" s="291"/>
      <c r="D363" s="181"/>
      <c r="E363" s="292"/>
      <c r="F363" s="292"/>
      <c r="G363" s="293"/>
      <c r="H363" s="294"/>
      <c r="I363" s="295"/>
      <c r="J363" s="296"/>
      <c r="K363" s="297"/>
      <c r="L363" s="297"/>
      <c r="M363" s="297"/>
      <c r="N363" s="297"/>
      <c r="O363" s="298"/>
      <c r="P363" s="298"/>
      <c r="Q363" s="297"/>
      <c r="R363" s="297">
        <v>0.0</v>
      </c>
      <c r="S363" s="297"/>
      <c r="T363" s="297" t="s">
        <v>719</v>
      </c>
    </row>
    <row r="364">
      <c r="B364" s="291"/>
      <c r="C364" s="291"/>
      <c r="D364" s="181"/>
      <c r="E364" s="292"/>
      <c r="F364" s="292"/>
      <c r="G364" s="293"/>
      <c r="H364" s="294"/>
      <c r="I364" s="295"/>
      <c r="J364" s="296"/>
      <c r="K364" s="297"/>
      <c r="L364" s="297"/>
      <c r="M364" s="297"/>
      <c r="N364" s="297"/>
      <c r="O364" s="298"/>
      <c r="P364" s="298"/>
      <c r="Q364" s="297"/>
      <c r="R364" s="297">
        <v>0.0</v>
      </c>
      <c r="S364" s="297"/>
      <c r="T364" s="297" t="s">
        <v>719</v>
      </c>
    </row>
    <row r="365">
      <c r="B365" s="291"/>
      <c r="C365" s="291"/>
      <c r="D365" s="181"/>
      <c r="E365" s="292"/>
      <c r="F365" s="292"/>
      <c r="G365" s="293"/>
      <c r="H365" s="294"/>
      <c r="I365" s="295"/>
      <c r="J365" s="296"/>
      <c r="K365" s="297"/>
      <c r="L365" s="297"/>
      <c r="M365" s="297"/>
      <c r="N365" s="297"/>
      <c r="O365" s="298"/>
      <c r="P365" s="298"/>
      <c r="Q365" s="297"/>
      <c r="R365" s="297">
        <v>0.0</v>
      </c>
      <c r="S365" s="297"/>
      <c r="T365" s="297" t="s">
        <v>719</v>
      </c>
    </row>
    <row r="366">
      <c r="B366" s="291"/>
      <c r="C366" s="291"/>
      <c r="D366" s="181"/>
      <c r="E366" s="292"/>
      <c r="F366" s="292"/>
      <c r="G366" s="293"/>
      <c r="H366" s="294"/>
      <c r="I366" s="295"/>
      <c r="J366" s="296"/>
      <c r="K366" s="297"/>
      <c r="L366" s="297"/>
      <c r="M366" s="297"/>
      <c r="N366" s="297"/>
      <c r="O366" s="298"/>
      <c r="P366" s="298"/>
      <c r="Q366" s="297"/>
      <c r="R366" s="297">
        <v>0.0</v>
      </c>
      <c r="S366" s="297"/>
      <c r="T366" s="297" t="s">
        <v>719</v>
      </c>
    </row>
    <row r="367">
      <c r="B367" s="291"/>
      <c r="C367" s="291"/>
      <c r="D367" s="181"/>
      <c r="E367" s="292"/>
      <c r="F367" s="292"/>
      <c r="G367" s="293"/>
      <c r="H367" s="294"/>
      <c r="I367" s="295"/>
      <c r="J367" s="296"/>
      <c r="K367" s="297"/>
      <c r="L367" s="297"/>
      <c r="M367" s="297"/>
      <c r="N367" s="297"/>
      <c r="O367" s="298"/>
      <c r="P367" s="298"/>
      <c r="Q367" s="297"/>
      <c r="R367" s="297">
        <v>0.0</v>
      </c>
      <c r="S367" s="297"/>
      <c r="T367" s="297" t="s">
        <v>719</v>
      </c>
    </row>
    <row r="368">
      <c r="B368" s="291"/>
      <c r="C368" s="291"/>
      <c r="D368" s="181"/>
      <c r="E368" s="292"/>
      <c r="F368" s="292"/>
      <c r="G368" s="293"/>
      <c r="H368" s="294"/>
      <c r="I368" s="295"/>
      <c r="J368" s="296"/>
      <c r="K368" s="297"/>
      <c r="L368" s="297"/>
      <c r="M368" s="297"/>
      <c r="N368" s="297"/>
      <c r="O368" s="298"/>
      <c r="P368" s="298"/>
      <c r="Q368" s="297"/>
      <c r="R368" s="297">
        <v>0.0</v>
      </c>
      <c r="S368" s="297"/>
      <c r="T368" s="297" t="s">
        <v>719</v>
      </c>
    </row>
    <row r="369">
      <c r="B369" s="291"/>
      <c r="C369" s="291"/>
      <c r="D369" s="181"/>
      <c r="E369" s="292"/>
      <c r="F369" s="292"/>
      <c r="G369" s="293"/>
      <c r="H369" s="294"/>
      <c r="I369" s="295"/>
      <c r="J369" s="296"/>
      <c r="K369" s="297"/>
      <c r="L369" s="297"/>
      <c r="M369" s="297"/>
      <c r="N369" s="297"/>
      <c r="O369" s="298"/>
      <c r="P369" s="298"/>
      <c r="Q369" s="297"/>
      <c r="R369" s="297">
        <v>0.0</v>
      </c>
      <c r="S369" s="297"/>
      <c r="T369" s="297" t="s">
        <v>719</v>
      </c>
    </row>
    <row r="370">
      <c r="B370" s="291"/>
      <c r="C370" s="291"/>
      <c r="D370" s="181"/>
      <c r="E370" s="292"/>
      <c r="F370" s="292"/>
      <c r="G370" s="293"/>
      <c r="H370" s="294"/>
      <c r="I370" s="295"/>
      <c r="J370" s="296"/>
      <c r="K370" s="297"/>
      <c r="L370" s="297"/>
      <c r="M370" s="297"/>
      <c r="N370" s="297"/>
      <c r="O370" s="298"/>
      <c r="P370" s="298"/>
      <c r="Q370" s="297"/>
      <c r="R370" s="297">
        <v>0.0</v>
      </c>
      <c r="S370" s="297"/>
      <c r="T370" s="297" t="s">
        <v>719</v>
      </c>
    </row>
    <row r="371">
      <c r="B371" s="291"/>
      <c r="C371" s="291"/>
      <c r="D371" s="181"/>
      <c r="E371" s="292"/>
      <c r="F371" s="292"/>
      <c r="G371" s="293"/>
      <c r="H371" s="294"/>
      <c r="I371" s="295"/>
      <c r="J371" s="296"/>
      <c r="K371" s="297"/>
      <c r="L371" s="297"/>
      <c r="M371" s="297"/>
      <c r="N371" s="297"/>
      <c r="O371" s="298"/>
      <c r="P371" s="298"/>
      <c r="Q371" s="297"/>
      <c r="R371" s="297">
        <v>0.0</v>
      </c>
      <c r="S371" s="297"/>
      <c r="T371" s="297" t="s">
        <v>719</v>
      </c>
    </row>
    <row r="372">
      <c r="B372" s="291"/>
      <c r="C372" s="291"/>
      <c r="D372" s="181"/>
      <c r="E372" s="292"/>
      <c r="F372" s="292"/>
      <c r="G372" s="293"/>
      <c r="H372" s="294"/>
      <c r="I372" s="295"/>
      <c r="J372" s="296"/>
      <c r="K372" s="297"/>
      <c r="L372" s="297"/>
      <c r="M372" s="297"/>
      <c r="N372" s="297"/>
      <c r="O372" s="298"/>
      <c r="P372" s="298"/>
      <c r="Q372" s="297"/>
      <c r="R372" s="297">
        <v>0.0</v>
      </c>
      <c r="S372" s="297"/>
      <c r="T372" s="297" t="s">
        <v>719</v>
      </c>
    </row>
    <row r="373">
      <c r="B373" s="291"/>
      <c r="C373" s="291"/>
      <c r="D373" s="181"/>
      <c r="E373" s="292"/>
      <c r="F373" s="292"/>
      <c r="G373" s="293"/>
      <c r="H373" s="294"/>
      <c r="I373" s="295"/>
      <c r="J373" s="296"/>
      <c r="K373" s="297"/>
      <c r="L373" s="297"/>
      <c r="M373" s="297"/>
      <c r="N373" s="297"/>
      <c r="O373" s="298"/>
      <c r="P373" s="298"/>
      <c r="Q373" s="297"/>
      <c r="R373" s="297">
        <v>0.0</v>
      </c>
      <c r="S373" s="297"/>
      <c r="T373" s="297" t="s">
        <v>719</v>
      </c>
    </row>
    <row r="374">
      <c r="B374" s="291"/>
      <c r="C374" s="291"/>
      <c r="D374" s="181"/>
      <c r="E374" s="292"/>
      <c r="F374" s="292"/>
      <c r="G374" s="293"/>
      <c r="H374" s="294"/>
      <c r="I374" s="295"/>
      <c r="J374" s="296"/>
      <c r="K374" s="297"/>
      <c r="L374" s="297"/>
      <c r="M374" s="297"/>
      <c r="N374" s="297"/>
      <c r="O374" s="298"/>
      <c r="P374" s="298"/>
      <c r="Q374" s="297"/>
      <c r="R374" s="297">
        <v>0.0</v>
      </c>
      <c r="S374" s="297"/>
      <c r="T374" s="297" t="s">
        <v>719</v>
      </c>
    </row>
    <row r="375">
      <c r="B375" s="291"/>
      <c r="C375" s="291"/>
      <c r="D375" s="181"/>
      <c r="E375" s="292"/>
      <c r="F375" s="292"/>
      <c r="G375" s="293"/>
      <c r="H375" s="294"/>
      <c r="I375" s="295"/>
      <c r="J375" s="296"/>
      <c r="K375" s="297"/>
      <c r="L375" s="297"/>
      <c r="M375" s="297"/>
      <c r="N375" s="297"/>
      <c r="O375" s="298"/>
      <c r="P375" s="298"/>
      <c r="Q375" s="297"/>
      <c r="R375" s="297">
        <v>0.0</v>
      </c>
      <c r="S375" s="297"/>
      <c r="T375" s="297" t="s">
        <v>719</v>
      </c>
    </row>
    <row r="376">
      <c r="B376" s="291"/>
      <c r="C376" s="291"/>
      <c r="D376" s="181"/>
      <c r="E376" s="292"/>
      <c r="F376" s="292"/>
      <c r="G376" s="293"/>
      <c r="H376" s="294"/>
      <c r="I376" s="295"/>
      <c r="J376" s="296"/>
      <c r="K376" s="297"/>
      <c r="L376" s="297"/>
      <c r="M376" s="297"/>
      <c r="N376" s="297"/>
      <c r="O376" s="298"/>
      <c r="P376" s="298"/>
      <c r="Q376" s="297"/>
      <c r="R376" s="297">
        <v>0.0</v>
      </c>
      <c r="S376" s="297"/>
      <c r="T376" s="297" t="s">
        <v>719</v>
      </c>
    </row>
    <row r="377">
      <c r="B377" s="291"/>
      <c r="C377" s="291"/>
      <c r="D377" s="181"/>
      <c r="E377" s="292"/>
      <c r="F377" s="292"/>
      <c r="G377" s="293"/>
      <c r="H377" s="294"/>
      <c r="I377" s="295"/>
      <c r="J377" s="296"/>
      <c r="K377" s="297"/>
      <c r="L377" s="297"/>
      <c r="M377" s="297"/>
      <c r="N377" s="297"/>
      <c r="O377" s="298"/>
      <c r="P377" s="298"/>
      <c r="Q377" s="297"/>
      <c r="R377" s="297">
        <v>0.0</v>
      </c>
      <c r="S377" s="297"/>
      <c r="T377" s="297" t="s">
        <v>719</v>
      </c>
    </row>
    <row r="378">
      <c r="B378" s="291"/>
      <c r="C378" s="291"/>
      <c r="D378" s="181"/>
      <c r="E378" s="292"/>
      <c r="F378" s="292"/>
      <c r="G378" s="293"/>
      <c r="H378" s="294"/>
      <c r="I378" s="295"/>
      <c r="J378" s="296"/>
      <c r="K378" s="297"/>
      <c r="L378" s="297"/>
      <c r="M378" s="297"/>
      <c r="N378" s="297"/>
      <c r="O378" s="298"/>
      <c r="P378" s="298"/>
      <c r="Q378" s="297"/>
      <c r="R378" s="297">
        <v>0.0</v>
      </c>
      <c r="S378" s="297"/>
      <c r="T378" s="297" t="s">
        <v>719</v>
      </c>
    </row>
    <row r="379">
      <c r="B379" s="291"/>
      <c r="C379" s="291"/>
      <c r="D379" s="181"/>
      <c r="E379" s="292"/>
      <c r="F379" s="292"/>
      <c r="G379" s="293"/>
      <c r="H379" s="294"/>
      <c r="I379" s="295"/>
      <c r="J379" s="296"/>
      <c r="K379" s="297"/>
      <c r="L379" s="297"/>
      <c r="M379" s="297"/>
      <c r="N379" s="297"/>
      <c r="O379" s="298"/>
      <c r="P379" s="298"/>
      <c r="Q379" s="297"/>
      <c r="R379" s="297">
        <v>0.0</v>
      </c>
      <c r="S379" s="297"/>
      <c r="T379" s="297" t="s">
        <v>719</v>
      </c>
    </row>
    <row r="380">
      <c r="B380" s="291"/>
      <c r="C380" s="291"/>
      <c r="D380" s="181"/>
      <c r="E380" s="292"/>
      <c r="F380" s="292"/>
      <c r="G380" s="293"/>
      <c r="H380" s="294"/>
      <c r="I380" s="295"/>
      <c r="J380" s="296"/>
      <c r="K380" s="297"/>
      <c r="L380" s="297"/>
      <c r="M380" s="297"/>
      <c r="N380" s="297"/>
      <c r="O380" s="298"/>
      <c r="P380" s="298"/>
      <c r="Q380" s="297"/>
      <c r="R380" s="297">
        <v>0.0</v>
      </c>
      <c r="S380" s="297"/>
      <c r="T380" s="297" t="s">
        <v>719</v>
      </c>
    </row>
    <row r="381">
      <c r="B381" s="291"/>
      <c r="C381" s="291"/>
      <c r="D381" s="181"/>
      <c r="E381" s="292"/>
      <c r="F381" s="292"/>
      <c r="G381" s="293"/>
      <c r="H381" s="294"/>
      <c r="I381" s="295"/>
      <c r="J381" s="296"/>
      <c r="K381" s="297"/>
      <c r="L381" s="297"/>
      <c r="M381" s="297"/>
      <c r="N381" s="297"/>
      <c r="O381" s="298"/>
      <c r="P381" s="298"/>
      <c r="Q381" s="297"/>
      <c r="R381" s="297">
        <v>0.0</v>
      </c>
      <c r="S381" s="297"/>
      <c r="T381" s="297" t="s">
        <v>719</v>
      </c>
    </row>
    <row r="382">
      <c r="B382" s="291"/>
      <c r="C382" s="291"/>
      <c r="D382" s="181"/>
      <c r="E382" s="292"/>
      <c r="F382" s="292"/>
      <c r="G382" s="293"/>
      <c r="H382" s="294"/>
      <c r="I382" s="295"/>
      <c r="J382" s="296"/>
      <c r="K382" s="297"/>
      <c r="L382" s="297"/>
      <c r="M382" s="297"/>
      <c r="N382" s="297"/>
      <c r="O382" s="298"/>
      <c r="P382" s="298"/>
      <c r="Q382" s="297"/>
      <c r="R382" s="297">
        <v>0.0</v>
      </c>
      <c r="S382" s="297"/>
      <c r="T382" s="297" t="s">
        <v>719</v>
      </c>
    </row>
    <row r="383">
      <c r="B383" s="291"/>
      <c r="C383" s="291"/>
      <c r="D383" s="181"/>
      <c r="E383" s="292"/>
      <c r="F383" s="292"/>
      <c r="G383" s="293"/>
      <c r="H383" s="294"/>
      <c r="I383" s="295"/>
      <c r="J383" s="296"/>
      <c r="K383" s="297"/>
      <c r="L383" s="297"/>
      <c r="M383" s="297"/>
      <c r="N383" s="297"/>
      <c r="O383" s="298"/>
      <c r="P383" s="298"/>
      <c r="Q383" s="297"/>
      <c r="R383" s="297">
        <v>0.0</v>
      </c>
      <c r="S383" s="297"/>
      <c r="T383" s="297" t="s">
        <v>719</v>
      </c>
    </row>
    <row r="384">
      <c r="B384" s="291"/>
      <c r="C384" s="291"/>
      <c r="D384" s="181"/>
      <c r="E384" s="292"/>
      <c r="F384" s="292"/>
      <c r="G384" s="293"/>
      <c r="H384" s="294"/>
      <c r="I384" s="295"/>
      <c r="J384" s="296"/>
      <c r="K384" s="297"/>
      <c r="L384" s="297"/>
      <c r="M384" s="297"/>
      <c r="N384" s="297"/>
      <c r="O384" s="298"/>
      <c r="P384" s="298"/>
      <c r="Q384" s="297"/>
      <c r="R384" s="297">
        <v>0.0</v>
      </c>
      <c r="S384" s="297"/>
      <c r="T384" s="297" t="s">
        <v>719</v>
      </c>
    </row>
    <row r="385">
      <c r="B385" s="291"/>
      <c r="C385" s="291"/>
      <c r="D385" s="181"/>
      <c r="E385" s="292"/>
      <c r="F385" s="292"/>
      <c r="G385" s="293"/>
      <c r="H385" s="294"/>
      <c r="I385" s="295"/>
      <c r="J385" s="296"/>
      <c r="K385" s="297"/>
      <c r="L385" s="297"/>
      <c r="M385" s="297"/>
      <c r="N385" s="297"/>
      <c r="O385" s="298"/>
      <c r="P385" s="298"/>
      <c r="Q385" s="297"/>
      <c r="R385" s="297">
        <v>0.0</v>
      </c>
      <c r="S385" s="297"/>
      <c r="T385" s="297" t="s">
        <v>719</v>
      </c>
    </row>
    <row r="386">
      <c r="B386" s="291"/>
      <c r="C386" s="291"/>
      <c r="D386" s="181"/>
      <c r="E386" s="292"/>
      <c r="F386" s="292"/>
      <c r="G386" s="293"/>
      <c r="H386" s="294"/>
      <c r="I386" s="295"/>
      <c r="J386" s="296"/>
      <c r="K386" s="297"/>
      <c r="L386" s="297"/>
      <c r="M386" s="297"/>
      <c r="N386" s="297"/>
      <c r="O386" s="298"/>
      <c r="P386" s="298"/>
      <c r="Q386" s="297"/>
      <c r="R386" s="297">
        <v>0.0</v>
      </c>
      <c r="S386" s="297"/>
      <c r="T386" s="297" t="s">
        <v>719</v>
      </c>
    </row>
    <row r="387">
      <c r="B387" s="291"/>
      <c r="C387" s="291"/>
      <c r="D387" s="181"/>
      <c r="E387" s="292"/>
      <c r="F387" s="292"/>
      <c r="G387" s="293"/>
      <c r="H387" s="294"/>
      <c r="I387" s="295"/>
      <c r="J387" s="296"/>
      <c r="K387" s="297"/>
      <c r="L387" s="297"/>
      <c r="M387" s="297"/>
      <c r="N387" s="297"/>
      <c r="O387" s="298"/>
      <c r="P387" s="298"/>
      <c r="Q387" s="297"/>
      <c r="R387" s="297">
        <v>0.0</v>
      </c>
      <c r="S387" s="297"/>
      <c r="T387" s="297" t="s">
        <v>719</v>
      </c>
    </row>
    <row r="388">
      <c r="B388" s="291"/>
      <c r="C388" s="291"/>
      <c r="D388" s="181"/>
      <c r="E388" s="292"/>
      <c r="F388" s="292"/>
      <c r="G388" s="293"/>
      <c r="H388" s="294"/>
      <c r="I388" s="295"/>
      <c r="J388" s="296"/>
      <c r="K388" s="297"/>
      <c r="L388" s="297"/>
      <c r="M388" s="297"/>
      <c r="N388" s="297"/>
      <c r="O388" s="298"/>
      <c r="P388" s="298"/>
      <c r="Q388" s="297"/>
      <c r="R388" s="297">
        <v>0.0</v>
      </c>
      <c r="S388" s="297"/>
      <c r="T388" s="297" t="s">
        <v>719</v>
      </c>
    </row>
    <row r="389">
      <c r="B389" s="291"/>
      <c r="C389" s="291"/>
      <c r="D389" s="181"/>
      <c r="E389" s="292"/>
      <c r="F389" s="292"/>
      <c r="G389" s="293"/>
      <c r="H389" s="294"/>
      <c r="I389" s="295"/>
      <c r="J389" s="296"/>
      <c r="K389" s="297"/>
      <c r="L389" s="297"/>
      <c r="M389" s="297"/>
      <c r="N389" s="297"/>
      <c r="O389" s="298"/>
      <c r="P389" s="298"/>
      <c r="Q389" s="297"/>
      <c r="R389" s="297">
        <v>0.0</v>
      </c>
      <c r="S389" s="297"/>
      <c r="T389" s="297" t="s">
        <v>719</v>
      </c>
    </row>
    <row r="390">
      <c r="B390" s="291"/>
      <c r="C390" s="291"/>
      <c r="D390" s="181"/>
      <c r="E390" s="292"/>
      <c r="F390" s="292"/>
      <c r="G390" s="293"/>
      <c r="H390" s="294"/>
      <c r="I390" s="295"/>
      <c r="J390" s="296"/>
      <c r="K390" s="297"/>
      <c r="L390" s="297"/>
      <c r="M390" s="297"/>
      <c r="N390" s="297"/>
      <c r="O390" s="298"/>
      <c r="P390" s="298"/>
      <c r="Q390" s="297"/>
      <c r="R390" s="297">
        <v>0.0</v>
      </c>
      <c r="S390" s="297"/>
      <c r="T390" s="297" t="s">
        <v>719</v>
      </c>
    </row>
    <row r="391">
      <c r="B391" s="291"/>
      <c r="C391" s="291"/>
      <c r="D391" s="181"/>
      <c r="E391" s="292"/>
      <c r="F391" s="292"/>
      <c r="G391" s="293"/>
      <c r="H391" s="294"/>
      <c r="I391" s="295"/>
      <c r="J391" s="296"/>
      <c r="K391" s="297"/>
      <c r="L391" s="297"/>
      <c r="M391" s="297"/>
      <c r="N391" s="297"/>
      <c r="O391" s="298"/>
      <c r="P391" s="298"/>
      <c r="Q391" s="297"/>
      <c r="R391" s="297">
        <v>0.0</v>
      </c>
      <c r="S391" s="297"/>
      <c r="T391" s="297" t="s">
        <v>719</v>
      </c>
    </row>
    <row r="392">
      <c r="B392" s="291"/>
      <c r="C392" s="291"/>
      <c r="D392" s="181"/>
      <c r="E392" s="292"/>
      <c r="F392" s="292"/>
      <c r="G392" s="293"/>
      <c r="H392" s="294"/>
      <c r="I392" s="295"/>
      <c r="J392" s="296"/>
      <c r="K392" s="297"/>
      <c r="L392" s="297"/>
      <c r="M392" s="297"/>
      <c r="N392" s="297"/>
      <c r="O392" s="298"/>
      <c r="P392" s="298"/>
      <c r="Q392" s="297"/>
      <c r="R392" s="297">
        <v>0.0</v>
      </c>
      <c r="S392" s="297"/>
      <c r="T392" s="297" t="s">
        <v>719</v>
      </c>
    </row>
    <row r="393">
      <c r="B393" s="291"/>
      <c r="C393" s="291"/>
      <c r="D393" s="181"/>
      <c r="E393" s="292"/>
      <c r="F393" s="292"/>
      <c r="G393" s="293"/>
      <c r="H393" s="294"/>
      <c r="I393" s="295"/>
      <c r="J393" s="296"/>
      <c r="K393" s="297"/>
      <c r="L393" s="297"/>
      <c r="M393" s="297"/>
      <c r="N393" s="297"/>
      <c r="O393" s="298"/>
      <c r="P393" s="298"/>
      <c r="Q393" s="297"/>
      <c r="R393" s="297">
        <v>0.0</v>
      </c>
      <c r="S393" s="297"/>
      <c r="T393" s="297" t="s">
        <v>719</v>
      </c>
    </row>
    <row r="394">
      <c r="B394" s="291"/>
      <c r="C394" s="291"/>
      <c r="D394" s="181"/>
      <c r="E394" s="292"/>
      <c r="F394" s="292"/>
      <c r="G394" s="293"/>
      <c r="H394" s="294"/>
      <c r="I394" s="295"/>
      <c r="J394" s="296"/>
      <c r="K394" s="297"/>
      <c r="L394" s="297"/>
      <c r="M394" s="297"/>
      <c r="N394" s="297"/>
      <c r="O394" s="298"/>
      <c r="P394" s="298"/>
      <c r="Q394" s="297"/>
      <c r="R394" s="297">
        <v>0.0</v>
      </c>
      <c r="S394" s="297"/>
      <c r="T394" s="297" t="s">
        <v>719</v>
      </c>
    </row>
    <row r="395">
      <c r="B395" s="291"/>
      <c r="C395" s="291"/>
      <c r="D395" s="181"/>
      <c r="E395" s="292"/>
      <c r="F395" s="292"/>
      <c r="G395" s="293"/>
      <c r="H395" s="294"/>
      <c r="I395" s="295"/>
      <c r="J395" s="296"/>
      <c r="K395" s="297"/>
      <c r="L395" s="297"/>
      <c r="M395" s="297"/>
      <c r="N395" s="297"/>
      <c r="O395" s="298"/>
      <c r="P395" s="298"/>
      <c r="Q395" s="297"/>
      <c r="R395" s="297">
        <v>0.0</v>
      </c>
      <c r="S395" s="297"/>
      <c r="T395" s="297" t="s">
        <v>719</v>
      </c>
    </row>
    <row r="396">
      <c r="B396" s="291"/>
      <c r="C396" s="291"/>
      <c r="D396" s="181"/>
      <c r="E396" s="292"/>
      <c r="F396" s="292"/>
      <c r="G396" s="293"/>
      <c r="H396" s="294"/>
      <c r="I396" s="295"/>
      <c r="J396" s="296"/>
      <c r="K396" s="297"/>
      <c r="L396" s="297"/>
      <c r="M396" s="297"/>
      <c r="N396" s="297"/>
      <c r="O396" s="298"/>
      <c r="P396" s="298"/>
      <c r="Q396" s="297"/>
      <c r="R396" s="297">
        <v>0.0</v>
      </c>
      <c r="S396" s="297"/>
      <c r="T396" s="297" t="s">
        <v>719</v>
      </c>
    </row>
    <row r="397">
      <c r="B397" s="291"/>
      <c r="C397" s="291"/>
      <c r="D397" s="181"/>
      <c r="E397" s="292"/>
      <c r="F397" s="292"/>
      <c r="G397" s="293"/>
      <c r="H397" s="294"/>
      <c r="I397" s="295"/>
      <c r="J397" s="296"/>
      <c r="K397" s="297"/>
      <c r="L397" s="297"/>
      <c r="M397" s="297"/>
      <c r="N397" s="297"/>
      <c r="O397" s="298"/>
      <c r="P397" s="298"/>
      <c r="Q397" s="297"/>
      <c r="R397" s="297">
        <v>0.0</v>
      </c>
      <c r="S397" s="297"/>
      <c r="T397" s="297" t="s">
        <v>719</v>
      </c>
    </row>
    <row r="398">
      <c r="B398" s="291"/>
      <c r="C398" s="291"/>
      <c r="D398" s="181"/>
      <c r="E398" s="292"/>
      <c r="F398" s="292"/>
      <c r="G398" s="293"/>
      <c r="H398" s="294"/>
      <c r="I398" s="295"/>
      <c r="J398" s="296"/>
      <c r="K398" s="297"/>
      <c r="L398" s="297"/>
      <c r="M398" s="297"/>
      <c r="N398" s="297"/>
      <c r="O398" s="298"/>
      <c r="P398" s="298"/>
      <c r="Q398" s="297"/>
      <c r="R398" s="297">
        <v>0.0</v>
      </c>
      <c r="S398" s="297"/>
      <c r="T398" s="297" t="s">
        <v>719</v>
      </c>
    </row>
    <row r="399">
      <c r="B399" s="291"/>
      <c r="C399" s="291"/>
      <c r="D399" s="181"/>
      <c r="E399" s="292"/>
      <c r="F399" s="292"/>
      <c r="G399" s="293"/>
      <c r="H399" s="294"/>
      <c r="I399" s="295"/>
      <c r="J399" s="296"/>
      <c r="K399" s="297"/>
      <c r="L399" s="297"/>
      <c r="M399" s="297"/>
      <c r="N399" s="297"/>
      <c r="O399" s="298"/>
      <c r="P399" s="298"/>
      <c r="Q399" s="297"/>
      <c r="R399" s="297">
        <v>0.0</v>
      </c>
      <c r="S399" s="297"/>
      <c r="T399" s="297" t="s">
        <v>719</v>
      </c>
    </row>
    <row r="400">
      <c r="B400" s="291"/>
      <c r="C400" s="291"/>
      <c r="D400" s="181"/>
      <c r="E400" s="292"/>
      <c r="F400" s="292"/>
      <c r="G400" s="293"/>
      <c r="H400" s="294"/>
      <c r="I400" s="295"/>
      <c r="J400" s="296"/>
      <c r="K400" s="297"/>
      <c r="L400" s="297"/>
      <c r="M400" s="297"/>
      <c r="N400" s="297"/>
      <c r="O400" s="298"/>
      <c r="P400" s="298"/>
      <c r="Q400" s="297"/>
      <c r="R400" s="297">
        <v>0.0</v>
      </c>
      <c r="S400" s="297"/>
      <c r="T400" s="297" t="s">
        <v>719</v>
      </c>
    </row>
    <row r="401">
      <c r="B401" s="291"/>
      <c r="C401" s="291"/>
      <c r="D401" s="181"/>
      <c r="E401" s="292"/>
      <c r="F401" s="292"/>
      <c r="G401" s="293"/>
      <c r="H401" s="294"/>
      <c r="I401" s="295"/>
      <c r="J401" s="296"/>
      <c r="K401" s="297"/>
      <c r="L401" s="297"/>
      <c r="M401" s="297"/>
      <c r="N401" s="297"/>
      <c r="O401" s="298"/>
      <c r="P401" s="298"/>
      <c r="Q401" s="297"/>
      <c r="R401" s="297">
        <v>0.0</v>
      </c>
      <c r="S401" s="297"/>
      <c r="T401" s="297" t="s">
        <v>719</v>
      </c>
    </row>
    <row r="402">
      <c r="B402" s="291"/>
      <c r="C402" s="291"/>
      <c r="D402" s="181"/>
      <c r="E402" s="292"/>
      <c r="F402" s="292"/>
      <c r="G402" s="293"/>
      <c r="H402" s="294"/>
      <c r="I402" s="295"/>
      <c r="J402" s="296"/>
      <c r="K402" s="297"/>
      <c r="L402" s="297"/>
      <c r="M402" s="297"/>
      <c r="N402" s="297"/>
      <c r="O402" s="298"/>
      <c r="P402" s="298"/>
      <c r="Q402" s="297"/>
      <c r="R402" s="297">
        <v>0.0</v>
      </c>
      <c r="S402" s="297"/>
      <c r="T402" s="297" t="s">
        <v>719</v>
      </c>
    </row>
    <row r="403">
      <c r="B403" s="291"/>
      <c r="C403" s="291"/>
      <c r="D403" s="181"/>
      <c r="E403" s="292"/>
      <c r="F403" s="292"/>
      <c r="G403" s="293"/>
      <c r="H403" s="294"/>
      <c r="I403" s="295"/>
      <c r="J403" s="296"/>
      <c r="K403" s="297"/>
      <c r="L403" s="297"/>
      <c r="M403" s="297"/>
      <c r="N403" s="297"/>
      <c r="O403" s="298"/>
      <c r="P403" s="298"/>
      <c r="Q403" s="297"/>
      <c r="R403" s="297">
        <v>0.0</v>
      </c>
      <c r="S403" s="297"/>
      <c r="T403" s="297" t="s">
        <v>719</v>
      </c>
    </row>
    <row r="404">
      <c r="B404" s="291"/>
      <c r="C404" s="291"/>
      <c r="D404" s="181"/>
      <c r="E404" s="292"/>
      <c r="F404" s="292"/>
      <c r="G404" s="293"/>
      <c r="H404" s="294"/>
      <c r="I404" s="295"/>
      <c r="J404" s="296"/>
      <c r="K404" s="297"/>
      <c r="L404" s="297"/>
      <c r="M404" s="297"/>
      <c r="N404" s="297"/>
      <c r="O404" s="298"/>
      <c r="P404" s="298"/>
      <c r="Q404" s="297"/>
      <c r="R404" s="297">
        <v>0.0</v>
      </c>
      <c r="S404" s="297"/>
      <c r="T404" s="297" t="s">
        <v>719</v>
      </c>
    </row>
    <row r="405">
      <c r="B405" s="291"/>
      <c r="C405" s="291"/>
      <c r="D405" s="181"/>
      <c r="E405" s="292"/>
      <c r="F405" s="292"/>
      <c r="G405" s="293"/>
      <c r="H405" s="294"/>
      <c r="I405" s="295"/>
      <c r="J405" s="296"/>
      <c r="K405" s="297"/>
      <c r="L405" s="297"/>
      <c r="M405" s="297"/>
      <c r="N405" s="297"/>
      <c r="O405" s="298"/>
      <c r="P405" s="298"/>
      <c r="Q405" s="297"/>
      <c r="R405" s="297">
        <v>0.0</v>
      </c>
      <c r="S405" s="297"/>
      <c r="T405" s="297" t="s">
        <v>719</v>
      </c>
    </row>
    <row r="406">
      <c r="B406" s="291"/>
      <c r="C406" s="291"/>
      <c r="D406" s="181"/>
      <c r="E406" s="292"/>
      <c r="F406" s="292"/>
      <c r="G406" s="293"/>
      <c r="H406" s="294"/>
      <c r="I406" s="295"/>
      <c r="J406" s="296"/>
      <c r="K406" s="297"/>
      <c r="L406" s="297"/>
      <c r="M406" s="297"/>
      <c r="N406" s="297"/>
      <c r="O406" s="298"/>
      <c r="P406" s="298"/>
      <c r="Q406" s="297"/>
      <c r="R406" s="297">
        <v>0.0</v>
      </c>
      <c r="S406" s="297"/>
      <c r="T406" s="297" t="s">
        <v>719</v>
      </c>
    </row>
    <row r="407">
      <c r="B407" s="291"/>
      <c r="C407" s="291"/>
      <c r="D407" s="181"/>
      <c r="E407" s="292"/>
      <c r="F407" s="292"/>
      <c r="G407" s="293"/>
      <c r="H407" s="294"/>
      <c r="I407" s="295"/>
      <c r="J407" s="296"/>
      <c r="K407" s="297"/>
      <c r="L407" s="297"/>
      <c r="M407" s="297"/>
      <c r="N407" s="297"/>
      <c r="O407" s="298"/>
      <c r="P407" s="298"/>
      <c r="Q407" s="297"/>
      <c r="R407" s="297">
        <v>0.0</v>
      </c>
      <c r="S407" s="297"/>
      <c r="T407" s="297" t="s">
        <v>719</v>
      </c>
    </row>
    <row r="408">
      <c r="B408" s="291"/>
      <c r="C408" s="291"/>
      <c r="D408" s="181"/>
      <c r="E408" s="292"/>
      <c r="F408" s="292"/>
      <c r="G408" s="293"/>
      <c r="H408" s="294"/>
      <c r="I408" s="295"/>
      <c r="J408" s="296"/>
      <c r="K408" s="297"/>
      <c r="L408" s="297"/>
      <c r="M408" s="297"/>
      <c r="N408" s="297"/>
      <c r="O408" s="298"/>
      <c r="P408" s="298"/>
      <c r="Q408" s="297"/>
      <c r="R408" s="297">
        <v>0.0</v>
      </c>
      <c r="S408" s="297"/>
      <c r="T408" s="297" t="s">
        <v>719</v>
      </c>
    </row>
    <row r="409">
      <c r="B409" s="291"/>
      <c r="C409" s="291"/>
      <c r="D409" s="181"/>
      <c r="E409" s="292"/>
      <c r="F409" s="292"/>
      <c r="G409" s="293"/>
      <c r="H409" s="294"/>
      <c r="I409" s="295"/>
      <c r="J409" s="296"/>
      <c r="K409" s="297"/>
      <c r="L409" s="297"/>
      <c r="M409" s="297"/>
      <c r="N409" s="297"/>
      <c r="O409" s="298"/>
      <c r="P409" s="298"/>
      <c r="Q409" s="297"/>
      <c r="R409" s="297">
        <v>0.0</v>
      </c>
      <c r="S409" s="297"/>
      <c r="T409" s="297" t="s">
        <v>719</v>
      </c>
    </row>
    <row r="410">
      <c r="B410" s="291"/>
      <c r="C410" s="291"/>
      <c r="D410" s="181"/>
      <c r="E410" s="292"/>
      <c r="F410" s="292"/>
      <c r="G410" s="293"/>
      <c r="H410" s="294"/>
      <c r="I410" s="295"/>
      <c r="J410" s="296"/>
      <c r="K410" s="297"/>
      <c r="L410" s="297"/>
      <c r="M410" s="297"/>
      <c r="N410" s="297"/>
      <c r="O410" s="298"/>
      <c r="P410" s="298"/>
      <c r="Q410" s="297"/>
      <c r="R410" s="297">
        <v>0.0</v>
      </c>
      <c r="S410" s="297"/>
      <c r="T410" s="297" t="s">
        <v>719</v>
      </c>
    </row>
    <row r="411">
      <c r="B411" s="291"/>
      <c r="C411" s="291"/>
      <c r="D411" s="181"/>
      <c r="E411" s="292"/>
      <c r="F411" s="292"/>
      <c r="G411" s="293"/>
      <c r="H411" s="294"/>
      <c r="I411" s="295"/>
      <c r="J411" s="296"/>
      <c r="K411" s="297"/>
      <c r="L411" s="297"/>
      <c r="M411" s="297"/>
      <c r="N411" s="297"/>
      <c r="O411" s="298"/>
      <c r="P411" s="298"/>
      <c r="Q411" s="297"/>
      <c r="R411" s="297">
        <v>0.0</v>
      </c>
      <c r="S411" s="297"/>
      <c r="T411" s="297" t="s">
        <v>719</v>
      </c>
    </row>
    <row r="412">
      <c r="B412" s="291"/>
      <c r="C412" s="291"/>
      <c r="D412" s="181"/>
      <c r="E412" s="292"/>
      <c r="F412" s="292"/>
      <c r="G412" s="293"/>
      <c r="H412" s="294"/>
      <c r="I412" s="295"/>
      <c r="J412" s="296"/>
      <c r="K412" s="297"/>
      <c r="L412" s="297"/>
      <c r="M412" s="297"/>
      <c r="N412" s="297"/>
      <c r="O412" s="298"/>
      <c r="P412" s="298"/>
      <c r="Q412" s="297"/>
      <c r="R412" s="297">
        <v>0.0</v>
      </c>
      <c r="S412" s="297"/>
      <c r="T412" s="297" t="s">
        <v>719</v>
      </c>
    </row>
    <row r="413">
      <c r="B413" s="291"/>
      <c r="C413" s="291"/>
      <c r="D413" s="181"/>
      <c r="E413" s="292"/>
      <c r="F413" s="292"/>
      <c r="G413" s="293"/>
      <c r="H413" s="294"/>
      <c r="I413" s="295"/>
      <c r="J413" s="296"/>
      <c r="K413" s="297"/>
      <c r="L413" s="297"/>
      <c r="M413" s="297"/>
      <c r="N413" s="297"/>
      <c r="O413" s="298"/>
      <c r="P413" s="298"/>
      <c r="Q413" s="297"/>
      <c r="R413" s="297">
        <v>0.0</v>
      </c>
      <c r="S413" s="297"/>
      <c r="T413" s="297" t="s">
        <v>719</v>
      </c>
    </row>
    <row r="414">
      <c r="B414" s="291"/>
      <c r="C414" s="291"/>
      <c r="D414" s="181"/>
      <c r="E414" s="292"/>
      <c r="F414" s="292"/>
      <c r="G414" s="293"/>
      <c r="H414" s="294"/>
      <c r="I414" s="295"/>
      <c r="J414" s="296"/>
      <c r="K414" s="297"/>
      <c r="L414" s="297"/>
      <c r="M414" s="297"/>
      <c r="N414" s="297"/>
      <c r="O414" s="298"/>
      <c r="P414" s="298"/>
      <c r="Q414" s="297"/>
      <c r="R414" s="297">
        <v>0.0</v>
      </c>
      <c r="S414" s="297"/>
      <c r="T414" s="297" t="s">
        <v>719</v>
      </c>
    </row>
    <row r="415">
      <c r="B415" s="291"/>
      <c r="C415" s="291"/>
      <c r="D415" s="181"/>
      <c r="E415" s="292"/>
      <c r="F415" s="292"/>
      <c r="G415" s="293"/>
      <c r="H415" s="294"/>
      <c r="I415" s="295"/>
      <c r="J415" s="296"/>
      <c r="K415" s="297"/>
      <c r="L415" s="297"/>
      <c r="M415" s="297"/>
      <c r="N415" s="297"/>
      <c r="O415" s="298"/>
      <c r="P415" s="298"/>
      <c r="Q415" s="297"/>
      <c r="R415" s="297">
        <v>0.0</v>
      </c>
      <c r="S415" s="297"/>
      <c r="T415" s="297" t="s">
        <v>719</v>
      </c>
    </row>
    <row r="416">
      <c r="B416" s="291"/>
      <c r="C416" s="291"/>
      <c r="D416" s="181"/>
      <c r="E416" s="292"/>
      <c r="F416" s="292"/>
      <c r="G416" s="293"/>
      <c r="H416" s="294"/>
      <c r="I416" s="295"/>
      <c r="J416" s="296"/>
      <c r="K416" s="297"/>
      <c r="L416" s="297"/>
      <c r="M416" s="297"/>
      <c r="N416" s="297"/>
      <c r="O416" s="298"/>
      <c r="P416" s="298"/>
      <c r="Q416" s="297"/>
      <c r="R416" s="297">
        <v>0.0</v>
      </c>
      <c r="S416" s="297"/>
      <c r="T416" s="297" t="s">
        <v>719</v>
      </c>
    </row>
    <row r="417">
      <c r="B417" s="291"/>
      <c r="C417" s="291"/>
      <c r="D417" s="181"/>
      <c r="E417" s="292"/>
      <c r="F417" s="292"/>
      <c r="G417" s="293"/>
      <c r="H417" s="294"/>
      <c r="I417" s="295"/>
      <c r="J417" s="296"/>
      <c r="K417" s="297"/>
      <c r="L417" s="297"/>
      <c r="M417" s="297"/>
      <c r="N417" s="297"/>
      <c r="O417" s="298"/>
      <c r="P417" s="298"/>
      <c r="Q417" s="297"/>
      <c r="R417" s="297">
        <v>0.0</v>
      </c>
      <c r="S417" s="297"/>
      <c r="T417" s="297" t="s">
        <v>719</v>
      </c>
    </row>
    <row r="418">
      <c r="B418" s="291"/>
      <c r="C418" s="291"/>
      <c r="D418" s="181"/>
      <c r="E418" s="292"/>
      <c r="F418" s="292"/>
      <c r="G418" s="293"/>
      <c r="H418" s="294"/>
      <c r="I418" s="295"/>
      <c r="J418" s="296"/>
      <c r="K418" s="297"/>
      <c r="L418" s="297"/>
      <c r="M418" s="297"/>
      <c r="N418" s="297"/>
      <c r="O418" s="298"/>
      <c r="P418" s="298"/>
      <c r="Q418" s="297"/>
      <c r="R418" s="297">
        <v>0.0</v>
      </c>
      <c r="S418" s="297"/>
      <c r="T418" s="297" t="s">
        <v>719</v>
      </c>
    </row>
    <row r="419">
      <c r="B419" s="291"/>
      <c r="C419" s="291"/>
      <c r="D419" s="181"/>
      <c r="E419" s="292"/>
      <c r="F419" s="292"/>
      <c r="G419" s="293"/>
      <c r="H419" s="294"/>
      <c r="I419" s="295"/>
      <c r="J419" s="296"/>
      <c r="K419" s="297"/>
      <c r="L419" s="297"/>
      <c r="M419" s="297"/>
      <c r="N419" s="297"/>
      <c r="O419" s="298"/>
      <c r="P419" s="298"/>
      <c r="Q419" s="297"/>
      <c r="R419" s="297">
        <v>0.0</v>
      </c>
      <c r="S419" s="297"/>
      <c r="T419" s="297" t="s">
        <v>719</v>
      </c>
    </row>
    <row r="420">
      <c r="B420" s="291"/>
      <c r="C420" s="291"/>
      <c r="D420" s="181"/>
      <c r="E420" s="292"/>
      <c r="F420" s="292"/>
      <c r="G420" s="293"/>
      <c r="H420" s="294"/>
      <c r="I420" s="295"/>
      <c r="J420" s="296"/>
      <c r="K420" s="297"/>
      <c r="L420" s="297"/>
      <c r="M420" s="297"/>
      <c r="N420" s="297"/>
      <c r="O420" s="298"/>
      <c r="P420" s="298"/>
      <c r="Q420" s="297"/>
      <c r="R420" s="297">
        <v>0.0</v>
      </c>
      <c r="S420" s="297"/>
      <c r="T420" s="297" t="s">
        <v>719</v>
      </c>
    </row>
    <row r="421">
      <c r="B421" s="291"/>
      <c r="C421" s="291"/>
      <c r="D421" s="181"/>
      <c r="E421" s="292"/>
      <c r="F421" s="292"/>
      <c r="G421" s="293"/>
      <c r="H421" s="294"/>
      <c r="I421" s="295"/>
      <c r="J421" s="296"/>
      <c r="K421" s="297"/>
      <c r="L421" s="297"/>
      <c r="M421" s="297"/>
      <c r="N421" s="297"/>
      <c r="O421" s="298"/>
      <c r="P421" s="298"/>
      <c r="Q421" s="297"/>
      <c r="R421" s="297">
        <v>0.0</v>
      </c>
      <c r="S421" s="297"/>
      <c r="T421" s="297" t="s">
        <v>719</v>
      </c>
    </row>
    <row r="422">
      <c r="B422" s="291"/>
      <c r="C422" s="291"/>
      <c r="D422" s="181"/>
      <c r="E422" s="292"/>
      <c r="F422" s="292"/>
      <c r="G422" s="293"/>
      <c r="H422" s="294"/>
      <c r="I422" s="295"/>
      <c r="J422" s="296"/>
      <c r="K422" s="297"/>
      <c r="L422" s="297"/>
      <c r="M422" s="297"/>
      <c r="N422" s="297"/>
      <c r="O422" s="298"/>
      <c r="P422" s="298"/>
      <c r="Q422" s="297"/>
      <c r="R422" s="297">
        <v>0.0</v>
      </c>
      <c r="S422" s="297"/>
      <c r="T422" s="297" t="s">
        <v>719</v>
      </c>
    </row>
    <row r="423">
      <c r="B423" s="291"/>
      <c r="C423" s="291"/>
      <c r="D423" s="181"/>
      <c r="E423" s="292"/>
      <c r="F423" s="292"/>
      <c r="G423" s="293"/>
      <c r="H423" s="294"/>
      <c r="I423" s="295"/>
      <c r="J423" s="296"/>
      <c r="K423" s="297"/>
      <c r="L423" s="297"/>
      <c r="M423" s="297"/>
      <c r="N423" s="297"/>
      <c r="O423" s="298"/>
      <c r="P423" s="298"/>
      <c r="Q423" s="297"/>
      <c r="R423" s="297">
        <v>0.0</v>
      </c>
      <c r="S423" s="297"/>
      <c r="T423" s="297" t="s">
        <v>719</v>
      </c>
    </row>
    <row r="424">
      <c r="B424" s="291"/>
      <c r="C424" s="291"/>
      <c r="D424" s="181"/>
      <c r="E424" s="292"/>
      <c r="F424" s="292"/>
      <c r="G424" s="293"/>
      <c r="H424" s="294"/>
      <c r="I424" s="295"/>
      <c r="J424" s="296"/>
      <c r="K424" s="297"/>
      <c r="L424" s="297"/>
      <c r="M424" s="297"/>
      <c r="N424" s="297"/>
      <c r="O424" s="298"/>
      <c r="P424" s="298"/>
      <c r="Q424" s="297"/>
      <c r="R424" s="297">
        <v>0.0</v>
      </c>
      <c r="S424" s="297"/>
      <c r="T424" s="297" t="s">
        <v>719</v>
      </c>
    </row>
    <row r="425">
      <c r="B425" s="291"/>
      <c r="C425" s="291"/>
      <c r="D425" s="181"/>
      <c r="E425" s="292"/>
      <c r="F425" s="292"/>
      <c r="G425" s="293"/>
      <c r="H425" s="294"/>
      <c r="I425" s="295"/>
      <c r="J425" s="296"/>
      <c r="K425" s="297"/>
      <c r="L425" s="297"/>
      <c r="M425" s="297"/>
      <c r="N425" s="297"/>
      <c r="O425" s="298"/>
      <c r="P425" s="298"/>
      <c r="Q425" s="297"/>
      <c r="R425" s="297">
        <v>0.0</v>
      </c>
      <c r="S425" s="297"/>
      <c r="T425" s="297" t="s">
        <v>719</v>
      </c>
    </row>
    <row r="426">
      <c r="B426" s="291"/>
      <c r="C426" s="291"/>
      <c r="D426" s="181"/>
      <c r="E426" s="292"/>
      <c r="F426" s="292"/>
      <c r="G426" s="293"/>
      <c r="H426" s="294"/>
      <c r="I426" s="295"/>
      <c r="J426" s="296"/>
      <c r="K426" s="297"/>
      <c r="L426" s="297"/>
      <c r="M426" s="297"/>
      <c r="N426" s="297"/>
      <c r="O426" s="298"/>
      <c r="P426" s="298"/>
      <c r="Q426" s="297"/>
      <c r="R426" s="297">
        <v>0.0</v>
      </c>
      <c r="S426" s="297"/>
      <c r="T426" s="297" t="s">
        <v>719</v>
      </c>
    </row>
    <row r="427">
      <c r="B427" s="291"/>
      <c r="C427" s="291"/>
      <c r="D427" s="181"/>
      <c r="E427" s="292"/>
      <c r="F427" s="292"/>
      <c r="G427" s="293"/>
      <c r="H427" s="294"/>
      <c r="I427" s="295"/>
      <c r="J427" s="296"/>
      <c r="K427" s="297"/>
      <c r="L427" s="297"/>
      <c r="M427" s="297"/>
      <c r="N427" s="297"/>
      <c r="O427" s="298"/>
      <c r="P427" s="298"/>
      <c r="Q427" s="297"/>
      <c r="R427" s="297">
        <v>0.0</v>
      </c>
      <c r="S427" s="297"/>
      <c r="T427" s="297" t="s">
        <v>719</v>
      </c>
    </row>
    <row r="428">
      <c r="B428" s="291"/>
      <c r="C428" s="291"/>
      <c r="D428" s="181"/>
      <c r="E428" s="292"/>
      <c r="F428" s="292"/>
      <c r="G428" s="293"/>
      <c r="H428" s="294"/>
      <c r="I428" s="295"/>
      <c r="J428" s="296"/>
      <c r="K428" s="297"/>
      <c r="L428" s="297"/>
      <c r="M428" s="297"/>
      <c r="N428" s="297"/>
      <c r="O428" s="298"/>
      <c r="P428" s="298"/>
      <c r="Q428" s="297"/>
      <c r="R428" s="297">
        <v>0.0</v>
      </c>
      <c r="S428" s="297"/>
      <c r="T428" s="297" t="s">
        <v>719</v>
      </c>
    </row>
    <row r="429">
      <c r="B429" s="291"/>
      <c r="C429" s="291"/>
      <c r="D429" s="181"/>
      <c r="E429" s="292"/>
      <c r="F429" s="292"/>
      <c r="G429" s="293"/>
      <c r="H429" s="294"/>
      <c r="I429" s="295"/>
      <c r="J429" s="296"/>
      <c r="K429" s="297"/>
      <c r="L429" s="297"/>
      <c r="M429" s="297"/>
      <c r="N429" s="297"/>
      <c r="O429" s="298"/>
      <c r="P429" s="298"/>
      <c r="Q429" s="297"/>
      <c r="R429" s="297">
        <v>0.0</v>
      </c>
      <c r="S429" s="297"/>
      <c r="T429" s="297" t="s">
        <v>719</v>
      </c>
    </row>
    <row r="430">
      <c r="B430" s="291"/>
      <c r="C430" s="291"/>
      <c r="D430" s="181"/>
      <c r="E430" s="292"/>
      <c r="F430" s="292"/>
      <c r="G430" s="293"/>
      <c r="H430" s="294"/>
      <c r="I430" s="295"/>
      <c r="J430" s="296"/>
      <c r="K430" s="297"/>
      <c r="L430" s="297"/>
      <c r="M430" s="297"/>
      <c r="N430" s="297"/>
      <c r="O430" s="298"/>
      <c r="P430" s="298"/>
      <c r="Q430" s="297"/>
      <c r="R430" s="297">
        <v>0.0</v>
      </c>
      <c r="S430" s="297"/>
      <c r="T430" s="297" t="s">
        <v>719</v>
      </c>
    </row>
    <row r="431">
      <c r="B431" s="291"/>
      <c r="C431" s="291"/>
      <c r="D431" s="181"/>
      <c r="E431" s="292"/>
      <c r="F431" s="292"/>
      <c r="G431" s="293"/>
      <c r="H431" s="294"/>
      <c r="I431" s="295"/>
      <c r="J431" s="296"/>
      <c r="K431" s="297"/>
      <c r="L431" s="297"/>
      <c r="M431" s="297"/>
      <c r="N431" s="297"/>
      <c r="O431" s="298"/>
      <c r="P431" s="298"/>
      <c r="Q431" s="297"/>
      <c r="R431" s="297">
        <v>0.0</v>
      </c>
      <c r="S431" s="297"/>
      <c r="T431" s="297" t="s">
        <v>719</v>
      </c>
    </row>
    <row r="432">
      <c r="B432" s="291"/>
      <c r="C432" s="291"/>
      <c r="D432" s="181"/>
      <c r="E432" s="292"/>
      <c r="F432" s="292"/>
      <c r="G432" s="293"/>
      <c r="H432" s="294"/>
      <c r="I432" s="295"/>
      <c r="J432" s="296"/>
      <c r="K432" s="297"/>
      <c r="L432" s="297"/>
      <c r="M432" s="297"/>
      <c r="N432" s="297"/>
      <c r="O432" s="298"/>
      <c r="P432" s="298"/>
      <c r="Q432" s="297"/>
      <c r="R432" s="297">
        <v>0.0</v>
      </c>
      <c r="S432" s="297"/>
      <c r="T432" s="297" t="s">
        <v>719</v>
      </c>
    </row>
    <row r="433">
      <c r="B433" s="291"/>
      <c r="C433" s="291"/>
      <c r="D433" s="181"/>
      <c r="E433" s="292"/>
      <c r="F433" s="292"/>
      <c r="G433" s="293"/>
      <c r="H433" s="294"/>
      <c r="I433" s="295"/>
      <c r="J433" s="296"/>
      <c r="K433" s="297"/>
      <c r="L433" s="297"/>
      <c r="M433" s="297"/>
      <c r="N433" s="297"/>
      <c r="O433" s="298"/>
      <c r="P433" s="298"/>
      <c r="Q433" s="297"/>
      <c r="R433" s="297">
        <v>0.0</v>
      </c>
      <c r="S433" s="297"/>
      <c r="T433" s="297" t="s">
        <v>719</v>
      </c>
    </row>
    <row r="434">
      <c r="B434" s="291"/>
      <c r="C434" s="291"/>
      <c r="D434" s="181"/>
      <c r="E434" s="292"/>
      <c r="F434" s="292"/>
      <c r="G434" s="293"/>
      <c r="H434" s="294"/>
      <c r="I434" s="295"/>
      <c r="J434" s="296"/>
      <c r="K434" s="297"/>
      <c r="L434" s="297"/>
      <c r="M434" s="297"/>
      <c r="N434" s="297"/>
      <c r="O434" s="298"/>
      <c r="P434" s="298"/>
      <c r="Q434" s="297"/>
      <c r="R434" s="297">
        <v>0.0</v>
      </c>
      <c r="S434" s="297"/>
      <c r="T434" s="297" t="s">
        <v>719</v>
      </c>
    </row>
    <row r="435">
      <c r="B435" s="291"/>
      <c r="C435" s="291"/>
      <c r="D435" s="181"/>
      <c r="E435" s="292"/>
      <c r="F435" s="292"/>
      <c r="G435" s="293"/>
      <c r="H435" s="294"/>
      <c r="I435" s="295"/>
      <c r="J435" s="296"/>
      <c r="K435" s="297"/>
      <c r="L435" s="297"/>
      <c r="M435" s="297"/>
      <c r="N435" s="297"/>
      <c r="O435" s="298"/>
      <c r="P435" s="298"/>
      <c r="Q435" s="297"/>
      <c r="R435" s="297">
        <v>0.0</v>
      </c>
      <c r="S435" s="297"/>
      <c r="T435" s="297" t="s">
        <v>719</v>
      </c>
    </row>
    <row r="436">
      <c r="B436" s="291"/>
      <c r="C436" s="291"/>
      <c r="D436" s="181"/>
      <c r="E436" s="292"/>
      <c r="F436" s="292"/>
      <c r="G436" s="293"/>
      <c r="H436" s="294"/>
      <c r="I436" s="295"/>
      <c r="J436" s="296"/>
      <c r="K436" s="297"/>
      <c r="L436" s="297"/>
      <c r="M436" s="297"/>
      <c r="N436" s="297"/>
      <c r="O436" s="298"/>
      <c r="P436" s="298"/>
      <c r="Q436" s="297"/>
      <c r="R436" s="297">
        <v>0.0</v>
      </c>
      <c r="S436" s="297"/>
      <c r="T436" s="297" t="s">
        <v>719</v>
      </c>
    </row>
    <row r="437">
      <c r="B437" s="291"/>
      <c r="C437" s="291"/>
      <c r="D437" s="181"/>
      <c r="E437" s="292"/>
      <c r="F437" s="292"/>
      <c r="G437" s="293"/>
      <c r="H437" s="294"/>
      <c r="I437" s="295"/>
      <c r="J437" s="296"/>
      <c r="K437" s="297"/>
      <c r="L437" s="297"/>
      <c r="M437" s="297"/>
      <c r="N437" s="297"/>
      <c r="O437" s="298"/>
      <c r="P437" s="298"/>
      <c r="Q437" s="297"/>
      <c r="R437" s="297">
        <v>0.0</v>
      </c>
      <c r="S437" s="297"/>
      <c r="T437" s="297" t="s">
        <v>719</v>
      </c>
    </row>
    <row r="438">
      <c r="B438" s="291"/>
      <c r="C438" s="291"/>
      <c r="D438" s="181"/>
      <c r="E438" s="292"/>
      <c r="F438" s="292"/>
      <c r="G438" s="293"/>
      <c r="H438" s="294"/>
      <c r="I438" s="295"/>
      <c r="J438" s="296"/>
      <c r="K438" s="297"/>
      <c r="L438" s="297"/>
      <c r="M438" s="297"/>
      <c r="N438" s="297"/>
      <c r="O438" s="298"/>
      <c r="P438" s="298"/>
      <c r="Q438" s="297"/>
      <c r="R438" s="297">
        <v>0.0</v>
      </c>
      <c r="S438" s="297"/>
      <c r="T438" s="297" t="s">
        <v>719</v>
      </c>
    </row>
    <row r="439">
      <c r="B439" s="291"/>
      <c r="C439" s="291"/>
      <c r="D439" s="181"/>
      <c r="E439" s="292"/>
      <c r="F439" s="292"/>
      <c r="G439" s="293"/>
      <c r="H439" s="294"/>
      <c r="I439" s="295"/>
      <c r="J439" s="296"/>
      <c r="K439" s="297"/>
      <c r="L439" s="297"/>
      <c r="M439" s="297"/>
      <c r="N439" s="297"/>
      <c r="O439" s="298"/>
      <c r="P439" s="298"/>
      <c r="Q439" s="297"/>
      <c r="R439" s="297">
        <v>0.0</v>
      </c>
      <c r="S439" s="297"/>
      <c r="T439" s="297" t="s">
        <v>719</v>
      </c>
    </row>
    <row r="440">
      <c r="B440" s="291"/>
      <c r="C440" s="291"/>
      <c r="D440" s="181"/>
      <c r="E440" s="292"/>
      <c r="F440" s="292"/>
      <c r="G440" s="293"/>
      <c r="H440" s="294"/>
      <c r="I440" s="295"/>
      <c r="J440" s="296"/>
      <c r="K440" s="297"/>
      <c r="L440" s="297"/>
      <c r="M440" s="297"/>
      <c r="N440" s="297"/>
      <c r="O440" s="298"/>
      <c r="P440" s="298"/>
      <c r="Q440" s="297"/>
      <c r="R440" s="297">
        <v>0.0</v>
      </c>
      <c r="S440" s="297"/>
      <c r="T440" s="297" t="s">
        <v>719</v>
      </c>
    </row>
    <row r="441">
      <c r="B441" s="291"/>
      <c r="C441" s="291"/>
      <c r="D441" s="181"/>
      <c r="E441" s="292"/>
      <c r="F441" s="292"/>
      <c r="G441" s="293"/>
      <c r="H441" s="294"/>
      <c r="I441" s="295"/>
      <c r="J441" s="296"/>
      <c r="K441" s="297"/>
      <c r="L441" s="297"/>
      <c r="M441" s="297"/>
      <c r="N441" s="297"/>
      <c r="O441" s="298"/>
      <c r="P441" s="298"/>
      <c r="Q441" s="297"/>
      <c r="R441" s="297">
        <v>0.0</v>
      </c>
      <c r="S441" s="297"/>
      <c r="T441" s="297" t="s">
        <v>719</v>
      </c>
    </row>
    <row r="442">
      <c r="B442" s="291"/>
      <c r="C442" s="291"/>
      <c r="D442" s="181"/>
      <c r="E442" s="292"/>
      <c r="F442" s="292"/>
      <c r="G442" s="293"/>
      <c r="H442" s="294"/>
      <c r="I442" s="295"/>
      <c r="J442" s="296"/>
      <c r="K442" s="297"/>
      <c r="L442" s="297"/>
      <c r="M442" s="297"/>
      <c r="N442" s="297"/>
      <c r="O442" s="298"/>
      <c r="P442" s="298"/>
      <c r="Q442" s="297"/>
      <c r="R442" s="297">
        <v>0.0</v>
      </c>
      <c r="S442" s="297"/>
      <c r="T442" s="297" t="s">
        <v>719</v>
      </c>
    </row>
    <row r="443">
      <c r="B443" s="291"/>
      <c r="C443" s="291"/>
      <c r="D443" s="181"/>
      <c r="E443" s="292"/>
      <c r="F443" s="292"/>
      <c r="G443" s="293"/>
      <c r="H443" s="294"/>
      <c r="I443" s="295"/>
      <c r="J443" s="296"/>
      <c r="K443" s="297"/>
      <c r="L443" s="297"/>
      <c r="M443" s="297"/>
      <c r="N443" s="297"/>
      <c r="O443" s="298"/>
      <c r="P443" s="298"/>
      <c r="Q443" s="297"/>
      <c r="R443" s="297">
        <v>0.0</v>
      </c>
      <c r="S443" s="297"/>
      <c r="T443" s="297" t="s">
        <v>719</v>
      </c>
    </row>
    <row r="444">
      <c r="B444" s="291"/>
      <c r="C444" s="291"/>
      <c r="D444" s="181"/>
      <c r="E444" s="292"/>
      <c r="F444" s="292"/>
      <c r="G444" s="293"/>
      <c r="H444" s="294"/>
      <c r="I444" s="295"/>
      <c r="J444" s="296"/>
      <c r="K444" s="297"/>
      <c r="L444" s="297"/>
      <c r="M444" s="297"/>
      <c r="N444" s="297"/>
      <c r="O444" s="298"/>
      <c r="P444" s="298"/>
      <c r="Q444" s="297"/>
      <c r="R444" s="297">
        <v>0.0</v>
      </c>
      <c r="S444" s="297"/>
      <c r="T444" s="297" t="s">
        <v>719</v>
      </c>
    </row>
    <row r="445">
      <c r="B445" s="291"/>
      <c r="C445" s="291"/>
      <c r="D445" s="181"/>
      <c r="E445" s="292"/>
      <c r="F445" s="292"/>
      <c r="G445" s="293"/>
      <c r="H445" s="294"/>
      <c r="I445" s="295"/>
      <c r="J445" s="296"/>
      <c r="K445" s="297"/>
      <c r="L445" s="297"/>
      <c r="M445" s="297"/>
      <c r="N445" s="297"/>
      <c r="O445" s="298"/>
      <c r="P445" s="298"/>
      <c r="Q445" s="297"/>
      <c r="R445" s="297">
        <v>0.0</v>
      </c>
      <c r="S445" s="297"/>
      <c r="T445" s="297" t="s">
        <v>719</v>
      </c>
    </row>
    <row r="446">
      <c r="B446" s="291"/>
      <c r="C446" s="291"/>
      <c r="D446" s="181"/>
      <c r="E446" s="292"/>
      <c r="F446" s="292"/>
      <c r="G446" s="293"/>
      <c r="H446" s="294"/>
      <c r="I446" s="295"/>
      <c r="J446" s="296"/>
      <c r="K446" s="297"/>
      <c r="L446" s="297"/>
      <c r="M446" s="297"/>
      <c r="N446" s="297"/>
      <c r="O446" s="298"/>
      <c r="P446" s="298"/>
      <c r="Q446" s="297"/>
      <c r="R446" s="297">
        <v>0.0</v>
      </c>
      <c r="S446" s="297"/>
      <c r="T446" s="297" t="s">
        <v>719</v>
      </c>
    </row>
    <row r="447">
      <c r="B447" s="291"/>
      <c r="C447" s="291"/>
      <c r="D447" s="181"/>
      <c r="E447" s="292"/>
      <c r="F447" s="292"/>
      <c r="G447" s="293"/>
      <c r="H447" s="294"/>
      <c r="I447" s="295"/>
      <c r="J447" s="296"/>
      <c r="K447" s="297"/>
      <c r="L447" s="297"/>
      <c r="M447" s="297"/>
      <c r="N447" s="297"/>
      <c r="O447" s="298"/>
      <c r="P447" s="298"/>
      <c r="Q447" s="297"/>
      <c r="R447" s="297">
        <v>0.0</v>
      </c>
      <c r="S447" s="297"/>
      <c r="T447" s="297" t="s">
        <v>719</v>
      </c>
    </row>
    <row r="448">
      <c r="B448" s="291"/>
      <c r="C448" s="291"/>
      <c r="D448" s="181"/>
      <c r="E448" s="292"/>
      <c r="F448" s="292"/>
      <c r="G448" s="293"/>
      <c r="H448" s="294"/>
      <c r="I448" s="295"/>
      <c r="J448" s="296"/>
      <c r="K448" s="297"/>
      <c r="L448" s="297"/>
      <c r="M448" s="297"/>
      <c r="N448" s="297"/>
      <c r="O448" s="298"/>
      <c r="P448" s="298"/>
      <c r="Q448" s="297"/>
      <c r="R448" s="297">
        <v>0.0</v>
      </c>
      <c r="S448" s="297"/>
      <c r="T448" s="297" t="s">
        <v>719</v>
      </c>
    </row>
    <row r="449">
      <c r="B449" s="291"/>
      <c r="C449" s="291"/>
      <c r="D449" s="181"/>
      <c r="E449" s="292"/>
      <c r="F449" s="292"/>
      <c r="G449" s="293"/>
      <c r="H449" s="294"/>
      <c r="I449" s="295"/>
      <c r="J449" s="296"/>
      <c r="K449" s="297"/>
      <c r="L449" s="297"/>
      <c r="M449" s="297"/>
      <c r="N449" s="297"/>
      <c r="O449" s="298"/>
      <c r="P449" s="298"/>
      <c r="Q449" s="297"/>
      <c r="R449" s="297">
        <v>0.0</v>
      </c>
      <c r="S449" s="297"/>
      <c r="T449" s="297" t="s">
        <v>719</v>
      </c>
    </row>
    <row r="450">
      <c r="B450" s="291"/>
      <c r="C450" s="291"/>
      <c r="D450" s="181"/>
      <c r="E450" s="292"/>
      <c r="F450" s="292"/>
      <c r="G450" s="293"/>
      <c r="H450" s="294"/>
      <c r="I450" s="295"/>
      <c r="J450" s="296"/>
      <c r="K450" s="297"/>
      <c r="L450" s="297"/>
      <c r="M450" s="297"/>
      <c r="N450" s="297"/>
      <c r="O450" s="298"/>
      <c r="P450" s="298"/>
      <c r="Q450" s="297"/>
      <c r="R450" s="297">
        <v>0.0</v>
      </c>
      <c r="S450" s="297"/>
      <c r="T450" s="297" t="s">
        <v>719</v>
      </c>
    </row>
    <row r="451">
      <c r="B451" s="291"/>
      <c r="C451" s="291"/>
      <c r="D451" s="181"/>
      <c r="E451" s="292"/>
      <c r="F451" s="292"/>
      <c r="G451" s="293"/>
      <c r="H451" s="294"/>
      <c r="I451" s="295"/>
      <c r="J451" s="296"/>
      <c r="K451" s="297"/>
      <c r="L451" s="297"/>
      <c r="M451" s="297"/>
      <c r="N451" s="297"/>
      <c r="O451" s="298"/>
      <c r="P451" s="298"/>
      <c r="Q451" s="297"/>
      <c r="R451" s="297">
        <v>0.0</v>
      </c>
      <c r="S451" s="297"/>
      <c r="T451" s="297" t="s">
        <v>719</v>
      </c>
    </row>
    <row r="452">
      <c r="B452" s="291"/>
      <c r="C452" s="291"/>
      <c r="D452" s="181"/>
      <c r="E452" s="292"/>
      <c r="F452" s="292"/>
      <c r="G452" s="293"/>
      <c r="H452" s="294"/>
      <c r="I452" s="295"/>
      <c r="J452" s="296"/>
      <c r="K452" s="297"/>
      <c r="L452" s="297"/>
      <c r="M452" s="297"/>
      <c r="N452" s="297"/>
      <c r="O452" s="298"/>
      <c r="P452" s="298"/>
      <c r="Q452" s="297"/>
      <c r="R452" s="297">
        <v>0.0</v>
      </c>
      <c r="S452" s="297"/>
      <c r="T452" s="297" t="s">
        <v>719</v>
      </c>
    </row>
    <row r="453">
      <c r="B453" s="291"/>
      <c r="C453" s="291"/>
      <c r="D453" s="181"/>
      <c r="E453" s="292"/>
      <c r="F453" s="292"/>
      <c r="G453" s="293"/>
      <c r="H453" s="294"/>
      <c r="I453" s="295"/>
      <c r="J453" s="296"/>
      <c r="K453" s="297"/>
      <c r="L453" s="297"/>
      <c r="M453" s="297"/>
      <c r="N453" s="297"/>
      <c r="O453" s="298"/>
      <c r="P453" s="298"/>
      <c r="Q453" s="297"/>
      <c r="R453" s="297">
        <v>0.0</v>
      </c>
      <c r="S453" s="297"/>
      <c r="T453" s="297" t="s">
        <v>719</v>
      </c>
    </row>
    <row r="454">
      <c r="B454" s="291"/>
      <c r="C454" s="291"/>
      <c r="D454" s="181"/>
      <c r="E454" s="292"/>
      <c r="F454" s="292"/>
      <c r="G454" s="293"/>
      <c r="H454" s="294"/>
      <c r="I454" s="295"/>
      <c r="J454" s="296"/>
      <c r="K454" s="297"/>
      <c r="L454" s="297"/>
      <c r="M454" s="297"/>
      <c r="N454" s="297"/>
      <c r="O454" s="298"/>
      <c r="P454" s="298"/>
      <c r="Q454" s="297"/>
      <c r="R454" s="297">
        <v>0.0</v>
      </c>
      <c r="S454" s="297"/>
      <c r="T454" s="297" t="s">
        <v>719</v>
      </c>
    </row>
    <row r="455">
      <c r="B455" s="291"/>
      <c r="C455" s="291"/>
      <c r="D455" s="181"/>
      <c r="E455" s="292"/>
      <c r="F455" s="292"/>
      <c r="G455" s="293"/>
      <c r="H455" s="294"/>
      <c r="I455" s="295"/>
      <c r="J455" s="296"/>
      <c r="K455" s="297"/>
      <c r="L455" s="297"/>
      <c r="M455" s="297"/>
      <c r="N455" s="297"/>
      <c r="O455" s="298"/>
      <c r="P455" s="298"/>
      <c r="Q455" s="297"/>
      <c r="R455" s="297">
        <v>0.0</v>
      </c>
      <c r="S455" s="297"/>
      <c r="T455" s="297" t="s">
        <v>719</v>
      </c>
    </row>
    <row r="456">
      <c r="B456" s="291"/>
      <c r="C456" s="291"/>
      <c r="D456" s="181"/>
      <c r="E456" s="292"/>
      <c r="F456" s="292"/>
      <c r="G456" s="293"/>
      <c r="H456" s="294"/>
      <c r="I456" s="295"/>
      <c r="J456" s="296"/>
      <c r="K456" s="297"/>
      <c r="L456" s="297"/>
      <c r="M456" s="297"/>
      <c r="N456" s="297"/>
      <c r="O456" s="298"/>
      <c r="P456" s="298"/>
      <c r="Q456" s="297"/>
      <c r="R456" s="297">
        <v>0.0</v>
      </c>
      <c r="S456" s="297"/>
      <c r="T456" s="297" t="s">
        <v>719</v>
      </c>
    </row>
    <row r="457">
      <c r="B457" s="291"/>
      <c r="C457" s="291"/>
      <c r="D457" s="181"/>
      <c r="E457" s="292"/>
      <c r="F457" s="292"/>
      <c r="G457" s="293"/>
      <c r="H457" s="294"/>
      <c r="I457" s="295"/>
      <c r="J457" s="296"/>
      <c r="K457" s="297"/>
      <c r="L457" s="297"/>
      <c r="M457" s="297"/>
      <c r="N457" s="297"/>
      <c r="O457" s="298"/>
      <c r="P457" s="298"/>
      <c r="Q457" s="297"/>
      <c r="R457" s="297">
        <v>0.0</v>
      </c>
      <c r="S457" s="297"/>
      <c r="T457" s="297" t="s">
        <v>719</v>
      </c>
    </row>
    <row r="458">
      <c r="B458" s="291"/>
      <c r="C458" s="291"/>
      <c r="D458" s="181"/>
      <c r="E458" s="292"/>
      <c r="F458" s="292"/>
      <c r="G458" s="293"/>
      <c r="H458" s="294"/>
      <c r="I458" s="295"/>
      <c r="J458" s="296"/>
      <c r="K458" s="297"/>
      <c r="L458" s="297"/>
      <c r="M458" s="297"/>
      <c r="N458" s="297"/>
      <c r="O458" s="298"/>
      <c r="P458" s="298"/>
      <c r="Q458" s="297"/>
      <c r="R458" s="297">
        <v>0.0</v>
      </c>
      <c r="S458" s="297"/>
      <c r="T458" s="297" t="s">
        <v>719</v>
      </c>
    </row>
    <row r="459">
      <c r="B459" s="291"/>
      <c r="C459" s="291"/>
      <c r="D459" s="181"/>
      <c r="E459" s="292"/>
      <c r="F459" s="292"/>
      <c r="G459" s="293"/>
      <c r="H459" s="294"/>
      <c r="I459" s="295"/>
      <c r="J459" s="296"/>
      <c r="K459" s="297"/>
      <c r="L459" s="297"/>
      <c r="M459" s="297"/>
      <c r="N459" s="297"/>
      <c r="O459" s="298"/>
      <c r="P459" s="298"/>
      <c r="Q459" s="297"/>
      <c r="R459" s="297">
        <v>0.0</v>
      </c>
      <c r="S459" s="297"/>
      <c r="T459" s="297" t="s">
        <v>719</v>
      </c>
    </row>
    <row r="460">
      <c r="B460" s="291"/>
      <c r="C460" s="291"/>
      <c r="D460" s="181"/>
      <c r="E460" s="292"/>
      <c r="F460" s="292"/>
      <c r="G460" s="293"/>
      <c r="H460" s="294"/>
      <c r="I460" s="295"/>
      <c r="J460" s="296"/>
      <c r="K460" s="297"/>
      <c r="L460" s="297"/>
      <c r="M460" s="297"/>
      <c r="N460" s="297"/>
      <c r="O460" s="298"/>
      <c r="P460" s="298"/>
      <c r="Q460" s="297"/>
      <c r="R460" s="297">
        <v>0.0</v>
      </c>
      <c r="S460" s="297"/>
      <c r="T460" s="297" t="s">
        <v>719</v>
      </c>
    </row>
    <row r="461">
      <c r="B461" s="291"/>
      <c r="C461" s="291"/>
      <c r="D461" s="181"/>
      <c r="E461" s="292"/>
      <c r="F461" s="292"/>
      <c r="G461" s="293"/>
      <c r="H461" s="294"/>
      <c r="I461" s="295"/>
      <c r="J461" s="296"/>
      <c r="K461" s="297"/>
      <c r="L461" s="297"/>
      <c r="M461" s="297"/>
      <c r="N461" s="297"/>
      <c r="O461" s="298"/>
      <c r="P461" s="298"/>
      <c r="Q461" s="297"/>
      <c r="R461" s="297">
        <v>0.0</v>
      </c>
      <c r="S461" s="297"/>
      <c r="T461" s="297" t="s">
        <v>719</v>
      </c>
    </row>
    <row r="462">
      <c r="B462" s="291"/>
      <c r="C462" s="291"/>
      <c r="D462" s="181"/>
      <c r="E462" s="292"/>
      <c r="F462" s="292"/>
      <c r="G462" s="293"/>
      <c r="H462" s="294"/>
      <c r="I462" s="295"/>
      <c r="J462" s="296"/>
      <c r="K462" s="297"/>
      <c r="L462" s="297"/>
      <c r="M462" s="297"/>
      <c r="N462" s="297"/>
      <c r="O462" s="298"/>
      <c r="P462" s="298"/>
      <c r="Q462" s="297"/>
      <c r="R462" s="297">
        <v>0.0</v>
      </c>
      <c r="S462" s="297"/>
      <c r="T462" s="297" t="s">
        <v>719</v>
      </c>
    </row>
    <row r="463">
      <c r="B463" s="291"/>
      <c r="C463" s="291"/>
      <c r="D463" s="181"/>
      <c r="E463" s="292"/>
      <c r="F463" s="292"/>
      <c r="G463" s="293"/>
      <c r="H463" s="294"/>
      <c r="I463" s="295"/>
      <c r="J463" s="296"/>
      <c r="K463" s="297"/>
      <c r="L463" s="297"/>
      <c r="M463" s="297"/>
      <c r="N463" s="297"/>
      <c r="O463" s="298"/>
      <c r="P463" s="298"/>
      <c r="Q463" s="297"/>
      <c r="R463" s="297">
        <v>0.0</v>
      </c>
      <c r="S463" s="297"/>
      <c r="T463" s="297" t="s">
        <v>719</v>
      </c>
    </row>
    <row r="464">
      <c r="B464" s="291"/>
      <c r="C464" s="291"/>
      <c r="D464" s="181"/>
      <c r="E464" s="292"/>
      <c r="F464" s="292"/>
      <c r="G464" s="293"/>
      <c r="H464" s="294"/>
      <c r="I464" s="295"/>
      <c r="J464" s="296"/>
      <c r="K464" s="297"/>
      <c r="L464" s="297"/>
      <c r="M464" s="297"/>
      <c r="N464" s="297"/>
      <c r="O464" s="298"/>
      <c r="P464" s="298"/>
      <c r="Q464" s="297"/>
      <c r="R464" s="297">
        <v>0.0</v>
      </c>
      <c r="S464" s="297"/>
      <c r="T464" s="297" t="s">
        <v>719</v>
      </c>
    </row>
    <row r="465">
      <c r="B465" s="291"/>
      <c r="C465" s="291"/>
      <c r="D465" s="181"/>
      <c r="E465" s="292"/>
      <c r="F465" s="292"/>
      <c r="G465" s="293"/>
      <c r="H465" s="294"/>
      <c r="I465" s="295"/>
      <c r="J465" s="296"/>
      <c r="K465" s="297"/>
      <c r="L465" s="297"/>
      <c r="M465" s="297"/>
      <c r="N465" s="297"/>
      <c r="O465" s="298"/>
      <c r="P465" s="298"/>
      <c r="Q465" s="297"/>
      <c r="R465" s="297">
        <v>0.0</v>
      </c>
      <c r="S465" s="297"/>
      <c r="T465" s="297" t="s">
        <v>719</v>
      </c>
    </row>
    <row r="466">
      <c r="B466" s="291"/>
      <c r="C466" s="291"/>
      <c r="D466" s="181"/>
      <c r="E466" s="292"/>
      <c r="F466" s="292"/>
      <c r="G466" s="293"/>
      <c r="H466" s="294"/>
      <c r="I466" s="295"/>
      <c r="J466" s="296"/>
      <c r="K466" s="297"/>
      <c r="L466" s="297"/>
      <c r="M466" s="297"/>
      <c r="N466" s="297"/>
      <c r="O466" s="298"/>
      <c r="P466" s="298"/>
      <c r="Q466" s="297"/>
      <c r="R466" s="297">
        <v>0.0</v>
      </c>
      <c r="S466" s="297"/>
      <c r="T466" s="297" t="s">
        <v>719</v>
      </c>
    </row>
    <row r="467">
      <c r="B467" s="291"/>
      <c r="C467" s="291"/>
      <c r="D467" s="181"/>
      <c r="E467" s="292"/>
      <c r="F467" s="292"/>
      <c r="G467" s="293"/>
      <c r="H467" s="294"/>
      <c r="I467" s="295"/>
      <c r="J467" s="296"/>
      <c r="K467" s="297"/>
      <c r="L467" s="297"/>
      <c r="M467" s="297"/>
      <c r="N467" s="297"/>
      <c r="O467" s="298"/>
      <c r="P467" s="298"/>
      <c r="Q467" s="297"/>
      <c r="R467" s="297">
        <v>0.0</v>
      </c>
      <c r="S467" s="297"/>
      <c r="T467" s="297" t="s">
        <v>719</v>
      </c>
    </row>
    <row r="468">
      <c r="B468" s="291"/>
      <c r="C468" s="291"/>
      <c r="D468" s="181"/>
      <c r="E468" s="292"/>
      <c r="F468" s="292"/>
      <c r="G468" s="293"/>
      <c r="H468" s="294"/>
      <c r="I468" s="295"/>
      <c r="J468" s="296"/>
      <c r="K468" s="297"/>
      <c r="L468" s="297"/>
      <c r="M468" s="297"/>
      <c r="N468" s="297"/>
      <c r="O468" s="298"/>
      <c r="P468" s="298"/>
      <c r="Q468" s="297"/>
      <c r="R468" s="297">
        <v>0.0</v>
      </c>
      <c r="S468" s="297"/>
      <c r="T468" s="297" t="s">
        <v>719</v>
      </c>
    </row>
    <row r="469">
      <c r="B469" s="291"/>
      <c r="C469" s="291"/>
      <c r="D469" s="181"/>
      <c r="E469" s="292"/>
      <c r="F469" s="292"/>
      <c r="G469" s="293"/>
      <c r="H469" s="294"/>
      <c r="I469" s="295"/>
      <c r="J469" s="296"/>
      <c r="K469" s="297"/>
      <c r="L469" s="297"/>
      <c r="M469" s="297"/>
      <c r="N469" s="297"/>
      <c r="O469" s="298"/>
      <c r="P469" s="298"/>
      <c r="Q469" s="297"/>
      <c r="R469" s="297">
        <v>0.0</v>
      </c>
      <c r="S469" s="297"/>
      <c r="T469" s="297" t="s">
        <v>719</v>
      </c>
    </row>
    <row r="470">
      <c r="B470" s="291"/>
      <c r="C470" s="291"/>
      <c r="D470" s="181"/>
      <c r="E470" s="292"/>
      <c r="F470" s="292"/>
      <c r="G470" s="293"/>
      <c r="H470" s="294"/>
      <c r="I470" s="295"/>
      <c r="J470" s="296"/>
      <c r="K470" s="297"/>
      <c r="L470" s="297"/>
      <c r="M470" s="297"/>
      <c r="N470" s="297"/>
      <c r="O470" s="298"/>
      <c r="P470" s="298"/>
      <c r="Q470" s="297"/>
      <c r="R470" s="297">
        <v>0.0</v>
      </c>
      <c r="S470" s="297"/>
      <c r="T470" s="297" t="s">
        <v>719</v>
      </c>
    </row>
    <row r="471">
      <c r="B471" s="291"/>
      <c r="C471" s="291"/>
      <c r="D471" s="181"/>
      <c r="E471" s="292"/>
      <c r="F471" s="292"/>
      <c r="G471" s="293"/>
      <c r="H471" s="294"/>
      <c r="I471" s="295"/>
      <c r="J471" s="296"/>
      <c r="K471" s="297"/>
      <c r="L471" s="297"/>
      <c r="M471" s="297"/>
      <c r="N471" s="297"/>
      <c r="O471" s="298"/>
      <c r="P471" s="298"/>
      <c r="Q471" s="297"/>
      <c r="R471" s="297">
        <v>0.0</v>
      </c>
      <c r="S471" s="297"/>
      <c r="T471" s="297" t="s">
        <v>719</v>
      </c>
    </row>
    <row r="472">
      <c r="B472" s="291"/>
      <c r="C472" s="291"/>
      <c r="D472" s="181"/>
      <c r="E472" s="292"/>
      <c r="F472" s="292"/>
      <c r="G472" s="293"/>
      <c r="H472" s="294"/>
      <c r="I472" s="295"/>
      <c r="J472" s="296"/>
      <c r="K472" s="297"/>
      <c r="L472" s="297"/>
      <c r="M472" s="297"/>
      <c r="N472" s="297"/>
      <c r="O472" s="298"/>
      <c r="P472" s="298"/>
      <c r="Q472" s="297"/>
      <c r="R472" s="297">
        <v>0.0</v>
      </c>
      <c r="S472" s="297"/>
      <c r="T472" s="297" t="s">
        <v>719</v>
      </c>
    </row>
    <row r="473">
      <c r="B473" s="291"/>
      <c r="C473" s="291"/>
      <c r="D473" s="181"/>
      <c r="E473" s="292"/>
      <c r="F473" s="292"/>
      <c r="G473" s="293"/>
      <c r="H473" s="294"/>
      <c r="I473" s="295"/>
      <c r="J473" s="296"/>
      <c r="K473" s="297"/>
      <c r="L473" s="297"/>
      <c r="M473" s="297"/>
      <c r="N473" s="297"/>
      <c r="O473" s="298"/>
      <c r="P473" s="298"/>
      <c r="Q473" s="297"/>
      <c r="R473" s="297">
        <v>0.0</v>
      </c>
      <c r="S473" s="297"/>
      <c r="T473" s="297" t="s">
        <v>719</v>
      </c>
    </row>
    <row r="474">
      <c r="B474" s="291"/>
      <c r="C474" s="291"/>
      <c r="D474" s="181"/>
      <c r="E474" s="292"/>
      <c r="F474" s="292"/>
      <c r="G474" s="293"/>
      <c r="H474" s="294"/>
      <c r="I474" s="295"/>
      <c r="J474" s="296"/>
      <c r="K474" s="297"/>
      <c r="L474" s="297"/>
      <c r="M474" s="297"/>
      <c r="N474" s="297"/>
      <c r="O474" s="298"/>
      <c r="P474" s="298"/>
      <c r="Q474" s="297"/>
      <c r="R474" s="297">
        <v>0.0</v>
      </c>
      <c r="S474" s="297"/>
      <c r="T474" s="297" t="s">
        <v>719</v>
      </c>
    </row>
    <row r="475">
      <c r="B475" s="291"/>
      <c r="C475" s="291"/>
      <c r="D475" s="181"/>
      <c r="E475" s="292"/>
      <c r="F475" s="292"/>
      <c r="G475" s="293"/>
      <c r="H475" s="294"/>
      <c r="I475" s="295"/>
      <c r="J475" s="296"/>
      <c r="K475" s="297"/>
      <c r="L475" s="297"/>
      <c r="M475" s="297"/>
      <c r="N475" s="297"/>
      <c r="O475" s="298"/>
      <c r="P475" s="298"/>
      <c r="Q475" s="297"/>
      <c r="R475" s="297">
        <v>0.0</v>
      </c>
      <c r="S475" s="297"/>
      <c r="T475" s="297" t="s">
        <v>719</v>
      </c>
    </row>
    <row r="476">
      <c r="B476" s="291"/>
      <c r="C476" s="291"/>
      <c r="D476" s="181"/>
      <c r="E476" s="292"/>
      <c r="F476" s="292"/>
      <c r="G476" s="293"/>
      <c r="H476" s="294"/>
      <c r="I476" s="295"/>
      <c r="J476" s="296"/>
      <c r="K476" s="297"/>
      <c r="L476" s="297"/>
      <c r="M476" s="297"/>
      <c r="N476" s="297"/>
      <c r="O476" s="298"/>
      <c r="P476" s="298"/>
      <c r="Q476" s="297"/>
      <c r="R476" s="297">
        <v>0.0</v>
      </c>
      <c r="S476" s="297"/>
      <c r="T476" s="297" t="s">
        <v>719</v>
      </c>
    </row>
    <row r="477">
      <c r="B477" s="291"/>
      <c r="C477" s="291"/>
      <c r="D477" s="181"/>
      <c r="E477" s="292"/>
      <c r="F477" s="292"/>
      <c r="G477" s="293"/>
      <c r="H477" s="294"/>
      <c r="I477" s="295"/>
      <c r="J477" s="296"/>
      <c r="K477" s="297"/>
      <c r="L477" s="297"/>
      <c r="M477" s="297"/>
      <c r="N477" s="297"/>
      <c r="O477" s="298"/>
      <c r="P477" s="298"/>
      <c r="Q477" s="297"/>
      <c r="R477" s="297">
        <v>0.0</v>
      </c>
      <c r="S477" s="297"/>
      <c r="T477" s="297" t="s">
        <v>719</v>
      </c>
    </row>
    <row r="478">
      <c r="B478" s="291"/>
      <c r="C478" s="291"/>
      <c r="D478" s="181"/>
      <c r="E478" s="292"/>
      <c r="F478" s="292"/>
      <c r="G478" s="293"/>
      <c r="H478" s="294"/>
      <c r="I478" s="295"/>
      <c r="J478" s="296"/>
      <c r="K478" s="297"/>
      <c r="L478" s="297"/>
      <c r="M478" s="297"/>
      <c r="N478" s="297"/>
      <c r="O478" s="298"/>
      <c r="P478" s="298"/>
      <c r="Q478" s="297"/>
      <c r="R478" s="297">
        <v>0.0</v>
      </c>
      <c r="S478" s="297"/>
      <c r="T478" s="297" t="s">
        <v>719</v>
      </c>
    </row>
    <row r="479">
      <c r="B479" s="291"/>
      <c r="C479" s="291"/>
      <c r="D479" s="181"/>
      <c r="E479" s="292"/>
      <c r="F479" s="292"/>
      <c r="G479" s="293"/>
      <c r="H479" s="294"/>
      <c r="I479" s="295"/>
      <c r="J479" s="296"/>
      <c r="K479" s="297"/>
      <c r="L479" s="297"/>
      <c r="M479" s="297"/>
      <c r="N479" s="297"/>
      <c r="O479" s="298"/>
      <c r="P479" s="298"/>
      <c r="Q479" s="297"/>
      <c r="R479" s="297">
        <v>0.0</v>
      </c>
      <c r="S479" s="297"/>
      <c r="T479" s="297" t="s">
        <v>719</v>
      </c>
    </row>
    <row r="480">
      <c r="B480" s="291"/>
      <c r="C480" s="291"/>
      <c r="D480" s="181"/>
      <c r="E480" s="292"/>
      <c r="F480" s="292"/>
      <c r="G480" s="293"/>
      <c r="H480" s="294"/>
      <c r="I480" s="295"/>
      <c r="J480" s="296"/>
      <c r="K480" s="297"/>
      <c r="L480" s="297"/>
      <c r="M480" s="297"/>
      <c r="N480" s="297"/>
      <c r="O480" s="298"/>
      <c r="P480" s="298"/>
      <c r="Q480" s="297"/>
      <c r="R480" s="297">
        <v>0.0</v>
      </c>
      <c r="S480" s="297"/>
      <c r="T480" s="297" t="s">
        <v>719</v>
      </c>
    </row>
    <row r="481">
      <c r="B481" s="291"/>
      <c r="C481" s="291"/>
      <c r="D481" s="181"/>
      <c r="E481" s="292"/>
      <c r="F481" s="292"/>
      <c r="G481" s="293"/>
      <c r="H481" s="294"/>
      <c r="I481" s="295"/>
      <c r="J481" s="296"/>
      <c r="K481" s="297"/>
      <c r="L481" s="297"/>
      <c r="M481" s="297"/>
      <c r="N481" s="297"/>
      <c r="O481" s="298"/>
      <c r="P481" s="298"/>
      <c r="Q481" s="297"/>
      <c r="R481" s="297">
        <v>0.0</v>
      </c>
      <c r="S481" s="297"/>
      <c r="T481" s="297" t="s">
        <v>719</v>
      </c>
    </row>
    <row r="482">
      <c r="B482" s="291"/>
      <c r="C482" s="291"/>
      <c r="D482" s="181"/>
      <c r="E482" s="292"/>
      <c r="F482" s="292"/>
      <c r="G482" s="293"/>
      <c r="H482" s="294"/>
      <c r="I482" s="295"/>
      <c r="J482" s="296"/>
      <c r="K482" s="297"/>
      <c r="L482" s="297"/>
      <c r="M482" s="297"/>
      <c r="N482" s="297"/>
      <c r="O482" s="298"/>
      <c r="P482" s="298"/>
      <c r="Q482" s="297"/>
      <c r="R482" s="297">
        <v>0.0</v>
      </c>
      <c r="S482" s="297"/>
      <c r="T482" s="297" t="s">
        <v>719</v>
      </c>
    </row>
    <row r="483">
      <c r="B483" s="291"/>
      <c r="C483" s="291"/>
      <c r="D483" s="181"/>
      <c r="E483" s="292"/>
      <c r="F483" s="292"/>
      <c r="G483" s="293"/>
      <c r="H483" s="294"/>
      <c r="I483" s="295"/>
      <c r="J483" s="296"/>
      <c r="K483" s="297"/>
      <c r="L483" s="297"/>
      <c r="M483" s="297"/>
      <c r="N483" s="297"/>
      <c r="O483" s="298"/>
      <c r="P483" s="298"/>
      <c r="Q483" s="297"/>
      <c r="R483" s="297">
        <v>0.0</v>
      </c>
      <c r="S483" s="297"/>
      <c r="T483" s="297" t="s">
        <v>719</v>
      </c>
    </row>
    <row r="484">
      <c r="B484" s="291"/>
      <c r="C484" s="291"/>
      <c r="D484" s="181"/>
      <c r="E484" s="292"/>
      <c r="F484" s="292"/>
      <c r="G484" s="293"/>
      <c r="H484" s="294"/>
      <c r="I484" s="295"/>
      <c r="J484" s="296"/>
      <c r="K484" s="297"/>
      <c r="L484" s="297"/>
      <c r="M484" s="297"/>
      <c r="N484" s="297"/>
      <c r="O484" s="298"/>
      <c r="P484" s="298"/>
      <c r="Q484" s="297"/>
      <c r="R484" s="297">
        <v>0.0</v>
      </c>
      <c r="S484" s="297"/>
      <c r="T484" s="297" t="s">
        <v>719</v>
      </c>
    </row>
    <row r="485">
      <c r="B485" s="291"/>
      <c r="C485" s="291"/>
      <c r="D485" s="181"/>
      <c r="E485" s="292"/>
      <c r="F485" s="292"/>
      <c r="G485" s="293"/>
      <c r="H485" s="294"/>
      <c r="I485" s="295"/>
      <c r="J485" s="296"/>
      <c r="K485" s="297"/>
      <c r="L485" s="297"/>
      <c r="M485" s="297"/>
      <c r="N485" s="297"/>
      <c r="O485" s="298"/>
      <c r="P485" s="298"/>
      <c r="Q485" s="297"/>
      <c r="R485" s="297">
        <v>0.0</v>
      </c>
      <c r="S485" s="297"/>
      <c r="T485" s="297" t="s">
        <v>719</v>
      </c>
    </row>
    <row r="486">
      <c r="B486" s="291"/>
      <c r="C486" s="291"/>
      <c r="D486" s="181"/>
      <c r="E486" s="292"/>
      <c r="F486" s="292"/>
      <c r="G486" s="293"/>
      <c r="H486" s="294"/>
      <c r="I486" s="295"/>
      <c r="J486" s="296"/>
      <c r="K486" s="297"/>
      <c r="L486" s="297"/>
      <c r="M486" s="297"/>
      <c r="N486" s="297"/>
      <c r="O486" s="298"/>
      <c r="P486" s="298"/>
      <c r="Q486" s="297"/>
      <c r="R486" s="297">
        <v>0.0</v>
      </c>
      <c r="S486" s="297"/>
      <c r="T486" s="297" t="s">
        <v>719</v>
      </c>
    </row>
    <row r="487">
      <c r="B487" s="291"/>
      <c r="C487" s="291"/>
      <c r="D487" s="181"/>
      <c r="E487" s="292"/>
      <c r="F487" s="292"/>
      <c r="G487" s="293"/>
      <c r="H487" s="294"/>
      <c r="I487" s="295"/>
      <c r="J487" s="296"/>
      <c r="K487" s="297"/>
      <c r="L487" s="297"/>
      <c r="M487" s="297"/>
      <c r="N487" s="297"/>
      <c r="O487" s="298"/>
      <c r="P487" s="298"/>
      <c r="Q487" s="297"/>
      <c r="R487" s="297">
        <v>0.0</v>
      </c>
      <c r="S487" s="297"/>
      <c r="T487" s="297" t="s">
        <v>719</v>
      </c>
    </row>
    <row r="488">
      <c r="B488" s="291"/>
      <c r="C488" s="291"/>
      <c r="D488" s="181"/>
      <c r="E488" s="292"/>
      <c r="F488" s="292"/>
      <c r="G488" s="293"/>
      <c r="H488" s="294"/>
      <c r="I488" s="295"/>
      <c r="J488" s="296"/>
      <c r="K488" s="297"/>
      <c r="L488" s="297"/>
      <c r="M488" s="297"/>
      <c r="N488" s="297"/>
      <c r="O488" s="298"/>
      <c r="P488" s="298"/>
      <c r="Q488" s="297"/>
      <c r="R488" s="297">
        <v>0.0</v>
      </c>
      <c r="S488" s="297"/>
      <c r="T488" s="297" t="s">
        <v>719</v>
      </c>
    </row>
    <row r="489">
      <c r="B489" s="291"/>
      <c r="C489" s="291"/>
      <c r="D489" s="181"/>
      <c r="E489" s="292"/>
      <c r="F489" s="292"/>
      <c r="G489" s="293"/>
      <c r="H489" s="294"/>
      <c r="I489" s="295"/>
      <c r="J489" s="296"/>
      <c r="K489" s="297"/>
      <c r="L489" s="297"/>
      <c r="M489" s="297"/>
      <c r="N489" s="297"/>
      <c r="O489" s="298"/>
      <c r="P489" s="298"/>
      <c r="Q489" s="297"/>
      <c r="R489" s="297">
        <v>0.0</v>
      </c>
      <c r="S489" s="297"/>
      <c r="T489" s="297" t="s">
        <v>719</v>
      </c>
    </row>
    <row r="490">
      <c r="B490" s="291"/>
      <c r="C490" s="291"/>
      <c r="D490" s="181"/>
      <c r="E490" s="292"/>
      <c r="F490" s="292"/>
      <c r="G490" s="293"/>
      <c r="H490" s="294"/>
      <c r="I490" s="295"/>
      <c r="J490" s="296"/>
      <c r="K490" s="297"/>
      <c r="L490" s="297"/>
      <c r="M490" s="297"/>
      <c r="N490" s="297"/>
      <c r="O490" s="298"/>
      <c r="P490" s="298"/>
      <c r="Q490" s="297"/>
      <c r="R490" s="297">
        <v>0.0</v>
      </c>
      <c r="S490" s="297"/>
      <c r="T490" s="297" t="s">
        <v>719</v>
      </c>
    </row>
    <row r="491">
      <c r="B491" s="291"/>
      <c r="C491" s="291"/>
      <c r="D491" s="181"/>
      <c r="E491" s="292"/>
      <c r="F491" s="292"/>
      <c r="G491" s="293"/>
      <c r="H491" s="294"/>
      <c r="I491" s="295"/>
      <c r="J491" s="296"/>
      <c r="K491" s="297"/>
      <c r="L491" s="297"/>
      <c r="M491" s="297"/>
      <c r="N491" s="297"/>
      <c r="O491" s="298"/>
      <c r="P491" s="298"/>
      <c r="Q491" s="297"/>
      <c r="R491" s="297">
        <v>0.0</v>
      </c>
      <c r="S491" s="297"/>
      <c r="T491" s="297" t="s">
        <v>719</v>
      </c>
    </row>
    <row r="492">
      <c r="B492" s="291"/>
      <c r="C492" s="291"/>
      <c r="D492" s="181"/>
      <c r="E492" s="292"/>
      <c r="F492" s="292"/>
      <c r="G492" s="293"/>
      <c r="H492" s="294"/>
      <c r="I492" s="295"/>
      <c r="J492" s="296"/>
      <c r="K492" s="297"/>
      <c r="L492" s="297"/>
      <c r="M492" s="297"/>
      <c r="N492" s="297"/>
      <c r="O492" s="298"/>
      <c r="P492" s="298"/>
      <c r="Q492" s="297"/>
      <c r="R492" s="297">
        <v>0.0</v>
      </c>
      <c r="S492" s="297"/>
      <c r="T492" s="297" t="s">
        <v>719</v>
      </c>
    </row>
    <row r="493">
      <c r="B493" s="291"/>
      <c r="C493" s="291"/>
      <c r="D493" s="181"/>
      <c r="E493" s="292"/>
      <c r="F493" s="292"/>
      <c r="G493" s="293"/>
      <c r="H493" s="294"/>
      <c r="I493" s="295"/>
      <c r="J493" s="296"/>
      <c r="K493" s="297"/>
      <c r="L493" s="297"/>
      <c r="M493" s="297"/>
      <c r="N493" s="297"/>
      <c r="O493" s="298"/>
      <c r="P493" s="298"/>
      <c r="Q493" s="297"/>
      <c r="R493" s="297">
        <v>0.0</v>
      </c>
      <c r="S493" s="297"/>
      <c r="T493" s="297" t="s">
        <v>719</v>
      </c>
    </row>
    <row r="494">
      <c r="B494" s="291"/>
      <c r="C494" s="291"/>
      <c r="D494" s="181"/>
      <c r="E494" s="292"/>
      <c r="F494" s="292"/>
      <c r="G494" s="293"/>
      <c r="H494" s="294"/>
      <c r="I494" s="295"/>
      <c r="J494" s="296"/>
      <c r="K494" s="297"/>
      <c r="L494" s="297"/>
      <c r="M494" s="297"/>
      <c r="N494" s="297"/>
      <c r="O494" s="298"/>
      <c r="P494" s="298"/>
      <c r="Q494" s="297"/>
      <c r="R494" s="297">
        <v>0.0</v>
      </c>
      <c r="S494" s="297"/>
      <c r="T494" s="297" t="s">
        <v>719</v>
      </c>
    </row>
    <row r="495">
      <c r="B495" s="291"/>
      <c r="C495" s="291"/>
      <c r="D495" s="181"/>
      <c r="E495" s="292"/>
      <c r="F495" s="292"/>
      <c r="G495" s="293"/>
      <c r="H495" s="294"/>
      <c r="I495" s="295"/>
      <c r="J495" s="296"/>
      <c r="K495" s="297"/>
      <c r="L495" s="297"/>
      <c r="M495" s="297"/>
      <c r="N495" s="297"/>
      <c r="O495" s="298"/>
      <c r="P495" s="298"/>
      <c r="Q495" s="297"/>
      <c r="R495" s="297">
        <v>0.0</v>
      </c>
      <c r="S495" s="297"/>
      <c r="T495" s="297" t="s">
        <v>719</v>
      </c>
    </row>
    <row r="496">
      <c r="B496" s="291"/>
      <c r="C496" s="291"/>
      <c r="D496" s="181"/>
      <c r="E496" s="292"/>
      <c r="F496" s="292"/>
      <c r="G496" s="293"/>
      <c r="H496" s="294"/>
      <c r="I496" s="295"/>
      <c r="J496" s="296"/>
      <c r="K496" s="297"/>
      <c r="L496" s="297"/>
      <c r="M496" s="297"/>
      <c r="N496" s="297"/>
      <c r="O496" s="298"/>
      <c r="P496" s="298"/>
      <c r="Q496" s="297"/>
      <c r="R496" s="297">
        <v>0.0</v>
      </c>
      <c r="S496" s="297"/>
      <c r="T496" s="297" t="s">
        <v>719</v>
      </c>
    </row>
    <row r="497">
      <c r="B497" s="291"/>
      <c r="C497" s="291"/>
      <c r="D497" s="181"/>
      <c r="E497" s="292"/>
      <c r="F497" s="292"/>
      <c r="G497" s="293"/>
      <c r="H497" s="294"/>
      <c r="I497" s="295"/>
      <c r="J497" s="296"/>
      <c r="K497" s="297"/>
      <c r="L497" s="297"/>
      <c r="M497" s="297"/>
      <c r="N497" s="297"/>
      <c r="O497" s="298"/>
      <c r="P497" s="298"/>
      <c r="Q497" s="297"/>
      <c r="R497" s="297">
        <v>0.0</v>
      </c>
      <c r="S497" s="297"/>
      <c r="T497" s="297" t="s">
        <v>719</v>
      </c>
    </row>
    <row r="498">
      <c r="B498" s="291"/>
      <c r="C498" s="291"/>
      <c r="D498" s="181"/>
      <c r="E498" s="292"/>
      <c r="F498" s="292"/>
      <c r="G498" s="293"/>
      <c r="H498" s="294"/>
      <c r="I498" s="295"/>
      <c r="J498" s="296"/>
      <c r="K498" s="297"/>
      <c r="L498" s="297"/>
      <c r="M498" s="297"/>
      <c r="N498" s="297"/>
      <c r="O498" s="298"/>
      <c r="P498" s="298"/>
      <c r="Q498" s="297"/>
      <c r="R498" s="297">
        <v>0.0</v>
      </c>
      <c r="S498" s="297"/>
      <c r="T498" s="297" t="s">
        <v>719</v>
      </c>
    </row>
    <row r="499">
      <c r="B499" s="291"/>
      <c r="C499" s="291"/>
      <c r="D499" s="181"/>
      <c r="E499" s="292"/>
      <c r="F499" s="292"/>
      <c r="G499" s="293"/>
      <c r="H499" s="294"/>
      <c r="I499" s="295"/>
      <c r="J499" s="296"/>
      <c r="K499" s="297"/>
      <c r="L499" s="297"/>
      <c r="M499" s="297"/>
      <c r="N499" s="297"/>
      <c r="O499" s="298"/>
      <c r="P499" s="298"/>
      <c r="Q499" s="297"/>
      <c r="R499" s="297">
        <v>0.0</v>
      </c>
      <c r="S499" s="297"/>
      <c r="T499" s="297" t="s">
        <v>719</v>
      </c>
    </row>
    <row r="500">
      <c r="B500" s="291"/>
      <c r="C500" s="291"/>
      <c r="D500" s="181"/>
      <c r="E500" s="292"/>
      <c r="F500" s="292"/>
      <c r="G500" s="293"/>
      <c r="H500" s="294"/>
      <c r="I500" s="295"/>
      <c r="J500" s="296"/>
      <c r="K500" s="297"/>
      <c r="L500" s="297"/>
      <c r="M500" s="297"/>
      <c r="N500" s="297"/>
      <c r="O500" s="298"/>
      <c r="P500" s="298"/>
      <c r="Q500" s="297"/>
      <c r="R500" s="297">
        <v>0.0</v>
      </c>
      <c r="S500" s="297"/>
      <c r="T500" s="297" t="s">
        <v>719</v>
      </c>
    </row>
    <row r="501">
      <c r="B501" s="291"/>
      <c r="C501" s="291"/>
      <c r="D501" s="181"/>
      <c r="E501" s="292"/>
      <c r="F501" s="292"/>
      <c r="G501" s="293"/>
      <c r="H501" s="294"/>
      <c r="I501" s="295"/>
      <c r="J501" s="296"/>
      <c r="K501" s="297"/>
      <c r="L501" s="297"/>
      <c r="M501" s="297"/>
      <c r="N501" s="297"/>
      <c r="O501" s="298"/>
      <c r="P501" s="298"/>
      <c r="Q501" s="297"/>
      <c r="R501" s="297">
        <v>0.0</v>
      </c>
      <c r="S501" s="297"/>
      <c r="T501" s="297" t="s">
        <v>719</v>
      </c>
    </row>
    <row r="502">
      <c r="B502" s="291"/>
      <c r="C502" s="291"/>
      <c r="D502" s="181"/>
      <c r="E502" s="292"/>
      <c r="F502" s="292"/>
      <c r="G502" s="293"/>
      <c r="H502" s="294"/>
      <c r="I502" s="295"/>
      <c r="J502" s="296"/>
      <c r="K502" s="297"/>
      <c r="L502" s="297"/>
      <c r="M502" s="297"/>
      <c r="N502" s="297"/>
      <c r="O502" s="298"/>
      <c r="P502" s="298"/>
      <c r="Q502" s="297"/>
      <c r="R502" s="297">
        <v>0.0</v>
      </c>
      <c r="S502" s="297"/>
      <c r="T502" s="297" t="s">
        <v>719</v>
      </c>
    </row>
    <row r="503">
      <c r="B503" s="291"/>
      <c r="C503" s="291"/>
      <c r="D503" s="181"/>
      <c r="E503" s="292"/>
      <c r="F503" s="292"/>
      <c r="G503" s="293"/>
      <c r="H503" s="294"/>
      <c r="I503" s="295"/>
      <c r="J503" s="296"/>
      <c r="K503" s="297"/>
      <c r="L503" s="297"/>
      <c r="M503" s="297"/>
      <c r="N503" s="297"/>
      <c r="O503" s="298"/>
      <c r="P503" s="298"/>
      <c r="Q503" s="297"/>
      <c r="R503" s="297">
        <v>0.0</v>
      </c>
      <c r="S503" s="297"/>
      <c r="T503" s="297" t="s">
        <v>719</v>
      </c>
    </row>
    <row r="504">
      <c r="B504" s="291"/>
      <c r="C504" s="291"/>
      <c r="D504" s="181"/>
      <c r="E504" s="292"/>
      <c r="F504" s="292"/>
      <c r="G504" s="293"/>
      <c r="H504" s="294"/>
      <c r="I504" s="295"/>
      <c r="J504" s="296"/>
      <c r="K504" s="297"/>
      <c r="L504" s="297"/>
      <c r="M504" s="297"/>
      <c r="N504" s="297"/>
      <c r="O504" s="298"/>
      <c r="P504" s="298"/>
      <c r="Q504" s="297"/>
      <c r="R504" s="297">
        <v>0.0</v>
      </c>
      <c r="S504" s="297"/>
      <c r="T504" s="297" t="s">
        <v>719</v>
      </c>
    </row>
    <row r="505">
      <c r="B505" s="291"/>
      <c r="C505" s="291"/>
      <c r="D505" s="181"/>
      <c r="E505" s="292"/>
      <c r="F505" s="292"/>
      <c r="G505" s="293"/>
      <c r="H505" s="294"/>
      <c r="I505" s="295"/>
      <c r="J505" s="296"/>
      <c r="K505" s="297"/>
      <c r="L505" s="297"/>
      <c r="M505" s="297"/>
      <c r="N505" s="297"/>
      <c r="O505" s="298"/>
      <c r="P505" s="298"/>
      <c r="Q505" s="297"/>
      <c r="R505" s="297">
        <v>0.0</v>
      </c>
      <c r="S505" s="297"/>
      <c r="T505" s="297" t="s">
        <v>719</v>
      </c>
    </row>
    <row r="506">
      <c r="B506" s="291"/>
      <c r="C506" s="291"/>
      <c r="D506" s="181"/>
      <c r="E506" s="292"/>
      <c r="F506" s="292"/>
      <c r="G506" s="293"/>
      <c r="H506" s="294"/>
      <c r="I506" s="295"/>
      <c r="J506" s="296"/>
      <c r="K506" s="297"/>
      <c r="L506" s="297"/>
      <c r="M506" s="297"/>
      <c r="N506" s="297"/>
      <c r="O506" s="298"/>
      <c r="P506" s="298"/>
      <c r="Q506" s="297"/>
      <c r="R506" s="297">
        <v>0.0</v>
      </c>
      <c r="S506" s="297"/>
      <c r="T506" s="297" t="s">
        <v>719</v>
      </c>
    </row>
    <row r="507">
      <c r="B507" s="291"/>
      <c r="C507" s="291"/>
      <c r="D507" s="181"/>
      <c r="E507" s="292"/>
      <c r="F507" s="292"/>
      <c r="G507" s="293"/>
      <c r="H507" s="294"/>
      <c r="I507" s="295"/>
      <c r="J507" s="296"/>
      <c r="K507" s="297"/>
      <c r="L507" s="297"/>
      <c r="M507" s="297"/>
      <c r="N507" s="297"/>
      <c r="O507" s="298"/>
      <c r="P507" s="298"/>
      <c r="Q507" s="297"/>
      <c r="R507" s="297">
        <v>0.0</v>
      </c>
      <c r="S507" s="297"/>
      <c r="T507" s="297" t="s">
        <v>719</v>
      </c>
    </row>
    <row r="508">
      <c r="B508" s="291"/>
      <c r="C508" s="291"/>
      <c r="D508" s="181"/>
      <c r="E508" s="292"/>
      <c r="F508" s="292"/>
      <c r="G508" s="293"/>
      <c r="H508" s="294"/>
      <c r="I508" s="295"/>
      <c r="J508" s="296"/>
      <c r="K508" s="297"/>
      <c r="L508" s="297"/>
      <c r="M508" s="297"/>
      <c r="N508" s="297"/>
      <c r="O508" s="298"/>
      <c r="P508" s="298"/>
      <c r="Q508" s="297"/>
      <c r="R508" s="297">
        <v>0.0</v>
      </c>
      <c r="S508" s="297"/>
      <c r="T508" s="297" t="s">
        <v>719</v>
      </c>
    </row>
    <row r="509">
      <c r="B509" s="291"/>
      <c r="C509" s="291"/>
      <c r="D509" s="181"/>
      <c r="E509" s="292"/>
      <c r="F509" s="292"/>
      <c r="G509" s="293"/>
      <c r="H509" s="294"/>
      <c r="I509" s="295"/>
      <c r="J509" s="296"/>
      <c r="K509" s="297"/>
      <c r="L509" s="297"/>
      <c r="M509" s="297"/>
      <c r="N509" s="297"/>
      <c r="O509" s="298"/>
      <c r="P509" s="298"/>
      <c r="Q509" s="297"/>
      <c r="R509" s="297">
        <v>0.0</v>
      </c>
      <c r="S509" s="297"/>
      <c r="T509" s="297" t="s">
        <v>719</v>
      </c>
    </row>
    <row r="510">
      <c r="B510" s="291"/>
      <c r="C510" s="291"/>
      <c r="D510" s="181"/>
      <c r="E510" s="292"/>
      <c r="F510" s="292"/>
      <c r="G510" s="293"/>
      <c r="H510" s="294"/>
      <c r="I510" s="295"/>
      <c r="J510" s="296"/>
      <c r="K510" s="297"/>
      <c r="L510" s="297"/>
      <c r="M510" s="297"/>
      <c r="N510" s="297"/>
      <c r="O510" s="298"/>
      <c r="P510" s="298"/>
      <c r="Q510" s="297"/>
      <c r="R510" s="297">
        <v>0.0</v>
      </c>
      <c r="S510" s="297"/>
      <c r="T510" s="297" t="s">
        <v>719</v>
      </c>
    </row>
    <row r="511">
      <c r="B511" s="291"/>
      <c r="C511" s="291"/>
      <c r="D511" s="181"/>
      <c r="E511" s="292"/>
      <c r="F511" s="292"/>
      <c r="G511" s="293"/>
      <c r="H511" s="294"/>
      <c r="I511" s="295"/>
      <c r="J511" s="296"/>
      <c r="K511" s="297"/>
      <c r="L511" s="297"/>
      <c r="M511" s="297"/>
      <c r="N511" s="297"/>
      <c r="O511" s="298"/>
      <c r="P511" s="298"/>
      <c r="Q511" s="297"/>
      <c r="R511" s="297">
        <v>0.0</v>
      </c>
      <c r="S511" s="297"/>
      <c r="T511" s="297" t="s">
        <v>719</v>
      </c>
    </row>
    <row r="512">
      <c r="B512" s="291"/>
      <c r="C512" s="291"/>
      <c r="D512" s="181"/>
      <c r="E512" s="292"/>
      <c r="F512" s="292"/>
      <c r="G512" s="293"/>
      <c r="H512" s="294"/>
      <c r="I512" s="295"/>
      <c r="J512" s="296"/>
      <c r="K512" s="297"/>
      <c r="L512" s="297"/>
      <c r="M512" s="297"/>
      <c r="N512" s="297"/>
      <c r="O512" s="298"/>
      <c r="P512" s="298"/>
      <c r="Q512" s="297"/>
      <c r="R512" s="297">
        <v>0.0</v>
      </c>
      <c r="S512" s="297"/>
      <c r="T512" s="297" t="s">
        <v>719</v>
      </c>
    </row>
    <row r="513">
      <c r="B513" s="291"/>
      <c r="C513" s="291"/>
      <c r="D513" s="181"/>
      <c r="E513" s="292"/>
      <c r="F513" s="292"/>
      <c r="G513" s="293"/>
      <c r="H513" s="294"/>
      <c r="I513" s="295"/>
      <c r="J513" s="296"/>
      <c r="K513" s="297"/>
      <c r="L513" s="297"/>
      <c r="M513" s="297"/>
      <c r="N513" s="297"/>
      <c r="O513" s="298"/>
      <c r="P513" s="298"/>
      <c r="Q513" s="297"/>
      <c r="R513" s="297">
        <v>0.0</v>
      </c>
      <c r="S513" s="297"/>
      <c r="T513" s="297" t="s">
        <v>719</v>
      </c>
    </row>
    <row r="514">
      <c r="B514" s="291"/>
      <c r="C514" s="291"/>
      <c r="D514" s="181"/>
      <c r="E514" s="292"/>
      <c r="F514" s="292"/>
      <c r="G514" s="293"/>
      <c r="H514" s="294"/>
      <c r="I514" s="295"/>
      <c r="J514" s="296"/>
      <c r="K514" s="297"/>
      <c r="L514" s="297"/>
      <c r="M514" s="297"/>
      <c r="N514" s="297"/>
      <c r="O514" s="298"/>
      <c r="P514" s="298"/>
      <c r="Q514" s="297"/>
      <c r="R514" s="297">
        <v>0.0</v>
      </c>
      <c r="S514" s="297"/>
      <c r="T514" s="297" t="s">
        <v>719</v>
      </c>
    </row>
    <row r="515">
      <c r="B515" s="291"/>
      <c r="C515" s="291"/>
      <c r="D515" s="181"/>
      <c r="E515" s="292"/>
      <c r="F515" s="292"/>
      <c r="G515" s="293"/>
      <c r="H515" s="294"/>
      <c r="I515" s="295"/>
      <c r="J515" s="296"/>
      <c r="K515" s="297"/>
      <c r="L515" s="297"/>
      <c r="M515" s="297"/>
      <c r="N515" s="297"/>
      <c r="O515" s="298"/>
      <c r="P515" s="298"/>
      <c r="Q515" s="297"/>
      <c r="R515" s="297">
        <v>0.0</v>
      </c>
      <c r="S515" s="297"/>
      <c r="T515" s="297" t="s">
        <v>719</v>
      </c>
    </row>
    <row r="516">
      <c r="B516" s="291"/>
      <c r="C516" s="291"/>
      <c r="D516" s="181"/>
      <c r="E516" s="292"/>
      <c r="F516" s="292"/>
      <c r="G516" s="293"/>
      <c r="H516" s="294"/>
      <c r="I516" s="295"/>
      <c r="J516" s="296"/>
      <c r="K516" s="297"/>
      <c r="L516" s="297"/>
      <c r="M516" s="297"/>
      <c r="N516" s="297"/>
      <c r="O516" s="298"/>
      <c r="P516" s="298"/>
      <c r="Q516" s="297"/>
      <c r="R516" s="297">
        <v>0.0</v>
      </c>
      <c r="S516" s="297"/>
      <c r="T516" s="297" t="s">
        <v>719</v>
      </c>
    </row>
    <row r="517">
      <c r="B517" s="291"/>
      <c r="C517" s="291"/>
      <c r="D517" s="181"/>
      <c r="E517" s="292"/>
      <c r="F517" s="292"/>
      <c r="G517" s="293"/>
      <c r="H517" s="294"/>
      <c r="I517" s="295"/>
      <c r="J517" s="296"/>
      <c r="K517" s="297"/>
      <c r="L517" s="297"/>
      <c r="M517" s="297"/>
      <c r="N517" s="297"/>
      <c r="O517" s="298"/>
      <c r="P517" s="298"/>
      <c r="Q517" s="297"/>
      <c r="R517" s="297">
        <v>0.0</v>
      </c>
      <c r="S517" s="297"/>
      <c r="T517" s="297" t="s">
        <v>719</v>
      </c>
    </row>
    <row r="518">
      <c r="B518" s="291"/>
      <c r="C518" s="291"/>
      <c r="D518" s="181"/>
      <c r="E518" s="292"/>
      <c r="F518" s="292"/>
      <c r="G518" s="293"/>
      <c r="H518" s="294"/>
      <c r="I518" s="295"/>
      <c r="J518" s="296"/>
      <c r="K518" s="297"/>
      <c r="L518" s="297"/>
      <c r="M518" s="297"/>
      <c r="N518" s="297"/>
      <c r="O518" s="298"/>
      <c r="P518" s="298"/>
      <c r="Q518" s="297"/>
      <c r="R518" s="297">
        <v>0.0</v>
      </c>
      <c r="S518" s="297"/>
      <c r="T518" s="297" t="s">
        <v>719</v>
      </c>
    </row>
    <row r="519">
      <c r="B519" s="291"/>
      <c r="C519" s="291"/>
      <c r="D519" s="181"/>
      <c r="E519" s="292"/>
      <c r="F519" s="292"/>
      <c r="G519" s="293"/>
      <c r="H519" s="294"/>
      <c r="I519" s="295"/>
      <c r="J519" s="296"/>
      <c r="K519" s="297"/>
      <c r="L519" s="297"/>
      <c r="M519" s="297"/>
      <c r="N519" s="297"/>
      <c r="O519" s="298"/>
      <c r="P519" s="298"/>
      <c r="Q519" s="297"/>
      <c r="R519" s="297">
        <v>0.0</v>
      </c>
      <c r="S519" s="297"/>
      <c r="T519" s="297" t="s">
        <v>719</v>
      </c>
    </row>
    <row r="520">
      <c r="B520" s="291"/>
      <c r="C520" s="291"/>
      <c r="D520" s="181"/>
      <c r="E520" s="292"/>
      <c r="F520" s="292"/>
      <c r="G520" s="293"/>
      <c r="H520" s="294"/>
      <c r="I520" s="295"/>
      <c r="J520" s="296"/>
      <c r="K520" s="297"/>
      <c r="L520" s="297"/>
      <c r="M520" s="297"/>
      <c r="N520" s="297"/>
      <c r="O520" s="298"/>
      <c r="P520" s="298"/>
      <c r="Q520" s="297"/>
      <c r="R520" s="297">
        <v>0.0</v>
      </c>
      <c r="S520" s="297"/>
      <c r="T520" s="297" t="s">
        <v>719</v>
      </c>
    </row>
    <row r="521">
      <c r="B521" s="291"/>
      <c r="C521" s="291"/>
      <c r="D521" s="181"/>
      <c r="E521" s="292"/>
      <c r="F521" s="292"/>
      <c r="G521" s="293"/>
      <c r="H521" s="294"/>
      <c r="I521" s="295"/>
      <c r="J521" s="296"/>
      <c r="K521" s="297"/>
      <c r="L521" s="297"/>
      <c r="M521" s="297"/>
      <c r="N521" s="297"/>
      <c r="O521" s="298"/>
      <c r="P521" s="298"/>
      <c r="Q521" s="297"/>
      <c r="R521" s="297">
        <v>0.0</v>
      </c>
      <c r="S521" s="297"/>
      <c r="T521" s="297" t="s">
        <v>719</v>
      </c>
    </row>
    <row r="522">
      <c r="B522" s="291"/>
      <c r="C522" s="291"/>
      <c r="D522" s="181"/>
      <c r="E522" s="292"/>
      <c r="F522" s="292"/>
      <c r="G522" s="293"/>
      <c r="H522" s="294"/>
      <c r="I522" s="295"/>
      <c r="J522" s="296"/>
      <c r="K522" s="297"/>
      <c r="L522" s="297"/>
      <c r="M522" s="297"/>
      <c r="N522" s="297"/>
      <c r="O522" s="298"/>
      <c r="P522" s="298"/>
      <c r="Q522" s="297"/>
      <c r="R522" s="297">
        <v>0.0</v>
      </c>
      <c r="S522" s="297"/>
      <c r="T522" s="297" t="s">
        <v>719</v>
      </c>
    </row>
    <row r="523">
      <c r="B523" s="291"/>
      <c r="C523" s="291"/>
      <c r="D523" s="181"/>
      <c r="E523" s="292"/>
      <c r="F523" s="292"/>
      <c r="G523" s="293"/>
      <c r="H523" s="294"/>
      <c r="I523" s="295"/>
      <c r="J523" s="296"/>
      <c r="K523" s="297"/>
      <c r="L523" s="297"/>
      <c r="M523" s="297"/>
      <c r="N523" s="297"/>
      <c r="O523" s="298"/>
      <c r="P523" s="298"/>
      <c r="Q523" s="297"/>
      <c r="R523" s="297">
        <v>0.0</v>
      </c>
      <c r="S523" s="297"/>
      <c r="T523" s="297" t="s">
        <v>719</v>
      </c>
    </row>
    <row r="524">
      <c r="B524" s="291"/>
      <c r="C524" s="291"/>
      <c r="D524" s="181"/>
      <c r="E524" s="292"/>
      <c r="F524" s="292"/>
      <c r="G524" s="293"/>
      <c r="H524" s="294"/>
      <c r="I524" s="295"/>
      <c r="J524" s="296"/>
      <c r="K524" s="297"/>
      <c r="L524" s="297"/>
      <c r="M524" s="297"/>
      <c r="N524" s="297"/>
      <c r="O524" s="298"/>
      <c r="P524" s="298"/>
      <c r="Q524" s="297"/>
      <c r="R524" s="297">
        <v>0.0</v>
      </c>
      <c r="S524" s="297"/>
      <c r="T524" s="297" t="s">
        <v>719</v>
      </c>
    </row>
    <row r="525">
      <c r="B525" s="291"/>
      <c r="C525" s="291"/>
      <c r="D525" s="181"/>
      <c r="E525" s="292"/>
      <c r="F525" s="292"/>
      <c r="G525" s="293"/>
      <c r="H525" s="294"/>
      <c r="I525" s="295"/>
      <c r="J525" s="296"/>
      <c r="K525" s="297"/>
      <c r="L525" s="297"/>
      <c r="M525" s="297"/>
      <c r="N525" s="297"/>
      <c r="O525" s="298"/>
      <c r="P525" s="298"/>
      <c r="Q525" s="297"/>
      <c r="R525" s="297">
        <v>0.0</v>
      </c>
      <c r="S525" s="297"/>
      <c r="T525" s="297" t="s">
        <v>719</v>
      </c>
    </row>
    <row r="526">
      <c r="B526" s="291"/>
      <c r="C526" s="291"/>
      <c r="D526" s="181"/>
      <c r="E526" s="292"/>
      <c r="F526" s="292"/>
      <c r="G526" s="293"/>
      <c r="H526" s="294"/>
      <c r="I526" s="295"/>
      <c r="J526" s="296"/>
      <c r="K526" s="297"/>
      <c r="L526" s="297"/>
      <c r="M526" s="297"/>
      <c r="N526" s="297"/>
      <c r="O526" s="298"/>
      <c r="P526" s="298"/>
      <c r="Q526" s="297"/>
      <c r="R526" s="297">
        <v>0.0</v>
      </c>
      <c r="S526" s="297"/>
      <c r="T526" s="297" t="s">
        <v>719</v>
      </c>
    </row>
    <row r="527">
      <c r="B527" s="291"/>
      <c r="C527" s="291"/>
      <c r="D527" s="181"/>
      <c r="E527" s="292"/>
      <c r="F527" s="292"/>
      <c r="G527" s="293"/>
      <c r="H527" s="294"/>
      <c r="I527" s="295"/>
      <c r="J527" s="296"/>
      <c r="K527" s="297"/>
      <c r="L527" s="297"/>
      <c r="M527" s="297"/>
      <c r="N527" s="297"/>
      <c r="O527" s="298"/>
      <c r="P527" s="298"/>
      <c r="Q527" s="297"/>
      <c r="R527" s="297">
        <v>0.0</v>
      </c>
      <c r="S527" s="297"/>
      <c r="T527" s="297" t="s">
        <v>719</v>
      </c>
    </row>
    <row r="528">
      <c r="B528" s="291"/>
      <c r="C528" s="291"/>
      <c r="D528" s="181"/>
      <c r="E528" s="292"/>
      <c r="F528" s="292"/>
      <c r="G528" s="293"/>
      <c r="H528" s="294"/>
      <c r="I528" s="295"/>
      <c r="J528" s="296"/>
      <c r="K528" s="297"/>
      <c r="L528" s="297"/>
      <c r="M528" s="297"/>
      <c r="N528" s="297"/>
      <c r="O528" s="298"/>
      <c r="P528" s="298"/>
      <c r="Q528" s="297"/>
      <c r="R528" s="297">
        <v>0.0</v>
      </c>
      <c r="S528" s="297"/>
      <c r="T528" s="297" t="s">
        <v>719</v>
      </c>
    </row>
    <row r="529">
      <c r="B529" s="291"/>
      <c r="C529" s="291"/>
      <c r="D529" s="181"/>
      <c r="E529" s="292"/>
      <c r="F529" s="292"/>
      <c r="G529" s="293"/>
      <c r="H529" s="294"/>
      <c r="I529" s="295"/>
      <c r="J529" s="296"/>
      <c r="K529" s="297"/>
      <c r="L529" s="297"/>
      <c r="M529" s="297"/>
      <c r="N529" s="297"/>
      <c r="O529" s="298"/>
      <c r="P529" s="298"/>
      <c r="Q529" s="297"/>
      <c r="R529" s="297">
        <v>0.0</v>
      </c>
      <c r="S529" s="297"/>
      <c r="T529" s="297" t="s">
        <v>719</v>
      </c>
    </row>
    <row r="530">
      <c r="B530" s="291"/>
      <c r="C530" s="291"/>
      <c r="D530" s="181"/>
      <c r="E530" s="292"/>
      <c r="F530" s="292"/>
      <c r="G530" s="293"/>
      <c r="H530" s="294"/>
      <c r="I530" s="295"/>
      <c r="J530" s="296"/>
      <c r="K530" s="297"/>
      <c r="L530" s="297"/>
      <c r="M530" s="297"/>
      <c r="N530" s="297"/>
      <c r="O530" s="298"/>
      <c r="P530" s="298"/>
      <c r="Q530" s="297"/>
      <c r="R530" s="297">
        <v>0.0</v>
      </c>
      <c r="S530" s="297"/>
      <c r="T530" s="297" t="s">
        <v>719</v>
      </c>
    </row>
    <row r="531">
      <c r="B531" s="291"/>
      <c r="C531" s="291"/>
      <c r="D531" s="181"/>
      <c r="E531" s="292"/>
      <c r="F531" s="292"/>
      <c r="G531" s="293"/>
      <c r="H531" s="294"/>
      <c r="I531" s="295"/>
      <c r="J531" s="296"/>
      <c r="K531" s="297"/>
      <c r="L531" s="297"/>
      <c r="M531" s="297"/>
      <c r="N531" s="297"/>
      <c r="O531" s="298"/>
      <c r="P531" s="298"/>
      <c r="Q531" s="297"/>
      <c r="R531" s="297">
        <v>0.0</v>
      </c>
      <c r="S531" s="297"/>
      <c r="T531" s="297" t="s">
        <v>719</v>
      </c>
    </row>
    <row r="532">
      <c r="B532" s="291"/>
      <c r="C532" s="291"/>
      <c r="D532" s="181"/>
      <c r="E532" s="292"/>
      <c r="F532" s="292"/>
      <c r="G532" s="293"/>
      <c r="H532" s="294"/>
      <c r="I532" s="295"/>
      <c r="J532" s="296"/>
      <c r="K532" s="297"/>
      <c r="L532" s="297"/>
      <c r="M532" s="297"/>
      <c r="N532" s="297"/>
      <c r="O532" s="298"/>
      <c r="P532" s="298"/>
      <c r="Q532" s="297"/>
      <c r="R532" s="297">
        <v>0.0</v>
      </c>
      <c r="S532" s="297"/>
      <c r="T532" s="297" t="s">
        <v>719</v>
      </c>
    </row>
    <row r="533">
      <c r="B533" s="291"/>
      <c r="C533" s="291"/>
      <c r="D533" s="181"/>
      <c r="E533" s="292"/>
      <c r="F533" s="292"/>
      <c r="G533" s="293"/>
      <c r="H533" s="294"/>
      <c r="I533" s="295"/>
      <c r="J533" s="296"/>
      <c r="K533" s="297"/>
      <c r="L533" s="297"/>
      <c r="M533" s="297"/>
      <c r="N533" s="297"/>
      <c r="O533" s="298"/>
      <c r="P533" s="298"/>
      <c r="Q533" s="297"/>
      <c r="R533" s="297">
        <v>0.0</v>
      </c>
      <c r="S533" s="297"/>
      <c r="T533" s="297" t="s">
        <v>719</v>
      </c>
    </row>
    <row r="534">
      <c r="B534" s="291"/>
      <c r="C534" s="291"/>
      <c r="D534" s="181"/>
      <c r="E534" s="292"/>
      <c r="F534" s="292"/>
      <c r="G534" s="293"/>
      <c r="H534" s="294"/>
      <c r="I534" s="295"/>
      <c r="J534" s="296"/>
      <c r="K534" s="297"/>
      <c r="L534" s="297"/>
      <c r="M534" s="297"/>
      <c r="N534" s="297"/>
      <c r="O534" s="298"/>
      <c r="P534" s="298"/>
      <c r="Q534" s="297"/>
      <c r="R534" s="297">
        <v>0.0</v>
      </c>
      <c r="S534" s="297"/>
      <c r="T534" s="297" t="s">
        <v>719</v>
      </c>
    </row>
    <row r="535">
      <c r="B535" s="291"/>
      <c r="C535" s="291"/>
      <c r="D535" s="181"/>
      <c r="E535" s="292"/>
      <c r="F535" s="292"/>
      <c r="G535" s="293"/>
      <c r="H535" s="294"/>
      <c r="I535" s="295"/>
      <c r="J535" s="296"/>
      <c r="K535" s="297"/>
      <c r="L535" s="297"/>
      <c r="M535" s="297"/>
      <c r="N535" s="297"/>
      <c r="O535" s="298"/>
      <c r="P535" s="298"/>
      <c r="Q535" s="297"/>
      <c r="R535" s="297">
        <v>0.0</v>
      </c>
      <c r="S535" s="297"/>
      <c r="T535" s="297" t="s">
        <v>719</v>
      </c>
    </row>
    <row r="536">
      <c r="B536" s="291"/>
      <c r="C536" s="291"/>
      <c r="D536" s="181"/>
      <c r="E536" s="292"/>
      <c r="F536" s="292"/>
      <c r="G536" s="293"/>
      <c r="H536" s="294"/>
      <c r="I536" s="295"/>
      <c r="J536" s="296"/>
      <c r="K536" s="297"/>
      <c r="L536" s="297"/>
      <c r="M536" s="297"/>
      <c r="N536" s="297"/>
      <c r="O536" s="298"/>
      <c r="P536" s="298"/>
      <c r="Q536" s="297"/>
      <c r="R536" s="297">
        <v>0.0</v>
      </c>
      <c r="S536" s="297"/>
      <c r="T536" s="297" t="s">
        <v>719</v>
      </c>
    </row>
    <row r="537">
      <c r="B537" s="291"/>
      <c r="C537" s="291"/>
      <c r="D537" s="181"/>
      <c r="E537" s="292"/>
      <c r="F537" s="292"/>
      <c r="G537" s="293"/>
      <c r="H537" s="294"/>
      <c r="I537" s="295"/>
      <c r="J537" s="296"/>
      <c r="K537" s="297"/>
      <c r="L537" s="297"/>
      <c r="M537" s="297"/>
      <c r="N537" s="297"/>
      <c r="O537" s="298"/>
      <c r="P537" s="298"/>
      <c r="Q537" s="297"/>
      <c r="R537" s="297">
        <v>0.0</v>
      </c>
      <c r="S537" s="297"/>
      <c r="T537" s="297" t="s">
        <v>719</v>
      </c>
    </row>
    <row r="538">
      <c r="B538" s="291"/>
      <c r="C538" s="291"/>
      <c r="D538" s="181"/>
      <c r="E538" s="292"/>
      <c r="F538" s="292"/>
      <c r="G538" s="293"/>
      <c r="H538" s="294"/>
      <c r="I538" s="295"/>
      <c r="J538" s="296"/>
      <c r="K538" s="297"/>
      <c r="L538" s="297"/>
      <c r="M538" s="297"/>
      <c r="N538" s="297"/>
      <c r="O538" s="298"/>
      <c r="P538" s="298"/>
      <c r="Q538" s="297"/>
      <c r="R538" s="297">
        <v>0.0</v>
      </c>
      <c r="S538" s="297"/>
      <c r="T538" s="297" t="s">
        <v>719</v>
      </c>
    </row>
    <row r="539">
      <c r="B539" s="291"/>
      <c r="C539" s="291"/>
      <c r="D539" s="181"/>
      <c r="E539" s="292"/>
      <c r="F539" s="292"/>
      <c r="G539" s="293"/>
      <c r="H539" s="294"/>
      <c r="I539" s="295"/>
      <c r="J539" s="296"/>
      <c r="K539" s="297"/>
      <c r="L539" s="297"/>
      <c r="M539" s="297"/>
      <c r="N539" s="297"/>
      <c r="O539" s="298"/>
      <c r="P539" s="298"/>
      <c r="Q539" s="297"/>
      <c r="R539" s="297">
        <v>0.0</v>
      </c>
      <c r="S539" s="297"/>
      <c r="T539" s="297" t="s">
        <v>719</v>
      </c>
    </row>
    <row r="540">
      <c r="B540" s="291"/>
      <c r="C540" s="291"/>
      <c r="D540" s="181"/>
      <c r="E540" s="292"/>
      <c r="F540" s="292"/>
      <c r="G540" s="293"/>
      <c r="H540" s="294"/>
      <c r="I540" s="295"/>
      <c r="J540" s="296"/>
      <c r="K540" s="297"/>
      <c r="L540" s="297"/>
      <c r="M540" s="297"/>
      <c r="N540" s="297"/>
      <c r="O540" s="298"/>
      <c r="P540" s="298"/>
      <c r="Q540" s="297"/>
      <c r="R540" s="297">
        <v>0.0</v>
      </c>
      <c r="S540" s="297"/>
      <c r="T540" s="297" t="s">
        <v>719</v>
      </c>
    </row>
    <row r="541">
      <c r="B541" s="291"/>
      <c r="C541" s="291"/>
      <c r="D541" s="181"/>
      <c r="E541" s="292"/>
      <c r="F541" s="292"/>
      <c r="G541" s="293"/>
      <c r="H541" s="294"/>
      <c r="I541" s="295"/>
      <c r="J541" s="296"/>
      <c r="K541" s="297"/>
      <c r="L541" s="297"/>
      <c r="M541" s="297"/>
      <c r="N541" s="297"/>
      <c r="O541" s="298"/>
      <c r="P541" s="298"/>
      <c r="Q541" s="297"/>
      <c r="R541" s="297">
        <v>0.0</v>
      </c>
      <c r="S541" s="297"/>
      <c r="T541" s="297" t="s">
        <v>719</v>
      </c>
    </row>
    <row r="542">
      <c r="B542" s="291"/>
      <c r="C542" s="291"/>
      <c r="D542" s="181"/>
      <c r="E542" s="292"/>
      <c r="F542" s="292"/>
      <c r="G542" s="293"/>
      <c r="H542" s="294"/>
      <c r="I542" s="295"/>
      <c r="J542" s="296"/>
      <c r="K542" s="297"/>
      <c r="L542" s="297"/>
      <c r="M542" s="297"/>
      <c r="N542" s="297"/>
      <c r="O542" s="298"/>
      <c r="P542" s="298"/>
      <c r="Q542" s="297"/>
      <c r="R542" s="297">
        <v>0.0</v>
      </c>
      <c r="S542" s="297"/>
      <c r="T542" s="297" t="s">
        <v>719</v>
      </c>
    </row>
    <row r="543">
      <c r="B543" s="291"/>
      <c r="C543" s="291"/>
      <c r="D543" s="181"/>
      <c r="E543" s="292"/>
      <c r="F543" s="292"/>
      <c r="G543" s="293"/>
      <c r="H543" s="294"/>
      <c r="I543" s="295"/>
      <c r="J543" s="296"/>
      <c r="K543" s="297"/>
      <c r="L543" s="297"/>
      <c r="M543" s="297"/>
      <c r="N543" s="297"/>
      <c r="O543" s="298"/>
      <c r="P543" s="298"/>
      <c r="Q543" s="297"/>
      <c r="R543" s="297">
        <v>0.0</v>
      </c>
      <c r="S543" s="297"/>
      <c r="T543" s="297" t="s">
        <v>719</v>
      </c>
    </row>
    <row r="544">
      <c r="B544" s="291"/>
      <c r="C544" s="291"/>
      <c r="D544" s="181"/>
      <c r="E544" s="292"/>
      <c r="F544" s="292"/>
      <c r="G544" s="293"/>
      <c r="H544" s="294"/>
      <c r="I544" s="295"/>
      <c r="J544" s="296"/>
      <c r="K544" s="297"/>
      <c r="L544" s="297"/>
      <c r="M544" s="297"/>
      <c r="N544" s="297"/>
      <c r="O544" s="298"/>
      <c r="P544" s="298"/>
      <c r="Q544" s="297"/>
      <c r="R544" s="297">
        <v>0.0</v>
      </c>
      <c r="S544" s="297"/>
      <c r="T544" s="297" t="s">
        <v>719</v>
      </c>
    </row>
    <row r="545">
      <c r="B545" s="291"/>
      <c r="C545" s="291"/>
      <c r="D545" s="181"/>
      <c r="E545" s="292"/>
      <c r="F545" s="292"/>
      <c r="G545" s="293"/>
      <c r="H545" s="294"/>
      <c r="I545" s="295"/>
      <c r="J545" s="296"/>
      <c r="K545" s="297"/>
      <c r="L545" s="297"/>
      <c r="M545" s="297"/>
      <c r="N545" s="297"/>
      <c r="O545" s="298"/>
      <c r="P545" s="298"/>
      <c r="Q545" s="297"/>
      <c r="R545" s="297">
        <v>0.0</v>
      </c>
      <c r="S545" s="297"/>
      <c r="T545" s="297" t="s">
        <v>719</v>
      </c>
    </row>
    <row r="546">
      <c r="B546" s="291"/>
      <c r="C546" s="291"/>
      <c r="D546" s="181"/>
      <c r="E546" s="292"/>
      <c r="F546" s="292"/>
      <c r="G546" s="293"/>
      <c r="H546" s="294"/>
      <c r="I546" s="295"/>
      <c r="J546" s="296"/>
      <c r="K546" s="297"/>
      <c r="L546" s="297"/>
      <c r="M546" s="297"/>
      <c r="N546" s="297"/>
      <c r="O546" s="298"/>
      <c r="P546" s="298"/>
      <c r="Q546" s="297"/>
      <c r="R546" s="297">
        <v>0.0</v>
      </c>
      <c r="S546" s="297"/>
      <c r="T546" s="297" t="s">
        <v>719</v>
      </c>
    </row>
  </sheetData>
  <autoFilter ref="$B$8:$Q$546"/>
  <conditionalFormatting sqref="Q10:T546">
    <cfRule type="expression" dxfId="6" priority="1">
      <formula>$Q10&gt;$Q$2</formula>
    </cfRule>
  </conditionalFormatting>
  <conditionalFormatting sqref="B9:T546">
    <cfRule type="expression" dxfId="0" priority="2">
      <formula>$H9="1 - Imprescindível"</formula>
    </cfRule>
  </conditionalFormatting>
  <conditionalFormatting sqref="B9:T546">
    <cfRule type="expression" dxfId="1" priority="3">
      <formula>$H9="2 - Importante"</formula>
    </cfRule>
  </conditionalFormatting>
  <conditionalFormatting sqref="B9:T546">
    <cfRule type="expression" dxfId="2" priority="4">
      <formula>$H9="3 - Desejável"</formula>
    </cfRule>
  </conditionalFormatting>
  <conditionalFormatting sqref="B9:T546">
    <cfRule type="expression" dxfId="3" priority="5">
      <formula>$H9="4 - Aguardando"</formula>
    </cfRule>
  </conditionalFormatting>
  <printOptions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2.63" defaultRowHeight="15.75"/>
  <cols>
    <col customWidth="1" min="1" max="1" width="3.0"/>
    <col customWidth="1" min="2" max="3" width="8.0"/>
    <col customWidth="1" min="4" max="4" width="36.38"/>
    <col customWidth="1" min="5" max="6" width="10.88"/>
    <col customWidth="1" min="7" max="7" width="12.25"/>
    <col customWidth="1" hidden="1" min="8" max="8" width="15.0"/>
    <col customWidth="1" hidden="1" min="9" max="9" width="12.0"/>
    <col customWidth="1" hidden="1" min="10" max="10" width="15.38"/>
    <col customWidth="1" hidden="1" min="11" max="11" width="14.5"/>
    <col customWidth="1" hidden="1" min="12" max="13" width="13.75"/>
    <col customWidth="1" min="14" max="14" width="13.75"/>
    <col customWidth="1" min="15" max="16" width="13.63"/>
    <col customWidth="1" min="17" max="17" width="13.75"/>
    <col customWidth="1" hidden="1" min="18" max="20" width="13.75"/>
  </cols>
  <sheetData>
    <row r="1" ht="30.75" customHeight="1">
      <c r="A1" s="218"/>
      <c r="B1" s="270" t="s">
        <v>721</v>
      </c>
      <c r="C1" s="271"/>
      <c r="D1" s="272"/>
      <c r="E1" s="273"/>
      <c r="F1" s="273"/>
      <c r="G1" s="274"/>
      <c r="H1" s="272"/>
      <c r="I1" s="275"/>
      <c r="J1" s="276"/>
      <c r="K1" s="273"/>
      <c r="L1" s="273"/>
      <c r="M1" s="273"/>
      <c r="N1" s="273"/>
      <c r="O1" s="277"/>
      <c r="P1" s="277"/>
      <c r="Q1" s="194"/>
      <c r="R1" s="194"/>
      <c r="S1" s="194"/>
      <c r="T1" s="194"/>
    </row>
    <row r="2" ht="15.0" customHeight="1">
      <c r="A2" s="235"/>
      <c r="B2" s="278"/>
      <c r="C2" s="278"/>
      <c r="D2" s="235"/>
      <c r="E2" s="279"/>
      <c r="F2" s="200"/>
      <c r="G2" s="280"/>
      <c r="H2" s="280"/>
      <c r="I2" s="281"/>
      <c r="J2" s="282"/>
      <c r="K2" s="200"/>
      <c r="L2" s="200"/>
      <c r="M2" s="200"/>
      <c r="N2" s="200"/>
      <c r="O2" s="283"/>
      <c r="P2" s="283" t="s">
        <v>722</v>
      </c>
      <c r="Q2" s="284">
        <f>'Orçamento'!D10+'Orçamento'!E10+819877.11</f>
        <v>905980</v>
      </c>
      <c r="R2" s="194"/>
      <c r="S2" s="194"/>
      <c r="T2" s="285"/>
    </row>
    <row r="3">
      <c r="A3" s="235"/>
      <c r="B3" s="286"/>
      <c r="C3" s="218" t="s">
        <v>712</v>
      </c>
      <c r="E3" s="279"/>
      <c r="F3" s="200"/>
      <c r="G3" s="280"/>
      <c r="H3" s="280"/>
      <c r="I3" s="281"/>
      <c r="J3" s="282"/>
      <c r="K3" s="200"/>
      <c r="L3" s="200"/>
      <c r="M3" s="200"/>
      <c r="N3" s="200"/>
      <c r="O3" s="283"/>
      <c r="P3" s="283" t="s">
        <v>723</v>
      </c>
      <c r="Q3" s="284">
        <f>SUM($N$9:$N518)</f>
        <v>5745177.26</v>
      </c>
      <c r="R3" s="194"/>
      <c r="S3" s="194"/>
      <c r="T3" s="285"/>
    </row>
    <row r="4">
      <c r="A4" s="235"/>
      <c r="B4" s="287"/>
      <c r="C4" s="218" t="s">
        <v>714</v>
      </c>
      <c r="E4" s="279"/>
      <c r="G4" s="283"/>
      <c r="H4" s="283"/>
      <c r="I4" s="288"/>
      <c r="J4" s="289"/>
      <c r="K4" s="283"/>
      <c r="L4" s="283"/>
      <c r="M4" s="283"/>
      <c r="N4" s="283"/>
      <c r="O4" s="283"/>
      <c r="P4" s="283" t="s">
        <v>724</v>
      </c>
      <c r="Q4" s="284">
        <f>Q2-Q3</f>
        <v>-4839197.26</v>
      </c>
      <c r="R4" s="194"/>
      <c r="S4" s="194"/>
      <c r="T4" s="285"/>
    </row>
    <row r="5">
      <c r="A5" s="235"/>
      <c r="B5" s="290"/>
      <c r="C5" s="218" t="s">
        <v>716</v>
      </c>
      <c r="E5" s="279"/>
      <c r="G5" s="283"/>
      <c r="H5" s="283"/>
      <c r="I5" s="288"/>
      <c r="J5" s="289"/>
      <c r="K5" s="283"/>
      <c r="L5" s="283"/>
      <c r="M5" s="283"/>
      <c r="N5" s="283"/>
      <c r="O5" s="283"/>
      <c r="R5" s="194"/>
      <c r="S5" s="194"/>
      <c r="T5" s="285"/>
    </row>
    <row r="6">
      <c r="A6" s="235"/>
      <c r="B6" s="278"/>
      <c r="C6" s="278"/>
      <c r="E6" s="279"/>
      <c r="G6" s="283"/>
      <c r="H6" s="283"/>
      <c r="I6" s="288"/>
      <c r="J6" s="289"/>
      <c r="K6" s="283"/>
      <c r="L6" s="283"/>
      <c r="M6" s="283"/>
      <c r="N6" s="283"/>
      <c r="O6" s="283"/>
      <c r="R6" s="194"/>
      <c r="S6" s="194"/>
      <c r="T6" s="285"/>
    </row>
    <row r="7" ht="6.75" customHeight="1">
      <c r="B7" s="291"/>
      <c r="C7" s="291"/>
      <c r="D7" s="181"/>
      <c r="E7" s="292"/>
      <c r="F7" s="292"/>
      <c r="G7" s="293"/>
      <c r="H7" s="294"/>
      <c r="I7" s="295"/>
      <c r="J7" s="296"/>
      <c r="K7" s="297"/>
      <c r="L7" s="297"/>
      <c r="M7" s="297"/>
      <c r="N7" s="297"/>
      <c r="O7" s="298"/>
      <c r="P7" s="298"/>
      <c r="Q7" s="297"/>
      <c r="R7" s="297"/>
      <c r="S7" s="297"/>
      <c r="T7" s="297"/>
    </row>
    <row r="8" ht="31.5" customHeight="1">
      <c r="A8" s="299"/>
      <c r="B8" s="300" t="str">
        <f>IFERROR(__xludf.DUMMYFUNCTION("{QUERY('Base de Dados'!A1:BR518, ""select A, B, C, V, W, I, Q, BH, U, AL, AR, AS, AT, AD, AE where K = 'GND4' and J = 'SETIC' and A &gt; 1000 and R = '1 - Selecionado'  order by BH DESC, C"",1)}"),"Id")</f>
        <v>Id</v>
      </c>
      <c r="C8" s="300" t="str">
        <f>IFERROR(__xludf.DUMMYFUNCTION("""COMPUTED_VALUE"""),"Grupo")</f>
        <v>Grupo</v>
      </c>
      <c r="D8" s="301" t="str">
        <f>IFERROR(__xludf.DUMMYFUNCTION("""COMPUTED_VALUE"""),"Descrição")</f>
        <v>Descrição</v>
      </c>
      <c r="E8" s="302" t="str">
        <f>IFERROR(__xludf.DUMMYFUNCTION("""COMPUTED_VALUE"""),"DOD")</f>
        <v>DOD</v>
      </c>
      <c r="F8" s="302" t="str">
        <f>IFERROR(__xludf.DUMMYFUNCTION("""COMPUTED_VALUE"""),"Contrato")</f>
        <v>Contrato</v>
      </c>
      <c r="G8" s="303" t="str">
        <f>IFERROR(__xludf.DUMMYFUNCTION("""COMPUTED_VALUE"""),"Demandante")</f>
        <v>Demandante</v>
      </c>
      <c r="H8" s="304" t="str">
        <f>IFERROR(__xludf.DUMMYFUNCTION("""COMPUTED_VALUE"""),"Prioridade")</f>
        <v>Prioridade</v>
      </c>
      <c r="I8" s="305" t="str">
        <f>IFERROR(__xludf.DUMMYFUNCTION("""COMPUTED_VALUE"""),"PAAC Pontuação")</f>
        <v>PAAC Pontuação</v>
      </c>
      <c r="J8" s="306" t="str">
        <f>IFERROR(__xludf.DUMMYFUNCTION("""COMPUTED_VALUE"""),"Situação (Fase)")</f>
        <v>Situação (Fase)</v>
      </c>
      <c r="K8" s="307" t="str">
        <f>IFERROR(__xludf.DUMMYFUNCTION("""COMPUTED_VALUE"""),"5a Linha de Base")</f>
        <v>5a Linha de Base</v>
      </c>
      <c r="L8" s="307" t="str">
        <f>IFERROR(__xludf.DUMMYFUNCTION("""COMPUTED_VALUE"""),"Valor Projetado Preliminar")</f>
        <v>Valor Projetado Preliminar</v>
      </c>
      <c r="M8" s="307" t="str">
        <f>IFERROR(__xludf.DUMMYFUNCTION("""COMPUTED_VALUE"""),"Última Parcela 2021")</f>
        <v>Última Parcela 2021</v>
      </c>
      <c r="N8" s="307" t="str">
        <f>IFERROR(__xludf.DUMMYFUNCTION("""COMPUTED_VALUE"""),"Valor Projetado")</f>
        <v>Valor Projetado</v>
      </c>
      <c r="O8" s="308" t="str">
        <f>IFERROR(__xludf.DUMMYFUNCTION("""COMPUTED_VALUE"""),"Data para Adm")</f>
        <v>Data para Adm</v>
      </c>
      <c r="P8" s="308" t="str">
        <f>IFERROR(__xludf.DUMMYFUNCTION("""COMPUTED_VALUE"""),"Data para objeto")</f>
        <v>Data para objeto</v>
      </c>
      <c r="Q8" s="309" t="s">
        <v>717</v>
      </c>
      <c r="R8" s="309" t="s">
        <v>718</v>
      </c>
      <c r="S8" s="310"/>
      <c r="T8" s="310"/>
    </row>
    <row r="9">
      <c r="B9" s="311">
        <f>IFERROR(__xludf.DUMMYFUNCTION("""COMPUTED_VALUE"""),15304.0)</f>
        <v>15304</v>
      </c>
      <c r="C9" s="311">
        <f>IFERROR(__xludf.DUMMYFUNCTION("""COMPUTED_VALUE"""),15304.0)</f>
        <v>15304</v>
      </c>
      <c r="D9" s="312" t="str">
        <f>IFERROR(__xludf.DUMMYFUNCTION("""COMPUTED_VALUE"""),"BACKUP EQUIPAMENTOS - Aquisição de um novo equipamento para atualizar o sistema de backup do datacenter auxiliar.")</f>
        <v>BACKUP EQUIPAMENTOS - Aquisição de um novo equipamento para atualizar o sistema de backup do datacenter auxiliar.</v>
      </c>
      <c r="E9" s="313" t="str">
        <f>IFERROR(__xludf.DUMMYFUNCTION("""COMPUTED_VALUE"""),"8147/2021")</f>
        <v>8147/2021</v>
      </c>
      <c r="F9" s="313" t="str">
        <f>IFERROR(__xludf.DUMMYFUNCTION("""COMPUTED_VALUE"""),"10394/2021")</f>
        <v>10394/2021</v>
      </c>
      <c r="G9" s="314" t="str">
        <f>IFERROR(__xludf.DUMMYFUNCTION("""COMPUTED_VALUE"""),"SETIC")</f>
        <v>SETIC</v>
      </c>
      <c r="H9" s="315" t="str">
        <f>IFERROR(__xludf.DUMMYFUNCTION("""COMPUTED_VALUE"""),"1 - Imprescindível")</f>
        <v>1 - Imprescindível</v>
      </c>
      <c r="I9" s="316">
        <f>IFERROR(__xludf.DUMMYFUNCTION("""COMPUTED_VALUE"""),300000.0)</f>
        <v>300000</v>
      </c>
      <c r="J9" s="317" t="str">
        <f>IFERROR(__xludf.DUMMYFUNCTION("""COMPUTED_VALUE"""),"05 - PB enviado")</f>
        <v>05 - PB enviado</v>
      </c>
      <c r="K9" s="318"/>
      <c r="L9" s="318">
        <f>IFERROR(__xludf.DUMMYFUNCTION("""COMPUTED_VALUE"""),433000.0)</f>
        <v>433000</v>
      </c>
      <c r="M9" s="318"/>
      <c r="N9" s="318">
        <f>IFERROR(__xludf.DUMMYFUNCTION("""COMPUTED_VALUE"""),433000.0)</f>
        <v>433000</v>
      </c>
      <c r="O9" s="319">
        <f>IFERROR(__xludf.DUMMYFUNCTION("""COMPUTED_VALUE"""),44525.0)</f>
        <v>44525</v>
      </c>
      <c r="P9" s="319">
        <f>IFERROR(__xludf.DUMMYFUNCTION("""COMPUTED_VALUE"""),44635.0)</f>
        <v>44635</v>
      </c>
      <c r="Q9" s="318">
        <f>N9</f>
        <v>433000</v>
      </c>
      <c r="R9" s="318">
        <f t="array" ref="R9:R518">N9:N518-K9:K518</f>
        <v>433000</v>
      </c>
      <c r="S9" s="320">
        <v>565102.89</v>
      </c>
      <c r="T9" s="297" t="str">
        <f t="array" ref="T9:T518">if(Q9:Q518&gt;Q$2,"AG","OK")</f>
        <v>OK</v>
      </c>
    </row>
    <row r="10">
      <c r="B10" s="311">
        <f>IFERROR(__xludf.DUMMYFUNCTION("""COMPUTED_VALUE"""),15898.0)</f>
        <v>15898</v>
      </c>
      <c r="C10" s="311">
        <f>IFERROR(__xludf.DUMMYFUNCTION("""COMPUTED_VALUE"""),99999.0)</f>
        <v>99999</v>
      </c>
      <c r="D10" s="312" t="str">
        <f>IFERROR(__xludf.DUMMYFUNCTION("""COMPUTED_VALUE"""),"NOBREAK EQUIPAMENTOS - Fornecimento de energia elétrica estabilizada e ininterrupta ao data center principal (equipamentos de 40 e 80 kVA)")</f>
        <v>NOBREAK EQUIPAMENTOS - Fornecimento de energia elétrica estabilizada e ininterrupta ao data center principal (equipamentos de 40 e 80 kVA)</v>
      </c>
      <c r="E10" s="313" t="str">
        <f>IFERROR(__xludf.DUMMYFUNCTION("""COMPUTED_VALUE"""),"2760/2022")</f>
        <v>2760/2022</v>
      </c>
      <c r="F10" s="313"/>
      <c r="G10" s="314" t="str">
        <f>IFERROR(__xludf.DUMMYFUNCTION("""COMPUTED_VALUE"""),"SETIC")</f>
        <v>SETIC</v>
      </c>
      <c r="H10" s="315" t="str">
        <f>IFERROR(__xludf.DUMMYFUNCTION("""COMPUTED_VALUE"""),"1 - Imprescindível")</f>
        <v>1 - Imprescindível</v>
      </c>
      <c r="I10" s="316">
        <f>IFERROR(__xludf.DUMMYFUNCTION("""COMPUTED_VALUE"""),300000.0)</f>
        <v>300000</v>
      </c>
      <c r="J10" s="317" t="str">
        <f>IFERROR(__xludf.DUMMYFUNCTION("""COMPUTED_VALUE"""),"02 - DOD emitido")</f>
        <v>02 - DOD emitido</v>
      </c>
      <c r="K10" s="318"/>
      <c r="L10" s="318">
        <f>IFERROR(__xludf.DUMMYFUNCTION("""COMPUTED_VALUE"""),533000.0)</f>
        <v>533000</v>
      </c>
      <c r="M10" s="318"/>
      <c r="N10" s="318">
        <f>IFERROR(__xludf.DUMMYFUNCTION("""COMPUTED_VALUE"""),533000.0)</f>
        <v>533000</v>
      </c>
      <c r="O10" s="319">
        <f>IFERROR(__xludf.DUMMYFUNCTION("""COMPUTED_VALUE"""),44603.0)</f>
        <v>44603</v>
      </c>
      <c r="P10" s="319">
        <f>IFERROR(__xludf.DUMMYFUNCTION("""COMPUTED_VALUE"""),44713.0)</f>
        <v>44713</v>
      </c>
      <c r="Q10" s="318">
        <f t="shared" ref="Q10:Q13" si="1">Q9+N10</f>
        <v>966000</v>
      </c>
      <c r="R10" s="318">
        <v>533000.0</v>
      </c>
      <c r="S10" s="297">
        <f>Q2-S9</f>
        <v>340877.11</v>
      </c>
      <c r="T10" s="297" t="s">
        <v>720</v>
      </c>
    </row>
    <row r="11">
      <c r="B11" s="311">
        <f>IFERROR(__xludf.DUMMYFUNCTION("""COMPUTED_VALUE"""),15376.0)</f>
        <v>15376</v>
      </c>
      <c r="C11" s="311">
        <f>IFERROR(__xludf.DUMMYFUNCTION("""COMPUTED_VALUE"""),0.0)</f>
        <v>0</v>
      </c>
      <c r="D11" s="312" t="str">
        <f>IFERROR(__xludf.DUMMYFUNCTION("""COMPUTED_VALUE"""),"NOBREAKS EQUIPAMENTOS - Aquisição de equipamentos de 8 e 10 kVA")</f>
        <v>NOBREAKS EQUIPAMENTOS - Aquisição de equipamentos de 8 e 10 kVA</v>
      </c>
      <c r="E11" s="313" t="str">
        <f>IFERROR(__xludf.DUMMYFUNCTION("""COMPUTED_VALUE"""),"3569/2021")</f>
        <v>3569/2021</v>
      </c>
      <c r="F11" s="313" t="str">
        <f>IFERROR(__xludf.DUMMYFUNCTION("""COMPUTED_VALUE"""),"9240/2021")</f>
        <v>9240/2021</v>
      </c>
      <c r="G11" s="314" t="str">
        <f>IFERROR(__xludf.DUMMYFUNCTION("""COMPUTED_VALUE"""),"SETIC")</f>
        <v>SETIC</v>
      </c>
      <c r="H11" s="315" t="str">
        <f>IFERROR(__xludf.DUMMYFUNCTION("""COMPUTED_VALUE"""),"1 - Imprescindível")</f>
        <v>1 - Imprescindível</v>
      </c>
      <c r="I11" s="316">
        <f>IFERROR(__xludf.DUMMYFUNCTION("""COMPUTED_VALUE"""),300000.0)</f>
        <v>300000</v>
      </c>
      <c r="J11" s="317" t="str">
        <f>IFERROR(__xludf.DUMMYFUNCTION("""COMPUTED_VALUE"""),"05 - PB enviado")</f>
        <v>05 - PB enviado</v>
      </c>
      <c r="K11" s="318"/>
      <c r="L11" s="318">
        <f>IFERROR(__xludf.DUMMYFUNCTION("""COMPUTED_VALUE"""),868538.56)</f>
        <v>868538.56</v>
      </c>
      <c r="M11" s="318"/>
      <c r="N11" s="318">
        <f>IFERROR(__xludf.DUMMYFUNCTION("""COMPUTED_VALUE"""),868538.56)</f>
        <v>868538.56</v>
      </c>
      <c r="O11" s="319">
        <f>IFERROR(__xludf.DUMMYFUNCTION("""COMPUTED_VALUE"""),44603.0)</f>
        <v>44603</v>
      </c>
      <c r="P11" s="319">
        <f>IFERROR(__xludf.DUMMYFUNCTION("""COMPUTED_VALUE"""),44713.0)</f>
        <v>44713</v>
      </c>
      <c r="Q11" s="318">
        <f t="shared" si="1"/>
        <v>1834538.56</v>
      </c>
      <c r="R11" s="318">
        <v>868538.56</v>
      </c>
      <c r="S11" s="297">
        <f>S9-Q10</f>
        <v>-400897.11</v>
      </c>
      <c r="T11" s="297" t="s">
        <v>720</v>
      </c>
    </row>
    <row r="12">
      <c r="B12" s="311">
        <f>IFERROR(__xludf.DUMMYFUNCTION("""COMPUTED_VALUE"""),15327.0)</f>
        <v>15327</v>
      </c>
      <c r="C12" s="311">
        <f>IFERROR(__xludf.DUMMYFUNCTION("""COMPUTED_VALUE"""),0.0)</f>
        <v>0</v>
      </c>
      <c r="D12" s="312" t="str">
        <f>IFERROR(__xludf.DUMMYFUNCTION("""COMPUTED_VALUE"""),"SWITCHES EQUIPAMENTOS - Ampliação da capacidade da rede SAN, que conecta os equipamentos servidores e sistema de backup às unidades de armazenamento.")</f>
        <v>SWITCHES EQUIPAMENTOS - Ampliação da capacidade da rede SAN, que conecta os equipamentos servidores e sistema de backup às unidades de armazenamento.</v>
      </c>
      <c r="E12" s="313" t="str">
        <f>IFERROR(__xludf.DUMMYFUNCTION("""COMPUTED_VALUE"""),"9109/2021")</f>
        <v>9109/2021</v>
      </c>
      <c r="F12" s="313"/>
      <c r="G12" s="314" t="str">
        <f>IFERROR(__xludf.DUMMYFUNCTION("""COMPUTED_VALUE"""),"SETIC")</f>
        <v>SETIC</v>
      </c>
      <c r="H12" s="315" t="str">
        <f>IFERROR(__xludf.DUMMYFUNCTION("""COMPUTED_VALUE"""),"1 - Imprescindível")</f>
        <v>1 - Imprescindível</v>
      </c>
      <c r="I12" s="316">
        <f>IFERROR(__xludf.DUMMYFUNCTION("""COMPUTED_VALUE"""),300000.0)</f>
        <v>300000</v>
      </c>
      <c r="J12" s="317" t="str">
        <f>IFERROR(__xludf.DUMMYFUNCTION("""COMPUTED_VALUE"""),"02 - DOD emitido")</f>
        <v>02 - DOD emitido</v>
      </c>
      <c r="K12" s="318"/>
      <c r="L12" s="318">
        <f>IFERROR(__xludf.DUMMYFUNCTION("""COMPUTED_VALUE"""),360000.0)</f>
        <v>360000</v>
      </c>
      <c r="M12" s="318"/>
      <c r="N12" s="318">
        <f>IFERROR(__xludf.DUMMYFUNCTION("""COMPUTED_VALUE"""),360000.0)</f>
        <v>360000</v>
      </c>
      <c r="O12" s="319">
        <f>IFERROR(__xludf.DUMMYFUNCTION("""COMPUTED_VALUE"""),44695.0)</f>
        <v>44695</v>
      </c>
      <c r="P12" s="319">
        <f>IFERROR(__xludf.DUMMYFUNCTION("""COMPUTED_VALUE"""),44805.0)</f>
        <v>44805</v>
      </c>
      <c r="Q12" s="318">
        <f t="shared" si="1"/>
        <v>2194538.56</v>
      </c>
      <c r="R12" s="318">
        <v>360000.0</v>
      </c>
      <c r="S12" s="297">
        <v>500000.0</v>
      </c>
      <c r="T12" s="297" t="s">
        <v>720</v>
      </c>
    </row>
    <row r="13">
      <c r="B13" s="311">
        <f>IFERROR(__xludf.DUMMYFUNCTION("""COMPUTED_VALUE"""),15387.0)</f>
        <v>15387</v>
      </c>
      <c r="C13" s="311">
        <f>IFERROR(__xludf.DUMMYFUNCTION("""COMPUTED_VALUE"""),99999.0)</f>
        <v>99999</v>
      </c>
      <c r="D13" s="312" t="str">
        <f>IFERROR(__xludf.DUMMYFUNCTION("""COMPUTED_VALUE"""),"VMWARE LICENÇA - Licença perpétua do VS7-EPL-C com suporte e subscrição Basic por 5 anos (item 2 do DOD)")</f>
        <v>VMWARE LICENÇA - Licença perpétua do VS7-EPL-C com suporte e subscrição Basic por 5 anos (item 2 do DOD)</v>
      </c>
      <c r="E13" s="313" t="str">
        <f>IFERROR(__xludf.DUMMYFUNCTION("""COMPUTED_VALUE"""),"12634/2021")</f>
        <v>12634/2021</v>
      </c>
      <c r="F13" s="313"/>
      <c r="G13" s="314" t="str">
        <f>IFERROR(__xludf.DUMMYFUNCTION("""COMPUTED_VALUE"""),"SETIC")</f>
        <v>SETIC</v>
      </c>
      <c r="H13" s="315" t="str">
        <f>IFERROR(__xludf.DUMMYFUNCTION("""COMPUTED_VALUE"""),"1 - Imprescindível")</f>
        <v>1 - Imprescindível</v>
      </c>
      <c r="I13" s="316">
        <f>IFERROR(__xludf.DUMMYFUNCTION("""COMPUTED_VALUE"""),300000.0)</f>
        <v>300000</v>
      </c>
      <c r="J13" s="317" t="str">
        <f>IFERROR(__xludf.DUMMYFUNCTION("""COMPUTED_VALUE"""),"02 - DOD emitido")</f>
        <v>02 - DOD emitido</v>
      </c>
      <c r="K13" s="318"/>
      <c r="L13" s="318">
        <f>IFERROR(__xludf.DUMMYFUNCTION("""COMPUTED_VALUE"""),395000.0)</f>
        <v>395000</v>
      </c>
      <c r="M13" s="318"/>
      <c r="N13" s="318">
        <f>IFERROR(__xludf.DUMMYFUNCTION("""COMPUTED_VALUE"""),395000.0)</f>
        <v>395000</v>
      </c>
      <c r="O13" s="319">
        <f>IFERROR(__xludf.DUMMYFUNCTION("""COMPUTED_VALUE"""),44575.0)</f>
        <v>44575</v>
      </c>
      <c r="P13" s="319">
        <f>IFERROR(__xludf.DUMMYFUNCTION("""COMPUTED_VALUE"""),44635.0)</f>
        <v>44635</v>
      </c>
      <c r="Q13" s="318">
        <f t="shared" si="1"/>
        <v>2589538.56</v>
      </c>
      <c r="R13" s="318">
        <v>395000.0</v>
      </c>
      <c r="S13" s="297">
        <v>6000.0</v>
      </c>
      <c r="T13" s="297" t="s">
        <v>720</v>
      </c>
    </row>
    <row r="14">
      <c r="B14" s="291">
        <f>IFERROR(__xludf.DUMMYFUNCTION("""COMPUTED_VALUE"""),15362.0)</f>
        <v>15362</v>
      </c>
      <c r="C14" s="291">
        <f>IFERROR(__xludf.DUMMYFUNCTION("""COMPUTED_VALUE"""),0.0)</f>
        <v>0</v>
      </c>
      <c r="D14" s="181" t="str">
        <f>IFERROR(__xludf.DUMMYFUNCTION("""COMPUTED_VALUE"""),"IMPRESSORAS - Aquisição de impressoras de pequeno porte convencionais")</f>
        <v>IMPRESSORAS - Aquisição de impressoras de pequeno porte convencionais</v>
      </c>
      <c r="E14" s="292"/>
      <c r="F14" s="292"/>
      <c r="G14" s="293" t="str">
        <f>IFERROR(__xludf.DUMMYFUNCTION("""COMPUTED_VALUE"""),"SETIC")</f>
        <v>SETIC</v>
      </c>
      <c r="H14" s="294" t="str">
        <f>IFERROR(__xludf.DUMMYFUNCTION("""COMPUTED_VALUE"""),"2 - Importante")</f>
        <v>2 - Importante</v>
      </c>
      <c r="I14" s="295">
        <f>IFERROR(__xludf.DUMMYFUNCTION("""COMPUTED_VALUE"""),200000.0)</f>
        <v>200000</v>
      </c>
      <c r="J14" s="296" t="str">
        <f>IFERROR(__xludf.DUMMYFUNCTION("""COMPUTED_VALUE"""),"01 - Não oficializado")</f>
        <v>01 - Não oficializado</v>
      </c>
      <c r="K14" s="297"/>
      <c r="L14" s="297">
        <f>IFERROR(__xludf.DUMMYFUNCTION("""COMPUTED_VALUE"""),118338.70000000001)</f>
        <v>118338.7</v>
      </c>
      <c r="M14" s="297"/>
      <c r="N14" s="297">
        <f>IFERROR(__xludf.DUMMYFUNCTION("""COMPUTED_VALUE"""),118338.70000000001)</f>
        <v>118338.7</v>
      </c>
      <c r="O14" s="298">
        <f>IFERROR(__xludf.DUMMYFUNCTION("""COMPUTED_VALUE"""),44698.0)</f>
        <v>44698</v>
      </c>
      <c r="P14" s="298">
        <f>IFERROR(__xludf.DUMMYFUNCTION("""COMPUTED_VALUE"""),44743.0)</f>
        <v>44743</v>
      </c>
      <c r="Q14" s="297"/>
      <c r="R14" s="297">
        <v>118338.70000000001</v>
      </c>
      <c r="S14" s="320">
        <v>-27000.0</v>
      </c>
      <c r="T14" s="297" t="s">
        <v>719</v>
      </c>
    </row>
    <row r="15">
      <c r="B15" s="291">
        <f>IFERROR(__xludf.DUMMYFUNCTION("""COMPUTED_VALUE"""),15361.0)</f>
        <v>15361</v>
      </c>
      <c r="C15" s="291">
        <f>IFERROR(__xludf.DUMMYFUNCTION("""COMPUTED_VALUE"""),0.0)</f>
        <v>0</v>
      </c>
      <c r="D15" s="181" t="str">
        <f>IFERROR(__xludf.DUMMYFUNCTION("""COMPUTED_VALUE"""),"MICROCOMPUTADORES - Aquisição de microcomputadores modelo mini desktop tipo 2 com wi-fi")</f>
        <v>MICROCOMPUTADORES - Aquisição de microcomputadores modelo mini desktop tipo 2 com wi-fi</v>
      </c>
      <c r="E15" s="292" t="str">
        <f>IFERROR(__xludf.DUMMYFUNCTION("""COMPUTED_VALUE"""),"9944/2021")</f>
        <v>9944/2021</v>
      </c>
      <c r="F15" s="292"/>
      <c r="G15" s="293" t="str">
        <f>IFERROR(__xludf.DUMMYFUNCTION("""COMPUTED_VALUE"""),"SETIC")</f>
        <v>SETIC</v>
      </c>
      <c r="H15" s="294" t="str">
        <f>IFERROR(__xludf.DUMMYFUNCTION("""COMPUTED_VALUE"""),"2 - Importante")</f>
        <v>2 - Importante</v>
      </c>
      <c r="I15" s="295">
        <f>IFERROR(__xludf.DUMMYFUNCTION("""COMPUTED_VALUE"""),200000.0)</f>
        <v>200000</v>
      </c>
      <c r="J15" s="296" t="str">
        <f>IFERROR(__xludf.DUMMYFUNCTION("""COMPUTED_VALUE"""),"02 - DOD emitido")</f>
        <v>02 - DOD emitido</v>
      </c>
      <c r="K15" s="297"/>
      <c r="L15" s="297">
        <f>IFERROR(__xludf.DUMMYFUNCTION("""COMPUTED_VALUE"""),3037300.0)</f>
        <v>3037300</v>
      </c>
      <c r="M15" s="297"/>
      <c r="N15" s="297">
        <f>IFERROR(__xludf.DUMMYFUNCTION("""COMPUTED_VALUE"""),3037300.0)</f>
        <v>3037300</v>
      </c>
      <c r="O15" s="298">
        <f>IFERROR(__xludf.DUMMYFUNCTION("""COMPUTED_VALUE"""),44698.0)</f>
        <v>44698</v>
      </c>
      <c r="P15" s="298">
        <f>IFERROR(__xludf.DUMMYFUNCTION("""COMPUTED_VALUE"""),44743.0)</f>
        <v>44743</v>
      </c>
      <c r="Q15" s="297"/>
      <c r="R15" s="297">
        <v>3037300.0</v>
      </c>
      <c r="S15" s="297"/>
      <c r="T15" s="297" t="s">
        <v>719</v>
      </c>
    </row>
    <row r="16">
      <c r="B16" s="291"/>
      <c r="C16" s="291"/>
      <c r="D16" s="181"/>
      <c r="E16" s="292"/>
      <c r="F16" s="292"/>
      <c r="G16" s="293"/>
      <c r="H16" s="294"/>
      <c r="I16" s="295"/>
      <c r="J16" s="296"/>
      <c r="K16" s="297"/>
      <c r="L16" s="297"/>
      <c r="M16" s="297"/>
      <c r="N16" s="297"/>
      <c r="O16" s="298"/>
      <c r="P16" s="298"/>
      <c r="Q16" s="297"/>
      <c r="R16" s="297">
        <v>0.0</v>
      </c>
      <c r="S16" s="297"/>
      <c r="T16" s="297" t="s">
        <v>719</v>
      </c>
    </row>
    <row r="17">
      <c r="B17" s="291"/>
      <c r="C17" s="291"/>
      <c r="D17" s="181"/>
      <c r="E17" s="292"/>
      <c r="F17" s="292"/>
      <c r="G17" s="293"/>
      <c r="H17" s="294"/>
      <c r="I17" s="295"/>
      <c r="J17" s="296"/>
      <c r="K17" s="297"/>
      <c r="L17" s="297"/>
      <c r="M17" s="297"/>
      <c r="N17" s="297"/>
      <c r="O17" s="298"/>
      <c r="P17" s="298"/>
      <c r="Q17" s="297"/>
      <c r="R17" s="297">
        <v>0.0</v>
      </c>
      <c r="S17" s="297"/>
      <c r="T17" s="297" t="s">
        <v>719</v>
      </c>
    </row>
    <row r="18">
      <c r="B18" s="291"/>
      <c r="C18" s="291"/>
      <c r="D18" s="181"/>
      <c r="E18" s="292"/>
      <c r="F18" s="292"/>
      <c r="G18" s="293"/>
      <c r="H18" s="294"/>
      <c r="I18" s="295"/>
      <c r="J18" s="296"/>
      <c r="K18" s="297"/>
      <c r="L18" s="297"/>
      <c r="M18" s="297"/>
      <c r="N18" s="297"/>
      <c r="O18" s="298"/>
      <c r="P18" s="298"/>
      <c r="Q18" s="297"/>
      <c r="R18" s="297">
        <v>0.0</v>
      </c>
      <c r="S18" s="297"/>
      <c r="T18" s="297" t="s">
        <v>719</v>
      </c>
    </row>
    <row r="19">
      <c r="B19" s="291"/>
      <c r="C19" s="291"/>
      <c r="D19" s="181"/>
      <c r="E19" s="292"/>
      <c r="F19" s="292"/>
      <c r="G19" s="293"/>
      <c r="H19" s="294"/>
      <c r="I19" s="295"/>
      <c r="J19" s="296"/>
      <c r="K19" s="297"/>
      <c r="L19" s="297"/>
      <c r="M19" s="297"/>
      <c r="N19" s="297"/>
      <c r="O19" s="298"/>
      <c r="P19" s="298"/>
      <c r="Q19" s="297"/>
      <c r="R19" s="297">
        <v>0.0</v>
      </c>
      <c r="S19" s="297"/>
      <c r="T19" s="297" t="s">
        <v>719</v>
      </c>
    </row>
    <row r="20">
      <c r="B20" s="291"/>
      <c r="C20" s="291"/>
      <c r="D20" s="181"/>
      <c r="E20" s="292"/>
      <c r="F20" s="292"/>
      <c r="G20" s="293"/>
      <c r="H20" s="294"/>
      <c r="I20" s="295"/>
      <c r="J20" s="296"/>
      <c r="K20" s="297"/>
      <c r="L20" s="297"/>
      <c r="M20" s="297"/>
      <c r="N20" s="297"/>
      <c r="O20" s="298"/>
      <c r="P20" s="298"/>
      <c r="Q20" s="297"/>
      <c r="R20" s="297">
        <v>0.0</v>
      </c>
      <c r="S20" s="297"/>
      <c r="T20" s="297" t="s">
        <v>719</v>
      </c>
    </row>
    <row r="21">
      <c r="B21" s="291"/>
      <c r="C21" s="291"/>
      <c r="D21" s="181"/>
      <c r="E21" s="292"/>
      <c r="F21" s="292"/>
      <c r="G21" s="293"/>
      <c r="H21" s="294"/>
      <c r="I21" s="295"/>
      <c r="J21" s="296"/>
      <c r="K21" s="297"/>
      <c r="L21" s="297"/>
      <c r="M21" s="297"/>
      <c r="N21" s="297"/>
      <c r="O21" s="298"/>
      <c r="P21" s="298"/>
      <c r="Q21" s="297"/>
      <c r="R21" s="297">
        <v>0.0</v>
      </c>
      <c r="S21" s="297"/>
      <c r="T21" s="297" t="s">
        <v>719</v>
      </c>
    </row>
    <row r="22">
      <c r="B22" s="291"/>
      <c r="C22" s="291"/>
      <c r="D22" s="181"/>
      <c r="E22" s="292"/>
      <c r="F22" s="292"/>
      <c r="G22" s="293"/>
      <c r="H22" s="294"/>
      <c r="I22" s="295"/>
      <c r="J22" s="296"/>
      <c r="K22" s="297"/>
      <c r="L22" s="297"/>
      <c r="M22" s="297"/>
      <c r="N22" s="297"/>
      <c r="O22" s="298"/>
      <c r="P22" s="298"/>
      <c r="Q22" s="297"/>
      <c r="R22" s="297">
        <v>0.0</v>
      </c>
      <c r="S22" s="297"/>
      <c r="T22" s="297" t="s">
        <v>719</v>
      </c>
    </row>
    <row r="23">
      <c r="B23" s="291"/>
      <c r="C23" s="291"/>
      <c r="D23" s="181"/>
      <c r="E23" s="292"/>
      <c r="F23" s="292"/>
      <c r="G23" s="293"/>
      <c r="H23" s="294"/>
      <c r="I23" s="295"/>
      <c r="J23" s="296"/>
      <c r="K23" s="297"/>
      <c r="L23" s="297"/>
      <c r="M23" s="297"/>
      <c r="N23" s="297"/>
      <c r="O23" s="298"/>
      <c r="P23" s="298"/>
      <c r="Q23" s="297"/>
      <c r="R23" s="297">
        <v>0.0</v>
      </c>
      <c r="S23" s="297"/>
      <c r="T23" s="297" t="s">
        <v>719</v>
      </c>
    </row>
    <row r="24">
      <c r="B24" s="291"/>
      <c r="C24" s="291"/>
      <c r="D24" s="181"/>
      <c r="E24" s="292"/>
      <c r="F24" s="292"/>
      <c r="G24" s="293"/>
      <c r="H24" s="294"/>
      <c r="I24" s="295"/>
      <c r="J24" s="296"/>
      <c r="K24" s="297"/>
      <c r="L24" s="297"/>
      <c r="M24" s="297"/>
      <c r="N24" s="297"/>
      <c r="O24" s="298"/>
      <c r="P24" s="298"/>
      <c r="Q24" s="297"/>
      <c r="R24" s="297">
        <v>0.0</v>
      </c>
      <c r="S24" s="297"/>
      <c r="T24" s="297" t="s">
        <v>719</v>
      </c>
    </row>
    <row r="25">
      <c r="B25" s="291"/>
      <c r="C25" s="291"/>
      <c r="D25" s="181"/>
      <c r="E25" s="292"/>
      <c r="F25" s="292"/>
      <c r="G25" s="293"/>
      <c r="H25" s="294"/>
      <c r="I25" s="295"/>
      <c r="J25" s="296"/>
      <c r="K25" s="297"/>
      <c r="L25" s="297"/>
      <c r="M25" s="297"/>
      <c r="N25" s="297"/>
      <c r="O25" s="298"/>
      <c r="P25" s="298"/>
      <c r="Q25" s="297"/>
      <c r="R25" s="297">
        <v>0.0</v>
      </c>
      <c r="S25" s="297"/>
      <c r="T25" s="297" t="s">
        <v>719</v>
      </c>
    </row>
    <row r="26">
      <c r="B26" s="291"/>
      <c r="C26" s="291"/>
      <c r="D26" s="181"/>
      <c r="E26" s="292"/>
      <c r="F26" s="292"/>
      <c r="G26" s="293"/>
      <c r="H26" s="294"/>
      <c r="I26" s="295"/>
      <c r="J26" s="296"/>
      <c r="K26" s="297"/>
      <c r="L26" s="297"/>
      <c r="M26" s="297"/>
      <c r="N26" s="297"/>
      <c r="O26" s="298"/>
      <c r="P26" s="298"/>
      <c r="Q26" s="297"/>
      <c r="R26" s="297">
        <v>0.0</v>
      </c>
      <c r="S26" s="297"/>
      <c r="T26" s="297" t="s">
        <v>719</v>
      </c>
    </row>
    <row r="27">
      <c r="B27" s="291"/>
      <c r="C27" s="291"/>
      <c r="D27" s="181"/>
      <c r="E27" s="292"/>
      <c r="F27" s="292"/>
      <c r="G27" s="293"/>
      <c r="H27" s="294"/>
      <c r="I27" s="295"/>
      <c r="J27" s="296"/>
      <c r="K27" s="297"/>
      <c r="L27" s="297"/>
      <c r="M27" s="297"/>
      <c r="N27" s="297"/>
      <c r="O27" s="298"/>
      <c r="P27" s="298"/>
      <c r="Q27" s="297"/>
      <c r="R27" s="297">
        <v>0.0</v>
      </c>
      <c r="S27" s="297"/>
      <c r="T27" s="297" t="s">
        <v>719</v>
      </c>
    </row>
    <row r="28">
      <c r="B28" s="291"/>
      <c r="C28" s="291"/>
      <c r="D28" s="181"/>
      <c r="E28" s="292"/>
      <c r="F28" s="292"/>
      <c r="G28" s="293"/>
      <c r="H28" s="294"/>
      <c r="I28" s="295"/>
      <c r="J28" s="296"/>
      <c r="K28" s="297"/>
      <c r="L28" s="297"/>
      <c r="M28" s="297"/>
      <c r="N28" s="297"/>
      <c r="O28" s="298"/>
      <c r="P28" s="298"/>
      <c r="Q28" s="297"/>
      <c r="R28" s="297">
        <v>0.0</v>
      </c>
      <c r="S28" s="297"/>
      <c r="T28" s="297" t="s">
        <v>719</v>
      </c>
    </row>
    <row r="29">
      <c r="B29" s="291"/>
      <c r="C29" s="291"/>
      <c r="D29" s="181"/>
      <c r="E29" s="292"/>
      <c r="F29" s="292"/>
      <c r="G29" s="293"/>
      <c r="H29" s="294"/>
      <c r="I29" s="295"/>
      <c r="J29" s="296"/>
      <c r="K29" s="297"/>
      <c r="L29" s="297"/>
      <c r="M29" s="297"/>
      <c r="N29" s="297"/>
      <c r="O29" s="298"/>
      <c r="P29" s="298"/>
      <c r="Q29" s="297"/>
      <c r="R29" s="297">
        <v>0.0</v>
      </c>
      <c r="S29" s="297"/>
      <c r="T29" s="297" t="s">
        <v>719</v>
      </c>
    </row>
    <row r="30">
      <c r="B30" s="291"/>
      <c r="C30" s="291"/>
      <c r="D30" s="181"/>
      <c r="E30" s="292"/>
      <c r="F30" s="292"/>
      <c r="G30" s="293"/>
      <c r="H30" s="294"/>
      <c r="I30" s="295"/>
      <c r="J30" s="296"/>
      <c r="K30" s="297"/>
      <c r="L30" s="297"/>
      <c r="M30" s="297"/>
      <c r="N30" s="297"/>
      <c r="O30" s="298"/>
      <c r="P30" s="298"/>
      <c r="Q30" s="297"/>
      <c r="R30" s="297">
        <v>0.0</v>
      </c>
      <c r="S30" s="297"/>
      <c r="T30" s="297" t="s">
        <v>719</v>
      </c>
    </row>
    <row r="31">
      <c r="B31" s="291"/>
      <c r="C31" s="291"/>
      <c r="D31" s="181"/>
      <c r="E31" s="292"/>
      <c r="F31" s="292"/>
      <c r="G31" s="293"/>
      <c r="H31" s="294"/>
      <c r="I31" s="295"/>
      <c r="J31" s="296"/>
      <c r="K31" s="297"/>
      <c r="L31" s="297"/>
      <c r="M31" s="297"/>
      <c r="N31" s="297"/>
      <c r="O31" s="298"/>
      <c r="P31" s="298"/>
      <c r="Q31" s="297"/>
      <c r="R31" s="297">
        <v>0.0</v>
      </c>
      <c r="S31" s="297"/>
      <c r="T31" s="297" t="s">
        <v>719</v>
      </c>
    </row>
    <row r="32">
      <c r="B32" s="291"/>
      <c r="C32" s="291"/>
      <c r="D32" s="181"/>
      <c r="E32" s="292"/>
      <c r="F32" s="292"/>
      <c r="G32" s="293"/>
      <c r="H32" s="294"/>
      <c r="I32" s="295"/>
      <c r="J32" s="296"/>
      <c r="K32" s="297"/>
      <c r="L32" s="297"/>
      <c r="M32" s="297"/>
      <c r="N32" s="297"/>
      <c r="O32" s="298"/>
      <c r="P32" s="298"/>
      <c r="Q32" s="297"/>
      <c r="R32" s="297">
        <v>0.0</v>
      </c>
      <c r="S32" s="297"/>
      <c r="T32" s="297" t="s">
        <v>719</v>
      </c>
    </row>
    <row r="33">
      <c r="B33" s="291"/>
      <c r="C33" s="291"/>
      <c r="D33" s="181"/>
      <c r="E33" s="292"/>
      <c r="F33" s="292"/>
      <c r="G33" s="293"/>
      <c r="H33" s="294"/>
      <c r="I33" s="295"/>
      <c r="J33" s="296"/>
      <c r="K33" s="297"/>
      <c r="L33" s="297"/>
      <c r="M33" s="297"/>
      <c r="N33" s="297"/>
      <c r="O33" s="298"/>
      <c r="P33" s="298"/>
      <c r="Q33" s="297"/>
      <c r="R33" s="297">
        <v>0.0</v>
      </c>
      <c r="S33" s="297"/>
      <c r="T33" s="297" t="s">
        <v>719</v>
      </c>
    </row>
    <row r="34">
      <c r="B34" s="291"/>
      <c r="C34" s="291"/>
      <c r="D34" s="181"/>
      <c r="E34" s="292"/>
      <c r="F34" s="292"/>
      <c r="G34" s="293"/>
      <c r="H34" s="294"/>
      <c r="I34" s="295"/>
      <c r="J34" s="296"/>
      <c r="K34" s="297"/>
      <c r="L34" s="297"/>
      <c r="M34" s="297"/>
      <c r="N34" s="297"/>
      <c r="O34" s="298"/>
      <c r="P34" s="298"/>
      <c r="Q34" s="297"/>
      <c r="R34" s="297">
        <v>0.0</v>
      </c>
      <c r="S34" s="297"/>
      <c r="T34" s="297" t="s">
        <v>719</v>
      </c>
    </row>
    <row r="35">
      <c r="B35" s="291"/>
      <c r="C35" s="291"/>
      <c r="D35" s="181"/>
      <c r="E35" s="292"/>
      <c r="F35" s="292"/>
      <c r="G35" s="293"/>
      <c r="H35" s="294"/>
      <c r="I35" s="295"/>
      <c r="J35" s="296"/>
      <c r="K35" s="297"/>
      <c r="L35" s="297"/>
      <c r="M35" s="297"/>
      <c r="N35" s="297"/>
      <c r="O35" s="298"/>
      <c r="P35" s="298"/>
      <c r="Q35" s="297"/>
      <c r="R35" s="297">
        <v>0.0</v>
      </c>
      <c r="S35" s="297"/>
      <c r="T35" s="297" t="s">
        <v>719</v>
      </c>
    </row>
    <row r="36">
      <c r="B36" s="291"/>
      <c r="C36" s="291"/>
      <c r="D36" s="181"/>
      <c r="E36" s="292"/>
      <c r="F36" s="292"/>
      <c r="G36" s="293"/>
      <c r="H36" s="294"/>
      <c r="I36" s="295"/>
      <c r="J36" s="296"/>
      <c r="K36" s="297"/>
      <c r="L36" s="297"/>
      <c r="M36" s="297"/>
      <c r="N36" s="297"/>
      <c r="O36" s="298"/>
      <c r="P36" s="298"/>
      <c r="Q36" s="297"/>
      <c r="R36" s="297">
        <v>0.0</v>
      </c>
      <c r="S36" s="297"/>
      <c r="T36" s="297" t="s">
        <v>719</v>
      </c>
    </row>
    <row r="37">
      <c r="B37" s="291"/>
      <c r="C37" s="291"/>
      <c r="D37" s="181"/>
      <c r="E37" s="292"/>
      <c r="F37" s="292"/>
      <c r="G37" s="293"/>
      <c r="H37" s="294"/>
      <c r="I37" s="295"/>
      <c r="J37" s="296"/>
      <c r="K37" s="297"/>
      <c r="L37" s="297"/>
      <c r="M37" s="297"/>
      <c r="N37" s="297"/>
      <c r="O37" s="298"/>
      <c r="P37" s="298"/>
      <c r="Q37" s="297"/>
      <c r="R37" s="297">
        <v>0.0</v>
      </c>
      <c r="S37" s="297"/>
      <c r="T37" s="297" t="s">
        <v>719</v>
      </c>
    </row>
    <row r="38">
      <c r="B38" s="291"/>
      <c r="C38" s="291"/>
      <c r="D38" s="181"/>
      <c r="E38" s="292"/>
      <c r="F38" s="292"/>
      <c r="G38" s="293"/>
      <c r="H38" s="294"/>
      <c r="I38" s="295"/>
      <c r="J38" s="296"/>
      <c r="K38" s="297"/>
      <c r="L38" s="297"/>
      <c r="M38" s="297"/>
      <c r="N38" s="297"/>
      <c r="O38" s="298"/>
      <c r="P38" s="298"/>
      <c r="Q38" s="297"/>
      <c r="R38" s="297">
        <v>0.0</v>
      </c>
      <c r="S38" s="297"/>
      <c r="T38" s="297" t="s">
        <v>719</v>
      </c>
    </row>
    <row r="39">
      <c r="B39" s="291"/>
      <c r="C39" s="291"/>
      <c r="D39" s="181"/>
      <c r="E39" s="292"/>
      <c r="F39" s="292"/>
      <c r="G39" s="293"/>
      <c r="H39" s="294"/>
      <c r="I39" s="295"/>
      <c r="J39" s="296"/>
      <c r="K39" s="297"/>
      <c r="L39" s="297"/>
      <c r="M39" s="297"/>
      <c r="N39" s="297"/>
      <c r="O39" s="298"/>
      <c r="P39" s="298"/>
      <c r="Q39" s="297"/>
      <c r="R39" s="297">
        <v>0.0</v>
      </c>
      <c r="S39" s="297"/>
      <c r="T39" s="297" t="s">
        <v>719</v>
      </c>
    </row>
    <row r="40">
      <c r="B40" s="291"/>
      <c r="C40" s="291"/>
      <c r="D40" s="181"/>
      <c r="E40" s="292"/>
      <c r="F40" s="292"/>
      <c r="G40" s="293"/>
      <c r="H40" s="294"/>
      <c r="I40" s="295"/>
      <c r="J40" s="296"/>
      <c r="K40" s="297"/>
      <c r="L40" s="297"/>
      <c r="M40" s="297"/>
      <c r="N40" s="297"/>
      <c r="O40" s="298"/>
      <c r="P40" s="298"/>
      <c r="Q40" s="297"/>
      <c r="R40" s="297">
        <v>0.0</v>
      </c>
      <c r="S40" s="297"/>
      <c r="T40" s="297" t="s">
        <v>719</v>
      </c>
    </row>
    <row r="41">
      <c r="B41" s="291"/>
      <c r="C41" s="291"/>
      <c r="D41" s="181"/>
      <c r="E41" s="292"/>
      <c r="F41" s="292"/>
      <c r="G41" s="293"/>
      <c r="H41" s="294"/>
      <c r="I41" s="295"/>
      <c r="J41" s="296"/>
      <c r="K41" s="297"/>
      <c r="L41" s="297"/>
      <c r="M41" s="297"/>
      <c r="N41" s="297"/>
      <c r="O41" s="298"/>
      <c r="P41" s="298"/>
      <c r="Q41" s="297"/>
      <c r="R41" s="297">
        <v>0.0</v>
      </c>
      <c r="S41" s="297"/>
      <c r="T41" s="297" t="s">
        <v>719</v>
      </c>
    </row>
    <row r="42">
      <c r="B42" s="291"/>
      <c r="C42" s="291"/>
      <c r="D42" s="181"/>
      <c r="E42" s="292"/>
      <c r="F42" s="292"/>
      <c r="G42" s="293"/>
      <c r="H42" s="294"/>
      <c r="I42" s="295"/>
      <c r="J42" s="296"/>
      <c r="K42" s="297"/>
      <c r="L42" s="297"/>
      <c r="M42" s="297"/>
      <c r="N42" s="297"/>
      <c r="O42" s="298"/>
      <c r="P42" s="298"/>
      <c r="Q42" s="297"/>
      <c r="R42" s="297">
        <v>0.0</v>
      </c>
      <c r="S42" s="297"/>
      <c r="T42" s="297" t="s">
        <v>719</v>
      </c>
    </row>
    <row r="43">
      <c r="B43" s="291"/>
      <c r="C43" s="291"/>
      <c r="D43" s="181"/>
      <c r="E43" s="292"/>
      <c r="F43" s="292"/>
      <c r="G43" s="293"/>
      <c r="H43" s="294"/>
      <c r="I43" s="295"/>
      <c r="J43" s="296"/>
      <c r="K43" s="297"/>
      <c r="L43" s="297"/>
      <c r="M43" s="297"/>
      <c r="N43" s="297"/>
      <c r="O43" s="298"/>
      <c r="P43" s="298"/>
      <c r="Q43" s="297"/>
      <c r="R43" s="297">
        <v>0.0</v>
      </c>
      <c r="S43" s="297"/>
      <c r="T43" s="297" t="s">
        <v>719</v>
      </c>
    </row>
    <row r="44">
      <c r="B44" s="291"/>
      <c r="C44" s="291"/>
      <c r="D44" s="181"/>
      <c r="E44" s="292"/>
      <c r="F44" s="292"/>
      <c r="G44" s="293"/>
      <c r="H44" s="294"/>
      <c r="I44" s="295"/>
      <c r="J44" s="296"/>
      <c r="K44" s="297"/>
      <c r="L44" s="297"/>
      <c r="M44" s="297"/>
      <c r="N44" s="297"/>
      <c r="O44" s="298"/>
      <c r="P44" s="298"/>
      <c r="Q44" s="297"/>
      <c r="R44" s="297">
        <v>0.0</v>
      </c>
      <c r="S44" s="297"/>
      <c r="T44" s="297" t="s">
        <v>719</v>
      </c>
    </row>
    <row r="45">
      <c r="B45" s="291"/>
      <c r="C45" s="291"/>
      <c r="D45" s="181"/>
      <c r="E45" s="292"/>
      <c r="F45" s="292"/>
      <c r="G45" s="293"/>
      <c r="H45" s="294"/>
      <c r="I45" s="295"/>
      <c r="J45" s="296"/>
      <c r="K45" s="297"/>
      <c r="L45" s="297"/>
      <c r="M45" s="297"/>
      <c r="N45" s="297"/>
      <c r="O45" s="298"/>
      <c r="P45" s="298"/>
      <c r="Q45" s="297"/>
      <c r="R45" s="297">
        <v>0.0</v>
      </c>
      <c r="S45" s="297"/>
      <c r="T45" s="297" t="s">
        <v>719</v>
      </c>
    </row>
    <row r="46">
      <c r="B46" s="291"/>
      <c r="C46" s="291"/>
      <c r="D46" s="181"/>
      <c r="E46" s="292"/>
      <c r="F46" s="292"/>
      <c r="G46" s="293"/>
      <c r="H46" s="294"/>
      <c r="I46" s="295"/>
      <c r="J46" s="296"/>
      <c r="K46" s="297"/>
      <c r="L46" s="297"/>
      <c r="M46" s="297"/>
      <c r="N46" s="297"/>
      <c r="O46" s="298"/>
      <c r="P46" s="298"/>
      <c r="Q46" s="297"/>
      <c r="R46" s="297">
        <v>0.0</v>
      </c>
      <c r="S46" s="297"/>
      <c r="T46" s="297" t="s">
        <v>719</v>
      </c>
    </row>
    <row r="47">
      <c r="B47" s="291"/>
      <c r="C47" s="291"/>
      <c r="D47" s="181"/>
      <c r="E47" s="292"/>
      <c r="F47" s="292"/>
      <c r="G47" s="293"/>
      <c r="H47" s="294"/>
      <c r="I47" s="295"/>
      <c r="J47" s="296"/>
      <c r="K47" s="297"/>
      <c r="L47" s="297"/>
      <c r="M47" s="297"/>
      <c r="N47" s="297"/>
      <c r="O47" s="298"/>
      <c r="P47" s="298"/>
      <c r="Q47" s="297"/>
      <c r="R47" s="297">
        <v>0.0</v>
      </c>
      <c r="S47" s="297"/>
      <c r="T47" s="297" t="s">
        <v>719</v>
      </c>
    </row>
    <row r="48">
      <c r="B48" s="291"/>
      <c r="C48" s="291"/>
      <c r="D48" s="181"/>
      <c r="E48" s="292"/>
      <c r="F48" s="292"/>
      <c r="G48" s="293"/>
      <c r="H48" s="294"/>
      <c r="I48" s="295"/>
      <c r="J48" s="296"/>
      <c r="K48" s="297"/>
      <c r="L48" s="297"/>
      <c r="M48" s="297"/>
      <c r="N48" s="297"/>
      <c r="O48" s="298"/>
      <c r="P48" s="298"/>
      <c r="Q48" s="297"/>
      <c r="R48" s="297">
        <v>0.0</v>
      </c>
      <c r="S48" s="297"/>
      <c r="T48" s="297" t="s">
        <v>719</v>
      </c>
    </row>
    <row r="49">
      <c r="B49" s="291"/>
      <c r="C49" s="291"/>
      <c r="D49" s="181"/>
      <c r="E49" s="292"/>
      <c r="F49" s="292"/>
      <c r="G49" s="293"/>
      <c r="H49" s="294"/>
      <c r="I49" s="295"/>
      <c r="J49" s="296"/>
      <c r="K49" s="297"/>
      <c r="L49" s="297"/>
      <c r="M49" s="297"/>
      <c r="N49" s="297"/>
      <c r="O49" s="298"/>
      <c r="P49" s="298"/>
      <c r="Q49" s="297"/>
      <c r="R49" s="297">
        <v>0.0</v>
      </c>
      <c r="S49" s="297"/>
      <c r="T49" s="297" t="s">
        <v>719</v>
      </c>
    </row>
    <row r="50">
      <c r="B50" s="291"/>
      <c r="C50" s="291"/>
      <c r="D50" s="181"/>
      <c r="E50" s="292"/>
      <c r="F50" s="292"/>
      <c r="G50" s="293"/>
      <c r="H50" s="294"/>
      <c r="I50" s="295"/>
      <c r="J50" s="296"/>
      <c r="K50" s="297"/>
      <c r="L50" s="297"/>
      <c r="M50" s="297"/>
      <c r="N50" s="297"/>
      <c r="O50" s="298"/>
      <c r="P50" s="298"/>
      <c r="Q50" s="297"/>
      <c r="R50" s="297">
        <v>0.0</v>
      </c>
      <c r="S50" s="297"/>
      <c r="T50" s="297" t="s">
        <v>719</v>
      </c>
    </row>
    <row r="51">
      <c r="B51" s="291"/>
      <c r="C51" s="291"/>
      <c r="D51" s="181"/>
      <c r="E51" s="292"/>
      <c r="F51" s="292"/>
      <c r="G51" s="293"/>
      <c r="H51" s="294"/>
      <c r="I51" s="295"/>
      <c r="J51" s="296"/>
      <c r="K51" s="297"/>
      <c r="L51" s="297"/>
      <c r="M51" s="297"/>
      <c r="N51" s="297"/>
      <c r="O51" s="298"/>
      <c r="P51" s="298"/>
      <c r="Q51" s="297"/>
      <c r="R51" s="297">
        <v>0.0</v>
      </c>
      <c r="S51" s="297"/>
      <c r="T51" s="297" t="s">
        <v>719</v>
      </c>
    </row>
    <row r="52">
      <c r="B52" s="291"/>
      <c r="C52" s="291"/>
      <c r="D52" s="181"/>
      <c r="E52" s="292"/>
      <c r="F52" s="292"/>
      <c r="G52" s="293"/>
      <c r="H52" s="294"/>
      <c r="I52" s="295"/>
      <c r="J52" s="296"/>
      <c r="K52" s="297"/>
      <c r="L52" s="297"/>
      <c r="M52" s="297"/>
      <c r="N52" s="297"/>
      <c r="O52" s="298"/>
      <c r="P52" s="298"/>
      <c r="Q52" s="297"/>
      <c r="R52" s="297">
        <v>0.0</v>
      </c>
      <c r="S52" s="297"/>
      <c r="T52" s="297" t="s">
        <v>719</v>
      </c>
    </row>
    <row r="53">
      <c r="B53" s="291"/>
      <c r="C53" s="291"/>
      <c r="D53" s="181"/>
      <c r="E53" s="292"/>
      <c r="F53" s="292"/>
      <c r="G53" s="293"/>
      <c r="H53" s="294"/>
      <c r="I53" s="295"/>
      <c r="J53" s="296"/>
      <c r="K53" s="297"/>
      <c r="L53" s="297"/>
      <c r="M53" s="297"/>
      <c r="N53" s="297"/>
      <c r="O53" s="298"/>
      <c r="P53" s="298"/>
      <c r="Q53" s="297"/>
      <c r="R53" s="297">
        <v>0.0</v>
      </c>
      <c r="S53" s="297"/>
      <c r="T53" s="297" t="s">
        <v>719</v>
      </c>
    </row>
    <row r="54">
      <c r="B54" s="291"/>
      <c r="C54" s="291"/>
      <c r="D54" s="181"/>
      <c r="E54" s="292"/>
      <c r="F54" s="292"/>
      <c r="G54" s="293"/>
      <c r="H54" s="294"/>
      <c r="I54" s="295"/>
      <c r="J54" s="296"/>
      <c r="K54" s="297"/>
      <c r="L54" s="297"/>
      <c r="M54" s="297"/>
      <c r="N54" s="297"/>
      <c r="O54" s="298"/>
      <c r="P54" s="298"/>
      <c r="Q54" s="297"/>
      <c r="R54" s="297">
        <v>0.0</v>
      </c>
      <c r="S54" s="297"/>
      <c r="T54" s="297" t="s">
        <v>719</v>
      </c>
    </row>
    <row r="55">
      <c r="B55" s="291"/>
      <c r="C55" s="291"/>
      <c r="D55" s="181"/>
      <c r="E55" s="292"/>
      <c r="F55" s="292"/>
      <c r="G55" s="293"/>
      <c r="H55" s="294"/>
      <c r="I55" s="295"/>
      <c r="J55" s="296"/>
      <c r="K55" s="297"/>
      <c r="L55" s="297"/>
      <c r="M55" s="297"/>
      <c r="N55" s="297"/>
      <c r="O55" s="298"/>
      <c r="P55" s="298"/>
      <c r="Q55" s="297"/>
      <c r="R55" s="297">
        <v>0.0</v>
      </c>
      <c r="S55" s="297"/>
      <c r="T55" s="297" t="s">
        <v>719</v>
      </c>
    </row>
    <row r="56">
      <c r="B56" s="291"/>
      <c r="C56" s="291"/>
      <c r="D56" s="181"/>
      <c r="E56" s="292"/>
      <c r="F56" s="292"/>
      <c r="G56" s="293"/>
      <c r="H56" s="294"/>
      <c r="I56" s="295"/>
      <c r="J56" s="296"/>
      <c r="K56" s="297"/>
      <c r="L56" s="297"/>
      <c r="M56" s="297"/>
      <c r="N56" s="297"/>
      <c r="O56" s="298"/>
      <c r="P56" s="298"/>
      <c r="Q56" s="297"/>
      <c r="R56" s="297">
        <v>0.0</v>
      </c>
      <c r="S56" s="297"/>
      <c r="T56" s="297" t="s">
        <v>719</v>
      </c>
    </row>
    <row r="57">
      <c r="B57" s="291"/>
      <c r="C57" s="291"/>
      <c r="D57" s="181"/>
      <c r="E57" s="292"/>
      <c r="F57" s="292"/>
      <c r="G57" s="293"/>
      <c r="H57" s="294"/>
      <c r="I57" s="295"/>
      <c r="J57" s="296"/>
      <c r="K57" s="297"/>
      <c r="L57" s="297"/>
      <c r="M57" s="297"/>
      <c r="N57" s="297"/>
      <c r="O57" s="298"/>
      <c r="P57" s="298"/>
      <c r="Q57" s="297"/>
      <c r="R57" s="297">
        <v>0.0</v>
      </c>
      <c r="S57" s="297"/>
      <c r="T57" s="297" t="s">
        <v>719</v>
      </c>
    </row>
    <row r="58">
      <c r="B58" s="291"/>
      <c r="C58" s="291"/>
      <c r="D58" s="181"/>
      <c r="E58" s="292"/>
      <c r="F58" s="292"/>
      <c r="G58" s="293"/>
      <c r="H58" s="294"/>
      <c r="I58" s="295"/>
      <c r="J58" s="296"/>
      <c r="K58" s="297"/>
      <c r="L58" s="297"/>
      <c r="M58" s="297"/>
      <c r="N58" s="297"/>
      <c r="O58" s="298"/>
      <c r="P58" s="298"/>
      <c r="Q58" s="297"/>
      <c r="R58" s="297">
        <v>0.0</v>
      </c>
      <c r="S58" s="297"/>
      <c r="T58" s="297" t="s">
        <v>719</v>
      </c>
    </row>
    <row r="59">
      <c r="B59" s="291"/>
      <c r="C59" s="291"/>
      <c r="D59" s="181"/>
      <c r="E59" s="292"/>
      <c r="F59" s="292"/>
      <c r="G59" s="293"/>
      <c r="H59" s="294"/>
      <c r="I59" s="295"/>
      <c r="J59" s="296"/>
      <c r="K59" s="297"/>
      <c r="L59" s="297"/>
      <c r="M59" s="297"/>
      <c r="N59" s="297"/>
      <c r="O59" s="298"/>
      <c r="P59" s="298"/>
      <c r="Q59" s="297"/>
      <c r="R59" s="297">
        <v>0.0</v>
      </c>
      <c r="S59" s="297"/>
      <c r="T59" s="297" t="s">
        <v>719</v>
      </c>
    </row>
    <row r="60">
      <c r="B60" s="291"/>
      <c r="C60" s="291"/>
      <c r="D60" s="181"/>
      <c r="E60" s="292"/>
      <c r="F60" s="292"/>
      <c r="G60" s="293"/>
      <c r="H60" s="294"/>
      <c r="I60" s="295"/>
      <c r="J60" s="296"/>
      <c r="K60" s="297"/>
      <c r="L60" s="297"/>
      <c r="M60" s="297"/>
      <c r="N60" s="297"/>
      <c r="O60" s="298"/>
      <c r="P60" s="298"/>
      <c r="Q60" s="297"/>
      <c r="R60" s="297">
        <v>0.0</v>
      </c>
      <c r="S60" s="297"/>
      <c r="T60" s="297" t="s">
        <v>719</v>
      </c>
    </row>
    <row r="61">
      <c r="B61" s="291"/>
      <c r="C61" s="291"/>
      <c r="D61" s="181"/>
      <c r="E61" s="292"/>
      <c r="F61" s="292"/>
      <c r="G61" s="293"/>
      <c r="H61" s="294"/>
      <c r="I61" s="295"/>
      <c r="J61" s="296"/>
      <c r="K61" s="297"/>
      <c r="L61" s="297"/>
      <c r="M61" s="297"/>
      <c r="N61" s="297"/>
      <c r="O61" s="298"/>
      <c r="P61" s="298"/>
      <c r="Q61" s="297"/>
      <c r="R61" s="297">
        <v>0.0</v>
      </c>
      <c r="S61" s="297"/>
      <c r="T61" s="297" t="s">
        <v>719</v>
      </c>
    </row>
    <row r="62">
      <c r="B62" s="291"/>
      <c r="C62" s="291"/>
      <c r="D62" s="181"/>
      <c r="E62" s="292"/>
      <c r="F62" s="292"/>
      <c r="G62" s="293"/>
      <c r="H62" s="294"/>
      <c r="I62" s="295"/>
      <c r="J62" s="296"/>
      <c r="K62" s="297"/>
      <c r="L62" s="297"/>
      <c r="M62" s="297"/>
      <c r="N62" s="297"/>
      <c r="O62" s="298"/>
      <c r="P62" s="298"/>
      <c r="Q62" s="297"/>
      <c r="R62" s="297">
        <v>0.0</v>
      </c>
      <c r="S62" s="297"/>
      <c r="T62" s="297" t="s">
        <v>719</v>
      </c>
    </row>
    <row r="63">
      <c r="B63" s="291"/>
      <c r="C63" s="291"/>
      <c r="D63" s="181"/>
      <c r="E63" s="292"/>
      <c r="F63" s="292"/>
      <c r="G63" s="293"/>
      <c r="H63" s="294"/>
      <c r="I63" s="295"/>
      <c r="J63" s="296"/>
      <c r="K63" s="297"/>
      <c r="L63" s="297"/>
      <c r="M63" s="297"/>
      <c r="N63" s="297"/>
      <c r="O63" s="298"/>
      <c r="P63" s="298"/>
      <c r="Q63" s="297"/>
      <c r="R63" s="297">
        <v>0.0</v>
      </c>
      <c r="S63" s="297"/>
      <c r="T63" s="297" t="s">
        <v>719</v>
      </c>
    </row>
    <row r="64">
      <c r="B64" s="291"/>
      <c r="C64" s="291"/>
      <c r="D64" s="181"/>
      <c r="E64" s="292"/>
      <c r="F64" s="292"/>
      <c r="G64" s="293"/>
      <c r="H64" s="294"/>
      <c r="I64" s="295"/>
      <c r="J64" s="296"/>
      <c r="K64" s="297"/>
      <c r="L64" s="297"/>
      <c r="M64" s="297"/>
      <c r="N64" s="297"/>
      <c r="O64" s="298"/>
      <c r="P64" s="298"/>
      <c r="Q64" s="297"/>
      <c r="R64" s="297">
        <v>0.0</v>
      </c>
      <c r="S64" s="297"/>
      <c r="T64" s="297" t="s">
        <v>719</v>
      </c>
    </row>
    <row r="65">
      <c r="B65" s="291"/>
      <c r="C65" s="291"/>
      <c r="D65" s="181"/>
      <c r="E65" s="292"/>
      <c r="F65" s="292"/>
      <c r="G65" s="293"/>
      <c r="H65" s="294"/>
      <c r="I65" s="295"/>
      <c r="J65" s="296"/>
      <c r="K65" s="297"/>
      <c r="L65" s="297"/>
      <c r="M65" s="297"/>
      <c r="N65" s="297"/>
      <c r="O65" s="298"/>
      <c r="P65" s="298"/>
      <c r="Q65" s="297"/>
      <c r="R65" s="297">
        <v>0.0</v>
      </c>
      <c r="S65" s="297"/>
      <c r="T65" s="297" t="s">
        <v>719</v>
      </c>
    </row>
    <row r="66">
      <c r="B66" s="291"/>
      <c r="C66" s="291"/>
      <c r="D66" s="181"/>
      <c r="E66" s="292"/>
      <c r="F66" s="292"/>
      <c r="G66" s="293"/>
      <c r="H66" s="294"/>
      <c r="I66" s="295"/>
      <c r="J66" s="296"/>
      <c r="K66" s="297"/>
      <c r="L66" s="297"/>
      <c r="M66" s="297"/>
      <c r="N66" s="297"/>
      <c r="O66" s="298"/>
      <c r="P66" s="298"/>
      <c r="Q66" s="297"/>
      <c r="R66" s="297">
        <v>0.0</v>
      </c>
      <c r="S66" s="297"/>
      <c r="T66" s="297" t="s">
        <v>719</v>
      </c>
    </row>
    <row r="67">
      <c r="B67" s="291"/>
      <c r="C67" s="291"/>
      <c r="D67" s="181"/>
      <c r="E67" s="292"/>
      <c r="F67" s="292"/>
      <c r="G67" s="293"/>
      <c r="H67" s="294"/>
      <c r="I67" s="295"/>
      <c r="J67" s="296"/>
      <c r="K67" s="297"/>
      <c r="L67" s="297"/>
      <c r="M67" s="297"/>
      <c r="N67" s="297"/>
      <c r="O67" s="298"/>
      <c r="P67" s="298"/>
      <c r="Q67" s="297"/>
      <c r="R67" s="297">
        <v>0.0</v>
      </c>
      <c r="S67" s="297"/>
      <c r="T67" s="297" t="s">
        <v>719</v>
      </c>
    </row>
    <row r="68">
      <c r="B68" s="291"/>
      <c r="C68" s="291"/>
      <c r="D68" s="181"/>
      <c r="E68" s="292"/>
      <c r="F68" s="292"/>
      <c r="G68" s="293"/>
      <c r="H68" s="294"/>
      <c r="I68" s="295"/>
      <c r="J68" s="296"/>
      <c r="K68" s="297"/>
      <c r="L68" s="297"/>
      <c r="M68" s="297"/>
      <c r="N68" s="297"/>
      <c r="O68" s="298"/>
      <c r="P68" s="298"/>
      <c r="Q68" s="297"/>
      <c r="R68" s="297">
        <v>0.0</v>
      </c>
      <c r="S68" s="297"/>
      <c r="T68" s="297" t="s">
        <v>719</v>
      </c>
    </row>
    <row r="69">
      <c r="B69" s="291"/>
      <c r="C69" s="291"/>
      <c r="D69" s="181"/>
      <c r="E69" s="292"/>
      <c r="F69" s="292"/>
      <c r="G69" s="293"/>
      <c r="H69" s="294"/>
      <c r="I69" s="295"/>
      <c r="J69" s="296"/>
      <c r="K69" s="297"/>
      <c r="L69" s="297"/>
      <c r="M69" s="297"/>
      <c r="N69" s="297"/>
      <c r="O69" s="298"/>
      <c r="P69" s="298"/>
      <c r="Q69" s="297"/>
      <c r="R69" s="297">
        <v>0.0</v>
      </c>
      <c r="S69" s="297"/>
      <c r="T69" s="297" t="s">
        <v>719</v>
      </c>
    </row>
    <row r="70">
      <c r="B70" s="291"/>
      <c r="C70" s="291"/>
      <c r="D70" s="181"/>
      <c r="E70" s="292"/>
      <c r="F70" s="292"/>
      <c r="G70" s="293"/>
      <c r="H70" s="294"/>
      <c r="I70" s="295"/>
      <c r="J70" s="296"/>
      <c r="K70" s="297"/>
      <c r="L70" s="297"/>
      <c r="M70" s="297"/>
      <c r="N70" s="297"/>
      <c r="O70" s="298"/>
      <c r="P70" s="298"/>
      <c r="Q70" s="297"/>
      <c r="R70" s="297">
        <v>0.0</v>
      </c>
      <c r="S70" s="297"/>
      <c r="T70" s="297" t="s">
        <v>719</v>
      </c>
    </row>
    <row r="71">
      <c r="B71" s="291"/>
      <c r="C71" s="291"/>
      <c r="D71" s="181"/>
      <c r="E71" s="292"/>
      <c r="F71" s="292"/>
      <c r="G71" s="293"/>
      <c r="H71" s="294"/>
      <c r="I71" s="295"/>
      <c r="J71" s="296"/>
      <c r="K71" s="297"/>
      <c r="L71" s="297"/>
      <c r="M71" s="297"/>
      <c r="N71" s="297"/>
      <c r="O71" s="298"/>
      <c r="P71" s="298"/>
      <c r="Q71" s="297"/>
      <c r="R71" s="297">
        <v>0.0</v>
      </c>
      <c r="S71" s="297"/>
      <c r="T71" s="297" t="s">
        <v>719</v>
      </c>
    </row>
    <row r="72">
      <c r="B72" s="291"/>
      <c r="C72" s="291"/>
      <c r="D72" s="181"/>
      <c r="E72" s="292"/>
      <c r="F72" s="292"/>
      <c r="G72" s="293"/>
      <c r="H72" s="294"/>
      <c r="I72" s="295"/>
      <c r="J72" s="296"/>
      <c r="K72" s="297"/>
      <c r="L72" s="297"/>
      <c r="M72" s="297"/>
      <c r="N72" s="297"/>
      <c r="O72" s="298"/>
      <c r="P72" s="298"/>
      <c r="Q72" s="297"/>
      <c r="R72" s="297">
        <v>0.0</v>
      </c>
      <c r="S72" s="297"/>
      <c r="T72" s="297" t="s">
        <v>719</v>
      </c>
    </row>
    <row r="73">
      <c r="B73" s="291"/>
      <c r="C73" s="291"/>
      <c r="D73" s="181"/>
      <c r="E73" s="292"/>
      <c r="F73" s="292"/>
      <c r="G73" s="293"/>
      <c r="H73" s="294"/>
      <c r="I73" s="295"/>
      <c r="J73" s="296"/>
      <c r="K73" s="297"/>
      <c r="L73" s="297"/>
      <c r="M73" s="297"/>
      <c r="N73" s="297"/>
      <c r="O73" s="298"/>
      <c r="P73" s="298"/>
      <c r="Q73" s="297"/>
      <c r="R73" s="297">
        <v>0.0</v>
      </c>
      <c r="S73" s="297"/>
      <c r="T73" s="297" t="s">
        <v>719</v>
      </c>
    </row>
    <row r="74">
      <c r="B74" s="291"/>
      <c r="C74" s="291"/>
      <c r="D74" s="181"/>
      <c r="E74" s="292"/>
      <c r="F74" s="292"/>
      <c r="G74" s="293"/>
      <c r="H74" s="294"/>
      <c r="I74" s="295"/>
      <c r="J74" s="296"/>
      <c r="K74" s="297"/>
      <c r="L74" s="297"/>
      <c r="M74" s="297"/>
      <c r="N74" s="297"/>
      <c r="O74" s="298"/>
      <c r="P74" s="298"/>
      <c r="Q74" s="297"/>
      <c r="R74" s="297">
        <v>0.0</v>
      </c>
      <c r="S74" s="297"/>
      <c r="T74" s="297" t="s">
        <v>719</v>
      </c>
    </row>
    <row r="75">
      <c r="B75" s="291"/>
      <c r="C75" s="291"/>
      <c r="D75" s="181"/>
      <c r="E75" s="292"/>
      <c r="F75" s="292"/>
      <c r="G75" s="293"/>
      <c r="H75" s="294"/>
      <c r="I75" s="295"/>
      <c r="J75" s="296"/>
      <c r="K75" s="297"/>
      <c r="L75" s="297"/>
      <c r="M75" s="297"/>
      <c r="N75" s="297"/>
      <c r="O75" s="298"/>
      <c r="P75" s="298"/>
      <c r="Q75" s="297"/>
      <c r="R75" s="297">
        <v>0.0</v>
      </c>
      <c r="S75" s="297"/>
      <c r="T75" s="297" t="s">
        <v>719</v>
      </c>
    </row>
    <row r="76">
      <c r="B76" s="291"/>
      <c r="C76" s="291"/>
      <c r="D76" s="181"/>
      <c r="E76" s="292"/>
      <c r="F76" s="292"/>
      <c r="G76" s="293"/>
      <c r="H76" s="294"/>
      <c r="I76" s="295"/>
      <c r="J76" s="296"/>
      <c r="K76" s="297"/>
      <c r="L76" s="297"/>
      <c r="M76" s="297"/>
      <c r="N76" s="297"/>
      <c r="O76" s="298"/>
      <c r="P76" s="298"/>
      <c r="Q76" s="297"/>
      <c r="R76" s="297">
        <v>0.0</v>
      </c>
      <c r="S76" s="297"/>
      <c r="T76" s="297" t="s">
        <v>719</v>
      </c>
    </row>
    <row r="77">
      <c r="B77" s="291"/>
      <c r="C77" s="291"/>
      <c r="D77" s="181"/>
      <c r="E77" s="292"/>
      <c r="F77" s="292"/>
      <c r="G77" s="293"/>
      <c r="H77" s="294"/>
      <c r="I77" s="295"/>
      <c r="J77" s="296"/>
      <c r="K77" s="297"/>
      <c r="L77" s="297"/>
      <c r="M77" s="297"/>
      <c r="N77" s="297"/>
      <c r="O77" s="298"/>
      <c r="P77" s="298"/>
      <c r="Q77" s="297"/>
      <c r="R77" s="297">
        <v>0.0</v>
      </c>
      <c r="S77" s="297"/>
      <c r="T77" s="297" t="s">
        <v>719</v>
      </c>
    </row>
    <row r="78">
      <c r="B78" s="291"/>
      <c r="C78" s="291"/>
      <c r="D78" s="181"/>
      <c r="E78" s="292"/>
      <c r="F78" s="292"/>
      <c r="G78" s="293"/>
      <c r="H78" s="294"/>
      <c r="I78" s="295"/>
      <c r="J78" s="296"/>
      <c r="K78" s="297"/>
      <c r="L78" s="297"/>
      <c r="M78" s="297"/>
      <c r="N78" s="297"/>
      <c r="O78" s="298"/>
      <c r="P78" s="298"/>
      <c r="Q78" s="297"/>
      <c r="R78" s="297">
        <v>0.0</v>
      </c>
      <c r="S78" s="297"/>
      <c r="T78" s="297" t="s">
        <v>719</v>
      </c>
    </row>
    <row r="79">
      <c r="B79" s="291"/>
      <c r="C79" s="291"/>
      <c r="D79" s="181"/>
      <c r="E79" s="292"/>
      <c r="F79" s="292"/>
      <c r="G79" s="293"/>
      <c r="H79" s="294"/>
      <c r="I79" s="295"/>
      <c r="J79" s="296"/>
      <c r="K79" s="297"/>
      <c r="L79" s="297"/>
      <c r="M79" s="297"/>
      <c r="N79" s="297"/>
      <c r="O79" s="298"/>
      <c r="P79" s="298"/>
      <c r="Q79" s="297"/>
      <c r="R79" s="297">
        <v>0.0</v>
      </c>
      <c r="S79" s="297"/>
      <c r="T79" s="297" t="s">
        <v>719</v>
      </c>
    </row>
    <row r="80">
      <c r="B80" s="291"/>
      <c r="C80" s="291"/>
      <c r="D80" s="181"/>
      <c r="E80" s="292"/>
      <c r="F80" s="292"/>
      <c r="G80" s="293"/>
      <c r="H80" s="294"/>
      <c r="I80" s="295"/>
      <c r="J80" s="296"/>
      <c r="K80" s="297"/>
      <c r="L80" s="297"/>
      <c r="M80" s="297"/>
      <c r="N80" s="297"/>
      <c r="O80" s="298"/>
      <c r="P80" s="298"/>
      <c r="Q80" s="297"/>
      <c r="R80" s="297">
        <v>0.0</v>
      </c>
      <c r="S80" s="297"/>
      <c r="T80" s="297" t="s">
        <v>719</v>
      </c>
    </row>
    <row r="81">
      <c r="B81" s="291"/>
      <c r="C81" s="291"/>
      <c r="D81" s="181"/>
      <c r="E81" s="292"/>
      <c r="F81" s="292"/>
      <c r="G81" s="293"/>
      <c r="H81" s="294"/>
      <c r="I81" s="295"/>
      <c r="J81" s="296"/>
      <c r="K81" s="297"/>
      <c r="L81" s="297"/>
      <c r="M81" s="297"/>
      <c r="N81" s="297"/>
      <c r="O81" s="298"/>
      <c r="P81" s="298"/>
      <c r="Q81" s="297"/>
      <c r="R81" s="297">
        <v>0.0</v>
      </c>
      <c r="S81" s="297"/>
      <c r="T81" s="297" t="s">
        <v>719</v>
      </c>
    </row>
    <row r="82">
      <c r="B82" s="291"/>
      <c r="C82" s="291"/>
      <c r="D82" s="181"/>
      <c r="E82" s="292"/>
      <c r="F82" s="292"/>
      <c r="G82" s="293"/>
      <c r="H82" s="294"/>
      <c r="I82" s="295"/>
      <c r="J82" s="296"/>
      <c r="K82" s="297"/>
      <c r="L82" s="297"/>
      <c r="M82" s="297"/>
      <c r="N82" s="297"/>
      <c r="O82" s="298"/>
      <c r="P82" s="298"/>
      <c r="Q82" s="297"/>
      <c r="R82" s="297">
        <v>0.0</v>
      </c>
      <c r="S82" s="297"/>
      <c r="T82" s="297" t="s">
        <v>719</v>
      </c>
    </row>
    <row r="83">
      <c r="B83" s="291"/>
      <c r="C83" s="291"/>
      <c r="D83" s="181"/>
      <c r="E83" s="292"/>
      <c r="F83" s="292"/>
      <c r="G83" s="293"/>
      <c r="H83" s="294"/>
      <c r="I83" s="295"/>
      <c r="J83" s="296"/>
      <c r="K83" s="297"/>
      <c r="L83" s="297"/>
      <c r="M83" s="297"/>
      <c r="N83" s="297"/>
      <c r="O83" s="298"/>
      <c r="P83" s="298"/>
      <c r="Q83" s="297"/>
      <c r="R83" s="297">
        <v>0.0</v>
      </c>
      <c r="S83" s="297"/>
      <c r="T83" s="297" t="s">
        <v>719</v>
      </c>
    </row>
    <row r="84">
      <c r="B84" s="291"/>
      <c r="C84" s="291"/>
      <c r="D84" s="181"/>
      <c r="E84" s="292"/>
      <c r="F84" s="292"/>
      <c r="G84" s="293"/>
      <c r="H84" s="294"/>
      <c r="I84" s="295"/>
      <c r="J84" s="296"/>
      <c r="K84" s="297"/>
      <c r="L84" s="297"/>
      <c r="M84" s="297"/>
      <c r="N84" s="297"/>
      <c r="O84" s="298"/>
      <c r="P84" s="298"/>
      <c r="Q84" s="297"/>
      <c r="R84" s="297">
        <v>0.0</v>
      </c>
      <c r="S84" s="297"/>
      <c r="T84" s="297" t="s">
        <v>719</v>
      </c>
    </row>
    <row r="85">
      <c r="B85" s="291"/>
      <c r="C85" s="291"/>
      <c r="D85" s="181"/>
      <c r="E85" s="292"/>
      <c r="F85" s="292"/>
      <c r="G85" s="293"/>
      <c r="H85" s="294"/>
      <c r="I85" s="295"/>
      <c r="J85" s="296"/>
      <c r="K85" s="297"/>
      <c r="L85" s="297"/>
      <c r="M85" s="297"/>
      <c r="N85" s="297"/>
      <c r="O85" s="298"/>
      <c r="P85" s="298"/>
      <c r="Q85" s="297"/>
      <c r="R85" s="297">
        <v>0.0</v>
      </c>
      <c r="S85" s="297"/>
      <c r="T85" s="297" t="s">
        <v>719</v>
      </c>
    </row>
    <row r="86">
      <c r="B86" s="291"/>
      <c r="C86" s="291"/>
      <c r="D86" s="181"/>
      <c r="E86" s="292"/>
      <c r="F86" s="292"/>
      <c r="G86" s="293"/>
      <c r="H86" s="294"/>
      <c r="I86" s="295"/>
      <c r="J86" s="296"/>
      <c r="K86" s="297"/>
      <c r="L86" s="297"/>
      <c r="M86" s="297"/>
      <c r="N86" s="297"/>
      <c r="O86" s="298"/>
      <c r="P86" s="298"/>
      <c r="Q86" s="297"/>
      <c r="R86" s="297">
        <v>0.0</v>
      </c>
      <c r="S86" s="297"/>
      <c r="T86" s="297" t="s">
        <v>719</v>
      </c>
    </row>
    <row r="87">
      <c r="B87" s="291"/>
      <c r="C87" s="291"/>
      <c r="D87" s="181"/>
      <c r="E87" s="292"/>
      <c r="F87" s="292"/>
      <c r="G87" s="293"/>
      <c r="H87" s="294"/>
      <c r="I87" s="295"/>
      <c r="J87" s="296"/>
      <c r="K87" s="297"/>
      <c r="L87" s="297"/>
      <c r="M87" s="297"/>
      <c r="N87" s="297"/>
      <c r="O87" s="298"/>
      <c r="P87" s="298"/>
      <c r="Q87" s="297"/>
      <c r="R87" s="297">
        <v>0.0</v>
      </c>
      <c r="S87" s="297"/>
      <c r="T87" s="297" t="s">
        <v>719</v>
      </c>
    </row>
    <row r="88">
      <c r="B88" s="291"/>
      <c r="C88" s="291"/>
      <c r="D88" s="181"/>
      <c r="E88" s="292"/>
      <c r="F88" s="292"/>
      <c r="G88" s="293"/>
      <c r="H88" s="294"/>
      <c r="I88" s="295"/>
      <c r="J88" s="296"/>
      <c r="K88" s="297"/>
      <c r="L88" s="297"/>
      <c r="M88" s="297"/>
      <c r="N88" s="297"/>
      <c r="O88" s="298"/>
      <c r="P88" s="298"/>
      <c r="Q88" s="297"/>
      <c r="R88" s="297">
        <v>0.0</v>
      </c>
      <c r="S88" s="297"/>
      <c r="T88" s="297" t="s">
        <v>719</v>
      </c>
    </row>
    <row r="89">
      <c r="B89" s="291"/>
      <c r="C89" s="291"/>
      <c r="D89" s="181"/>
      <c r="E89" s="292"/>
      <c r="F89" s="292"/>
      <c r="G89" s="293"/>
      <c r="H89" s="294"/>
      <c r="I89" s="295"/>
      <c r="J89" s="296"/>
      <c r="K89" s="297"/>
      <c r="L89" s="297"/>
      <c r="M89" s="297"/>
      <c r="N89" s="297"/>
      <c r="O89" s="298"/>
      <c r="P89" s="298"/>
      <c r="Q89" s="297"/>
      <c r="R89" s="297">
        <v>0.0</v>
      </c>
      <c r="S89" s="297"/>
      <c r="T89" s="297" t="s">
        <v>719</v>
      </c>
    </row>
    <row r="90">
      <c r="B90" s="291"/>
      <c r="C90" s="291"/>
      <c r="D90" s="181"/>
      <c r="E90" s="292"/>
      <c r="F90" s="292"/>
      <c r="G90" s="293"/>
      <c r="H90" s="294"/>
      <c r="I90" s="295"/>
      <c r="J90" s="296"/>
      <c r="K90" s="297"/>
      <c r="L90" s="297"/>
      <c r="M90" s="297"/>
      <c r="N90" s="297"/>
      <c r="O90" s="298"/>
      <c r="P90" s="298"/>
      <c r="Q90" s="297"/>
      <c r="R90" s="297">
        <v>0.0</v>
      </c>
      <c r="S90" s="297"/>
      <c r="T90" s="297" t="s">
        <v>719</v>
      </c>
    </row>
    <row r="91">
      <c r="B91" s="291"/>
      <c r="C91" s="291"/>
      <c r="D91" s="181"/>
      <c r="E91" s="292"/>
      <c r="F91" s="292"/>
      <c r="G91" s="293"/>
      <c r="H91" s="294"/>
      <c r="I91" s="295"/>
      <c r="J91" s="296"/>
      <c r="K91" s="297"/>
      <c r="L91" s="297"/>
      <c r="M91" s="297"/>
      <c r="N91" s="297"/>
      <c r="O91" s="298"/>
      <c r="P91" s="298"/>
      <c r="Q91" s="297"/>
      <c r="R91" s="297">
        <v>0.0</v>
      </c>
      <c r="S91" s="297"/>
      <c r="T91" s="297" t="s">
        <v>719</v>
      </c>
    </row>
    <row r="92">
      <c r="B92" s="291"/>
      <c r="C92" s="291"/>
      <c r="D92" s="181"/>
      <c r="E92" s="292"/>
      <c r="F92" s="292"/>
      <c r="G92" s="293"/>
      <c r="H92" s="294"/>
      <c r="I92" s="295"/>
      <c r="J92" s="296"/>
      <c r="K92" s="297"/>
      <c r="L92" s="297"/>
      <c r="M92" s="297"/>
      <c r="N92" s="297"/>
      <c r="O92" s="298"/>
      <c r="P92" s="298"/>
      <c r="Q92" s="297"/>
      <c r="R92" s="297">
        <v>0.0</v>
      </c>
      <c r="S92" s="297"/>
      <c r="T92" s="297" t="s">
        <v>719</v>
      </c>
    </row>
    <row r="93">
      <c r="B93" s="291"/>
      <c r="C93" s="291"/>
      <c r="D93" s="181"/>
      <c r="E93" s="292"/>
      <c r="F93" s="292"/>
      <c r="G93" s="293"/>
      <c r="H93" s="294"/>
      <c r="I93" s="295"/>
      <c r="J93" s="296"/>
      <c r="K93" s="297"/>
      <c r="L93" s="297"/>
      <c r="M93" s="297"/>
      <c r="N93" s="297"/>
      <c r="O93" s="298"/>
      <c r="P93" s="298"/>
      <c r="Q93" s="297"/>
      <c r="R93" s="297">
        <v>0.0</v>
      </c>
      <c r="S93" s="297"/>
      <c r="T93" s="297" t="s">
        <v>719</v>
      </c>
    </row>
    <row r="94">
      <c r="B94" s="291"/>
      <c r="C94" s="291"/>
      <c r="D94" s="181"/>
      <c r="E94" s="292"/>
      <c r="F94" s="292"/>
      <c r="G94" s="293"/>
      <c r="H94" s="294"/>
      <c r="I94" s="295"/>
      <c r="J94" s="296"/>
      <c r="K94" s="297"/>
      <c r="L94" s="297"/>
      <c r="M94" s="297"/>
      <c r="N94" s="297"/>
      <c r="O94" s="298"/>
      <c r="P94" s="298"/>
      <c r="Q94" s="297"/>
      <c r="R94" s="297">
        <v>0.0</v>
      </c>
      <c r="S94" s="297"/>
      <c r="T94" s="297" t="s">
        <v>719</v>
      </c>
    </row>
    <row r="95">
      <c r="B95" s="291"/>
      <c r="C95" s="291"/>
      <c r="D95" s="181"/>
      <c r="E95" s="292"/>
      <c r="F95" s="292"/>
      <c r="G95" s="293"/>
      <c r="H95" s="294"/>
      <c r="I95" s="295"/>
      <c r="J95" s="296"/>
      <c r="K95" s="297"/>
      <c r="L95" s="297"/>
      <c r="M95" s="297"/>
      <c r="N95" s="297"/>
      <c r="O95" s="298"/>
      <c r="P95" s="298"/>
      <c r="Q95" s="297"/>
      <c r="R95" s="297">
        <v>0.0</v>
      </c>
      <c r="S95" s="297"/>
      <c r="T95" s="297" t="s">
        <v>719</v>
      </c>
    </row>
    <row r="96">
      <c r="B96" s="291"/>
      <c r="C96" s="291"/>
      <c r="D96" s="181"/>
      <c r="E96" s="292"/>
      <c r="F96" s="292"/>
      <c r="G96" s="293"/>
      <c r="H96" s="294"/>
      <c r="I96" s="295"/>
      <c r="J96" s="296"/>
      <c r="K96" s="297"/>
      <c r="L96" s="297"/>
      <c r="M96" s="297"/>
      <c r="N96" s="297"/>
      <c r="O96" s="298"/>
      <c r="P96" s="298"/>
      <c r="Q96" s="297"/>
      <c r="R96" s="297">
        <v>0.0</v>
      </c>
      <c r="S96" s="297"/>
      <c r="T96" s="297" t="s">
        <v>719</v>
      </c>
    </row>
    <row r="97">
      <c r="B97" s="291"/>
      <c r="C97" s="291"/>
      <c r="D97" s="181"/>
      <c r="E97" s="292"/>
      <c r="F97" s="292"/>
      <c r="G97" s="293"/>
      <c r="H97" s="294"/>
      <c r="I97" s="295"/>
      <c r="J97" s="296"/>
      <c r="K97" s="297"/>
      <c r="L97" s="297"/>
      <c r="M97" s="297"/>
      <c r="N97" s="297"/>
      <c r="O97" s="298"/>
      <c r="P97" s="298"/>
      <c r="Q97" s="297"/>
      <c r="R97" s="297">
        <v>0.0</v>
      </c>
      <c r="S97" s="297"/>
      <c r="T97" s="297" t="s">
        <v>719</v>
      </c>
    </row>
    <row r="98">
      <c r="B98" s="291"/>
      <c r="C98" s="291"/>
      <c r="D98" s="181"/>
      <c r="E98" s="292"/>
      <c r="F98" s="292"/>
      <c r="G98" s="293"/>
      <c r="H98" s="294"/>
      <c r="I98" s="295"/>
      <c r="J98" s="296"/>
      <c r="K98" s="297"/>
      <c r="L98" s="297"/>
      <c r="M98" s="297"/>
      <c r="N98" s="297"/>
      <c r="O98" s="298"/>
      <c r="P98" s="298"/>
      <c r="Q98" s="297"/>
      <c r="R98" s="297">
        <v>0.0</v>
      </c>
      <c r="S98" s="297"/>
      <c r="T98" s="297" t="s">
        <v>719</v>
      </c>
    </row>
    <row r="99">
      <c r="B99" s="291"/>
      <c r="C99" s="291"/>
      <c r="D99" s="181"/>
      <c r="E99" s="292"/>
      <c r="F99" s="292"/>
      <c r="G99" s="293"/>
      <c r="H99" s="294"/>
      <c r="I99" s="295"/>
      <c r="J99" s="296"/>
      <c r="K99" s="297"/>
      <c r="L99" s="297"/>
      <c r="M99" s="297"/>
      <c r="N99" s="297"/>
      <c r="O99" s="298"/>
      <c r="P99" s="298"/>
      <c r="Q99" s="297"/>
      <c r="R99" s="297">
        <v>0.0</v>
      </c>
      <c r="S99" s="297"/>
      <c r="T99" s="297" t="s">
        <v>719</v>
      </c>
    </row>
    <row r="100">
      <c r="B100" s="291"/>
      <c r="C100" s="291"/>
      <c r="D100" s="181"/>
      <c r="E100" s="292"/>
      <c r="F100" s="292"/>
      <c r="G100" s="293"/>
      <c r="H100" s="294"/>
      <c r="I100" s="295"/>
      <c r="J100" s="296"/>
      <c r="K100" s="297"/>
      <c r="L100" s="297"/>
      <c r="M100" s="297"/>
      <c r="N100" s="297"/>
      <c r="O100" s="298"/>
      <c r="P100" s="298"/>
      <c r="Q100" s="297"/>
      <c r="R100" s="297">
        <v>0.0</v>
      </c>
      <c r="S100" s="297"/>
      <c r="T100" s="297" t="s">
        <v>719</v>
      </c>
    </row>
    <row r="101">
      <c r="B101" s="291"/>
      <c r="C101" s="291"/>
      <c r="D101" s="181"/>
      <c r="E101" s="292"/>
      <c r="F101" s="292"/>
      <c r="G101" s="293"/>
      <c r="H101" s="294"/>
      <c r="I101" s="295"/>
      <c r="J101" s="296"/>
      <c r="K101" s="297"/>
      <c r="L101" s="297"/>
      <c r="M101" s="297"/>
      <c r="N101" s="297"/>
      <c r="O101" s="298"/>
      <c r="P101" s="298"/>
      <c r="Q101" s="297"/>
      <c r="R101" s="297">
        <v>0.0</v>
      </c>
      <c r="S101" s="297"/>
      <c r="T101" s="297" t="s">
        <v>719</v>
      </c>
    </row>
    <row r="102">
      <c r="B102" s="291"/>
      <c r="C102" s="291"/>
      <c r="D102" s="181"/>
      <c r="E102" s="292"/>
      <c r="F102" s="292"/>
      <c r="G102" s="293"/>
      <c r="H102" s="294"/>
      <c r="I102" s="295"/>
      <c r="J102" s="296"/>
      <c r="K102" s="297"/>
      <c r="L102" s="297"/>
      <c r="M102" s="297"/>
      <c r="N102" s="297"/>
      <c r="O102" s="298"/>
      <c r="P102" s="298"/>
      <c r="Q102" s="297"/>
      <c r="R102" s="297">
        <v>0.0</v>
      </c>
      <c r="S102" s="297"/>
      <c r="T102" s="297" t="s">
        <v>719</v>
      </c>
    </row>
    <row r="103">
      <c r="B103" s="291"/>
      <c r="C103" s="291"/>
      <c r="D103" s="181"/>
      <c r="E103" s="292"/>
      <c r="F103" s="292"/>
      <c r="G103" s="293"/>
      <c r="H103" s="294"/>
      <c r="I103" s="295"/>
      <c r="J103" s="296"/>
      <c r="K103" s="297"/>
      <c r="L103" s="297"/>
      <c r="M103" s="297"/>
      <c r="N103" s="297"/>
      <c r="O103" s="298"/>
      <c r="P103" s="298"/>
      <c r="Q103" s="297"/>
      <c r="R103" s="297">
        <v>0.0</v>
      </c>
      <c r="S103" s="297"/>
      <c r="T103" s="297" t="s">
        <v>719</v>
      </c>
    </row>
    <row r="104">
      <c r="B104" s="291"/>
      <c r="C104" s="291"/>
      <c r="D104" s="181"/>
      <c r="E104" s="292"/>
      <c r="F104" s="292"/>
      <c r="G104" s="293"/>
      <c r="H104" s="294"/>
      <c r="I104" s="295"/>
      <c r="J104" s="296"/>
      <c r="K104" s="297"/>
      <c r="L104" s="297"/>
      <c r="M104" s="297"/>
      <c r="N104" s="297"/>
      <c r="O104" s="298"/>
      <c r="P104" s="298"/>
      <c r="Q104" s="297"/>
      <c r="R104" s="297">
        <v>0.0</v>
      </c>
      <c r="S104" s="297"/>
      <c r="T104" s="297" t="s">
        <v>719</v>
      </c>
    </row>
    <row r="105">
      <c r="B105" s="291"/>
      <c r="C105" s="291"/>
      <c r="D105" s="181"/>
      <c r="E105" s="292"/>
      <c r="F105" s="292"/>
      <c r="G105" s="293"/>
      <c r="H105" s="294"/>
      <c r="I105" s="295"/>
      <c r="J105" s="296"/>
      <c r="K105" s="297"/>
      <c r="L105" s="297"/>
      <c r="M105" s="297"/>
      <c r="N105" s="297"/>
      <c r="O105" s="298"/>
      <c r="P105" s="298"/>
      <c r="Q105" s="297"/>
      <c r="R105" s="297">
        <v>0.0</v>
      </c>
      <c r="S105" s="297"/>
      <c r="T105" s="297" t="s">
        <v>719</v>
      </c>
    </row>
    <row r="106">
      <c r="B106" s="291"/>
      <c r="C106" s="291"/>
      <c r="D106" s="181"/>
      <c r="E106" s="292"/>
      <c r="F106" s="292"/>
      <c r="G106" s="293"/>
      <c r="H106" s="294"/>
      <c r="I106" s="295"/>
      <c r="J106" s="296"/>
      <c r="K106" s="297"/>
      <c r="L106" s="297"/>
      <c r="M106" s="297"/>
      <c r="N106" s="297"/>
      <c r="O106" s="298"/>
      <c r="P106" s="298"/>
      <c r="Q106" s="297"/>
      <c r="R106" s="297">
        <v>0.0</v>
      </c>
      <c r="S106" s="297"/>
      <c r="T106" s="297" t="s">
        <v>719</v>
      </c>
    </row>
    <row r="107">
      <c r="B107" s="291"/>
      <c r="C107" s="291"/>
      <c r="D107" s="181"/>
      <c r="E107" s="292"/>
      <c r="F107" s="292"/>
      <c r="G107" s="293"/>
      <c r="H107" s="294"/>
      <c r="I107" s="295"/>
      <c r="J107" s="296"/>
      <c r="K107" s="297"/>
      <c r="L107" s="297"/>
      <c r="M107" s="297"/>
      <c r="N107" s="297"/>
      <c r="O107" s="298"/>
      <c r="P107" s="298"/>
      <c r="Q107" s="297"/>
      <c r="R107" s="297">
        <v>0.0</v>
      </c>
      <c r="S107" s="297"/>
      <c r="T107" s="297" t="s">
        <v>719</v>
      </c>
    </row>
    <row r="108">
      <c r="B108" s="291"/>
      <c r="C108" s="291"/>
      <c r="D108" s="181"/>
      <c r="E108" s="292"/>
      <c r="F108" s="292"/>
      <c r="G108" s="293"/>
      <c r="H108" s="294"/>
      <c r="I108" s="295"/>
      <c r="J108" s="296"/>
      <c r="K108" s="297"/>
      <c r="L108" s="297"/>
      <c r="M108" s="297"/>
      <c r="N108" s="297"/>
      <c r="O108" s="298"/>
      <c r="P108" s="298"/>
      <c r="Q108" s="297"/>
      <c r="R108" s="297">
        <v>0.0</v>
      </c>
      <c r="S108" s="297"/>
      <c r="T108" s="297" t="s">
        <v>719</v>
      </c>
    </row>
    <row r="109">
      <c r="B109" s="291"/>
      <c r="C109" s="291"/>
      <c r="D109" s="181"/>
      <c r="E109" s="292"/>
      <c r="F109" s="292"/>
      <c r="G109" s="293"/>
      <c r="H109" s="294"/>
      <c r="I109" s="295"/>
      <c r="J109" s="296"/>
      <c r="K109" s="297"/>
      <c r="L109" s="297"/>
      <c r="M109" s="297"/>
      <c r="N109" s="297"/>
      <c r="O109" s="298"/>
      <c r="P109" s="298"/>
      <c r="Q109" s="297"/>
      <c r="R109" s="297">
        <v>0.0</v>
      </c>
      <c r="S109" s="297"/>
      <c r="T109" s="297" t="s">
        <v>719</v>
      </c>
    </row>
    <row r="110">
      <c r="B110" s="291"/>
      <c r="C110" s="291"/>
      <c r="D110" s="181"/>
      <c r="E110" s="292"/>
      <c r="F110" s="292"/>
      <c r="G110" s="293"/>
      <c r="H110" s="294"/>
      <c r="I110" s="295"/>
      <c r="J110" s="296"/>
      <c r="K110" s="297"/>
      <c r="L110" s="297"/>
      <c r="M110" s="297"/>
      <c r="N110" s="297"/>
      <c r="O110" s="298"/>
      <c r="P110" s="298"/>
      <c r="Q110" s="297"/>
      <c r="R110" s="297">
        <v>0.0</v>
      </c>
      <c r="S110" s="297"/>
      <c r="T110" s="297" t="s">
        <v>719</v>
      </c>
    </row>
    <row r="111">
      <c r="B111" s="291"/>
      <c r="C111" s="291"/>
      <c r="D111" s="181"/>
      <c r="E111" s="292"/>
      <c r="F111" s="292"/>
      <c r="G111" s="293"/>
      <c r="H111" s="294"/>
      <c r="I111" s="295"/>
      <c r="J111" s="296"/>
      <c r="K111" s="297"/>
      <c r="L111" s="297"/>
      <c r="M111" s="297"/>
      <c r="N111" s="297"/>
      <c r="O111" s="298"/>
      <c r="P111" s="298"/>
      <c r="Q111" s="297"/>
      <c r="R111" s="297">
        <v>0.0</v>
      </c>
      <c r="S111" s="297"/>
      <c r="T111" s="297" t="s">
        <v>719</v>
      </c>
    </row>
    <row r="112">
      <c r="B112" s="291"/>
      <c r="C112" s="291"/>
      <c r="D112" s="181"/>
      <c r="E112" s="292"/>
      <c r="F112" s="292"/>
      <c r="G112" s="293"/>
      <c r="H112" s="294"/>
      <c r="I112" s="295"/>
      <c r="J112" s="296"/>
      <c r="K112" s="297"/>
      <c r="L112" s="297"/>
      <c r="M112" s="297"/>
      <c r="N112" s="297"/>
      <c r="O112" s="298"/>
      <c r="P112" s="298"/>
      <c r="Q112" s="297"/>
      <c r="R112" s="297">
        <v>0.0</v>
      </c>
      <c r="S112" s="297"/>
      <c r="T112" s="297" t="s">
        <v>719</v>
      </c>
    </row>
    <row r="113">
      <c r="B113" s="291"/>
      <c r="C113" s="291"/>
      <c r="D113" s="181"/>
      <c r="E113" s="292"/>
      <c r="F113" s="292"/>
      <c r="G113" s="293"/>
      <c r="H113" s="294"/>
      <c r="I113" s="295"/>
      <c r="J113" s="296"/>
      <c r="K113" s="297"/>
      <c r="L113" s="297"/>
      <c r="M113" s="297"/>
      <c r="N113" s="297"/>
      <c r="O113" s="298"/>
      <c r="P113" s="298"/>
      <c r="Q113" s="297"/>
      <c r="R113" s="297">
        <v>0.0</v>
      </c>
      <c r="S113" s="297"/>
      <c r="T113" s="297" t="s">
        <v>719</v>
      </c>
    </row>
    <row r="114">
      <c r="B114" s="291"/>
      <c r="C114" s="291"/>
      <c r="D114" s="181"/>
      <c r="E114" s="292"/>
      <c r="F114" s="292"/>
      <c r="G114" s="293"/>
      <c r="H114" s="294"/>
      <c r="I114" s="295"/>
      <c r="J114" s="296"/>
      <c r="K114" s="297"/>
      <c r="L114" s="297"/>
      <c r="M114" s="297"/>
      <c r="N114" s="297"/>
      <c r="O114" s="298"/>
      <c r="P114" s="298"/>
      <c r="Q114" s="297"/>
      <c r="R114" s="297">
        <v>0.0</v>
      </c>
      <c r="S114" s="297"/>
      <c r="T114" s="297" t="s">
        <v>719</v>
      </c>
    </row>
    <row r="115">
      <c r="B115" s="291"/>
      <c r="C115" s="291"/>
      <c r="D115" s="181"/>
      <c r="E115" s="292"/>
      <c r="F115" s="292"/>
      <c r="G115" s="293"/>
      <c r="H115" s="294"/>
      <c r="I115" s="295"/>
      <c r="J115" s="296"/>
      <c r="K115" s="297"/>
      <c r="L115" s="297"/>
      <c r="M115" s="297"/>
      <c r="N115" s="297"/>
      <c r="O115" s="298"/>
      <c r="P115" s="298"/>
      <c r="Q115" s="297"/>
      <c r="R115" s="297">
        <v>0.0</v>
      </c>
      <c r="S115" s="297"/>
      <c r="T115" s="297" t="s">
        <v>719</v>
      </c>
    </row>
    <row r="116">
      <c r="B116" s="291"/>
      <c r="C116" s="291"/>
      <c r="D116" s="181"/>
      <c r="E116" s="292"/>
      <c r="F116" s="292"/>
      <c r="G116" s="293"/>
      <c r="H116" s="294"/>
      <c r="I116" s="295"/>
      <c r="J116" s="296"/>
      <c r="K116" s="297"/>
      <c r="L116" s="297"/>
      <c r="M116" s="297"/>
      <c r="N116" s="297"/>
      <c r="O116" s="298"/>
      <c r="P116" s="298"/>
      <c r="Q116" s="297"/>
      <c r="R116" s="297">
        <v>0.0</v>
      </c>
      <c r="S116" s="297"/>
      <c r="T116" s="297" t="s">
        <v>719</v>
      </c>
    </row>
    <row r="117">
      <c r="B117" s="291"/>
      <c r="C117" s="291"/>
      <c r="D117" s="181"/>
      <c r="E117" s="292"/>
      <c r="F117" s="292"/>
      <c r="G117" s="293"/>
      <c r="H117" s="294"/>
      <c r="I117" s="295"/>
      <c r="J117" s="296"/>
      <c r="K117" s="297"/>
      <c r="L117" s="297"/>
      <c r="M117" s="297"/>
      <c r="N117" s="297"/>
      <c r="O117" s="298"/>
      <c r="P117" s="298"/>
      <c r="Q117" s="297"/>
      <c r="R117" s="297">
        <v>0.0</v>
      </c>
      <c r="S117" s="297"/>
      <c r="T117" s="297" t="s">
        <v>719</v>
      </c>
    </row>
    <row r="118">
      <c r="B118" s="291"/>
      <c r="C118" s="291"/>
      <c r="D118" s="181"/>
      <c r="E118" s="292"/>
      <c r="F118" s="292"/>
      <c r="G118" s="293"/>
      <c r="H118" s="294"/>
      <c r="I118" s="295"/>
      <c r="J118" s="296"/>
      <c r="K118" s="297"/>
      <c r="L118" s="297"/>
      <c r="M118" s="297"/>
      <c r="N118" s="297"/>
      <c r="O118" s="298"/>
      <c r="P118" s="298"/>
      <c r="Q118" s="297"/>
      <c r="R118" s="297">
        <v>0.0</v>
      </c>
      <c r="S118" s="297"/>
      <c r="T118" s="297" t="s">
        <v>719</v>
      </c>
    </row>
    <row r="119">
      <c r="B119" s="291"/>
      <c r="C119" s="291"/>
      <c r="D119" s="181"/>
      <c r="E119" s="292"/>
      <c r="F119" s="292"/>
      <c r="G119" s="293"/>
      <c r="H119" s="294"/>
      <c r="I119" s="295"/>
      <c r="J119" s="296"/>
      <c r="K119" s="297"/>
      <c r="L119" s="297"/>
      <c r="M119" s="297"/>
      <c r="N119" s="297"/>
      <c r="O119" s="298"/>
      <c r="P119" s="298"/>
      <c r="Q119" s="297"/>
      <c r="R119" s="297">
        <v>0.0</v>
      </c>
      <c r="S119" s="297"/>
      <c r="T119" s="297" t="s">
        <v>719</v>
      </c>
    </row>
    <row r="120">
      <c r="B120" s="291"/>
      <c r="C120" s="291"/>
      <c r="D120" s="181"/>
      <c r="E120" s="292"/>
      <c r="F120" s="292"/>
      <c r="G120" s="293"/>
      <c r="H120" s="294"/>
      <c r="I120" s="295"/>
      <c r="J120" s="296"/>
      <c r="K120" s="297"/>
      <c r="L120" s="297"/>
      <c r="M120" s="297"/>
      <c r="N120" s="297"/>
      <c r="O120" s="298"/>
      <c r="P120" s="298"/>
      <c r="Q120" s="297"/>
      <c r="R120" s="297">
        <v>0.0</v>
      </c>
      <c r="S120" s="297"/>
      <c r="T120" s="297" t="s">
        <v>719</v>
      </c>
    </row>
    <row r="121">
      <c r="B121" s="291"/>
      <c r="C121" s="291"/>
      <c r="D121" s="181"/>
      <c r="E121" s="292"/>
      <c r="F121" s="292"/>
      <c r="G121" s="293"/>
      <c r="H121" s="294"/>
      <c r="I121" s="295"/>
      <c r="J121" s="296"/>
      <c r="K121" s="297"/>
      <c r="L121" s="297"/>
      <c r="M121" s="297"/>
      <c r="N121" s="297"/>
      <c r="O121" s="298"/>
      <c r="P121" s="298"/>
      <c r="Q121" s="297"/>
      <c r="R121" s="297">
        <v>0.0</v>
      </c>
      <c r="S121" s="297"/>
      <c r="T121" s="297" t="s">
        <v>719</v>
      </c>
    </row>
    <row r="122">
      <c r="B122" s="291"/>
      <c r="C122" s="291"/>
      <c r="D122" s="181"/>
      <c r="E122" s="292"/>
      <c r="F122" s="292"/>
      <c r="G122" s="293"/>
      <c r="H122" s="294"/>
      <c r="I122" s="295"/>
      <c r="J122" s="296"/>
      <c r="K122" s="297"/>
      <c r="L122" s="297"/>
      <c r="M122" s="297"/>
      <c r="N122" s="297"/>
      <c r="O122" s="298"/>
      <c r="P122" s="298"/>
      <c r="Q122" s="297"/>
      <c r="R122" s="297">
        <v>0.0</v>
      </c>
      <c r="S122" s="297"/>
      <c r="T122" s="297" t="s">
        <v>719</v>
      </c>
    </row>
    <row r="123">
      <c r="B123" s="291"/>
      <c r="C123" s="291"/>
      <c r="D123" s="181"/>
      <c r="E123" s="292"/>
      <c r="F123" s="292"/>
      <c r="G123" s="293"/>
      <c r="H123" s="294"/>
      <c r="I123" s="295"/>
      <c r="J123" s="296"/>
      <c r="K123" s="297"/>
      <c r="L123" s="297"/>
      <c r="M123" s="297"/>
      <c r="N123" s="297"/>
      <c r="O123" s="298"/>
      <c r="P123" s="298"/>
      <c r="Q123" s="297"/>
      <c r="R123" s="297">
        <v>0.0</v>
      </c>
      <c r="S123" s="297"/>
      <c r="T123" s="297" t="s">
        <v>719</v>
      </c>
    </row>
    <row r="124">
      <c r="B124" s="291"/>
      <c r="C124" s="291"/>
      <c r="D124" s="181"/>
      <c r="E124" s="292"/>
      <c r="F124" s="292"/>
      <c r="G124" s="293"/>
      <c r="H124" s="294"/>
      <c r="I124" s="295"/>
      <c r="J124" s="296"/>
      <c r="K124" s="297"/>
      <c r="L124" s="297"/>
      <c r="M124" s="297"/>
      <c r="N124" s="297"/>
      <c r="O124" s="298"/>
      <c r="P124" s="298"/>
      <c r="Q124" s="297"/>
      <c r="R124" s="297">
        <v>0.0</v>
      </c>
      <c r="S124" s="297"/>
      <c r="T124" s="297" t="s">
        <v>719</v>
      </c>
    </row>
    <row r="125">
      <c r="B125" s="291"/>
      <c r="C125" s="291"/>
      <c r="D125" s="181"/>
      <c r="E125" s="292"/>
      <c r="F125" s="292"/>
      <c r="G125" s="293"/>
      <c r="H125" s="294"/>
      <c r="I125" s="295"/>
      <c r="J125" s="296"/>
      <c r="K125" s="297"/>
      <c r="L125" s="297"/>
      <c r="M125" s="297"/>
      <c r="N125" s="297"/>
      <c r="O125" s="298"/>
      <c r="P125" s="298"/>
      <c r="Q125" s="297"/>
      <c r="R125" s="297">
        <v>0.0</v>
      </c>
      <c r="S125" s="297"/>
      <c r="T125" s="297" t="s">
        <v>719</v>
      </c>
    </row>
    <row r="126">
      <c r="B126" s="291"/>
      <c r="C126" s="291"/>
      <c r="D126" s="181"/>
      <c r="E126" s="292"/>
      <c r="F126" s="292"/>
      <c r="G126" s="293"/>
      <c r="H126" s="294"/>
      <c r="I126" s="295"/>
      <c r="J126" s="296"/>
      <c r="K126" s="297"/>
      <c r="L126" s="297"/>
      <c r="M126" s="297"/>
      <c r="N126" s="297"/>
      <c r="O126" s="298"/>
      <c r="P126" s="298"/>
      <c r="Q126" s="297"/>
      <c r="R126" s="297">
        <v>0.0</v>
      </c>
      <c r="S126" s="297"/>
      <c r="T126" s="297" t="s">
        <v>719</v>
      </c>
    </row>
    <row r="127">
      <c r="B127" s="291"/>
      <c r="C127" s="291"/>
      <c r="D127" s="181"/>
      <c r="E127" s="292"/>
      <c r="F127" s="292"/>
      <c r="G127" s="293"/>
      <c r="H127" s="294"/>
      <c r="I127" s="295"/>
      <c r="J127" s="296"/>
      <c r="K127" s="297"/>
      <c r="L127" s="297"/>
      <c r="M127" s="297"/>
      <c r="N127" s="297"/>
      <c r="O127" s="298"/>
      <c r="P127" s="298"/>
      <c r="Q127" s="297"/>
      <c r="R127" s="297">
        <v>0.0</v>
      </c>
      <c r="S127" s="297"/>
      <c r="T127" s="297" t="s">
        <v>719</v>
      </c>
    </row>
    <row r="128">
      <c r="B128" s="291"/>
      <c r="C128" s="291"/>
      <c r="D128" s="181"/>
      <c r="E128" s="292"/>
      <c r="F128" s="292"/>
      <c r="G128" s="293"/>
      <c r="H128" s="294"/>
      <c r="I128" s="295"/>
      <c r="J128" s="296"/>
      <c r="K128" s="297"/>
      <c r="L128" s="297"/>
      <c r="M128" s="297"/>
      <c r="N128" s="297"/>
      <c r="O128" s="298"/>
      <c r="P128" s="298"/>
      <c r="Q128" s="297"/>
      <c r="R128" s="297">
        <v>0.0</v>
      </c>
      <c r="S128" s="297"/>
      <c r="T128" s="297" t="s">
        <v>719</v>
      </c>
    </row>
    <row r="129">
      <c r="B129" s="291"/>
      <c r="C129" s="291"/>
      <c r="D129" s="181"/>
      <c r="E129" s="292"/>
      <c r="F129" s="292"/>
      <c r="G129" s="293"/>
      <c r="H129" s="294"/>
      <c r="I129" s="295"/>
      <c r="J129" s="296"/>
      <c r="K129" s="297"/>
      <c r="L129" s="297"/>
      <c r="M129" s="297"/>
      <c r="N129" s="297"/>
      <c r="O129" s="298"/>
      <c r="P129" s="298"/>
      <c r="Q129" s="297"/>
      <c r="R129" s="297">
        <v>0.0</v>
      </c>
      <c r="S129" s="297"/>
      <c r="T129" s="297" t="s">
        <v>719</v>
      </c>
    </row>
    <row r="130">
      <c r="B130" s="291"/>
      <c r="C130" s="291"/>
      <c r="D130" s="181"/>
      <c r="E130" s="292"/>
      <c r="F130" s="292"/>
      <c r="G130" s="293"/>
      <c r="H130" s="294"/>
      <c r="I130" s="295"/>
      <c r="J130" s="296"/>
      <c r="K130" s="297"/>
      <c r="L130" s="297"/>
      <c r="M130" s="297"/>
      <c r="N130" s="297"/>
      <c r="O130" s="298"/>
      <c r="P130" s="298"/>
      <c r="Q130" s="297"/>
      <c r="R130" s="297">
        <v>0.0</v>
      </c>
      <c r="S130" s="297"/>
      <c r="T130" s="297" t="s">
        <v>719</v>
      </c>
    </row>
    <row r="131">
      <c r="B131" s="291"/>
      <c r="C131" s="291"/>
      <c r="D131" s="181"/>
      <c r="E131" s="292"/>
      <c r="F131" s="292"/>
      <c r="G131" s="293"/>
      <c r="H131" s="294"/>
      <c r="I131" s="295"/>
      <c r="J131" s="296"/>
      <c r="K131" s="297"/>
      <c r="L131" s="297"/>
      <c r="M131" s="297"/>
      <c r="N131" s="297"/>
      <c r="O131" s="298"/>
      <c r="P131" s="298"/>
      <c r="Q131" s="297"/>
      <c r="R131" s="297">
        <v>0.0</v>
      </c>
      <c r="S131" s="297"/>
      <c r="T131" s="297" t="s">
        <v>719</v>
      </c>
    </row>
    <row r="132">
      <c r="B132" s="291"/>
      <c r="C132" s="291"/>
      <c r="D132" s="181"/>
      <c r="E132" s="292"/>
      <c r="F132" s="292"/>
      <c r="G132" s="293"/>
      <c r="H132" s="294"/>
      <c r="I132" s="295"/>
      <c r="J132" s="296"/>
      <c r="K132" s="297"/>
      <c r="L132" s="297"/>
      <c r="M132" s="297"/>
      <c r="N132" s="297"/>
      <c r="O132" s="298"/>
      <c r="P132" s="298"/>
      <c r="Q132" s="297"/>
      <c r="R132" s="297">
        <v>0.0</v>
      </c>
      <c r="S132" s="297"/>
      <c r="T132" s="297" t="s">
        <v>719</v>
      </c>
    </row>
    <row r="133">
      <c r="B133" s="291"/>
      <c r="C133" s="291"/>
      <c r="D133" s="181"/>
      <c r="E133" s="292"/>
      <c r="F133" s="292"/>
      <c r="G133" s="293"/>
      <c r="H133" s="294"/>
      <c r="I133" s="295"/>
      <c r="J133" s="296"/>
      <c r="K133" s="297"/>
      <c r="L133" s="297"/>
      <c r="M133" s="297"/>
      <c r="N133" s="297"/>
      <c r="O133" s="298"/>
      <c r="P133" s="298"/>
      <c r="Q133" s="297"/>
      <c r="R133" s="297">
        <v>0.0</v>
      </c>
      <c r="S133" s="297"/>
      <c r="T133" s="297" t="s">
        <v>719</v>
      </c>
    </row>
    <row r="134">
      <c r="B134" s="291"/>
      <c r="C134" s="291"/>
      <c r="D134" s="181"/>
      <c r="E134" s="292"/>
      <c r="F134" s="292"/>
      <c r="G134" s="293"/>
      <c r="H134" s="294"/>
      <c r="I134" s="295"/>
      <c r="J134" s="296"/>
      <c r="K134" s="297"/>
      <c r="L134" s="297"/>
      <c r="M134" s="297"/>
      <c r="N134" s="297"/>
      <c r="O134" s="298"/>
      <c r="P134" s="298"/>
      <c r="Q134" s="297"/>
      <c r="R134" s="297">
        <v>0.0</v>
      </c>
      <c r="S134" s="297"/>
      <c r="T134" s="297" t="s">
        <v>719</v>
      </c>
    </row>
    <row r="135">
      <c r="B135" s="291"/>
      <c r="C135" s="291"/>
      <c r="D135" s="181"/>
      <c r="E135" s="292"/>
      <c r="F135" s="292"/>
      <c r="G135" s="293"/>
      <c r="H135" s="294"/>
      <c r="I135" s="295"/>
      <c r="J135" s="296"/>
      <c r="K135" s="297"/>
      <c r="L135" s="297"/>
      <c r="M135" s="297"/>
      <c r="N135" s="297"/>
      <c r="O135" s="298"/>
      <c r="P135" s="298"/>
      <c r="Q135" s="297"/>
      <c r="R135" s="297">
        <v>0.0</v>
      </c>
      <c r="S135" s="297"/>
      <c r="T135" s="297" t="s">
        <v>719</v>
      </c>
    </row>
    <row r="136">
      <c r="B136" s="291"/>
      <c r="C136" s="291"/>
      <c r="D136" s="181"/>
      <c r="E136" s="292"/>
      <c r="F136" s="292"/>
      <c r="G136" s="293"/>
      <c r="H136" s="294"/>
      <c r="I136" s="295"/>
      <c r="J136" s="296"/>
      <c r="K136" s="297"/>
      <c r="L136" s="297"/>
      <c r="M136" s="297"/>
      <c r="N136" s="297"/>
      <c r="O136" s="298"/>
      <c r="P136" s="298"/>
      <c r="Q136" s="297"/>
      <c r="R136" s="297">
        <v>0.0</v>
      </c>
      <c r="S136" s="297"/>
      <c r="T136" s="297" t="s">
        <v>719</v>
      </c>
    </row>
    <row r="137">
      <c r="B137" s="291"/>
      <c r="C137" s="291"/>
      <c r="D137" s="181"/>
      <c r="E137" s="292"/>
      <c r="F137" s="292"/>
      <c r="G137" s="293"/>
      <c r="H137" s="294"/>
      <c r="I137" s="295"/>
      <c r="J137" s="296"/>
      <c r="K137" s="297"/>
      <c r="L137" s="297"/>
      <c r="M137" s="297"/>
      <c r="N137" s="297"/>
      <c r="O137" s="298"/>
      <c r="P137" s="298"/>
      <c r="Q137" s="297"/>
      <c r="R137" s="297">
        <v>0.0</v>
      </c>
      <c r="S137" s="297"/>
      <c r="T137" s="297" t="s">
        <v>719</v>
      </c>
    </row>
    <row r="138">
      <c r="B138" s="291"/>
      <c r="C138" s="291"/>
      <c r="D138" s="181"/>
      <c r="E138" s="292"/>
      <c r="F138" s="292"/>
      <c r="G138" s="293"/>
      <c r="H138" s="294"/>
      <c r="I138" s="295"/>
      <c r="J138" s="296"/>
      <c r="K138" s="297"/>
      <c r="L138" s="297"/>
      <c r="M138" s="297"/>
      <c r="N138" s="297"/>
      <c r="O138" s="298"/>
      <c r="P138" s="298"/>
      <c r="Q138" s="297"/>
      <c r="R138" s="297">
        <v>0.0</v>
      </c>
      <c r="S138" s="297"/>
      <c r="T138" s="297" t="s">
        <v>719</v>
      </c>
    </row>
    <row r="139">
      <c r="B139" s="291"/>
      <c r="C139" s="291"/>
      <c r="D139" s="181"/>
      <c r="E139" s="292"/>
      <c r="F139" s="292"/>
      <c r="G139" s="293"/>
      <c r="H139" s="294"/>
      <c r="I139" s="295"/>
      <c r="J139" s="296"/>
      <c r="K139" s="297"/>
      <c r="L139" s="297"/>
      <c r="M139" s="297"/>
      <c r="N139" s="297"/>
      <c r="O139" s="298"/>
      <c r="P139" s="298"/>
      <c r="Q139" s="297"/>
      <c r="R139" s="297">
        <v>0.0</v>
      </c>
      <c r="S139" s="297"/>
      <c r="T139" s="297" t="s">
        <v>719</v>
      </c>
    </row>
    <row r="140">
      <c r="B140" s="291"/>
      <c r="C140" s="291"/>
      <c r="D140" s="181"/>
      <c r="E140" s="292"/>
      <c r="F140" s="292"/>
      <c r="G140" s="293"/>
      <c r="H140" s="294"/>
      <c r="I140" s="295"/>
      <c r="J140" s="296"/>
      <c r="K140" s="297"/>
      <c r="L140" s="297"/>
      <c r="M140" s="297"/>
      <c r="N140" s="297"/>
      <c r="O140" s="298"/>
      <c r="P140" s="298"/>
      <c r="Q140" s="297"/>
      <c r="R140" s="297">
        <v>0.0</v>
      </c>
      <c r="S140" s="297"/>
      <c r="T140" s="297" t="s">
        <v>719</v>
      </c>
    </row>
    <row r="141">
      <c r="B141" s="291"/>
      <c r="C141" s="291"/>
      <c r="D141" s="181"/>
      <c r="E141" s="292"/>
      <c r="F141" s="292"/>
      <c r="G141" s="293"/>
      <c r="H141" s="294"/>
      <c r="I141" s="295"/>
      <c r="J141" s="296"/>
      <c r="K141" s="297"/>
      <c r="L141" s="297"/>
      <c r="M141" s="297"/>
      <c r="N141" s="297"/>
      <c r="O141" s="298"/>
      <c r="P141" s="298"/>
      <c r="Q141" s="297"/>
      <c r="R141" s="297">
        <v>0.0</v>
      </c>
      <c r="S141" s="297"/>
      <c r="T141" s="297" t="s">
        <v>719</v>
      </c>
    </row>
    <row r="142">
      <c r="B142" s="291"/>
      <c r="C142" s="291"/>
      <c r="D142" s="181"/>
      <c r="E142" s="292"/>
      <c r="F142" s="292"/>
      <c r="G142" s="293"/>
      <c r="H142" s="294"/>
      <c r="I142" s="295"/>
      <c r="J142" s="296"/>
      <c r="K142" s="297"/>
      <c r="L142" s="297"/>
      <c r="M142" s="297"/>
      <c r="N142" s="297"/>
      <c r="O142" s="298"/>
      <c r="P142" s="298"/>
      <c r="Q142" s="297"/>
      <c r="R142" s="297">
        <v>0.0</v>
      </c>
      <c r="S142" s="297"/>
      <c r="T142" s="297" t="s">
        <v>719</v>
      </c>
    </row>
    <row r="143">
      <c r="B143" s="291"/>
      <c r="C143" s="291"/>
      <c r="D143" s="181"/>
      <c r="E143" s="292"/>
      <c r="F143" s="292"/>
      <c r="G143" s="293"/>
      <c r="H143" s="294"/>
      <c r="I143" s="295"/>
      <c r="J143" s="296"/>
      <c r="K143" s="297"/>
      <c r="L143" s="297"/>
      <c r="M143" s="297"/>
      <c r="N143" s="297"/>
      <c r="O143" s="298"/>
      <c r="P143" s="298"/>
      <c r="Q143" s="297"/>
      <c r="R143" s="297">
        <v>0.0</v>
      </c>
      <c r="S143" s="297"/>
      <c r="T143" s="297" t="s">
        <v>719</v>
      </c>
    </row>
    <row r="144">
      <c r="B144" s="291"/>
      <c r="C144" s="291"/>
      <c r="D144" s="181"/>
      <c r="E144" s="292"/>
      <c r="F144" s="292"/>
      <c r="G144" s="293"/>
      <c r="H144" s="294"/>
      <c r="I144" s="295"/>
      <c r="J144" s="296"/>
      <c r="K144" s="297"/>
      <c r="L144" s="297"/>
      <c r="M144" s="297"/>
      <c r="N144" s="297"/>
      <c r="O144" s="298"/>
      <c r="P144" s="298"/>
      <c r="Q144" s="297"/>
      <c r="R144" s="297">
        <v>0.0</v>
      </c>
      <c r="S144" s="297"/>
      <c r="T144" s="297" t="s">
        <v>719</v>
      </c>
    </row>
    <row r="145">
      <c r="B145" s="291"/>
      <c r="C145" s="291"/>
      <c r="D145" s="181"/>
      <c r="E145" s="292"/>
      <c r="F145" s="292"/>
      <c r="G145" s="293"/>
      <c r="H145" s="294"/>
      <c r="I145" s="295"/>
      <c r="J145" s="296"/>
      <c r="K145" s="297"/>
      <c r="L145" s="297"/>
      <c r="M145" s="297"/>
      <c r="N145" s="297"/>
      <c r="O145" s="298"/>
      <c r="P145" s="298"/>
      <c r="Q145" s="297"/>
      <c r="R145" s="297">
        <v>0.0</v>
      </c>
      <c r="S145" s="297"/>
      <c r="T145" s="297" t="s">
        <v>719</v>
      </c>
    </row>
    <row r="146">
      <c r="B146" s="291"/>
      <c r="C146" s="291"/>
      <c r="D146" s="181"/>
      <c r="E146" s="292"/>
      <c r="F146" s="292"/>
      <c r="G146" s="293"/>
      <c r="H146" s="294"/>
      <c r="I146" s="295"/>
      <c r="J146" s="296"/>
      <c r="K146" s="297"/>
      <c r="L146" s="297"/>
      <c r="M146" s="297"/>
      <c r="N146" s="297"/>
      <c r="O146" s="298"/>
      <c r="P146" s="298"/>
      <c r="Q146" s="297"/>
      <c r="R146" s="297">
        <v>0.0</v>
      </c>
      <c r="S146" s="297"/>
      <c r="T146" s="297" t="s">
        <v>719</v>
      </c>
    </row>
    <row r="147">
      <c r="B147" s="291"/>
      <c r="C147" s="291"/>
      <c r="D147" s="181"/>
      <c r="E147" s="292"/>
      <c r="F147" s="292"/>
      <c r="G147" s="293"/>
      <c r="H147" s="294"/>
      <c r="I147" s="295"/>
      <c r="J147" s="296"/>
      <c r="K147" s="297"/>
      <c r="L147" s="297"/>
      <c r="M147" s="297"/>
      <c r="N147" s="297"/>
      <c r="O147" s="298"/>
      <c r="P147" s="298"/>
      <c r="Q147" s="297"/>
      <c r="R147" s="297">
        <v>0.0</v>
      </c>
      <c r="S147" s="297"/>
      <c r="T147" s="297" t="s">
        <v>719</v>
      </c>
    </row>
    <row r="148">
      <c r="B148" s="291"/>
      <c r="C148" s="291"/>
      <c r="D148" s="181"/>
      <c r="E148" s="292"/>
      <c r="F148" s="292"/>
      <c r="G148" s="293"/>
      <c r="H148" s="294"/>
      <c r="I148" s="295"/>
      <c r="J148" s="296"/>
      <c r="K148" s="297"/>
      <c r="L148" s="297"/>
      <c r="M148" s="297"/>
      <c r="N148" s="297"/>
      <c r="O148" s="298"/>
      <c r="P148" s="298"/>
      <c r="Q148" s="297"/>
      <c r="R148" s="297">
        <v>0.0</v>
      </c>
      <c r="S148" s="297"/>
      <c r="T148" s="297" t="s">
        <v>719</v>
      </c>
    </row>
    <row r="149">
      <c r="B149" s="291"/>
      <c r="C149" s="291"/>
      <c r="D149" s="181"/>
      <c r="E149" s="292"/>
      <c r="F149" s="292"/>
      <c r="G149" s="293"/>
      <c r="H149" s="294"/>
      <c r="I149" s="295"/>
      <c r="J149" s="296"/>
      <c r="K149" s="297"/>
      <c r="L149" s="297"/>
      <c r="M149" s="297"/>
      <c r="N149" s="297"/>
      <c r="O149" s="298"/>
      <c r="P149" s="298"/>
      <c r="Q149" s="297"/>
      <c r="R149" s="297">
        <v>0.0</v>
      </c>
      <c r="S149" s="297"/>
      <c r="T149" s="297" t="s">
        <v>719</v>
      </c>
    </row>
    <row r="150">
      <c r="B150" s="291"/>
      <c r="C150" s="291"/>
      <c r="D150" s="181"/>
      <c r="E150" s="292"/>
      <c r="F150" s="292"/>
      <c r="G150" s="293"/>
      <c r="H150" s="294"/>
      <c r="I150" s="295"/>
      <c r="J150" s="296"/>
      <c r="K150" s="297"/>
      <c r="L150" s="297"/>
      <c r="M150" s="297"/>
      <c r="N150" s="297"/>
      <c r="O150" s="298"/>
      <c r="P150" s="298"/>
      <c r="Q150" s="297"/>
      <c r="R150" s="297">
        <v>0.0</v>
      </c>
      <c r="S150" s="297"/>
      <c r="T150" s="297" t="s">
        <v>719</v>
      </c>
    </row>
    <row r="151">
      <c r="B151" s="291"/>
      <c r="C151" s="291"/>
      <c r="D151" s="181"/>
      <c r="E151" s="292"/>
      <c r="F151" s="292"/>
      <c r="G151" s="293"/>
      <c r="H151" s="294"/>
      <c r="I151" s="295"/>
      <c r="J151" s="296"/>
      <c r="K151" s="297"/>
      <c r="L151" s="297"/>
      <c r="M151" s="297"/>
      <c r="N151" s="297"/>
      <c r="O151" s="298"/>
      <c r="P151" s="298"/>
      <c r="Q151" s="297"/>
      <c r="R151" s="297">
        <v>0.0</v>
      </c>
      <c r="S151" s="297"/>
      <c r="T151" s="297" t="s">
        <v>719</v>
      </c>
    </row>
    <row r="152">
      <c r="B152" s="291"/>
      <c r="C152" s="291"/>
      <c r="D152" s="181"/>
      <c r="E152" s="292"/>
      <c r="F152" s="292"/>
      <c r="G152" s="293"/>
      <c r="H152" s="294"/>
      <c r="I152" s="295"/>
      <c r="J152" s="296"/>
      <c r="K152" s="297"/>
      <c r="L152" s="297"/>
      <c r="M152" s="297"/>
      <c r="N152" s="297"/>
      <c r="O152" s="298"/>
      <c r="P152" s="298"/>
      <c r="Q152" s="297"/>
      <c r="R152" s="297">
        <v>0.0</v>
      </c>
      <c r="S152" s="297"/>
      <c r="T152" s="297" t="s">
        <v>719</v>
      </c>
    </row>
    <row r="153">
      <c r="B153" s="291"/>
      <c r="C153" s="291"/>
      <c r="D153" s="181"/>
      <c r="E153" s="292"/>
      <c r="F153" s="292"/>
      <c r="G153" s="293"/>
      <c r="H153" s="294"/>
      <c r="I153" s="295"/>
      <c r="J153" s="296"/>
      <c r="K153" s="297"/>
      <c r="L153" s="297"/>
      <c r="M153" s="297"/>
      <c r="N153" s="297"/>
      <c r="O153" s="298"/>
      <c r="P153" s="298"/>
      <c r="Q153" s="297"/>
      <c r="R153" s="297">
        <v>0.0</v>
      </c>
      <c r="S153" s="297"/>
      <c r="T153" s="297" t="s">
        <v>719</v>
      </c>
    </row>
    <row r="154">
      <c r="B154" s="291"/>
      <c r="C154" s="291"/>
      <c r="D154" s="181"/>
      <c r="E154" s="292"/>
      <c r="F154" s="292"/>
      <c r="G154" s="293"/>
      <c r="H154" s="294"/>
      <c r="I154" s="295"/>
      <c r="J154" s="296"/>
      <c r="K154" s="297"/>
      <c r="L154" s="297"/>
      <c r="M154" s="297"/>
      <c r="N154" s="297"/>
      <c r="O154" s="298"/>
      <c r="P154" s="298"/>
      <c r="Q154" s="297"/>
      <c r="R154" s="297">
        <v>0.0</v>
      </c>
      <c r="S154" s="297"/>
      <c r="T154" s="297" t="s">
        <v>719</v>
      </c>
    </row>
    <row r="155">
      <c r="B155" s="291"/>
      <c r="C155" s="291"/>
      <c r="D155" s="181"/>
      <c r="E155" s="292"/>
      <c r="F155" s="292"/>
      <c r="G155" s="293"/>
      <c r="H155" s="294"/>
      <c r="I155" s="295"/>
      <c r="J155" s="296"/>
      <c r="K155" s="297"/>
      <c r="L155" s="297"/>
      <c r="M155" s="297"/>
      <c r="N155" s="297"/>
      <c r="O155" s="298"/>
      <c r="P155" s="298"/>
      <c r="Q155" s="297"/>
      <c r="R155" s="297">
        <v>0.0</v>
      </c>
      <c r="S155" s="297"/>
      <c r="T155" s="297" t="s">
        <v>719</v>
      </c>
    </row>
    <row r="156">
      <c r="B156" s="291"/>
      <c r="C156" s="291"/>
      <c r="D156" s="181"/>
      <c r="E156" s="292"/>
      <c r="F156" s="292"/>
      <c r="G156" s="293"/>
      <c r="H156" s="294"/>
      <c r="I156" s="295"/>
      <c r="J156" s="296"/>
      <c r="K156" s="297"/>
      <c r="L156" s="297"/>
      <c r="M156" s="297"/>
      <c r="N156" s="297"/>
      <c r="O156" s="298"/>
      <c r="P156" s="298"/>
      <c r="Q156" s="297"/>
      <c r="R156" s="297">
        <v>0.0</v>
      </c>
      <c r="S156" s="297"/>
      <c r="T156" s="297" t="s">
        <v>719</v>
      </c>
    </row>
    <row r="157">
      <c r="B157" s="291"/>
      <c r="C157" s="291"/>
      <c r="D157" s="181"/>
      <c r="E157" s="292"/>
      <c r="F157" s="292"/>
      <c r="G157" s="293"/>
      <c r="H157" s="294"/>
      <c r="I157" s="295"/>
      <c r="J157" s="296"/>
      <c r="K157" s="297"/>
      <c r="L157" s="297"/>
      <c r="M157" s="297"/>
      <c r="N157" s="297"/>
      <c r="O157" s="298"/>
      <c r="P157" s="298"/>
      <c r="Q157" s="297"/>
      <c r="R157" s="297">
        <v>0.0</v>
      </c>
      <c r="S157" s="297"/>
      <c r="T157" s="297" t="s">
        <v>719</v>
      </c>
    </row>
    <row r="158">
      <c r="B158" s="291"/>
      <c r="C158" s="291"/>
      <c r="D158" s="181"/>
      <c r="E158" s="292"/>
      <c r="F158" s="292"/>
      <c r="G158" s="293"/>
      <c r="H158" s="294"/>
      <c r="I158" s="295"/>
      <c r="J158" s="296"/>
      <c r="K158" s="297"/>
      <c r="L158" s="297"/>
      <c r="M158" s="297"/>
      <c r="N158" s="297"/>
      <c r="O158" s="298"/>
      <c r="P158" s="298"/>
      <c r="Q158" s="297"/>
      <c r="R158" s="297">
        <v>0.0</v>
      </c>
      <c r="S158" s="297"/>
      <c r="T158" s="297" t="s">
        <v>719</v>
      </c>
    </row>
    <row r="159">
      <c r="B159" s="291"/>
      <c r="C159" s="291"/>
      <c r="D159" s="181"/>
      <c r="E159" s="292"/>
      <c r="F159" s="292"/>
      <c r="G159" s="293"/>
      <c r="H159" s="294"/>
      <c r="I159" s="295"/>
      <c r="J159" s="296"/>
      <c r="K159" s="297"/>
      <c r="L159" s="297"/>
      <c r="M159" s="297"/>
      <c r="N159" s="297"/>
      <c r="O159" s="298"/>
      <c r="P159" s="298"/>
      <c r="Q159" s="297"/>
      <c r="R159" s="297">
        <v>0.0</v>
      </c>
      <c r="S159" s="297"/>
      <c r="T159" s="297" t="s">
        <v>719</v>
      </c>
    </row>
    <row r="160">
      <c r="B160" s="291"/>
      <c r="C160" s="291"/>
      <c r="D160" s="181"/>
      <c r="E160" s="292"/>
      <c r="F160" s="292"/>
      <c r="G160" s="293"/>
      <c r="H160" s="294"/>
      <c r="I160" s="295"/>
      <c r="J160" s="296"/>
      <c r="K160" s="297"/>
      <c r="L160" s="297"/>
      <c r="M160" s="297"/>
      <c r="N160" s="297"/>
      <c r="O160" s="298"/>
      <c r="P160" s="298"/>
      <c r="Q160" s="297"/>
      <c r="R160" s="297">
        <v>0.0</v>
      </c>
      <c r="S160" s="297"/>
      <c r="T160" s="297" t="s">
        <v>719</v>
      </c>
    </row>
    <row r="161">
      <c r="B161" s="291"/>
      <c r="C161" s="291"/>
      <c r="D161" s="181"/>
      <c r="E161" s="292"/>
      <c r="F161" s="292"/>
      <c r="G161" s="293"/>
      <c r="H161" s="294"/>
      <c r="I161" s="295"/>
      <c r="J161" s="296"/>
      <c r="K161" s="297"/>
      <c r="L161" s="297"/>
      <c r="M161" s="297"/>
      <c r="N161" s="297"/>
      <c r="O161" s="298"/>
      <c r="P161" s="298"/>
      <c r="Q161" s="297"/>
      <c r="R161" s="297">
        <v>0.0</v>
      </c>
      <c r="S161" s="297"/>
      <c r="T161" s="297" t="s">
        <v>719</v>
      </c>
    </row>
    <row r="162">
      <c r="B162" s="291"/>
      <c r="C162" s="291"/>
      <c r="D162" s="181"/>
      <c r="E162" s="292"/>
      <c r="F162" s="292"/>
      <c r="G162" s="293"/>
      <c r="H162" s="294"/>
      <c r="I162" s="295"/>
      <c r="J162" s="296"/>
      <c r="K162" s="297"/>
      <c r="L162" s="297"/>
      <c r="M162" s="297"/>
      <c r="N162" s="297"/>
      <c r="O162" s="298"/>
      <c r="P162" s="298"/>
      <c r="Q162" s="297"/>
      <c r="R162" s="297">
        <v>0.0</v>
      </c>
      <c r="S162" s="297"/>
      <c r="T162" s="297" t="s">
        <v>719</v>
      </c>
    </row>
    <row r="163">
      <c r="B163" s="291"/>
      <c r="C163" s="291"/>
      <c r="D163" s="181"/>
      <c r="E163" s="292"/>
      <c r="F163" s="292"/>
      <c r="G163" s="293"/>
      <c r="H163" s="294"/>
      <c r="I163" s="295"/>
      <c r="J163" s="296"/>
      <c r="K163" s="297"/>
      <c r="L163" s="297"/>
      <c r="M163" s="297"/>
      <c r="N163" s="297"/>
      <c r="O163" s="298"/>
      <c r="P163" s="298"/>
      <c r="Q163" s="297"/>
      <c r="R163" s="297">
        <v>0.0</v>
      </c>
      <c r="S163" s="297"/>
      <c r="T163" s="297" t="s">
        <v>719</v>
      </c>
    </row>
    <row r="164">
      <c r="B164" s="291"/>
      <c r="C164" s="291"/>
      <c r="D164" s="181"/>
      <c r="E164" s="292"/>
      <c r="F164" s="292"/>
      <c r="G164" s="293"/>
      <c r="H164" s="294"/>
      <c r="I164" s="295"/>
      <c r="J164" s="296"/>
      <c r="K164" s="297"/>
      <c r="L164" s="297"/>
      <c r="M164" s="297"/>
      <c r="N164" s="297"/>
      <c r="O164" s="298"/>
      <c r="P164" s="298"/>
      <c r="Q164" s="297"/>
      <c r="R164" s="297">
        <v>0.0</v>
      </c>
      <c r="S164" s="297"/>
      <c r="T164" s="297" t="s">
        <v>719</v>
      </c>
    </row>
    <row r="165">
      <c r="B165" s="291"/>
      <c r="C165" s="291"/>
      <c r="D165" s="181"/>
      <c r="E165" s="292"/>
      <c r="F165" s="292"/>
      <c r="G165" s="293"/>
      <c r="H165" s="294"/>
      <c r="I165" s="295"/>
      <c r="J165" s="296"/>
      <c r="K165" s="297"/>
      <c r="L165" s="297"/>
      <c r="M165" s="297"/>
      <c r="N165" s="297"/>
      <c r="O165" s="298"/>
      <c r="P165" s="298"/>
      <c r="Q165" s="297"/>
      <c r="R165" s="297">
        <v>0.0</v>
      </c>
      <c r="S165" s="297"/>
      <c r="T165" s="297" t="s">
        <v>719</v>
      </c>
    </row>
    <row r="166">
      <c r="B166" s="291"/>
      <c r="C166" s="291"/>
      <c r="D166" s="181"/>
      <c r="E166" s="292"/>
      <c r="F166" s="292"/>
      <c r="G166" s="293"/>
      <c r="H166" s="294"/>
      <c r="I166" s="295"/>
      <c r="J166" s="296"/>
      <c r="K166" s="297"/>
      <c r="L166" s="297"/>
      <c r="M166" s="297"/>
      <c r="N166" s="297"/>
      <c r="O166" s="298"/>
      <c r="P166" s="298"/>
      <c r="Q166" s="297"/>
      <c r="R166" s="297">
        <v>0.0</v>
      </c>
      <c r="S166" s="297"/>
      <c r="T166" s="297" t="s">
        <v>719</v>
      </c>
    </row>
    <row r="167">
      <c r="B167" s="291"/>
      <c r="C167" s="291"/>
      <c r="D167" s="181"/>
      <c r="E167" s="292"/>
      <c r="F167" s="292"/>
      <c r="G167" s="293"/>
      <c r="H167" s="294"/>
      <c r="I167" s="295"/>
      <c r="J167" s="296"/>
      <c r="K167" s="297"/>
      <c r="L167" s="297"/>
      <c r="M167" s="297"/>
      <c r="N167" s="297"/>
      <c r="O167" s="298"/>
      <c r="P167" s="298"/>
      <c r="Q167" s="297"/>
      <c r="R167" s="297">
        <v>0.0</v>
      </c>
      <c r="S167" s="297"/>
      <c r="T167" s="297" t="s">
        <v>719</v>
      </c>
    </row>
    <row r="168">
      <c r="B168" s="291"/>
      <c r="C168" s="291"/>
      <c r="D168" s="181"/>
      <c r="E168" s="292"/>
      <c r="F168" s="292"/>
      <c r="G168" s="293"/>
      <c r="H168" s="294"/>
      <c r="I168" s="295"/>
      <c r="J168" s="296"/>
      <c r="K168" s="297"/>
      <c r="L168" s="297"/>
      <c r="M168" s="297"/>
      <c r="N168" s="297"/>
      <c r="O168" s="298"/>
      <c r="P168" s="298"/>
      <c r="Q168" s="297"/>
      <c r="R168" s="297">
        <v>0.0</v>
      </c>
      <c r="S168" s="297"/>
      <c r="T168" s="297" t="s">
        <v>719</v>
      </c>
    </row>
    <row r="169">
      <c r="B169" s="291"/>
      <c r="C169" s="291"/>
      <c r="D169" s="181"/>
      <c r="E169" s="292"/>
      <c r="F169" s="292"/>
      <c r="G169" s="293"/>
      <c r="H169" s="294"/>
      <c r="I169" s="295"/>
      <c r="J169" s="296"/>
      <c r="K169" s="297"/>
      <c r="L169" s="297"/>
      <c r="M169" s="297"/>
      <c r="N169" s="297"/>
      <c r="O169" s="298"/>
      <c r="P169" s="298"/>
      <c r="Q169" s="297"/>
      <c r="R169" s="297">
        <v>0.0</v>
      </c>
      <c r="S169" s="297"/>
      <c r="T169" s="297" t="s">
        <v>719</v>
      </c>
    </row>
    <row r="170">
      <c r="B170" s="291"/>
      <c r="C170" s="291"/>
      <c r="D170" s="181"/>
      <c r="E170" s="292"/>
      <c r="F170" s="292"/>
      <c r="G170" s="293"/>
      <c r="H170" s="294"/>
      <c r="I170" s="295"/>
      <c r="J170" s="296"/>
      <c r="K170" s="297"/>
      <c r="L170" s="297"/>
      <c r="M170" s="297"/>
      <c r="N170" s="297"/>
      <c r="O170" s="298"/>
      <c r="P170" s="298"/>
      <c r="Q170" s="297"/>
      <c r="R170" s="297">
        <v>0.0</v>
      </c>
      <c r="S170" s="297"/>
      <c r="T170" s="297" t="s">
        <v>719</v>
      </c>
    </row>
    <row r="171">
      <c r="B171" s="291"/>
      <c r="C171" s="291"/>
      <c r="D171" s="181"/>
      <c r="E171" s="292"/>
      <c r="F171" s="292"/>
      <c r="G171" s="293"/>
      <c r="H171" s="294"/>
      <c r="I171" s="295"/>
      <c r="J171" s="296"/>
      <c r="K171" s="297"/>
      <c r="L171" s="297"/>
      <c r="M171" s="297"/>
      <c r="N171" s="297"/>
      <c r="O171" s="298"/>
      <c r="P171" s="298"/>
      <c r="Q171" s="297"/>
      <c r="R171" s="297">
        <v>0.0</v>
      </c>
      <c r="S171" s="297"/>
      <c r="T171" s="297" t="s">
        <v>719</v>
      </c>
    </row>
    <row r="172">
      <c r="B172" s="291"/>
      <c r="C172" s="291"/>
      <c r="D172" s="181"/>
      <c r="E172" s="292"/>
      <c r="F172" s="292"/>
      <c r="G172" s="293"/>
      <c r="H172" s="294"/>
      <c r="I172" s="295"/>
      <c r="J172" s="296"/>
      <c r="K172" s="297"/>
      <c r="L172" s="297"/>
      <c r="M172" s="297"/>
      <c r="N172" s="297"/>
      <c r="O172" s="298"/>
      <c r="P172" s="298"/>
      <c r="Q172" s="297"/>
      <c r="R172" s="297">
        <v>0.0</v>
      </c>
      <c r="S172" s="297"/>
      <c r="T172" s="297" t="s">
        <v>719</v>
      </c>
    </row>
    <row r="173">
      <c r="B173" s="291"/>
      <c r="C173" s="291"/>
      <c r="D173" s="181"/>
      <c r="E173" s="292"/>
      <c r="F173" s="292"/>
      <c r="G173" s="293"/>
      <c r="H173" s="294"/>
      <c r="I173" s="295"/>
      <c r="J173" s="296"/>
      <c r="K173" s="297"/>
      <c r="L173" s="297"/>
      <c r="M173" s="297"/>
      <c r="N173" s="297"/>
      <c r="O173" s="298"/>
      <c r="P173" s="298"/>
      <c r="Q173" s="297"/>
      <c r="R173" s="297">
        <v>0.0</v>
      </c>
      <c r="S173" s="297"/>
      <c r="T173" s="297" t="s">
        <v>719</v>
      </c>
    </row>
    <row r="174">
      <c r="B174" s="291"/>
      <c r="C174" s="291"/>
      <c r="D174" s="181"/>
      <c r="E174" s="292"/>
      <c r="F174" s="292"/>
      <c r="G174" s="293"/>
      <c r="H174" s="294"/>
      <c r="I174" s="295"/>
      <c r="J174" s="296"/>
      <c r="K174" s="297"/>
      <c r="L174" s="297"/>
      <c r="M174" s="297"/>
      <c r="N174" s="297"/>
      <c r="O174" s="298"/>
      <c r="P174" s="298"/>
      <c r="Q174" s="297"/>
      <c r="R174" s="297">
        <v>0.0</v>
      </c>
      <c r="S174" s="297"/>
      <c r="T174" s="297" t="s">
        <v>719</v>
      </c>
    </row>
    <row r="175">
      <c r="B175" s="291"/>
      <c r="C175" s="291"/>
      <c r="D175" s="181"/>
      <c r="E175" s="292"/>
      <c r="F175" s="292"/>
      <c r="G175" s="293"/>
      <c r="H175" s="294"/>
      <c r="I175" s="295"/>
      <c r="J175" s="296"/>
      <c r="K175" s="297"/>
      <c r="L175" s="297"/>
      <c r="M175" s="297"/>
      <c r="N175" s="297"/>
      <c r="O175" s="298"/>
      <c r="P175" s="298"/>
      <c r="Q175" s="297"/>
      <c r="R175" s="297">
        <v>0.0</v>
      </c>
      <c r="S175" s="297"/>
      <c r="T175" s="297" t="s">
        <v>719</v>
      </c>
    </row>
    <row r="176">
      <c r="B176" s="291"/>
      <c r="C176" s="291"/>
      <c r="D176" s="181"/>
      <c r="E176" s="292"/>
      <c r="F176" s="292"/>
      <c r="G176" s="293"/>
      <c r="H176" s="294"/>
      <c r="I176" s="295"/>
      <c r="J176" s="296"/>
      <c r="K176" s="297"/>
      <c r="L176" s="297"/>
      <c r="M176" s="297"/>
      <c r="N176" s="297"/>
      <c r="O176" s="298"/>
      <c r="P176" s="298"/>
      <c r="Q176" s="297"/>
      <c r="R176" s="297">
        <v>0.0</v>
      </c>
      <c r="S176" s="297"/>
      <c r="T176" s="297" t="s">
        <v>719</v>
      </c>
    </row>
    <row r="177">
      <c r="B177" s="291"/>
      <c r="C177" s="291"/>
      <c r="D177" s="181"/>
      <c r="E177" s="292"/>
      <c r="F177" s="292"/>
      <c r="G177" s="293"/>
      <c r="H177" s="294"/>
      <c r="I177" s="295"/>
      <c r="J177" s="296"/>
      <c r="K177" s="297"/>
      <c r="L177" s="297"/>
      <c r="M177" s="297"/>
      <c r="N177" s="297"/>
      <c r="O177" s="298"/>
      <c r="P177" s="298"/>
      <c r="Q177" s="297"/>
      <c r="R177" s="297">
        <v>0.0</v>
      </c>
      <c r="S177" s="297"/>
      <c r="T177" s="297" t="s">
        <v>719</v>
      </c>
    </row>
    <row r="178">
      <c r="B178" s="291"/>
      <c r="C178" s="291"/>
      <c r="D178" s="181"/>
      <c r="E178" s="292"/>
      <c r="F178" s="292"/>
      <c r="G178" s="293"/>
      <c r="H178" s="294"/>
      <c r="I178" s="295"/>
      <c r="J178" s="296"/>
      <c r="K178" s="297"/>
      <c r="L178" s="297"/>
      <c r="M178" s="297"/>
      <c r="N178" s="297"/>
      <c r="O178" s="298"/>
      <c r="P178" s="298"/>
      <c r="Q178" s="297"/>
      <c r="R178" s="297">
        <v>0.0</v>
      </c>
      <c r="S178" s="297"/>
      <c r="T178" s="297" t="s">
        <v>719</v>
      </c>
    </row>
    <row r="179">
      <c r="B179" s="291"/>
      <c r="C179" s="291"/>
      <c r="D179" s="181"/>
      <c r="E179" s="292"/>
      <c r="F179" s="292"/>
      <c r="G179" s="293"/>
      <c r="H179" s="294"/>
      <c r="I179" s="295"/>
      <c r="J179" s="296"/>
      <c r="K179" s="297"/>
      <c r="L179" s="297"/>
      <c r="M179" s="297"/>
      <c r="N179" s="297"/>
      <c r="O179" s="298"/>
      <c r="P179" s="298"/>
      <c r="Q179" s="297"/>
      <c r="R179" s="297">
        <v>0.0</v>
      </c>
      <c r="S179" s="297"/>
      <c r="T179" s="297" t="s">
        <v>719</v>
      </c>
    </row>
    <row r="180">
      <c r="B180" s="291"/>
      <c r="C180" s="291"/>
      <c r="D180" s="181"/>
      <c r="E180" s="292"/>
      <c r="F180" s="292"/>
      <c r="G180" s="293"/>
      <c r="H180" s="294"/>
      <c r="I180" s="295"/>
      <c r="J180" s="296"/>
      <c r="K180" s="297"/>
      <c r="L180" s="297"/>
      <c r="M180" s="297"/>
      <c r="N180" s="297"/>
      <c r="O180" s="298"/>
      <c r="P180" s="298"/>
      <c r="Q180" s="297"/>
      <c r="R180" s="297">
        <v>0.0</v>
      </c>
      <c r="S180" s="297"/>
      <c r="T180" s="297" t="s">
        <v>719</v>
      </c>
    </row>
    <row r="181">
      <c r="B181" s="291"/>
      <c r="C181" s="291"/>
      <c r="D181" s="181"/>
      <c r="E181" s="292"/>
      <c r="F181" s="292"/>
      <c r="G181" s="293"/>
      <c r="H181" s="294"/>
      <c r="I181" s="295"/>
      <c r="J181" s="296"/>
      <c r="K181" s="297"/>
      <c r="L181" s="297"/>
      <c r="M181" s="297"/>
      <c r="N181" s="297"/>
      <c r="O181" s="298"/>
      <c r="P181" s="298"/>
      <c r="Q181" s="297"/>
      <c r="R181" s="297">
        <v>0.0</v>
      </c>
      <c r="S181" s="297"/>
      <c r="T181" s="297" t="s">
        <v>719</v>
      </c>
    </row>
    <row r="182">
      <c r="B182" s="291"/>
      <c r="C182" s="291"/>
      <c r="D182" s="181"/>
      <c r="E182" s="292"/>
      <c r="F182" s="292"/>
      <c r="G182" s="293"/>
      <c r="H182" s="294"/>
      <c r="I182" s="295"/>
      <c r="J182" s="296"/>
      <c r="K182" s="297"/>
      <c r="L182" s="297"/>
      <c r="M182" s="297"/>
      <c r="N182" s="297"/>
      <c r="O182" s="298"/>
      <c r="P182" s="298"/>
      <c r="Q182" s="297"/>
      <c r="R182" s="297">
        <v>0.0</v>
      </c>
      <c r="S182" s="297"/>
      <c r="T182" s="297" t="s">
        <v>719</v>
      </c>
    </row>
    <row r="183">
      <c r="B183" s="291"/>
      <c r="C183" s="291"/>
      <c r="D183" s="181"/>
      <c r="E183" s="292"/>
      <c r="F183" s="292"/>
      <c r="G183" s="293"/>
      <c r="H183" s="294"/>
      <c r="I183" s="295"/>
      <c r="J183" s="296"/>
      <c r="K183" s="297"/>
      <c r="L183" s="297"/>
      <c r="M183" s="297"/>
      <c r="N183" s="297"/>
      <c r="O183" s="298"/>
      <c r="P183" s="298"/>
      <c r="Q183" s="297"/>
      <c r="R183" s="297">
        <v>0.0</v>
      </c>
      <c r="S183" s="297"/>
      <c r="T183" s="297" t="s">
        <v>719</v>
      </c>
    </row>
    <row r="184">
      <c r="B184" s="291"/>
      <c r="C184" s="291"/>
      <c r="D184" s="181"/>
      <c r="E184" s="292"/>
      <c r="F184" s="292"/>
      <c r="G184" s="293"/>
      <c r="H184" s="294"/>
      <c r="I184" s="295"/>
      <c r="J184" s="296"/>
      <c r="K184" s="297"/>
      <c r="L184" s="297"/>
      <c r="M184" s="297"/>
      <c r="N184" s="297"/>
      <c r="O184" s="298"/>
      <c r="P184" s="298"/>
      <c r="Q184" s="297"/>
      <c r="R184" s="297">
        <v>0.0</v>
      </c>
      <c r="S184" s="297"/>
      <c r="T184" s="297" t="s">
        <v>719</v>
      </c>
    </row>
    <row r="185">
      <c r="B185" s="291"/>
      <c r="C185" s="291"/>
      <c r="D185" s="181"/>
      <c r="E185" s="292"/>
      <c r="F185" s="292"/>
      <c r="G185" s="293"/>
      <c r="H185" s="294"/>
      <c r="I185" s="295"/>
      <c r="J185" s="296"/>
      <c r="K185" s="297"/>
      <c r="L185" s="297"/>
      <c r="M185" s="297"/>
      <c r="N185" s="297"/>
      <c r="O185" s="298"/>
      <c r="P185" s="298"/>
      <c r="Q185" s="297"/>
      <c r="R185" s="297">
        <v>0.0</v>
      </c>
      <c r="S185" s="297"/>
      <c r="T185" s="297" t="s">
        <v>719</v>
      </c>
    </row>
    <row r="186">
      <c r="B186" s="291"/>
      <c r="C186" s="291"/>
      <c r="D186" s="181"/>
      <c r="E186" s="292"/>
      <c r="F186" s="292"/>
      <c r="G186" s="293"/>
      <c r="H186" s="294"/>
      <c r="I186" s="295"/>
      <c r="J186" s="296"/>
      <c r="K186" s="297"/>
      <c r="L186" s="297"/>
      <c r="M186" s="297"/>
      <c r="N186" s="297"/>
      <c r="O186" s="298"/>
      <c r="P186" s="298"/>
      <c r="Q186" s="297"/>
      <c r="R186" s="297">
        <v>0.0</v>
      </c>
      <c r="S186" s="297"/>
      <c r="T186" s="297" t="s">
        <v>719</v>
      </c>
    </row>
    <row r="187">
      <c r="B187" s="291"/>
      <c r="C187" s="291"/>
      <c r="D187" s="181"/>
      <c r="E187" s="292"/>
      <c r="F187" s="292"/>
      <c r="G187" s="293"/>
      <c r="H187" s="294"/>
      <c r="I187" s="295"/>
      <c r="J187" s="296"/>
      <c r="K187" s="297"/>
      <c r="L187" s="297"/>
      <c r="M187" s="297"/>
      <c r="N187" s="297"/>
      <c r="O187" s="298"/>
      <c r="P187" s="298"/>
      <c r="Q187" s="297"/>
      <c r="R187" s="297">
        <v>0.0</v>
      </c>
      <c r="S187" s="297"/>
      <c r="T187" s="297" t="s">
        <v>719</v>
      </c>
    </row>
    <row r="188">
      <c r="B188" s="291"/>
      <c r="C188" s="291"/>
      <c r="D188" s="181"/>
      <c r="E188" s="292"/>
      <c r="F188" s="292"/>
      <c r="G188" s="293"/>
      <c r="H188" s="294"/>
      <c r="I188" s="295"/>
      <c r="J188" s="296"/>
      <c r="K188" s="297"/>
      <c r="L188" s="297"/>
      <c r="M188" s="297"/>
      <c r="N188" s="297"/>
      <c r="O188" s="298"/>
      <c r="P188" s="298"/>
      <c r="Q188" s="297"/>
      <c r="R188" s="297">
        <v>0.0</v>
      </c>
      <c r="S188" s="297"/>
      <c r="T188" s="297" t="s">
        <v>719</v>
      </c>
    </row>
    <row r="189">
      <c r="B189" s="291"/>
      <c r="C189" s="291"/>
      <c r="D189" s="181"/>
      <c r="E189" s="292"/>
      <c r="F189" s="292"/>
      <c r="G189" s="293"/>
      <c r="H189" s="294"/>
      <c r="I189" s="295"/>
      <c r="J189" s="296"/>
      <c r="K189" s="297"/>
      <c r="L189" s="297"/>
      <c r="M189" s="297"/>
      <c r="N189" s="297"/>
      <c r="O189" s="298"/>
      <c r="P189" s="298"/>
      <c r="Q189" s="297"/>
      <c r="R189" s="297">
        <v>0.0</v>
      </c>
      <c r="S189" s="297"/>
      <c r="T189" s="297" t="s">
        <v>719</v>
      </c>
    </row>
    <row r="190">
      <c r="B190" s="291"/>
      <c r="C190" s="291"/>
      <c r="D190" s="181"/>
      <c r="E190" s="292"/>
      <c r="F190" s="292"/>
      <c r="G190" s="293"/>
      <c r="H190" s="294"/>
      <c r="I190" s="295"/>
      <c r="J190" s="296"/>
      <c r="K190" s="297"/>
      <c r="L190" s="297"/>
      <c r="M190" s="297"/>
      <c r="N190" s="297"/>
      <c r="O190" s="298"/>
      <c r="P190" s="298"/>
      <c r="Q190" s="297"/>
      <c r="R190" s="297">
        <v>0.0</v>
      </c>
      <c r="S190" s="297"/>
      <c r="T190" s="297" t="s">
        <v>719</v>
      </c>
    </row>
    <row r="191">
      <c r="B191" s="291"/>
      <c r="C191" s="291"/>
      <c r="D191" s="181"/>
      <c r="E191" s="292"/>
      <c r="F191" s="292"/>
      <c r="G191" s="293"/>
      <c r="H191" s="294"/>
      <c r="I191" s="295"/>
      <c r="J191" s="296"/>
      <c r="K191" s="297"/>
      <c r="L191" s="297"/>
      <c r="M191" s="297"/>
      <c r="N191" s="297"/>
      <c r="O191" s="298"/>
      <c r="P191" s="298"/>
      <c r="Q191" s="297"/>
      <c r="R191" s="297">
        <v>0.0</v>
      </c>
      <c r="S191" s="297"/>
      <c r="T191" s="297" t="s">
        <v>719</v>
      </c>
    </row>
    <row r="192">
      <c r="B192" s="291"/>
      <c r="C192" s="291"/>
      <c r="D192" s="181"/>
      <c r="E192" s="292"/>
      <c r="F192" s="292"/>
      <c r="G192" s="293"/>
      <c r="H192" s="294"/>
      <c r="I192" s="295"/>
      <c r="J192" s="296"/>
      <c r="K192" s="297"/>
      <c r="L192" s="297"/>
      <c r="M192" s="297"/>
      <c r="N192" s="297"/>
      <c r="O192" s="298"/>
      <c r="P192" s="298"/>
      <c r="Q192" s="297"/>
      <c r="R192" s="297">
        <v>0.0</v>
      </c>
      <c r="S192" s="297"/>
      <c r="T192" s="297" t="s">
        <v>719</v>
      </c>
    </row>
    <row r="193">
      <c r="B193" s="291"/>
      <c r="C193" s="291"/>
      <c r="D193" s="181"/>
      <c r="E193" s="292"/>
      <c r="F193" s="292"/>
      <c r="G193" s="293"/>
      <c r="H193" s="294"/>
      <c r="I193" s="295"/>
      <c r="J193" s="296"/>
      <c r="K193" s="297"/>
      <c r="L193" s="297"/>
      <c r="M193" s="297"/>
      <c r="N193" s="297"/>
      <c r="O193" s="298"/>
      <c r="P193" s="298"/>
      <c r="Q193" s="297"/>
      <c r="R193" s="297">
        <v>0.0</v>
      </c>
      <c r="S193" s="297"/>
      <c r="T193" s="297" t="s">
        <v>719</v>
      </c>
    </row>
    <row r="194">
      <c r="B194" s="291"/>
      <c r="C194" s="291"/>
      <c r="D194" s="181"/>
      <c r="E194" s="292"/>
      <c r="F194" s="292"/>
      <c r="G194" s="293"/>
      <c r="H194" s="294"/>
      <c r="I194" s="295"/>
      <c r="J194" s="296"/>
      <c r="K194" s="297"/>
      <c r="L194" s="297"/>
      <c r="M194" s="297"/>
      <c r="N194" s="297"/>
      <c r="O194" s="298"/>
      <c r="P194" s="298"/>
      <c r="Q194" s="297"/>
      <c r="R194" s="297">
        <v>0.0</v>
      </c>
      <c r="S194" s="297"/>
      <c r="T194" s="297" t="s">
        <v>719</v>
      </c>
    </row>
    <row r="195">
      <c r="B195" s="291"/>
      <c r="C195" s="291"/>
      <c r="D195" s="181"/>
      <c r="E195" s="292"/>
      <c r="F195" s="292"/>
      <c r="G195" s="293"/>
      <c r="H195" s="294"/>
      <c r="I195" s="295"/>
      <c r="J195" s="296"/>
      <c r="K195" s="297"/>
      <c r="L195" s="297"/>
      <c r="M195" s="297"/>
      <c r="N195" s="297"/>
      <c r="O195" s="298"/>
      <c r="P195" s="298"/>
      <c r="Q195" s="297"/>
      <c r="R195" s="297">
        <v>0.0</v>
      </c>
      <c r="S195" s="297"/>
      <c r="T195" s="297" t="s">
        <v>719</v>
      </c>
    </row>
    <row r="196">
      <c r="B196" s="291"/>
      <c r="C196" s="291"/>
      <c r="D196" s="181"/>
      <c r="E196" s="292"/>
      <c r="F196" s="292"/>
      <c r="G196" s="293"/>
      <c r="H196" s="294"/>
      <c r="I196" s="295"/>
      <c r="J196" s="296"/>
      <c r="K196" s="297"/>
      <c r="L196" s="297"/>
      <c r="M196" s="297"/>
      <c r="N196" s="297"/>
      <c r="O196" s="298"/>
      <c r="P196" s="298"/>
      <c r="Q196" s="297"/>
      <c r="R196" s="297">
        <v>0.0</v>
      </c>
      <c r="S196" s="297"/>
      <c r="T196" s="297" t="s">
        <v>719</v>
      </c>
    </row>
    <row r="197">
      <c r="B197" s="291"/>
      <c r="C197" s="291"/>
      <c r="D197" s="181"/>
      <c r="E197" s="292"/>
      <c r="F197" s="292"/>
      <c r="G197" s="293"/>
      <c r="H197" s="294"/>
      <c r="I197" s="295"/>
      <c r="J197" s="296"/>
      <c r="K197" s="297"/>
      <c r="L197" s="297"/>
      <c r="M197" s="297"/>
      <c r="N197" s="297"/>
      <c r="O197" s="298"/>
      <c r="P197" s="298"/>
      <c r="Q197" s="297"/>
      <c r="R197" s="297">
        <v>0.0</v>
      </c>
      <c r="S197" s="297"/>
      <c r="T197" s="297" t="s">
        <v>719</v>
      </c>
    </row>
    <row r="198">
      <c r="B198" s="291"/>
      <c r="C198" s="291"/>
      <c r="D198" s="181"/>
      <c r="E198" s="292"/>
      <c r="F198" s="292"/>
      <c r="G198" s="293"/>
      <c r="H198" s="294"/>
      <c r="I198" s="295"/>
      <c r="J198" s="296"/>
      <c r="K198" s="297"/>
      <c r="L198" s="297"/>
      <c r="M198" s="297"/>
      <c r="N198" s="297"/>
      <c r="O198" s="298"/>
      <c r="P198" s="298"/>
      <c r="Q198" s="297"/>
      <c r="R198" s="297">
        <v>0.0</v>
      </c>
      <c r="S198" s="297"/>
      <c r="T198" s="297" t="s">
        <v>719</v>
      </c>
    </row>
    <row r="199">
      <c r="B199" s="291"/>
      <c r="C199" s="291"/>
      <c r="D199" s="181"/>
      <c r="E199" s="292"/>
      <c r="F199" s="292"/>
      <c r="G199" s="293"/>
      <c r="H199" s="294"/>
      <c r="I199" s="295"/>
      <c r="J199" s="296"/>
      <c r="K199" s="297"/>
      <c r="L199" s="297"/>
      <c r="M199" s="297"/>
      <c r="N199" s="297"/>
      <c r="O199" s="298"/>
      <c r="P199" s="298"/>
      <c r="Q199" s="297"/>
      <c r="R199" s="297">
        <v>0.0</v>
      </c>
      <c r="S199" s="297"/>
      <c r="T199" s="297" t="s">
        <v>719</v>
      </c>
    </row>
    <row r="200">
      <c r="B200" s="291"/>
      <c r="C200" s="291"/>
      <c r="D200" s="181"/>
      <c r="E200" s="292"/>
      <c r="F200" s="292"/>
      <c r="G200" s="293"/>
      <c r="H200" s="294"/>
      <c r="I200" s="295"/>
      <c r="J200" s="296"/>
      <c r="K200" s="297"/>
      <c r="L200" s="297"/>
      <c r="M200" s="297"/>
      <c r="N200" s="297"/>
      <c r="O200" s="298"/>
      <c r="P200" s="298"/>
      <c r="Q200" s="297"/>
      <c r="R200" s="297">
        <v>0.0</v>
      </c>
      <c r="S200" s="297"/>
      <c r="T200" s="297" t="s">
        <v>719</v>
      </c>
    </row>
    <row r="201">
      <c r="B201" s="291"/>
      <c r="C201" s="291"/>
      <c r="D201" s="181"/>
      <c r="E201" s="292"/>
      <c r="F201" s="292"/>
      <c r="G201" s="293"/>
      <c r="H201" s="294"/>
      <c r="I201" s="295"/>
      <c r="J201" s="296"/>
      <c r="K201" s="297"/>
      <c r="L201" s="297"/>
      <c r="M201" s="297"/>
      <c r="N201" s="297"/>
      <c r="O201" s="298"/>
      <c r="P201" s="298"/>
      <c r="Q201" s="297"/>
      <c r="R201" s="297">
        <v>0.0</v>
      </c>
      <c r="S201" s="297"/>
      <c r="T201" s="297" t="s">
        <v>719</v>
      </c>
    </row>
    <row r="202">
      <c r="B202" s="291"/>
      <c r="C202" s="291"/>
      <c r="D202" s="181"/>
      <c r="E202" s="292"/>
      <c r="F202" s="292"/>
      <c r="G202" s="293"/>
      <c r="H202" s="294"/>
      <c r="I202" s="295"/>
      <c r="J202" s="296"/>
      <c r="K202" s="297"/>
      <c r="L202" s="297"/>
      <c r="M202" s="297"/>
      <c r="N202" s="297"/>
      <c r="O202" s="298"/>
      <c r="P202" s="298"/>
      <c r="Q202" s="297"/>
      <c r="R202" s="297">
        <v>0.0</v>
      </c>
      <c r="S202" s="297"/>
      <c r="T202" s="297" t="s">
        <v>719</v>
      </c>
    </row>
    <row r="203">
      <c r="B203" s="291"/>
      <c r="C203" s="291"/>
      <c r="D203" s="181"/>
      <c r="E203" s="292"/>
      <c r="F203" s="292"/>
      <c r="G203" s="293"/>
      <c r="H203" s="294"/>
      <c r="I203" s="295"/>
      <c r="J203" s="296"/>
      <c r="K203" s="297"/>
      <c r="L203" s="297"/>
      <c r="M203" s="297"/>
      <c r="N203" s="297"/>
      <c r="O203" s="298"/>
      <c r="P203" s="298"/>
      <c r="Q203" s="297"/>
      <c r="R203" s="297">
        <v>0.0</v>
      </c>
      <c r="S203" s="297"/>
      <c r="T203" s="297" t="s">
        <v>719</v>
      </c>
    </row>
    <row r="204">
      <c r="B204" s="291"/>
      <c r="C204" s="291"/>
      <c r="D204" s="181"/>
      <c r="E204" s="292"/>
      <c r="F204" s="292"/>
      <c r="G204" s="293"/>
      <c r="H204" s="294"/>
      <c r="I204" s="295"/>
      <c r="J204" s="296"/>
      <c r="K204" s="297"/>
      <c r="L204" s="297"/>
      <c r="M204" s="297"/>
      <c r="N204" s="297"/>
      <c r="O204" s="298"/>
      <c r="P204" s="298"/>
      <c r="Q204" s="297"/>
      <c r="R204" s="297">
        <v>0.0</v>
      </c>
      <c r="S204" s="297"/>
      <c r="T204" s="297" t="s">
        <v>719</v>
      </c>
    </row>
    <row r="205">
      <c r="B205" s="291"/>
      <c r="C205" s="291"/>
      <c r="D205" s="181"/>
      <c r="E205" s="292"/>
      <c r="F205" s="292"/>
      <c r="G205" s="293"/>
      <c r="H205" s="294"/>
      <c r="I205" s="295"/>
      <c r="J205" s="296"/>
      <c r="K205" s="297"/>
      <c r="L205" s="297"/>
      <c r="M205" s="297"/>
      <c r="N205" s="297"/>
      <c r="O205" s="298"/>
      <c r="P205" s="298"/>
      <c r="Q205" s="297"/>
      <c r="R205" s="297">
        <v>0.0</v>
      </c>
      <c r="S205" s="297"/>
      <c r="T205" s="297" t="s">
        <v>719</v>
      </c>
    </row>
    <row r="206">
      <c r="B206" s="291"/>
      <c r="C206" s="291"/>
      <c r="D206" s="181"/>
      <c r="E206" s="292"/>
      <c r="F206" s="292"/>
      <c r="G206" s="293"/>
      <c r="H206" s="294"/>
      <c r="I206" s="295"/>
      <c r="J206" s="296"/>
      <c r="K206" s="297"/>
      <c r="L206" s="297"/>
      <c r="M206" s="297"/>
      <c r="N206" s="297"/>
      <c r="O206" s="298"/>
      <c r="P206" s="298"/>
      <c r="Q206" s="297"/>
      <c r="R206" s="297">
        <v>0.0</v>
      </c>
      <c r="S206" s="297"/>
      <c r="T206" s="297" t="s">
        <v>719</v>
      </c>
    </row>
    <row r="207">
      <c r="B207" s="291"/>
      <c r="C207" s="291"/>
      <c r="D207" s="181"/>
      <c r="E207" s="292"/>
      <c r="F207" s="292"/>
      <c r="G207" s="293"/>
      <c r="H207" s="294"/>
      <c r="I207" s="295"/>
      <c r="J207" s="296"/>
      <c r="K207" s="297"/>
      <c r="L207" s="297"/>
      <c r="M207" s="297"/>
      <c r="N207" s="297"/>
      <c r="O207" s="298"/>
      <c r="P207" s="298"/>
      <c r="Q207" s="297"/>
      <c r="R207" s="297">
        <v>0.0</v>
      </c>
      <c r="S207" s="297"/>
      <c r="T207" s="297" t="s">
        <v>719</v>
      </c>
    </row>
    <row r="208">
      <c r="B208" s="291"/>
      <c r="C208" s="291"/>
      <c r="D208" s="181"/>
      <c r="E208" s="292"/>
      <c r="F208" s="292"/>
      <c r="G208" s="293"/>
      <c r="H208" s="294"/>
      <c r="I208" s="295"/>
      <c r="J208" s="296"/>
      <c r="K208" s="297"/>
      <c r="L208" s="297"/>
      <c r="M208" s="297"/>
      <c r="N208" s="297"/>
      <c r="O208" s="298"/>
      <c r="P208" s="298"/>
      <c r="Q208" s="297"/>
      <c r="R208" s="297">
        <v>0.0</v>
      </c>
      <c r="S208" s="297"/>
      <c r="T208" s="297" t="s">
        <v>719</v>
      </c>
    </row>
    <row r="209">
      <c r="B209" s="291"/>
      <c r="C209" s="291"/>
      <c r="D209" s="181"/>
      <c r="E209" s="292"/>
      <c r="F209" s="292"/>
      <c r="G209" s="293"/>
      <c r="H209" s="294"/>
      <c r="I209" s="295"/>
      <c r="J209" s="296"/>
      <c r="K209" s="297"/>
      <c r="L209" s="297"/>
      <c r="M209" s="297"/>
      <c r="N209" s="297"/>
      <c r="O209" s="298"/>
      <c r="P209" s="298"/>
      <c r="Q209" s="297"/>
      <c r="R209" s="297">
        <v>0.0</v>
      </c>
      <c r="S209" s="297"/>
      <c r="T209" s="297" t="s">
        <v>719</v>
      </c>
    </row>
    <row r="210">
      <c r="B210" s="291"/>
      <c r="C210" s="291"/>
      <c r="D210" s="181"/>
      <c r="E210" s="292"/>
      <c r="F210" s="292"/>
      <c r="G210" s="293"/>
      <c r="H210" s="294"/>
      <c r="I210" s="295"/>
      <c r="J210" s="296"/>
      <c r="K210" s="297"/>
      <c r="L210" s="297"/>
      <c r="M210" s="297"/>
      <c r="N210" s="297"/>
      <c r="O210" s="298"/>
      <c r="P210" s="298"/>
      <c r="Q210" s="297"/>
      <c r="R210" s="297">
        <v>0.0</v>
      </c>
      <c r="S210" s="297"/>
      <c r="T210" s="297" t="s">
        <v>719</v>
      </c>
    </row>
    <row r="211">
      <c r="B211" s="291"/>
      <c r="C211" s="291"/>
      <c r="D211" s="181"/>
      <c r="E211" s="292"/>
      <c r="F211" s="292"/>
      <c r="G211" s="293"/>
      <c r="H211" s="294"/>
      <c r="I211" s="295"/>
      <c r="J211" s="296"/>
      <c r="K211" s="297"/>
      <c r="L211" s="297"/>
      <c r="M211" s="297"/>
      <c r="N211" s="297"/>
      <c r="O211" s="298"/>
      <c r="P211" s="298"/>
      <c r="Q211" s="297"/>
      <c r="R211" s="297">
        <v>0.0</v>
      </c>
      <c r="S211" s="297"/>
      <c r="T211" s="297" t="s">
        <v>719</v>
      </c>
    </row>
    <row r="212">
      <c r="B212" s="291"/>
      <c r="C212" s="291"/>
      <c r="D212" s="181"/>
      <c r="E212" s="292"/>
      <c r="F212" s="292"/>
      <c r="G212" s="293"/>
      <c r="H212" s="294"/>
      <c r="I212" s="295"/>
      <c r="J212" s="296"/>
      <c r="K212" s="297"/>
      <c r="L212" s="297"/>
      <c r="M212" s="297"/>
      <c r="N212" s="297"/>
      <c r="O212" s="298"/>
      <c r="P212" s="298"/>
      <c r="Q212" s="297"/>
      <c r="R212" s="297">
        <v>0.0</v>
      </c>
      <c r="S212" s="297"/>
      <c r="T212" s="297" t="s">
        <v>719</v>
      </c>
    </row>
    <row r="213">
      <c r="B213" s="291"/>
      <c r="C213" s="291"/>
      <c r="D213" s="181"/>
      <c r="E213" s="292"/>
      <c r="F213" s="292"/>
      <c r="G213" s="293"/>
      <c r="H213" s="294"/>
      <c r="I213" s="295"/>
      <c r="J213" s="296"/>
      <c r="K213" s="297"/>
      <c r="L213" s="297"/>
      <c r="M213" s="297"/>
      <c r="N213" s="297"/>
      <c r="O213" s="298"/>
      <c r="P213" s="298"/>
      <c r="Q213" s="297"/>
      <c r="R213" s="297">
        <v>0.0</v>
      </c>
      <c r="S213" s="297"/>
      <c r="T213" s="297" t="s">
        <v>719</v>
      </c>
    </row>
    <row r="214">
      <c r="B214" s="291"/>
      <c r="C214" s="291"/>
      <c r="D214" s="181"/>
      <c r="E214" s="292"/>
      <c r="F214" s="292"/>
      <c r="G214" s="293"/>
      <c r="H214" s="294"/>
      <c r="I214" s="295"/>
      <c r="J214" s="296"/>
      <c r="K214" s="297"/>
      <c r="L214" s="297"/>
      <c r="M214" s="297"/>
      <c r="N214" s="297"/>
      <c r="O214" s="298"/>
      <c r="P214" s="298"/>
      <c r="Q214" s="297"/>
      <c r="R214" s="297">
        <v>0.0</v>
      </c>
      <c r="S214" s="297"/>
      <c r="T214" s="297" t="s">
        <v>719</v>
      </c>
    </row>
    <row r="215">
      <c r="B215" s="291"/>
      <c r="C215" s="291"/>
      <c r="D215" s="181"/>
      <c r="E215" s="292"/>
      <c r="F215" s="292"/>
      <c r="G215" s="293"/>
      <c r="H215" s="294"/>
      <c r="I215" s="295"/>
      <c r="J215" s="296"/>
      <c r="K215" s="297"/>
      <c r="L215" s="297"/>
      <c r="M215" s="297"/>
      <c r="N215" s="297"/>
      <c r="O215" s="298"/>
      <c r="P215" s="298"/>
      <c r="Q215" s="297"/>
      <c r="R215" s="297">
        <v>0.0</v>
      </c>
      <c r="S215" s="297"/>
      <c r="T215" s="297" t="s">
        <v>719</v>
      </c>
    </row>
    <row r="216">
      <c r="B216" s="291"/>
      <c r="C216" s="291"/>
      <c r="D216" s="181"/>
      <c r="E216" s="292"/>
      <c r="F216" s="292"/>
      <c r="G216" s="293"/>
      <c r="H216" s="294"/>
      <c r="I216" s="295"/>
      <c r="J216" s="296"/>
      <c r="K216" s="297"/>
      <c r="L216" s="297"/>
      <c r="M216" s="297"/>
      <c r="N216" s="297"/>
      <c r="O216" s="298"/>
      <c r="P216" s="298"/>
      <c r="Q216" s="297"/>
      <c r="R216" s="297">
        <v>0.0</v>
      </c>
      <c r="S216" s="297"/>
      <c r="T216" s="297" t="s">
        <v>719</v>
      </c>
    </row>
    <row r="217">
      <c r="B217" s="291"/>
      <c r="C217" s="291"/>
      <c r="D217" s="181"/>
      <c r="E217" s="292"/>
      <c r="F217" s="292"/>
      <c r="G217" s="293"/>
      <c r="H217" s="294"/>
      <c r="I217" s="295"/>
      <c r="J217" s="296"/>
      <c r="K217" s="297"/>
      <c r="L217" s="297"/>
      <c r="M217" s="297"/>
      <c r="N217" s="297"/>
      <c r="O217" s="298"/>
      <c r="P217" s="298"/>
      <c r="Q217" s="297"/>
      <c r="R217" s="297">
        <v>0.0</v>
      </c>
      <c r="S217" s="297"/>
      <c r="T217" s="297" t="s">
        <v>719</v>
      </c>
    </row>
    <row r="218">
      <c r="B218" s="291"/>
      <c r="C218" s="291"/>
      <c r="D218" s="181"/>
      <c r="E218" s="292"/>
      <c r="F218" s="292"/>
      <c r="G218" s="293"/>
      <c r="H218" s="294"/>
      <c r="I218" s="295"/>
      <c r="J218" s="296"/>
      <c r="K218" s="297"/>
      <c r="L218" s="297"/>
      <c r="M218" s="297"/>
      <c r="N218" s="297"/>
      <c r="O218" s="298"/>
      <c r="P218" s="298"/>
      <c r="Q218" s="297"/>
      <c r="R218" s="297">
        <v>0.0</v>
      </c>
      <c r="S218" s="297"/>
      <c r="T218" s="297" t="s">
        <v>719</v>
      </c>
    </row>
    <row r="219">
      <c r="B219" s="291"/>
      <c r="C219" s="291"/>
      <c r="D219" s="181"/>
      <c r="E219" s="292"/>
      <c r="F219" s="292"/>
      <c r="G219" s="293"/>
      <c r="H219" s="294"/>
      <c r="I219" s="295"/>
      <c r="J219" s="296"/>
      <c r="K219" s="297"/>
      <c r="L219" s="297"/>
      <c r="M219" s="297"/>
      <c r="N219" s="297"/>
      <c r="O219" s="298"/>
      <c r="P219" s="298"/>
      <c r="Q219" s="297"/>
      <c r="R219" s="297">
        <v>0.0</v>
      </c>
      <c r="S219" s="297"/>
      <c r="T219" s="297" t="s">
        <v>719</v>
      </c>
    </row>
    <row r="220">
      <c r="B220" s="291"/>
      <c r="C220" s="291"/>
      <c r="D220" s="181"/>
      <c r="E220" s="292"/>
      <c r="F220" s="292"/>
      <c r="G220" s="293"/>
      <c r="H220" s="294"/>
      <c r="I220" s="295"/>
      <c r="J220" s="296"/>
      <c r="K220" s="297"/>
      <c r="L220" s="297"/>
      <c r="M220" s="297"/>
      <c r="N220" s="297"/>
      <c r="O220" s="298"/>
      <c r="P220" s="298"/>
      <c r="Q220" s="297"/>
      <c r="R220" s="297">
        <v>0.0</v>
      </c>
      <c r="S220" s="297"/>
      <c r="T220" s="297" t="s">
        <v>719</v>
      </c>
    </row>
    <row r="221">
      <c r="B221" s="291"/>
      <c r="C221" s="291"/>
      <c r="D221" s="181"/>
      <c r="E221" s="292"/>
      <c r="F221" s="292"/>
      <c r="G221" s="293"/>
      <c r="H221" s="294"/>
      <c r="I221" s="295"/>
      <c r="J221" s="296"/>
      <c r="K221" s="297"/>
      <c r="L221" s="297"/>
      <c r="M221" s="297"/>
      <c r="N221" s="297"/>
      <c r="O221" s="298"/>
      <c r="P221" s="298"/>
      <c r="Q221" s="297"/>
      <c r="R221" s="297">
        <v>0.0</v>
      </c>
      <c r="S221" s="297"/>
      <c r="T221" s="297" t="s">
        <v>719</v>
      </c>
    </row>
    <row r="222">
      <c r="B222" s="291"/>
      <c r="C222" s="291"/>
      <c r="D222" s="181"/>
      <c r="E222" s="292"/>
      <c r="F222" s="292"/>
      <c r="G222" s="293"/>
      <c r="H222" s="294"/>
      <c r="I222" s="295"/>
      <c r="J222" s="296"/>
      <c r="K222" s="297"/>
      <c r="L222" s="297"/>
      <c r="M222" s="297"/>
      <c r="N222" s="297"/>
      <c r="O222" s="298"/>
      <c r="P222" s="298"/>
      <c r="Q222" s="297"/>
      <c r="R222" s="297">
        <v>0.0</v>
      </c>
      <c r="S222" s="297"/>
      <c r="T222" s="297" t="s">
        <v>719</v>
      </c>
    </row>
    <row r="223">
      <c r="B223" s="291"/>
      <c r="C223" s="291"/>
      <c r="D223" s="181"/>
      <c r="E223" s="292"/>
      <c r="F223" s="292"/>
      <c r="G223" s="293"/>
      <c r="H223" s="294"/>
      <c r="I223" s="295"/>
      <c r="J223" s="296"/>
      <c r="K223" s="297"/>
      <c r="L223" s="297"/>
      <c r="M223" s="297"/>
      <c r="N223" s="297"/>
      <c r="O223" s="298"/>
      <c r="P223" s="298"/>
      <c r="Q223" s="297"/>
      <c r="R223" s="297">
        <v>0.0</v>
      </c>
      <c r="S223" s="297"/>
      <c r="T223" s="297" t="s">
        <v>719</v>
      </c>
    </row>
    <row r="224">
      <c r="B224" s="291"/>
      <c r="C224" s="291"/>
      <c r="D224" s="181"/>
      <c r="E224" s="292"/>
      <c r="F224" s="292"/>
      <c r="G224" s="293"/>
      <c r="H224" s="294"/>
      <c r="I224" s="295"/>
      <c r="J224" s="296"/>
      <c r="K224" s="297"/>
      <c r="L224" s="297"/>
      <c r="M224" s="297"/>
      <c r="N224" s="297"/>
      <c r="O224" s="298"/>
      <c r="P224" s="298"/>
      <c r="Q224" s="297"/>
      <c r="R224" s="297">
        <v>0.0</v>
      </c>
      <c r="S224" s="297"/>
      <c r="T224" s="297" t="s">
        <v>719</v>
      </c>
    </row>
    <row r="225">
      <c r="B225" s="291"/>
      <c r="C225" s="291"/>
      <c r="D225" s="181"/>
      <c r="E225" s="292"/>
      <c r="F225" s="292"/>
      <c r="G225" s="293"/>
      <c r="H225" s="294"/>
      <c r="I225" s="295"/>
      <c r="J225" s="296"/>
      <c r="K225" s="297"/>
      <c r="L225" s="297"/>
      <c r="M225" s="297"/>
      <c r="N225" s="297"/>
      <c r="O225" s="298"/>
      <c r="P225" s="298"/>
      <c r="Q225" s="297"/>
      <c r="R225" s="297">
        <v>0.0</v>
      </c>
      <c r="S225" s="297"/>
      <c r="T225" s="297" t="s">
        <v>719</v>
      </c>
    </row>
    <row r="226">
      <c r="B226" s="291"/>
      <c r="C226" s="291"/>
      <c r="D226" s="181"/>
      <c r="E226" s="292"/>
      <c r="F226" s="292"/>
      <c r="G226" s="293"/>
      <c r="H226" s="294"/>
      <c r="I226" s="295"/>
      <c r="J226" s="296"/>
      <c r="K226" s="297"/>
      <c r="L226" s="297"/>
      <c r="M226" s="297"/>
      <c r="N226" s="297"/>
      <c r="O226" s="298"/>
      <c r="P226" s="298"/>
      <c r="Q226" s="297"/>
      <c r="R226" s="297">
        <v>0.0</v>
      </c>
      <c r="S226" s="297"/>
      <c r="T226" s="297" t="s">
        <v>719</v>
      </c>
    </row>
    <row r="227">
      <c r="B227" s="291"/>
      <c r="C227" s="291"/>
      <c r="D227" s="181"/>
      <c r="E227" s="292"/>
      <c r="F227" s="292"/>
      <c r="G227" s="293"/>
      <c r="H227" s="294"/>
      <c r="I227" s="295"/>
      <c r="J227" s="296"/>
      <c r="K227" s="297"/>
      <c r="L227" s="297"/>
      <c r="M227" s="297"/>
      <c r="N227" s="297"/>
      <c r="O227" s="298"/>
      <c r="P227" s="298"/>
      <c r="Q227" s="297"/>
      <c r="R227" s="297">
        <v>0.0</v>
      </c>
      <c r="S227" s="297"/>
      <c r="T227" s="297" t="s">
        <v>719</v>
      </c>
    </row>
    <row r="228">
      <c r="B228" s="291"/>
      <c r="C228" s="291"/>
      <c r="D228" s="181"/>
      <c r="E228" s="292"/>
      <c r="F228" s="292"/>
      <c r="G228" s="293"/>
      <c r="H228" s="294"/>
      <c r="I228" s="295"/>
      <c r="J228" s="296"/>
      <c r="K228" s="297"/>
      <c r="L228" s="297"/>
      <c r="M228" s="297"/>
      <c r="N228" s="297"/>
      <c r="O228" s="298"/>
      <c r="P228" s="298"/>
      <c r="Q228" s="297"/>
      <c r="R228" s="297">
        <v>0.0</v>
      </c>
      <c r="S228" s="297"/>
      <c r="T228" s="297" t="s">
        <v>719</v>
      </c>
    </row>
    <row r="229">
      <c r="B229" s="291"/>
      <c r="C229" s="291"/>
      <c r="D229" s="181"/>
      <c r="E229" s="292"/>
      <c r="F229" s="292"/>
      <c r="G229" s="293"/>
      <c r="H229" s="294"/>
      <c r="I229" s="295"/>
      <c r="J229" s="296"/>
      <c r="K229" s="297"/>
      <c r="L229" s="297"/>
      <c r="M229" s="297"/>
      <c r="N229" s="297"/>
      <c r="O229" s="298"/>
      <c r="P229" s="298"/>
      <c r="Q229" s="297"/>
      <c r="R229" s="297">
        <v>0.0</v>
      </c>
      <c r="S229" s="297"/>
      <c r="T229" s="297" t="s">
        <v>719</v>
      </c>
    </row>
    <row r="230">
      <c r="B230" s="291"/>
      <c r="C230" s="291"/>
      <c r="D230" s="181"/>
      <c r="E230" s="292"/>
      <c r="F230" s="292"/>
      <c r="G230" s="293"/>
      <c r="H230" s="294"/>
      <c r="I230" s="295"/>
      <c r="J230" s="296"/>
      <c r="K230" s="297"/>
      <c r="L230" s="297"/>
      <c r="M230" s="297"/>
      <c r="N230" s="297"/>
      <c r="O230" s="298"/>
      <c r="P230" s="298"/>
      <c r="Q230" s="297"/>
      <c r="R230" s="297">
        <v>0.0</v>
      </c>
      <c r="S230" s="297"/>
      <c r="T230" s="297" t="s">
        <v>719</v>
      </c>
    </row>
    <row r="231">
      <c r="B231" s="291"/>
      <c r="C231" s="291"/>
      <c r="D231" s="181"/>
      <c r="E231" s="292"/>
      <c r="F231" s="292"/>
      <c r="G231" s="293"/>
      <c r="H231" s="294"/>
      <c r="I231" s="295"/>
      <c r="J231" s="296"/>
      <c r="K231" s="297"/>
      <c r="L231" s="297"/>
      <c r="M231" s="297"/>
      <c r="N231" s="297"/>
      <c r="O231" s="298"/>
      <c r="P231" s="298"/>
      <c r="Q231" s="297"/>
      <c r="R231" s="297">
        <v>0.0</v>
      </c>
      <c r="S231" s="297"/>
      <c r="T231" s="297" t="s">
        <v>719</v>
      </c>
    </row>
    <row r="232">
      <c r="B232" s="291"/>
      <c r="C232" s="291"/>
      <c r="D232" s="181"/>
      <c r="E232" s="292"/>
      <c r="F232" s="292"/>
      <c r="G232" s="293"/>
      <c r="H232" s="294"/>
      <c r="I232" s="295"/>
      <c r="J232" s="296"/>
      <c r="K232" s="297"/>
      <c r="L232" s="297"/>
      <c r="M232" s="297"/>
      <c r="N232" s="297"/>
      <c r="O232" s="298"/>
      <c r="P232" s="298"/>
      <c r="Q232" s="297"/>
      <c r="R232" s="297">
        <v>0.0</v>
      </c>
      <c r="S232" s="297"/>
      <c r="T232" s="297" t="s">
        <v>719</v>
      </c>
    </row>
    <row r="233">
      <c r="B233" s="291"/>
      <c r="C233" s="291"/>
      <c r="D233" s="181"/>
      <c r="E233" s="292"/>
      <c r="F233" s="292"/>
      <c r="G233" s="293"/>
      <c r="H233" s="294"/>
      <c r="I233" s="295"/>
      <c r="J233" s="296"/>
      <c r="K233" s="297"/>
      <c r="L233" s="297"/>
      <c r="M233" s="297"/>
      <c r="N233" s="297"/>
      <c r="O233" s="298"/>
      <c r="P233" s="298"/>
      <c r="Q233" s="297"/>
      <c r="R233" s="297">
        <v>0.0</v>
      </c>
      <c r="S233" s="297"/>
      <c r="T233" s="297" t="s">
        <v>719</v>
      </c>
    </row>
    <row r="234">
      <c r="B234" s="291"/>
      <c r="C234" s="291"/>
      <c r="D234" s="181"/>
      <c r="E234" s="292"/>
      <c r="F234" s="292"/>
      <c r="G234" s="293"/>
      <c r="H234" s="294"/>
      <c r="I234" s="295"/>
      <c r="J234" s="296"/>
      <c r="K234" s="297"/>
      <c r="L234" s="297"/>
      <c r="M234" s="297"/>
      <c r="N234" s="297"/>
      <c r="O234" s="298"/>
      <c r="P234" s="298"/>
      <c r="Q234" s="297"/>
      <c r="R234" s="297">
        <v>0.0</v>
      </c>
      <c r="S234" s="297"/>
      <c r="T234" s="297" t="s">
        <v>719</v>
      </c>
    </row>
    <row r="235">
      <c r="B235" s="291"/>
      <c r="C235" s="291"/>
      <c r="D235" s="181"/>
      <c r="E235" s="292"/>
      <c r="F235" s="292"/>
      <c r="G235" s="293"/>
      <c r="H235" s="294"/>
      <c r="I235" s="295"/>
      <c r="J235" s="296"/>
      <c r="K235" s="297"/>
      <c r="L235" s="297"/>
      <c r="M235" s="297"/>
      <c r="N235" s="297"/>
      <c r="O235" s="298"/>
      <c r="P235" s="298"/>
      <c r="Q235" s="297"/>
      <c r="R235" s="297">
        <v>0.0</v>
      </c>
      <c r="S235" s="297"/>
      <c r="T235" s="297" t="s">
        <v>719</v>
      </c>
    </row>
    <row r="236">
      <c r="B236" s="291"/>
      <c r="C236" s="291"/>
      <c r="D236" s="181"/>
      <c r="E236" s="292"/>
      <c r="F236" s="292"/>
      <c r="G236" s="293"/>
      <c r="H236" s="294"/>
      <c r="I236" s="295"/>
      <c r="J236" s="296"/>
      <c r="K236" s="297"/>
      <c r="L236" s="297"/>
      <c r="M236" s="297"/>
      <c r="N236" s="297"/>
      <c r="O236" s="298"/>
      <c r="P236" s="298"/>
      <c r="Q236" s="297"/>
      <c r="R236" s="297">
        <v>0.0</v>
      </c>
      <c r="S236" s="297"/>
      <c r="T236" s="297" t="s">
        <v>719</v>
      </c>
    </row>
    <row r="237">
      <c r="B237" s="291"/>
      <c r="C237" s="291"/>
      <c r="D237" s="181"/>
      <c r="E237" s="292"/>
      <c r="F237" s="292"/>
      <c r="G237" s="293"/>
      <c r="H237" s="294"/>
      <c r="I237" s="295"/>
      <c r="J237" s="296"/>
      <c r="K237" s="297"/>
      <c r="L237" s="297"/>
      <c r="M237" s="297"/>
      <c r="N237" s="297"/>
      <c r="O237" s="298"/>
      <c r="P237" s="298"/>
      <c r="Q237" s="297"/>
      <c r="R237" s="297">
        <v>0.0</v>
      </c>
      <c r="S237" s="297"/>
      <c r="T237" s="297" t="s">
        <v>719</v>
      </c>
    </row>
    <row r="238">
      <c r="B238" s="291"/>
      <c r="C238" s="291"/>
      <c r="D238" s="181"/>
      <c r="E238" s="292"/>
      <c r="F238" s="292"/>
      <c r="G238" s="293"/>
      <c r="H238" s="294"/>
      <c r="I238" s="295"/>
      <c r="J238" s="296"/>
      <c r="K238" s="297"/>
      <c r="L238" s="297"/>
      <c r="M238" s="297"/>
      <c r="N238" s="297"/>
      <c r="O238" s="298"/>
      <c r="P238" s="298"/>
      <c r="Q238" s="297"/>
      <c r="R238" s="297">
        <v>0.0</v>
      </c>
      <c r="S238" s="297"/>
      <c r="T238" s="297" t="s">
        <v>719</v>
      </c>
    </row>
    <row r="239">
      <c r="B239" s="291"/>
      <c r="C239" s="291"/>
      <c r="D239" s="181"/>
      <c r="E239" s="292"/>
      <c r="F239" s="292"/>
      <c r="G239" s="293"/>
      <c r="H239" s="294"/>
      <c r="I239" s="295"/>
      <c r="J239" s="296"/>
      <c r="K239" s="297"/>
      <c r="L239" s="297"/>
      <c r="M239" s="297"/>
      <c r="N239" s="297"/>
      <c r="O239" s="298"/>
      <c r="P239" s="298"/>
      <c r="Q239" s="297"/>
      <c r="R239" s="297">
        <v>0.0</v>
      </c>
      <c r="S239" s="297"/>
      <c r="T239" s="297" t="s">
        <v>719</v>
      </c>
    </row>
    <row r="240">
      <c r="B240" s="291"/>
      <c r="C240" s="291"/>
      <c r="D240" s="181"/>
      <c r="E240" s="292"/>
      <c r="F240" s="292"/>
      <c r="G240" s="293"/>
      <c r="H240" s="294"/>
      <c r="I240" s="295"/>
      <c r="J240" s="296"/>
      <c r="K240" s="297"/>
      <c r="L240" s="297"/>
      <c r="M240" s="297"/>
      <c r="N240" s="297"/>
      <c r="O240" s="298"/>
      <c r="P240" s="298"/>
      <c r="Q240" s="297"/>
      <c r="R240" s="297">
        <v>0.0</v>
      </c>
      <c r="S240" s="297"/>
      <c r="T240" s="297" t="s">
        <v>719</v>
      </c>
    </row>
    <row r="241">
      <c r="B241" s="291"/>
      <c r="C241" s="291"/>
      <c r="D241" s="181"/>
      <c r="E241" s="292"/>
      <c r="F241" s="292"/>
      <c r="G241" s="293"/>
      <c r="H241" s="294"/>
      <c r="I241" s="295"/>
      <c r="J241" s="296"/>
      <c r="K241" s="297"/>
      <c r="L241" s="297"/>
      <c r="M241" s="297"/>
      <c r="N241" s="297"/>
      <c r="O241" s="298"/>
      <c r="P241" s="298"/>
      <c r="Q241" s="297"/>
      <c r="R241" s="297">
        <v>0.0</v>
      </c>
      <c r="S241" s="297"/>
      <c r="T241" s="297" t="s">
        <v>719</v>
      </c>
    </row>
    <row r="242">
      <c r="B242" s="291"/>
      <c r="C242" s="291"/>
      <c r="D242" s="181"/>
      <c r="E242" s="292"/>
      <c r="F242" s="292"/>
      <c r="G242" s="293"/>
      <c r="H242" s="294"/>
      <c r="I242" s="295"/>
      <c r="J242" s="296"/>
      <c r="K242" s="297"/>
      <c r="L242" s="297"/>
      <c r="M242" s="297"/>
      <c r="N242" s="297"/>
      <c r="O242" s="298"/>
      <c r="P242" s="298"/>
      <c r="Q242" s="297"/>
      <c r="R242" s="297">
        <v>0.0</v>
      </c>
      <c r="S242" s="297"/>
      <c r="T242" s="297" t="s">
        <v>719</v>
      </c>
    </row>
    <row r="243">
      <c r="B243" s="291"/>
      <c r="C243" s="291"/>
      <c r="D243" s="181"/>
      <c r="E243" s="292"/>
      <c r="F243" s="292"/>
      <c r="G243" s="293"/>
      <c r="H243" s="294"/>
      <c r="I243" s="295"/>
      <c r="J243" s="296"/>
      <c r="K243" s="297"/>
      <c r="L243" s="297"/>
      <c r="M243" s="297"/>
      <c r="N243" s="297"/>
      <c r="O243" s="298"/>
      <c r="P243" s="298"/>
      <c r="Q243" s="297"/>
      <c r="R243" s="297">
        <v>0.0</v>
      </c>
      <c r="S243" s="297"/>
      <c r="T243" s="297" t="s">
        <v>719</v>
      </c>
    </row>
    <row r="244">
      <c r="B244" s="291"/>
      <c r="C244" s="291"/>
      <c r="D244" s="181"/>
      <c r="E244" s="292"/>
      <c r="F244" s="292"/>
      <c r="G244" s="293"/>
      <c r="H244" s="294"/>
      <c r="I244" s="295"/>
      <c r="J244" s="296"/>
      <c r="K244" s="297"/>
      <c r="L244" s="297"/>
      <c r="M244" s="297"/>
      <c r="N244" s="297"/>
      <c r="O244" s="298"/>
      <c r="P244" s="298"/>
      <c r="Q244" s="297"/>
      <c r="R244" s="297">
        <v>0.0</v>
      </c>
      <c r="S244" s="297"/>
      <c r="T244" s="297" t="s">
        <v>719</v>
      </c>
    </row>
    <row r="245">
      <c r="B245" s="291"/>
      <c r="C245" s="291"/>
      <c r="D245" s="181"/>
      <c r="E245" s="292"/>
      <c r="F245" s="292"/>
      <c r="G245" s="293"/>
      <c r="H245" s="294"/>
      <c r="I245" s="295"/>
      <c r="J245" s="296"/>
      <c r="K245" s="297"/>
      <c r="L245" s="297"/>
      <c r="M245" s="297"/>
      <c r="N245" s="297"/>
      <c r="O245" s="298"/>
      <c r="P245" s="298"/>
      <c r="Q245" s="297"/>
      <c r="R245" s="297">
        <v>0.0</v>
      </c>
      <c r="S245" s="297"/>
      <c r="T245" s="297" t="s">
        <v>719</v>
      </c>
    </row>
    <row r="246">
      <c r="B246" s="291"/>
      <c r="C246" s="291"/>
      <c r="D246" s="181"/>
      <c r="E246" s="292"/>
      <c r="F246" s="292"/>
      <c r="G246" s="293"/>
      <c r="H246" s="294"/>
      <c r="I246" s="295"/>
      <c r="J246" s="296"/>
      <c r="K246" s="297"/>
      <c r="L246" s="297"/>
      <c r="M246" s="297"/>
      <c r="N246" s="297"/>
      <c r="O246" s="298"/>
      <c r="P246" s="298"/>
      <c r="Q246" s="297"/>
      <c r="R246" s="297">
        <v>0.0</v>
      </c>
      <c r="S246" s="297"/>
      <c r="T246" s="297" t="s">
        <v>719</v>
      </c>
    </row>
    <row r="247">
      <c r="B247" s="291"/>
      <c r="C247" s="291"/>
      <c r="D247" s="181"/>
      <c r="E247" s="292"/>
      <c r="F247" s="292"/>
      <c r="G247" s="293"/>
      <c r="H247" s="294"/>
      <c r="I247" s="295"/>
      <c r="J247" s="296"/>
      <c r="K247" s="297"/>
      <c r="L247" s="297"/>
      <c r="M247" s="297"/>
      <c r="N247" s="297"/>
      <c r="O247" s="298"/>
      <c r="P247" s="298"/>
      <c r="Q247" s="297"/>
      <c r="R247" s="297">
        <v>0.0</v>
      </c>
      <c r="S247" s="297"/>
      <c r="T247" s="297" t="s">
        <v>719</v>
      </c>
    </row>
    <row r="248">
      <c r="B248" s="291"/>
      <c r="C248" s="291"/>
      <c r="D248" s="181"/>
      <c r="E248" s="292"/>
      <c r="F248" s="292"/>
      <c r="G248" s="293"/>
      <c r="H248" s="294"/>
      <c r="I248" s="295"/>
      <c r="J248" s="296"/>
      <c r="K248" s="297"/>
      <c r="L248" s="297"/>
      <c r="M248" s="297"/>
      <c r="N248" s="297"/>
      <c r="O248" s="298"/>
      <c r="P248" s="298"/>
      <c r="Q248" s="297"/>
      <c r="R248" s="297">
        <v>0.0</v>
      </c>
      <c r="S248" s="297"/>
      <c r="T248" s="297" t="s">
        <v>719</v>
      </c>
    </row>
    <row r="249">
      <c r="B249" s="291"/>
      <c r="C249" s="291"/>
      <c r="D249" s="181"/>
      <c r="E249" s="292"/>
      <c r="F249" s="292"/>
      <c r="G249" s="293"/>
      <c r="H249" s="294"/>
      <c r="I249" s="295"/>
      <c r="J249" s="296"/>
      <c r="K249" s="297"/>
      <c r="L249" s="297"/>
      <c r="M249" s="297"/>
      <c r="N249" s="297"/>
      <c r="O249" s="298"/>
      <c r="P249" s="298"/>
      <c r="Q249" s="297"/>
      <c r="R249" s="297">
        <v>0.0</v>
      </c>
      <c r="S249" s="297"/>
      <c r="T249" s="297" t="s">
        <v>719</v>
      </c>
    </row>
    <row r="250">
      <c r="B250" s="291"/>
      <c r="C250" s="291"/>
      <c r="D250" s="181"/>
      <c r="E250" s="292"/>
      <c r="F250" s="292"/>
      <c r="G250" s="293"/>
      <c r="H250" s="294"/>
      <c r="I250" s="295"/>
      <c r="J250" s="296"/>
      <c r="K250" s="297"/>
      <c r="L250" s="297"/>
      <c r="M250" s="297"/>
      <c r="N250" s="297"/>
      <c r="O250" s="298"/>
      <c r="P250" s="298"/>
      <c r="Q250" s="297"/>
      <c r="R250" s="297">
        <v>0.0</v>
      </c>
      <c r="S250" s="297"/>
      <c r="T250" s="297" t="s">
        <v>719</v>
      </c>
    </row>
    <row r="251">
      <c r="B251" s="291"/>
      <c r="C251" s="291"/>
      <c r="D251" s="181"/>
      <c r="E251" s="292"/>
      <c r="F251" s="292"/>
      <c r="G251" s="293"/>
      <c r="H251" s="294"/>
      <c r="I251" s="295"/>
      <c r="J251" s="296"/>
      <c r="K251" s="297"/>
      <c r="L251" s="297"/>
      <c r="M251" s="297"/>
      <c r="N251" s="297"/>
      <c r="O251" s="298"/>
      <c r="P251" s="298"/>
      <c r="Q251" s="297"/>
      <c r="R251" s="297">
        <v>0.0</v>
      </c>
      <c r="S251" s="297"/>
      <c r="T251" s="297" t="s">
        <v>719</v>
      </c>
    </row>
    <row r="252">
      <c r="B252" s="291"/>
      <c r="C252" s="291"/>
      <c r="D252" s="181"/>
      <c r="E252" s="292"/>
      <c r="F252" s="292"/>
      <c r="G252" s="293"/>
      <c r="H252" s="294"/>
      <c r="I252" s="295"/>
      <c r="J252" s="296"/>
      <c r="K252" s="297"/>
      <c r="L252" s="297"/>
      <c r="M252" s="297"/>
      <c r="N252" s="297"/>
      <c r="O252" s="298"/>
      <c r="P252" s="298"/>
      <c r="Q252" s="297"/>
      <c r="R252" s="297">
        <v>0.0</v>
      </c>
      <c r="S252" s="297"/>
      <c r="T252" s="297" t="s">
        <v>719</v>
      </c>
    </row>
    <row r="253">
      <c r="B253" s="291"/>
      <c r="C253" s="291"/>
      <c r="D253" s="181"/>
      <c r="E253" s="292"/>
      <c r="F253" s="292"/>
      <c r="G253" s="293"/>
      <c r="H253" s="294"/>
      <c r="I253" s="295"/>
      <c r="J253" s="296"/>
      <c r="K253" s="297"/>
      <c r="L253" s="297"/>
      <c r="M253" s="297"/>
      <c r="N253" s="297"/>
      <c r="O253" s="298"/>
      <c r="P253" s="298"/>
      <c r="Q253" s="297"/>
      <c r="R253" s="297">
        <v>0.0</v>
      </c>
      <c r="S253" s="297"/>
      <c r="T253" s="297" t="s">
        <v>719</v>
      </c>
    </row>
    <row r="254">
      <c r="B254" s="291"/>
      <c r="C254" s="291"/>
      <c r="D254" s="181"/>
      <c r="E254" s="292"/>
      <c r="F254" s="292"/>
      <c r="G254" s="293"/>
      <c r="H254" s="294"/>
      <c r="I254" s="295"/>
      <c r="J254" s="296"/>
      <c r="K254" s="297"/>
      <c r="L254" s="297"/>
      <c r="M254" s="297"/>
      <c r="N254" s="297"/>
      <c r="O254" s="298"/>
      <c r="P254" s="298"/>
      <c r="Q254" s="297"/>
      <c r="R254" s="297">
        <v>0.0</v>
      </c>
      <c r="S254" s="297"/>
      <c r="T254" s="297" t="s">
        <v>719</v>
      </c>
    </row>
    <row r="255">
      <c r="B255" s="291"/>
      <c r="C255" s="291"/>
      <c r="D255" s="181"/>
      <c r="E255" s="292"/>
      <c r="F255" s="292"/>
      <c r="G255" s="293"/>
      <c r="H255" s="294"/>
      <c r="I255" s="295"/>
      <c r="J255" s="296"/>
      <c r="K255" s="297"/>
      <c r="L255" s="297"/>
      <c r="M255" s="297"/>
      <c r="N255" s="297"/>
      <c r="O255" s="298"/>
      <c r="P255" s="298"/>
      <c r="Q255" s="297"/>
      <c r="R255" s="297">
        <v>0.0</v>
      </c>
      <c r="S255" s="297"/>
      <c r="T255" s="297" t="s">
        <v>719</v>
      </c>
    </row>
    <row r="256">
      <c r="B256" s="291"/>
      <c r="C256" s="291"/>
      <c r="D256" s="181"/>
      <c r="E256" s="292"/>
      <c r="F256" s="292"/>
      <c r="G256" s="293"/>
      <c r="H256" s="294"/>
      <c r="I256" s="295"/>
      <c r="J256" s="296"/>
      <c r="K256" s="297"/>
      <c r="L256" s="297"/>
      <c r="M256" s="297"/>
      <c r="N256" s="297"/>
      <c r="O256" s="298"/>
      <c r="P256" s="298"/>
      <c r="Q256" s="297"/>
      <c r="R256" s="297">
        <v>0.0</v>
      </c>
      <c r="S256" s="297"/>
      <c r="T256" s="297" t="s">
        <v>719</v>
      </c>
    </row>
    <row r="257">
      <c r="B257" s="291"/>
      <c r="C257" s="291"/>
      <c r="D257" s="181"/>
      <c r="E257" s="292"/>
      <c r="F257" s="292"/>
      <c r="G257" s="293"/>
      <c r="H257" s="294"/>
      <c r="I257" s="295"/>
      <c r="J257" s="296"/>
      <c r="K257" s="297"/>
      <c r="L257" s="297"/>
      <c r="M257" s="297"/>
      <c r="N257" s="297"/>
      <c r="O257" s="298"/>
      <c r="P257" s="298"/>
      <c r="Q257" s="297"/>
      <c r="R257" s="297">
        <v>0.0</v>
      </c>
      <c r="S257" s="297"/>
      <c r="T257" s="297" t="s">
        <v>719</v>
      </c>
    </row>
    <row r="258">
      <c r="B258" s="291"/>
      <c r="C258" s="291"/>
      <c r="D258" s="181"/>
      <c r="E258" s="292"/>
      <c r="F258" s="292"/>
      <c r="G258" s="293"/>
      <c r="H258" s="294"/>
      <c r="I258" s="295"/>
      <c r="J258" s="296"/>
      <c r="K258" s="297"/>
      <c r="L258" s="297"/>
      <c r="M258" s="297"/>
      <c r="N258" s="297"/>
      <c r="O258" s="298"/>
      <c r="P258" s="298"/>
      <c r="Q258" s="297"/>
      <c r="R258" s="297">
        <v>0.0</v>
      </c>
      <c r="S258" s="297"/>
      <c r="T258" s="297" t="s">
        <v>719</v>
      </c>
    </row>
    <row r="259">
      <c r="B259" s="291"/>
      <c r="C259" s="291"/>
      <c r="D259" s="181"/>
      <c r="E259" s="292"/>
      <c r="F259" s="292"/>
      <c r="G259" s="293"/>
      <c r="H259" s="294"/>
      <c r="I259" s="295"/>
      <c r="J259" s="296"/>
      <c r="K259" s="297"/>
      <c r="L259" s="297"/>
      <c r="M259" s="297"/>
      <c r="N259" s="297"/>
      <c r="O259" s="298"/>
      <c r="P259" s="298"/>
      <c r="Q259" s="297"/>
      <c r="R259" s="297">
        <v>0.0</v>
      </c>
      <c r="S259" s="297"/>
      <c r="T259" s="297" t="s">
        <v>719</v>
      </c>
    </row>
    <row r="260">
      <c r="B260" s="291"/>
      <c r="C260" s="291"/>
      <c r="D260" s="181"/>
      <c r="E260" s="292"/>
      <c r="F260" s="292"/>
      <c r="G260" s="293"/>
      <c r="H260" s="294"/>
      <c r="I260" s="295"/>
      <c r="J260" s="296"/>
      <c r="K260" s="297"/>
      <c r="L260" s="297"/>
      <c r="M260" s="297"/>
      <c r="N260" s="297"/>
      <c r="O260" s="298"/>
      <c r="P260" s="298"/>
      <c r="Q260" s="297"/>
      <c r="R260" s="297">
        <v>0.0</v>
      </c>
      <c r="S260" s="297"/>
      <c r="T260" s="297" t="s">
        <v>719</v>
      </c>
    </row>
    <row r="261">
      <c r="B261" s="291"/>
      <c r="C261" s="291"/>
      <c r="D261" s="181"/>
      <c r="E261" s="292"/>
      <c r="F261" s="292"/>
      <c r="G261" s="293"/>
      <c r="H261" s="294"/>
      <c r="I261" s="295"/>
      <c r="J261" s="296"/>
      <c r="K261" s="297"/>
      <c r="L261" s="297"/>
      <c r="M261" s="297"/>
      <c r="N261" s="297"/>
      <c r="O261" s="298"/>
      <c r="P261" s="298"/>
      <c r="Q261" s="297"/>
      <c r="R261" s="297">
        <v>0.0</v>
      </c>
      <c r="S261" s="297"/>
      <c r="T261" s="297" t="s">
        <v>719</v>
      </c>
    </row>
    <row r="262">
      <c r="B262" s="291"/>
      <c r="C262" s="291"/>
      <c r="D262" s="181"/>
      <c r="E262" s="292"/>
      <c r="F262" s="292"/>
      <c r="G262" s="293"/>
      <c r="H262" s="294"/>
      <c r="I262" s="295"/>
      <c r="J262" s="296"/>
      <c r="K262" s="297"/>
      <c r="L262" s="297"/>
      <c r="M262" s="297"/>
      <c r="N262" s="297"/>
      <c r="O262" s="298"/>
      <c r="P262" s="298"/>
      <c r="Q262" s="297"/>
      <c r="R262" s="297">
        <v>0.0</v>
      </c>
      <c r="S262" s="297"/>
      <c r="T262" s="297" t="s">
        <v>719</v>
      </c>
    </row>
    <row r="263">
      <c r="B263" s="291"/>
      <c r="C263" s="291"/>
      <c r="D263" s="181"/>
      <c r="E263" s="292"/>
      <c r="F263" s="292"/>
      <c r="G263" s="293"/>
      <c r="H263" s="294"/>
      <c r="I263" s="295"/>
      <c r="J263" s="296"/>
      <c r="K263" s="297"/>
      <c r="L263" s="297"/>
      <c r="M263" s="297"/>
      <c r="N263" s="297"/>
      <c r="O263" s="298"/>
      <c r="P263" s="298"/>
      <c r="Q263" s="297"/>
      <c r="R263" s="297">
        <v>0.0</v>
      </c>
      <c r="S263" s="297"/>
      <c r="T263" s="297" t="s">
        <v>719</v>
      </c>
    </row>
    <row r="264">
      <c r="B264" s="291"/>
      <c r="C264" s="291"/>
      <c r="D264" s="181"/>
      <c r="E264" s="292"/>
      <c r="F264" s="292"/>
      <c r="G264" s="293"/>
      <c r="H264" s="294"/>
      <c r="I264" s="295"/>
      <c r="J264" s="296"/>
      <c r="K264" s="297"/>
      <c r="L264" s="297"/>
      <c r="M264" s="297"/>
      <c r="N264" s="297"/>
      <c r="O264" s="298"/>
      <c r="P264" s="298"/>
      <c r="Q264" s="297"/>
      <c r="R264" s="297">
        <v>0.0</v>
      </c>
      <c r="S264" s="297"/>
      <c r="T264" s="297" t="s">
        <v>719</v>
      </c>
    </row>
    <row r="265">
      <c r="B265" s="291"/>
      <c r="C265" s="291"/>
      <c r="D265" s="181"/>
      <c r="E265" s="292"/>
      <c r="F265" s="292"/>
      <c r="G265" s="293"/>
      <c r="H265" s="294"/>
      <c r="I265" s="295"/>
      <c r="J265" s="296"/>
      <c r="K265" s="297"/>
      <c r="L265" s="297"/>
      <c r="M265" s="297"/>
      <c r="N265" s="297"/>
      <c r="O265" s="298"/>
      <c r="P265" s="298"/>
      <c r="Q265" s="297"/>
      <c r="R265" s="297">
        <v>0.0</v>
      </c>
      <c r="S265" s="297"/>
      <c r="T265" s="297" t="s">
        <v>719</v>
      </c>
    </row>
    <row r="266">
      <c r="B266" s="291"/>
      <c r="C266" s="291"/>
      <c r="D266" s="181"/>
      <c r="E266" s="292"/>
      <c r="F266" s="292"/>
      <c r="G266" s="293"/>
      <c r="H266" s="294"/>
      <c r="I266" s="295"/>
      <c r="J266" s="296"/>
      <c r="K266" s="297"/>
      <c r="L266" s="297"/>
      <c r="M266" s="297"/>
      <c r="N266" s="297"/>
      <c r="O266" s="298"/>
      <c r="P266" s="298"/>
      <c r="Q266" s="297"/>
      <c r="R266" s="297">
        <v>0.0</v>
      </c>
      <c r="S266" s="297"/>
      <c r="T266" s="297" t="s">
        <v>719</v>
      </c>
    </row>
    <row r="267">
      <c r="B267" s="291"/>
      <c r="C267" s="291"/>
      <c r="D267" s="181"/>
      <c r="E267" s="292"/>
      <c r="F267" s="292"/>
      <c r="G267" s="293"/>
      <c r="H267" s="294"/>
      <c r="I267" s="295"/>
      <c r="J267" s="296"/>
      <c r="K267" s="297"/>
      <c r="L267" s="297"/>
      <c r="M267" s="297"/>
      <c r="N267" s="297"/>
      <c r="O267" s="298"/>
      <c r="P267" s="298"/>
      <c r="Q267" s="297"/>
      <c r="R267" s="297">
        <v>0.0</v>
      </c>
      <c r="S267" s="297"/>
      <c r="T267" s="297" t="s">
        <v>719</v>
      </c>
    </row>
    <row r="268">
      <c r="B268" s="291"/>
      <c r="C268" s="291"/>
      <c r="D268" s="181"/>
      <c r="E268" s="292"/>
      <c r="F268" s="292"/>
      <c r="G268" s="293"/>
      <c r="H268" s="294"/>
      <c r="I268" s="295"/>
      <c r="J268" s="296"/>
      <c r="K268" s="297"/>
      <c r="L268" s="297"/>
      <c r="M268" s="297"/>
      <c r="N268" s="297"/>
      <c r="O268" s="298"/>
      <c r="P268" s="298"/>
      <c r="Q268" s="297"/>
      <c r="R268" s="297">
        <v>0.0</v>
      </c>
      <c r="S268" s="297"/>
      <c r="T268" s="297" t="s">
        <v>719</v>
      </c>
    </row>
    <row r="269">
      <c r="B269" s="291"/>
      <c r="C269" s="291"/>
      <c r="D269" s="181"/>
      <c r="E269" s="292"/>
      <c r="F269" s="292"/>
      <c r="G269" s="293"/>
      <c r="H269" s="294"/>
      <c r="I269" s="295"/>
      <c r="J269" s="296"/>
      <c r="K269" s="297"/>
      <c r="L269" s="297"/>
      <c r="M269" s="297"/>
      <c r="N269" s="297"/>
      <c r="O269" s="298"/>
      <c r="P269" s="298"/>
      <c r="Q269" s="297"/>
      <c r="R269" s="297">
        <v>0.0</v>
      </c>
      <c r="S269" s="297"/>
      <c r="T269" s="297" t="s">
        <v>719</v>
      </c>
    </row>
    <row r="270">
      <c r="B270" s="291"/>
      <c r="C270" s="291"/>
      <c r="D270" s="181"/>
      <c r="E270" s="292"/>
      <c r="F270" s="292"/>
      <c r="G270" s="293"/>
      <c r="H270" s="294"/>
      <c r="I270" s="295"/>
      <c r="J270" s="296"/>
      <c r="K270" s="297"/>
      <c r="L270" s="297"/>
      <c r="M270" s="297"/>
      <c r="N270" s="297"/>
      <c r="O270" s="298"/>
      <c r="P270" s="298"/>
      <c r="Q270" s="297"/>
      <c r="R270" s="297">
        <v>0.0</v>
      </c>
      <c r="S270" s="297"/>
      <c r="T270" s="297" t="s">
        <v>719</v>
      </c>
    </row>
    <row r="271">
      <c r="B271" s="291"/>
      <c r="C271" s="291"/>
      <c r="D271" s="181"/>
      <c r="E271" s="292"/>
      <c r="F271" s="292"/>
      <c r="G271" s="293"/>
      <c r="H271" s="294"/>
      <c r="I271" s="295"/>
      <c r="J271" s="296"/>
      <c r="K271" s="297"/>
      <c r="L271" s="297"/>
      <c r="M271" s="297"/>
      <c r="N271" s="297"/>
      <c r="O271" s="298"/>
      <c r="P271" s="298"/>
      <c r="Q271" s="297"/>
      <c r="R271" s="297">
        <v>0.0</v>
      </c>
      <c r="S271" s="297"/>
      <c r="T271" s="297" t="s">
        <v>719</v>
      </c>
    </row>
    <row r="272">
      <c r="B272" s="291"/>
      <c r="C272" s="291"/>
      <c r="D272" s="181"/>
      <c r="E272" s="292"/>
      <c r="F272" s="292"/>
      <c r="G272" s="293"/>
      <c r="H272" s="294"/>
      <c r="I272" s="295"/>
      <c r="J272" s="296"/>
      <c r="K272" s="297"/>
      <c r="L272" s="297"/>
      <c r="M272" s="297"/>
      <c r="N272" s="297"/>
      <c r="O272" s="298"/>
      <c r="P272" s="298"/>
      <c r="Q272" s="297"/>
      <c r="R272" s="297">
        <v>0.0</v>
      </c>
      <c r="S272" s="297"/>
      <c r="T272" s="297" t="s">
        <v>719</v>
      </c>
    </row>
    <row r="273">
      <c r="B273" s="291"/>
      <c r="C273" s="291"/>
      <c r="D273" s="181"/>
      <c r="E273" s="292"/>
      <c r="F273" s="292"/>
      <c r="G273" s="293"/>
      <c r="H273" s="294"/>
      <c r="I273" s="295"/>
      <c r="J273" s="296"/>
      <c r="K273" s="297"/>
      <c r="L273" s="297"/>
      <c r="M273" s="297"/>
      <c r="N273" s="297"/>
      <c r="O273" s="298"/>
      <c r="P273" s="298"/>
      <c r="Q273" s="297"/>
      <c r="R273" s="297">
        <v>0.0</v>
      </c>
      <c r="S273" s="297"/>
      <c r="T273" s="297" t="s">
        <v>719</v>
      </c>
    </row>
    <row r="274">
      <c r="B274" s="291"/>
      <c r="C274" s="291"/>
      <c r="D274" s="181"/>
      <c r="E274" s="292"/>
      <c r="F274" s="292"/>
      <c r="G274" s="293"/>
      <c r="H274" s="294"/>
      <c r="I274" s="295"/>
      <c r="J274" s="296"/>
      <c r="K274" s="297"/>
      <c r="L274" s="297"/>
      <c r="M274" s="297"/>
      <c r="N274" s="297"/>
      <c r="O274" s="298"/>
      <c r="P274" s="298"/>
      <c r="Q274" s="297"/>
      <c r="R274" s="297">
        <v>0.0</v>
      </c>
      <c r="S274" s="297"/>
      <c r="T274" s="297" t="s">
        <v>719</v>
      </c>
    </row>
    <row r="275">
      <c r="B275" s="291"/>
      <c r="C275" s="291"/>
      <c r="D275" s="181"/>
      <c r="E275" s="292"/>
      <c r="F275" s="292"/>
      <c r="G275" s="293"/>
      <c r="H275" s="294"/>
      <c r="I275" s="295"/>
      <c r="J275" s="296"/>
      <c r="K275" s="297"/>
      <c r="L275" s="297"/>
      <c r="M275" s="297"/>
      <c r="N275" s="297"/>
      <c r="O275" s="298"/>
      <c r="P275" s="298"/>
      <c r="Q275" s="297"/>
      <c r="R275" s="297">
        <v>0.0</v>
      </c>
      <c r="S275" s="297"/>
      <c r="T275" s="297" t="s">
        <v>719</v>
      </c>
    </row>
    <row r="276">
      <c r="B276" s="291"/>
      <c r="C276" s="291"/>
      <c r="D276" s="181"/>
      <c r="E276" s="292"/>
      <c r="F276" s="292"/>
      <c r="G276" s="293"/>
      <c r="H276" s="294"/>
      <c r="I276" s="295"/>
      <c r="J276" s="296"/>
      <c r="K276" s="297"/>
      <c r="L276" s="297"/>
      <c r="M276" s="297"/>
      <c r="N276" s="297"/>
      <c r="O276" s="298"/>
      <c r="P276" s="298"/>
      <c r="Q276" s="297"/>
      <c r="R276" s="297">
        <v>0.0</v>
      </c>
      <c r="S276" s="297"/>
      <c r="T276" s="297" t="s">
        <v>719</v>
      </c>
    </row>
    <row r="277">
      <c r="B277" s="291"/>
      <c r="C277" s="291"/>
      <c r="D277" s="181"/>
      <c r="E277" s="292"/>
      <c r="F277" s="292"/>
      <c r="G277" s="293"/>
      <c r="H277" s="294"/>
      <c r="I277" s="295"/>
      <c r="J277" s="296"/>
      <c r="K277" s="297"/>
      <c r="L277" s="297"/>
      <c r="M277" s="297"/>
      <c r="N277" s="297"/>
      <c r="O277" s="298"/>
      <c r="P277" s="298"/>
      <c r="Q277" s="297"/>
      <c r="R277" s="297">
        <v>0.0</v>
      </c>
      <c r="S277" s="297"/>
      <c r="T277" s="297" t="s">
        <v>719</v>
      </c>
    </row>
    <row r="278">
      <c r="B278" s="291"/>
      <c r="C278" s="291"/>
      <c r="D278" s="181"/>
      <c r="E278" s="292"/>
      <c r="F278" s="292"/>
      <c r="G278" s="293"/>
      <c r="H278" s="294"/>
      <c r="I278" s="295"/>
      <c r="J278" s="296"/>
      <c r="K278" s="297"/>
      <c r="L278" s="297"/>
      <c r="M278" s="297"/>
      <c r="N278" s="297"/>
      <c r="O278" s="298"/>
      <c r="P278" s="298"/>
      <c r="Q278" s="297"/>
      <c r="R278" s="297">
        <v>0.0</v>
      </c>
      <c r="S278" s="297"/>
      <c r="T278" s="297" t="s">
        <v>719</v>
      </c>
    </row>
    <row r="279">
      <c r="B279" s="291"/>
      <c r="C279" s="291"/>
      <c r="D279" s="181"/>
      <c r="E279" s="292"/>
      <c r="F279" s="292"/>
      <c r="G279" s="293"/>
      <c r="H279" s="294"/>
      <c r="I279" s="295"/>
      <c r="J279" s="296"/>
      <c r="K279" s="297"/>
      <c r="L279" s="297"/>
      <c r="M279" s="297"/>
      <c r="N279" s="297"/>
      <c r="O279" s="298"/>
      <c r="P279" s="298"/>
      <c r="Q279" s="297"/>
      <c r="R279" s="297">
        <v>0.0</v>
      </c>
      <c r="S279" s="297"/>
      <c r="T279" s="297" t="s">
        <v>719</v>
      </c>
    </row>
    <row r="280">
      <c r="B280" s="291"/>
      <c r="C280" s="291"/>
      <c r="D280" s="181"/>
      <c r="E280" s="292"/>
      <c r="F280" s="292"/>
      <c r="G280" s="293"/>
      <c r="H280" s="294"/>
      <c r="I280" s="295"/>
      <c r="J280" s="296"/>
      <c r="K280" s="297"/>
      <c r="L280" s="297"/>
      <c r="M280" s="297"/>
      <c r="N280" s="297"/>
      <c r="O280" s="298"/>
      <c r="P280" s="298"/>
      <c r="Q280" s="297"/>
      <c r="R280" s="297">
        <v>0.0</v>
      </c>
      <c r="S280" s="297"/>
      <c r="T280" s="297" t="s">
        <v>719</v>
      </c>
    </row>
    <row r="281">
      <c r="B281" s="291"/>
      <c r="C281" s="291"/>
      <c r="D281" s="181"/>
      <c r="E281" s="292"/>
      <c r="F281" s="292"/>
      <c r="G281" s="293"/>
      <c r="H281" s="294"/>
      <c r="I281" s="295"/>
      <c r="J281" s="296"/>
      <c r="K281" s="297"/>
      <c r="L281" s="297"/>
      <c r="M281" s="297"/>
      <c r="N281" s="297"/>
      <c r="O281" s="298"/>
      <c r="P281" s="298"/>
      <c r="Q281" s="297"/>
      <c r="R281" s="297">
        <v>0.0</v>
      </c>
      <c r="S281" s="297"/>
      <c r="T281" s="297" t="s">
        <v>719</v>
      </c>
    </row>
    <row r="282">
      <c r="B282" s="291"/>
      <c r="C282" s="291"/>
      <c r="D282" s="181"/>
      <c r="E282" s="292"/>
      <c r="F282" s="292"/>
      <c r="G282" s="293"/>
      <c r="H282" s="294"/>
      <c r="I282" s="295"/>
      <c r="J282" s="296"/>
      <c r="K282" s="297"/>
      <c r="L282" s="297"/>
      <c r="M282" s="297"/>
      <c r="N282" s="297"/>
      <c r="O282" s="298"/>
      <c r="P282" s="298"/>
      <c r="Q282" s="297"/>
      <c r="R282" s="297">
        <v>0.0</v>
      </c>
      <c r="S282" s="297"/>
      <c r="T282" s="297" t="s">
        <v>719</v>
      </c>
    </row>
    <row r="283">
      <c r="B283" s="291"/>
      <c r="C283" s="291"/>
      <c r="D283" s="181"/>
      <c r="E283" s="292"/>
      <c r="F283" s="292"/>
      <c r="G283" s="293"/>
      <c r="H283" s="294"/>
      <c r="I283" s="295"/>
      <c r="J283" s="296"/>
      <c r="K283" s="297"/>
      <c r="L283" s="297"/>
      <c r="M283" s="297"/>
      <c r="N283" s="297"/>
      <c r="O283" s="298"/>
      <c r="P283" s="298"/>
      <c r="Q283" s="297"/>
      <c r="R283" s="297">
        <v>0.0</v>
      </c>
      <c r="S283" s="297"/>
      <c r="T283" s="297" t="s">
        <v>719</v>
      </c>
    </row>
    <row r="284">
      <c r="B284" s="291"/>
      <c r="C284" s="291"/>
      <c r="D284" s="181"/>
      <c r="E284" s="292"/>
      <c r="F284" s="292"/>
      <c r="G284" s="293"/>
      <c r="H284" s="294"/>
      <c r="I284" s="295"/>
      <c r="J284" s="296"/>
      <c r="K284" s="297"/>
      <c r="L284" s="297"/>
      <c r="M284" s="297"/>
      <c r="N284" s="297"/>
      <c r="O284" s="298"/>
      <c r="P284" s="298"/>
      <c r="Q284" s="297"/>
      <c r="R284" s="297">
        <v>0.0</v>
      </c>
      <c r="S284" s="297"/>
      <c r="T284" s="297" t="s">
        <v>719</v>
      </c>
    </row>
    <row r="285">
      <c r="B285" s="291"/>
      <c r="C285" s="291"/>
      <c r="D285" s="181"/>
      <c r="E285" s="292"/>
      <c r="F285" s="292"/>
      <c r="G285" s="293"/>
      <c r="H285" s="294"/>
      <c r="I285" s="295"/>
      <c r="J285" s="296"/>
      <c r="K285" s="297"/>
      <c r="L285" s="297"/>
      <c r="M285" s="297"/>
      <c r="N285" s="297"/>
      <c r="O285" s="298"/>
      <c r="P285" s="298"/>
      <c r="Q285" s="297"/>
      <c r="R285" s="297">
        <v>0.0</v>
      </c>
      <c r="S285" s="297"/>
      <c r="T285" s="297" t="s">
        <v>719</v>
      </c>
    </row>
    <row r="286">
      <c r="B286" s="291"/>
      <c r="C286" s="291"/>
      <c r="D286" s="181"/>
      <c r="E286" s="292"/>
      <c r="F286" s="292"/>
      <c r="G286" s="293"/>
      <c r="H286" s="294"/>
      <c r="I286" s="295"/>
      <c r="J286" s="296"/>
      <c r="K286" s="297"/>
      <c r="L286" s="297"/>
      <c r="M286" s="297"/>
      <c r="N286" s="297"/>
      <c r="O286" s="298"/>
      <c r="P286" s="298"/>
      <c r="Q286" s="297"/>
      <c r="R286" s="297">
        <v>0.0</v>
      </c>
      <c r="S286" s="297"/>
      <c r="T286" s="297" t="s">
        <v>719</v>
      </c>
    </row>
    <row r="287">
      <c r="B287" s="291"/>
      <c r="C287" s="291"/>
      <c r="D287" s="181"/>
      <c r="E287" s="292"/>
      <c r="F287" s="292"/>
      <c r="G287" s="293"/>
      <c r="H287" s="294"/>
      <c r="I287" s="295"/>
      <c r="J287" s="296"/>
      <c r="K287" s="297"/>
      <c r="L287" s="297"/>
      <c r="M287" s="297"/>
      <c r="N287" s="297"/>
      <c r="O287" s="298"/>
      <c r="P287" s="298"/>
      <c r="Q287" s="297"/>
      <c r="R287" s="297">
        <v>0.0</v>
      </c>
      <c r="S287" s="297"/>
      <c r="T287" s="297" t="s">
        <v>719</v>
      </c>
    </row>
    <row r="288">
      <c r="B288" s="291"/>
      <c r="C288" s="291"/>
      <c r="D288" s="181"/>
      <c r="E288" s="292"/>
      <c r="F288" s="292"/>
      <c r="G288" s="293"/>
      <c r="H288" s="294"/>
      <c r="I288" s="295"/>
      <c r="J288" s="296"/>
      <c r="K288" s="297"/>
      <c r="L288" s="297"/>
      <c r="M288" s="297"/>
      <c r="N288" s="297"/>
      <c r="O288" s="298"/>
      <c r="P288" s="298"/>
      <c r="Q288" s="297"/>
      <c r="R288" s="297">
        <v>0.0</v>
      </c>
      <c r="S288" s="297"/>
      <c r="T288" s="297" t="s">
        <v>719</v>
      </c>
    </row>
    <row r="289">
      <c r="B289" s="291"/>
      <c r="C289" s="291"/>
      <c r="D289" s="181"/>
      <c r="E289" s="292"/>
      <c r="F289" s="292"/>
      <c r="G289" s="293"/>
      <c r="H289" s="294"/>
      <c r="I289" s="295"/>
      <c r="J289" s="296"/>
      <c r="K289" s="297"/>
      <c r="L289" s="297"/>
      <c r="M289" s="297"/>
      <c r="N289" s="297"/>
      <c r="O289" s="298"/>
      <c r="P289" s="298"/>
      <c r="Q289" s="297"/>
      <c r="R289" s="297">
        <v>0.0</v>
      </c>
      <c r="S289" s="297"/>
      <c r="T289" s="297" t="s">
        <v>719</v>
      </c>
    </row>
    <row r="290">
      <c r="B290" s="291"/>
      <c r="C290" s="291"/>
      <c r="D290" s="181"/>
      <c r="E290" s="292"/>
      <c r="F290" s="292"/>
      <c r="G290" s="293"/>
      <c r="H290" s="294"/>
      <c r="I290" s="295"/>
      <c r="J290" s="296"/>
      <c r="K290" s="297"/>
      <c r="L290" s="297"/>
      <c r="M290" s="297"/>
      <c r="N290" s="297"/>
      <c r="O290" s="298"/>
      <c r="P290" s="298"/>
      <c r="Q290" s="297"/>
      <c r="R290" s="297">
        <v>0.0</v>
      </c>
      <c r="S290" s="297"/>
      <c r="T290" s="297" t="s">
        <v>719</v>
      </c>
    </row>
    <row r="291">
      <c r="B291" s="291"/>
      <c r="C291" s="291"/>
      <c r="D291" s="181"/>
      <c r="E291" s="292"/>
      <c r="F291" s="292"/>
      <c r="G291" s="293"/>
      <c r="H291" s="294"/>
      <c r="I291" s="295"/>
      <c r="J291" s="296"/>
      <c r="K291" s="297"/>
      <c r="L291" s="297"/>
      <c r="M291" s="297"/>
      <c r="N291" s="297"/>
      <c r="O291" s="298"/>
      <c r="P291" s="298"/>
      <c r="Q291" s="297"/>
      <c r="R291" s="297">
        <v>0.0</v>
      </c>
      <c r="S291" s="297"/>
      <c r="T291" s="297" t="s">
        <v>719</v>
      </c>
    </row>
    <row r="292">
      <c r="B292" s="291"/>
      <c r="C292" s="291"/>
      <c r="D292" s="181"/>
      <c r="E292" s="292"/>
      <c r="F292" s="292"/>
      <c r="G292" s="293"/>
      <c r="H292" s="294"/>
      <c r="I292" s="295"/>
      <c r="J292" s="296"/>
      <c r="K292" s="297"/>
      <c r="L292" s="297"/>
      <c r="M292" s="297"/>
      <c r="N292" s="297"/>
      <c r="O292" s="298"/>
      <c r="P292" s="298"/>
      <c r="Q292" s="297"/>
      <c r="R292" s="297">
        <v>0.0</v>
      </c>
      <c r="S292" s="297"/>
      <c r="T292" s="297" t="s">
        <v>719</v>
      </c>
    </row>
    <row r="293">
      <c r="B293" s="291"/>
      <c r="C293" s="291"/>
      <c r="D293" s="181"/>
      <c r="E293" s="292"/>
      <c r="F293" s="292"/>
      <c r="G293" s="293"/>
      <c r="H293" s="294"/>
      <c r="I293" s="295"/>
      <c r="J293" s="296"/>
      <c r="K293" s="297"/>
      <c r="L293" s="297"/>
      <c r="M293" s="297"/>
      <c r="N293" s="297"/>
      <c r="O293" s="298"/>
      <c r="P293" s="298"/>
      <c r="Q293" s="297"/>
      <c r="R293" s="297">
        <v>0.0</v>
      </c>
      <c r="S293" s="297"/>
      <c r="T293" s="297" t="s">
        <v>719</v>
      </c>
    </row>
    <row r="294">
      <c r="B294" s="291"/>
      <c r="C294" s="291"/>
      <c r="D294" s="181"/>
      <c r="E294" s="292"/>
      <c r="F294" s="292"/>
      <c r="G294" s="293"/>
      <c r="H294" s="294"/>
      <c r="I294" s="295"/>
      <c r="J294" s="296"/>
      <c r="K294" s="297"/>
      <c r="L294" s="297"/>
      <c r="M294" s="297"/>
      <c r="N294" s="297"/>
      <c r="O294" s="298"/>
      <c r="P294" s="298"/>
      <c r="Q294" s="297"/>
      <c r="R294" s="297">
        <v>0.0</v>
      </c>
      <c r="S294" s="297"/>
      <c r="T294" s="297" t="s">
        <v>719</v>
      </c>
    </row>
    <row r="295">
      <c r="B295" s="291"/>
      <c r="C295" s="291"/>
      <c r="D295" s="181"/>
      <c r="E295" s="292"/>
      <c r="F295" s="292"/>
      <c r="G295" s="293"/>
      <c r="H295" s="294"/>
      <c r="I295" s="295"/>
      <c r="J295" s="296"/>
      <c r="K295" s="297"/>
      <c r="L295" s="297"/>
      <c r="M295" s="297"/>
      <c r="N295" s="297"/>
      <c r="O295" s="298"/>
      <c r="P295" s="298"/>
      <c r="Q295" s="297"/>
      <c r="R295" s="297">
        <v>0.0</v>
      </c>
      <c r="S295" s="297"/>
      <c r="T295" s="297" t="s">
        <v>719</v>
      </c>
    </row>
    <row r="296">
      <c r="B296" s="291"/>
      <c r="C296" s="291"/>
      <c r="D296" s="181"/>
      <c r="E296" s="292"/>
      <c r="F296" s="292"/>
      <c r="G296" s="293"/>
      <c r="H296" s="294"/>
      <c r="I296" s="295"/>
      <c r="J296" s="296"/>
      <c r="K296" s="297"/>
      <c r="L296" s="297"/>
      <c r="M296" s="297"/>
      <c r="N296" s="297"/>
      <c r="O296" s="298"/>
      <c r="P296" s="298"/>
      <c r="Q296" s="297"/>
      <c r="R296" s="297">
        <v>0.0</v>
      </c>
      <c r="S296" s="297"/>
      <c r="T296" s="297" t="s">
        <v>719</v>
      </c>
    </row>
    <row r="297">
      <c r="B297" s="291"/>
      <c r="C297" s="291"/>
      <c r="D297" s="181"/>
      <c r="E297" s="292"/>
      <c r="F297" s="292"/>
      <c r="G297" s="293"/>
      <c r="H297" s="294"/>
      <c r="I297" s="295"/>
      <c r="J297" s="296"/>
      <c r="K297" s="297"/>
      <c r="L297" s="297"/>
      <c r="M297" s="297"/>
      <c r="N297" s="297"/>
      <c r="O297" s="298"/>
      <c r="P297" s="298"/>
      <c r="Q297" s="297"/>
      <c r="R297" s="297">
        <v>0.0</v>
      </c>
      <c r="S297" s="297"/>
      <c r="T297" s="297" t="s">
        <v>719</v>
      </c>
    </row>
    <row r="298">
      <c r="B298" s="291"/>
      <c r="C298" s="291"/>
      <c r="D298" s="181"/>
      <c r="E298" s="292"/>
      <c r="F298" s="292"/>
      <c r="G298" s="293"/>
      <c r="H298" s="294"/>
      <c r="I298" s="295"/>
      <c r="J298" s="296"/>
      <c r="K298" s="297"/>
      <c r="L298" s="297"/>
      <c r="M298" s="297"/>
      <c r="N298" s="297"/>
      <c r="O298" s="298"/>
      <c r="P298" s="298"/>
      <c r="Q298" s="297"/>
      <c r="R298" s="297">
        <v>0.0</v>
      </c>
      <c r="S298" s="297"/>
      <c r="T298" s="297" t="s">
        <v>719</v>
      </c>
    </row>
    <row r="299">
      <c r="B299" s="291"/>
      <c r="C299" s="291"/>
      <c r="D299" s="181"/>
      <c r="E299" s="292"/>
      <c r="F299" s="292"/>
      <c r="G299" s="293"/>
      <c r="H299" s="294"/>
      <c r="I299" s="295"/>
      <c r="J299" s="296"/>
      <c r="K299" s="297"/>
      <c r="L299" s="297"/>
      <c r="M299" s="297"/>
      <c r="N299" s="297"/>
      <c r="O299" s="298"/>
      <c r="P299" s="298"/>
      <c r="Q299" s="297"/>
      <c r="R299" s="297">
        <v>0.0</v>
      </c>
      <c r="S299" s="297"/>
      <c r="T299" s="297" t="s">
        <v>719</v>
      </c>
    </row>
    <row r="300">
      <c r="B300" s="291"/>
      <c r="C300" s="291"/>
      <c r="D300" s="181"/>
      <c r="E300" s="292"/>
      <c r="F300" s="292"/>
      <c r="G300" s="293"/>
      <c r="H300" s="294"/>
      <c r="I300" s="295"/>
      <c r="J300" s="296"/>
      <c r="K300" s="297"/>
      <c r="L300" s="297"/>
      <c r="M300" s="297"/>
      <c r="N300" s="297"/>
      <c r="O300" s="298"/>
      <c r="P300" s="298"/>
      <c r="Q300" s="297"/>
      <c r="R300" s="297">
        <v>0.0</v>
      </c>
      <c r="S300" s="297"/>
      <c r="T300" s="297" t="s">
        <v>719</v>
      </c>
    </row>
    <row r="301">
      <c r="B301" s="291"/>
      <c r="C301" s="291"/>
      <c r="D301" s="181"/>
      <c r="E301" s="292"/>
      <c r="F301" s="292"/>
      <c r="G301" s="293"/>
      <c r="H301" s="294"/>
      <c r="I301" s="295"/>
      <c r="J301" s="296"/>
      <c r="K301" s="297"/>
      <c r="L301" s="297"/>
      <c r="M301" s="297"/>
      <c r="N301" s="297"/>
      <c r="O301" s="298"/>
      <c r="P301" s="298"/>
      <c r="Q301" s="297"/>
      <c r="R301" s="297">
        <v>0.0</v>
      </c>
      <c r="S301" s="297"/>
      <c r="T301" s="297" t="s">
        <v>719</v>
      </c>
    </row>
    <row r="302">
      <c r="B302" s="291"/>
      <c r="C302" s="291"/>
      <c r="D302" s="181"/>
      <c r="E302" s="292"/>
      <c r="F302" s="292"/>
      <c r="G302" s="293"/>
      <c r="H302" s="294"/>
      <c r="I302" s="295"/>
      <c r="J302" s="296"/>
      <c r="K302" s="297"/>
      <c r="L302" s="297"/>
      <c r="M302" s="297"/>
      <c r="N302" s="297"/>
      <c r="O302" s="298"/>
      <c r="P302" s="298"/>
      <c r="Q302" s="297"/>
      <c r="R302" s="297">
        <v>0.0</v>
      </c>
      <c r="S302" s="297"/>
      <c r="T302" s="297" t="s">
        <v>719</v>
      </c>
    </row>
    <row r="303">
      <c r="B303" s="291"/>
      <c r="C303" s="291"/>
      <c r="D303" s="181"/>
      <c r="E303" s="292"/>
      <c r="F303" s="292"/>
      <c r="G303" s="293"/>
      <c r="H303" s="294"/>
      <c r="I303" s="295"/>
      <c r="J303" s="296"/>
      <c r="K303" s="297"/>
      <c r="L303" s="297"/>
      <c r="M303" s="297"/>
      <c r="N303" s="297"/>
      <c r="O303" s="298"/>
      <c r="P303" s="298"/>
      <c r="Q303" s="297"/>
      <c r="R303" s="297">
        <v>0.0</v>
      </c>
      <c r="S303" s="297"/>
      <c r="T303" s="297" t="s">
        <v>719</v>
      </c>
    </row>
    <row r="304">
      <c r="B304" s="291"/>
      <c r="C304" s="291"/>
      <c r="D304" s="181"/>
      <c r="E304" s="292"/>
      <c r="F304" s="292"/>
      <c r="G304" s="293"/>
      <c r="H304" s="294"/>
      <c r="I304" s="295"/>
      <c r="J304" s="296"/>
      <c r="K304" s="297"/>
      <c r="L304" s="297"/>
      <c r="M304" s="297"/>
      <c r="N304" s="297"/>
      <c r="O304" s="298"/>
      <c r="P304" s="298"/>
      <c r="Q304" s="297"/>
      <c r="R304" s="297">
        <v>0.0</v>
      </c>
      <c r="S304" s="297"/>
      <c r="T304" s="297" t="s">
        <v>719</v>
      </c>
    </row>
    <row r="305">
      <c r="B305" s="291"/>
      <c r="C305" s="291"/>
      <c r="D305" s="181"/>
      <c r="E305" s="292"/>
      <c r="F305" s="292"/>
      <c r="G305" s="293"/>
      <c r="H305" s="294"/>
      <c r="I305" s="295"/>
      <c r="J305" s="296"/>
      <c r="K305" s="297"/>
      <c r="L305" s="297"/>
      <c r="M305" s="297"/>
      <c r="N305" s="297"/>
      <c r="O305" s="298"/>
      <c r="P305" s="298"/>
      <c r="Q305" s="297"/>
      <c r="R305" s="297">
        <v>0.0</v>
      </c>
      <c r="S305" s="297"/>
      <c r="T305" s="297" t="s">
        <v>719</v>
      </c>
    </row>
    <row r="306">
      <c r="B306" s="291"/>
      <c r="C306" s="291"/>
      <c r="D306" s="181"/>
      <c r="E306" s="292"/>
      <c r="F306" s="292"/>
      <c r="G306" s="293"/>
      <c r="H306" s="294"/>
      <c r="I306" s="295"/>
      <c r="J306" s="296"/>
      <c r="K306" s="297"/>
      <c r="L306" s="297"/>
      <c r="M306" s="297"/>
      <c r="N306" s="297"/>
      <c r="O306" s="298"/>
      <c r="P306" s="298"/>
      <c r="Q306" s="297"/>
      <c r="R306" s="297">
        <v>0.0</v>
      </c>
      <c r="S306" s="297"/>
      <c r="T306" s="297" t="s">
        <v>719</v>
      </c>
    </row>
    <row r="307">
      <c r="B307" s="291"/>
      <c r="C307" s="291"/>
      <c r="D307" s="181"/>
      <c r="E307" s="292"/>
      <c r="F307" s="292"/>
      <c r="G307" s="293"/>
      <c r="H307" s="294"/>
      <c r="I307" s="295"/>
      <c r="J307" s="296"/>
      <c r="K307" s="297"/>
      <c r="L307" s="297"/>
      <c r="M307" s="297"/>
      <c r="N307" s="297"/>
      <c r="O307" s="298"/>
      <c r="P307" s="298"/>
      <c r="Q307" s="297"/>
      <c r="R307" s="297">
        <v>0.0</v>
      </c>
      <c r="S307" s="297"/>
      <c r="T307" s="297" t="s">
        <v>719</v>
      </c>
    </row>
    <row r="308">
      <c r="B308" s="291"/>
      <c r="C308" s="291"/>
      <c r="D308" s="181"/>
      <c r="E308" s="292"/>
      <c r="F308" s="292"/>
      <c r="G308" s="293"/>
      <c r="H308" s="294"/>
      <c r="I308" s="295"/>
      <c r="J308" s="296"/>
      <c r="K308" s="297"/>
      <c r="L308" s="297"/>
      <c r="M308" s="297"/>
      <c r="N308" s="297"/>
      <c r="O308" s="298"/>
      <c r="P308" s="298"/>
      <c r="Q308" s="297"/>
      <c r="R308" s="297">
        <v>0.0</v>
      </c>
      <c r="S308" s="297"/>
      <c r="T308" s="297" t="s">
        <v>719</v>
      </c>
    </row>
    <row r="309">
      <c r="B309" s="291"/>
      <c r="C309" s="291"/>
      <c r="D309" s="181"/>
      <c r="E309" s="292"/>
      <c r="F309" s="292"/>
      <c r="G309" s="293"/>
      <c r="H309" s="294"/>
      <c r="I309" s="295"/>
      <c r="J309" s="296"/>
      <c r="K309" s="297"/>
      <c r="L309" s="297"/>
      <c r="M309" s="297"/>
      <c r="N309" s="297"/>
      <c r="O309" s="298"/>
      <c r="P309" s="298"/>
      <c r="Q309" s="297"/>
      <c r="R309" s="297">
        <v>0.0</v>
      </c>
      <c r="S309" s="297"/>
      <c r="T309" s="297" t="s">
        <v>719</v>
      </c>
    </row>
    <row r="310">
      <c r="B310" s="291"/>
      <c r="C310" s="291"/>
      <c r="D310" s="181"/>
      <c r="E310" s="292"/>
      <c r="F310" s="292"/>
      <c r="G310" s="293"/>
      <c r="H310" s="294"/>
      <c r="I310" s="295"/>
      <c r="J310" s="296"/>
      <c r="K310" s="297"/>
      <c r="L310" s="297"/>
      <c r="M310" s="297"/>
      <c r="N310" s="297"/>
      <c r="O310" s="298"/>
      <c r="P310" s="298"/>
      <c r="Q310" s="297"/>
      <c r="R310" s="297">
        <v>0.0</v>
      </c>
      <c r="S310" s="297"/>
      <c r="T310" s="297" t="s">
        <v>719</v>
      </c>
    </row>
    <row r="311">
      <c r="B311" s="291"/>
      <c r="C311" s="291"/>
      <c r="D311" s="181"/>
      <c r="E311" s="292"/>
      <c r="F311" s="292"/>
      <c r="G311" s="293"/>
      <c r="H311" s="294"/>
      <c r="I311" s="295"/>
      <c r="J311" s="296"/>
      <c r="K311" s="297"/>
      <c r="L311" s="297"/>
      <c r="M311" s="297"/>
      <c r="N311" s="297"/>
      <c r="O311" s="298"/>
      <c r="P311" s="298"/>
      <c r="Q311" s="297"/>
      <c r="R311" s="297">
        <v>0.0</v>
      </c>
      <c r="S311" s="297"/>
      <c r="T311" s="297" t="s">
        <v>719</v>
      </c>
    </row>
    <row r="312">
      <c r="B312" s="291"/>
      <c r="C312" s="291"/>
      <c r="D312" s="181"/>
      <c r="E312" s="292"/>
      <c r="F312" s="292"/>
      <c r="G312" s="293"/>
      <c r="H312" s="294"/>
      <c r="I312" s="295"/>
      <c r="J312" s="296"/>
      <c r="K312" s="297"/>
      <c r="L312" s="297"/>
      <c r="M312" s="297"/>
      <c r="N312" s="297"/>
      <c r="O312" s="298"/>
      <c r="P312" s="298"/>
      <c r="Q312" s="297"/>
      <c r="R312" s="297">
        <v>0.0</v>
      </c>
      <c r="S312" s="297"/>
      <c r="T312" s="297" t="s">
        <v>719</v>
      </c>
    </row>
    <row r="313">
      <c r="B313" s="291"/>
      <c r="C313" s="291"/>
      <c r="D313" s="181"/>
      <c r="E313" s="292"/>
      <c r="F313" s="292"/>
      <c r="G313" s="293"/>
      <c r="H313" s="294"/>
      <c r="I313" s="295"/>
      <c r="J313" s="296"/>
      <c r="K313" s="297"/>
      <c r="L313" s="297"/>
      <c r="M313" s="297"/>
      <c r="N313" s="297"/>
      <c r="O313" s="298"/>
      <c r="P313" s="298"/>
      <c r="Q313" s="297"/>
      <c r="R313" s="297">
        <v>0.0</v>
      </c>
      <c r="S313" s="297"/>
      <c r="T313" s="297" t="s">
        <v>719</v>
      </c>
    </row>
    <row r="314">
      <c r="B314" s="291"/>
      <c r="C314" s="291"/>
      <c r="D314" s="181"/>
      <c r="E314" s="292"/>
      <c r="F314" s="292"/>
      <c r="G314" s="293"/>
      <c r="H314" s="294"/>
      <c r="I314" s="295"/>
      <c r="J314" s="296"/>
      <c r="K314" s="297"/>
      <c r="L314" s="297"/>
      <c r="M314" s="297"/>
      <c r="N314" s="297"/>
      <c r="O314" s="298"/>
      <c r="P314" s="298"/>
      <c r="Q314" s="297"/>
      <c r="R314" s="297">
        <v>0.0</v>
      </c>
      <c r="S314" s="297"/>
      <c r="T314" s="297" t="s">
        <v>719</v>
      </c>
    </row>
    <row r="315">
      <c r="B315" s="291"/>
      <c r="C315" s="291"/>
      <c r="D315" s="181"/>
      <c r="E315" s="292"/>
      <c r="F315" s="292"/>
      <c r="G315" s="293"/>
      <c r="H315" s="294"/>
      <c r="I315" s="295"/>
      <c r="J315" s="296"/>
      <c r="K315" s="297"/>
      <c r="L315" s="297"/>
      <c r="M315" s="297"/>
      <c r="N315" s="297"/>
      <c r="O315" s="298"/>
      <c r="P315" s="298"/>
      <c r="Q315" s="297"/>
      <c r="R315" s="297">
        <v>0.0</v>
      </c>
      <c r="S315" s="297"/>
      <c r="T315" s="297" t="s">
        <v>719</v>
      </c>
    </row>
    <row r="316">
      <c r="B316" s="291"/>
      <c r="C316" s="291"/>
      <c r="D316" s="181"/>
      <c r="E316" s="292"/>
      <c r="F316" s="292"/>
      <c r="G316" s="293"/>
      <c r="H316" s="294"/>
      <c r="I316" s="295"/>
      <c r="J316" s="296"/>
      <c r="K316" s="297"/>
      <c r="L316" s="297"/>
      <c r="M316" s="297"/>
      <c r="N316" s="297"/>
      <c r="O316" s="298"/>
      <c r="P316" s="298"/>
      <c r="Q316" s="297"/>
      <c r="R316" s="297">
        <v>0.0</v>
      </c>
      <c r="S316" s="297"/>
      <c r="T316" s="297" t="s">
        <v>719</v>
      </c>
    </row>
    <row r="317">
      <c r="B317" s="291"/>
      <c r="C317" s="291"/>
      <c r="D317" s="181"/>
      <c r="E317" s="292"/>
      <c r="F317" s="292"/>
      <c r="G317" s="293"/>
      <c r="H317" s="294"/>
      <c r="I317" s="295"/>
      <c r="J317" s="296"/>
      <c r="K317" s="297"/>
      <c r="L317" s="297"/>
      <c r="M317" s="297"/>
      <c r="N317" s="297"/>
      <c r="O317" s="298"/>
      <c r="P317" s="298"/>
      <c r="Q317" s="297"/>
      <c r="R317" s="297">
        <v>0.0</v>
      </c>
      <c r="S317" s="297"/>
      <c r="T317" s="297" t="s">
        <v>719</v>
      </c>
    </row>
    <row r="318">
      <c r="B318" s="291"/>
      <c r="C318" s="291"/>
      <c r="D318" s="181"/>
      <c r="E318" s="292"/>
      <c r="F318" s="292"/>
      <c r="G318" s="293"/>
      <c r="H318" s="294"/>
      <c r="I318" s="295"/>
      <c r="J318" s="296"/>
      <c r="K318" s="297"/>
      <c r="L318" s="297"/>
      <c r="M318" s="297"/>
      <c r="N318" s="297"/>
      <c r="O318" s="298"/>
      <c r="P318" s="298"/>
      <c r="Q318" s="297"/>
      <c r="R318" s="297">
        <v>0.0</v>
      </c>
      <c r="S318" s="297"/>
      <c r="T318" s="297" t="s">
        <v>719</v>
      </c>
    </row>
    <row r="319">
      <c r="B319" s="291"/>
      <c r="C319" s="291"/>
      <c r="D319" s="181"/>
      <c r="E319" s="292"/>
      <c r="F319" s="292"/>
      <c r="G319" s="293"/>
      <c r="H319" s="294"/>
      <c r="I319" s="295"/>
      <c r="J319" s="296"/>
      <c r="K319" s="297"/>
      <c r="L319" s="297"/>
      <c r="M319" s="297"/>
      <c r="N319" s="297"/>
      <c r="O319" s="298"/>
      <c r="P319" s="298"/>
      <c r="Q319" s="297"/>
      <c r="R319" s="297">
        <v>0.0</v>
      </c>
      <c r="S319" s="297"/>
      <c r="T319" s="297" t="s">
        <v>719</v>
      </c>
    </row>
    <row r="320">
      <c r="B320" s="291"/>
      <c r="C320" s="291"/>
      <c r="D320" s="181"/>
      <c r="E320" s="292"/>
      <c r="F320" s="292"/>
      <c r="G320" s="293"/>
      <c r="H320" s="294"/>
      <c r="I320" s="295"/>
      <c r="J320" s="296"/>
      <c r="K320" s="297"/>
      <c r="L320" s="297"/>
      <c r="M320" s="297"/>
      <c r="N320" s="297"/>
      <c r="O320" s="298"/>
      <c r="P320" s="298"/>
      <c r="Q320" s="297"/>
      <c r="R320" s="297">
        <v>0.0</v>
      </c>
      <c r="S320" s="297"/>
      <c r="T320" s="297" t="s">
        <v>719</v>
      </c>
    </row>
    <row r="321">
      <c r="B321" s="291"/>
      <c r="C321" s="291"/>
      <c r="D321" s="181"/>
      <c r="E321" s="292"/>
      <c r="F321" s="292"/>
      <c r="G321" s="293"/>
      <c r="H321" s="294"/>
      <c r="I321" s="295"/>
      <c r="J321" s="296"/>
      <c r="K321" s="297"/>
      <c r="L321" s="297"/>
      <c r="M321" s="297"/>
      <c r="N321" s="297"/>
      <c r="O321" s="298"/>
      <c r="P321" s="298"/>
      <c r="Q321" s="297"/>
      <c r="R321" s="297">
        <v>0.0</v>
      </c>
      <c r="S321" s="297"/>
      <c r="T321" s="297" t="s">
        <v>719</v>
      </c>
    </row>
    <row r="322">
      <c r="B322" s="291"/>
      <c r="C322" s="291"/>
      <c r="D322" s="181"/>
      <c r="E322" s="292"/>
      <c r="F322" s="292"/>
      <c r="G322" s="293"/>
      <c r="H322" s="294"/>
      <c r="I322" s="295"/>
      <c r="J322" s="296"/>
      <c r="K322" s="297"/>
      <c r="L322" s="297"/>
      <c r="M322" s="297"/>
      <c r="N322" s="297"/>
      <c r="O322" s="298"/>
      <c r="P322" s="298"/>
      <c r="Q322" s="297"/>
      <c r="R322" s="297">
        <v>0.0</v>
      </c>
      <c r="S322" s="297"/>
      <c r="T322" s="297" t="s">
        <v>719</v>
      </c>
    </row>
    <row r="323">
      <c r="B323" s="291"/>
      <c r="C323" s="291"/>
      <c r="D323" s="181"/>
      <c r="E323" s="292"/>
      <c r="F323" s="292"/>
      <c r="G323" s="293"/>
      <c r="H323" s="294"/>
      <c r="I323" s="295"/>
      <c r="J323" s="296"/>
      <c r="K323" s="297"/>
      <c r="L323" s="297"/>
      <c r="M323" s="297"/>
      <c r="N323" s="297"/>
      <c r="O323" s="298"/>
      <c r="P323" s="298"/>
      <c r="Q323" s="297"/>
      <c r="R323" s="297">
        <v>0.0</v>
      </c>
      <c r="S323" s="297"/>
      <c r="T323" s="297" t="s">
        <v>719</v>
      </c>
    </row>
    <row r="324">
      <c r="B324" s="291"/>
      <c r="C324" s="291"/>
      <c r="D324" s="181"/>
      <c r="E324" s="292"/>
      <c r="F324" s="292"/>
      <c r="G324" s="293"/>
      <c r="H324" s="294"/>
      <c r="I324" s="295"/>
      <c r="J324" s="296"/>
      <c r="K324" s="297"/>
      <c r="L324" s="297"/>
      <c r="M324" s="297"/>
      <c r="N324" s="297"/>
      <c r="O324" s="298"/>
      <c r="P324" s="298"/>
      <c r="Q324" s="297"/>
      <c r="R324" s="297">
        <v>0.0</v>
      </c>
      <c r="S324" s="297"/>
      <c r="T324" s="297" t="s">
        <v>719</v>
      </c>
    </row>
    <row r="325">
      <c r="B325" s="291"/>
      <c r="C325" s="291"/>
      <c r="D325" s="181"/>
      <c r="E325" s="292"/>
      <c r="F325" s="292"/>
      <c r="G325" s="293"/>
      <c r="H325" s="294"/>
      <c r="I325" s="295"/>
      <c r="J325" s="296"/>
      <c r="K325" s="297"/>
      <c r="L325" s="297"/>
      <c r="M325" s="297"/>
      <c r="N325" s="297"/>
      <c r="O325" s="298"/>
      <c r="P325" s="298"/>
      <c r="Q325" s="297"/>
      <c r="R325" s="297">
        <v>0.0</v>
      </c>
      <c r="S325" s="297"/>
      <c r="T325" s="297" t="s">
        <v>719</v>
      </c>
    </row>
    <row r="326">
      <c r="B326" s="291"/>
      <c r="C326" s="291"/>
      <c r="D326" s="181"/>
      <c r="E326" s="292"/>
      <c r="F326" s="292"/>
      <c r="G326" s="293"/>
      <c r="H326" s="294"/>
      <c r="I326" s="295"/>
      <c r="J326" s="296"/>
      <c r="K326" s="297"/>
      <c r="L326" s="297"/>
      <c r="M326" s="297"/>
      <c r="N326" s="297"/>
      <c r="O326" s="298"/>
      <c r="P326" s="298"/>
      <c r="Q326" s="297"/>
      <c r="R326" s="297">
        <v>0.0</v>
      </c>
      <c r="S326" s="297"/>
      <c r="T326" s="297" t="s">
        <v>719</v>
      </c>
    </row>
    <row r="327">
      <c r="B327" s="291"/>
      <c r="C327" s="291"/>
      <c r="D327" s="181"/>
      <c r="E327" s="292"/>
      <c r="F327" s="292"/>
      <c r="G327" s="293"/>
      <c r="H327" s="294"/>
      <c r="I327" s="295"/>
      <c r="J327" s="296"/>
      <c r="K327" s="297"/>
      <c r="L327" s="297"/>
      <c r="M327" s="297"/>
      <c r="N327" s="297"/>
      <c r="O327" s="298"/>
      <c r="P327" s="298"/>
      <c r="Q327" s="297"/>
      <c r="R327" s="297">
        <v>0.0</v>
      </c>
      <c r="S327" s="297"/>
      <c r="T327" s="297" t="s">
        <v>719</v>
      </c>
    </row>
    <row r="328">
      <c r="B328" s="291"/>
      <c r="C328" s="291"/>
      <c r="D328" s="181"/>
      <c r="E328" s="292"/>
      <c r="F328" s="292"/>
      <c r="G328" s="293"/>
      <c r="H328" s="294"/>
      <c r="I328" s="295"/>
      <c r="J328" s="296"/>
      <c r="K328" s="297"/>
      <c r="L328" s="297"/>
      <c r="M328" s="297"/>
      <c r="N328" s="297"/>
      <c r="O328" s="298"/>
      <c r="P328" s="298"/>
      <c r="Q328" s="297"/>
      <c r="R328" s="297">
        <v>0.0</v>
      </c>
      <c r="S328" s="297"/>
      <c r="T328" s="297" t="s">
        <v>719</v>
      </c>
    </row>
    <row r="329">
      <c r="B329" s="291"/>
      <c r="C329" s="291"/>
      <c r="D329" s="181"/>
      <c r="E329" s="292"/>
      <c r="F329" s="292"/>
      <c r="G329" s="293"/>
      <c r="H329" s="294"/>
      <c r="I329" s="295"/>
      <c r="J329" s="296"/>
      <c r="K329" s="297"/>
      <c r="L329" s="297"/>
      <c r="M329" s="297"/>
      <c r="N329" s="297"/>
      <c r="O329" s="298"/>
      <c r="P329" s="298"/>
      <c r="Q329" s="297"/>
      <c r="R329" s="297">
        <v>0.0</v>
      </c>
      <c r="S329" s="297"/>
      <c r="T329" s="297" t="s">
        <v>719</v>
      </c>
    </row>
    <row r="330">
      <c r="B330" s="291"/>
      <c r="C330" s="291"/>
      <c r="D330" s="181"/>
      <c r="E330" s="292"/>
      <c r="F330" s="292"/>
      <c r="G330" s="293"/>
      <c r="H330" s="294"/>
      <c r="I330" s="295"/>
      <c r="J330" s="296"/>
      <c r="K330" s="297"/>
      <c r="L330" s="297"/>
      <c r="M330" s="297"/>
      <c r="N330" s="297"/>
      <c r="O330" s="298"/>
      <c r="P330" s="298"/>
      <c r="Q330" s="297"/>
      <c r="R330" s="297">
        <v>0.0</v>
      </c>
      <c r="S330" s="297"/>
      <c r="T330" s="297" t="s">
        <v>719</v>
      </c>
    </row>
    <row r="331">
      <c r="B331" s="291"/>
      <c r="C331" s="291"/>
      <c r="D331" s="181"/>
      <c r="E331" s="292"/>
      <c r="F331" s="292"/>
      <c r="G331" s="293"/>
      <c r="H331" s="294"/>
      <c r="I331" s="295"/>
      <c r="J331" s="296"/>
      <c r="K331" s="297"/>
      <c r="L331" s="297"/>
      <c r="M331" s="297"/>
      <c r="N331" s="297"/>
      <c r="O331" s="298"/>
      <c r="P331" s="298"/>
      <c r="Q331" s="297"/>
      <c r="R331" s="297">
        <v>0.0</v>
      </c>
      <c r="S331" s="297"/>
      <c r="T331" s="297" t="s">
        <v>719</v>
      </c>
    </row>
    <row r="332">
      <c r="B332" s="291"/>
      <c r="C332" s="291"/>
      <c r="D332" s="181"/>
      <c r="E332" s="292"/>
      <c r="F332" s="292"/>
      <c r="G332" s="293"/>
      <c r="H332" s="294"/>
      <c r="I332" s="295"/>
      <c r="J332" s="296"/>
      <c r="K332" s="297"/>
      <c r="L332" s="297"/>
      <c r="M332" s="297"/>
      <c r="N332" s="297"/>
      <c r="O332" s="298"/>
      <c r="P332" s="298"/>
      <c r="Q332" s="297"/>
      <c r="R332" s="297">
        <v>0.0</v>
      </c>
      <c r="S332" s="297"/>
      <c r="T332" s="297" t="s">
        <v>719</v>
      </c>
    </row>
    <row r="333">
      <c r="B333" s="291"/>
      <c r="C333" s="291"/>
      <c r="D333" s="181"/>
      <c r="E333" s="292"/>
      <c r="F333" s="292"/>
      <c r="G333" s="293"/>
      <c r="H333" s="294"/>
      <c r="I333" s="295"/>
      <c r="J333" s="296"/>
      <c r="K333" s="297"/>
      <c r="L333" s="297"/>
      <c r="M333" s="297"/>
      <c r="N333" s="297"/>
      <c r="O333" s="298"/>
      <c r="P333" s="298"/>
      <c r="Q333" s="297"/>
      <c r="R333" s="297">
        <v>0.0</v>
      </c>
      <c r="S333" s="297"/>
      <c r="T333" s="297" t="s">
        <v>719</v>
      </c>
    </row>
    <row r="334">
      <c r="B334" s="291"/>
      <c r="C334" s="291"/>
      <c r="D334" s="181"/>
      <c r="E334" s="292"/>
      <c r="F334" s="292"/>
      <c r="G334" s="293"/>
      <c r="H334" s="294"/>
      <c r="I334" s="295"/>
      <c r="J334" s="296"/>
      <c r="K334" s="297"/>
      <c r="L334" s="297"/>
      <c r="M334" s="297"/>
      <c r="N334" s="297"/>
      <c r="O334" s="298"/>
      <c r="P334" s="298"/>
      <c r="Q334" s="297"/>
      <c r="R334" s="297">
        <v>0.0</v>
      </c>
      <c r="S334" s="297"/>
      <c r="T334" s="297" t="s">
        <v>719</v>
      </c>
    </row>
    <row r="335">
      <c r="B335" s="291"/>
      <c r="C335" s="291"/>
      <c r="D335" s="181"/>
      <c r="E335" s="292"/>
      <c r="F335" s="292"/>
      <c r="G335" s="293"/>
      <c r="H335" s="294"/>
      <c r="I335" s="295"/>
      <c r="J335" s="296"/>
      <c r="K335" s="297"/>
      <c r="L335" s="297"/>
      <c r="M335" s="297"/>
      <c r="N335" s="297"/>
      <c r="O335" s="298"/>
      <c r="P335" s="298"/>
      <c r="Q335" s="297"/>
      <c r="R335" s="297">
        <v>0.0</v>
      </c>
      <c r="S335" s="297"/>
      <c r="T335" s="297" t="s">
        <v>719</v>
      </c>
    </row>
    <row r="336">
      <c r="B336" s="291"/>
      <c r="C336" s="291"/>
      <c r="D336" s="181"/>
      <c r="E336" s="292"/>
      <c r="F336" s="292"/>
      <c r="G336" s="293"/>
      <c r="H336" s="294"/>
      <c r="I336" s="295"/>
      <c r="J336" s="296"/>
      <c r="K336" s="297"/>
      <c r="L336" s="297"/>
      <c r="M336" s="297"/>
      <c r="N336" s="297"/>
      <c r="O336" s="298"/>
      <c r="P336" s="298"/>
      <c r="Q336" s="297"/>
      <c r="R336" s="297">
        <v>0.0</v>
      </c>
      <c r="S336" s="297"/>
      <c r="T336" s="297" t="s">
        <v>719</v>
      </c>
    </row>
    <row r="337">
      <c r="B337" s="291"/>
      <c r="C337" s="291"/>
      <c r="D337" s="181"/>
      <c r="E337" s="292"/>
      <c r="F337" s="292"/>
      <c r="G337" s="293"/>
      <c r="H337" s="294"/>
      <c r="I337" s="295"/>
      <c r="J337" s="296"/>
      <c r="K337" s="297"/>
      <c r="L337" s="297"/>
      <c r="M337" s="297"/>
      <c r="N337" s="297"/>
      <c r="O337" s="298"/>
      <c r="P337" s="298"/>
      <c r="Q337" s="297"/>
      <c r="R337" s="297">
        <v>0.0</v>
      </c>
      <c r="S337" s="297"/>
      <c r="T337" s="297" t="s">
        <v>719</v>
      </c>
    </row>
    <row r="338">
      <c r="B338" s="291"/>
      <c r="C338" s="291"/>
      <c r="D338" s="181"/>
      <c r="E338" s="292"/>
      <c r="F338" s="292"/>
      <c r="G338" s="293"/>
      <c r="H338" s="294"/>
      <c r="I338" s="295"/>
      <c r="J338" s="296"/>
      <c r="K338" s="297"/>
      <c r="L338" s="297"/>
      <c r="M338" s="297"/>
      <c r="N338" s="297"/>
      <c r="O338" s="298"/>
      <c r="P338" s="298"/>
      <c r="Q338" s="297"/>
      <c r="R338" s="297">
        <v>0.0</v>
      </c>
      <c r="S338" s="297"/>
      <c r="T338" s="297" t="s">
        <v>719</v>
      </c>
    </row>
    <row r="339">
      <c r="B339" s="291"/>
      <c r="C339" s="291"/>
      <c r="D339" s="181"/>
      <c r="E339" s="292"/>
      <c r="F339" s="292"/>
      <c r="G339" s="293"/>
      <c r="H339" s="294"/>
      <c r="I339" s="295"/>
      <c r="J339" s="296"/>
      <c r="K339" s="297"/>
      <c r="L339" s="297"/>
      <c r="M339" s="297"/>
      <c r="N339" s="297"/>
      <c r="O339" s="298"/>
      <c r="P339" s="298"/>
      <c r="Q339" s="297"/>
      <c r="R339" s="297">
        <v>0.0</v>
      </c>
      <c r="S339" s="297"/>
      <c r="T339" s="297" t="s">
        <v>719</v>
      </c>
    </row>
    <row r="340">
      <c r="B340" s="291"/>
      <c r="C340" s="291"/>
      <c r="D340" s="181"/>
      <c r="E340" s="292"/>
      <c r="F340" s="292"/>
      <c r="G340" s="293"/>
      <c r="H340" s="294"/>
      <c r="I340" s="295"/>
      <c r="J340" s="296"/>
      <c r="K340" s="297"/>
      <c r="L340" s="297"/>
      <c r="M340" s="297"/>
      <c r="N340" s="297"/>
      <c r="O340" s="298"/>
      <c r="P340" s="298"/>
      <c r="Q340" s="297"/>
      <c r="R340" s="297">
        <v>0.0</v>
      </c>
      <c r="S340" s="297"/>
      <c r="T340" s="297" t="s">
        <v>719</v>
      </c>
    </row>
    <row r="341">
      <c r="B341" s="291"/>
      <c r="C341" s="291"/>
      <c r="D341" s="181"/>
      <c r="E341" s="292"/>
      <c r="F341" s="292"/>
      <c r="G341" s="293"/>
      <c r="H341" s="294"/>
      <c r="I341" s="295"/>
      <c r="J341" s="296"/>
      <c r="K341" s="297"/>
      <c r="L341" s="297"/>
      <c r="M341" s="297"/>
      <c r="N341" s="297"/>
      <c r="O341" s="298"/>
      <c r="P341" s="298"/>
      <c r="Q341" s="297"/>
      <c r="R341" s="297">
        <v>0.0</v>
      </c>
      <c r="S341" s="297"/>
      <c r="T341" s="297" t="s">
        <v>719</v>
      </c>
    </row>
    <row r="342">
      <c r="B342" s="291"/>
      <c r="C342" s="291"/>
      <c r="D342" s="181"/>
      <c r="E342" s="292"/>
      <c r="F342" s="292"/>
      <c r="G342" s="293"/>
      <c r="H342" s="294"/>
      <c r="I342" s="295"/>
      <c r="J342" s="296"/>
      <c r="K342" s="297"/>
      <c r="L342" s="297"/>
      <c r="M342" s="297"/>
      <c r="N342" s="297"/>
      <c r="O342" s="298"/>
      <c r="P342" s="298"/>
      <c r="Q342" s="297"/>
      <c r="R342" s="297">
        <v>0.0</v>
      </c>
      <c r="S342" s="297"/>
      <c r="T342" s="297" t="s">
        <v>719</v>
      </c>
    </row>
    <row r="343">
      <c r="B343" s="291"/>
      <c r="C343" s="291"/>
      <c r="D343" s="181"/>
      <c r="E343" s="292"/>
      <c r="F343" s="292"/>
      <c r="G343" s="293"/>
      <c r="H343" s="294"/>
      <c r="I343" s="295"/>
      <c r="J343" s="296"/>
      <c r="K343" s="297"/>
      <c r="L343" s="297"/>
      <c r="M343" s="297"/>
      <c r="N343" s="297"/>
      <c r="O343" s="298"/>
      <c r="P343" s="298"/>
      <c r="Q343" s="297"/>
      <c r="R343" s="297">
        <v>0.0</v>
      </c>
      <c r="S343" s="297"/>
      <c r="T343" s="297" t="s">
        <v>719</v>
      </c>
    </row>
    <row r="344">
      <c r="B344" s="291"/>
      <c r="C344" s="291"/>
      <c r="D344" s="181"/>
      <c r="E344" s="292"/>
      <c r="F344" s="292"/>
      <c r="G344" s="293"/>
      <c r="H344" s="294"/>
      <c r="I344" s="295"/>
      <c r="J344" s="296"/>
      <c r="K344" s="297"/>
      <c r="L344" s="297"/>
      <c r="M344" s="297"/>
      <c r="N344" s="297"/>
      <c r="O344" s="298"/>
      <c r="P344" s="298"/>
      <c r="Q344" s="297"/>
      <c r="R344" s="297">
        <v>0.0</v>
      </c>
      <c r="S344" s="297"/>
      <c r="T344" s="297" t="s">
        <v>719</v>
      </c>
    </row>
    <row r="345">
      <c r="B345" s="291"/>
      <c r="C345" s="291"/>
      <c r="D345" s="181"/>
      <c r="E345" s="292"/>
      <c r="F345" s="292"/>
      <c r="G345" s="293"/>
      <c r="H345" s="294"/>
      <c r="I345" s="295"/>
      <c r="J345" s="296"/>
      <c r="K345" s="297"/>
      <c r="L345" s="297"/>
      <c r="M345" s="297"/>
      <c r="N345" s="297"/>
      <c r="O345" s="298"/>
      <c r="P345" s="298"/>
      <c r="Q345" s="297"/>
      <c r="R345" s="297">
        <v>0.0</v>
      </c>
      <c r="S345" s="297"/>
      <c r="T345" s="297" t="s">
        <v>719</v>
      </c>
    </row>
    <row r="346">
      <c r="B346" s="291"/>
      <c r="C346" s="291"/>
      <c r="D346" s="181"/>
      <c r="E346" s="292"/>
      <c r="F346" s="292"/>
      <c r="G346" s="293"/>
      <c r="H346" s="294"/>
      <c r="I346" s="295"/>
      <c r="J346" s="296"/>
      <c r="K346" s="297"/>
      <c r="L346" s="297"/>
      <c r="M346" s="297"/>
      <c r="N346" s="297"/>
      <c r="O346" s="298"/>
      <c r="P346" s="298"/>
      <c r="Q346" s="297"/>
      <c r="R346" s="297">
        <v>0.0</v>
      </c>
      <c r="S346" s="297"/>
      <c r="T346" s="297" t="s">
        <v>719</v>
      </c>
    </row>
    <row r="347">
      <c r="B347" s="291"/>
      <c r="C347" s="291"/>
      <c r="D347" s="181"/>
      <c r="E347" s="292"/>
      <c r="F347" s="292"/>
      <c r="G347" s="293"/>
      <c r="H347" s="294"/>
      <c r="I347" s="295"/>
      <c r="J347" s="296"/>
      <c r="K347" s="297"/>
      <c r="L347" s="297"/>
      <c r="M347" s="297"/>
      <c r="N347" s="297"/>
      <c r="O347" s="298"/>
      <c r="P347" s="298"/>
      <c r="Q347" s="297"/>
      <c r="R347" s="297">
        <v>0.0</v>
      </c>
      <c r="S347" s="297"/>
      <c r="T347" s="297" t="s">
        <v>719</v>
      </c>
    </row>
    <row r="348">
      <c r="B348" s="291"/>
      <c r="C348" s="291"/>
      <c r="D348" s="181"/>
      <c r="E348" s="292"/>
      <c r="F348" s="292"/>
      <c r="G348" s="293"/>
      <c r="H348" s="294"/>
      <c r="I348" s="295"/>
      <c r="J348" s="296"/>
      <c r="K348" s="297"/>
      <c r="L348" s="297"/>
      <c r="M348" s="297"/>
      <c r="N348" s="297"/>
      <c r="O348" s="298"/>
      <c r="P348" s="298"/>
      <c r="Q348" s="297"/>
      <c r="R348" s="297">
        <v>0.0</v>
      </c>
      <c r="S348" s="297"/>
      <c r="T348" s="297" t="s">
        <v>719</v>
      </c>
    </row>
    <row r="349">
      <c r="B349" s="291"/>
      <c r="C349" s="291"/>
      <c r="D349" s="181"/>
      <c r="E349" s="292"/>
      <c r="F349" s="292"/>
      <c r="G349" s="293"/>
      <c r="H349" s="294"/>
      <c r="I349" s="295"/>
      <c r="J349" s="296"/>
      <c r="K349" s="297"/>
      <c r="L349" s="297"/>
      <c r="M349" s="297"/>
      <c r="N349" s="297"/>
      <c r="O349" s="298"/>
      <c r="P349" s="298"/>
      <c r="Q349" s="297"/>
      <c r="R349" s="297">
        <v>0.0</v>
      </c>
      <c r="S349" s="297"/>
      <c r="T349" s="297" t="s">
        <v>719</v>
      </c>
    </row>
    <row r="350">
      <c r="B350" s="291"/>
      <c r="C350" s="291"/>
      <c r="D350" s="181"/>
      <c r="E350" s="292"/>
      <c r="F350" s="292"/>
      <c r="G350" s="293"/>
      <c r="H350" s="294"/>
      <c r="I350" s="295"/>
      <c r="J350" s="296"/>
      <c r="K350" s="297"/>
      <c r="L350" s="297"/>
      <c r="M350" s="297"/>
      <c r="N350" s="297"/>
      <c r="O350" s="298"/>
      <c r="P350" s="298"/>
      <c r="Q350" s="297"/>
      <c r="R350" s="297">
        <v>0.0</v>
      </c>
      <c r="S350" s="297"/>
      <c r="T350" s="297" t="s">
        <v>719</v>
      </c>
    </row>
    <row r="351">
      <c r="B351" s="291"/>
      <c r="C351" s="291"/>
      <c r="D351" s="181"/>
      <c r="E351" s="292"/>
      <c r="F351" s="292"/>
      <c r="G351" s="293"/>
      <c r="H351" s="294"/>
      <c r="I351" s="295"/>
      <c r="J351" s="296"/>
      <c r="K351" s="297"/>
      <c r="L351" s="297"/>
      <c r="M351" s="297"/>
      <c r="N351" s="297"/>
      <c r="O351" s="298"/>
      <c r="P351" s="298"/>
      <c r="Q351" s="297"/>
      <c r="R351" s="297">
        <v>0.0</v>
      </c>
      <c r="S351" s="297"/>
      <c r="T351" s="297" t="s">
        <v>719</v>
      </c>
    </row>
    <row r="352">
      <c r="B352" s="291"/>
      <c r="C352" s="291"/>
      <c r="D352" s="181"/>
      <c r="E352" s="292"/>
      <c r="F352" s="292"/>
      <c r="G352" s="293"/>
      <c r="H352" s="294"/>
      <c r="I352" s="295"/>
      <c r="J352" s="296"/>
      <c r="K352" s="297"/>
      <c r="L352" s="297"/>
      <c r="M352" s="297"/>
      <c r="N352" s="297"/>
      <c r="O352" s="298"/>
      <c r="P352" s="298"/>
      <c r="Q352" s="297"/>
      <c r="R352" s="297">
        <v>0.0</v>
      </c>
      <c r="S352" s="297"/>
      <c r="T352" s="297" t="s">
        <v>719</v>
      </c>
    </row>
    <row r="353">
      <c r="B353" s="291"/>
      <c r="C353" s="291"/>
      <c r="D353" s="181"/>
      <c r="E353" s="292"/>
      <c r="F353" s="292"/>
      <c r="G353" s="293"/>
      <c r="H353" s="294"/>
      <c r="I353" s="295"/>
      <c r="J353" s="296"/>
      <c r="K353" s="297"/>
      <c r="L353" s="297"/>
      <c r="M353" s="297"/>
      <c r="N353" s="297"/>
      <c r="O353" s="298"/>
      <c r="P353" s="298"/>
      <c r="Q353" s="297"/>
      <c r="R353" s="297">
        <v>0.0</v>
      </c>
      <c r="S353" s="297"/>
      <c r="T353" s="297" t="s">
        <v>719</v>
      </c>
    </row>
    <row r="354">
      <c r="B354" s="291"/>
      <c r="C354" s="291"/>
      <c r="D354" s="181"/>
      <c r="E354" s="292"/>
      <c r="F354" s="292"/>
      <c r="G354" s="293"/>
      <c r="H354" s="294"/>
      <c r="I354" s="295"/>
      <c r="J354" s="296"/>
      <c r="K354" s="297"/>
      <c r="L354" s="297"/>
      <c r="M354" s="297"/>
      <c r="N354" s="297"/>
      <c r="O354" s="298"/>
      <c r="P354" s="298"/>
      <c r="Q354" s="297"/>
      <c r="R354" s="297">
        <v>0.0</v>
      </c>
      <c r="S354" s="297"/>
      <c r="T354" s="297" t="s">
        <v>719</v>
      </c>
    </row>
    <row r="355">
      <c r="B355" s="291"/>
      <c r="C355" s="291"/>
      <c r="D355" s="181"/>
      <c r="E355" s="292"/>
      <c r="F355" s="292"/>
      <c r="G355" s="293"/>
      <c r="H355" s="294"/>
      <c r="I355" s="295"/>
      <c r="J355" s="296"/>
      <c r="K355" s="297"/>
      <c r="L355" s="297"/>
      <c r="M355" s="297"/>
      <c r="N355" s="297"/>
      <c r="O355" s="298"/>
      <c r="P355" s="298"/>
      <c r="Q355" s="297"/>
      <c r="R355" s="297">
        <v>0.0</v>
      </c>
      <c r="S355" s="297"/>
      <c r="T355" s="297" t="s">
        <v>719</v>
      </c>
    </row>
    <row r="356">
      <c r="B356" s="291"/>
      <c r="C356" s="291"/>
      <c r="D356" s="181"/>
      <c r="E356" s="292"/>
      <c r="F356" s="292"/>
      <c r="G356" s="293"/>
      <c r="H356" s="294"/>
      <c r="I356" s="295"/>
      <c r="J356" s="296"/>
      <c r="K356" s="297"/>
      <c r="L356" s="297"/>
      <c r="M356" s="297"/>
      <c r="N356" s="297"/>
      <c r="O356" s="298"/>
      <c r="P356" s="298"/>
      <c r="Q356" s="297"/>
      <c r="R356" s="297">
        <v>0.0</v>
      </c>
      <c r="S356" s="297"/>
      <c r="T356" s="297" t="s">
        <v>719</v>
      </c>
    </row>
    <row r="357">
      <c r="B357" s="291"/>
      <c r="C357" s="291"/>
      <c r="D357" s="181"/>
      <c r="E357" s="292"/>
      <c r="F357" s="292"/>
      <c r="G357" s="293"/>
      <c r="H357" s="294"/>
      <c r="I357" s="295"/>
      <c r="J357" s="296"/>
      <c r="K357" s="297"/>
      <c r="L357" s="297"/>
      <c r="M357" s="297"/>
      <c r="N357" s="297"/>
      <c r="O357" s="298"/>
      <c r="P357" s="298"/>
      <c r="Q357" s="297"/>
      <c r="R357" s="297">
        <v>0.0</v>
      </c>
      <c r="S357" s="297"/>
      <c r="T357" s="297" t="s">
        <v>719</v>
      </c>
    </row>
    <row r="358">
      <c r="B358" s="291"/>
      <c r="C358" s="291"/>
      <c r="D358" s="181"/>
      <c r="E358" s="292"/>
      <c r="F358" s="292"/>
      <c r="G358" s="293"/>
      <c r="H358" s="294"/>
      <c r="I358" s="295"/>
      <c r="J358" s="296"/>
      <c r="K358" s="297"/>
      <c r="L358" s="297"/>
      <c r="M358" s="297"/>
      <c r="N358" s="297"/>
      <c r="O358" s="298"/>
      <c r="P358" s="298"/>
      <c r="Q358" s="297"/>
      <c r="R358" s="297">
        <v>0.0</v>
      </c>
      <c r="S358" s="297"/>
      <c r="T358" s="297" t="s">
        <v>719</v>
      </c>
    </row>
    <row r="359">
      <c r="B359" s="291"/>
      <c r="C359" s="291"/>
      <c r="D359" s="181"/>
      <c r="E359" s="292"/>
      <c r="F359" s="292"/>
      <c r="G359" s="293"/>
      <c r="H359" s="294"/>
      <c r="I359" s="295"/>
      <c r="J359" s="296"/>
      <c r="K359" s="297"/>
      <c r="L359" s="297"/>
      <c r="M359" s="297"/>
      <c r="N359" s="297"/>
      <c r="O359" s="298"/>
      <c r="P359" s="298"/>
      <c r="Q359" s="297"/>
      <c r="R359" s="297">
        <v>0.0</v>
      </c>
      <c r="S359" s="297"/>
      <c r="T359" s="297" t="s">
        <v>719</v>
      </c>
    </row>
    <row r="360">
      <c r="B360" s="291"/>
      <c r="C360" s="291"/>
      <c r="D360" s="181"/>
      <c r="E360" s="292"/>
      <c r="F360" s="292"/>
      <c r="G360" s="293"/>
      <c r="H360" s="294"/>
      <c r="I360" s="295"/>
      <c r="J360" s="296"/>
      <c r="K360" s="297"/>
      <c r="L360" s="297"/>
      <c r="M360" s="297"/>
      <c r="N360" s="297"/>
      <c r="O360" s="298"/>
      <c r="P360" s="298"/>
      <c r="Q360" s="297"/>
      <c r="R360" s="297">
        <v>0.0</v>
      </c>
      <c r="S360" s="297"/>
      <c r="T360" s="297" t="s">
        <v>719</v>
      </c>
    </row>
    <row r="361">
      <c r="B361" s="291"/>
      <c r="C361" s="291"/>
      <c r="D361" s="181"/>
      <c r="E361" s="292"/>
      <c r="F361" s="292"/>
      <c r="G361" s="293"/>
      <c r="H361" s="294"/>
      <c r="I361" s="295"/>
      <c r="J361" s="296"/>
      <c r="K361" s="297"/>
      <c r="L361" s="297"/>
      <c r="M361" s="297"/>
      <c r="N361" s="297"/>
      <c r="O361" s="298"/>
      <c r="P361" s="298"/>
      <c r="Q361" s="297"/>
      <c r="R361" s="297">
        <v>0.0</v>
      </c>
      <c r="S361" s="297"/>
      <c r="T361" s="297" t="s">
        <v>719</v>
      </c>
    </row>
    <row r="362">
      <c r="B362" s="291"/>
      <c r="C362" s="291"/>
      <c r="D362" s="181"/>
      <c r="E362" s="292"/>
      <c r="F362" s="292"/>
      <c r="G362" s="293"/>
      <c r="H362" s="294"/>
      <c r="I362" s="295"/>
      <c r="J362" s="296"/>
      <c r="K362" s="297"/>
      <c r="L362" s="297"/>
      <c r="M362" s="297"/>
      <c r="N362" s="297"/>
      <c r="O362" s="298"/>
      <c r="P362" s="298"/>
      <c r="Q362" s="297"/>
      <c r="R362" s="297">
        <v>0.0</v>
      </c>
      <c r="S362" s="297"/>
      <c r="T362" s="297" t="s">
        <v>719</v>
      </c>
    </row>
    <row r="363">
      <c r="B363" s="291"/>
      <c r="C363" s="291"/>
      <c r="D363" s="181"/>
      <c r="E363" s="292"/>
      <c r="F363" s="292"/>
      <c r="G363" s="293"/>
      <c r="H363" s="294"/>
      <c r="I363" s="295"/>
      <c r="J363" s="296"/>
      <c r="K363" s="297"/>
      <c r="L363" s="297"/>
      <c r="M363" s="297"/>
      <c r="N363" s="297"/>
      <c r="O363" s="298"/>
      <c r="P363" s="298"/>
      <c r="Q363" s="297"/>
      <c r="R363" s="297">
        <v>0.0</v>
      </c>
      <c r="S363" s="297"/>
      <c r="T363" s="297" t="s">
        <v>719</v>
      </c>
    </row>
    <row r="364">
      <c r="B364" s="291"/>
      <c r="C364" s="291"/>
      <c r="D364" s="181"/>
      <c r="E364" s="292"/>
      <c r="F364" s="292"/>
      <c r="G364" s="293"/>
      <c r="H364" s="294"/>
      <c r="I364" s="295"/>
      <c r="J364" s="296"/>
      <c r="K364" s="297"/>
      <c r="L364" s="297"/>
      <c r="M364" s="297"/>
      <c r="N364" s="297"/>
      <c r="O364" s="298"/>
      <c r="P364" s="298"/>
      <c r="Q364" s="297"/>
      <c r="R364" s="297">
        <v>0.0</v>
      </c>
      <c r="S364" s="297"/>
      <c r="T364" s="297" t="s">
        <v>719</v>
      </c>
    </row>
    <row r="365">
      <c r="B365" s="291"/>
      <c r="C365" s="291"/>
      <c r="D365" s="181"/>
      <c r="E365" s="292"/>
      <c r="F365" s="292"/>
      <c r="G365" s="293"/>
      <c r="H365" s="294"/>
      <c r="I365" s="295"/>
      <c r="J365" s="296"/>
      <c r="K365" s="297"/>
      <c r="L365" s="297"/>
      <c r="M365" s="297"/>
      <c r="N365" s="297"/>
      <c r="O365" s="298"/>
      <c r="P365" s="298"/>
      <c r="Q365" s="297"/>
      <c r="R365" s="297">
        <v>0.0</v>
      </c>
      <c r="S365" s="297"/>
      <c r="T365" s="297" t="s">
        <v>719</v>
      </c>
    </row>
    <row r="366">
      <c r="B366" s="291"/>
      <c r="C366" s="291"/>
      <c r="D366" s="181"/>
      <c r="E366" s="292"/>
      <c r="F366" s="292"/>
      <c r="G366" s="293"/>
      <c r="H366" s="294"/>
      <c r="I366" s="295"/>
      <c r="J366" s="296"/>
      <c r="K366" s="297"/>
      <c r="L366" s="297"/>
      <c r="M366" s="297"/>
      <c r="N366" s="297"/>
      <c r="O366" s="298"/>
      <c r="P366" s="298"/>
      <c r="Q366" s="297"/>
      <c r="R366" s="297">
        <v>0.0</v>
      </c>
      <c r="S366" s="297"/>
      <c r="T366" s="297" t="s">
        <v>719</v>
      </c>
    </row>
    <row r="367">
      <c r="B367" s="291"/>
      <c r="C367" s="291"/>
      <c r="D367" s="181"/>
      <c r="E367" s="292"/>
      <c r="F367" s="292"/>
      <c r="G367" s="293"/>
      <c r="H367" s="294"/>
      <c r="I367" s="295"/>
      <c r="J367" s="296"/>
      <c r="K367" s="297"/>
      <c r="L367" s="297"/>
      <c r="M367" s="297"/>
      <c r="N367" s="297"/>
      <c r="O367" s="298"/>
      <c r="P367" s="298"/>
      <c r="Q367" s="297"/>
      <c r="R367" s="297">
        <v>0.0</v>
      </c>
      <c r="S367" s="297"/>
      <c r="T367" s="297" t="s">
        <v>719</v>
      </c>
    </row>
    <row r="368">
      <c r="B368" s="291"/>
      <c r="C368" s="291"/>
      <c r="D368" s="181"/>
      <c r="E368" s="292"/>
      <c r="F368" s="292"/>
      <c r="G368" s="293"/>
      <c r="H368" s="294"/>
      <c r="I368" s="295"/>
      <c r="J368" s="296"/>
      <c r="K368" s="297"/>
      <c r="L368" s="297"/>
      <c r="M368" s="297"/>
      <c r="N368" s="297"/>
      <c r="O368" s="298"/>
      <c r="P368" s="298"/>
      <c r="Q368" s="297"/>
      <c r="R368" s="297">
        <v>0.0</v>
      </c>
      <c r="S368" s="297"/>
      <c r="T368" s="297" t="s">
        <v>719</v>
      </c>
    </row>
    <row r="369">
      <c r="B369" s="291"/>
      <c r="C369" s="291"/>
      <c r="D369" s="181"/>
      <c r="E369" s="292"/>
      <c r="F369" s="292"/>
      <c r="G369" s="293"/>
      <c r="H369" s="294"/>
      <c r="I369" s="295"/>
      <c r="J369" s="296"/>
      <c r="K369" s="297"/>
      <c r="L369" s="297"/>
      <c r="M369" s="297"/>
      <c r="N369" s="297"/>
      <c r="O369" s="298"/>
      <c r="P369" s="298"/>
      <c r="Q369" s="297"/>
      <c r="R369" s="297">
        <v>0.0</v>
      </c>
      <c r="S369" s="297"/>
      <c r="T369" s="297" t="s">
        <v>719</v>
      </c>
    </row>
    <row r="370">
      <c r="B370" s="291"/>
      <c r="C370" s="291"/>
      <c r="D370" s="181"/>
      <c r="E370" s="292"/>
      <c r="F370" s="292"/>
      <c r="G370" s="293"/>
      <c r="H370" s="294"/>
      <c r="I370" s="295"/>
      <c r="J370" s="296"/>
      <c r="K370" s="297"/>
      <c r="L370" s="297"/>
      <c r="M370" s="297"/>
      <c r="N370" s="297"/>
      <c r="O370" s="298"/>
      <c r="P370" s="298"/>
      <c r="Q370" s="297"/>
      <c r="R370" s="297">
        <v>0.0</v>
      </c>
      <c r="S370" s="297"/>
      <c r="T370" s="297" t="s">
        <v>719</v>
      </c>
    </row>
    <row r="371">
      <c r="B371" s="291"/>
      <c r="C371" s="291"/>
      <c r="D371" s="181"/>
      <c r="E371" s="292"/>
      <c r="F371" s="292"/>
      <c r="G371" s="293"/>
      <c r="H371" s="294"/>
      <c r="I371" s="295"/>
      <c r="J371" s="296"/>
      <c r="K371" s="297"/>
      <c r="L371" s="297"/>
      <c r="M371" s="297"/>
      <c r="N371" s="297"/>
      <c r="O371" s="298"/>
      <c r="P371" s="298"/>
      <c r="Q371" s="297"/>
      <c r="R371" s="297">
        <v>0.0</v>
      </c>
      <c r="S371" s="297"/>
      <c r="T371" s="297" t="s">
        <v>719</v>
      </c>
    </row>
    <row r="372">
      <c r="B372" s="291"/>
      <c r="C372" s="291"/>
      <c r="D372" s="181"/>
      <c r="E372" s="292"/>
      <c r="F372" s="292"/>
      <c r="G372" s="293"/>
      <c r="H372" s="294"/>
      <c r="I372" s="295"/>
      <c r="J372" s="296"/>
      <c r="K372" s="297"/>
      <c r="L372" s="297"/>
      <c r="M372" s="297"/>
      <c r="N372" s="297"/>
      <c r="O372" s="298"/>
      <c r="P372" s="298"/>
      <c r="Q372" s="297"/>
      <c r="R372" s="297">
        <v>0.0</v>
      </c>
      <c r="S372" s="297"/>
      <c r="T372" s="297" t="s">
        <v>719</v>
      </c>
    </row>
    <row r="373">
      <c r="B373" s="291"/>
      <c r="C373" s="291"/>
      <c r="D373" s="181"/>
      <c r="E373" s="292"/>
      <c r="F373" s="292"/>
      <c r="G373" s="293"/>
      <c r="H373" s="294"/>
      <c r="I373" s="295"/>
      <c r="J373" s="296"/>
      <c r="K373" s="297"/>
      <c r="L373" s="297"/>
      <c r="M373" s="297"/>
      <c r="N373" s="297"/>
      <c r="O373" s="298"/>
      <c r="P373" s="298"/>
      <c r="Q373" s="297"/>
      <c r="R373" s="297">
        <v>0.0</v>
      </c>
      <c r="S373" s="297"/>
      <c r="T373" s="297" t="s">
        <v>719</v>
      </c>
    </row>
    <row r="374">
      <c r="B374" s="291"/>
      <c r="C374" s="291"/>
      <c r="D374" s="181"/>
      <c r="E374" s="292"/>
      <c r="F374" s="292"/>
      <c r="G374" s="293"/>
      <c r="H374" s="294"/>
      <c r="I374" s="295"/>
      <c r="J374" s="296"/>
      <c r="K374" s="297"/>
      <c r="L374" s="297"/>
      <c r="M374" s="297"/>
      <c r="N374" s="297"/>
      <c r="O374" s="298"/>
      <c r="P374" s="298"/>
      <c r="Q374" s="297"/>
      <c r="R374" s="297">
        <v>0.0</v>
      </c>
      <c r="S374" s="297"/>
      <c r="T374" s="297" t="s">
        <v>719</v>
      </c>
    </row>
    <row r="375">
      <c r="B375" s="291"/>
      <c r="C375" s="291"/>
      <c r="D375" s="181"/>
      <c r="E375" s="292"/>
      <c r="F375" s="292"/>
      <c r="G375" s="293"/>
      <c r="H375" s="294"/>
      <c r="I375" s="295"/>
      <c r="J375" s="296"/>
      <c r="K375" s="297"/>
      <c r="L375" s="297"/>
      <c r="M375" s="297"/>
      <c r="N375" s="297"/>
      <c r="O375" s="298"/>
      <c r="P375" s="298"/>
      <c r="Q375" s="297"/>
      <c r="R375" s="297">
        <v>0.0</v>
      </c>
      <c r="S375" s="297"/>
      <c r="T375" s="297" t="s">
        <v>719</v>
      </c>
    </row>
    <row r="376">
      <c r="B376" s="291"/>
      <c r="C376" s="291"/>
      <c r="D376" s="181"/>
      <c r="E376" s="292"/>
      <c r="F376" s="292"/>
      <c r="G376" s="293"/>
      <c r="H376" s="294"/>
      <c r="I376" s="295"/>
      <c r="J376" s="296"/>
      <c r="K376" s="297"/>
      <c r="L376" s="297"/>
      <c r="M376" s="297"/>
      <c r="N376" s="297"/>
      <c r="O376" s="298"/>
      <c r="P376" s="298"/>
      <c r="Q376" s="297"/>
      <c r="R376" s="297">
        <v>0.0</v>
      </c>
      <c r="S376" s="297"/>
      <c r="T376" s="297" t="s">
        <v>719</v>
      </c>
    </row>
    <row r="377">
      <c r="B377" s="291"/>
      <c r="C377" s="291"/>
      <c r="D377" s="181"/>
      <c r="E377" s="292"/>
      <c r="F377" s="292"/>
      <c r="G377" s="293"/>
      <c r="H377" s="294"/>
      <c r="I377" s="295"/>
      <c r="J377" s="296"/>
      <c r="K377" s="297"/>
      <c r="L377" s="297"/>
      <c r="M377" s="297"/>
      <c r="N377" s="297"/>
      <c r="O377" s="298"/>
      <c r="P377" s="298"/>
      <c r="Q377" s="297"/>
      <c r="R377" s="297">
        <v>0.0</v>
      </c>
      <c r="S377" s="297"/>
      <c r="T377" s="297" t="s">
        <v>719</v>
      </c>
    </row>
    <row r="378">
      <c r="B378" s="291"/>
      <c r="C378" s="291"/>
      <c r="D378" s="181"/>
      <c r="E378" s="292"/>
      <c r="F378" s="292"/>
      <c r="G378" s="293"/>
      <c r="H378" s="294"/>
      <c r="I378" s="295"/>
      <c r="J378" s="296"/>
      <c r="K378" s="297"/>
      <c r="L378" s="297"/>
      <c r="M378" s="297"/>
      <c r="N378" s="297"/>
      <c r="O378" s="298"/>
      <c r="P378" s="298"/>
      <c r="Q378" s="297"/>
      <c r="R378" s="297">
        <v>0.0</v>
      </c>
      <c r="S378" s="297"/>
      <c r="T378" s="297" t="s">
        <v>719</v>
      </c>
    </row>
    <row r="379">
      <c r="B379" s="291"/>
      <c r="C379" s="291"/>
      <c r="D379" s="181"/>
      <c r="E379" s="292"/>
      <c r="F379" s="292"/>
      <c r="G379" s="293"/>
      <c r="H379" s="294"/>
      <c r="I379" s="295"/>
      <c r="J379" s="296"/>
      <c r="K379" s="297"/>
      <c r="L379" s="297"/>
      <c r="M379" s="297"/>
      <c r="N379" s="297"/>
      <c r="O379" s="298"/>
      <c r="P379" s="298"/>
      <c r="Q379" s="297"/>
      <c r="R379" s="297">
        <v>0.0</v>
      </c>
      <c r="S379" s="297"/>
      <c r="T379" s="297" t="s">
        <v>719</v>
      </c>
    </row>
    <row r="380">
      <c r="B380" s="291"/>
      <c r="C380" s="291"/>
      <c r="D380" s="181"/>
      <c r="E380" s="292"/>
      <c r="F380" s="292"/>
      <c r="G380" s="293"/>
      <c r="H380" s="294"/>
      <c r="I380" s="295"/>
      <c r="J380" s="296"/>
      <c r="K380" s="297"/>
      <c r="L380" s="297"/>
      <c r="M380" s="297"/>
      <c r="N380" s="297"/>
      <c r="O380" s="298"/>
      <c r="P380" s="298"/>
      <c r="Q380" s="297"/>
      <c r="R380" s="297">
        <v>0.0</v>
      </c>
      <c r="S380" s="297"/>
      <c r="T380" s="297" t="s">
        <v>719</v>
      </c>
    </row>
    <row r="381">
      <c r="B381" s="291"/>
      <c r="C381" s="291"/>
      <c r="D381" s="181"/>
      <c r="E381" s="292"/>
      <c r="F381" s="292"/>
      <c r="G381" s="293"/>
      <c r="H381" s="294"/>
      <c r="I381" s="295"/>
      <c r="J381" s="296"/>
      <c r="K381" s="297"/>
      <c r="L381" s="297"/>
      <c r="M381" s="297"/>
      <c r="N381" s="297"/>
      <c r="O381" s="298"/>
      <c r="P381" s="298"/>
      <c r="Q381" s="297"/>
      <c r="R381" s="297">
        <v>0.0</v>
      </c>
      <c r="S381" s="297"/>
      <c r="T381" s="297" t="s">
        <v>719</v>
      </c>
    </row>
    <row r="382">
      <c r="B382" s="291"/>
      <c r="C382" s="291"/>
      <c r="D382" s="181"/>
      <c r="E382" s="292"/>
      <c r="F382" s="292"/>
      <c r="G382" s="293"/>
      <c r="H382" s="294"/>
      <c r="I382" s="295"/>
      <c r="J382" s="296"/>
      <c r="K382" s="297"/>
      <c r="L382" s="297"/>
      <c r="M382" s="297"/>
      <c r="N382" s="297"/>
      <c r="O382" s="298"/>
      <c r="P382" s="298"/>
      <c r="Q382" s="297"/>
      <c r="R382" s="297">
        <v>0.0</v>
      </c>
      <c r="S382" s="297"/>
      <c r="T382" s="297" t="s">
        <v>719</v>
      </c>
    </row>
    <row r="383">
      <c r="B383" s="291"/>
      <c r="C383" s="291"/>
      <c r="D383" s="181"/>
      <c r="E383" s="292"/>
      <c r="F383" s="292"/>
      <c r="G383" s="293"/>
      <c r="H383" s="294"/>
      <c r="I383" s="295"/>
      <c r="J383" s="296"/>
      <c r="K383" s="297"/>
      <c r="L383" s="297"/>
      <c r="M383" s="297"/>
      <c r="N383" s="297"/>
      <c r="O383" s="298"/>
      <c r="P383" s="298"/>
      <c r="Q383" s="297"/>
      <c r="R383" s="297">
        <v>0.0</v>
      </c>
      <c r="S383" s="297"/>
      <c r="T383" s="297" t="s">
        <v>719</v>
      </c>
    </row>
    <row r="384">
      <c r="B384" s="291"/>
      <c r="C384" s="291"/>
      <c r="D384" s="181"/>
      <c r="E384" s="292"/>
      <c r="F384" s="292"/>
      <c r="G384" s="293"/>
      <c r="H384" s="294"/>
      <c r="I384" s="295"/>
      <c r="J384" s="296"/>
      <c r="K384" s="297"/>
      <c r="L384" s="297"/>
      <c r="M384" s="297"/>
      <c r="N384" s="297"/>
      <c r="O384" s="298"/>
      <c r="P384" s="298"/>
      <c r="Q384" s="297"/>
      <c r="R384" s="297">
        <v>0.0</v>
      </c>
      <c r="S384" s="297"/>
      <c r="T384" s="297" t="s">
        <v>719</v>
      </c>
    </row>
    <row r="385">
      <c r="B385" s="291"/>
      <c r="C385" s="291"/>
      <c r="D385" s="181"/>
      <c r="E385" s="292"/>
      <c r="F385" s="292"/>
      <c r="G385" s="293"/>
      <c r="H385" s="294"/>
      <c r="I385" s="295"/>
      <c r="J385" s="296"/>
      <c r="K385" s="297"/>
      <c r="L385" s="297"/>
      <c r="M385" s="297"/>
      <c r="N385" s="297"/>
      <c r="O385" s="298"/>
      <c r="P385" s="298"/>
      <c r="Q385" s="297"/>
      <c r="R385" s="297">
        <v>0.0</v>
      </c>
      <c r="S385" s="297"/>
      <c r="T385" s="297" t="s">
        <v>719</v>
      </c>
    </row>
    <row r="386">
      <c r="B386" s="291"/>
      <c r="C386" s="291"/>
      <c r="D386" s="181"/>
      <c r="E386" s="292"/>
      <c r="F386" s="292"/>
      <c r="G386" s="293"/>
      <c r="H386" s="294"/>
      <c r="I386" s="295"/>
      <c r="J386" s="296"/>
      <c r="K386" s="297"/>
      <c r="L386" s="297"/>
      <c r="M386" s="297"/>
      <c r="N386" s="297"/>
      <c r="O386" s="298"/>
      <c r="P386" s="298"/>
      <c r="Q386" s="297"/>
      <c r="R386" s="297">
        <v>0.0</v>
      </c>
      <c r="S386" s="297"/>
      <c r="T386" s="297" t="s">
        <v>719</v>
      </c>
    </row>
    <row r="387">
      <c r="B387" s="291"/>
      <c r="C387" s="291"/>
      <c r="D387" s="181"/>
      <c r="E387" s="292"/>
      <c r="F387" s="292"/>
      <c r="G387" s="293"/>
      <c r="H387" s="294"/>
      <c r="I387" s="295"/>
      <c r="J387" s="296"/>
      <c r="K387" s="297"/>
      <c r="L387" s="297"/>
      <c r="M387" s="297"/>
      <c r="N387" s="297"/>
      <c r="O387" s="298"/>
      <c r="P387" s="298"/>
      <c r="Q387" s="297"/>
      <c r="R387" s="297">
        <v>0.0</v>
      </c>
      <c r="S387" s="297"/>
      <c r="T387" s="297" t="s">
        <v>719</v>
      </c>
    </row>
    <row r="388">
      <c r="B388" s="291"/>
      <c r="C388" s="291"/>
      <c r="D388" s="181"/>
      <c r="E388" s="292"/>
      <c r="F388" s="292"/>
      <c r="G388" s="293"/>
      <c r="H388" s="294"/>
      <c r="I388" s="295"/>
      <c r="J388" s="296"/>
      <c r="K388" s="297"/>
      <c r="L388" s="297"/>
      <c r="M388" s="297"/>
      <c r="N388" s="297"/>
      <c r="O388" s="298"/>
      <c r="P388" s="298"/>
      <c r="Q388" s="297"/>
      <c r="R388" s="297">
        <v>0.0</v>
      </c>
      <c r="S388" s="297"/>
      <c r="T388" s="297" t="s">
        <v>719</v>
      </c>
    </row>
    <row r="389">
      <c r="B389" s="291"/>
      <c r="C389" s="291"/>
      <c r="D389" s="181"/>
      <c r="E389" s="292"/>
      <c r="F389" s="292"/>
      <c r="G389" s="293"/>
      <c r="H389" s="294"/>
      <c r="I389" s="295"/>
      <c r="J389" s="296"/>
      <c r="K389" s="297"/>
      <c r="L389" s="297"/>
      <c r="M389" s="297"/>
      <c r="N389" s="297"/>
      <c r="O389" s="298"/>
      <c r="P389" s="298"/>
      <c r="Q389" s="297"/>
      <c r="R389" s="297">
        <v>0.0</v>
      </c>
      <c r="S389" s="297"/>
      <c r="T389" s="297" t="s">
        <v>719</v>
      </c>
    </row>
    <row r="390">
      <c r="B390" s="291"/>
      <c r="C390" s="291"/>
      <c r="D390" s="181"/>
      <c r="E390" s="292"/>
      <c r="F390" s="292"/>
      <c r="G390" s="293"/>
      <c r="H390" s="294"/>
      <c r="I390" s="295"/>
      <c r="J390" s="296"/>
      <c r="K390" s="297"/>
      <c r="L390" s="297"/>
      <c r="M390" s="297"/>
      <c r="N390" s="297"/>
      <c r="O390" s="298"/>
      <c r="P390" s="298"/>
      <c r="Q390" s="297"/>
      <c r="R390" s="297">
        <v>0.0</v>
      </c>
      <c r="S390" s="297"/>
      <c r="T390" s="297" t="s">
        <v>719</v>
      </c>
    </row>
    <row r="391">
      <c r="B391" s="291"/>
      <c r="C391" s="291"/>
      <c r="D391" s="181"/>
      <c r="E391" s="292"/>
      <c r="F391" s="292"/>
      <c r="G391" s="293"/>
      <c r="H391" s="294"/>
      <c r="I391" s="295"/>
      <c r="J391" s="296"/>
      <c r="K391" s="297"/>
      <c r="L391" s="297"/>
      <c r="M391" s="297"/>
      <c r="N391" s="297"/>
      <c r="O391" s="298"/>
      <c r="P391" s="298"/>
      <c r="Q391" s="297"/>
      <c r="R391" s="297">
        <v>0.0</v>
      </c>
      <c r="S391" s="297"/>
      <c r="T391" s="297" t="s">
        <v>719</v>
      </c>
    </row>
    <row r="392">
      <c r="B392" s="291"/>
      <c r="C392" s="291"/>
      <c r="D392" s="181"/>
      <c r="E392" s="292"/>
      <c r="F392" s="292"/>
      <c r="G392" s="293"/>
      <c r="H392" s="294"/>
      <c r="I392" s="295"/>
      <c r="J392" s="296"/>
      <c r="K392" s="297"/>
      <c r="L392" s="297"/>
      <c r="M392" s="297"/>
      <c r="N392" s="297"/>
      <c r="O392" s="298"/>
      <c r="P392" s="298"/>
      <c r="Q392" s="297"/>
      <c r="R392" s="297">
        <v>0.0</v>
      </c>
      <c r="S392" s="297"/>
      <c r="T392" s="297" t="s">
        <v>719</v>
      </c>
    </row>
    <row r="393">
      <c r="B393" s="291"/>
      <c r="C393" s="291"/>
      <c r="D393" s="181"/>
      <c r="E393" s="292"/>
      <c r="F393" s="292"/>
      <c r="G393" s="293"/>
      <c r="H393" s="294"/>
      <c r="I393" s="295"/>
      <c r="J393" s="296"/>
      <c r="K393" s="297"/>
      <c r="L393" s="297"/>
      <c r="M393" s="297"/>
      <c r="N393" s="297"/>
      <c r="O393" s="298"/>
      <c r="P393" s="298"/>
      <c r="Q393" s="297"/>
      <c r="R393" s="297">
        <v>0.0</v>
      </c>
      <c r="S393" s="297"/>
      <c r="T393" s="297" t="s">
        <v>719</v>
      </c>
    </row>
    <row r="394">
      <c r="B394" s="291"/>
      <c r="C394" s="291"/>
      <c r="D394" s="181"/>
      <c r="E394" s="292"/>
      <c r="F394" s="292"/>
      <c r="G394" s="293"/>
      <c r="H394" s="294"/>
      <c r="I394" s="295"/>
      <c r="J394" s="296"/>
      <c r="K394" s="297"/>
      <c r="L394" s="297"/>
      <c r="M394" s="297"/>
      <c r="N394" s="297"/>
      <c r="O394" s="298"/>
      <c r="P394" s="298"/>
      <c r="Q394" s="297"/>
      <c r="R394" s="297">
        <v>0.0</v>
      </c>
      <c r="S394" s="297"/>
      <c r="T394" s="297" t="s">
        <v>719</v>
      </c>
    </row>
    <row r="395">
      <c r="B395" s="291"/>
      <c r="C395" s="291"/>
      <c r="D395" s="181"/>
      <c r="E395" s="292"/>
      <c r="F395" s="292"/>
      <c r="G395" s="293"/>
      <c r="H395" s="294"/>
      <c r="I395" s="295"/>
      <c r="J395" s="296"/>
      <c r="K395" s="297"/>
      <c r="L395" s="297"/>
      <c r="M395" s="297"/>
      <c r="N395" s="297"/>
      <c r="O395" s="298"/>
      <c r="P395" s="298"/>
      <c r="Q395" s="297"/>
      <c r="R395" s="297">
        <v>0.0</v>
      </c>
      <c r="S395" s="297"/>
      <c r="T395" s="297" t="s">
        <v>719</v>
      </c>
    </row>
    <row r="396">
      <c r="B396" s="291"/>
      <c r="C396" s="291"/>
      <c r="D396" s="181"/>
      <c r="E396" s="292"/>
      <c r="F396" s="292"/>
      <c r="G396" s="293"/>
      <c r="H396" s="294"/>
      <c r="I396" s="295"/>
      <c r="J396" s="296"/>
      <c r="K396" s="297"/>
      <c r="L396" s="297"/>
      <c r="M396" s="297"/>
      <c r="N396" s="297"/>
      <c r="O396" s="298"/>
      <c r="P396" s="298"/>
      <c r="Q396" s="297"/>
      <c r="R396" s="297">
        <v>0.0</v>
      </c>
      <c r="S396" s="297"/>
      <c r="T396" s="297" t="s">
        <v>719</v>
      </c>
    </row>
    <row r="397">
      <c r="B397" s="291"/>
      <c r="C397" s="291"/>
      <c r="D397" s="181"/>
      <c r="E397" s="292"/>
      <c r="F397" s="292"/>
      <c r="G397" s="293"/>
      <c r="H397" s="294"/>
      <c r="I397" s="295"/>
      <c r="J397" s="296"/>
      <c r="K397" s="297"/>
      <c r="L397" s="297"/>
      <c r="M397" s="297"/>
      <c r="N397" s="297"/>
      <c r="O397" s="298"/>
      <c r="P397" s="298"/>
      <c r="Q397" s="297"/>
      <c r="R397" s="297">
        <v>0.0</v>
      </c>
      <c r="S397" s="297"/>
      <c r="T397" s="297" t="s">
        <v>719</v>
      </c>
    </row>
    <row r="398">
      <c r="B398" s="291"/>
      <c r="C398" s="291"/>
      <c r="D398" s="181"/>
      <c r="E398" s="292"/>
      <c r="F398" s="292"/>
      <c r="G398" s="293"/>
      <c r="H398" s="294"/>
      <c r="I398" s="295"/>
      <c r="J398" s="296"/>
      <c r="K398" s="297"/>
      <c r="L398" s="297"/>
      <c r="M398" s="297"/>
      <c r="N398" s="297"/>
      <c r="O398" s="298"/>
      <c r="P398" s="298"/>
      <c r="Q398" s="297"/>
      <c r="R398" s="297">
        <v>0.0</v>
      </c>
      <c r="S398" s="297"/>
      <c r="T398" s="297" t="s">
        <v>719</v>
      </c>
    </row>
    <row r="399">
      <c r="B399" s="291"/>
      <c r="C399" s="291"/>
      <c r="D399" s="181"/>
      <c r="E399" s="292"/>
      <c r="F399" s="292"/>
      <c r="G399" s="293"/>
      <c r="H399" s="294"/>
      <c r="I399" s="295"/>
      <c r="J399" s="296"/>
      <c r="K399" s="297"/>
      <c r="L399" s="297"/>
      <c r="M399" s="297"/>
      <c r="N399" s="297"/>
      <c r="O399" s="298"/>
      <c r="P399" s="298"/>
      <c r="Q399" s="297"/>
      <c r="R399" s="297">
        <v>0.0</v>
      </c>
      <c r="S399" s="297"/>
      <c r="T399" s="297" t="s">
        <v>719</v>
      </c>
    </row>
    <row r="400">
      <c r="B400" s="291"/>
      <c r="C400" s="291"/>
      <c r="D400" s="181"/>
      <c r="E400" s="292"/>
      <c r="F400" s="292"/>
      <c r="G400" s="293"/>
      <c r="H400" s="294"/>
      <c r="I400" s="295"/>
      <c r="J400" s="296"/>
      <c r="K400" s="297"/>
      <c r="L400" s="297"/>
      <c r="M400" s="297"/>
      <c r="N400" s="297"/>
      <c r="O400" s="298"/>
      <c r="P400" s="298"/>
      <c r="Q400" s="297"/>
      <c r="R400" s="297">
        <v>0.0</v>
      </c>
      <c r="S400" s="297"/>
      <c r="T400" s="297" t="s">
        <v>719</v>
      </c>
    </row>
    <row r="401">
      <c r="B401" s="291"/>
      <c r="C401" s="291"/>
      <c r="D401" s="181"/>
      <c r="E401" s="292"/>
      <c r="F401" s="292"/>
      <c r="G401" s="293"/>
      <c r="H401" s="294"/>
      <c r="I401" s="295"/>
      <c r="J401" s="296"/>
      <c r="K401" s="297"/>
      <c r="L401" s="297"/>
      <c r="M401" s="297"/>
      <c r="N401" s="297"/>
      <c r="O401" s="298"/>
      <c r="P401" s="298"/>
      <c r="Q401" s="297"/>
      <c r="R401" s="297">
        <v>0.0</v>
      </c>
      <c r="S401" s="297"/>
      <c r="T401" s="297" t="s">
        <v>719</v>
      </c>
    </row>
    <row r="402">
      <c r="B402" s="291"/>
      <c r="C402" s="291"/>
      <c r="D402" s="181"/>
      <c r="E402" s="292"/>
      <c r="F402" s="292"/>
      <c r="G402" s="293"/>
      <c r="H402" s="294"/>
      <c r="I402" s="295"/>
      <c r="J402" s="296"/>
      <c r="K402" s="297"/>
      <c r="L402" s="297"/>
      <c r="M402" s="297"/>
      <c r="N402" s="297"/>
      <c r="O402" s="298"/>
      <c r="P402" s="298"/>
      <c r="Q402" s="297"/>
      <c r="R402" s="297">
        <v>0.0</v>
      </c>
      <c r="S402" s="297"/>
      <c r="T402" s="297" t="s">
        <v>719</v>
      </c>
    </row>
    <row r="403">
      <c r="B403" s="291"/>
      <c r="C403" s="291"/>
      <c r="D403" s="181"/>
      <c r="E403" s="292"/>
      <c r="F403" s="292"/>
      <c r="G403" s="293"/>
      <c r="H403" s="294"/>
      <c r="I403" s="295"/>
      <c r="J403" s="296"/>
      <c r="K403" s="297"/>
      <c r="L403" s="297"/>
      <c r="M403" s="297"/>
      <c r="N403" s="297"/>
      <c r="O403" s="298"/>
      <c r="P403" s="298"/>
      <c r="Q403" s="297"/>
      <c r="R403" s="297">
        <v>0.0</v>
      </c>
      <c r="S403" s="297"/>
      <c r="T403" s="297" t="s">
        <v>719</v>
      </c>
    </row>
    <row r="404">
      <c r="B404" s="291"/>
      <c r="C404" s="291"/>
      <c r="D404" s="181"/>
      <c r="E404" s="292"/>
      <c r="F404" s="292"/>
      <c r="G404" s="293"/>
      <c r="H404" s="294"/>
      <c r="I404" s="295"/>
      <c r="J404" s="296"/>
      <c r="K404" s="297"/>
      <c r="L404" s="297"/>
      <c r="M404" s="297"/>
      <c r="N404" s="297"/>
      <c r="O404" s="298"/>
      <c r="P404" s="298"/>
      <c r="Q404" s="297"/>
      <c r="R404" s="297">
        <v>0.0</v>
      </c>
      <c r="S404" s="297"/>
      <c r="T404" s="297" t="s">
        <v>719</v>
      </c>
    </row>
    <row r="405">
      <c r="B405" s="291"/>
      <c r="C405" s="291"/>
      <c r="D405" s="181"/>
      <c r="E405" s="292"/>
      <c r="F405" s="292"/>
      <c r="G405" s="293"/>
      <c r="H405" s="294"/>
      <c r="I405" s="295"/>
      <c r="J405" s="296"/>
      <c r="K405" s="297"/>
      <c r="L405" s="297"/>
      <c r="M405" s="297"/>
      <c r="N405" s="297"/>
      <c r="O405" s="298"/>
      <c r="P405" s="298"/>
      <c r="Q405" s="297"/>
      <c r="R405" s="297">
        <v>0.0</v>
      </c>
      <c r="S405" s="297"/>
      <c r="T405" s="297" t="s">
        <v>719</v>
      </c>
    </row>
    <row r="406">
      <c r="B406" s="291"/>
      <c r="C406" s="291"/>
      <c r="D406" s="181"/>
      <c r="E406" s="292"/>
      <c r="F406" s="292"/>
      <c r="G406" s="293"/>
      <c r="H406" s="294"/>
      <c r="I406" s="295"/>
      <c r="J406" s="296"/>
      <c r="K406" s="297"/>
      <c r="L406" s="297"/>
      <c r="M406" s="297"/>
      <c r="N406" s="297"/>
      <c r="O406" s="298"/>
      <c r="P406" s="298"/>
      <c r="Q406" s="297"/>
      <c r="R406" s="297">
        <v>0.0</v>
      </c>
      <c r="S406" s="297"/>
      <c r="T406" s="297" t="s">
        <v>719</v>
      </c>
    </row>
    <row r="407">
      <c r="B407" s="291"/>
      <c r="C407" s="291"/>
      <c r="D407" s="181"/>
      <c r="E407" s="292"/>
      <c r="F407" s="292"/>
      <c r="G407" s="293"/>
      <c r="H407" s="294"/>
      <c r="I407" s="295"/>
      <c r="J407" s="296"/>
      <c r="K407" s="297"/>
      <c r="L407" s="297"/>
      <c r="M407" s="297"/>
      <c r="N407" s="297"/>
      <c r="O407" s="298"/>
      <c r="P407" s="298"/>
      <c r="Q407" s="297"/>
      <c r="R407" s="297">
        <v>0.0</v>
      </c>
      <c r="S407" s="297"/>
      <c r="T407" s="297" t="s">
        <v>719</v>
      </c>
    </row>
    <row r="408">
      <c r="B408" s="291"/>
      <c r="C408" s="291"/>
      <c r="D408" s="181"/>
      <c r="E408" s="292"/>
      <c r="F408" s="292"/>
      <c r="G408" s="293"/>
      <c r="H408" s="294"/>
      <c r="I408" s="295"/>
      <c r="J408" s="296"/>
      <c r="K408" s="297"/>
      <c r="L408" s="297"/>
      <c r="M408" s="297"/>
      <c r="N408" s="297"/>
      <c r="O408" s="298"/>
      <c r="P408" s="298"/>
      <c r="Q408" s="297"/>
      <c r="R408" s="297">
        <v>0.0</v>
      </c>
      <c r="S408" s="297"/>
      <c r="T408" s="297" t="s">
        <v>719</v>
      </c>
    </row>
    <row r="409">
      <c r="B409" s="291"/>
      <c r="C409" s="291"/>
      <c r="D409" s="181"/>
      <c r="E409" s="292"/>
      <c r="F409" s="292"/>
      <c r="G409" s="293"/>
      <c r="H409" s="294"/>
      <c r="I409" s="295"/>
      <c r="J409" s="296"/>
      <c r="K409" s="297"/>
      <c r="L409" s="297"/>
      <c r="M409" s="297"/>
      <c r="N409" s="297"/>
      <c r="O409" s="298"/>
      <c r="P409" s="298"/>
      <c r="Q409" s="297"/>
      <c r="R409" s="297">
        <v>0.0</v>
      </c>
      <c r="S409" s="297"/>
      <c r="T409" s="297" t="s">
        <v>719</v>
      </c>
    </row>
    <row r="410">
      <c r="B410" s="291"/>
      <c r="C410" s="291"/>
      <c r="D410" s="181"/>
      <c r="E410" s="292"/>
      <c r="F410" s="292"/>
      <c r="G410" s="293"/>
      <c r="H410" s="294"/>
      <c r="I410" s="295"/>
      <c r="J410" s="296"/>
      <c r="K410" s="297"/>
      <c r="L410" s="297"/>
      <c r="M410" s="297"/>
      <c r="N410" s="297"/>
      <c r="O410" s="298"/>
      <c r="P410" s="298"/>
      <c r="Q410" s="297"/>
      <c r="R410" s="297">
        <v>0.0</v>
      </c>
      <c r="S410" s="297"/>
      <c r="T410" s="297" t="s">
        <v>719</v>
      </c>
    </row>
    <row r="411">
      <c r="B411" s="291"/>
      <c r="C411" s="291"/>
      <c r="D411" s="181"/>
      <c r="E411" s="292"/>
      <c r="F411" s="292"/>
      <c r="G411" s="293"/>
      <c r="H411" s="294"/>
      <c r="I411" s="295"/>
      <c r="J411" s="296"/>
      <c r="K411" s="297"/>
      <c r="L411" s="297"/>
      <c r="M411" s="297"/>
      <c r="N411" s="297"/>
      <c r="O411" s="298"/>
      <c r="P411" s="298"/>
      <c r="Q411" s="297"/>
      <c r="R411" s="297">
        <v>0.0</v>
      </c>
      <c r="S411" s="297"/>
      <c r="T411" s="297" t="s">
        <v>719</v>
      </c>
    </row>
    <row r="412">
      <c r="B412" s="291"/>
      <c r="C412" s="291"/>
      <c r="D412" s="181"/>
      <c r="E412" s="292"/>
      <c r="F412" s="292"/>
      <c r="G412" s="293"/>
      <c r="H412" s="294"/>
      <c r="I412" s="295"/>
      <c r="J412" s="296"/>
      <c r="K412" s="297"/>
      <c r="L412" s="297"/>
      <c r="M412" s="297"/>
      <c r="N412" s="297"/>
      <c r="O412" s="298"/>
      <c r="P412" s="298"/>
      <c r="Q412" s="297"/>
      <c r="R412" s="297">
        <v>0.0</v>
      </c>
      <c r="S412" s="297"/>
      <c r="T412" s="297" t="s">
        <v>719</v>
      </c>
    </row>
    <row r="413">
      <c r="B413" s="291"/>
      <c r="C413" s="291"/>
      <c r="D413" s="181"/>
      <c r="E413" s="292"/>
      <c r="F413" s="292"/>
      <c r="G413" s="293"/>
      <c r="H413" s="294"/>
      <c r="I413" s="295"/>
      <c r="J413" s="296"/>
      <c r="K413" s="297"/>
      <c r="L413" s="297"/>
      <c r="M413" s="297"/>
      <c r="N413" s="297"/>
      <c r="O413" s="298"/>
      <c r="P413" s="298"/>
      <c r="Q413" s="297"/>
      <c r="R413" s="297">
        <v>0.0</v>
      </c>
      <c r="S413" s="297"/>
      <c r="T413" s="297" t="s">
        <v>719</v>
      </c>
    </row>
    <row r="414">
      <c r="B414" s="291"/>
      <c r="C414" s="291"/>
      <c r="D414" s="181"/>
      <c r="E414" s="292"/>
      <c r="F414" s="292"/>
      <c r="G414" s="293"/>
      <c r="H414" s="294"/>
      <c r="I414" s="295"/>
      <c r="J414" s="296"/>
      <c r="K414" s="297"/>
      <c r="L414" s="297"/>
      <c r="M414" s="297"/>
      <c r="N414" s="297"/>
      <c r="O414" s="298"/>
      <c r="P414" s="298"/>
      <c r="Q414" s="297"/>
      <c r="R414" s="297">
        <v>0.0</v>
      </c>
      <c r="S414" s="297"/>
      <c r="T414" s="297" t="s">
        <v>719</v>
      </c>
    </row>
    <row r="415">
      <c r="B415" s="291"/>
      <c r="C415" s="291"/>
      <c r="D415" s="181"/>
      <c r="E415" s="292"/>
      <c r="F415" s="292"/>
      <c r="G415" s="293"/>
      <c r="H415" s="294"/>
      <c r="I415" s="295"/>
      <c r="J415" s="296"/>
      <c r="K415" s="297"/>
      <c r="L415" s="297"/>
      <c r="M415" s="297"/>
      <c r="N415" s="297"/>
      <c r="O415" s="298"/>
      <c r="P415" s="298"/>
      <c r="Q415" s="297"/>
      <c r="R415" s="297">
        <v>0.0</v>
      </c>
      <c r="S415" s="297"/>
      <c r="T415" s="297" t="s">
        <v>719</v>
      </c>
    </row>
    <row r="416">
      <c r="B416" s="291"/>
      <c r="C416" s="291"/>
      <c r="D416" s="181"/>
      <c r="E416" s="292"/>
      <c r="F416" s="292"/>
      <c r="G416" s="293"/>
      <c r="H416" s="294"/>
      <c r="I416" s="295"/>
      <c r="J416" s="296"/>
      <c r="K416" s="297"/>
      <c r="L416" s="297"/>
      <c r="M416" s="297"/>
      <c r="N416" s="297"/>
      <c r="O416" s="298"/>
      <c r="P416" s="298"/>
      <c r="Q416" s="297"/>
      <c r="R416" s="297">
        <v>0.0</v>
      </c>
      <c r="S416" s="297"/>
      <c r="T416" s="297" t="s">
        <v>719</v>
      </c>
    </row>
    <row r="417">
      <c r="B417" s="291"/>
      <c r="C417" s="291"/>
      <c r="D417" s="181"/>
      <c r="E417" s="292"/>
      <c r="F417" s="292"/>
      <c r="G417" s="293"/>
      <c r="H417" s="294"/>
      <c r="I417" s="295"/>
      <c r="J417" s="296"/>
      <c r="K417" s="297"/>
      <c r="L417" s="297"/>
      <c r="M417" s="297"/>
      <c r="N417" s="297"/>
      <c r="O417" s="298"/>
      <c r="P417" s="298"/>
      <c r="Q417" s="297"/>
      <c r="R417" s="297">
        <v>0.0</v>
      </c>
      <c r="S417" s="297"/>
      <c r="T417" s="297" t="s">
        <v>719</v>
      </c>
    </row>
    <row r="418">
      <c r="B418" s="291"/>
      <c r="C418" s="291"/>
      <c r="D418" s="181"/>
      <c r="E418" s="292"/>
      <c r="F418" s="292"/>
      <c r="G418" s="293"/>
      <c r="H418" s="294"/>
      <c r="I418" s="295"/>
      <c r="J418" s="296"/>
      <c r="K418" s="297"/>
      <c r="L418" s="297"/>
      <c r="M418" s="297"/>
      <c r="N418" s="297"/>
      <c r="O418" s="298"/>
      <c r="P418" s="298"/>
      <c r="Q418" s="297"/>
      <c r="R418" s="297">
        <v>0.0</v>
      </c>
      <c r="S418" s="297"/>
      <c r="T418" s="297" t="s">
        <v>719</v>
      </c>
    </row>
    <row r="419">
      <c r="B419" s="291"/>
      <c r="C419" s="291"/>
      <c r="D419" s="181"/>
      <c r="E419" s="292"/>
      <c r="F419" s="292"/>
      <c r="G419" s="293"/>
      <c r="H419" s="294"/>
      <c r="I419" s="295"/>
      <c r="J419" s="296"/>
      <c r="K419" s="297"/>
      <c r="L419" s="297"/>
      <c r="M419" s="297"/>
      <c r="N419" s="297"/>
      <c r="O419" s="298"/>
      <c r="P419" s="298"/>
      <c r="Q419" s="297"/>
      <c r="R419" s="297">
        <v>0.0</v>
      </c>
      <c r="S419" s="297"/>
      <c r="T419" s="297" t="s">
        <v>719</v>
      </c>
    </row>
    <row r="420">
      <c r="B420" s="291"/>
      <c r="C420" s="291"/>
      <c r="D420" s="181"/>
      <c r="E420" s="292"/>
      <c r="F420" s="292"/>
      <c r="G420" s="293"/>
      <c r="H420" s="294"/>
      <c r="I420" s="295"/>
      <c r="J420" s="296"/>
      <c r="K420" s="297"/>
      <c r="L420" s="297"/>
      <c r="M420" s="297"/>
      <c r="N420" s="297"/>
      <c r="O420" s="298"/>
      <c r="P420" s="298"/>
      <c r="Q420" s="297"/>
      <c r="R420" s="297">
        <v>0.0</v>
      </c>
      <c r="S420" s="297"/>
      <c r="T420" s="297" t="s">
        <v>719</v>
      </c>
    </row>
    <row r="421">
      <c r="B421" s="291"/>
      <c r="C421" s="291"/>
      <c r="D421" s="181"/>
      <c r="E421" s="292"/>
      <c r="F421" s="292"/>
      <c r="G421" s="293"/>
      <c r="H421" s="294"/>
      <c r="I421" s="295"/>
      <c r="J421" s="296"/>
      <c r="K421" s="297"/>
      <c r="L421" s="297"/>
      <c r="M421" s="297"/>
      <c r="N421" s="297"/>
      <c r="O421" s="298"/>
      <c r="P421" s="298"/>
      <c r="Q421" s="297"/>
      <c r="R421" s="297">
        <v>0.0</v>
      </c>
      <c r="S421" s="297"/>
      <c r="T421" s="297" t="s">
        <v>719</v>
      </c>
    </row>
    <row r="422">
      <c r="B422" s="291"/>
      <c r="C422" s="291"/>
      <c r="D422" s="181"/>
      <c r="E422" s="292"/>
      <c r="F422" s="292"/>
      <c r="G422" s="293"/>
      <c r="H422" s="294"/>
      <c r="I422" s="295"/>
      <c r="J422" s="296"/>
      <c r="K422" s="297"/>
      <c r="L422" s="297"/>
      <c r="M422" s="297"/>
      <c r="N422" s="297"/>
      <c r="O422" s="298"/>
      <c r="P422" s="298"/>
      <c r="Q422" s="297"/>
      <c r="R422" s="297">
        <v>0.0</v>
      </c>
      <c r="S422" s="297"/>
      <c r="T422" s="297" t="s">
        <v>719</v>
      </c>
    </row>
    <row r="423">
      <c r="B423" s="291"/>
      <c r="C423" s="291"/>
      <c r="D423" s="181"/>
      <c r="E423" s="292"/>
      <c r="F423" s="292"/>
      <c r="G423" s="293"/>
      <c r="H423" s="294"/>
      <c r="I423" s="295"/>
      <c r="J423" s="296"/>
      <c r="K423" s="297"/>
      <c r="L423" s="297"/>
      <c r="M423" s="297"/>
      <c r="N423" s="297"/>
      <c r="O423" s="298"/>
      <c r="P423" s="298"/>
      <c r="Q423" s="297"/>
      <c r="R423" s="297">
        <v>0.0</v>
      </c>
      <c r="S423" s="297"/>
      <c r="T423" s="297" t="s">
        <v>719</v>
      </c>
    </row>
    <row r="424">
      <c r="B424" s="291"/>
      <c r="C424" s="291"/>
      <c r="D424" s="181"/>
      <c r="E424" s="292"/>
      <c r="F424" s="292"/>
      <c r="G424" s="293"/>
      <c r="H424" s="294"/>
      <c r="I424" s="295"/>
      <c r="J424" s="296"/>
      <c r="K424" s="297"/>
      <c r="L424" s="297"/>
      <c r="M424" s="297"/>
      <c r="N424" s="297"/>
      <c r="O424" s="298"/>
      <c r="P424" s="298"/>
      <c r="Q424" s="297"/>
      <c r="R424" s="297">
        <v>0.0</v>
      </c>
      <c r="S424" s="297"/>
      <c r="T424" s="297" t="s">
        <v>719</v>
      </c>
    </row>
    <row r="425">
      <c r="B425" s="291"/>
      <c r="C425" s="291"/>
      <c r="D425" s="181"/>
      <c r="E425" s="292"/>
      <c r="F425" s="292"/>
      <c r="G425" s="293"/>
      <c r="H425" s="294"/>
      <c r="I425" s="295"/>
      <c r="J425" s="296"/>
      <c r="K425" s="297"/>
      <c r="L425" s="297"/>
      <c r="M425" s="297"/>
      <c r="N425" s="297"/>
      <c r="O425" s="298"/>
      <c r="P425" s="298"/>
      <c r="Q425" s="297"/>
      <c r="R425" s="297">
        <v>0.0</v>
      </c>
      <c r="S425" s="297"/>
      <c r="T425" s="297" t="s">
        <v>719</v>
      </c>
    </row>
    <row r="426">
      <c r="B426" s="291"/>
      <c r="C426" s="291"/>
      <c r="D426" s="181"/>
      <c r="E426" s="292"/>
      <c r="F426" s="292"/>
      <c r="G426" s="293"/>
      <c r="H426" s="294"/>
      <c r="I426" s="295"/>
      <c r="J426" s="296"/>
      <c r="K426" s="297"/>
      <c r="L426" s="297"/>
      <c r="M426" s="297"/>
      <c r="N426" s="297"/>
      <c r="O426" s="298"/>
      <c r="P426" s="298"/>
      <c r="Q426" s="297"/>
      <c r="R426" s="297">
        <v>0.0</v>
      </c>
      <c r="S426" s="297"/>
      <c r="T426" s="297" t="s">
        <v>719</v>
      </c>
    </row>
    <row r="427">
      <c r="B427" s="291"/>
      <c r="C427" s="291"/>
      <c r="D427" s="181"/>
      <c r="E427" s="292"/>
      <c r="F427" s="292"/>
      <c r="G427" s="293"/>
      <c r="H427" s="294"/>
      <c r="I427" s="295"/>
      <c r="J427" s="296"/>
      <c r="K427" s="297"/>
      <c r="L427" s="297"/>
      <c r="M427" s="297"/>
      <c r="N427" s="297"/>
      <c r="O427" s="298"/>
      <c r="P427" s="298"/>
      <c r="Q427" s="297"/>
      <c r="R427" s="297">
        <v>0.0</v>
      </c>
      <c r="S427" s="297"/>
      <c r="T427" s="297" t="s">
        <v>719</v>
      </c>
    </row>
    <row r="428">
      <c r="B428" s="291"/>
      <c r="C428" s="291"/>
      <c r="D428" s="181"/>
      <c r="E428" s="292"/>
      <c r="F428" s="292"/>
      <c r="G428" s="293"/>
      <c r="H428" s="294"/>
      <c r="I428" s="295"/>
      <c r="J428" s="296"/>
      <c r="K428" s="297"/>
      <c r="L428" s="297"/>
      <c r="M428" s="297"/>
      <c r="N428" s="297"/>
      <c r="O428" s="298"/>
      <c r="P428" s="298"/>
      <c r="Q428" s="297"/>
      <c r="R428" s="297">
        <v>0.0</v>
      </c>
      <c r="S428" s="297"/>
      <c r="T428" s="297" t="s">
        <v>719</v>
      </c>
    </row>
    <row r="429">
      <c r="B429" s="291"/>
      <c r="C429" s="291"/>
      <c r="D429" s="181"/>
      <c r="E429" s="292"/>
      <c r="F429" s="292"/>
      <c r="G429" s="293"/>
      <c r="H429" s="294"/>
      <c r="I429" s="295"/>
      <c r="J429" s="296"/>
      <c r="K429" s="297"/>
      <c r="L429" s="297"/>
      <c r="M429" s="297"/>
      <c r="N429" s="297"/>
      <c r="O429" s="298"/>
      <c r="P429" s="298"/>
      <c r="Q429" s="297"/>
      <c r="R429" s="297">
        <v>0.0</v>
      </c>
      <c r="S429" s="297"/>
      <c r="T429" s="297" t="s">
        <v>719</v>
      </c>
    </row>
    <row r="430">
      <c r="B430" s="291"/>
      <c r="C430" s="291"/>
      <c r="D430" s="181"/>
      <c r="E430" s="292"/>
      <c r="F430" s="292"/>
      <c r="G430" s="293"/>
      <c r="H430" s="294"/>
      <c r="I430" s="295"/>
      <c r="J430" s="296"/>
      <c r="K430" s="297"/>
      <c r="L430" s="297"/>
      <c r="M430" s="297"/>
      <c r="N430" s="297"/>
      <c r="O430" s="298"/>
      <c r="P430" s="298"/>
      <c r="Q430" s="297"/>
      <c r="R430" s="297">
        <v>0.0</v>
      </c>
      <c r="S430" s="297"/>
      <c r="T430" s="297" t="s">
        <v>719</v>
      </c>
    </row>
    <row r="431">
      <c r="B431" s="291"/>
      <c r="C431" s="291"/>
      <c r="D431" s="181"/>
      <c r="E431" s="292"/>
      <c r="F431" s="292"/>
      <c r="G431" s="293"/>
      <c r="H431" s="294"/>
      <c r="I431" s="295"/>
      <c r="J431" s="296"/>
      <c r="K431" s="297"/>
      <c r="L431" s="297"/>
      <c r="M431" s="297"/>
      <c r="N431" s="297"/>
      <c r="O431" s="298"/>
      <c r="P431" s="298"/>
      <c r="Q431" s="297"/>
      <c r="R431" s="297">
        <v>0.0</v>
      </c>
      <c r="S431" s="297"/>
      <c r="T431" s="297" t="s">
        <v>719</v>
      </c>
    </row>
    <row r="432">
      <c r="B432" s="291"/>
      <c r="C432" s="291"/>
      <c r="D432" s="181"/>
      <c r="E432" s="292"/>
      <c r="F432" s="292"/>
      <c r="G432" s="293"/>
      <c r="H432" s="294"/>
      <c r="I432" s="295"/>
      <c r="J432" s="296"/>
      <c r="K432" s="297"/>
      <c r="L432" s="297"/>
      <c r="M432" s="297"/>
      <c r="N432" s="297"/>
      <c r="O432" s="298"/>
      <c r="P432" s="298"/>
      <c r="Q432" s="297"/>
      <c r="R432" s="297">
        <v>0.0</v>
      </c>
      <c r="S432" s="297"/>
      <c r="T432" s="297" t="s">
        <v>719</v>
      </c>
    </row>
    <row r="433">
      <c r="B433" s="291"/>
      <c r="C433" s="291"/>
      <c r="D433" s="181"/>
      <c r="E433" s="292"/>
      <c r="F433" s="292"/>
      <c r="G433" s="293"/>
      <c r="H433" s="294"/>
      <c r="I433" s="295"/>
      <c r="J433" s="296"/>
      <c r="K433" s="297"/>
      <c r="L433" s="297"/>
      <c r="M433" s="297"/>
      <c r="N433" s="297"/>
      <c r="O433" s="298"/>
      <c r="P433" s="298"/>
      <c r="Q433" s="297"/>
      <c r="R433" s="297">
        <v>0.0</v>
      </c>
      <c r="S433" s="297"/>
      <c r="T433" s="297" t="s">
        <v>719</v>
      </c>
    </row>
    <row r="434">
      <c r="B434" s="291"/>
      <c r="C434" s="291"/>
      <c r="D434" s="181"/>
      <c r="E434" s="292"/>
      <c r="F434" s="292"/>
      <c r="G434" s="293"/>
      <c r="H434" s="294"/>
      <c r="I434" s="295"/>
      <c r="J434" s="296"/>
      <c r="K434" s="297"/>
      <c r="L434" s="297"/>
      <c r="M434" s="297"/>
      <c r="N434" s="297"/>
      <c r="O434" s="298"/>
      <c r="P434" s="298"/>
      <c r="Q434" s="297"/>
      <c r="R434" s="297">
        <v>0.0</v>
      </c>
      <c r="S434" s="297"/>
      <c r="T434" s="297" t="s">
        <v>719</v>
      </c>
    </row>
    <row r="435">
      <c r="B435" s="291"/>
      <c r="C435" s="291"/>
      <c r="D435" s="181"/>
      <c r="E435" s="292"/>
      <c r="F435" s="292"/>
      <c r="G435" s="293"/>
      <c r="H435" s="294"/>
      <c r="I435" s="295"/>
      <c r="J435" s="296"/>
      <c r="K435" s="297"/>
      <c r="L435" s="297"/>
      <c r="M435" s="297"/>
      <c r="N435" s="297"/>
      <c r="O435" s="298"/>
      <c r="P435" s="298"/>
      <c r="Q435" s="297"/>
      <c r="R435" s="297">
        <v>0.0</v>
      </c>
      <c r="S435" s="297"/>
      <c r="T435" s="297" t="s">
        <v>719</v>
      </c>
    </row>
    <row r="436">
      <c r="B436" s="291"/>
      <c r="C436" s="291"/>
      <c r="D436" s="181"/>
      <c r="E436" s="292"/>
      <c r="F436" s="292"/>
      <c r="G436" s="293"/>
      <c r="H436" s="294"/>
      <c r="I436" s="295"/>
      <c r="J436" s="296"/>
      <c r="K436" s="297"/>
      <c r="L436" s="297"/>
      <c r="M436" s="297"/>
      <c r="N436" s="297"/>
      <c r="O436" s="298"/>
      <c r="P436" s="298"/>
      <c r="Q436" s="297"/>
      <c r="R436" s="297">
        <v>0.0</v>
      </c>
      <c r="S436" s="297"/>
      <c r="T436" s="297" t="s">
        <v>719</v>
      </c>
    </row>
    <row r="437">
      <c r="B437" s="291"/>
      <c r="C437" s="291"/>
      <c r="D437" s="181"/>
      <c r="E437" s="292"/>
      <c r="F437" s="292"/>
      <c r="G437" s="293"/>
      <c r="H437" s="294"/>
      <c r="I437" s="295"/>
      <c r="J437" s="296"/>
      <c r="K437" s="297"/>
      <c r="L437" s="297"/>
      <c r="M437" s="297"/>
      <c r="N437" s="297"/>
      <c r="O437" s="298"/>
      <c r="P437" s="298"/>
      <c r="Q437" s="297"/>
      <c r="R437" s="297">
        <v>0.0</v>
      </c>
      <c r="S437" s="297"/>
      <c r="T437" s="297" t="s">
        <v>719</v>
      </c>
    </row>
    <row r="438">
      <c r="B438" s="291"/>
      <c r="C438" s="291"/>
      <c r="D438" s="181"/>
      <c r="E438" s="292"/>
      <c r="F438" s="292"/>
      <c r="G438" s="293"/>
      <c r="H438" s="294"/>
      <c r="I438" s="295"/>
      <c r="J438" s="296"/>
      <c r="K438" s="297"/>
      <c r="L438" s="297"/>
      <c r="M438" s="297"/>
      <c r="N438" s="297"/>
      <c r="O438" s="298"/>
      <c r="P438" s="298"/>
      <c r="Q438" s="297"/>
      <c r="R438" s="297">
        <v>0.0</v>
      </c>
      <c r="S438" s="297"/>
      <c r="T438" s="297" t="s">
        <v>719</v>
      </c>
    </row>
    <row r="439">
      <c r="B439" s="291"/>
      <c r="C439" s="291"/>
      <c r="D439" s="181"/>
      <c r="E439" s="292"/>
      <c r="F439" s="292"/>
      <c r="G439" s="293"/>
      <c r="H439" s="294"/>
      <c r="I439" s="295"/>
      <c r="J439" s="296"/>
      <c r="K439" s="297"/>
      <c r="L439" s="297"/>
      <c r="M439" s="297"/>
      <c r="N439" s="297"/>
      <c r="O439" s="298"/>
      <c r="P439" s="298"/>
      <c r="Q439" s="297"/>
      <c r="R439" s="297">
        <v>0.0</v>
      </c>
      <c r="S439" s="297"/>
      <c r="T439" s="297" t="s">
        <v>719</v>
      </c>
    </row>
    <row r="440">
      <c r="B440" s="291"/>
      <c r="C440" s="291"/>
      <c r="D440" s="181"/>
      <c r="E440" s="292"/>
      <c r="F440" s="292"/>
      <c r="G440" s="293"/>
      <c r="H440" s="294"/>
      <c r="I440" s="295"/>
      <c r="J440" s="296"/>
      <c r="K440" s="297"/>
      <c r="L440" s="297"/>
      <c r="M440" s="297"/>
      <c r="N440" s="297"/>
      <c r="O440" s="298"/>
      <c r="P440" s="298"/>
      <c r="Q440" s="297"/>
      <c r="R440" s="297">
        <v>0.0</v>
      </c>
      <c r="S440" s="297"/>
      <c r="T440" s="297" t="s">
        <v>719</v>
      </c>
    </row>
    <row r="441">
      <c r="B441" s="291"/>
      <c r="C441" s="291"/>
      <c r="D441" s="181"/>
      <c r="E441" s="292"/>
      <c r="F441" s="292"/>
      <c r="G441" s="293"/>
      <c r="H441" s="294"/>
      <c r="I441" s="295"/>
      <c r="J441" s="296"/>
      <c r="K441" s="297"/>
      <c r="L441" s="297"/>
      <c r="M441" s="297"/>
      <c r="N441" s="297"/>
      <c r="O441" s="298"/>
      <c r="P441" s="298"/>
      <c r="Q441" s="297"/>
      <c r="R441" s="297">
        <v>0.0</v>
      </c>
      <c r="S441" s="297"/>
      <c r="T441" s="297" t="s">
        <v>719</v>
      </c>
    </row>
    <row r="442">
      <c r="B442" s="291"/>
      <c r="C442" s="291"/>
      <c r="D442" s="181"/>
      <c r="E442" s="292"/>
      <c r="F442" s="292"/>
      <c r="G442" s="293"/>
      <c r="H442" s="294"/>
      <c r="I442" s="295"/>
      <c r="J442" s="296"/>
      <c r="K442" s="297"/>
      <c r="L442" s="297"/>
      <c r="M442" s="297"/>
      <c r="N442" s="297"/>
      <c r="O442" s="298"/>
      <c r="P442" s="298"/>
      <c r="Q442" s="297"/>
      <c r="R442" s="297">
        <v>0.0</v>
      </c>
      <c r="S442" s="297"/>
      <c r="T442" s="297" t="s">
        <v>719</v>
      </c>
    </row>
    <row r="443">
      <c r="B443" s="291"/>
      <c r="C443" s="291"/>
      <c r="D443" s="181"/>
      <c r="E443" s="292"/>
      <c r="F443" s="292"/>
      <c r="G443" s="293"/>
      <c r="H443" s="294"/>
      <c r="I443" s="295"/>
      <c r="J443" s="296"/>
      <c r="K443" s="297"/>
      <c r="L443" s="297"/>
      <c r="M443" s="297"/>
      <c r="N443" s="297"/>
      <c r="O443" s="298"/>
      <c r="P443" s="298"/>
      <c r="Q443" s="297"/>
      <c r="R443" s="297">
        <v>0.0</v>
      </c>
      <c r="S443" s="297"/>
      <c r="T443" s="297" t="s">
        <v>719</v>
      </c>
    </row>
    <row r="444">
      <c r="B444" s="291"/>
      <c r="C444" s="291"/>
      <c r="D444" s="181"/>
      <c r="E444" s="292"/>
      <c r="F444" s="292"/>
      <c r="G444" s="293"/>
      <c r="H444" s="294"/>
      <c r="I444" s="295"/>
      <c r="J444" s="296"/>
      <c r="K444" s="297"/>
      <c r="L444" s="297"/>
      <c r="M444" s="297"/>
      <c r="N444" s="297"/>
      <c r="O444" s="298"/>
      <c r="P444" s="298"/>
      <c r="Q444" s="297"/>
      <c r="R444" s="297">
        <v>0.0</v>
      </c>
      <c r="S444" s="297"/>
      <c r="T444" s="297" t="s">
        <v>719</v>
      </c>
    </row>
    <row r="445">
      <c r="B445" s="291"/>
      <c r="C445" s="291"/>
      <c r="D445" s="181"/>
      <c r="E445" s="292"/>
      <c r="F445" s="292"/>
      <c r="G445" s="293"/>
      <c r="H445" s="294"/>
      <c r="I445" s="295"/>
      <c r="J445" s="296"/>
      <c r="K445" s="297"/>
      <c r="L445" s="297"/>
      <c r="M445" s="297"/>
      <c r="N445" s="297"/>
      <c r="O445" s="298"/>
      <c r="P445" s="298"/>
      <c r="Q445" s="297"/>
      <c r="R445" s="297">
        <v>0.0</v>
      </c>
      <c r="S445" s="297"/>
      <c r="T445" s="297" t="s">
        <v>719</v>
      </c>
    </row>
    <row r="446">
      <c r="B446" s="291"/>
      <c r="C446" s="291"/>
      <c r="D446" s="181"/>
      <c r="E446" s="292"/>
      <c r="F446" s="292"/>
      <c r="G446" s="293"/>
      <c r="H446" s="294"/>
      <c r="I446" s="295"/>
      <c r="J446" s="296"/>
      <c r="K446" s="297"/>
      <c r="L446" s="297"/>
      <c r="M446" s="297"/>
      <c r="N446" s="297"/>
      <c r="O446" s="298"/>
      <c r="P446" s="298"/>
      <c r="Q446" s="297"/>
      <c r="R446" s="297">
        <v>0.0</v>
      </c>
      <c r="S446" s="297"/>
      <c r="T446" s="297" t="s">
        <v>719</v>
      </c>
    </row>
    <row r="447">
      <c r="B447" s="291"/>
      <c r="C447" s="291"/>
      <c r="D447" s="181"/>
      <c r="E447" s="292"/>
      <c r="F447" s="292"/>
      <c r="G447" s="293"/>
      <c r="H447" s="294"/>
      <c r="I447" s="295"/>
      <c r="J447" s="296"/>
      <c r="K447" s="297"/>
      <c r="L447" s="297"/>
      <c r="M447" s="297"/>
      <c r="N447" s="297"/>
      <c r="O447" s="298"/>
      <c r="P447" s="298"/>
      <c r="Q447" s="297"/>
      <c r="R447" s="297">
        <v>0.0</v>
      </c>
      <c r="S447" s="297"/>
      <c r="T447" s="297" t="s">
        <v>719</v>
      </c>
    </row>
    <row r="448">
      <c r="B448" s="291"/>
      <c r="C448" s="291"/>
      <c r="D448" s="181"/>
      <c r="E448" s="292"/>
      <c r="F448" s="292"/>
      <c r="G448" s="293"/>
      <c r="H448" s="294"/>
      <c r="I448" s="295"/>
      <c r="J448" s="296"/>
      <c r="K448" s="297"/>
      <c r="L448" s="297"/>
      <c r="M448" s="297"/>
      <c r="N448" s="297"/>
      <c r="O448" s="298"/>
      <c r="P448" s="298"/>
      <c r="Q448" s="297"/>
      <c r="R448" s="297">
        <v>0.0</v>
      </c>
      <c r="S448" s="297"/>
      <c r="T448" s="297" t="s">
        <v>719</v>
      </c>
    </row>
    <row r="449">
      <c r="B449" s="291"/>
      <c r="C449" s="291"/>
      <c r="D449" s="181"/>
      <c r="E449" s="292"/>
      <c r="F449" s="292"/>
      <c r="G449" s="293"/>
      <c r="H449" s="294"/>
      <c r="I449" s="295"/>
      <c r="J449" s="296"/>
      <c r="K449" s="297"/>
      <c r="L449" s="297"/>
      <c r="M449" s="297"/>
      <c r="N449" s="297"/>
      <c r="O449" s="298"/>
      <c r="P449" s="298"/>
      <c r="Q449" s="297"/>
      <c r="R449" s="297">
        <v>0.0</v>
      </c>
      <c r="S449" s="297"/>
      <c r="T449" s="297" t="s">
        <v>719</v>
      </c>
    </row>
    <row r="450">
      <c r="B450" s="291"/>
      <c r="C450" s="291"/>
      <c r="D450" s="181"/>
      <c r="E450" s="292"/>
      <c r="F450" s="292"/>
      <c r="G450" s="293"/>
      <c r="H450" s="294"/>
      <c r="I450" s="295"/>
      <c r="J450" s="296"/>
      <c r="K450" s="297"/>
      <c r="L450" s="297"/>
      <c r="M450" s="297"/>
      <c r="N450" s="297"/>
      <c r="O450" s="298"/>
      <c r="P450" s="298"/>
      <c r="Q450" s="297"/>
      <c r="R450" s="297">
        <v>0.0</v>
      </c>
      <c r="S450" s="297"/>
      <c r="T450" s="297" t="s">
        <v>719</v>
      </c>
    </row>
    <row r="451">
      <c r="B451" s="291"/>
      <c r="C451" s="291"/>
      <c r="D451" s="181"/>
      <c r="E451" s="292"/>
      <c r="F451" s="292"/>
      <c r="G451" s="293"/>
      <c r="H451" s="294"/>
      <c r="I451" s="295"/>
      <c r="J451" s="296"/>
      <c r="K451" s="297"/>
      <c r="L451" s="297"/>
      <c r="M451" s="297"/>
      <c r="N451" s="297"/>
      <c r="O451" s="298"/>
      <c r="P451" s="298"/>
      <c r="Q451" s="297"/>
      <c r="R451" s="297">
        <v>0.0</v>
      </c>
      <c r="S451" s="297"/>
      <c r="T451" s="297" t="s">
        <v>719</v>
      </c>
    </row>
    <row r="452">
      <c r="B452" s="291"/>
      <c r="C452" s="291"/>
      <c r="D452" s="181"/>
      <c r="E452" s="292"/>
      <c r="F452" s="292"/>
      <c r="G452" s="293"/>
      <c r="H452" s="294"/>
      <c r="I452" s="295"/>
      <c r="J452" s="296"/>
      <c r="K452" s="297"/>
      <c r="L452" s="297"/>
      <c r="M452" s="297"/>
      <c r="N452" s="297"/>
      <c r="O452" s="298"/>
      <c r="P452" s="298"/>
      <c r="Q452" s="297"/>
      <c r="R452" s="297">
        <v>0.0</v>
      </c>
      <c r="S452" s="297"/>
      <c r="T452" s="297" t="s">
        <v>719</v>
      </c>
    </row>
    <row r="453">
      <c r="B453" s="291"/>
      <c r="C453" s="291"/>
      <c r="D453" s="181"/>
      <c r="E453" s="292"/>
      <c r="F453" s="292"/>
      <c r="G453" s="293"/>
      <c r="H453" s="294"/>
      <c r="I453" s="295"/>
      <c r="J453" s="296"/>
      <c r="K453" s="297"/>
      <c r="L453" s="297"/>
      <c r="M453" s="297"/>
      <c r="N453" s="297"/>
      <c r="O453" s="298"/>
      <c r="P453" s="298"/>
      <c r="Q453" s="297"/>
      <c r="R453" s="297">
        <v>0.0</v>
      </c>
      <c r="S453" s="297"/>
      <c r="T453" s="297" t="s">
        <v>719</v>
      </c>
    </row>
    <row r="454">
      <c r="B454" s="291"/>
      <c r="C454" s="291"/>
      <c r="D454" s="181"/>
      <c r="E454" s="292"/>
      <c r="F454" s="292"/>
      <c r="G454" s="293"/>
      <c r="H454" s="294"/>
      <c r="I454" s="295"/>
      <c r="J454" s="296"/>
      <c r="K454" s="297"/>
      <c r="L454" s="297"/>
      <c r="M454" s="297"/>
      <c r="N454" s="297"/>
      <c r="O454" s="298"/>
      <c r="P454" s="298"/>
      <c r="Q454" s="297"/>
      <c r="R454" s="297">
        <v>0.0</v>
      </c>
      <c r="S454" s="297"/>
      <c r="T454" s="297" t="s">
        <v>719</v>
      </c>
    </row>
    <row r="455">
      <c r="B455" s="291"/>
      <c r="C455" s="291"/>
      <c r="D455" s="181"/>
      <c r="E455" s="292"/>
      <c r="F455" s="292"/>
      <c r="G455" s="293"/>
      <c r="H455" s="294"/>
      <c r="I455" s="295"/>
      <c r="J455" s="296"/>
      <c r="K455" s="297"/>
      <c r="L455" s="297"/>
      <c r="M455" s="297"/>
      <c r="N455" s="297"/>
      <c r="O455" s="298"/>
      <c r="P455" s="298"/>
      <c r="Q455" s="297"/>
      <c r="R455" s="297">
        <v>0.0</v>
      </c>
      <c r="S455" s="297"/>
      <c r="T455" s="297" t="s">
        <v>719</v>
      </c>
    </row>
    <row r="456">
      <c r="B456" s="291"/>
      <c r="C456" s="291"/>
      <c r="D456" s="181"/>
      <c r="E456" s="292"/>
      <c r="F456" s="292"/>
      <c r="G456" s="293"/>
      <c r="H456" s="294"/>
      <c r="I456" s="295"/>
      <c r="J456" s="296"/>
      <c r="K456" s="297"/>
      <c r="L456" s="297"/>
      <c r="M456" s="297"/>
      <c r="N456" s="297"/>
      <c r="O456" s="298"/>
      <c r="P456" s="298"/>
      <c r="Q456" s="297"/>
      <c r="R456" s="297">
        <v>0.0</v>
      </c>
      <c r="S456" s="297"/>
      <c r="T456" s="297" t="s">
        <v>719</v>
      </c>
    </row>
    <row r="457">
      <c r="B457" s="291"/>
      <c r="C457" s="291"/>
      <c r="D457" s="181"/>
      <c r="E457" s="292"/>
      <c r="F457" s="292"/>
      <c r="G457" s="293"/>
      <c r="H457" s="294"/>
      <c r="I457" s="295"/>
      <c r="J457" s="296"/>
      <c r="K457" s="297"/>
      <c r="L457" s="297"/>
      <c r="M457" s="297"/>
      <c r="N457" s="297"/>
      <c r="O457" s="298"/>
      <c r="P457" s="298"/>
      <c r="Q457" s="297"/>
      <c r="R457" s="297">
        <v>0.0</v>
      </c>
      <c r="S457" s="297"/>
      <c r="T457" s="297" t="s">
        <v>719</v>
      </c>
    </row>
    <row r="458">
      <c r="B458" s="291"/>
      <c r="C458" s="291"/>
      <c r="D458" s="181"/>
      <c r="E458" s="292"/>
      <c r="F458" s="292"/>
      <c r="G458" s="293"/>
      <c r="H458" s="294"/>
      <c r="I458" s="295"/>
      <c r="J458" s="296"/>
      <c r="K458" s="297"/>
      <c r="L458" s="297"/>
      <c r="M458" s="297"/>
      <c r="N458" s="297"/>
      <c r="O458" s="298"/>
      <c r="P458" s="298"/>
      <c r="Q458" s="297"/>
      <c r="R458" s="297">
        <v>0.0</v>
      </c>
      <c r="S458" s="297"/>
      <c r="T458" s="297" t="s">
        <v>719</v>
      </c>
    </row>
    <row r="459">
      <c r="B459" s="291"/>
      <c r="C459" s="291"/>
      <c r="D459" s="181"/>
      <c r="E459" s="292"/>
      <c r="F459" s="292"/>
      <c r="G459" s="293"/>
      <c r="H459" s="294"/>
      <c r="I459" s="295"/>
      <c r="J459" s="296"/>
      <c r="K459" s="297"/>
      <c r="L459" s="297"/>
      <c r="M459" s="297"/>
      <c r="N459" s="297"/>
      <c r="O459" s="298"/>
      <c r="P459" s="298"/>
      <c r="Q459" s="297"/>
      <c r="R459" s="297">
        <v>0.0</v>
      </c>
      <c r="S459" s="297"/>
      <c r="T459" s="297" t="s">
        <v>719</v>
      </c>
    </row>
    <row r="460">
      <c r="B460" s="291"/>
      <c r="C460" s="291"/>
      <c r="D460" s="181"/>
      <c r="E460" s="292"/>
      <c r="F460" s="292"/>
      <c r="G460" s="293"/>
      <c r="H460" s="294"/>
      <c r="I460" s="295"/>
      <c r="J460" s="296"/>
      <c r="K460" s="297"/>
      <c r="L460" s="297"/>
      <c r="M460" s="297"/>
      <c r="N460" s="297"/>
      <c r="O460" s="298"/>
      <c r="P460" s="298"/>
      <c r="Q460" s="297"/>
      <c r="R460" s="297">
        <v>0.0</v>
      </c>
      <c r="S460" s="297"/>
      <c r="T460" s="297" t="s">
        <v>719</v>
      </c>
    </row>
    <row r="461">
      <c r="B461" s="291"/>
      <c r="C461" s="291"/>
      <c r="D461" s="181"/>
      <c r="E461" s="292"/>
      <c r="F461" s="292"/>
      <c r="G461" s="293"/>
      <c r="H461" s="294"/>
      <c r="I461" s="295"/>
      <c r="J461" s="296"/>
      <c r="K461" s="297"/>
      <c r="L461" s="297"/>
      <c r="M461" s="297"/>
      <c r="N461" s="297"/>
      <c r="O461" s="298"/>
      <c r="P461" s="298"/>
      <c r="Q461" s="297"/>
      <c r="R461" s="297">
        <v>0.0</v>
      </c>
      <c r="S461" s="297"/>
      <c r="T461" s="297" t="s">
        <v>719</v>
      </c>
    </row>
    <row r="462">
      <c r="B462" s="291"/>
      <c r="C462" s="291"/>
      <c r="D462" s="181"/>
      <c r="E462" s="292"/>
      <c r="F462" s="292"/>
      <c r="G462" s="293"/>
      <c r="H462" s="294"/>
      <c r="I462" s="295"/>
      <c r="J462" s="296"/>
      <c r="K462" s="297"/>
      <c r="L462" s="297"/>
      <c r="M462" s="297"/>
      <c r="N462" s="297"/>
      <c r="O462" s="298"/>
      <c r="P462" s="298"/>
      <c r="Q462" s="297"/>
      <c r="R462" s="297">
        <v>0.0</v>
      </c>
      <c r="S462" s="297"/>
      <c r="T462" s="297" t="s">
        <v>719</v>
      </c>
    </row>
    <row r="463">
      <c r="B463" s="291"/>
      <c r="C463" s="291"/>
      <c r="D463" s="181"/>
      <c r="E463" s="292"/>
      <c r="F463" s="292"/>
      <c r="G463" s="293"/>
      <c r="H463" s="294"/>
      <c r="I463" s="295"/>
      <c r="J463" s="296"/>
      <c r="K463" s="297"/>
      <c r="L463" s="297"/>
      <c r="M463" s="297"/>
      <c r="N463" s="297"/>
      <c r="O463" s="298"/>
      <c r="P463" s="298"/>
      <c r="Q463" s="297"/>
      <c r="R463" s="297">
        <v>0.0</v>
      </c>
      <c r="S463" s="297"/>
      <c r="T463" s="297" t="s">
        <v>719</v>
      </c>
    </row>
    <row r="464">
      <c r="B464" s="291"/>
      <c r="C464" s="291"/>
      <c r="D464" s="181"/>
      <c r="E464" s="292"/>
      <c r="F464" s="292"/>
      <c r="G464" s="293"/>
      <c r="H464" s="294"/>
      <c r="I464" s="295"/>
      <c r="J464" s="296"/>
      <c r="K464" s="297"/>
      <c r="L464" s="297"/>
      <c r="M464" s="297"/>
      <c r="N464" s="297"/>
      <c r="O464" s="298"/>
      <c r="P464" s="298"/>
      <c r="Q464" s="297"/>
      <c r="R464" s="297">
        <v>0.0</v>
      </c>
      <c r="S464" s="297"/>
      <c r="T464" s="297" t="s">
        <v>719</v>
      </c>
    </row>
    <row r="465">
      <c r="B465" s="291"/>
      <c r="C465" s="291"/>
      <c r="D465" s="181"/>
      <c r="E465" s="292"/>
      <c r="F465" s="292"/>
      <c r="G465" s="293"/>
      <c r="H465" s="294"/>
      <c r="I465" s="295"/>
      <c r="J465" s="296"/>
      <c r="K465" s="297"/>
      <c r="L465" s="297"/>
      <c r="M465" s="297"/>
      <c r="N465" s="297"/>
      <c r="O465" s="298"/>
      <c r="P465" s="298"/>
      <c r="Q465" s="297"/>
      <c r="R465" s="297">
        <v>0.0</v>
      </c>
      <c r="S465" s="297"/>
      <c r="T465" s="297" t="s">
        <v>719</v>
      </c>
    </row>
    <row r="466">
      <c r="B466" s="291"/>
      <c r="C466" s="291"/>
      <c r="D466" s="181"/>
      <c r="E466" s="292"/>
      <c r="F466" s="292"/>
      <c r="G466" s="293"/>
      <c r="H466" s="294"/>
      <c r="I466" s="295"/>
      <c r="J466" s="296"/>
      <c r="K466" s="297"/>
      <c r="L466" s="297"/>
      <c r="M466" s="297"/>
      <c r="N466" s="297"/>
      <c r="O466" s="298"/>
      <c r="P466" s="298"/>
      <c r="Q466" s="297"/>
      <c r="R466" s="297">
        <v>0.0</v>
      </c>
      <c r="S466" s="297"/>
      <c r="T466" s="297" t="s">
        <v>719</v>
      </c>
    </row>
    <row r="467">
      <c r="B467" s="291"/>
      <c r="C467" s="291"/>
      <c r="D467" s="181"/>
      <c r="E467" s="292"/>
      <c r="F467" s="292"/>
      <c r="G467" s="293"/>
      <c r="H467" s="294"/>
      <c r="I467" s="295"/>
      <c r="J467" s="296"/>
      <c r="K467" s="297"/>
      <c r="L467" s="297"/>
      <c r="M467" s="297"/>
      <c r="N467" s="297"/>
      <c r="O467" s="298"/>
      <c r="P467" s="298"/>
      <c r="Q467" s="297"/>
      <c r="R467" s="297">
        <v>0.0</v>
      </c>
      <c r="S467" s="297"/>
      <c r="T467" s="297" t="s">
        <v>719</v>
      </c>
    </row>
    <row r="468">
      <c r="B468" s="291"/>
      <c r="C468" s="291"/>
      <c r="D468" s="181"/>
      <c r="E468" s="292"/>
      <c r="F468" s="292"/>
      <c r="G468" s="293"/>
      <c r="H468" s="294"/>
      <c r="I468" s="295"/>
      <c r="J468" s="296"/>
      <c r="K468" s="297"/>
      <c r="L468" s="297"/>
      <c r="M468" s="297"/>
      <c r="N468" s="297"/>
      <c r="O468" s="298"/>
      <c r="P468" s="298"/>
      <c r="Q468" s="297"/>
      <c r="R468" s="297">
        <v>0.0</v>
      </c>
      <c r="S468" s="297"/>
      <c r="T468" s="297" t="s">
        <v>719</v>
      </c>
    </row>
    <row r="469">
      <c r="B469" s="291"/>
      <c r="C469" s="291"/>
      <c r="D469" s="181"/>
      <c r="E469" s="292"/>
      <c r="F469" s="292"/>
      <c r="G469" s="293"/>
      <c r="H469" s="294"/>
      <c r="I469" s="295"/>
      <c r="J469" s="296"/>
      <c r="K469" s="297"/>
      <c r="L469" s="297"/>
      <c r="M469" s="297"/>
      <c r="N469" s="297"/>
      <c r="O469" s="298"/>
      <c r="P469" s="298"/>
      <c r="Q469" s="297"/>
      <c r="R469" s="297">
        <v>0.0</v>
      </c>
      <c r="S469" s="297"/>
      <c r="T469" s="297" t="s">
        <v>719</v>
      </c>
    </row>
    <row r="470">
      <c r="B470" s="291"/>
      <c r="C470" s="291"/>
      <c r="D470" s="181"/>
      <c r="E470" s="292"/>
      <c r="F470" s="292"/>
      <c r="G470" s="293"/>
      <c r="H470" s="294"/>
      <c r="I470" s="295"/>
      <c r="J470" s="296"/>
      <c r="K470" s="297"/>
      <c r="L470" s="297"/>
      <c r="M470" s="297"/>
      <c r="N470" s="297"/>
      <c r="O470" s="298"/>
      <c r="P470" s="298"/>
      <c r="Q470" s="297"/>
      <c r="R470" s="297">
        <v>0.0</v>
      </c>
      <c r="S470" s="297"/>
      <c r="T470" s="297" t="s">
        <v>719</v>
      </c>
    </row>
    <row r="471">
      <c r="B471" s="291"/>
      <c r="C471" s="291"/>
      <c r="D471" s="181"/>
      <c r="E471" s="292"/>
      <c r="F471" s="292"/>
      <c r="G471" s="293"/>
      <c r="H471" s="294"/>
      <c r="I471" s="295"/>
      <c r="J471" s="296"/>
      <c r="K471" s="297"/>
      <c r="L471" s="297"/>
      <c r="M471" s="297"/>
      <c r="N471" s="297"/>
      <c r="O471" s="298"/>
      <c r="P471" s="298"/>
      <c r="Q471" s="297"/>
      <c r="R471" s="297">
        <v>0.0</v>
      </c>
      <c r="S471" s="297"/>
      <c r="T471" s="297" t="s">
        <v>719</v>
      </c>
    </row>
    <row r="472">
      <c r="B472" s="291"/>
      <c r="C472" s="291"/>
      <c r="D472" s="181"/>
      <c r="E472" s="292"/>
      <c r="F472" s="292"/>
      <c r="G472" s="293"/>
      <c r="H472" s="294"/>
      <c r="I472" s="295"/>
      <c r="J472" s="296"/>
      <c r="K472" s="297"/>
      <c r="L472" s="297"/>
      <c r="M472" s="297"/>
      <c r="N472" s="297"/>
      <c r="O472" s="298"/>
      <c r="P472" s="298"/>
      <c r="Q472" s="297"/>
      <c r="R472" s="297">
        <v>0.0</v>
      </c>
      <c r="S472" s="297"/>
      <c r="T472" s="297" t="s">
        <v>719</v>
      </c>
    </row>
    <row r="473">
      <c r="B473" s="291"/>
      <c r="C473" s="291"/>
      <c r="D473" s="181"/>
      <c r="E473" s="292"/>
      <c r="F473" s="292"/>
      <c r="G473" s="293"/>
      <c r="H473" s="294"/>
      <c r="I473" s="295"/>
      <c r="J473" s="296"/>
      <c r="K473" s="297"/>
      <c r="L473" s="297"/>
      <c r="M473" s="297"/>
      <c r="N473" s="297"/>
      <c r="O473" s="298"/>
      <c r="P473" s="298"/>
      <c r="Q473" s="297"/>
      <c r="R473" s="297">
        <v>0.0</v>
      </c>
      <c r="S473" s="297"/>
      <c r="T473" s="297" t="s">
        <v>719</v>
      </c>
    </row>
    <row r="474">
      <c r="B474" s="291"/>
      <c r="C474" s="291"/>
      <c r="D474" s="181"/>
      <c r="E474" s="292"/>
      <c r="F474" s="292"/>
      <c r="G474" s="293"/>
      <c r="H474" s="294"/>
      <c r="I474" s="295"/>
      <c r="J474" s="296"/>
      <c r="K474" s="297"/>
      <c r="L474" s="297"/>
      <c r="M474" s="297"/>
      <c r="N474" s="297"/>
      <c r="O474" s="298"/>
      <c r="P474" s="298"/>
      <c r="Q474" s="297"/>
      <c r="R474" s="297">
        <v>0.0</v>
      </c>
      <c r="S474" s="297"/>
      <c r="T474" s="297" t="s">
        <v>719</v>
      </c>
    </row>
    <row r="475">
      <c r="B475" s="291"/>
      <c r="C475" s="291"/>
      <c r="D475" s="181"/>
      <c r="E475" s="292"/>
      <c r="F475" s="292"/>
      <c r="G475" s="293"/>
      <c r="H475" s="294"/>
      <c r="I475" s="295"/>
      <c r="J475" s="296"/>
      <c r="K475" s="297"/>
      <c r="L475" s="297"/>
      <c r="M475" s="297"/>
      <c r="N475" s="297"/>
      <c r="O475" s="298"/>
      <c r="P475" s="298"/>
      <c r="Q475" s="297"/>
      <c r="R475" s="297">
        <v>0.0</v>
      </c>
      <c r="S475" s="297"/>
      <c r="T475" s="297" t="s">
        <v>719</v>
      </c>
    </row>
    <row r="476">
      <c r="B476" s="291"/>
      <c r="C476" s="291"/>
      <c r="D476" s="181"/>
      <c r="E476" s="292"/>
      <c r="F476" s="292"/>
      <c r="G476" s="293"/>
      <c r="H476" s="294"/>
      <c r="I476" s="295"/>
      <c r="J476" s="296"/>
      <c r="K476" s="297"/>
      <c r="L476" s="297"/>
      <c r="M476" s="297"/>
      <c r="N476" s="297"/>
      <c r="O476" s="298"/>
      <c r="P476" s="298"/>
      <c r="Q476" s="297"/>
      <c r="R476" s="297">
        <v>0.0</v>
      </c>
      <c r="S476" s="297"/>
      <c r="T476" s="297" t="s">
        <v>719</v>
      </c>
    </row>
    <row r="477">
      <c r="B477" s="291"/>
      <c r="C477" s="291"/>
      <c r="D477" s="181"/>
      <c r="E477" s="292"/>
      <c r="F477" s="292"/>
      <c r="G477" s="293"/>
      <c r="H477" s="294"/>
      <c r="I477" s="295"/>
      <c r="J477" s="296"/>
      <c r="K477" s="297"/>
      <c r="L477" s="297"/>
      <c r="M477" s="297"/>
      <c r="N477" s="297"/>
      <c r="O477" s="298"/>
      <c r="P477" s="298"/>
      <c r="Q477" s="297"/>
      <c r="R477" s="297">
        <v>0.0</v>
      </c>
      <c r="S477" s="297"/>
      <c r="T477" s="297" t="s">
        <v>719</v>
      </c>
    </row>
    <row r="478">
      <c r="B478" s="291"/>
      <c r="C478" s="291"/>
      <c r="D478" s="181"/>
      <c r="E478" s="292"/>
      <c r="F478" s="292"/>
      <c r="G478" s="293"/>
      <c r="H478" s="294"/>
      <c r="I478" s="295"/>
      <c r="J478" s="296"/>
      <c r="K478" s="297"/>
      <c r="L478" s="297"/>
      <c r="M478" s="297"/>
      <c r="N478" s="297"/>
      <c r="O478" s="298"/>
      <c r="P478" s="298"/>
      <c r="Q478" s="297"/>
      <c r="R478" s="297">
        <v>0.0</v>
      </c>
      <c r="S478" s="297"/>
      <c r="T478" s="297" t="s">
        <v>719</v>
      </c>
    </row>
    <row r="479">
      <c r="B479" s="291"/>
      <c r="C479" s="291"/>
      <c r="D479" s="181"/>
      <c r="E479" s="292"/>
      <c r="F479" s="292"/>
      <c r="G479" s="293"/>
      <c r="H479" s="294"/>
      <c r="I479" s="295"/>
      <c r="J479" s="296"/>
      <c r="K479" s="297"/>
      <c r="L479" s="297"/>
      <c r="M479" s="297"/>
      <c r="N479" s="297"/>
      <c r="O479" s="298"/>
      <c r="P479" s="298"/>
      <c r="Q479" s="297"/>
      <c r="R479" s="297">
        <v>0.0</v>
      </c>
      <c r="S479" s="297"/>
      <c r="T479" s="297" t="s">
        <v>719</v>
      </c>
    </row>
    <row r="480">
      <c r="B480" s="291"/>
      <c r="C480" s="291"/>
      <c r="D480" s="181"/>
      <c r="E480" s="292"/>
      <c r="F480" s="292"/>
      <c r="G480" s="293"/>
      <c r="H480" s="294"/>
      <c r="I480" s="295"/>
      <c r="J480" s="296"/>
      <c r="K480" s="297"/>
      <c r="L480" s="297"/>
      <c r="M480" s="297"/>
      <c r="N480" s="297"/>
      <c r="O480" s="298"/>
      <c r="P480" s="298"/>
      <c r="Q480" s="297"/>
      <c r="R480" s="297">
        <v>0.0</v>
      </c>
      <c r="S480" s="297"/>
      <c r="T480" s="297" t="s">
        <v>719</v>
      </c>
    </row>
    <row r="481">
      <c r="B481" s="291"/>
      <c r="C481" s="291"/>
      <c r="D481" s="181"/>
      <c r="E481" s="292"/>
      <c r="F481" s="292"/>
      <c r="G481" s="293"/>
      <c r="H481" s="294"/>
      <c r="I481" s="295"/>
      <c r="J481" s="296"/>
      <c r="K481" s="297"/>
      <c r="L481" s="297"/>
      <c r="M481" s="297"/>
      <c r="N481" s="297"/>
      <c r="O481" s="298"/>
      <c r="P481" s="298"/>
      <c r="Q481" s="297"/>
      <c r="R481" s="297">
        <v>0.0</v>
      </c>
      <c r="S481" s="297"/>
      <c r="T481" s="297" t="s">
        <v>719</v>
      </c>
    </row>
    <row r="482">
      <c r="B482" s="291"/>
      <c r="C482" s="291"/>
      <c r="D482" s="181"/>
      <c r="E482" s="292"/>
      <c r="F482" s="292"/>
      <c r="G482" s="293"/>
      <c r="H482" s="294"/>
      <c r="I482" s="295"/>
      <c r="J482" s="296"/>
      <c r="K482" s="297"/>
      <c r="L482" s="297"/>
      <c r="M482" s="297"/>
      <c r="N482" s="297"/>
      <c r="O482" s="298"/>
      <c r="P482" s="298"/>
      <c r="Q482" s="297"/>
      <c r="R482" s="297">
        <v>0.0</v>
      </c>
      <c r="S482" s="297"/>
      <c r="T482" s="297" t="s">
        <v>719</v>
      </c>
    </row>
    <row r="483">
      <c r="B483" s="291"/>
      <c r="C483" s="291"/>
      <c r="D483" s="181"/>
      <c r="E483" s="292"/>
      <c r="F483" s="292"/>
      <c r="G483" s="293"/>
      <c r="H483" s="294"/>
      <c r="I483" s="295"/>
      <c r="J483" s="296"/>
      <c r="K483" s="297"/>
      <c r="L483" s="297"/>
      <c r="M483" s="297"/>
      <c r="N483" s="297"/>
      <c r="O483" s="298"/>
      <c r="P483" s="298"/>
      <c r="Q483" s="297"/>
      <c r="R483" s="297">
        <v>0.0</v>
      </c>
      <c r="S483" s="297"/>
      <c r="T483" s="297" t="s">
        <v>719</v>
      </c>
    </row>
    <row r="484">
      <c r="B484" s="291"/>
      <c r="C484" s="291"/>
      <c r="D484" s="181"/>
      <c r="E484" s="292"/>
      <c r="F484" s="292"/>
      <c r="G484" s="293"/>
      <c r="H484" s="294"/>
      <c r="I484" s="295"/>
      <c r="J484" s="296"/>
      <c r="K484" s="297"/>
      <c r="L484" s="297"/>
      <c r="M484" s="297"/>
      <c r="N484" s="297"/>
      <c r="O484" s="298"/>
      <c r="P484" s="298"/>
      <c r="Q484" s="297"/>
      <c r="R484" s="297">
        <v>0.0</v>
      </c>
      <c r="S484" s="297"/>
      <c r="T484" s="297" t="s">
        <v>719</v>
      </c>
    </row>
    <row r="485">
      <c r="B485" s="291"/>
      <c r="C485" s="291"/>
      <c r="D485" s="181"/>
      <c r="E485" s="292"/>
      <c r="F485" s="292"/>
      <c r="G485" s="293"/>
      <c r="H485" s="294"/>
      <c r="I485" s="295"/>
      <c r="J485" s="296"/>
      <c r="K485" s="297"/>
      <c r="L485" s="297"/>
      <c r="M485" s="297"/>
      <c r="N485" s="297"/>
      <c r="O485" s="298"/>
      <c r="P485" s="298"/>
      <c r="Q485" s="297"/>
      <c r="R485" s="297">
        <v>0.0</v>
      </c>
      <c r="S485" s="297"/>
      <c r="T485" s="297" t="s">
        <v>719</v>
      </c>
    </row>
    <row r="486">
      <c r="B486" s="291"/>
      <c r="C486" s="291"/>
      <c r="D486" s="181"/>
      <c r="E486" s="292"/>
      <c r="F486" s="292"/>
      <c r="G486" s="293"/>
      <c r="H486" s="294"/>
      <c r="I486" s="295"/>
      <c r="J486" s="296"/>
      <c r="K486" s="297"/>
      <c r="L486" s="297"/>
      <c r="M486" s="297"/>
      <c r="N486" s="297"/>
      <c r="O486" s="298"/>
      <c r="P486" s="298"/>
      <c r="Q486" s="297"/>
      <c r="R486" s="297">
        <v>0.0</v>
      </c>
      <c r="S486" s="297"/>
      <c r="T486" s="297" t="s">
        <v>719</v>
      </c>
    </row>
    <row r="487">
      <c r="B487" s="291"/>
      <c r="C487" s="291"/>
      <c r="D487" s="181"/>
      <c r="E487" s="292"/>
      <c r="F487" s="292"/>
      <c r="G487" s="293"/>
      <c r="H487" s="294"/>
      <c r="I487" s="295"/>
      <c r="J487" s="296"/>
      <c r="K487" s="297"/>
      <c r="L487" s="297"/>
      <c r="M487" s="297"/>
      <c r="N487" s="297"/>
      <c r="O487" s="298"/>
      <c r="P487" s="298"/>
      <c r="Q487" s="297"/>
      <c r="R487" s="297">
        <v>0.0</v>
      </c>
      <c r="S487" s="297"/>
      <c r="T487" s="297" t="s">
        <v>719</v>
      </c>
    </row>
    <row r="488">
      <c r="B488" s="291"/>
      <c r="C488" s="291"/>
      <c r="D488" s="181"/>
      <c r="E488" s="292"/>
      <c r="F488" s="292"/>
      <c r="G488" s="293"/>
      <c r="H488" s="294"/>
      <c r="I488" s="295"/>
      <c r="J488" s="296"/>
      <c r="K488" s="297"/>
      <c r="L488" s="297"/>
      <c r="M488" s="297"/>
      <c r="N488" s="297"/>
      <c r="O488" s="298"/>
      <c r="P488" s="298"/>
      <c r="Q488" s="297"/>
      <c r="R488" s="297">
        <v>0.0</v>
      </c>
      <c r="S488" s="297"/>
      <c r="T488" s="297" t="s">
        <v>719</v>
      </c>
    </row>
    <row r="489">
      <c r="B489" s="291"/>
      <c r="C489" s="291"/>
      <c r="D489" s="181"/>
      <c r="E489" s="292"/>
      <c r="F489" s="292"/>
      <c r="G489" s="293"/>
      <c r="H489" s="294"/>
      <c r="I489" s="295"/>
      <c r="J489" s="296"/>
      <c r="K489" s="297"/>
      <c r="L489" s="297"/>
      <c r="M489" s="297"/>
      <c r="N489" s="297"/>
      <c r="O489" s="298"/>
      <c r="P489" s="298"/>
      <c r="Q489" s="297"/>
      <c r="R489" s="297">
        <v>0.0</v>
      </c>
      <c r="S489" s="297"/>
      <c r="T489" s="297" t="s">
        <v>719</v>
      </c>
    </row>
    <row r="490">
      <c r="B490" s="291"/>
      <c r="C490" s="291"/>
      <c r="D490" s="181"/>
      <c r="E490" s="292"/>
      <c r="F490" s="292"/>
      <c r="G490" s="293"/>
      <c r="H490" s="294"/>
      <c r="I490" s="295"/>
      <c r="J490" s="296"/>
      <c r="K490" s="297"/>
      <c r="L490" s="297"/>
      <c r="M490" s="297"/>
      <c r="N490" s="297"/>
      <c r="O490" s="298"/>
      <c r="P490" s="298"/>
      <c r="Q490" s="297"/>
      <c r="R490" s="297">
        <v>0.0</v>
      </c>
      <c r="S490" s="297"/>
      <c r="T490" s="297" t="s">
        <v>719</v>
      </c>
    </row>
    <row r="491">
      <c r="B491" s="291"/>
      <c r="C491" s="291"/>
      <c r="D491" s="181"/>
      <c r="E491" s="292"/>
      <c r="F491" s="292"/>
      <c r="G491" s="293"/>
      <c r="H491" s="294"/>
      <c r="I491" s="295"/>
      <c r="J491" s="296"/>
      <c r="K491" s="297"/>
      <c r="L491" s="297"/>
      <c r="M491" s="297"/>
      <c r="N491" s="297"/>
      <c r="O491" s="298"/>
      <c r="P491" s="298"/>
      <c r="Q491" s="297"/>
      <c r="R491" s="297">
        <v>0.0</v>
      </c>
      <c r="S491" s="297"/>
      <c r="T491" s="297" t="s">
        <v>719</v>
      </c>
    </row>
    <row r="492">
      <c r="B492" s="291"/>
      <c r="C492" s="291"/>
      <c r="D492" s="181"/>
      <c r="E492" s="292"/>
      <c r="F492" s="292"/>
      <c r="G492" s="293"/>
      <c r="H492" s="294"/>
      <c r="I492" s="295"/>
      <c r="J492" s="296"/>
      <c r="K492" s="297"/>
      <c r="L492" s="297"/>
      <c r="M492" s="297"/>
      <c r="N492" s="297"/>
      <c r="O492" s="298"/>
      <c r="P492" s="298"/>
      <c r="Q492" s="297"/>
      <c r="R492" s="297">
        <v>0.0</v>
      </c>
      <c r="S492" s="297"/>
      <c r="T492" s="297" t="s">
        <v>719</v>
      </c>
    </row>
    <row r="493">
      <c r="B493" s="291"/>
      <c r="C493" s="291"/>
      <c r="D493" s="181"/>
      <c r="E493" s="292"/>
      <c r="F493" s="292"/>
      <c r="G493" s="293"/>
      <c r="H493" s="294"/>
      <c r="I493" s="295"/>
      <c r="J493" s="296"/>
      <c r="K493" s="297"/>
      <c r="L493" s="297"/>
      <c r="M493" s="297"/>
      <c r="N493" s="297"/>
      <c r="O493" s="298"/>
      <c r="P493" s="298"/>
      <c r="Q493" s="297"/>
      <c r="R493" s="297">
        <v>0.0</v>
      </c>
      <c r="S493" s="297"/>
      <c r="T493" s="297" t="s">
        <v>719</v>
      </c>
    </row>
    <row r="494">
      <c r="B494" s="291"/>
      <c r="C494" s="291"/>
      <c r="D494" s="181"/>
      <c r="E494" s="292"/>
      <c r="F494" s="292"/>
      <c r="G494" s="293"/>
      <c r="H494" s="294"/>
      <c r="I494" s="295"/>
      <c r="J494" s="296"/>
      <c r="K494" s="297"/>
      <c r="L494" s="297"/>
      <c r="M494" s="297"/>
      <c r="N494" s="297"/>
      <c r="O494" s="298"/>
      <c r="P494" s="298"/>
      <c r="Q494" s="297"/>
      <c r="R494" s="297">
        <v>0.0</v>
      </c>
      <c r="S494" s="297"/>
      <c r="T494" s="297" t="s">
        <v>719</v>
      </c>
    </row>
    <row r="495">
      <c r="B495" s="291"/>
      <c r="C495" s="291"/>
      <c r="D495" s="181"/>
      <c r="E495" s="292"/>
      <c r="F495" s="292"/>
      <c r="G495" s="293"/>
      <c r="H495" s="294"/>
      <c r="I495" s="295"/>
      <c r="J495" s="296"/>
      <c r="K495" s="297"/>
      <c r="L495" s="297"/>
      <c r="M495" s="297"/>
      <c r="N495" s="297"/>
      <c r="O495" s="298"/>
      <c r="P495" s="298"/>
      <c r="Q495" s="297"/>
      <c r="R495" s="297">
        <v>0.0</v>
      </c>
      <c r="S495" s="297"/>
      <c r="T495" s="297" t="s">
        <v>719</v>
      </c>
    </row>
    <row r="496">
      <c r="B496" s="291"/>
      <c r="C496" s="291"/>
      <c r="D496" s="181"/>
      <c r="E496" s="292"/>
      <c r="F496" s="292"/>
      <c r="G496" s="293"/>
      <c r="H496" s="294"/>
      <c r="I496" s="295"/>
      <c r="J496" s="296"/>
      <c r="K496" s="297"/>
      <c r="L496" s="297"/>
      <c r="M496" s="297"/>
      <c r="N496" s="297"/>
      <c r="O496" s="298"/>
      <c r="P496" s="298"/>
      <c r="Q496" s="297"/>
      <c r="R496" s="297">
        <v>0.0</v>
      </c>
      <c r="S496" s="297"/>
      <c r="T496" s="297" t="s">
        <v>719</v>
      </c>
    </row>
    <row r="497">
      <c r="B497" s="291"/>
      <c r="C497" s="291"/>
      <c r="D497" s="181"/>
      <c r="E497" s="292"/>
      <c r="F497" s="292"/>
      <c r="G497" s="293"/>
      <c r="H497" s="294"/>
      <c r="I497" s="295"/>
      <c r="J497" s="296"/>
      <c r="K497" s="297"/>
      <c r="L497" s="297"/>
      <c r="M497" s="297"/>
      <c r="N497" s="297"/>
      <c r="O497" s="298"/>
      <c r="P497" s="298"/>
      <c r="Q497" s="297"/>
      <c r="R497" s="297">
        <v>0.0</v>
      </c>
      <c r="S497" s="297"/>
      <c r="T497" s="297" t="s">
        <v>719</v>
      </c>
    </row>
    <row r="498">
      <c r="B498" s="291"/>
      <c r="C498" s="291"/>
      <c r="D498" s="181"/>
      <c r="E498" s="292"/>
      <c r="F498" s="292"/>
      <c r="G498" s="293"/>
      <c r="H498" s="294"/>
      <c r="I498" s="295"/>
      <c r="J498" s="296"/>
      <c r="K498" s="297"/>
      <c r="L498" s="297"/>
      <c r="M498" s="297"/>
      <c r="N498" s="297"/>
      <c r="O498" s="298"/>
      <c r="P498" s="298"/>
      <c r="Q498" s="297"/>
      <c r="R498" s="297">
        <v>0.0</v>
      </c>
      <c r="S498" s="297"/>
      <c r="T498" s="297" t="s">
        <v>719</v>
      </c>
    </row>
    <row r="499">
      <c r="B499" s="291"/>
      <c r="C499" s="291"/>
      <c r="D499" s="181"/>
      <c r="E499" s="292"/>
      <c r="F499" s="292"/>
      <c r="G499" s="293"/>
      <c r="H499" s="294"/>
      <c r="I499" s="295"/>
      <c r="J499" s="296"/>
      <c r="K499" s="297"/>
      <c r="L499" s="297"/>
      <c r="M499" s="297"/>
      <c r="N499" s="297"/>
      <c r="O499" s="298"/>
      <c r="P499" s="298"/>
      <c r="Q499" s="297"/>
      <c r="R499" s="297">
        <v>0.0</v>
      </c>
      <c r="S499" s="297"/>
      <c r="T499" s="297" t="s">
        <v>719</v>
      </c>
    </row>
    <row r="500">
      <c r="B500" s="291"/>
      <c r="C500" s="291"/>
      <c r="D500" s="181"/>
      <c r="E500" s="292"/>
      <c r="F500" s="292"/>
      <c r="G500" s="293"/>
      <c r="H500" s="294"/>
      <c r="I500" s="295"/>
      <c r="J500" s="296"/>
      <c r="K500" s="297"/>
      <c r="L500" s="297"/>
      <c r="M500" s="297"/>
      <c r="N500" s="297"/>
      <c r="O500" s="298"/>
      <c r="P500" s="298"/>
      <c r="Q500" s="297"/>
      <c r="R500" s="297">
        <v>0.0</v>
      </c>
      <c r="S500" s="297"/>
      <c r="T500" s="297" t="s">
        <v>719</v>
      </c>
    </row>
    <row r="501">
      <c r="B501" s="291"/>
      <c r="C501" s="291"/>
      <c r="D501" s="181"/>
      <c r="E501" s="292"/>
      <c r="F501" s="292"/>
      <c r="G501" s="293"/>
      <c r="H501" s="294"/>
      <c r="I501" s="295"/>
      <c r="J501" s="296"/>
      <c r="K501" s="297"/>
      <c r="L501" s="297"/>
      <c r="M501" s="297"/>
      <c r="N501" s="297"/>
      <c r="O501" s="298"/>
      <c r="P501" s="298"/>
      <c r="Q501" s="297"/>
      <c r="R501" s="297">
        <v>0.0</v>
      </c>
      <c r="S501" s="297"/>
      <c r="T501" s="297" t="s">
        <v>719</v>
      </c>
    </row>
    <row r="502">
      <c r="B502" s="291"/>
      <c r="C502" s="291"/>
      <c r="D502" s="181"/>
      <c r="E502" s="292"/>
      <c r="F502" s="292"/>
      <c r="G502" s="293"/>
      <c r="H502" s="294"/>
      <c r="I502" s="295"/>
      <c r="J502" s="296"/>
      <c r="K502" s="297"/>
      <c r="L502" s="297"/>
      <c r="M502" s="297"/>
      <c r="N502" s="297"/>
      <c r="O502" s="298"/>
      <c r="P502" s="298"/>
      <c r="Q502" s="297"/>
      <c r="R502" s="297">
        <v>0.0</v>
      </c>
      <c r="S502" s="297"/>
      <c r="T502" s="297" t="s">
        <v>719</v>
      </c>
    </row>
    <row r="503">
      <c r="B503" s="291"/>
      <c r="C503" s="291"/>
      <c r="D503" s="181"/>
      <c r="E503" s="292"/>
      <c r="F503" s="292"/>
      <c r="G503" s="293"/>
      <c r="H503" s="294"/>
      <c r="I503" s="295"/>
      <c r="J503" s="296"/>
      <c r="K503" s="297"/>
      <c r="L503" s="297"/>
      <c r="M503" s="297"/>
      <c r="N503" s="297"/>
      <c r="O503" s="298"/>
      <c r="P503" s="298"/>
      <c r="Q503" s="297"/>
      <c r="R503" s="297">
        <v>0.0</v>
      </c>
      <c r="S503" s="297"/>
      <c r="T503" s="297" t="s">
        <v>719</v>
      </c>
    </row>
    <row r="504">
      <c r="B504" s="291"/>
      <c r="C504" s="291"/>
      <c r="D504" s="181"/>
      <c r="E504" s="292"/>
      <c r="F504" s="292"/>
      <c r="G504" s="293"/>
      <c r="H504" s="294"/>
      <c r="I504" s="295"/>
      <c r="J504" s="296"/>
      <c r="K504" s="297"/>
      <c r="L504" s="297"/>
      <c r="M504" s="297"/>
      <c r="N504" s="297"/>
      <c r="O504" s="298"/>
      <c r="P504" s="298"/>
      <c r="Q504" s="297"/>
      <c r="R504" s="297">
        <v>0.0</v>
      </c>
      <c r="S504" s="297"/>
      <c r="T504" s="297" t="s">
        <v>719</v>
      </c>
    </row>
    <row r="505">
      <c r="B505" s="291"/>
      <c r="C505" s="291"/>
      <c r="D505" s="181"/>
      <c r="E505" s="292"/>
      <c r="F505" s="292"/>
      <c r="G505" s="293"/>
      <c r="H505" s="294"/>
      <c r="I505" s="295"/>
      <c r="J505" s="296"/>
      <c r="K505" s="297"/>
      <c r="L505" s="297"/>
      <c r="M505" s="297"/>
      <c r="N505" s="297"/>
      <c r="O505" s="298"/>
      <c r="P505" s="298"/>
      <c r="Q505" s="297"/>
      <c r="R505" s="297">
        <v>0.0</v>
      </c>
      <c r="S505" s="297"/>
      <c r="T505" s="297" t="s">
        <v>719</v>
      </c>
    </row>
    <row r="506">
      <c r="B506" s="291"/>
      <c r="C506" s="291"/>
      <c r="D506" s="181"/>
      <c r="E506" s="292"/>
      <c r="F506" s="292"/>
      <c r="G506" s="293"/>
      <c r="H506" s="294"/>
      <c r="I506" s="295"/>
      <c r="J506" s="296"/>
      <c r="K506" s="297"/>
      <c r="L506" s="297"/>
      <c r="M506" s="297"/>
      <c r="N506" s="297"/>
      <c r="O506" s="298"/>
      <c r="P506" s="298"/>
      <c r="Q506" s="297"/>
      <c r="R506" s="297">
        <v>0.0</v>
      </c>
      <c r="S506" s="297"/>
      <c r="T506" s="297" t="s">
        <v>719</v>
      </c>
    </row>
    <row r="507">
      <c r="B507" s="291"/>
      <c r="C507" s="291"/>
      <c r="D507" s="181"/>
      <c r="E507" s="292"/>
      <c r="F507" s="292"/>
      <c r="G507" s="293"/>
      <c r="H507" s="294"/>
      <c r="I507" s="295"/>
      <c r="J507" s="296"/>
      <c r="K507" s="297"/>
      <c r="L507" s="297"/>
      <c r="M507" s="297"/>
      <c r="N507" s="297"/>
      <c r="O507" s="298"/>
      <c r="P507" s="298"/>
      <c r="Q507" s="297"/>
      <c r="R507" s="297">
        <v>0.0</v>
      </c>
      <c r="S507" s="297"/>
      <c r="T507" s="297" t="s">
        <v>719</v>
      </c>
    </row>
    <row r="508">
      <c r="B508" s="291"/>
      <c r="C508" s="291"/>
      <c r="D508" s="181"/>
      <c r="E508" s="292"/>
      <c r="F508" s="292"/>
      <c r="G508" s="293"/>
      <c r="H508" s="294"/>
      <c r="I508" s="295"/>
      <c r="J508" s="296"/>
      <c r="K508" s="297"/>
      <c r="L508" s="297"/>
      <c r="M508" s="297"/>
      <c r="N508" s="297"/>
      <c r="O508" s="298"/>
      <c r="P508" s="298"/>
      <c r="Q508" s="297"/>
      <c r="R508" s="297">
        <v>0.0</v>
      </c>
      <c r="S508" s="297"/>
      <c r="T508" s="297" t="s">
        <v>719</v>
      </c>
    </row>
    <row r="509">
      <c r="B509" s="291"/>
      <c r="C509" s="291"/>
      <c r="D509" s="181"/>
      <c r="E509" s="292"/>
      <c r="F509" s="292"/>
      <c r="G509" s="293"/>
      <c r="H509" s="294"/>
      <c r="I509" s="295"/>
      <c r="J509" s="296"/>
      <c r="K509" s="297"/>
      <c r="L509" s="297"/>
      <c r="M509" s="297"/>
      <c r="N509" s="297"/>
      <c r="O509" s="298"/>
      <c r="P509" s="298"/>
      <c r="Q509" s="297"/>
      <c r="R509" s="297">
        <v>0.0</v>
      </c>
      <c r="S509" s="297"/>
      <c r="T509" s="297" t="s">
        <v>719</v>
      </c>
    </row>
    <row r="510">
      <c r="B510" s="291"/>
      <c r="C510" s="291"/>
      <c r="D510" s="181"/>
      <c r="E510" s="292"/>
      <c r="F510" s="292"/>
      <c r="G510" s="293"/>
      <c r="H510" s="294"/>
      <c r="I510" s="295"/>
      <c r="J510" s="296"/>
      <c r="K510" s="297"/>
      <c r="L510" s="297"/>
      <c r="M510" s="297"/>
      <c r="N510" s="297"/>
      <c r="O510" s="298"/>
      <c r="P510" s="298"/>
      <c r="Q510" s="297"/>
      <c r="R510" s="297">
        <v>0.0</v>
      </c>
      <c r="S510" s="297"/>
      <c r="T510" s="297" t="s">
        <v>719</v>
      </c>
    </row>
    <row r="511">
      <c r="B511" s="291"/>
      <c r="C511" s="291"/>
      <c r="D511" s="181"/>
      <c r="E511" s="292"/>
      <c r="F511" s="292"/>
      <c r="G511" s="293"/>
      <c r="H511" s="294"/>
      <c r="I511" s="295"/>
      <c r="J511" s="296"/>
      <c r="K511" s="297"/>
      <c r="L511" s="297"/>
      <c r="M511" s="297"/>
      <c r="N511" s="297"/>
      <c r="O511" s="298"/>
      <c r="P511" s="298"/>
      <c r="Q511" s="297"/>
      <c r="R511" s="297">
        <v>0.0</v>
      </c>
      <c r="S511" s="297"/>
      <c r="T511" s="297" t="s">
        <v>719</v>
      </c>
    </row>
    <row r="512">
      <c r="B512" s="291"/>
      <c r="C512" s="291"/>
      <c r="D512" s="181"/>
      <c r="E512" s="292"/>
      <c r="F512" s="292"/>
      <c r="G512" s="293"/>
      <c r="H512" s="294"/>
      <c r="I512" s="295"/>
      <c r="J512" s="296"/>
      <c r="K512" s="297"/>
      <c r="L512" s="297"/>
      <c r="M512" s="297"/>
      <c r="N512" s="297"/>
      <c r="O512" s="298"/>
      <c r="P512" s="298"/>
      <c r="Q512" s="297"/>
      <c r="R512" s="297">
        <v>0.0</v>
      </c>
      <c r="S512" s="297"/>
      <c r="T512" s="297" t="s">
        <v>719</v>
      </c>
    </row>
    <row r="513">
      <c r="B513" s="291"/>
      <c r="C513" s="291"/>
      <c r="D513" s="181"/>
      <c r="E513" s="292"/>
      <c r="F513" s="292"/>
      <c r="G513" s="293"/>
      <c r="H513" s="294"/>
      <c r="I513" s="295"/>
      <c r="J513" s="296"/>
      <c r="K513" s="297"/>
      <c r="L513" s="297"/>
      <c r="M513" s="297"/>
      <c r="N513" s="297"/>
      <c r="O513" s="298"/>
      <c r="P513" s="298"/>
      <c r="Q513" s="297"/>
      <c r="R513" s="297">
        <v>0.0</v>
      </c>
      <c r="S513" s="297"/>
      <c r="T513" s="297" t="s">
        <v>719</v>
      </c>
    </row>
    <row r="514">
      <c r="B514" s="291"/>
      <c r="C514" s="291"/>
      <c r="D514" s="181"/>
      <c r="E514" s="292"/>
      <c r="F514" s="292"/>
      <c r="G514" s="293"/>
      <c r="H514" s="294"/>
      <c r="I514" s="295"/>
      <c r="J514" s="296"/>
      <c r="K514" s="297"/>
      <c r="L514" s="297"/>
      <c r="M514" s="297"/>
      <c r="N514" s="297"/>
      <c r="O514" s="298"/>
      <c r="P514" s="298"/>
      <c r="Q514" s="297"/>
      <c r="R514" s="297">
        <v>0.0</v>
      </c>
      <c r="S514" s="297"/>
      <c r="T514" s="297" t="s">
        <v>719</v>
      </c>
    </row>
    <row r="515">
      <c r="B515" s="291"/>
      <c r="C515" s="291"/>
      <c r="D515" s="181"/>
      <c r="E515" s="292"/>
      <c r="F515" s="292"/>
      <c r="G515" s="293"/>
      <c r="H515" s="294"/>
      <c r="I515" s="295"/>
      <c r="J515" s="296"/>
      <c r="K515" s="297"/>
      <c r="L515" s="297"/>
      <c r="M515" s="297"/>
      <c r="N515" s="297"/>
      <c r="O515" s="298"/>
      <c r="P515" s="298"/>
      <c r="Q515" s="297"/>
      <c r="R515" s="297">
        <v>0.0</v>
      </c>
      <c r="S515" s="297"/>
      <c r="T515" s="297" t="s">
        <v>719</v>
      </c>
    </row>
    <row r="516">
      <c r="B516" s="291"/>
      <c r="C516" s="291"/>
      <c r="D516" s="181"/>
      <c r="E516" s="292"/>
      <c r="F516" s="292"/>
      <c r="G516" s="293"/>
      <c r="H516" s="294"/>
      <c r="I516" s="295"/>
      <c r="J516" s="296"/>
      <c r="K516" s="297"/>
      <c r="L516" s="297"/>
      <c r="M516" s="297"/>
      <c r="N516" s="297"/>
      <c r="O516" s="298"/>
      <c r="P516" s="298"/>
      <c r="Q516" s="297"/>
      <c r="R516" s="297">
        <v>0.0</v>
      </c>
      <c r="S516" s="297"/>
      <c r="T516" s="297" t="s">
        <v>719</v>
      </c>
    </row>
    <row r="517">
      <c r="B517" s="291"/>
      <c r="C517" s="291"/>
      <c r="D517" s="181"/>
      <c r="E517" s="292"/>
      <c r="F517" s="292"/>
      <c r="G517" s="293"/>
      <c r="H517" s="294"/>
      <c r="I517" s="295"/>
      <c r="J517" s="296"/>
      <c r="K517" s="297"/>
      <c r="L517" s="297"/>
      <c r="M517" s="297"/>
      <c r="N517" s="297"/>
      <c r="O517" s="298"/>
      <c r="P517" s="298"/>
      <c r="Q517" s="297"/>
      <c r="R517" s="297">
        <v>0.0</v>
      </c>
      <c r="S517" s="297"/>
      <c r="T517" s="297" t="s">
        <v>719</v>
      </c>
    </row>
    <row r="518">
      <c r="B518" s="291"/>
      <c r="C518" s="291"/>
      <c r="D518" s="181"/>
      <c r="E518" s="292"/>
      <c r="F518" s="292"/>
      <c r="G518" s="293"/>
      <c r="H518" s="294"/>
      <c r="I518" s="295"/>
      <c r="J518" s="296"/>
      <c r="K518" s="297"/>
      <c r="L518" s="297"/>
      <c r="M518" s="297"/>
      <c r="N518" s="297"/>
      <c r="O518" s="298"/>
      <c r="P518" s="298"/>
      <c r="Q518" s="297"/>
      <c r="R518" s="297">
        <v>0.0</v>
      </c>
      <c r="S518" s="297"/>
      <c r="T518" s="297" t="s">
        <v>719</v>
      </c>
    </row>
  </sheetData>
  <autoFilter ref="$B$8:$Q$13"/>
  <conditionalFormatting sqref="Q10:T518">
    <cfRule type="expression" dxfId="6" priority="1">
      <formula>$Q10&gt;$Q$2</formula>
    </cfRule>
  </conditionalFormatting>
  <conditionalFormatting sqref="B9:T518">
    <cfRule type="expression" dxfId="0" priority="2">
      <formula>$H9="1 - Imprescindível"</formula>
    </cfRule>
  </conditionalFormatting>
  <conditionalFormatting sqref="B9:T518">
    <cfRule type="expression" dxfId="1" priority="3">
      <formula>$H9="2 - Importante"</formula>
    </cfRule>
  </conditionalFormatting>
  <conditionalFormatting sqref="B9:T518">
    <cfRule type="expression" dxfId="2" priority="4">
      <formula>$H9="3 - Desejável"</formula>
    </cfRule>
  </conditionalFormatting>
  <conditionalFormatting sqref="B9:T518">
    <cfRule type="expression" dxfId="3" priority="5">
      <formula>$H9="4 - Aguardando"</formula>
    </cfRule>
  </conditionalFormatting>
  <printOptions horizontalCentered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3.75"/>
    <col customWidth="1" min="2" max="2" width="7.0"/>
    <col customWidth="1" min="3" max="3" width="15.25"/>
    <col customWidth="1" min="4" max="4" width="16.25"/>
    <col customWidth="1" min="5" max="5" width="16.63"/>
    <col customWidth="1" min="6" max="6" width="15.63"/>
    <col customWidth="1" min="7" max="7" width="14.88"/>
    <col customWidth="1" min="9" max="9" width="13.75"/>
  </cols>
  <sheetData>
    <row r="1" ht="6.0" customHeight="1">
      <c r="A1" s="325"/>
      <c r="B1" s="326"/>
      <c r="C1" s="193"/>
      <c r="D1" s="327"/>
      <c r="E1" s="327"/>
      <c r="F1" s="327"/>
      <c r="G1" s="327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</row>
    <row r="2" ht="58.5" customHeight="1">
      <c r="A2" s="330"/>
      <c r="B2" s="331" t="s">
        <v>725</v>
      </c>
      <c r="C2" s="332"/>
      <c r="D2" s="333"/>
      <c r="E2" s="333"/>
      <c r="F2" s="333"/>
      <c r="G2" s="333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</row>
    <row r="3" ht="3.75" customHeight="1">
      <c r="A3" s="325"/>
      <c r="B3" s="326"/>
      <c r="C3" s="193"/>
      <c r="D3" s="327"/>
      <c r="E3" s="327"/>
      <c r="F3" s="327"/>
      <c r="G3" s="327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</row>
    <row r="4">
      <c r="A4" s="325"/>
      <c r="B4" s="336"/>
      <c r="C4" s="337"/>
      <c r="D4" s="338" t="s">
        <v>726</v>
      </c>
      <c r="E4" s="338" t="s">
        <v>727</v>
      </c>
      <c r="F4" s="338" t="s">
        <v>728</v>
      </c>
      <c r="G4" s="338" t="s">
        <v>664</v>
      </c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9"/>
      <c r="T4" s="329"/>
      <c r="U4" s="329"/>
      <c r="V4" s="329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29"/>
      <c r="AH4" s="329"/>
      <c r="AI4" s="329"/>
      <c r="AJ4" s="329"/>
      <c r="AK4" s="329"/>
    </row>
    <row r="5">
      <c r="A5" s="325"/>
      <c r="B5" s="339" t="s">
        <v>117</v>
      </c>
      <c r="C5" s="340" t="s">
        <v>729</v>
      </c>
      <c r="D5" s="341">
        <f>  4003576.06-E5</f>
        <v>750790.95</v>
      </c>
      <c r="E5" s="341">
        <v>3252785.11</v>
      </c>
      <c r="F5" s="341">
        <v>0.0</v>
      </c>
      <c r="G5" s="342">
        <f t="array" ref="G5:G19">D5:D19+E5:E19+F5:F19</f>
        <v>4003576.06</v>
      </c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>
      <c r="A6" s="325"/>
      <c r="B6" s="343"/>
      <c r="C6" s="344" t="s">
        <v>730</v>
      </c>
      <c r="D6" s="345">
        <f>SUMIFS('Base de Dados'!AR1:AR565,'Base de Dados'!O1:O565,"=168105",'Base de Dados'!R1:R565,"=1 - Selecionado",'Base de Dados'!K1:K565,"=GND3")</f>
        <v>2452771.851</v>
      </c>
      <c r="E6" s="345">
        <f>SUMIFS('Base de Dados'!AR1:AR565,'Base de Dados'!O1:O565,"=168107",'Base de Dados'!R1:R565,"=1 - Selecionado",'Base de Dados'!K1:K565,"=GND3")</f>
        <v>2655264.402</v>
      </c>
      <c r="F6" s="345">
        <f>SUMIFS('Base de Dados'!AR1:AR565,'Base de Dados'!O1:O565,"=84847",'Base de Dados'!R1:R565,"=1 - Selecionado",'Base de Dados'!K1:K565,"=GND3")</f>
        <v>0</v>
      </c>
      <c r="G6" s="345">
        <v>5108036.2530000005</v>
      </c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</row>
    <row r="7">
      <c r="A7" s="325"/>
      <c r="B7" s="343"/>
      <c r="C7" s="344" t="s">
        <v>731</v>
      </c>
      <c r="D7" s="345">
        <f>SUMIFS('Base de Dados'!AS1:AS565,'Base de Dados'!O1:O565,"=168105",'Base de Dados'!R1:R565,"=1 - Selecionado",'Base de Dados'!K1:K565,"=GND3")</f>
        <v>0</v>
      </c>
      <c r="E7" s="345">
        <f>SUMIFS('Base de Dados'!AS1:AS565,'Base de Dados'!O1:O565,"=168107",'Base de Dados'!R1:R565,"=1 - Selecionado",'Base de Dados'!K1:K565,"=GND3")</f>
        <v>7905.75</v>
      </c>
      <c r="F7" s="345">
        <f>SUMIFS('Base de Dados'!AS1:AS565,'Base de Dados'!O1:O565,"=84847",'Base de Dados'!R1:R565,"=1 - Selecionado",'Base de Dados'!K1:K565,"=GND3")</f>
        <v>0</v>
      </c>
      <c r="G7" s="345">
        <v>7905.75</v>
      </c>
      <c r="H7" s="194"/>
      <c r="I7" s="194"/>
      <c r="J7" s="222"/>
      <c r="K7" s="194"/>
      <c r="L7" s="194"/>
      <c r="M7" s="194"/>
      <c r="N7" s="194"/>
      <c r="O7" s="194"/>
      <c r="P7" s="194"/>
      <c r="Q7" s="194"/>
      <c r="R7" s="194"/>
    </row>
    <row r="8">
      <c r="A8" s="325"/>
      <c r="B8" s="343"/>
      <c r="C8" s="340" t="s">
        <v>732</v>
      </c>
      <c r="D8" s="342">
        <f t="array" ref="D8:F8">D6:F6+D7:F7</f>
        <v>2452771.851</v>
      </c>
      <c r="E8" s="342">
        <v>2663170.151666667</v>
      </c>
      <c r="F8" s="342">
        <v>0.0</v>
      </c>
      <c r="G8" s="342">
        <v>5115942.0030000005</v>
      </c>
      <c r="H8" s="194"/>
      <c r="I8" s="194"/>
      <c r="J8" s="222"/>
      <c r="K8" s="194"/>
      <c r="L8" s="194"/>
      <c r="M8" s="194"/>
      <c r="N8" s="194"/>
      <c r="O8" s="194"/>
      <c r="P8" s="194"/>
      <c r="Q8" s="194"/>
      <c r="R8" s="194"/>
    </row>
    <row r="9">
      <c r="A9" s="325"/>
      <c r="B9" s="346"/>
      <c r="C9" s="340" t="s">
        <v>733</v>
      </c>
      <c r="D9" s="345">
        <f t="array" ref="D9:F9">D5:F5-D8:F8</f>
        <v>-1701980.901</v>
      </c>
      <c r="E9" s="345">
        <v>589614.958333333</v>
      </c>
      <c r="F9" s="345">
        <v>0.0</v>
      </c>
      <c r="G9" s="345">
        <v>-1112365.943</v>
      </c>
      <c r="H9" s="194"/>
      <c r="I9" s="194"/>
      <c r="J9" s="194"/>
      <c r="K9" s="222"/>
      <c r="L9" s="194"/>
      <c r="M9" s="194"/>
      <c r="N9" s="194"/>
      <c r="O9" s="194"/>
      <c r="P9" s="194"/>
      <c r="Q9" s="194"/>
      <c r="R9" s="194"/>
    </row>
    <row r="10">
      <c r="A10" s="325"/>
      <c r="B10" s="339" t="s">
        <v>313</v>
      </c>
      <c r="C10" s="340" t="s">
        <v>729</v>
      </c>
      <c r="D10" s="347">
        <v>0.0</v>
      </c>
      <c r="E10" s="347">
        <v>86102.89</v>
      </c>
      <c r="F10" s="347">
        <v>0.0</v>
      </c>
      <c r="G10" s="348">
        <v>86102.89</v>
      </c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</row>
    <row r="11">
      <c r="A11" s="325"/>
      <c r="B11" s="343"/>
      <c r="C11" s="344" t="s">
        <v>730</v>
      </c>
      <c r="D11" s="349">
        <f>SUMIFS('Base de Dados'!AR1:AR565,'Base de Dados'!O1:O565,"=168105",'Base de Dados'!R1:R565,"=1 - Selecionado",'Base de Dados'!K1:K565,"=GND4")</f>
        <v>5350177.26</v>
      </c>
      <c r="E11" s="349">
        <f>SUMIFS('Base de Dados'!AR1:AR565,'Base de Dados'!O1:O565,"=168107",'Base de Dados'!R1:R565,"=1 - Selecionado",'Base de Dados'!K1:K565,"=GND4")</f>
        <v>395000</v>
      </c>
      <c r="F11" s="349">
        <f>SUMIFS('Base de Dados'!AR1:AR565,'Base de Dados'!O1:O565,"=84847",'Base de Dados'!R1:R565,"=1 - Selecionado",'Base de Dados'!K1:K565,"=GND4")</f>
        <v>0</v>
      </c>
      <c r="G11" s="349">
        <v>5745177.26</v>
      </c>
      <c r="H11" s="194"/>
      <c r="I11" s="222"/>
      <c r="J11" s="194"/>
      <c r="K11" s="194"/>
      <c r="L11" s="194"/>
      <c r="M11" s="194"/>
      <c r="N11" s="194"/>
      <c r="O11" s="194"/>
      <c r="P11" s="194"/>
      <c r="Q11" s="194"/>
      <c r="R11" s="194"/>
    </row>
    <row r="12">
      <c r="A12" s="325"/>
      <c r="B12" s="343"/>
      <c r="C12" s="344" t="s">
        <v>731</v>
      </c>
      <c r="D12" s="349">
        <f>SUMIFS('Base de Dados'!AS1:AS565,'Base de Dados'!O1:O565,"=168105",'Base de Dados'!R1:R565,"=1 - Selecionado",'Base de Dados'!K1:K565,"=GND4")</f>
        <v>0</v>
      </c>
      <c r="E12" s="349">
        <f>SUMIFS('Base de Dados'!AS1:AS565,'Base de Dados'!O1:O565,"=168107",'Base de Dados'!R1:R565,"=1 - Selecionado",'Base de Dados'!K1:K565,"=GND4")</f>
        <v>0</v>
      </c>
      <c r="F12" s="349">
        <f>SUMIFS('Base de Dados'!AS1:AS565,'Base de Dados'!O1:O565,"=84847",'Base de Dados'!R1:R565,"=1 - Selecionado",'Base de Dados'!K1:K565,"=GND4")</f>
        <v>0</v>
      </c>
      <c r="G12" s="349">
        <v>0.0</v>
      </c>
      <c r="H12" s="194"/>
      <c r="I12" s="222"/>
      <c r="J12" s="194"/>
      <c r="K12" s="194"/>
      <c r="L12" s="194"/>
      <c r="M12" s="194"/>
      <c r="N12" s="194"/>
      <c r="O12" s="194"/>
      <c r="P12" s="194"/>
      <c r="Q12" s="194"/>
      <c r="R12" s="194"/>
    </row>
    <row r="13">
      <c r="A13" s="325"/>
      <c r="B13" s="343"/>
      <c r="C13" s="340" t="s">
        <v>732</v>
      </c>
      <c r="D13" s="348">
        <f t="array" ref="D13:F13">D11:F11+D12:F12</f>
        <v>5350177.26</v>
      </c>
      <c r="E13" s="348">
        <v>395000.0</v>
      </c>
      <c r="F13" s="348">
        <v>0.0</v>
      </c>
      <c r="G13" s="348">
        <v>5745177.26</v>
      </c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</row>
    <row r="14">
      <c r="A14" s="325"/>
      <c r="B14" s="346"/>
      <c r="C14" s="340" t="s">
        <v>733</v>
      </c>
      <c r="D14" s="349">
        <f t="array" ref="D14:F14">D10:F10-D13:F13</f>
        <v>-5350177.26</v>
      </c>
      <c r="E14" s="349">
        <v>-308897.11</v>
      </c>
      <c r="F14" s="349">
        <v>0.0</v>
      </c>
      <c r="G14" s="349">
        <v>-5659074.37</v>
      </c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</row>
    <row r="15">
      <c r="A15" s="325"/>
      <c r="B15" s="339" t="s">
        <v>664</v>
      </c>
      <c r="C15" s="340" t="s">
        <v>729</v>
      </c>
      <c r="D15" s="350">
        <f t="array" ref="D15:F19">D5:F9+D10:F14</f>
        <v>750790.95</v>
      </c>
      <c r="E15" s="350">
        <v>3338888.0</v>
      </c>
      <c r="F15" s="350">
        <v>0.0</v>
      </c>
      <c r="G15" s="350">
        <v>4089678.95</v>
      </c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</row>
    <row r="16">
      <c r="A16" s="325"/>
      <c r="B16" s="343"/>
      <c r="C16" s="344" t="s">
        <v>730</v>
      </c>
      <c r="D16" s="351">
        <v>7802949.111333333</v>
      </c>
      <c r="E16" s="351">
        <v>3050264.401666667</v>
      </c>
      <c r="F16" s="351">
        <v>0.0</v>
      </c>
      <c r="G16" s="351">
        <v>1.0853213513E7</v>
      </c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</row>
    <row r="17">
      <c r="A17" s="325"/>
      <c r="B17" s="343"/>
      <c r="C17" s="344" t="s">
        <v>731</v>
      </c>
      <c r="D17" s="351">
        <v>0.0</v>
      </c>
      <c r="E17" s="351">
        <v>7905.75</v>
      </c>
      <c r="F17" s="351">
        <v>0.0</v>
      </c>
      <c r="G17" s="351">
        <v>7905.75</v>
      </c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</row>
    <row r="18">
      <c r="A18" s="325"/>
      <c r="B18" s="343"/>
      <c r="C18" s="340" t="s">
        <v>668</v>
      </c>
      <c r="D18" s="350">
        <v>7802949.111333333</v>
      </c>
      <c r="E18" s="350">
        <v>3058170.151666667</v>
      </c>
      <c r="F18" s="350">
        <v>0.0</v>
      </c>
      <c r="G18" s="350">
        <v>1.0861119263E7</v>
      </c>
      <c r="H18" s="222"/>
      <c r="I18" s="352"/>
      <c r="J18" s="194"/>
      <c r="K18" s="194"/>
      <c r="L18" s="194"/>
      <c r="M18" s="194"/>
      <c r="N18" s="194"/>
      <c r="O18" s="194"/>
      <c r="P18" s="194"/>
      <c r="Q18" s="194"/>
      <c r="R18" s="194"/>
    </row>
    <row r="19">
      <c r="A19" s="325"/>
      <c r="B19" s="346"/>
      <c r="C19" s="340" t="s">
        <v>733</v>
      </c>
      <c r="D19" s="351">
        <v>-7052158.161333333</v>
      </c>
      <c r="E19" s="351">
        <v>280717.84833333304</v>
      </c>
      <c r="F19" s="351">
        <v>0.0</v>
      </c>
      <c r="G19" s="350">
        <v>-6771440.313</v>
      </c>
      <c r="H19" s="222"/>
      <c r="I19" s="352"/>
      <c r="J19" s="194"/>
      <c r="K19" s="194"/>
      <c r="L19" s="194"/>
      <c r="M19" s="194"/>
      <c r="N19" s="194"/>
      <c r="O19" s="194"/>
      <c r="P19" s="194"/>
      <c r="Q19" s="194"/>
      <c r="R19" s="194"/>
    </row>
    <row r="20">
      <c r="A20" s="325"/>
      <c r="B20" s="325"/>
      <c r="C20" s="180"/>
      <c r="D20" s="244"/>
      <c r="E20" s="244"/>
      <c r="F20" s="244"/>
      <c r="G20" s="24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</row>
    <row r="21">
      <c r="A21" s="325"/>
      <c r="B21" s="325"/>
      <c r="C21" s="180"/>
      <c r="D21" s="244"/>
      <c r="E21" s="244"/>
      <c r="F21" s="244"/>
      <c r="G21" s="24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</row>
    <row r="22">
      <c r="A22" s="325"/>
      <c r="B22" s="325"/>
      <c r="C22" s="180"/>
      <c r="D22" s="244"/>
      <c r="E22" s="244"/>
      <c r="F22" s="244"/>
      <c r="G22" s="24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</row>
    <row r="23">
      <c r="A23" s="325"/>
      <c r="B23" s="325"/>
      <c r="C23" s="180"/>
      <c r="D23" s="244"/>
      <c r="E23" s="244"/>
      <c r="F23" s="244"/>
      <c r="G23" s="24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</row>
    <row r="24">
      <c r="A24" s="325"/>
      <c r="B24" s="325"/>
      <c r="C24" s="180"/>
      <c r="D24" s="244"/>
      <c r="E24" s="244"/>
      <c r="F24" s="244"/>
      <c r="G24" s="24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</row>
    <row r="25">
      <c r="A25" s="325"/>
      <c r="B25" s="325"/>
      <c r="C25" s="180"/>
      <c r="D25" s="244"/>
      <c r="E25" s="244"/>
      <c r="F25" s="244"/>
      <c r="G25" s="24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</row>
    <row r="26">
      <c r="A26" s="325"/>
      <c r="B26" s="325"/>
      <c r="C26" s="180"/>
      <c r="D26" s="244"/>
      <c r="E26" s="244"/>
      <c r="F26" s="244"/>
      <c r="G26" s="24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</row>
    <row r="27">
      <c r="A27" s="325"/>
      <c r="B27" s="325"/>
      <c r="C27" s="180"/>
      <c r="D27" s="244"/>
      <c r="E27" s="244"/>
      <c r="F27" s="244"/>
      <c r="G27" s="24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</row>
    <row r="28">
      <c r="A28" s="325"/>
      <c r="B28" s="325"/>
      <c r="C28" s="180"/>
      <c r="D28" s="244"/>
      <c r="E28" s="244"/>
      <c r="F28" s="244"/>
      <c r="G28" s="24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</row>
    <row r="29">
      <c r="A29" s="325"/>
      <c r="B29" s="325"/>
      <c r="C29" s="180"/>
      <c r="D29" s="244"/>
      <c r="E29" s="244"/>
      <c r="F29" s="244"/>
      <c r="G29" s="24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</row>
    <row r="30">
      <c r="A30" s="325"/>
      <c r="B30" s="325"/>
      <c r="C30" s="180"/>
      <c r="D30" s="244"/>
      <c r="E30" s="244"/>
      <c r="F30" s="244"/>
      <c r="G30" s="24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</row>
    <row r="31">
      <c r="A31" s="325"/>
      <c r="B31" s="325"/>
      <c r="C31" s="180"/>
      <c r="D31" s="244"/>
      <c r="E31" s="244"/>
      <c r="F31" s="244"/>
      <c r="G31" s="24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</row>
    <row r="32">
      <c r="A32" s="325"/>
      <c r="B32" s="325"/>
      <c r="C32" s="180"/>
      <c r="D32" s="244"/>
      <c r="E32" s="244"/>
      <c r="F32" s="244"/>
      <c r="G32" s="24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</row>
    <row r="33">
      <c r="A33" s="325"/>
      <c r="B33" s="325"/>
      <c r="C33" s="180"/>
      <c r="D33" s="244"/>
      <c r="E33" s="244"/>
      <c r="F33" s="244"/>
      <c r="G33" s="24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</row>
    <row r="34">
      <c r="A34" s="325"/>
      <c r="B34" s="325"/>
      <c r="C34" s="180"/>
      <c r="D34" s="244"/>
      <c r="E34" s="244"/>
      <c r="F34" s="244"/>
      <c r="G34" s="24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</row>
    <row r="35">
      <c r="A35" s="325"/>
      <c r="B35" s="325"/>
      <c r="C35" s="180"/>
      <c r="D35" s="244"/>
      <c r="E35" s="244"/>
      <c r="F35" s="244"/>
      <c r="G35" s="24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</row>
    <row r="36">
      <c r="A36" s="325"/>
      <c r="B36" s="325"/>
      <c r="C36" s="180"/>
      <c r="D36" s="244"/>
      <c r="E36" s="244"/>
      <c r="F36" s="244"/>
      <c r="G36" s="24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</row>
    <row r="37">
      <c r="A37" s="325"/>
      <c r="B37" s="325"/>
      <c r="C37" s="180"/>
      <c r="D37" s="244"/>
      <c r="E37" s="244"/>
      <c r="F37" s="244"/>
      <c r="G37" s="24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</row>
    <row r="38">
      <c r="A38" s="325"/>
      <c r="B38" s="325"/>
      <c r="C38" s="180"/>
      <c r="D38" s="244"/>
      <c r="E38" s="244"/>
      <c r="F38" s="244"/>
      <c r="G38" s="24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</row>
    <row r="39">
      <c r="A39" s="325"/>
      <c r="B39" s="325"/>
      <c r="C39" s="180"/>
      <c r="D39" s="244"/>
      <c r="E39" s="244"/>
      <c r="F39" s="244"/>
      <c r="G39" s="24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</row>
    <row r="40">
      <c r="A40" s="325"/>
      <c r="B40" s="325"/>
      <c r="C40" s="180"/>
      <c r="D40" s="244"/>
      <c r="E40" s="244"/>
      <c r="F40" s="244"/>
      <c r="G40" s="24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</row>
    <row r="41">
      <c r="A41" s="325"/>
      <c r="B41" s="325"/>
      <c r="C41" s="180"/>
      <c r="D41" s="244"/>
      <c r="E41" s="244"/>
      <c r="F41" s="244"/>
      <c r="G41" s="24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</row>
    <row r="42">
      <c r="A42" s="325"/>
      <c r="B42" s="325"/>
      <c r="C42" s="180"/>
      <c r="D42" s="244"/>
      <c r="E42" s="244"/>
      <c r="F42" s="244"/>
      <c r="G42" s="24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</row>
    <row r="43">
      <c r="A43" s="325"/>
      <c r="B43" s="325"/>
      <c r="C43" s="180"/>
      <c r="D43" s="244"/>
      <c r="E43" s="244"/>
      <c r="F43" s="244"/>
      <c r="G43" s="24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</row>
    <row r="44">
      <c r="A44" s="325"/>
      <c r="B44" s="325"/>
      <c r="C44" s="180"/>
      <c r="D44" s="244"/>
      <c r="E44" s="244"/>
      <c r="F44" s="244"/>
      <c r="G44" s="24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</row>
    <row r="45">
      <c r="A45" s="325"/>
      <c r="B45" s="325"/>
      <c r="C45" s="180"/>
      <c r="D45" s="244"/>
      <c r="E45" s="244"/>
      <c r="F45" s="244"/>
      <c r="G45" s="24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</row>
    <row r="46">
      <c r="A46" s="325"/>
      <c r="B46" s="325"/>
      <c r="C46" s="180"/>
      <c r="D46" s="244"/>
      <c r="E46" s="244"/>
      <c r="F46" s="244"/>
      <c r="G46" s="24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</row>
    <row r="47">
      <c r="A47" s="325"/>
      <c r="B47" s="325"/>
      <c r="C47" s="180"/>
      <c r="D47" s="244"/>
      <c r="E47" s="244"/>
      <c r="F47" s="244"/>
      <c r="G47" s="24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</row>
    <row r="48">
      <c r="A48" s="325"/>
      <c r="B48" s="325"/>
      <c r="C48" s="180"/>
      <c r="D48" s="244"/>
      <c r="E48" s="244"/>
      <c r="F48" s="244"/>
      <c r="G48" s="24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</row>
    <row r="49">
      <c r="A49" s="325"/>
      <c r="B49" s="325"/>
      <c r="C49" s="180"/>
      <c r="D49" s="244"/>
      <c r="E49" s="244"/>
      <c r="F49" s="244"/>
      <c r="G49" s="24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</row>
    <row r="50">
      <c r="A50" s="325"/>
      <c r="B50" s="325"/>
      <c r="C50" s="180"/>
      <c r="D50" s="244"/>
      <c r="E50" s="244"/>
      <c r="F50" s="244"/>
      <c r="G50" s="24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</row>
    <row r="51">
      <c r="A51" s="325"/>
      <c r="B51" s="325"/>
      <c r="C51" s="180"/>
      <c r="D51" s="244"/>
      <c r="E51" s="244"/>
      <c r="F51" s="244"/>
      <c r="G51" s="24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</row>
    <row r="52">
      <c r="A52" s="325"/>
      <c r="B52" s="325"/>
      <c r="C52" s="180"/>
      <c r="D52" s="244"/>
      <c r="E52" s="244"/>
      <c r="F52" s="244"/>
      <c r="G52" s="24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</row>
    <row r="53">
      <c r="A53" s="325"/>
      <c r="B53" s="325"/>
      <c r="C53" s="180"/>
      <c r="D53" s="244"/>
      <c r="E53" s="244"/>
      <c r="F53" s="244"/>
      <c r="G53" s="24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</row>
    <row r="54">
      <c r="A54" s="325"/>
      <c r="B54" s="325"/>
      <c r="C54" s="180"/>
      <c r="D54" s="244"/>
      <c r="E54" s="244"/>
      <c r="F54" s="244"/>
      <c r="G54" s="24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</row>
    <row r="55">
      <c r="A55" s="325"/>
      <c r="B55" s="325"/>
      <c r="C55" s="180"/>
      <c r="D55" s="244"/>
      <c r="E55" s="244"/>
      <c r="F55" s="244"/>
      <c r="G55" s="24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</row>
    <row r="56">
      <c r="A56" s="325"/>
      <c r="B56" s="325"/>
      <c r="C56" s="180"/>
      <c r="D56" s="244"/>
      <c r="E56" s="244"/>
      <c r="F56" s="244"/>
      <c r="G56" s="24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</row>
    <row r="57">
      <c r="A57" s="325"/>
      <c r="B57" s="325"/>
      <c r="C57" s="180"/>
      <c r="D57" s="244"/>
      <c r="E57" s="244"/>
      <c r="F57" s="244"/>
      <c r="G57" s="24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</row>
    <row r="58">
      <c r="A58" s="325"/>
      <c r="B58" s="325"/>
      <c r="C58" s="180"/>
      <c r="D58" s="244"/>
      <c r="E58" s="244"/>
      <c r="F58" s="244"/>
      <c r="G58" s="24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</row>
    <row r="59">
      <c r="A59" s="325"/>
      <c r="B59" s="325"/>
      <c r="C59" s="180"/>
      <c r="D59" s="244"/>
      <c r="E59" s="244"/>
      <c r="F59" s="244"/>
      <c r="G59" s="24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</row>
    <row r="60">
      <c r="A60" s="325"/>
      <c r="B60" s="325"/>
      <c r="C60" s="180"/>
      <c r="D60" s="244"/>
      <c r="E60" s="244"/>
      <c r="F60" s="244"/>
      <c r="G60" s="24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</row>
    <row r="61">
      <c r="A61" s="325"/>
      <c r="B61" s="325"/>
      <c r="C61" s="180"/>
      <c r="D61" s="244"/>
      <c r="E61" s="244"/>
      <c r="F61" s="244"/>
      <c r="G61" s="24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</row>
    <row r="62">
      <c r="A62" s="325"/>
      <c r="B62" s="325"/>
      <c r="C62" s="180"/>
      <c r="D62" s="244"/>
      <c r="E62" s="244"/>
      <c r="F62" s="244"/>
      <c r="G62" s="24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</row>
    <row r="63">
      <c r="A63" s="325"/>
      <c r="B63" s="325"/>
      <c r="C63" s="180"/>
      <c r="D63" s="244"/>
      <c r="E63" s="244"/>
      <c r="F63" s="244"/>
      <c r="G63" s="24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</row>
    <row r="64">
      <c r="A64" s="325"/>
      <c r="B64" s="325"/>
      <c r="C64" s="180"/>
      <c r="D64" s="244"/>
      <c r="E64" s="244"/>
      <c r="F64" s="244"/>
      <c r="G64" s="24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</row>
    <row r="65">
      <c r="A65" s="325"/>
      <c r="B65" s="325"/>
      <c r="C65" s="180"/>
      <c r="D65" s="244"/>
      <c r="E65" s="244"/>
      <c r="F65" s="244"/>
      <c r="G65" s="24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</row>
    <row r="66">
      <c r="A66" s="325"/>
      <c r="B66" s="325"/>
      <c r="C66" s="180"/>
      <c r="D66" s="244"/>
      <c r="E66" s="244"/>
      <c r="F66" s="244"/>
      <c r="G66" s="24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</row>
    <row r="67">
      <c r="A67" s="325"/>
      <c r="B67" s="325"/>
      <c r="C67" s="180"/>
      <c r="D67" s="244"/>
      <c r="E67" s="244"/>
      <c r="F67" s="244"/>
      <c r="G67" s="24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</row>
    <row r="68">
      <c r="A68" s="325"/>
      <c r="B68" s="325"/>
      <c r="C68" s="180"/>
      <c r="D68" s="244"/>
      <c r="E68" s="244"/>
      <c r="F68" s="244"/>
      <c r="G68" s="24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</row>
    <row r="69">
      <c r="A69" s="325"/>
      <c r="B69" s="325"/>
      <c r="C69" s="180"/>
      <c r="D69" s="244"/>
      <c r="E69" s="244"/>
      <c r="F69" s="244"/>
      <c r="G69" s="24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</row>
    <row r="70">
      <c r="A70" s="325"/>
      <c r="B70" s="325"/>
      <c r="C70" s="180"/>
      <c r="D70" s="244"/>
      <c r="E70" s="244"/>
      <c r="F70" s="244"/>
      <c r="G70" s="24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</row>
    <row r="71">
      <c r="A71" s="325"/>
      <c r="B71" s="325"/>
      <c r="C71" s="180"/>
      <c r="D71" s="244"/>
      <c r="E71" s="244"/>
      <c r="F71" s="244"/>
      <c r="G71" s="24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</row>
    <row r="72">
      <c r="A72" s="325"/>
      <c r="B72" s="325"/>
      <c r="C72" s="180"/>
      <c r="D72" s="244"/>
      <c r="E72" s="244"/>
      <c r="F72" s="244"/>
      <c r="G72" s="24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</row>
    <row r="73">
      <c r="A73" s="325"/>
      <c r="B73" s="325"/>
      <c r="C73" s="180"/>
      <c r="D73" s="244"/>
      <c r="E73" s="244"/>
      <c r="F73" s="244"/>
      <c r="G73" s="24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</row>
    <row r="74">
      <c r="A74" s="325"/>
      <c r="B74" s="325"/>
      <c r="C74" s="180"/>
      <c r="D74" s="244"/>
      <c r="E74" s="244"/>
      <c r="F74" s="244"/>
      <c r="G74" s="24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</row>
    <row r="75">
      <c r="A75" s="325"/>
      <c r="B75" s="325"/>
      <c r="C75" s="180"/>
      <c r="D75" s="244"/>
      <c r="E75" s="244"/>
      <c r="F75" s="244"/>
      <c r="G75" s="24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</row>
    <row r="76">
      <c r="A76" s="325"/>
      <c r="B76" s="325"/>
      <c r="C76" s="180"/>
      <c r="D76" s="244"/>
      <c r="E76" s="244"/>
      <c r="F76" s="244"/>
      <c r="G76" s="24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</row>
    <row r="77">
      <c r="A77" s="325"/>
      <c r="B77" s="325"/>
      <c r="C77" s="180"/>
      <c r="D77" s="244"/>
      <c r="E77" s="244"/>
      <c r="F77" s="244"/>
      <c r="G77" s="24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</row>
    <row r="78">
      <c r="A78" s="325"/>
      <c r="B78" s="325"/>
      <c r="C78" s="180"/>
      <c r="D78" s="244"/>
      <c r="E78" s="244"/>
      <c r="F78" s="244"/>
      <c r="G78" s="24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</row>
    <row r="79">
      <c r="A79" s="325"/>
      <c r="B79" s="325"/>
      <c r="C79" s="180"/>
      <c r="D79" s="244"/>
      <c r="E79" s="244"/>
      <c r="F79" s="244"/>
      <c r="G79" s="24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</row>
    <row r="80">
      <c r="A80" s="325"/>
      <c r="B80" s="325"/>
      <c r="C80" s="180"/>
      <c r="D80" s="244"/>
      <c r="E80" s="244"/>
      <c r="F80" s="244"/>
      <c r="G80" s="24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</row>
    <row r="81">
      <c r="A81" s="325"/>
      <c r="B81" s="325"/>
      <c r="C81" s="180"/>
      <c r="D81" s="244"/>
      <c r="E81" s="244"/>
      <c r="F81" s="244"/>
      <c r="G81" s="24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</row>
    <row r="82">
      <c r="A82" s="325"/>
      <c r="B82" s="325"/>
      <c r="C82" s="180"/>
      <c r="D82" s="244"/>
      <c r="E82" s="244"/>
      <c r="F82" s="244"/>
      <c r="G82" s="24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</row>
    <row r="83">
      <c r="A83" s="325"/>
      <c r="B83" s="325"/>
      <c r="C83" s="180"/>
      <c r="D83" s="244"/>
      <c r="E83" s="244"/>
      <c r="F83" s="244"/>
      <c r="G83" s="24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</row>
    <row r="84">
      <c r="A84" s="325"/>
      <c r="B84" s="325"/>
      <c r="C84" s="180"/>
      <c r="D84" s="244"/>
      <c r="E84" s="244"/>
      <c r="F84" s="244"/>
      <c r="G84" s="24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</row>
    <row r="85">
      <c r="A85" s="325"/>
      <c r="B85" s="325"/>
      <c r="C85" s="180"/>
      <c r="D85" s="244"/>
      <c r="E85" s="244"/>
      <c r="F85" s="244"/>
      <c r="G85" s="24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</row>
    <row r="86">
      <c r="A86" s="325"/>
      <c r="B86" s="325"/>
      <c r="C86" s="180"/>
      <c r="D86" s="244"/>
      <c r="E86" s="244"/>
      <c r="F86" s="244"/>
      <c r="G86" s="24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</row>
    <row r="87">
      <c r="A87" s="325"/>
      <c r="B87" s="325"/>
      <c r="C87" s="180"/>
      <c r="D87" s="244"/>
      <c r="E87" s="244"/>
      <c r="F87" s="244"/>
      <c r="G87" s="24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</row>
    <row r="88">
      <c r="A88" s="325"/>
      <c r="B88" s="325"/>
      <c r="C88" s="180"/>
      <c r="D88" s="244"/>
      <c r="E88" s="244"/>
      <c r="F88" s="244"/>
      <c r="G88" s="24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</row>
    <row r="89">
      <c r="A89" s="325"/>
      <c r="B89" s="325"/>
      <c r="C89" s="180"/>
      <c r="D89" s="244"/>
      <c r="E89" s="244"/>
      <c r="F89" s="244"/>
      <c r="G89" s="24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</row>
    <row r="90">
      <c r="A90" s="325"/>
      <c r="B90" s="325"/>
      <c r="C90" s="180"/>
      <c r="D90" s="244"/>
      <c r="E90" s="244"/>
      <c r="F90" s="244"/>
      <c r="G90" s="24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</row>
    <row r="91">
      <c r="A91" s="325"/>
      <c r="B91" s="325"/>
      <c r="C91" s="180"/>
      <c r="D91" s="244"/>
      <c r="E91" s="244"/>
      <c r="F91" s="244"/>
      <c r="G91" s="24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</row>
    <row r="92">
      <c r="A92" s="325"/>
      <c r="B92" s="325"/>
      <c r="C92" s="180"/>
      <c r="D92" s="244"/>
      <c r="E92" s="244"/>
      <c r="F92" s="244"/>
      <c r="G92" s="24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</row>
    <row r="93">
      <c r="A93" s="325"/>
      <c r="B93" s="325"/>
      <c r="C93" s="180"/>
      <c r="D93" s="244"/>
      <c r="E93" s="244"/>
      <c r="F93" s="244"/>
      <c r="G93" s="24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</row>
    <row r="94">
      <c r="A94" s="325"/>
      <c r="B94" s="325"/>
      <c r="C94" s="180"/>
      <c r="D94" s="244"/>
      <c r="E94" s="244"/>
      <c r="F94" s="244"/>
      <c r="G94" s="24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</row>
    <row r="95">
      <c r="A95" s="325"/>
      <c r="B95" s="325"/>
      <c r="C95" s="180"/>
      <c r="D95" s="244"/>
      <c r="E95" s="244"/>
      <c r="F95" s="244"/>
      <c r="G95" s="24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</row>
    <row r="96">
      <c r="A96" s="325"/>
      <c r="B96" s="325"/>
      <c r="C96" s="180"/>
      <c r="D96" s="244"/>
      <c r="E96" s="244"/>
      <c r="F96" s="244"/>
      <c r="G96" s="24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</row>
    <row r="97">
      <c r="A97" s="325"/>
      <c r="B97" s="325"/>
      <c r="C97" s="180"/>
      <c r="D97" s="244"/>
      <c r="E97" s="244"/>
      <c r="F97" s="244"/>
      <c r="G97" s="24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</row>
    <row r="98">
      <c r="A98" s="325"/>
      <c r="B98" s="325"/>
      <c r="C98" s="180"/>
      <c r="D98" s="244"/>
      <c r="E98" s="244"/>
      <c r="F98" s="244"/>
      <c r="G98" s="24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</row>
    <row r="99">
      <c r="A99" s="325"/>
      <c r="B99" s="325"/>
      <c r="C99" s="180"/>
      <c r="D99" s="244"/>
      <c r="E99" s="244"/>
      <c r="F99" s="244"/>
      <c r="G99" s="24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</row>
    <row r="100">
      <c r="A100" s="325"/>
      <c r="B100" s="325"/>
      <c r="C100" s="180"/>
      <c r="D100" s="244"/>
      <c r="E100" s="244"/>
      <c r="F100" s="244"/>
      <c r="G100" s="24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</row>
    <row r="101">
      <c r="A101" s="325"/>
      <c r="B101" s="325"/>
      <c r="C101" s="180"/>
      <c r="D101" s="244"/>
      <c r="E101" s="244"/>
      <c r="F101" s="244"/>
      <c r="G101" s="24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</row>
    <row r="102">
      <c r="A102" s="325"/>
      <c r="B102" s="325"/>
      <c r="C102" s="180"/>
      <c r="D102" s="244"/>
      <c r="E102" s="244"/>
      <c r="F102" s="244"/>
      <c r="G102" s="24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</row>
    <row r="103">
      <c r="A103" s="325"/>
      <c r="B103" s="325"/>
      <c r="C103" s="180"/>
      <c r="D103" s="244"/>
      <c r="E103" s="244"/>
      <c r="F103" s="244"/>
      <c r="G103" s="24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</row>
    <row r="104">
      <c r="A104" s="325"/>
      <c r="B104" s="325"/>
      <c r="C104" s="180"/>
      <c r="D104" s="244"/>
      <c r="E104" s="244"/>
      <c r="F104" s="244"/>
      <c r="G104" s="24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</row>
    <row r="105">
      <c r="A105" s="325"/>
      <c r="B105" s="325"/>
      <c r="C105" s="180"/>
      <c r="D105" s="244"/>
      <c r="E105" s="244"/>
      <c r="F105" s="244"/>
      <c r="G105" s="24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</row>
    <row r="106">
      <c r="A106" s="325"/>
      <c r="B106" s="325"/>
      <c r="C106" s="180"/>
      <c r="D106" s="244"/>
      <c r="E106" s="244"/>
      <c r="F106" s="244"/>
      <c r="G106" s="24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</row>
    <row r="107">
      <c r="A107" s="325"/>
      <c r="B107" s="325"/>
      <c r="C107" s="180"/>
      <c r="D107" s="244"/>
      <c r="E107" s="244"/>
      <c r="F107" s="244"/>
      <c r="G107" s="24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</row>
    <row r="108">
      <c r="A108" s="325"/>
      <c r="B108" s="325"/>
      <c r="C108" s="180"/>
      <c r="D108" s="244"/>
      <c r="E108" s="244"/>
      <c r="F108" s="244"/>
      <c r="G108" s="24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</row>
    <row r="109">
      <c r="A109" s="325"/>
      <c r="B109" s="325"/>
      <c r="C109" s="180"/>
      <c r="D109" s="244"/>
      <c r="E109" s="244"/>
      <c r="F109" s="244"/>
      <c r="G109" s="24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</row>
    <row r="110">
      <c r="A110" s="325"/>
      <c r="B110" s="325"/>
      <c r="C110" s="180"/>
      <c r="D110" s="244"/>
      <c r="E110" s="244"/>
      <c r="F110" s="244"/>
      <c r="G110" s="24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</row>
    <row r="111">
      <c r="A111" s="325"/>
      <c r="B111" s="325"/>
      <c r="C111" s="180"/>
      <c r="D111" s="244"/>
      <c r="E111" s="244"/>
      <c r="F111" s="244"/>
      <c r="G111" s="24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</row>
    <row r="112">
      <c r="A112" s="325"/>
      <c r="B112" s="325"/>
      <c r="C112" s="180"/>
      <c r="D112" s="244"/>
      <c r="E112" s="244"/>
      <c r="F112" s="244"/>
      <c r="G112" s="24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</row>
    <row r="113">
      <c r="A113" s="325"/>
      <c r="B113" s="325"/>
      <c r="C113" s="180"/>
      <c r="D113" s="244"/>
      <c r="E113" s="244"/>
      <c r="F113" s="244"/>
      <c r="G113" s="24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</row>
    <row r="114">
      <c r="A114" s="325"/>
      <c r="B114" s="325"/>
      <c r="C114" s="180"/>
      <c r="D114" s="244"/>
      <c r="E114" s="244"/>
      <c r="F114" s="244"/>
      <c r="G114" s="24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</row>
    <row r="115">
      <c r="A115" s="325"/>
      <c r="B115" s="325"/>
      <c r="C115" s="180"/>
      <c r="D115" s="244"/>
      <c r="E115" s="244"/>
      <c r="F115" s="244"/>
      <c r="G115" s="24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</row>
    <row r="116">
      <c r="A116" s="325"/>
      <c r="B116" s="325"/>
      <c r="C116" s="180"/>
      <c r="D116" s="244"/>
      <c r="E116" s="244"/>
      <c r="F116" s="244"/>
      <c r="G116" s="24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</row>
    <row r="117">
      <c r="A117" s="325"/>
      <c r="B117" s="325"/>
      <c r="C117" s="180"/>
      <c r="D117" s="244"/>
      <c r="E117" s="244"/>
      <c r="F117" s="244"/>
      <c r="G117" s="24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</row>
    <row r="118">
      <c r="A118" s="325"/>
      <c r="B118" s="325"/>
      <c r="C118" s="180"/>
      <c r="D118" s="244"/>
      <c r="E118" s="244"/>
      <c r="F118" s="244"/>
      <c r="G118" s="24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</row>
    <row r="119">
      <c r="A119" s="325"/>
      <c r="B119" s="325"/>
      <c r="C119" s="180"/>
      <c r="D119" s="244"/>
      <c r="E119" s="244"/>
      <c r="F119" s="244"/>
      <c r="G119" s="24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</row>
    <row r="120">
      <c r="A120" s="325"/>
      <c r="B120" s="325"/>
      <c r="C120" s="180"/>
      <c r="D120" s="244"/>
      <c r="E120" s="244"/>
      <c r="F120" s="244"/>
      <c r="G120" s="24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</row>
    <row r="121">
      <c r="A121" s="325"/>
      <c r="B121" s="325"/>
      <c r="C121" s="180"/>
      <c r="D121" s="244"/>
      <c r="E121" s="244"/>
      <c r="F121" s="244"/>
      <c r="G121" s="24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</row>
    <row r="122">
      <c r="A122" s="325"/>
      <c r="B122" s="325"/>
      <c r="C122" s="180"/>
      <c r="D122" s="244"/>
      <c r="E122" s="244"/>
      <c r="F122" s="244"/>
      <c r="G122" s="24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</row>
    <row r="123">
      <c r="A123" s="325"/>
      <c r="B123" s="325"/>
      <c r="C123" s="180"/>
      <c r="D123" s="244"/>
      <c r="E123" s="244"/>
      <c r="F123" s="244"/>
      <c r="G123" s="24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</row>
    <row r="124">
      <c r="A124" s="325"/>
      <c r="B124" s="325"/>
      <c r="C124" s="180"/>
      <c r="D124" s="244"/>
      <c r="E124" s="244"/>
      <c r="F124" s="244"/>
      <c r="G124" s="24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</row>
    <row r="125">
      <c r="A125" s="325"/>
      <c r="B125" s="325"/>
      <c r="C125" s="180"/>
      <c r="D125" s="244"/>
      <c r="E125" s="244"/>
      <c r="F125" s="244"/>
      <c r="G125" s="24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</row>
    <row r="126">
      <c r="A126" s="325"/>
      <c r="B126" s="325"/>
      <c r="C126" s="180"/>
      <c r="D126" s="244"/>
      <c r="E126" s="244"/>
      <c r="F126" s="244"/>
      <c r="G126" s="24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</row>
    <row r="127">
      <c r="A127" s="325"/>
      <c r="B127" s="325"/>
      <c r="C127" s="180"/>
      <c r="D127" s="244"/>
      <c r="E127" s="244"/>
      <c r="F127" s="244"/>
      <c r="G127" s="24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</row>
    <row r="128">
      <c r="A128" s="325"/>
      <c r="B128" s="325"/>
      <c r="C128" s="180"/>
      <c r="D128" s="244"/>
      <c r="E128" s="244"/>
      <c r="F128" s="244"/>
      <c r="G128" s="24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</row>
    <row r="129">
      <c r="A129" s="325"/>
      <c r="B129" s="325"/>
      <c r="C129" s="180"/>
      <c r="D129" s="244"/>
      <c r="E129" s="244"/>
      <c r="F129" s="244"/>
      <c r="G129" s="24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</row>
    <row r="130">
      <c r="A130" s="325"/>
      <c r="B130" s="325"/>
      <c r="C130" s="180"/>
      <c r="D130" s="244"/>
      <c r="E130" s="244"/>
      <c r="F130" s="244"/>
      <c r="G130" s="24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</row>
    <row r="131">
      <c r="A131" s="325"/>
      <c r="B131" s="325"/>
      <c r="C131" s="180"/>
      <c r="D131" s="244"/>
      <c r="E131" s="244"/>
      <c r="F131" s="244"/>
      <c r="G131" s="24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</row>
    <row r="132">
      <c r="A132" s="325"/>
      <c r="B132" s="325"/>
      <c r="C132" s="180"/>
      <c r="D132" s="244"/>
      <c r="E132" s="244"/>
      <c r="F132" s="244"/>
      <c r="G132" s="24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</row>
    <row r="133">
      <c r="A133" s="325"/>
      <c r="B133" s="325"/>
      <c r="C133" s="180"/>
      <c r="D133" s="244"/>
      <c r="E133" s="244"/>
      <c r="F133" s="244"/>
      <c r="G133" s="24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</row>
    <row r="134">
      <c r="A134" s="325"/>
      <c r="B134" s="325"/>
      <c r="C134" s="180"/>
      <c r="D134" s="244"/>
      <c r="E134" s="244"/>
      <c r="F134" s="244"/>
      <c r="G134" s="24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</row>
    <row r="135">
      <c r="A135" s="325"/>
      <c r="B135" s="325"/>
      <c r="C135" s="180"/>
      <c r="D135" s="244"/>
      <c r="E135" s="244"/>
      <c r="F135" s="244"/>
      <c r="G135" s="24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</row>
    <row r="136">
      <c r="A136" s="325"/>
      <c r="B136" s="325"/>
      <c r="C136" s="180"/>
      <c r="D136" s="244"/>
      <c r="E136" s="244"/>
      <c r="F136" s="244"/>
      <c r="G136" s="24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</row>
    <row r="137">
      <c r="A137" s="325"/>
      <c r="B137" s="325"/>
      <c r="C137" s="180"/>
      <c r="D137" s="244"/>
      <c r="E137" s="244"/>
      <c r="F137" s="244"/>
      <c r="G137" s="24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</row>
    <row r="138">
      <c r="A138" s="325"/>
      <c r="B138" s="325"/>
      <c r="C138" s="180"/>
      <c r="D138" s="244"/>
      <c r="E138" s="244"/>
      <c r="F138" s="244"/>
      <c r="G138" s="24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</row>
    <row r="139">
      <c r="A139" s="325"/>
      <c r="B139" s="325"/>
      <c r="C139" s="180"/>
      <c r="D139" s="244"/>
      <c r="E139" s="244"/>
      <c r="F139" s="244"/>
      <c r="G139" s="24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</row>
    <row r="140">
      <c r="A140" s="325"/>
      <c r="B140" s="325"/>
      <c r="C140" s="180"/>
      <c r="D140" s="244"/>
      <c r="E140" s="244"/>
      <c r="F140" s="244"/>
      <c r="G140" s="24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</row>
    <row r="141">
      <c r="A141" s="325"/>
      <c r="B141" s="325"/>
      <c r="C141" s="180"/>
      <c r="D141" s="244"/>
      <c r="E141" s="244"/>
      <c r="F141" s="244"/>
      <c r="G141" s="24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</row>
    <row r="142">
      <c r="A142" s="325"/>
      <c r="B142" s="325"/>
      <c r="C142" s="180"/>
      <c r="D142" s="244"/>
      <c r="E142" s="244"/>
      <c r="F142" s="244"/>
      <c r="G142" s="24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</row>
    <row r="143">
      <c r="A143" s="325"/>
      <c r="B143" s="325"/>
      <c r="C143" s="180"/>
      <c r="D143" s="244"/>
      <c r="E143" s="244"/>
      <c r="F143" s="244"/>
      <c r="G143" s="24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</row>
    <row r="144">
      <c r="A144" s="325"/>
      <c r="B144" s="325"/>
      <c r="C144" s="180"/>
      <c r="D144" s="244"/>
      <c r="E144" s="244"/>
      <c r="F144" s="244"/>
      <c r="G144" s="24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</row>
    <row r="145">
      <c r="A145" s="325"/>
      <c r="B145" s="325"/>
      <c r="C145" s="180"/>
      <c r="D145" s="244"/>
      <c r="E145" s="244"/>
      <c r="F145" s="244"/>
      <c r="G145" s="24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</row>
    <row r="146">
      <c r="A146" s="325"/>
      <c r="B146" s="325"/>
      <c r="C146" s="180"/>
      <c r="D146" s="244"/>
      <c r="E146" s="244"/>
      <c r="F146" s="244"/>
      <c r="G146" s="24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</row>
    <row r="147">
      <c r="A147" s="325"/>
      <c r="B147" s="325"/>
      <c r="C147" s="180"/>
      <c r="D147" s="244"/>
      <c r="E147" s="244"/>
      <c r="F147" s="244"/>
      <c r="G147" s="24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</row>
    <row r="148">
      <c r="A148" s="325"/>
      <c r="B148" s="325"/>
      <c r="C148" s="180"/>
      <c r="D148" s="244"/>
      <c r="E148" s="244"/>
      <c r="F148" s="244"/>
      <c r="G148" s="24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</row>
    <row r="149">
      <c r="A149" s="325"/>
      <c r="B149" s="325"/>
      <c r="C149" s="180"/>
      <c r="D149" s="244"/>
      <c r="E149" s="244"/>
      <c r="F149" s="244"/>
      <c r="G149" s="24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</row>
    <row r="150">
      <c r="A150" s="325"/>
      <c r="B150" s="325"/>
      <c r="C150" s="180"/>
      <c r="D150" s="244"/>
      <c r="E150" s="244"/>
      <c r="F150" s="244"/>
      <c r="G150" s="24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</row>
    <row r="151">
      <c r="A151" s="325"/>
      <c r="B151" s="325"/>
      <c r="C151" s="180"/>
      <c r="D151" s="244"/>
      <c r="E151" s="244"/>
      <c r="F151" s="244"/>
      <c r="G151" s="24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</row>
    <row r="152">
      <c r="A152" s="325"/>
      <c r="B152" s="325"/>
      <c r="C152" s="180"/>
      <c r="D152" s="244"/>
      <c r="E152" s="244"/>
      <c r="F152" s="244"/>
      <c r="G152" s="24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</row>
    <row r="153">
      <c r="A153" s="325"/>
      <c r="B153" s="325"/>
      <c r="C153" s="180"/>
      <c r="D153" s="244"/>
      <c r="E153" s="244"/>
      <c r="F153" s="244"/>
      <c r="G153" s="24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</row>
    <row r="154">
      <c r="A154" s="325"/>
      <c r="B154" s="325"/>
      <c r="C154" s="180"/>
      <c r="D154" s="244"/>
      <c r="E154" s="244"/>
      <c r="F154" s="244"/>
      <c r="G154" s="24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</row>
    <row r="155">
      <c r="A155" s="325"/>
      <c r="B155" s="325"/>
      <c r="C155" s="180"/>
      <c r="D155" s="244"/>
      <c r="E155" s="244"/>
      <c r="F155" s="244"/>
      <c r="G155" s="24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</row>
    <row r="156">
      <c r="A156" s="325"/>
      <c r="B156" s="325"/>
      <c r="C156" s="180"/>
      <c r="D156" s="244"/>
      <c r="E156" s="244"/>
      <c r="F156" s="244"/>
      <c r="G156" s="24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</row>
    <row r="157">
      <c r="A157" s="325"/>
      <c r="B157" s="325"/>
      <c r="C157" s="180"/>
      <c r="D157" s="244"/>
      <c r="E157" s="244"/>
      <c r="F157" s="244"/>
      <c r="G157" s="24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</row>
    <row r="158">
      <c r="A158" s="325"/>
      <c r="B158" s="325"/>
      <c r="C158" s="180"/>
      <c r="D158" s="244"/>
      <c r="E158" s="244"/>
      <c r="F158" s="244"/>
      <c r="G158" s="24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</row>
    <row r="159">
      <c r="A159" s="325"/>
      <c r="B159" s="325"/>
      <c r="C159" s="180"/>
      <c r="D159" s="244"/>
      <c r="E159" s="244"/>
      <c r="F159" s="244"/>
      <c r="G159" s="24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</row>
    <row r="160">
      <c r="A160" s="325"/>
      <c r="B160" s="325"/>
      <c r="C160" s="180"/>
      <c r="D160" s="244"/>
      <c r="E160" s="244"/>
      <c r="F160" s="244"/>
      <c r="G160" s="24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</row>
    <row r="161">
      <c r="A161" s="325"/>
      <c r="B161" s="325"/>
      <c r="C161" s="180"/>
      <c r="D161" s="244"/>
      <c r="E161" s="244"/>
      <c r="F161" s="244"/>
      <c r="G161" s="24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</row>
    <row r="162">
      <c r="A162" s="325"/>
      <c r="B162" s="325"/>
      <c r="C162" s="180"/>
      <c r="D162" s="244"/>
      <c r="E162" s="244"/>
      <c r="F162" s="244"/>
      <c r="G162" s="24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</row>
    <row r="163">
      <c r="A163" s="325"/>
      <c r="B163" s="325"/>
      <c r="C163" s="180"/>
      <c r="D163" s="244"/>
      <c r="E163" s="244"/>
      <c r="F163" s="244"/>
      <c r="G163" s="24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</row>
    <row r="164">
      <c r="A164" s="325"/>
      <c r="B164" s="325"/>
      <c r="C164" s="180"/>
      <c r="D164" s="244"/>
      <c r="E164" s="244"/>
      <c r="F164" s="244"/>
      <c r="G164" s="24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</row>
    <row r="165">
      <c r="A165" s="325"/>
      <c r="B165" s="325"/>
      <c r="C165" s="180"/>
      <c r="D165" s="244"/>
      <c r="E165" s="244"/>
      <c r="F165" s="244"/>
      <c r="G165" s="24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</row>
    <row r="166">
      <c r="A166" s="325"/>
      <c r="B166" s="325"/>
      <c r="C166" s="180"/>
      <c r="D166" s="244"/>
      <c r="E166" s="244"/>
      <c r="F166" s="244"/>
      <c r="G166" s="24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</row>
    <row r="167">
      <c r="A167" s="325"/>
      <c r="B167" s="325"/>
      <c r="C167" s="180"/>
      <c r="D167" s="244"/>
      <c r="E167" s="244"/>
      <c r="F167" s="244"/>
      <c r="G167" s="24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</row>
    <row r="168">
      <c r="A168" s="325"/>
      <c r="B168" s="325"/>
      <c r="C168" s="180"/>
      <c r="D168" s="244"/>
      <c r="E168" s="244"/>
      <c r="F168" s="244"/>
      <c r="G168" s="24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</row>
    <row r="169">
      <c r="A169" s="325"/>
      <c r="B169" s="325"/>
      <c r="C169" s="180"/>
      <c r="D169" s="244"/>
      <c r="E169" s="244"/>
      <c r="F169" s="244"/>
      <c r="G169" s="24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</row>
    <row r="170">
      <c r="A170" s="325"/>
      <c r="B170" s="325"/>
      <c r="C170" s="180"/>
      <c r="D170" s="244"/>
      <c r="E170" s="244"/>
      <c r="F170" s="244"/>
      <c r="G170" s="24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</row>
    <row r="171">
      <c r="A171" s="325"/>
      <c r="B171" s="325"/>
      <c r="C171" s="180"/>
      <c r="D171" s="244"/>
      <c r="E171" s="244"/>
      <c r="F171" s="244"/>
      <c r="G171" s="24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</row>
    <row r="172">
      <c r="A172" s="325"/>
      <c r="B172" s="325"/>
      <c r="C172" s="180"/>
      <c r="D172" s="244"/>
      <c r="E172" s="244"/>
      <c r="F172" s="244"/>
      <c r="G172" s="24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</row>
    <row r="173">
      <c r="A173" s="325"/>
      <c r="B173" s="325"/>
      <c r="C173" s="180"/>
      <c r="D173" s="244"/>
      <c r="E173" s="244"/>
      <c r="F173" s="244"/>
      <c r="G173" s="24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</row>
    <row r="174">
      <c r="A174" s="325"/>
      <c r="B174" s="325"/>
      <c r="C174" s="180"/>
      <c r="D174" s="244"/>
      <c r="E174" s="244"/>
      <c r="F174" s="244"/>
      <c r="G174" s="24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</row>
    <row r="175">
      <c r="A175" s="325"/>
      <c r="B175" s="325"/>
      <c r="C175" s="180"/>
      <c r="D175" s="244"/>
      <c r="E175" s="244"/>
      <c r="F175" s="244"/>
      <c r="G175" s="24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</row>
    <row r="176">
      <c r="A176" s="325"/>
      <c r="B176" s="325"/>
      <c r="C176" s="180"/>
      <c r="D176" s="244"/>
      <c r="E176" s="244"/>
      <c r="F176" s="244"/>
      <c r="G176" s="24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</row>
    <row r="177">
      <c r="A177" s="325"/>
      <c r="B177" s="325"/>
      <c r="C177" s="180"/>
      <c r="D177" s="244"/>
      <c r="E177" s="244"/>
      <c r="F177" s="244"/>
      <c r="G177" s="24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</row>
    <row r="178">
      <c r="A178" s="325"/>
      <c r="B178" s="325"/>
      <c r="C178" s="180"/>
      <c r="D178" s="244"/>
      <c r="E178" s="244"/>
      <c r="F178" s="244"/>
      <c r="G178" s="24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</row>
    <row r="179">
      <c r="A179" s="325"/>
      <c r="B179" s="325"/>
      <c r="C179" s="180"/>
      <c r="D179" s="244"/>
      <c r="E179" s="244"/>
      <c r="F179" s="244"/>
      <c r="G179" s="24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</row>
    <row r="180">
      <c r="A180" s="325"/>
      <c r="B180" s="325"/>
      <c r="C180" s="180"/>
      <c r="D180" s="244"/>
      <c r="E180" s="244"/>
      <c r="F180" s="244"/>
      <c r="G180" s="24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</row>
    <row r="181">
      <c r="A181" s="325"/>
      <c r="B181" s="325"/>
      <c r="C181" s="180"/>
      <c r="D181" s="244"/>
      <c r="E181" s="244"/>
      <c r="F181" s="244"/>
      <c r="G181" s="24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</row>
    <row r="182">
      <c r="A182" s="325"/>
      <c r="B182" s="325"/>
      <c r="C182" s="180"/>
      <c r="D182" s="244"/>
      <c r="E182" s="244"/>
      <c r="F182" s="244"/>
      <c r="G182" s="24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</row>
    <row r="183">
      <c r="A183" s="325"/>
      <c r="B183" s="325"/>
      <c r="C183" s="180"/>
      <c r="D183" s="244"/>
      <c r="E183" s="244"/>
      <c r="F183" s="244"/>
      <c r="G183" s="24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</row>
    <row r="184">
      <c r="A184" s="325"/>
      <c r="B184" s="325"/>
      <c r="C184" s="180"/>
      <c r="D184" s="244"/>
      <c r="E184" s="244"/>
      <c r="F184" s="244"/>
      <c r="G184" s="24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</row>
    <row r="185">
      <c r="A185" s="325"/>
      <c r="B185" s="325"/>
      <c r="C185" s="180"/>
      <c r="D185" s="244"/>
      <c r="E185" s="244"/>
      <c r="F185" s="244"/>
      <c r="G185" s="24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</row>
    <row r="186">
      <c r="A186" s="325"/>
      <c r="B186" s="325"/>
      <c r="C186" s="180"/>
      <c r="D186" s="244"/>
      <c r="E186" s="244"/>
      <c r="F186" s="244"/>
      <c r="G186" s="24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</row>
    <row r="187">
      <c r="A187" s="325"/>
      <c r="B187" s="325"/>
      <c r="C187" s="180"/>
      <c r="D187" s="244"/>
      <c r="E187" s="244"/>
      <c r="F187" s="244"/>
      <c r="G187" s="24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</row>
    <row r="188">
      <c r="A188" s="325"/>
      <c r="B188" s="325"/>
      <c r="C188" s="180"/>
      <c r="D188" s="244"/>
      <c r="E188" s="244"/>
      <c r="F188" s="244"/>
      <c r="G188" s="24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</row>
    <row r="189">
      <c r="A189" s="325"/>
      <c r="B189" s="325"/>
      <c r="C189" s="180"/>
      <c r="D189" s="244"/>
      <c r="E189" s="244"/>
      <c r="F189" s="244"/>
      <c r="G189" s="24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</row>
    <row r="190">
      <c r="A190" s="325"/>
      <c r="B190" s="325"/>
      <c r="C190" s="180"/>
      <c r="D190" s="244"/>
      <c r="E190" s="244"/>
      <c r="F190" s="244"/>
      <c r="G190" s="24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</row>
    <row r="191">
      <c r="A191" s="325"/>
      <c r="B191" s="325"/>
      <c r="C191" s="180"/>
      <c r="D191" s="244"/>
      <c r="E191" s="244"/>
      <c r="F191" s="244"/>
      <c r="G191" s="24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</row>
    <row r="192">
      <c r="A192" s="325"/>
      <c r="B192" s="325"/>
      <c r="C192" s="180"/>
      <c r="D192" s="244"/>
      <c r="E192" s="244"/>
      <c r="F192" s="244"/>
      <c r="G192" s="24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</row>
    <row r="193">
      <c r="A193" s="325"/>
      <c r="B193" s="325"/>
      <c r="C193" s="180"/>
      <c r="D193" s="244"/>
      <c r="E193" s="244"/>
      <c r="F193" s="244"/>
      <c r="G193" s="24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</row>
    <row r="194">
      <c r="A194" s="325"/>
      <c r="B194" s="325"/>
      <c r="C194" s="180"/>
      <c r="D194" s="244"/>
      <c r="E194" s="244"/>
      <c r="F194" s="244"/>
      <c r="G194" s="24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</row>
    <row r="195">
      <c r="A195" s="325"/>
      <c r="B195" s="325"/>
      <c r="C195" s="180"/>
      <c r="D195" s="244"/>
      <c r="E195" s="244"/>
      <c r="F195" s="244"/>
      <c r="G195" s="24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</row>
    <row r="196">
      <c r="A196" s="325"/>
      <c r="B196" s="325"/>
      <c r="C196" s="180"/>
      <c r="D196" s="244"/>
      <c r="E196" s="244"/>
      <c r="F196" s="244"/>
      <c r="G196" s="24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</row>
    <row r="197">
      <c r="A197" s="325"/>
      <c r="B197" s="325"/>
      <c r="C197" s="180"/>
      <c r="D197" s="244"/>
      <c r="E197" s="244"/>
      <c r="F197" s="244"/>
      <c r="G197" s="24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</row>
    <row r="198">
      <c r="A198" s="325"/>
      <c r="B198" s="325"/>
      <c r="C198" s="180"/>
      <c r="D198" s="244"/>
      <c r="E198" s="244"/>
      <c r="F198" s="244"/>
      <c r="G198" s="24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</row>
    <row r="199">
      <c r="A199" s="325"/>
      <c r="B199" s="325"/>
      <c r="C199" s="180"/>
      <c r="D199" s="244"/>
      <c r="E199" s="244"/>
      <c r="F199" s="244"/>
      <c r="G199" s="24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</row>
    <row r="200">
      <c r="A200" s="325"/>
      <c r="B200" s="325"/>
      <c r="C200" s="180"/>
      <c r="D200" s="244"/>
      <c r="E200" s="244"/>
      <c r="F200" s="244"/>
      <c r="G200" s="24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</row>
    <row r="201">
      <c r="A201" s="325"/>
      <c r="B201" s="325"/>
      <c r="C201" s="180"/>
      <c r="D201" s="244"/>
      <c r="E201" s="244"/>
      <c r="F201" s="244"/>
      <c r="G201" s="24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</row>
    <row r="202">
      <c r="A202" s="325"/>
      <c r="B202" s="325"/>
      <c r="C202" s="180"/>
      <c r="D202" s="244"/>
      <c r="E202" s="244"/>
      <c r="F202" s="244"/>
      <c r="G202" s="24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</row>
    <row r="203">
      <c r="A203" s="325"/>
      <c r="B203" s="325"/>
      <c r="C203" s="180"/>
      <c r="D203" s="244"/>
      <c r="E203" s="244"/>
      <c r="F203" s="244"/>
      <c r="G203" s="24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</row>
    <row r="204">
      <c r="A204" s="325"/>
      <c r="B204" s="325"/>
      <c r="C204" s="180"/>
      <c r="D204" s="244"/>
      <c r="E204" s="244"/>
      <c r="F204" s="244"/>
      <c r="G204" s="24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</row>
    <row r="205">
      <c r="A205" s="325"/>
      <c r="B205" s="325"/>
      <c r="C205" s="180"/>
      <c r="D205" s="244"/>
      <c r="E205" s="244"/>
      <c r="F205" s="244"/>
      <c r="G205" s="24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</row>
    <row r="206">
      <c r="A206" s="325"/>
      <c r="B206" s="325"/>
      <c r="C206" s="180"/>
      <c r="D206" s="244"/>
      <c r="E206" s="244"/>
      <c r="F206" s="244"/>
      <c r="G206" s="24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</row>
    <row r="207">
      <c r="A207" s="325"/>
      <c r="B207" s="325"/>
      <c r="C207" s="180"/>
      <c r="D207" s="244"/>
      <c r="E207" s="244"/>
      <c r="F207" s="244"/>
      <c r="G207" s="24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</row>
    <row r="208">
      <c r="A208" s="325"/>
      <c r="B208" s="325"/>
      <c r="C208" s="180"/>
      <c r="D208" s="244"/>
      <c r="E208" s="244"/>
      <c r="F208" s="244"/>
      <c r="G208" s="24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</row>
    <row r="209">
      <c r="A209" s="325"/>
      <c r="B209" s="325"/>
      <c r="C209" s="180"/>
      <c r="D209" s="244"/>
      <c r="E209" s="244"/>
      <c r="F209" s="244"/>
      <c r="G209" s="24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</row>
    <row r="210">
      <c r="A210" s="325"/>
      <c r="B210" s="325"/>
      <c r="C210" s="180"/>
      <c r="D210" s="244"/>
      <c r="E210" s="244"/>
      <c r="F210" s="244"/>
      <c r="G210" s="24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</row>
    <row r="211">
      <c r="A211" s="325"/>
      <c r="B211" s="325"/>
      <c r="C211" s="180"/>
      <c r="D211" s="244"/>
      <c r="E211" s="244"/>
      <c r="F211" s="244"/>
      <c r="G211" s="24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</row>
    <row r="212">
      <c r="A212" s="325"/>
      <c r="B212" s="325"/>
      <c r="C212" s="180"/>
      <c r="D212" s="244"/>
      <c r="E212" s="244"/>
      <c r="F212" s="244"/>
      <c r="G212" s="24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</row>
    <row r="213">
      <c r="A213" s="325"/>
      <c r="B213" s="325"/>
      <c r="C213" s="180"/>
      <c r="D213" s="244"/>
      <c r="E213" s="244"/>
      <c r="F213" s="244"/>
      <c r="G213" s="24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</row>
    <row r="214">
      <c r="A214" s="325"/>
      <c r="B214" s="325"/>
      <c r="C214" s="180"/>
      <c r="D214" s="244"/>
      <c r="E214" s="244"/>
      <c r="F214" s="244"/>
      <c r="G214" s="24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</row>
    <row r="215">
      <c r="A215" s="325"/>
      <c r="B215" s="325"/>
      <c r="C215" s="180"/>
      <c r="D215" s="244"/>
      <c r="E215" s="244"/>
      <c r="F215" s="244"/>
      <c r="G215" s="24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</row>
    <row r="216">
      <c r="A216" s="325"/>
      <c r="B216" s="325"/>
      <c r="C216" s="180"/>
      <c r="D216" s="244"/>
      <c r="E216" s="244"/>
      <c r="F216" s="244"/>
      <c r="G216" s="24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</row>
    <row r="217">
      <c r="A217" s="325"/>
      <c r="B217" s="325"/>
      <c r="C217" s="180"/>
      <c r="D217" s="244"/>
      <c r="E217" s="244"/>
      <c r="F217" s="244"/>
      <c r="G217" s="24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</row>
    <row r="218">
      <c r="A218" s="325"/>
      <c r="B218" s="325"/>
      <c r="C218" s="180"/>
      <c r="D218" s="244"/>
      <c r="E218" s="244"/>
      <c r="F218" s="244"/>
      <c r="G218" s="24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</row>
    <row r="219">
      <c r="A219" s="325"/>
      <c r="B219" s="325"/>
      <c r="C219" s="180"/>
      <c r="D219" s="244"/>
      <c r="E219" s="244"/>
      <c r="F219" s="244"/>
      <c r="G219" s="24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</row>
    <row r="220">
      <c r="A220" s="325"/>
      <c r="B220" s="325"/>
      <c r="C220" s="180"/>
      <c r="D220" s="244"/>
      <c r="E220" s="244"/>
      <c r="F220" s="244"/>
      <c r="G220" s="24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</row>
    <row r="221">
      <c r="A221" s="325"/>
      <c r="B221" s="325"/>
      <c r="C221" s="180"/>
      <c r="D221" s="244"/>
      <c r="E221" s="244"/>
      <c r="F221" s="244"/>
      <c r="G221" s="24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</row>
    <row r="222">
      <c r="A222" s="325"/>
      <c r="B222" s="325"/>
      <c r="C222" s="180"/>
      <c r="D222" s="244"/>
      <c r="E222" s="244"/>
      <c r="F222" s="244"/>
      <c r="G222" s="24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</row>
    <row r="223">
      <c r="A223" s="325"/>
      <c r="B223" s="325"/>
      <c r="C223" s="180"/>
      <c r="D223" s="244"/>
      <c r="E223" s="244"/>
      <c r="F223" s="244"/>
      <c r="G223" s="24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</row>
    <row r="224">
      <c r="A224" s="325"/>
      <c r="B224" s="325"/>
      <c r="C224" s="180"/>
      <c r="D224" s="244"/>
      <c r="E224" s="244"/>
      <c r="F224" s="244"/>
      <c r="G224" s="24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</row>
    <row r="225">
      <c r="A225" s="325"/>
      <c r="B225" s="325"/>
      <c r="C225" s="180"/>
      <c r="D225" s="244"/>
      <c r="E225" s="244"/>
      <c r="F225" s="244"/>
      <c r="G225" s="24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</row>
    <row r="226">
      <c r="A226" s="325"/>
      <c r="B226" s="325"/>
      <c r="C226" s="180"/>
      <c r="D226" s="244"/>
      <c r="E226" s="244"/>
      <c r="F226" s="244"/>
      <c r="G226" s="24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</row>
    <row r="227">
      <c r="A227" s="325"/>
      <c r="B227" s="325"/>
      <c r="C227" s="180"/>
      <c r="D227" s="244"/>
      <c r="E227" s="244"/>
      <c r="F227" s="244"/>
      <c r="G227" s="24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</row>
    <row r="228">
      <c r="A228" s="325"/>
      <c r="B228" s="325"/>
      <c r="C228" s="180"/>
      <c r="D228" s="244"/>
      <c r="E228" s="244"/>
      <c r="F228" s="244"/>
      <c r="G228" s="24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</row>
    <row r="229">
      <c r="A229" s="325"/>
      <c r="B229" s="325"/>
      <c r="C229" s="180"/>
      <c r="D229" s="244"/>
      <c r="E229" s="244"/>
      <c r="F229" s="244"/>
      <c r="G229" s="24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</row>
    <row r="230">
      <c r="A230" s="325"/>
      <c r="B230" s="325"/>
      <c r="C230" s="180"/>
      <c r="D230" s="244"/>
      <c r="E230" s="244"/>
      <c r="F230" s="244"/>
      <c r="G230" s="24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</row>
    <row r="231">
      <c r="A231" s="325"/>
      <c r="B231" s="325"/>
      <c r="C231" s="180"/>
      <c r="D231" s="244"/>
      <c r="E231" s="244"/>
      <c r="F231" s="244"/>
      <c r="G231" s="24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</row>
    <row r="232">
      <c r="A232" s="325"/>
      <c r="B232" s="325"/>
      <c r="C232" s="180"/>
      <c r="D232" s="244"/>
      <c r="E232" s="244"/>
      <c r="F232" s="244"/>
      <c r="G232" s="24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</row>
    <row r="233">
      <c r="A233" s="325"/>
      <c r="B233" s="325"/>
      <c r="C233" s="180"/>
      <c r="D233" s="244"/>
      <c r="E233" s="244"/>
      <c r="F233" s="244"/>
      <c r="G233" s="24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</row>
    <row r="234">
      <c r="A234" s="325"/>
      <c r="B234" s="325"/>
      <c r="C234" s="180"/>
      <c r="D234" s="244"/>
      <c r="E234" s="244"/>
      <c r="F234" s="244"/>
      <c r="G234" s="24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</row>
    <row r="235">
      <c r="A235" s="325"/>
      <c r="B235" s="325"/>
      <c r="C235" s="180"/>
      <c r="D235" s="244"/>
      <c r="E235" s="244"/>
      <c r="F235" s="244"/>
      <c r="G235" s="24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</row>
    <row r="236">
      <c r="A236" s="325"/>
      <c r="B236" s="325"/>
      <c r="C236" s="180"/>
      <c r="D236" s="244"/>
      <c r="E236" s="244"/>
      <c r="F236" s="244"/>
      <c r="G236" s="24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</row>
    <row r="237">
      <c r="A237" s="325"/>
      <c r="B237" s="325"/>
      <c r="C237" s="180"/>
      <c r="D237" s="244"/>
      <c r="E237" s="244"/>
      <c r="F237" s="244"/>
      <c r="G237" s="24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</row>
    <row r="238">
      <c r="A238" s="325"/>
      <c r="B238" s="325"/>
      <c r="C238" s="180"/>
      <c r="D238" s="244"/>
      <c r="E238" s="244"/>
      <c r="F238" s="244"/>
      <c r="G238" s="24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</row>
    <row r="239">
      <c r="A239" s="325"/>
      <c r="B239" s="325"/>
      <c r="C239" s="180"/>
      <c r="D239" s="244"/>
      <c r="E239" s="244"/>
      <c r="F239" s="244"/>
      <c r="G239" s="24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</row>
    <row r="240">
      <c r="A240" s="325"/>
      <c r="B240" s="325"/>
      <c r="C240" s="180"/>
      <c r="D240" s="244"/>
      <c r="E240" s="244"/>
      <c r="F240" s="244"/>
      <c r="G240" s="24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</row>
    <row r="241">
      <c r="A241" s="325"/>
      <c r="B241" s="325"/>
      <c r="C241" s="180"/>
      <c r="D241" s="244"/>
      <c r="E241" s="244"/>
      <c r="F241" s="244"/>
      <c r="G241" s="24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</row>
    <row r="242">
      <c r="A242" s="325"/>
      <c r="B242" s="325"/>
      <c r="C242" s="180"/>
      <c r="D242" s="244"/>
      <c r="E242" s="244"/>
      <c r="F242" s="244"/>
      <c r="G242" s="24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</row>
    <row r="243">
      <c r="A243" s="325"/>
      <c r="B243" s="325"/>
      <c r="C243" s="180"/>
      <c r="D243" s="244"/>
      <c r="E243" s="244"/>
      <c r="F243" s="244"/>
      <c r="G243" s="24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</row>
    <row r="244">
      <c r="A244" s="325"/>
      <c r="B244" s="325"/>
      <c r="C244" s="180"/>
      <c r="D244" s="244"/>
      <c r="E244" s="244"/>
      <c r="F244" s="244"/>
      <c r="G244" s="24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</row>
    <row r="245">
      <c r="A245" s="325"/>
      <c r="B245" s="325"/>
      <c r="C245" s="180"/>
      <c r="D245" s="244"/>
      <c r="E245" s="244"/>
      <c r="F245" s="244"/>
      <c r="G245" s="24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</row>
    <row r="246">
      <c r="A246" s="325"/>
      <c r="B246" s="325"/>
      <c r="C246" s="180"/>
      <c r="D246" s="244"/>
      <c r="E246" s="244"/>
      <c r="F246" s="244"/>
      <c r="G246" s="24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</row>
    <row r="247">
      <c r="A247" s="325"/>
      <c r="B247" s="325"/>
      <c r="C247" s="180"/>
      <c r="D247" s="244"/>
      <c r="E247" s="244"/>
      <c r="F247" s="244"/>
      <c r="G247" s="24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</row>
    <row r="248">
      <c r="A248" s="325"/>
      <c r="B248" s="325"/>
      <c r="C248" s="180"/>
      <c r="D248" s="244"/>
      <c r="E248" s="244"/>
      <c r="F248" s="244"/>
      <c r="G248" s="24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</row>
    <row r="249">
      <c r="A249" s="325"/>
      <c r="B249" s="325"/>
      <c r="C249" s="180"/>
      <c r="D249" s="244"/>
      <c r="E249" s="244"/>
      <c r="F249" s="244"/>
      <c r="G249" s="24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</row>
    <row r="250">
      <c r="A250" s="325"/>
      <c r="B250" s="325"/>
      <c r="C250" s="180"/>
      <c r="D250" s="244"/>
      <c r="E250" s="244"/>
      <c r="F250" s="244"/>
      <c r="G250" s="24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</row>
    <row r="251">
      <c r="A251" s="325"/>
      <c r="B251" s="325"/>
      <c r="C251" s="180"/>
      <c r="D251" s="244"/>
      <c r="E251" s="244"/>
      <c r="F251" s="244"/>
      <c r="G251" s="24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</row>
    <row r="252">
      <c r="A252" s="325"/>
      <c r="B252" s="325"/>
      <c r="C252" s="180"/>
      <c r="D252" s="244"/>
      <c r="E252" s="244"/>
      <c r="F252" s="244"/>
      <c r="G252" s="24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</row>
    <row r="253">
      <c r="A253" s="325"/>
      <c r="B253" s="325"/>
      <c r="C253" s="180"/>
      <c r="D253" s="244"/>
      <c r="E253" s="244"/>
      <c r="F253" s="244"/>
      <c r="G253" s="24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</row>
    <row r="254">
      <c r="A254" s="325"/>
      <c r="B254" s="325"/>
      <c r="C254" s="180"/>
      <c r="D254" s="244"/>
      <c r="E254" s="244"/>
      <c r="F254" s="244"/>
      <c r="G254" s="24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</row>
    <row r="255">
      <c r="A255" s="325"/>
      <c r="B255" s="325"/>
      <c r="C255" s="180"/>
      <c r="D255" s="244"/>
      <c r="E255" s="244"/>
      <c r="F255" s="244"/>
      <c r="G255" s="24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</row>
    <row r="256">
      <c r="A256" s="325"/>
      <c r="B256" s="325"/>
      <c r="C256" s="180"/>
      <c r="D256" s="244"/>
      <c r="E256" s="244"/>
      <c r="F256" s="244"/>
      <c r="G256" s="24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</row>
    <row r="257">
      <c r="A257" s="325"/>
      <c r="B257" s="325"/>
      <c r="C257" s="180"/>
      <c r="D257" s="244"/>
      <c r="E257" s="244"/>
      <c r="F257" s="244"/>
      <c r="G257" s="24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</row>
    <row r="258">
      <c r="A258" s="325"/>
      <c r="B258" s="325"/>
      <c r="C258" s="180"/>
      <c r="D258" s="244"/>
      <c r="E258" s="244"/>
      <c r="F258" s="244"/>
      <c r="G258" s="24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</row>
    <row r="259">
      <c r="A259" s="325"/>
      <c r="B259" s="325"/>
      <c r="C259" s="180"/>
      <c r="D259" s="244"/>
      <c r="E259" s="244"/>
      <c r="F259" s="244"/>
      <c r="G259" s="24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</row>
    <row r="260">
      <c r="A260" s="325"/>
      <c r="B260" s="325"/>
      <c r="C260" s="180"/>
      <c r="D260" s="244"/>
      <c r="E260" s="244"/>
      <c r="F260" s="244"/>
      <c r="G260" s="24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</row>
    <row r="261">
      <c r="A261" s="325"/>
      <c r="B261" s="325"/>
      <c r="C261" s="180"/>
      <c r="D261" s="244"/>
      <c r="E261" s="244"/>
      <c r="F261" s="244"/>
      <c r="G261" s="24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</row>
    <row r="262">
      <c r="A262" s="325"/>
      <c r="B262" s="325"/>
      <c r="C262" s="180"/>
      <c r="D262" s="244"/>
      <c r="E262" s="244"/>
      <c r="F262" s="244"/>
      <c r="G262" s="24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</row>
    <row r="263">
      <c r="A263" s="325"/>
      <c r="B263" s="325"/>
      <c r="C263" s="180"/>
      <c r="D263" s="244"/>
      <c r="E263" s="244"/>
      <c r="F263" s="244"/>
      <c r="G263" s="24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</row>
    <row r="264">
      <c r="A264" s="325"/>
      <c r="B264" s="325"/>
      <c r="C264" s="180"/>
      <c r="D264" s="244"/>
      <c r="E264" s="244"/>
      <c r="F264" s="244"/>
      <c r="G264" s="24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</row>
    <row r="265">
      <c r="A265" s="325"/>
      <c r="B265" s="325"/>
      <c r="C265" s="180"/>
      <c r="D265" s="244"/>
      <c r="E265" s="244"/>
      <c r="F265" s="244"/>
      <c r="G265" s="24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</row>
    <row r="266">
      <c r="A266" s="325"/>
      <c r="B266" s="325"/>
      <c r="C266" s="180"/>
      <c r="D266" s="244"/>
      <c r="E266" s="244"/>
      <c r="F266" s="244"/>
      <c r="G266" s="24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</row>
    <row r="267">
      <c r="A267" s="325"/>
      <c r="B267" s="325"/>
      <c r="C267" s="180"/>
      <c r="D267" s="244"/>
      <c r="E267" s="244"/>
      <c r="F267" s="244"/>
      <c r="G267" s="244"/>
      <c r="H267" s="194"/>
      <c r="I267" s="194"/>
      <c r="J267" s="194"/>
      <c r="K267" s="194"/>
      <c r="L267" s="194"/>
      <c r="M267" s="194"/>
      <c r="N267" s="194"/>
      <c r="O267" s="194"/>
      <c r="P267" s="194"/>
      <c r="Q267" s="194"/>
      <c r="R267" s="194"/>
    </row>
    <row r="268">
      <c r="A268" s="325"/>
      <c r="B268" s="325"/>
      <c r="C268" s="180"/>
      <c r="D268" s="244"/>
      <c r="E268" s="244"/>
      <c r="F268" s="244"/>
      <c r="G268" s="244"/>
      <c r="H268" s="194"/>
      <c r="I268" s="194"/>
      <c r="J268" s="194"/>
      <c r="K268" s="194"/>
      <c r="L268" s="194"/>
      <c r="M268" s="194"/>
      <c r="N268" s="194"/>
      <c r="O268" s="194"/>
      <c r="P268" s="194"/>
      <c r="Q268" s="194"/>
      <c r="R268" s="194"/>
    </row>
    <row r="269">
      <c r="A269" s="325"/>
      <c r="B269" s="325"/>
      <c r="C269" s="180"/>
      <c r="D269" s="244"/>
      <c r="E269" s="244"/>
      <c r="F269" s="244"/>
      <c r="G269" s="24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</row>
    <row r="270">
      <c r="A270" s="325"/>
      <c r="B270" s="325"/>
      <c r="C270" s="180"/>
      <c r="D270" s="244"/>
      <c r="E270" s="244"/>
      <c r="F270" s="244"/>
      <c r="G270" s="24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</row>
    <row r="271">
      <c r="A271" s="325"/>
      <c r="B271" s="325"/>
      <c r="C271" s="180"/>
      <c r="D271" s="244"/>
      <c r="E271" s="244"/>
      <c r="F271" s="244"/>
      <c r="G271" s="24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</row>
    <row r="272">
      <c r="A272" s="325"/>
      <c r="B272" s="325"/>
      <c r="C272" s="180"/>
      <c r="D272" s="244"/>
      <c r="E272" s="244"/>
      <c r="F272" s="244"/>
      <c r="G272" s="24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</row>
    <row r="273">
      <c r="A273" s="325"/>
      <c r="B273" s="325"/>
      <c r="C273" s="180"/>
      <c r="D273" s="244"/>
      <c r="E273" s="244"/>
      <c r="F273" s="244"/>
      <c r="G273" s="24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</row>
    <row r="274">
      <c r="A274" s="325"/>
      <c r="B274" s="325"/>
      <c r="C274" s="180"/>
      <c r="D274" s="244"/>
      <c r="E274" s="244"/>
      <c r="F274" s="244"/>
      <c r="G274" s="24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</row>
    <row r="275">
      <c r="A275" s="325"/>
      <c r="B275" s="325"/>
      <c r="C275" s="180"/>
      <c r="D275" s="244"/>
      <c r="E275" s="244"/>
      <c r="F275" s="244"/>
      <c r="G275" s="24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</row>
    <row r="276">
      <c r="A276" s="325"/>
      <c r="B276" s="325"/>
      <c r="C276" s="180"/>
      <c r="D276" s="244"/>
      <c r="E276" s="244"/>
      <c r="F276" s="244"/>
      <c r="G276" s="24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</row>
    <row r="277">
      <c r="A277" s="325"/>
      <c r="B277" s="325"/>
      <c r="C277" s="180"/>
      <c r="D277" s="244"/>
      <c r="E277" s="244"/>
      <c r="F277" s="244"/>
      <c r="G277" s="24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</row>
    <row r="278">
      <c r="A278" s="325"/>
      <c r="B278" s="325"/>
      <c r="C278" s="180"/>
      <c r="D278" s="244"/>
      <c r="E278" s="244"/>
      <c r="F278" s="244"/>
      <c r="G278" s="24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</row>
    <row r="279">
      <c r="A279" s="325"/>
      <c r="B279" s="325"/>
      <c r="C279" s="180"/>
      <c r="D279" s="244"/>
      <c r="E279" s="244"/>
      <c r="F279" s="244"/>
      <c r="G279" s="24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</row>
    <row r="280">
      <c r="A280" s="325"/>
      <c r="B280" s="325"/>
      <c r="C280" s="180"/>
      <c r="D280" s="244"/>
      <c r="E280" s="244"/>
      <c r="F280" s="244"/>
      <c r="G280" s="24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</row>
    <row r="281">
      <c r="A281" s="325"/>
      <c r="B281" s="325"/>
      <c r="C281" s="180"/>
      <c r="D281" s="244"/>
      <c r="E281" s="244"/>
      <c r="F281" s="244"/>
      <c r="G281" s="24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</row>
    <row r="282">
      <c r="A282" s="325"/>
      <c r="B282" s="325"/>
      <c r="C282" s="180"/>
      <c r="D282" s="244"/>
      <c r="E282" s="244"/>
      <c r="F282" s="244"/>
      <c r="G282" s="24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</row>
    <row r="283">
      <c r="A283" s="325"/>
      <c r="B283" s="325"/>
      <c r="C283" s="180"/>
      <c r="D283" s="244"/>
      <c r="E283" s="244"/>
      <c r="F283" s="244"/>
      <c r="G283" s="24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</row>
    <row r="284">
      <c r="A284" s="325"/>
      <c r="B284" s="325"/>
      <c r="C284" s="180"/>
      <c r="D284" s="244"/>
      <c r="E284" s="244"/>
      <c r="F284" s="244"/>
      <c r="G284" s="24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</row>
    <row r="285">
      <c r="A285" s="325"/>
      <c r="B285" s="325"/>
      <c r="C285" s="180"/>
      <c r="D285" s="244"/>
      <c r="E285" s="244"/>
      <c r="F285" s="244"/>
      <c r="G285" s="24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</row>
    <row r="286">
      <c r="A286" s="325"/>
      <c r="B286" s="325"/>
      <c r="C286" s="180"/>
      <c r="D286" s="244"/>
      <c r="E286" s="244"/>
      <c r="F286" s="244"/>
      <c r="G286" s="24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</row>
    <row r="287">
      <c r="A287" s="325"/>
      <c r="B287" s="325"/>
      <c r="C287" s="180"/>
      <c r="D287" s="244"/>
      <c r="E287" s="244"/>
      <c r="F287" s="244"/>
      <c r="G287" s="24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</row>
    <row r="288">
      <c r="A288" s="325"/>
      <c r="B288" s="325"/>
      <c r="C288" s="180"/>
      <c r="D288" s="244"/>
      <c r="E288" s="244"/>
      <c r="F288" s="244"/>
      <c r="G288" s="24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</row>
    <row r="289">
      <c r="A289" s="325"/>
      <c r="B289" s="325"/>
      <c r="C289" s="180"/>
      <c r="D289" s="244"/>
      <c r="E289" s="244"/>
      <c r="F289" s="244"/>
      <c r="G289" s="24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</row>
    <row r="290">
      <c r="A290" s="325"/>
      <c r="B290" s="325"/>
      <c r="C290" s="180"/>
      <c r="D290" s="244"/>
      <c r="E290" s="244"/>
      <c r="F290" s="244"/>
      <c r="G290" s="24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</row>
    <row r="291">
      <c r="A291" s="325"/>
      <c r="B291" s="325"/>
      <c r="C291" s="180"/>
      <c r="D291" s="244"/>
      <c r="E291" s="244"/>
      <c r="F291" s="244"/>
      <c r="G291" s="24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</row>
    <row r="292">
      <c r="A292" s="325"/>
      <c r="B292" s="325"/>
      <c r="C292" s="180"/>
      <c r="D292" s="244"/>
      <c r="E292" s="244"/>
      <c r="F292" s="244"/>
      <c r="G292" s="24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</row>
    <row r="293">
      <c r="A293" s="325"/>
      <c r="B293" s="325"/>
      <c r="C293" s="180"/>
      <c r="D293" s="244"/>
      <c r="E293" s="244"/>
      <c r="F293" s="244"/>
      <c r="G293" s="244"/>
      <c r="H293" s="194"/>
      <c r="I293" s="194"/>
      <c r="J293" s="194"/>
      <c r="K293" s="194"/>
      <c r="L293" s="194"/>
      <c r="M293" s="194"/>
      <c r="N293" s="194"/>
      <c r="O293" s="194"/>
      <c r="P293" s="194"/>
      <c r="Q293" s="194"/>
      <c r="R293" s="194"/>
    </row>
    <row r="294">
      <c r="A294" s="325"/>
      <c r="B294" s="325"/>
      <c r="C294" s="180"/>
      <c r="D294" s="244"/>
      <c r="E294" s="244"/>
      <c r="F294" s="244"/>
      <c r="G294" s="24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</row>
    <row r="295">
      <c r="A295" s="325"/>
      <c r="B295" s="325"/>
      <c r="C295" s="180"/>
      <c r="D295" s="244"/>
      <c r="E295" s="244"/>
      <c r="F295" s="244"/>
      <c r="G295" s="24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</row>
    <row r="296">
      <c r="A296" s="325"/>
      <c r="B296" s="325"/>
      <c r="C296" s="180"/>
      <c r="D296" s="244"/>
      <c r="E296" s="244"/>
      <c r="F296" s="244"/>
      <c r="G296" s="24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</row>
    <row r="297">
      <c r="A297" s="325"/>
      <c r="B297" s="325"/>
      <c r="C297" s="180"/>
      <c r="D297" s="244"/>
      <c r="E297" s="244"/>
      <c r="F297" s="244"/>
      <c r="G297" s="24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</row>
    <row r="298">
      <c r="A298" s="325"/>
      <c r="B298" s="325"/>
      <c r="C298" s="180"/>
      <c r="D298" s="244"/>
      <c r="E298" s="244"/>
      <c r="F298" s="244"/>
      <c r="G298" s="24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</row>
    <row r="299">
      <c r="A299" s="325"/>
      <c r="B299" s="325"/>
      <c r="C299" s="180"/>
      <c r="D299" s="244"/>
      <c r="E299" s="244"/>
      <c r="F299" s="244"/>
      <c r="G299" s="24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</row>
    <row r="300">
      <c r="A300" s="325"/>
      <c r="B300" s="325"/>
      <c r="C300" s="180"/>
      <c r="D300" s="244"/>
      <c r="E300" s="244"/>
      <c r="F300" s="244"/>
      <c r="G300" s="24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</row>
    <row r="301">
      <c r="A301" s="325"/>
      <c r="B301" s="325"/>
      <c r="C301" s="180"/>
      <c r="D301" s="244"/>
      <c r="E301" s="244"/>
      <c r="F301" s="244"/>
      <c r="G301" s="24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</row>
    <row r="302">
      <c r="A302" s="325"/>
      <c r="B302" s="325"/>
      <c r="C302" s="180"/>
      <c r="D302" s="244"/>
      <c r="E302" s="244"/>
      <c r="F302" s="244"/>
      <c r="G302" s="24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</row>
    <row r="303">
      <c r="A303" s="325"/>
      <c r="B303" s="325"/>
      <c r="C303" s="180"/>
      <c r="D303" s="244"/>
      <c r="E303" s="244"/>
      <c r="F303" s="244"/>
      <c r="G303" s="24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</row>
    <row r="304">
      <c r="A304" s="325"/>
      <c r="B304" s="325"/>
      <c r="C304" s="180"/>
      <c r="D304" s="244"/>
      <c r="E304" s="244"/>
      <c r="F304" s="244"/>
      <c r="G304" s="24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</row>
    <row r="305">
      <c r="A305" s="325"/>
      <c r="B305" s="325"/>
      <c r="C305" s="180"/>
      <c r="D305" s="244"/>
      <c r="E305" s="244"/>
      <c r="F305" s="244"/>
      <c r="G305" s="24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</row>
    <row r="306">
      <c r="A306" s="325"/>
      <c r="B306" s="325"/>
      <c r="C306" s="180"/>
      <c r="D306" s="244"/>
      <c r="E306" s="244"/>
      <c r="F306" s="244"/>
      <c r="G306" s="24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</row>
    <row r="307">
      <c r="A307" s="325"/>
      <c r="B307" s="325"/>
      <c r="C307" s="180"/>
      <c r="D307" s="244"/>
      <c r="E307" s="244"/>
      <c r="F307" s="244"/>
      <c r="G307" s="24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</row>
    <row r="308">
      <c r="A308" s="325"/>
      <c r="B308" s="325"/>
      <c r="C308" s="180"/>
      <c r="D308" s="244"/>
      <c r="E308" s="244"/>
      <c r="F308" s="244"/>
      <c r="G308" s="24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</row>
    <row r="309">
      <c r="A309" s="325"/>
      <c r="B309" s="325"/>
      <c r="C309" s="180"/>
      <c r="D309" s="244"/>
      <c r="E309" s="244"/>
      <c r="F309" s="244"/>
      <c r="G309" s="24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</row>
    <row r="310">
      <c r="A310" s="325"/>
      <c r="B310" s="325"/>
      <c r="C310" s="180"/>
      <c r="D310" s="244"/>
      <c r="E310" s="244"/>
      <c r="F310" s="244"/>
      <c r="G310" s="24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</row>
    <row r="311">
      <c r="A311" s="325"/>
      <c r="B311" s="325"/>
      <c r="C311" s="180"/>
      <c r="D311" s="244"/>
      <c r="E311" s="244"/>
      <c r="F311" s="244"/>
      <c r="G311" s="24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</row>
    <row r="312">
      <c r="A312" s="325"/>
      <c r="B312" s="325"/>
      <c r="C312" s="180"/>
      <c r="D312" s="244"/>
      <c r="E312" s="244"/>
      <c r="F312" s="244"/>
      <c r="G312" s="24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</row>
    <row r="313">
      <c r="A313" s="325"/>
      <c r="B313" s="325"/>
      <c r="C313" s="180"/>
      <c r="D313" s="244"/>
      <c r="E313" s="244"/>
      <c r="F313" s="244"/>
      <c r="G313" s="24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</row>
    <row r="314">
      <c r="A314" s="325"/>
      <c r="B314" s="325"/>
      <c r="C314" s="180"/>
      <c r="D314" s="244"/>
      <c r="E314" s="244"/>
      <c r="F314" s="244"/>
      <c r="G314" s="24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</row>
    <row r="315">
      <c r="A315" s="325"/>
      <c r="B315" s="325"/>
      <c r="C315" s="180"/>
      <c r="D315" s="244"/>
      <c r="E315" s="244"/>
      <c r="F315" s="244"/>
      <c r="G315" s="24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</row>
    <row r="316">
      <c r="A316" s="325"/>
      <c r="B316" s="325"/>
      <c r="C316" s="180"/>
      <c r="D316" s="244"/>
      <c r="E316" s="244"/>
      <c r="F316" s="244"/>
      <c r="G316" s="24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</row>
    <row r="317">
      <c r="A317" s="325"/>
      <c r="B317" s="325"/>
      <c r="C317" s="180"/>
      <c r="D317" s="244"/>
      <c r="E317" s="244"/>
      <c r="F317" s="244"/>
      <c r="G317" s="24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</row>
    <row r="318">
      <c r="A318" s="325"/>
      <c r="B318" s="325"/>
      <c r="C318" s="180"/>
      <c r="D318" s="244"/>
      <c r="E318" s="244"/>
      <c r="F318" s="244"/>
      <c r="G318" s="24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</row>
    <row r="319">
      <c r="A319" s="325"/>
      <c r="B319" s="325"/>
      <c r="C319" s="180"/>
      <c r="D319" s="244"/>
      <c r="E319" s="244"/>
      <c r="F319" s="244"/>
      <c r="G319" s="244"/>
      <c r="H319" s="194"/>
      <c r="I319" s="194"/>
      <c r="J319" s="194"/>
      <c r="K319" s="194"/>
      <c r="L319" s="194"/>
      <c r="M319" s="194"/>
      <c r="N319" s="194"/>
      <c r="O319" s="194"/>
      <c r="P319" s="194"/>
      <c r="Q319" s="194"/>
      <c r="R319" s="194"/>
    </row>
    <row r="320">
      <c r="A320" s="325"/>
      <c r="B320" s="325"/>
      <c r="C320" s="180"/>
      <c r="D320" s="244"/>
      <c r="E320" s="244"/>
      <c r="F320" s="244"/>
      <c r="G320" s="24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</row>
    <row r="321">
      <c r="A321" s="325"/>
      <c r="B321" s="325"/>
      <c r="C321" s="180"/>
      <c r="D321" s="244"/>
      <c r="E321" s="244"/>
      <c r="F321" s="244"/>
      <c r="G321" s="24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</row>
    <row r="322">
      <c r="A322" s="325"/>
      <c r="B322" s="325"/>
      <c r="C322" s="180"/>
      <c r="D322" s="244"/>
      <c r="E322" s="244"/>
      <c r="F322" s="244"/>
      <c r="G322" s="24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</row>
    <row r="323">
      <c r="A323" s="325"/>
      <c r="B323" s="325"/>
      <c r="C323" s="180"/>
      <c r="D323" s="244"/>
      <c r="E323" s="244"/>
      <c r="F323" s="244"/>
      <c r="G323" s="24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</row>
    <row r="324">
      <c r="A324" s="325"/>
      <c r="B324" s="325"/>
      <c r="C324" s="180"/>
      <c r="D324" s="244"/>
      <c r="E324" s="244"/>
      <c r="F324" s="244"/>
      <c r="G324" s="24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</row>
    <row r="325">
      <c r="A325" s="325"/>
      <c r="B325" s="325"/>
      <c r="C325" s="180"/>
      <c r="D325" s="244"/>
      <c r="E325" s="244"/>
      <c r="F325" s="244"/>
      <c r="G325" s="24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</row>
    <row r="326">
      <c r="A326" s="325"/>
      <c r="B326" s="325"/>
      <c r="C326" s="180"/>
      <c r="D326" s="244"/>
      <c r="E326" s="244"/>
      <c r="F326" s="244"/>
      <c r="G326" s="24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</row>
    <row r="327">
      <c r="A327" s="325"/>
      <c r="B327" s="325"/>
      <c r="C327" s="180"/>
      <c r="D327" s="244"/>
      <c r="E327" s="244"/>
      <c r="F327" s="244"/>
      <c r="G327" s="24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</row>
    <row r="328">
      <c r="A328" s="325"/>
      <c r="B328" s="325"/>
      <c r="C328" s="180"/>
      <c r="D328" s="244"/>
      <c r="E328" s="244"/>
      <c r="F328" s="244"/>
      <c r="G328" s="24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</row>
    <row r="329">
      <c r="A329" s="325"/>
      <c r="B329" s="325"/>
      <c r="C329" s="180"/>
      <c r="D329" s="244"/>
      <c r="E329" s="244"/>
      <c r="F329" s="244"/>
      <c r="G329" s="24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</row>
    <row r="330">
      <c r="A330" s="325"/>
      <c r="B330" s="325"/>
      <c r="C330" s="180"/>
      <c r="D330" s="244"/>
      <c r="E330" s="244"/>
      <c r="F330" s="244"/>
      <c r="G330" s="24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</row>
    <row r="331">
      <c r="A331" s="325"/>
      <c r="B331" s="325"/>
      <c r="C331" s="180"/>
      <c r="D331" s="244"/>
      <c r="E331" s="244"/>
      <c r="F331" s="244"/>
      <c r="G331" s="24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</row>
    <row r="332">
      <c r="A332" s="325"/>
      <c r="B332" s="325"/>
      <c r="C332" s="180"/>
      <c r="D332" s="244"/>
      <c r="E332" s="244"/>
      <c r="F332" s="244"/>
      <c r="G332" s="24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</row>
    <row r="333">
      <c r="A333" s="325"/>
      <c r="B333" s="325"/>
      <c r="C333" s="180"/>
      <c r="D333" s="244"/>
      <c r="E333" s="244"/>
      <c r="F333" s="244"/>
      <c r="G333" s="24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</row>
    <row r="334">
      <c r="A334" s="325"/>
      <c r="B334" s="325"/>
      <c r="C334" s="180"/>
      <c r="D334" s="244"/>
      <c r="E334" s="244"/>
      <c r="F334" s="244"/>
      <c r="G334" s="24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</row>
    <row r="335">
      <c r="A335" s="325"/>
      <c r="B335" s="325"/>
      <c r="C335" s="180"/>
      <c r="D335" s="244"/>
      <c r="E335" s="244"/>
      <c r="F335" s="244"/>
      <c r="G335" s="24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</row>
    <row r="336">
      <c r="A336" s="325"/>
      <c r="B336" s="325"/>
      <c r="C336" s="180"/>
      <c r="D336" s="244"/>
      <c r="E336" s="244"/>
      <c r="F336" s="244"/>
      <c r="G336" s="24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</row>
    <row r="337">
      <c r="A337" s="325"/>
      <c r="B337" s="325"/>
      <c r="C337" s="180"/>
      <c r="D337" s="244"/>
      <c r="E337" s="244"/>
      <c r="F337" s="244"/>
      <c r="G337" s="24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</row>
    <row r="338">
      <c r="A338" s="325"/>
      <c r="B338" s="325"/>
      <c r="C338" s="180"/>
      <c r="D338" s="244"/>
      <c r="E338" s="244"/>
      <c r="F338" s="244"/>
      <c r="G338" s="244"/>
      <c r="H338" s="194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</row>
    <row r="339">
      <c r="A339" s="325"/>
      <c r="B339" s="325"/>
      <c r="C339" s="180"/>
      <c r="D339" s="244"/>
      <c r="E339" s="244"/>
      <c r="F339" s="244"/>
      <c r="G339" s="244"/>
      <c r="H339" s="194"/>
      <c r="I339" s="194"/>
      <c r="J339" s="194"/>
      <c r="K339" s="194"/>
      <c r="L339" s="194"/>
      <c r="M339" s="194"/>
      <c r="N339" s="194"/>
      <c r="O339" s="194"/>
      <c r="P339" s="194"/>
      <c r="Q339" s="194"/>
      <c r="R339" s="194"/>
    </row>
    <row r="340">
      <c r="A340" s="325"/>
      <c r="B340" s="325"/>
      <c r="C340" s="180"/>
      <c r="D340" s="244"/>
      <c r="E340" s="244"/>
      <c r="F340" s="244"/>
      <c r="G340" s="24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</row>
    <row r="341">
      <c r="A341" s="325"/>
      <c r="B341" s="325"/>
      <c r="C341" s="180"/>
      <c r="D341" s="244"/>
      <c r="E341" s="244"/>
      <c r="F341" s="244"/>
      <c r="G341" s="24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</row>
    <row r="342">
      <c r="A342" s="325"/>
      <c r="B342" s="325"/>
      <c r="C342" s="180"/>
      <c r="D342" s="244"/>
      <c r="E342" s="244"/>
      <c r="F342" s="244"/>
      <c r="G342" s="24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</row>
    <row r="343">
      <c r="A343" s="325"/>
      <c r="B343" s="325"/>
      <c r="C343" s="180"/>
      <c r="D343" s="244"/>
      <c r="E343" s="244"/>
      <c r="F343" s="244"/>
      <c r="G343" s="24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</row>
    <row r="344">
      <c r="A344" s="325"/>
      <c r="B344" s="325"/>
      <c r="C344" s="180"/>
      <c r="D344" s="244"/>
      <c r="E344" s="244"/>
      <c r="F344" s="244"/>
      <c r="G344" s="24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</row>
    <row r="345">
      <c r="A345" s="325"/>
      <c r="B345" s="325"/>
      <c r="C345" s="180"/>
      <c r="D345" s="244"/>
      <c r="E345" s="244"/>
      <c r="F345" s="244"/>
      <c r="G345" s="24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</row>
    <row r="346">
      <c r="A346" s="325"/>
      <c r="B346" s="325"/>
      <c r="C346" s="180"/>
      <c r="D346" s="244"/>
      <c r="E346" s="244"/>
      <c r="F346" s="244"/>
      <c r="G346" s="24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</row>
    <row r="347">
      <c r="A347" s="325"/>
      <c r="B347" s="325"/>
      <c r="C347" s="180"/>
      <c r="D347" s="244"/>
      <c r="E347" s="244"/>
      <c r="F347" s="244"/>
      <c r="G347" s="24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</row>
    <row r="348">
      <c r="A348" s="325"/>
      <c r="B348" s="325"/>
      <c r="C348" s="180"/>
      <c r="D348" s="244"/>
      <c r="E348" s="244"/>
      <c r="F348" s="244"/>
      <c r="G348" s="24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</row>
    <row r="349">
      <c r="A349" s="325"/>
      <c r="B349" s="325"/>
      <c r="C349" s="180"/>
      <c r="D349" s="244"/>
      <c r="E349" s="244"/>
      <c r="F349" s="244"/>
      <c r="G349" s="24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</row>
    <row r="350">
      <c r="A350" s="325"/>
      <c r="B350" s="325"/>
      <c r="C350" s="180"/>
      <c r="D350" s="244"/>
      <c r="E350" s="244"/>
      <c r="F350" s="244"/>
      <c r="G350" s="24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</row>
    <row r="351">
      <c r="A351" s="325"/>
      <c r="B351" s="325"/>
      <c r="C351" s="180"/>
      <c r="D351" s="244"/>
      <c r="E351" s="244"/>
      <c r="F351" s="244"/>
      <c r="G351" s="24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</row>
    <row r="352">
      <c r="A352" s="325"/>
      <c r="B352" s="325"/>
      <c r="C352" s="180"/>
      <c r="D352" s="244"/>
      <c r="E352" s="244"/>
      <c r="F352" s="244"/>
      <c r="G352" s="24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</row>
    <row r="353">
      <c r="A353" s="325"/>
      <c r="B353" s="325"/>
      <c r="C353" s="180"/>
      <c r="D353" s="244"/>
      <c r="E353" s="244"/>
      <c r="F353" s="244"/>
      <c r="G353" s="24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</row>
    <row r="354">
      <c r="A354" s="325"/>
      <c r="B354" s="325"/>
      <c r="C354" s="180"/>
      <c r="D354" s="244"/>
      <c r="E354" s="244"/>
      <c r="F354" s="244"/>
      <c r="G354" s="24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</row>
    <row r="355">
      <c r="A355" s="325"/>
      <c r="B355" s="325"/>
      <c r="C355" s="180"/>
      <c r="D355" s="244"/>
      <c r="E355" s="244"/>
      <c r="F355" s="244"/>
      <c r="G355" s="24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</row>
    <row r="356">
      <c r="A356" s="325"/>
      <c r="B356" s="325"/>
      <c r="C356" s="180"/>
      <c r="D356" s="244"/>
      <c r="E356" s="244"/>
      <c r="F356" s="244"/>
      <c r="G356" s="24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</row>
    <row r="357">
      <c r="A357" s="325"/>
      <c r="B357" s="325"/>
      <c r="C357" s="180"/>
      <c r="D357" s="244"/>
      <c r="E357" s="244"/>
      <c r="F357" s="244"/>
      <c r="G357" s="24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</row>
    <row r="358">
      <c r="A358" s="325"/>
      <c r="B358" s="325"/>
      <c r="C358" s="180"/>
      <c r="D358" s="244"/>
      <c r="E358" s="244"/>
      <c r="F358" s="244"/>
      <c r="G358" s="244"/>
      <c r="H358" s="194"/>
      <c r="I358" s="194"/>
      <c r="J358" s="194"/>
      <c r="K358" s="194"/>
      <c r="L358" s="194"/>
      <c r="M358" s="194"/>
      <c r="N358" s="194"/>
      <c r="O358" s="194"/>
      <c r="P358" s="194"/>
      <c r="Q358" s="194"/>
      <c r="R358" s="194"/>
    </row>
    <row r="359">
      <c r="A359" s="325"/>
      <c r="B359" s="325"/>
      <c r="C359" s="180"/>
      <c r="D359" s="244"/>
      <c r="E359" s="244"/>
      <c r="F359" s="244"/>
      <c r="G359" s="24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</row>
    <row r="360">
      <c r="A360" s="325"/>
      <c r="B360" s="325"/>
      <c r="C360" s="180"/>
      <c r="D360" s="244"/>
      <c r="E360" s="244"/>
      <c r="F360" s="244"/>
      <c r="G360" s="24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</row>
    <row r="361">
      <c r="A361" s="325"/>
      <c r="B361" s="325"/>
      <c r="C361" s="180"/>
      <c r="D361" s="244"/>
      <c r="E361" s="244"/>
      <c r="F361" s="244"/>
      <c r="G361" s="24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</row>
    <row r="362">
      <c r="A362" s="325"/>
      <c r="B362" s="325"/>
      <c r="C362" s="180"/>
      <c r="D362" s="244"/>
      <c r="E362" s="244"/>
      <c r="F362" s="244"/>
      <c r="G362" s="24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</row>
    <row r="363">
      <c r="A363" s="325"/>
      <c r="B363" s="325"/>
      <c r="C363" s="180"/>
      <c r="D363" s="244"/>
      <c r="E363" s="244"/>
      <c r="F363" s="244"/>
      <c r="G363" s="24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</row>
    <row r="364">
      <c r="A364" s="325"/>
      <c r="B364" s="325"/>
      <c r="C364" s="180"/>
      <c r="D364" s="244"/>
      <c r="E364" s="244"/>
      <c r="F364" s="244"/>
      <c r="G364" s="24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</row>
    <row r="365">
      <c r="A365" s="325"/>
      <c r="B365" s="325"/>
      <c r="C365" s="180"/>
      <c r="D365" s="244"/>
      <c r="E365" s="244"/>
      <c r="F365" s="244"/>
      <c r="G365" s="24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</row>
    <row r="366">
      <c r="A366" s="325"/>
      <c r="B366" s="325"/>
      <c r="C366" s="180"/>
      <c r="D366" s="244"/>
      <c r="E366" s="244"/>
      <c r="F366" s="244"/>
      <c r="G366" s="24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</row>
    <row r="367">
      <c r="A367" s="325"/>
      <c r="B367" s="325"/>
      <c r="C367" s="180"/>
      <c r="D367" s="244"/>
      <c r="E367" s="244"/>
      <c r="F367" s="244"/>
      <c r="G367" s="24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</row>
    <row r="368">
      <c r="A368" s="325"/>
      <c r="B368" s="325"/>
      <c r="C368" s="180"/>
      <c r="D368" s="244"/>
      <c r="E368" s="244"/>
      <c r="F368" s="244"/>
      <c r="G368" s="24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</row>
    <row r="369">
      <c r="A369" s="325"/>
      <c r="B369" s="325"/>
      <c r="C369" s="180"/>
      <c r="D369" s="244"/>
      <c r="E369" s="244"/>
      <c r="F369" s="244"/>
      <c r="G369" s="24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</row>
    <row r="370">
      <c r="A370" s="325"/>
      <c r="B370" s="325"/>
      <c r="C370" s="180"/>
      <c r="D370" s="244"/>
      <c r="E370" s="244"/>
      <c r="F370" s="244"/>
      <c r="G370" s="24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</row>
    <row r="371">
      <c r="A371" s="325"/>
      <c r="B371" s="325"/>
      <c r="C371" s="180"/>
      <c r="D371" s="244"/>
      <c r="E371" s="244"/>
      <c r="F371" s="244"/>
      <c r="G371" s="24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</row>
    <row r="372">
      <c r="A372" s="325"/>
      <c r="B372" s="325"/>
      <c r="C372" s="180"/>
      <c r="D372" s="244"/>
      <c r="E372" s="244"/>
      <c r="F372" s="244"/>
      <c r="G372" s="24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</row>
    <row r="373">
      <c r="A373" s="325"/>
      <c r="B373" s="325"/>
      <c r="C373" s="180"/>
      <c r="D373" s="244"/>
      <c r="E373" s="244"/>
      <c r="F373" s="244"/>
      <c r="G373" s="24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</row>
    <row r="374">
      <c r="A374" s="325"/>
      <c r="B374" s="325"/>
      <c r="C374" s="180"/>
      <c r="D374" s="244"/>
      <c r="E374" s="244"/>
      <c r="F374" s="244"/>
      <c r="G374" s="24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</row>
    <row r="375">
      <c r="A375" s="325"/>
      <c r="B375" s="325"/>
      <c r="C375" s="180"/>
      <c r="D375" s="244"/>
      <c r="E375" s="244"/>
      <c r="F375" s="244"/>
      <c r="G375" s="24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</row>
    <row r="376">
      <c r="A376" s="325"/>
      <c r="B376" s="325"/>
      <c r="C376" s="180"/>
      <c r="D376" s="244"/>
      <c r="E376" s="244"/>
      <c r="F376" s="244"/>
      <c r="G376" s="24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</row>
    <row r="377">
      <c r="A377" s="325"/>
      <c r="B377" s="325"/>
      <c r="C377" s="180"/>
      <c r="D377" s="244"/>
      <c r="E377" s="244"/>
      <c r="F377" s="244"/>
      <c r="G377" s="24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</row>
    <row r="378">
      <c r="A378" s="325"/>
      <c r="B378" s="325"/>
      <c r="C378" s="180"/>
      <c r="D378" s="244"/>
      <c r="E378" s="244"/>
      <c r="F378" s="244"/>
      <c r="G378" s="24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</row>
    <row r="379">
      <c r="A379" s="325"/>
      <c r="B379" s="325"/>
      <c r="C379" s="180"/>
      <c r="D379" s="244"/>
      <c r="E379" s="244"/>
      <c r="F379" s="244"/>
      <c r="G379" s="24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</row>
    <row r="380">
      <c r="A380" s="325"/>
      <c r="B380" s="325"/>
      <c r="C380" s="180"/>
      <c r="D380" s="244"/>
      <c r="E380" s="244"/>
      <c r="F380" s="244"/>
      <c r="G380" s="24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</row>
    <row r="381">
      <c r="A381" s="325"/>
      <c r="B381" s="325"/>
      <c r="C381" s="180"/>
      <c r="D381" s="244"/>
      <c r="E381" s="244"/>
      <c r="F381" s="244"/>
      <c r="G381" s="24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</row>
    <row r="382">
      <c r="A382" s="325"/>
      <c r="B382" s="325"/>
      <c r="C382" s="180"/>
      <c r="D382" s="244"/>
      <c r="E382" s="244"/>
      <c r="F382" s="244"/>
      <c r="G382" s="24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</row>
    <row r="383">
      <c r="A383" s="325"/>
      <c r="B383" s="325"/>
      <c r="C383" s="180"/>
      <c r="D383" s="244"/>
      <c r="E383" s="244"/>
      <c r="F383" s="244"/>
      <c r="G383" s="24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</row>
    <row r="384">
      <c r="A384" s="325"/>
      <c r="B384" s="325"/>
      <c r="C384" s="180"/>
      <c r="D384" s="244"/>
      <c r="E384" s="244"/>
      <c r="F384" s="244"/>
      <c r="G384" s="24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</row>
    <row r="385">
      <c r="A385" s="325"/>
      <c r="B385" s="325"/>
      <c r="C385" s="180"/>
      <c r="D385" s="244"/>
      <c r="E385" s="244"/>
      <c r="F385" s="244"/>
      <c r="G385" s="24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</row>
    <row r="386">
      <c r="A386" s="325"/>
      <c r="B386" s="325"/>
      <c r="C386" s="180"/>
      <c r="D386" s="244"/>
      <c r="E386" s="244"/>
      <c r="F386" s="244"/>
      <c r="G386" s="24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</row>
    <row r="387">
      <c r="A387" s="325"/>
      <c r="B387" s="325"/>
      <c r="C387" s="180"/>
      <c r="D387" s="244"/>
      <c r="E387" s="244"/>
      <c r="F387" s="244"/>
      <c r="G387" s="24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</row>
    <row r="388">
      <c r="A388" s="325"/>
      <c r="B388" s="325"/>
      <c r="C388" s="180"/>
      <c r="D388" s="244"/>
      <c r="E388" s="244"/>
      <c r="F388" s="244"/>
      <c r="G388" s="24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</row>
    <row r="389">
      <c r="A389" s="325"/>
      <c r="B389" s="325"/>
      <c r="C389" s="180"/>
      <c r="D389" s="244"/>
      <c r="E389" s="244"/>
      <c r="F389" s="244"/>
      <c r="G389" s="24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</row>
    <row r="390">
      <c r="A390" s="325"/>
      <c r="B390" s="325"/>
      <c r="C390" s="180"/>
      <c r="D390" s="244"/>
      <c r="E390" s="244"/>
      <c r="F390" s="244"/>
      <c r="G390" s="24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</row>
    <row r="391">
      <c r="A391" s="325"/>
      <c r="B391" s="325"/>
      <c r="C391" s="180"/>
      <c r="D391" s="244"/>
      <c r="E391" s="244"/>
      <c r="F391" s="244"/>
      <c r="G391" s="24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</row>
    <row r="392">
      <c r="A392" s="325"/>
      <c r="B392" s="325"/>
      <c r="C392" s="180"/>
      <c r="D392" s="244"/>
      <c r="E392" s="244"/>
      <c r="F392" s="244"/>
      <c r="G392" s="24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</row>
    <row r="393">
      <c r="A393" s="325"/>
      <c r="B393" s="325"/>
      <c r="C393" s="180"/>
      <c r="D393" s="244"/>
      <c r="E393" s="244"/>
      <c r="F393" s="244"/>
      <c r="G393" s="24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</row>
    <row r="394">
      <c r="A394" s="325"/>
      <c r="B394" s="325"/>
      <c r="C394" s="180"/>
      <c r="D394" s="244"/>
      <c r="E394" s="244"/>
      <c r="F394" s="244"/>
      <c r="G394" s="24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</row>
    <row r="395">
      <c r="A395" s="325"/>
      <c r="B395" s="325"/>
      <c r="C395" s="180"/>
      <c r="D395" s="244"/>
      <c r="E395" s="244"/>
      <c r="F395" s="244"/>
      <c r="G395" s="24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</row>
    <row r="396">
      <c r="A396" s="325"/>
      <c r="B396" s="325"/>
      <c r="C396" s="180"/>
      <c r="D396" s="244"/>
      <c r="E396" s="244"/>
      <c r="F396" s="244"/>
      <c r="G396" s="24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</row>
    <row r="397">
      <c r="A397" s="325"/>
      <c r="B397" s="325"/>
      <c r="C397" s="180"/>
      <c r="D397" s="244"/>
      <c r="E397" s="244"/>
      <c r="F397" s="244"/>
      <c r="G397" s="24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</row>
    <row r="398">
      <c r="A398" s="325"/>
      <c r="B398" s="325"/>
      <c r="C398" s="180"/>
      <c r="D398" s="244"/>
      <c r="E398" s="244"/>
      <c r="F398" s="244"/>
      <c r="G398" s="24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</row>
    <row r="399">
      <c r="A399" s="325"/>
      <c r="B399" s="325"/>
      <c r="C399" s="180"/>
      <c r="D399" s="244"/>
      <c r="E399" s="244"/>
      <c r="F399" s="244"/>
      <c r="G399" s="24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</row>
    <row r="400">
      <c r="A400" s="325"/>
      <c r="B400" s="325"/>
      <c r="C400" s="180"/>
      <c r="D400" s="244"/>
      <c r="E400" s="244"/>
      <c r="F400" s="244"/>
      <c r="G400" s="24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</row>
    <row r="401">
      <c r="A401" s="325"/>
      <c r="B401" s="325"/>
      <c r="C401" s="180"/>
      <c r="D401" s="244"/>
      <c r="E401" s="244"/>
      <c r="F401" s="244"/>
      <c r="G401" s="24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</row>
    <row r="402">
      <c r="A402" s="325"/>
      <c r="B402" s="325"/>
      <c r="C402" s="180"/>
      <c r="D402" s="244"/>
      <c r="E402" s="244"/>
      <c r="F402" s="244"/>
      <c r="G402" s="24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</row>
    <row r="403">
      <c r="A403" s="325"/>
      <c r="B403" s="325"/>
      <c r="C403" s="180"/>
      <c r="D403" s="244"/>
      <c r="E403" s="244"/>
      <c r="F403" s="244"/>
      <c r="G403" s="24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</row>
    <row r="404">
      <c r="A404" s="325"/>
      <c r="B404" s="325"/>
      <c r="C404" s="180"/>
      <c r="D404" s="244"/>
      <c r="E404" s="244"/>
      <c r="F404" s="244"/>
      <c r="G404" s="24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</row>
    <row r="405">
      <c r="A405" s="325"/>
      <c r="B405" s="325"/>
      <c r="C405" s="180"/>
      <c r="D405" s="244"/>
      <c r="E405" s="244"/>
      <c r="F405" s="244"/>
      <c r="G405" s="24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</row>
    <row r="406">
      <c r="A406" s="325"/>
      <c r="B406" s="325"/>
      <c r="C406" s="180"/>
      <c r="D406" s="244"/>
      <c r="E406" s="244"/>
      <c r="F406" s="244"/>
      <c r="G406" s="24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</row>
    <row r="407">
      <c r="A407" s="325"/>
      <c r="B407" s="325"/>
      <c r="C407" s="180"/>
      <c r="D407" s="244"/>
      <c r="E407" s="244"/>
      <c r="F407" s="244"/>
      <c r="G407" s="24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</row>
    <row r="408">
      <c r="A408" s="325"/>
      <c r="B408" s="325"/>
      <c r="C408" s="180"/>
      <c r="D408" s="244"/>
      <c r="E408" s="244"/>
      <c r="F408" s="244"/>
      <c r="G408" s="24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</row>
    <row r="409">
      <c r="A409" s="325"/>
      <c r="B409" s="325"/>
      <c r="C409" s="180"/>
      <c r="D409" s="244"/>
      <c r="E409" s="244"/>
      <c r="F409" s="244"/>
      <c r="G409" s="24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</row>
    <row r="410">
      <c r="A410" s="325"/>
      <c r="B410" s="325"/>
      <c r="C410" s="180"/>
      <c r="D410" s="244"/>
      <c r="E410" s="244"/>
      <c r="F410" s="244"/>
      <c r="G410" s="24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</row>
    <row r="411">
      <c r="A411" s="325"/>
      <c r="B411" s="325"/>
      <c r="C411" s="180"/>
      <c r="D411" s="244"/>
      <c r="E411" s="244"/>
      <c r="F411" s="244"/>
      <c r="G411" s="24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</row>
    <row r="412">
      <c r="A412" s="325"/>
      <c r="B412" s="325"/>
      <c r="C412" s="180"/>
      <c r="D412" s="244"/>
      <c r="E412" s="244"/>
      <c r="F412" s="244"/>
      <c r="G412" s="24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</row>
    <row r="413">
      <c r="A413" s="325"/>
      <c r="B413" s="325"/>
      <c r="C413" s="180"/>
      <c r="D413" s="244"/>
      <c r="E413" s="244"/>
      <c r="F413" s="244"/>
      <c r="G413" s="24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</row>
    <row r="414">
      <c r="A414" s="325"/>
      <c r="B414" s="325"/>
      <c r="C414" s="180"/>
      <c r="D414" s="244"/>
      <c r="E414" s="244"/>
      <c r="F414" s="244"/>
      <c r="G414" s="24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</row>
    <row r="415">
      <c r="A415" s="325"/>
      <c r="B415" s="325"/>
      <c r="C415" s="180"/>
      <c r="D415" s="244"/>
      <c r="E415" s="244"/>
      <c r="F415" s="244"/>
      <c r="G415" s="24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</row>
    <row r="416">
      <c r="A416" s="325"/>
      <c r="B416" s="325"/>
      <c r="C416" s="180"/>
      <c r="D416" s="244"/>
      <c r="E416" s="244"/>
      <c r="F416" s="244"/>
      <c r="G416" s="24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</row>
    <row r="417">
      <c r="A417" s="325"/>
      <c r="B417" s="325"/>
      <c r="C417" s="180"/>
      <c r="D417" s="244"/>
      <c r="E417" s="244"/>
      <c r="F417" s="244"/>
      <c r="G417" s="24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</row>
    <row r="418">
      <c r="A418" s="325"/>
      <c r="B418" s="325"/>
      <c r="C418" s="180"/>
      <c r="D418" s="244"/>
      <c r="E418" s="244"/>
      <c r="F418" s="244"/>
      <c r="G418" s="24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</row>
    <row r="419">
      <c r="A419" s="325"/>
      <c r="B419" s="325"/>
      <c r="C419" s="180"/>
      <c r="D419" s="244"/>
      <c r="E419" s="244"/>
      <c r="F419" s="244"/>
      <c r="G419" s="24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</row>
    <row r="420">
      <c r="A420" s="325"/>
      <c r="B420" s="325"/>
      <c r="C420" s="180"/>
      <c r="D420" s="244"/>
      <c r="E420" s="244"/>
      <c r="F420" s="244"/>
      <c r="G420" s="24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</row>
    <row r="421">
      <c r="A421" s="325"/>
      <c r="B421" s="325"/>
      <c r="C421" s="180"/>
      <c r="D421" s="244"/>
      <c r="E421" s="244"/>
      <c r="F421" s="244"/>
      <c r="G421" s="24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</row>
    <row r="422">
      <c r="A422" s="325"/>
      <c r="B422" s="325"/>
      <c r="C422" s="180"/>
      <c r="D422" s="244"/>
      <c r="E422" s="244"/>
      <c r="F422" s="244"/>
      <c r="G422" s="24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</row>
    <row r="423">
      <c r="A423" s="325"/>
      <c r="B423" s="325"/>
      <c r="C423" s="180"/>
      <c r="D423" s="244"/>
      <c r="E423" s="244"/>
      <c r="F423" s="244"/>
      <c r="G423" s="24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</row>
    <row r="424">
      <c r="A424" s="325"/>
      <c r="B424" s="325"/>
      <c r="C424" s="180"/>
      <c r="D424" s="244"/>
      <c r="E424" s="244"/>
      <c r="F424" s="244"/>
      <c r="G424" s="24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</row>
    <row r="425">
      <c r="A425" s="325"/>
      <c r="B425" s="325"/>
      <c r="C425" s="180"/>
      <c r="D425" s="244"/>
      <c r="E425" s="244"/>
      <c r="F425" s="244"/>
      <c r="G425" s="24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</row>
    <row r="426">
      <c r="A426" s="325"/>
      <c r="B426" s="325"/>
      <c r="C426" s="180"/>
      <c r="D426" s="244"/>
      <c r="E426" s="244"/>
      <c r="F426" s="244"/>
      <c r="G426" s="24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</row>
    <row r="427">
      <c r="A427" s="325"/>
      <c r="B427" s="325"/>
      <c r="C427" s="180"/>
      <c r="D427" s="244"/>
      <c r="E427" s="244"/>
      <c r="F427" s="244"/>
      <c r="G427" s="24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</row>
    <row r="428">
      <c r="A428" s="325"/>
      <c r="B428" s="325"/>
      <c r="C428" s="180"/>
      <c r="D428" s="244"/>
      <c r="E428" s="244"/>
      <c r="F428" s="244"/>
      <c r="G428" s="24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</row>
    <row r="429">
      <c r="A429" s="325"/>
      <c r="B429" s="325"/>
      <c r="C429" s="180"/>
      <c r="D429" s="244"/>
      <c r="E429" s="244"/>
      <c r="F429" s="244"/>
      <c r="G429" s="24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</row>
    <row r="430">
      <c r="A430" s="325"/>
      <c r="B430" s="325"/>
      <c r="C430" s="180"/>
      <c r="D430" s="244"/>
      <c r="E430" s="244"/>
      <c r="F430" s="244"/>
      <c r="G430" s="24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</row>
    <row r="431">
      <c r="A431" s="325"/>
      <c r="B431" s="325"/>
      <c r="C431" s="180"/>
      <c r="D431" s="244"/>
      <c r="E431" s="244"/>
      <c r="F431" s="244"/>
      <c r="G431" s="24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</row>
    <row r="432">
      <c r="A432" s="325"/>
      <c r="B432" s="325"/>
      <c r="C432" s="180"/>
      <c r="D432" s="244"/>
      <c r="E432" s="244"/>
      <c r="F432" s="244"/>
      <c r="G432" s="24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</row>
    <row r="433">
      <c r="A433" s="325"/>
      <c r="B433" s="325"/>
      <c r="C433" s="180"/>
      <c r="D433" s="244"/>
      <c r="E433" s="244"/>
      <c r="F433" s="244"/>
      <c r="G433" s="24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</row>
    <row r="434">
      <c r="A434" s="325"/>
      <c r="B434" s="325"/>
      <c r="C434" s="180"/>
      <c r="D434" s="244"/>
      <c r="E434" s="244"/>
      <c r="F434" s="244"/>
      <c r="G434" s="24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</row>
    <row r="435">
      <c r="A435" s="325"/>
      <c r="B435" s="325"/>
      <c r="C435" s="180"/>
      <c r="D435" s="244"/>
      <c r="E435" s="244"/>
      <c r="F435" s="244"/>
      <c r="G435" s="24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</row>
    <row r="436">
      <c r="A436" s="325"/>
      <c r="B436" s="325"/>
      <c r="C436" s="180"/>
      <c r="D436" s="244"/>
      <c r="E436" s="244"/>
      <c r="F436" s="244"/>
      <c r="G436" s="24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</row>
    <row r="437">
      <c r="A437" s="325"/>
      <c r="B437" s="325"/>
      <c r="C437" s="180"/>
      <c r="D437" s="244"/>
      <c r="E437" s="244"/>
      <c r="F437" s="244"/>
      <c r="G437" s="244"/>
      <c r="H437" s="194"/>
      <c r="I437" s="194"/>
      <c r="J437" s="194"/>
      <c r="K437" s="194"/>
      <c r="L437" s="194"/>
      <c r="M437" s="194"/>
      <c r="N437" s="194"/>
      <c r="O437" s="194"/>
      <c r="P437" s="194"/>
      <c r="Q437" s="194"/>
      <c r="R437" s="194"/>
    </row>
    <row r="438">
      <c r="A438" s="325"/>
      <c r="B438" s="325"/>
      <c r="C438" s="180"/>
      <c r="D438" s="244"/>
      <c r="E438" s="244"/>
      <c r="F438" s="244"/>
      <c r="G438" s="244"/>
      <c r="H438" s="194"/>
      <c r="I438" s="194"/>
      <c r="J438" s="194"/>
      <c r="K438" s="194"/>
      <c r="L438" s="194"/>
      <c r="M438" s="194"/>
      <c r="N438" s="194"/>
      <c r="O438" s="194"/>
      <c r="P438" s="194"/>
      <c r="Q438" s="194"/>
      <c r="R438" s="194"/>
    </row>
    <row r="439">
      <c r="A439" s="325"/>
      <c r="B439" s="325"/>
      <c r="C439" s="180"/>
      <c r="D439" s="244"/>
      <c r="E439" s="244"/>
      <c r="F439" s="244"/>
      <c r="G439" s="244"/>
      <c r="H439" s="194"/>
      <c r="I439" s="194"/>
      <c r="J439" s="194"/>
      <c r="K439" s="194"/>
      <c r="L439" s="194"/>
      <c r="M439" s="194"/>
      <c r="N439" s="194"/>
      <c r="O439" s="194"/>
      <c r="P439" s="194"/>
      <c r="Q439" s="194"/>
      <c r="R439" s="194"/>
    </row>
    <row r="440">
      <c r="A440" s="325"/>
      <c r="B440" s="325"/>
      <c r="C440" s="180"/>
      <c r="D440" s="244"/>
      <c r="E440" s="244"/>
      <c r="F440" s="244"/>
      <c r="G440" s="244"/>
      <c r="H440" s="194"/>
      <c r="I440" s="194"/>
      <c r="J440" s="194"/>
      <c r="K440" s="194"/>
      <c r="L440" s="194"/>
      <c r="M440" s="194"/>
      <c r="N440" s="194"/>
      <c r="O440" s="194"/>
      <c r="P440" s="194"/>
      <c r="Q440" s="194"/>
      <c r="R440" s="194"/>
    </row>
    <row r="441">
      <c r="A441" s="325"/>
      <c r="B441" s="325"/>
      <c r="C441" s="180"/>
      <c r="D441" s="244"/>
      <c r="E441" s="244"/>
      <c r="F441" s="244"/>
      <c r="G441" s="244"/>
      <c r="H441" s="194"/>
      <c r="I441" s="194"/>
      <c r="J441" s="194"/>
      <c r="K441" s="194"/>
      <c r="L441" s="194"/>
      <c r="M441" s="194"/>
      <c r="N441" s="194"/>
      <c r="O441" s="194"/>
      <c r="P441" s="194"/>
      <c r="Q441" s="194"/>
      <c r="R441" s="194"/>
    </row>
    <row r="442">
      <c r="A442" s="325"/>
      <c r="B442" s="325"/>
      <c r="C442" s="180"/>
      <c r="D442" s="244"/>
      <c r="E442" s="244"/>
      <c r="F442" s="244"/>
      <c r="G442" s="244"/>
      <c r="H442" s="194"/>
      <c r="I442" s="194"/>
      <c r="J442" s="194"/>
      <c r="K442" s="194"/>
      <c r="L442" s="194"/>
      <c r="M442" s="194"/>
      <c r="N442" s="194"/>
      <c r="O442" s="194"/>
      <c r="P442" s="194"/>
      <c r="Q442" s="194"/>
      <c r="R442" s="194"/>
    </row>
    <row r="443">
      <c r="A443" s="325"/>
      <c r="B443" s="325"/>
      <c r="C443" s="180"/>
      <c r="D443" s="244"/>
      <c r="E443" s="244"/>
      <c r="F443" s="244"/>
      <c r="G443" s="244"/>
      <c r="H443" s="194"/>
      <c r="I443" s="194"/>
      <c r="J443" s="194"/>
      <c r="K443" s="194"/>
      <c r="L443" s="194"/>
      <c r="M443" s="194"/>
      <c r="N443" s="194"/>
      <c r="O443" s="194"/>
      <c r="P443" s="194"/>
      <c r="Q443" s="194"/>
      <c r="R443" s="194"/>
    </row>
    <row r="444">
      <c r="A444" s="325"/>
      <c r="B444" s="325"/>
      <c r="C444" s="180"/>
      <c r="D444" s="244"/>
      <c r="E444" s="244"/>
      <c r="F444" s="244"/>
      <c r="G444" s="244"/>
      <c r="H444" s="194"/>
      <c r="I444" s="194"/>
      <c r="J444" s="194"/>
      <c r="K444" s="194"/>
      <c r="L444" s="194"/>
      <c r="M444" s="194"/>
      <c r="N444" s="194"/>
      <c r="O444" s="194"/>
      <c r="P444" s="194"/>
      <c r="Q444" s="194"/>
      <c r="R444" s="194"/>
    </row>
    <row r="445">
      <c r="A445" s="325"/>
      <c r="B445" s="325"/>
      <c r="C445" s="180"/>
      <c r="D445" s="244"/>
      <c r="E445" s="244"/>
      <c r="F445" s="244"/>
      <c r="G445" s="244"/>
      <c r="H445" s="194"/>
      <c r="I445" s="194"/>
      <c r="J445" s="194"/>
      <c r="K445" s="194"/>
      <c r="L445" s="194"/>
      <c r="M445" s="194"/>
      <c r="N445" s="194"/>
      <c r="O445" s="194"/>
      <c r="P445" s="194"/>
      <c r="Q445" s="194"/>
      <c r="R445" s="194"/>
    </row>
    <row r="446">
      <c r="A446" s="325"/>
      <c r="B446" s="325"/>
      <c r="C446" s="180"/>
      <c r="D446" s="244"/>
      <c r="E446" s="244"/>
      <c r="F446" s="244"/>
      <c r="G446" s="244"/>
      <c r="H446" s="194"/>
      <c r="I446" s="194"/>
      <c r="J446" s="194"/>
      <c r="K446" s="194"/>
      <c r="L446" s="194"/>
      <c r="M446" s="194"/>
      <c r="N446" s="194"/>
      <c r="O446" s="194"/>
      <c r="P446" s="194"/>
      <c r="Q446" s="194"/>
      <c r="R446" s="194"/>
    </row>
    <row r="447">
      <c r="A447" s="325"/>
      <c r="B447" s="325"/>
      <c r="C447" s="180"/>
      <c r="D447" s="244"/>
      <c r="E447" s="244"/>
      <c r="F447" s="244"/>
      <c r="G447" s="244"/>
      <c r="H447" s="194"/>
      <c r="I447" s="194"/>
      <c r="J447" s="194"/>
      <c r="K447" s="194"/>
      <c r="L447" s="194"/>
      <c r="M447" s="194"/>
      <c r="N447" s="194"/>
      <c r="O447" s="194"/>
      <c r="P447" s="194"/>
      <c r="Q447" s="194"/>
      <c r="R447" s="194"/>
    </row>
    <row r="448">
      <c r="A448" s="325"/>
      <c r="B448" s="325"/>
      <c r="C448" s="180"/>
      <c r="D448" s="244"/>
      <c r="E448" s="244"/>
      <c r="F448" s="244"/>
      <c r="G448" s="244"/>
      <c r="H448" s="194"/>
      <c r="I448" s="194"/>
      <c r="J448" s="194"/>
      <c r="K448" s="194"/>
      <c r="L448" s="194"/>
      <c r="M448" s="194"/>
      <c r="N448" s="194"/>
      <c r="O448" s="194"/>
      <c r="P448" s="194"/>
      <c r="Q448" s="194"/>
      <c r="R448" s="194"/>
    </row>
    <row r="449">
      <c r="A449" s="325"/>
      <c r="B449" s="325"/>
      <c r="C449" s="180"/>
      <c r="D449" s="244"/>
      <c r="E449" s="244"/>
      <c r="F449" s="244"/>
      <c r="G449" s="244"/>
      <c r="H449" s="194"/>
      <c r="I449" s="194"/>
      <c r="J449" s="194"/>
      <c r="K449" s="194"/>
      <c r="L449" s="194"/>
      <c r="M449" s="194"/>
      <c r="N449" s="194"/>
      <c r="O449" s="194"/>
      <c r="P449" s="194"/>
      <c r="Q449" s="194"/>
      <c r="R449" s="194"/>
    </row>
    <row r="450">
      <c r="A450" s="325"/>
      <c r="B450" s="325"/>
      <c r="C450" s="180"/>
      <c r="D450" s="244"/>
      <c r="E450" s="244"/>
      <c r="F450" s="244"/>
      <c r="G450" s="244"/>
      <c r="H450" s="194"/>
      <c r="I450" s="194"/>
      <c r="J450" s="194"/>
      <c r="K450" s="194"/>
      <c r="L450" s="194"/>
      <c r="M450" s="194"/>
      <c r="N450" s="194"/>
      <c r="O450" s="194"/>
      <c r="P450" s="194"/>
      <c r="Q450" s="194"/>
      <c r="R450" s="194"/>
    </row>
    <row r="451">
      <c r="A451" s="325"/>
      <c r="B451" s="325"/>
      <c r="C451" s="180"/>
      <c r="D451" s="244"/>
      <c r="E451" s="244"/>
      <c r="F451" s="244"/>
      <c r="G451" s="244"/>
      <c r="H451" s="194"/>
      <c r="I451" s="194"/>
      <c r="J451" s="194"/>
      <c r="K451" s="194"/>
      <c r="L451" s="194"/>
      <c r="M451" s="194"/>
      <c r="N451" s="194"/>
      <c r="O451" s="194"/>
      <c r="P451" s="194"/>
      <c r="Q451" s="194"/>
      <c r="R451" s="194"/>
    </row>
    <row r="452">
      <c r="A452" s="325"/>
      <c r="B452" s="325"/>
      <c r="C452" s="180"/>
      <c r="D452" s="244"/>
      <c r="E452" s="244"/>
      <c r="F452" s="244"/>
      <c r="G452" s="244"/>
      <c r="H452" s="194"/>
      <c r="I452" s="194"/>
      <c r="J452" s="194"/>
      <c r="K452" s="194"/>
      <c r="L452" s="194"/>
      <c r="M452" s="194"/>
      <c r="N452" s="194"/>
      <c r="O452" s="194"/>
      <c r="P452" s="194"/>
      <c r="Q452" s="194"/>
      <c r="R452" s="194"/>
    </row>
    <row r="453">
      <c r="A453" s="325"/>
      <c r="B453" s="325"/>
      <c r="C453" s="180"/>
      <c r="D453" s="244"/>
      <c r="E453" s="244"/>
      <c r="F453" s="244"/>
      <c r="G453" s="244"/>
      <c r="H453" s="194"/>
      <c r="I453" s="194"/>
      <c r="J453" s="194"/>
      <c r="K453" s="194"/>
      <c r="L453" s="194"/>
      <c r="M453" s="194"/>
      <c r="N453" s="194"/>
      <c r="O453" s="194"/>
      <c r="P453" s="194"/>
      <c r="Q453" s="194"/>
      <c r="R453" s="194"/>
    </row>
    <row r="454">
      <c r="A454" s="325"/>
      <c r="B454" s="325"/>
      <c r="C454" s="180"/>
      <c r="D454" s="244"/>
      <c r="E454" s="244"/>
      <c r="F454" s="244"/>
      <c r="G454" s="244"/>
      <c r="H454" s="194"/>
      <c r="I454" s="194"/>
      <c r="J454" s="194"/>
      <c r="K454" s="194"/>
      <c r="L454" s="194"/>
      <c r="M454" s="194"/>
      <c r="N454" s="194"/>
      <c r="O454" s="194"/>
      <c r="P454" s="194"/>
      <c r="Q454" s="194"/>
      <c r="R454" s="194"/>
    </row>
    <row r="455">
      <c r="A455" s="325"/>
      <c r="B455" s="325"/>
      <c r="C455" s="180"/>
      <c r="D455" s="244"/>
      <c r="E455" s="244"/>
      <c r="F455" s="244"/>
      <c r="G455" s="244"/>
      <c r="H455" s="194"/>
      <c r="I455" s="194"/>
      <c r="J455" s="194"/>
      <c r="K455" s="194"/>
      <c r="L455" s="194"/>
      <c r="M455" s="194"/>
      <c r="N455" s="194"/>
      <c r="O455" s="194"/>
      <c r="P455" s="194"/>
      <c r="Q455" s="194"/>
      <c r="R455" s="194"/>
    </row>
    <row r="456">
      <c r="A456" s="325"/>
      <c r="B456" s="325"/>
      <c r="C456" s="180"/>
      <c r="D456" s="244"/>
      <c r="E456" s="244"/>
      <c r="F456" s="244"/>
      <c r="G456" s="244"/>
      <c r="H456" s="194"/>
      <c r="I456" s="194"/>
      <c r="J456" s="194"/>
      <c r="K456" s="194"/>
      <c r="L456" s="194"/>
      <c r="M456" s="194"/>
      <c r="N456" s="194"/>
      <c r="O456" s="194"/>
      <c r="P456" s="194"/>
      <c r="Q456" s="194"/>
      <c r="R456" s="194"/>
    </row>
    <row r="457">
      <c r="A457" s="325"/>
      <c r="B457" s="325"/>
      <c r="C457" s="180"/>
      <c r="D457" s="244"/>
      <c r="E457" s="244"/>
      <c r="F457" s="244"/>
      <c r="G457" s="244"/>
      <c r="H457" s="194"/>
      <c r="I457" s="194"/>
      <c r="J457" s="194"/>
      <c r="K457" s="194"/>
      <c r="L457" s="194"/>
      <c r="M457" s="194"/>
      <c r="N457" s="194"/>
      <c r="O457" s="194"/>
      <c r="P457" s="194"/>
      <c r="Q457" s="194"/>
      <c r="R457" s="194"/>
    </row>
    <row r="458">
      <c r="A458" s="325"/>
      <c r="B458" s="325"/>
      <c r="C458" s="180"/>
      <c r="D458" s="244"/>
      <c r="E458" s="244"/>
      <c r="F458" s="244"/>
      <c r="G458" s="244"/>
      <c r="H458" s="194"/>
      <c r="I458" s="194"/>
      <c r="J458" s="194"/>
      <c r="K458" s="194"/>
      <c r="L458" s="194"/>
      <c r="M458" s="194"/>
      <c r="N458" s="194"/>
      <c r="O458" s="194"/>
      <c r="P458" s="194"/>
      <c r="Q458" s="194"/>
      <c r="R458" s="194"/>
    </row>
    <row r="459">
      <c r="A459" s="325"/>
      <c r="B459" s="325"/>
      <c r="C459" s="180"/>
      <c r="D459" s="244"/>
      <c r="E459" s="244"/>
      <c r="F459" s="244"/>
      <c r="G459" s="244"/>
      <c r="H459" s="194"/>
      <c r="I459" s="194"/>
      <c r="J459" s="194"/>
      <c r="K459" s="194"/>
      <c r="L459" s="194"/>
      <c r="M459" s="194"/>
      <c r="N459" s="194"/>
      <c r="O459" s="194"/>
      <c r="P459" s="194"/>
      <c r="Q459" s="194"/>
      <c r="R459" s="194"/>
    </row>
    <row r="460">
      <c r="A460" s="325"/>
      <c r="B460" s="325"/>
      <c r="C460" s="180"/>
      <c r="D460" s="244"/>
      <c r="E460" s="244"/>
      <c r="F460" s="244"/>
      <c r="G460" s="244"/>
      <c r="H460" s="194"/>
      <c r="I460" s="194"/>
      <c r="J460" s="194"/>
      <c r="K460" s="194"/>
      <c r="L460" s="194"/>
      <c r="M460" s="194"/>
      <c r="N460" s="194"/>
      <c r="O460" s="194"/>
      <c r="P460" s="194"/>
      <c r="Q460" s="194"/>
      <c r="R460" s="194"/>
    </row>
    <row r="461">
      <c r="A461" s="325"/>
      <c r="B461" s="325"/>
      <c r="C461" s="180"/>
      <c r="D461" s="244"/>
      <c r="E461" s="244"/>
      <c r="F461" s="244"/>
      <c r="G461" s="244"/>
      <c r="H461" s="194"/>
      <c r="I461" s="194"/>
      <c r="J461" s="194"/>
      <c r="K461" s="194"/>
      <c r="L461" s="194"/>
      <c r="M461" s="194"/>
      <c r="N461" s="194"/>
      <c r="O461" s="194"/>
      <c r="P461" s="194"/>
      <c r="Q461" s="194"/>
      <c r="R461" s="194"/>
    </row>
    <row r="462">
      <c r="A462" s="325"/>
      <c r="B462" s="325"/>
      <c r="C462" s="180"/>
      <c r="D462" s="244"/>
      <c r="E462" s="244"/>
      <c r="F462" s="244"/>
      <c r="G462" s="244"/>
      <c r="H462" s="194"/>
      <c r="I462" s="194"/>
      <c r="J462" s="194"/>
      <c r="K462" s="194"/>
      <c r="L462" s="194"/>
      <c r="M462" s="194"/>
      <c r="N462" s="194"/>
      <c r="O462" s="194"/>
      <c r="P462" s="194"/>
      <c r="Q462" s="194"/>
      <c r="R462" s="194"/>
    </row>
    <row r="463">
      <c r="A463" s="325"/>
      <c r="B463" s="325"/>
      <c r="C463" s="180"/>
      <c r="D463" s="244"/>
      <c r="E463" s="244"/>
      <c r="F463" s="244"/>
      <c r="G463" s="244"/>
      <c r="H463" s="194"/>
      <c r="I463" s="194"/>
      <c r="J463" s="194"/>
      <c r="K463" s="194"/>
      <c r="L463" s="194"/>
      <c r="M463" s="194"/>
      <c r="N463" s="194"/>
      <c r="O463" s="194"/>
      <c r="P463" s="194"/>
      <c r="Q463" s="194"/>
      <c r="R463" s="194"/>
    </row>
    <row r="464">
      <c r="A464" s="325"/>
      <c r="B464" s="325"/>
      <c r="C464" s="180"/>
      <c r="D464" s="244"/>
      <c r="E464" s="244"/>
      <c r="F464" s="244"/>
      <c r="G464" s="244"/>
      <c r="H464" s="194"/>
      <c r="I464" s="194"/>
      <c r="J464" s="194"/>
      <c r="K464" s="194"/>
      <c r="L464" s="194"/>
      <c r="M464" s="194"/>
      <c r="N464" s="194"/>
      <c r="O464" s="194"/>
      <c r="P464" s="194"/>
      <c r="Q464" s="194"/>
      <c r="R464" s="194"/>
    </row>
    <row r="465">
      <c r="A465" s="325"/>
      <c r="B465" s="325"/>
      <c r="C465" s="180"/>
      <c r="D465" s="244"/>
      <c r="E465" s="244"/>
      <c r="F465" s="244"/>
      <c r="G465" s="244"/>
      <c r="H465" s="194"/>
      <c r="I465" s="194"/>
      <c r="J465" s="194"/>
      <c r="K465" s="194"/>
      <c r="L465" s="194"/>
      <c r="M465" s="194"/>
      <c r="N465" s="194"/>
      <c r="O465" s="194"/>
      <c r="P465" s="194"/>
      <c r="Q465" s="194"/>
      <c r="R465" s="194"/>
    </row>
    <row r="466">
      <c r="A466" s="325"/>
      <c r="B466" s="325"/>
      <c r="C466" s="180"/>
      <c r="D466" s="244"/>
      <c r="E466" s="244"/>
      <c r="F466" s="244"/>
      <c r="G466" s="244"/>
      <c r="H466" s="194"/>
      <c r="I466" s="194"/>
      <c r="J466" s="194"/>
      <c r="K466" s="194"/>
      <c r="L466" s="194"/>
      <c r="M466" s="194"/>
      <c r="N466" s="194"/>
      <c r="O466" s="194"/>
      <c r="P466" s="194"/>
      <c r="Q466" s="194"/>
      <c r="R466" s="194"/>
    </row>
    <row r="467">
      <c r="A467" s="325"/>
      <c r="B467" s="325"/>
      <c r="C467" s="180"/>
      <c r="D467" s="244"/>
      <c r="E467" s="244"/>
      <c r="F467" s="244"/>
      <c r="G467" s="244"/>
      <c r="H467" s="194"/>
      <c r="I467" s="194"/>
      <c r="J467" s="194"/>
      <c r="K467" s="194"/>
      <c r="L467" s="194"/>
      <c r="M467" s="194"/>
      <c r="N467" s="194"/>
      <c r="O467" s="194"/>
      <c r="P467" s="194"/>
      <c r="Q467" s="194"/>
      <c r="R467" s="194"/>
    </row>
    <row r="468">
      <c r="A468" s="325"/>
      <c r="B468" s="325"/>
      <c r="C468" s="180"/>
      <c r="D468" s="244"/>
      <c r="E468" s="244"/>
      <c r="F468" s="244"/>
      <c r="G468" s="244"/>
      <c r="H468" s="194"/>
      <c r="I468" s="194"/>
      <c r="J468" s="194"/>
      <c r="K468" s="194"/>
      <c r="L468" s="194"/>
      <c r="M468" s="194"/>
      <c r="N468" s="194"/>
      <c r="O468" s="194"/>
      <c r="P468" s="194"/>
      <c r="Q468" s="194"/>
      <c r="R468" s="194"/>
    </row>
    <row r="469">
      <c r="A469" s="325"/>
      <c r="B469" s="325"/>
      <c r="C469" s="180"/>
      <c r="D469" s="244"/>
      <c r="E469" s="244"/>
      <c r="F469" s="244"/>
      <c r="G469" s="244"/>
      <c r="H469" s="194"/>
      <c r="I469" s="194"/>
      <c r="J469" s="194"/>
      <c r="K469" s="194"/>
      <c r="L469" s="194"/>
      <c r="M469" s="194"/>
      <c r="N469" s="194"/>
      <c r="O469" s="194"/>
      <c r="P469" s="194"/>
      <c r="Q469" s="194"/>
      <c r="R469" s="194"/>
    </row>
    <row r="470">
      <c r="A470" s="325"/>
      <c r="B470" s="325"/>
      <c r="C470" s="180"/>
      <c r="D470" s="244"/>
      <c r="E470" s="244"/>
      <c r="F470" s="244"/>
      <c r="G470" s="244"/>
      <c r="H470" s="194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</row>
    <row r="471">
      <c r="A471" s="325"/>
      <c r="B471" s="325"/>
      <c r="C471" s="180"/>
      <c r="D471" s="244"/>
      <c r="E471" s="244"/>
      <c r="F471" s="244"/>
      <c r="G471" s="244"/>
      <c r="H471" s="194"/>
      <c r="I471" s="194"/>
      <c r="J471" s="194"/>
      <c r="K471" s="194"/>
      <c r="L471" s="194"/>
      <c r="M471" s="194"/>
      <c r="N471" s="194"/>
      <c r="O471" s="194"/>
      <c r="P471" s="194"/>
      <c r="Q471" s="194"/>
      <c r="R471" s="194"/>
    </row>
    <row r="472">
      <c r="A472" s="325"/>
      <c r="B472" s="325"/>
      <c r="C472" s="180"/>
      <c r="D472" s="244"/>
      <c r="E472" s="244"/>
      <c r="F472" s="244"/>
      <c r="G472" s="244"/>
      <c r="H472" s="194"/>
      <c r="I472" s="194"/>
      <c r="J472" s="194"/>
      <c r="K472" s="194"/>
      <c r="L472" s="194"/>
      <c r="M472" s="194"/>
      <c r="N472" s="194"/>
      <c r="O472" s="194"/>
      <c r="P472" s="194"/>
      <c r="Q472" s="194"/>
      <c r="R472" s="194"/>
    </row>
    <row r="473">
      <c r="A473" s="325"/>
      <c r="B473" s="325"/>
      <c r="C473" s="180"/>
      <c r="D473" s="244"/>
      <c r="E473" s="244"/>
      <c r="F473" s="244"/>
      <c r="G473" s="244"/>
      <c r="H473" s="194"/>
      <c r="I473" s="194"/>
      <c r="J473" s="194"/>
      <c r="K473" s="194"/>
      <c r="L473" s="194"/>
      <c r="M473" s="194"/>
      <c r="N473" s="194"/>
      <c r="O473" s="194"/>
      <c r="P473" s="194"/>
      <c r="Q473" s="194"/>
      <c r="R473" s="194"/>
    </row>
    <row r="474">
      <c r="A474" s="325"/>
      <c r="B474" s="325"/>
      <c r="C474" s="180"/>
      <c r="D474" s="244"/>
      <c r="E474" s="244"/>
      <c r="F474" s="244"/>
      <c r="G474" s="244"/>
      <c r="H474" s="194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</row>
    <row r="475">
      <c r="A475" s="325"/>
      <c r="B475" s="325"/>
      <c r="C475" s="180"/>
      <c r="D475" s="244"/>
      <c r="E475" s="244"/>
      <c r="F475" s="244"/>
      <c r="G475" s="24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</row>
    <row r="476">
      <c r="A476" s="325"/>
      <c r="B476" s="325"/>
      <c r="C476" s="180"/>
      <c r="D476" s="244"/>
      <c r="E476" s="244"/>
      <c r="F476" s="244"/>
      <c r="G476" s="24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</row>
    <row r="477">
      <c r="A477" s="325"/>
      <c r="B477" s="325"/>
      <c r="C477" s="180"/>
      <c r="D477" s="244"/>
      <c r="E477" s="244"/>
      <c r="F477" s="244"/>
      <c r="G477" s="244"/>
      <c r="H477" s="194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</row>
    <row r="478">
      <c r="A478" s="325"/>
      <c r="B478" s="325"/>
      <c r="C478" s="180"/>
      <c r="D478" s="244"/>
      <c r="E478" s="244"/>
      <c r="F478" s="244"/>
      <c r="G478" s="244"/>
      <c r="H478" s="194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</row>
    <row r="479">
      <c r="A479" s="325"/>
      <c r="B479" s="325"/>
      <c r="C479" s="180"/>
      <c r="D479" s="244"/>
      <c r="E479" s="244"/>
      <c r="F479" s="244"/>
      <c r="G479" s="244"/>
      <c r="H479" s="194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</row>
    <row r="480">
      <c r="A480" s="325"/>
      <c r="B480" s="325"/>
      <c r="C480" s="180"/>
      <c r="D480" s="244"/>
      <c r="E480" s="244"/>
      <c r="F480" s="244"/>
      <c r="G480" s="244"/>
      <c r="H480" s="194"/>
      <c r="I480" s="194"/>
      <c r="J480" s="194"/>
      <c r="K480" s="194"/>
      <c r="L480" s="194"/>
      <c r="M480" s="194"/>
      <c r="N480" s="194"/>
      <c r="O480" s="194"/>
      <c r="P480" s="194"/>
      <c r="Q480" s="194"/>
      <c r="R480" s="194"/>
    </row>
    <row r="481">
      <c r="A481" s="325"/>
      <c r="B481" s="325"/>
      <c r="C481" s="180"/>
      <c r="D481" s="244"/>
      <c r="E481" s="244"/>
      <c r="F481" s="244"/>
      <c r="G481" s="244"/>
      <c r="H481" s="194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</row>
    <row r="482">
      <c r="A482" s="325"/>
      <c r="B482" s="325"/>
      <c r="C482" s="180"/>
      <c r="D482" s="244"/>
      <c r="E482" s="244"/>
      <c r="F482" s="244"/>
      <c r="G482" s="244"/>
      <c r="H482" s="194"/>
      <c r="I482" s="194"/>
      <c r="J482" s="194"/>
      <c r="K482" s="194"/>
      <c r="L482" s="194"/>
      <c r="M482" s="194"/>
      <c r="N482" s="194"/>
      <c r="O482" s="194"/>
      <c r="P482" s="194"/>
      <c r="Q482" s="194"/>
      <c r="R482" s="194"/>
    </row>
    <row r="483">
      <c r="A483" s="325"/>
      <c r="B483" s="325"/>
      <c r="C483" s="180"/>
      <c r="D483" s="244"/>
      <c r="E483" s="244"/>
      <c r="F483" s="244"/>
      <c r="G483" s="244"/>
      <c r="H483" s="194"/>
      <c r="I483" s="194"/>
      <c r="J483" s="194"/>
      <c r="K483" s="194"/>
      <c r="L483" s="194"/>
      <c r="M483" s="194"/>
      <c r="N483" s="194"/>
      <c r="O483" s="194"/>
      <c r="P483" s="194"/>
      <c r="Q483" s="194"/>
      <c r="R483" s="194"/>
    </row>
    <row r="484">
      <c r="A484" s="325"/>
      <c r="B484" s="325"/>
      <c r="C484" s="180"/>
      <c r="D484" s="244"/>
      <c r="E484" s="244"/>
      <c r="F484" s="244"/>
      <c r="G484" s="244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</row>
    <row r="485">
      <c r="A485" s="325"/>
      <c r="B485" s="325"/>
      <c r="C485" s="180"/>
      <c r="D485" s="244"/>
      <c r="E485" s="244"/>
      <c r="F485" s="244"/>
      <c r="G485" s="244"/>
      <c r="H485" s="194"/>
      <c r="I485" s="194"/>
      <c r="J485" s="194"/>
      <c r="K485" s="194"/>
      <c r="L485" s="194"/>
      <c r="M485" s="194"/>
      <c r="N485" s="194"/>
      <c r="O485" s="194"/>
      <c r="P485" s="194"/>
      <c r="Q485" s="194"/>
      <c r="R485" s="194"/>
    </row>
    <row r="486">
      <c r="A486" s="325"/>
      <c r="B486" s="325"/>
      <c r="C486" s="180"/>
      <c r="D486" s="244"/>
      <c r="E486" s="244"/>
      <c r="F486" s="244"/>
      <c r="G486" s="244"/>
      <c r="H486" s="194"/>
      <c r="I486" s="194"/>
      <c r="J486" s="194"/>
      <c r="K486" s="194"/>
      <c r="L486" s="194"/>
      <c r="M486" s="194"/>
      <c r="N486" s="194"/>
      <c r="O486" s="194"/>
      <c r="P486" s="194"/>
      <c r="Q486" s="194"/>
      <c r="R486" s="194"/>
    </row>
    <row r="487">
      <c r="A487" s="325"/>
      <c r="B487" s="325"/>
      <c r="C487" s="180"/>
      <c r="D487" s="244"/>
      <c r="E487" s="244"/>
      <c r="F487" s="244"/>
      <c r="G487" s="244"/>
      <c r="H487" s="194"/>
      <c r="I487" s="194"/>
      <c r="J487" s="194"/>
      <c r="K487" s="194"/>
      <c r="L487" s="194"/>
      <c r="M487" s="194"/>
      <c r="N487" s="194"/>
      <c r="O487" s="194"/>
      <c r="P487" s="194"/>
      <c r="Q487" s="194"/>
      <c r="R487" s="194"/>
    </row>
    <row r="488">
      <c r="A488" s="325"/>
      <c r="B488" s="325"/>
      <c r="C488" s="180"/>
      <c r="D488" s="244"/>
      <c r="E488" s="244"/>
      <c r="F488" s="244"/>
      <c r="G488" s="244"/>
      <c r="H488" s="194"/>
      <c r="I488" s="194"/>
      <c r="J488" s="194"/>
      <c r="K488" s="194"/>
      <c r="L488" s="194"/>
      <c r="M488" s="194"/>
      <c r="N488" s="194"/>
      <c r="O488" s="194"/>
      <c r="P488" s="194"/>
      <c r="Q488" s="194"/>
      <c r="R488" s="194"/>
    </row>
    <row r="489">
      <c r="A489" s="325"/>
      <c r="B489" s="325"/>
      <c r="C489" s="180"/>
      <c r="D489" s="244"/>
      <c r="E489" s="244"/>
      <c r="F489" s="244"/>
      <c r="G489" s="244"/>
      <c r="H489" s="194"/>
      <c r="I489" s="194"/>
      <c r="J489" s="194"/>
      <c r="K489" s="194"/>
      <c r="L489" s="194"/>
      <c r="M489" s="194"/>
      <c r="N489" s="194"/>
      <c r="O489" s="194"/>
      <c r="P489" s="194"/>
      <c r="Q489" s="194"/>
      <c r="R489" s="194"/>
    </row>
    <row r="490">
      <c r="A490" s="325"/>
      <c r="B490" s="325"/>
      <c r="C490" s="180"/>
      <c r="D490" s="244"/>
      <c r="E490" s="244"/>
      <c r="F490" s="244"/>
      <c r="G490" s="244"/>
      <c r="H490" s="194"/>
      <c r="I490" s="194"/>
      <c r="J490" s="194"/>
      <c r="K490" s="194"/>
      <c r="L490" s="194"/>
      <c r="M490" s="194"/>
      <c r="N490" s="194"/>
      <c r="O490" s="194"/>
      <c r="P490" s="194"/>
      <c r="Q490" s="194"/>
      <c r="R490" s="194"/>
    </row>
    <row r="491">
      <c r="A491" s="325"/>
      <c r="B491" s="325"/>
      <c r="C491" s="180"/>
      <c r="D491" s="244"/>
      <c r="E491" s="244"/>
      <c r="F491" s="244"/>
      <c r="G491" s="244"/>
      <c r="H491" s="194"/>
      <c r="I491" s="194"/>
      <c r="J491" s="194"/>
      <c r="K491" s="194"/>
      <c r="L491" s="194"/>
      <c r="M491" s="194"/>
      <c r="N491" s="194"/>
      <c r="O491" s="194"/>
      <c r="P491" s="194"/>
      <c r="Q491" s="194"/>
      <c r="R491" s="194"/>
    </row>
    <row r="492">
      <c r="A492" s="325"/>
      <c r="B492" s="325"/>
      <c r="C492" s="180"/>
      <c r="D492" s="244"/>
      <c r="E492" s="244"/>
      <c r="F492" s="244"/>
      <c r="G492" s="244"/>
      <c r="H492" s="194"/>
      <c r="I492" s="194"/>
      <c r="J492" s="194"/>
      <c r="K492" s="194"/>
      <c r="L492" s="194"/>
      <c r="M492" s="194"/>
      <c r="N492" s="194"/>
      <c r="O492" s="194"/>
      <c r="P492" s="194"/>
      <c r="Q492" s="194"/>
      <c r="R492" s="194"/>
    </row>
    <row r="493">
      <c r="A493" s="325"/>
      <c r="B493" s="325"/>
      <c r="C493" s="180"/>
      <c r="D493" s="244"/>
      <c r="E493" s="244"/>
      <c r="F493" s="244"/>
      <c r="G493" s="244"/>
      <c r="H493" s="194"/>
      <c r="I493" s="194"/>
      <c r="J493" s="194"/>
      <c r="K493" s="194"/>
      <c r="L493" s="194"/>
      <c r="M493" s="194"/>
      <c r="N493" s="194"/>
      <c r="O493" s="194"/>
      <c r="P493" s="194"/>
      <c r="Q493" s="194"/>
      <c r="R493" s="194"/>
    </row>
    <row r="494">
      <c r="A494" s="325"/>
      <c r="B494" s="325"/>
      <c r="C494" s="180"/>
      <c r="D494" s="244"/>
      <c r="E494" s="244"/>
      <c r="F494" s="244"/>
      <c r="G494" s="244"/>
      <c r="H494" s="194"/>
      <c r="I494" s="194"/>
      <c r="J494" s="194"/>
      <c r="K494" s="194"/>
      <c r="L494" s="194"/>
      <c r="M494" s="194"/>
      <c r="N494" s="194"/>
      <c r="O494" s="194"/>
      <c r="P494" s="194"/>
      <c r="Q494" s="194"/>
      <c r="R494" s="194"/>
    </row>
    <row r="495">
      <c r="A495" s="325"/>
      <c r="B495" s="325"/>
      <c r="C495" s="180"/>
      <c r="D495" s="244"/>
      <c r="E495" s="244"/>
      <c r="F495" s="244"/>
      <c r="G495" s="244"/>
      <c r="H495" s="194"/>
      <c r="I495" s="194"/>
      <c r="J495" s="194"/>
      <c r="K495" s="194"/>
      <c r="L495" s="194"/>
      <c r="M495" s="194"/>
      <c r="N495" s="194"/>
      <c r="O495" s="194"/>
      <c r="P495" s="194"/>
      <c r="Q495" s="194"/>
      <c r="R495" s="194"/>
    </row>
    <row r="496">
      <c r="A496" s="325"/>
      <c r="B496" s="325"/>
      <c r="C496" s="180"/>
      <c r="D496" s="244"/>
      <c r="E496" s="244"/>
      <c r="F496" s="244"/>
      <c r="G496" s="244"/>
      <c r="H496" s="194"/>
      <c r="I496" s="194"/>
      <c r="J496" s="194"/>
      <c r="K496" s="194"/>
      <c r="L496" s="194"/>
      <c r="M496" s="194"/>
      <c r="N496" s="194"/>
      <c r="O496" s="194"/>
      <c r="P496" s="194"/>
      <c r="Q496" s="194"/>
      <c r="R496" s="194"/>
    </row>
    <row r="497">
      <c r="A497" s="325"/>
      <c r="B497" s="325"/>
      <c r="C497" s="180"/>
      <c r="D497" s="244"/>
      <c r="E497" s="244"/>
      <c r="F497" s="244"/>
      <c r="G497" s="244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</row>
    <row r="498">
      <c r="A498" s="325"/>
      <c r="B498" s="325"/>
      <c r="C498" s="180"/>
      <c r="D498" s="244"/>
      <c r="E498" s="244"/>
      <c r="F498" s="244"/>
      <c r="G498" s="24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</row>
    <row r="499">
      <c r="A499" s="325"/>
      <c r="B499" s="325"/>
      <c r="C499" s="180"/>
      <c r="D499" s="244"/>
      <c r="E499" s="244"/>
      <c r="F499" s="244"/>
      <c r="G499" s="24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</row>
    <row r="500">
      <c r="A500" s="325"/>
      <c r="B500" s="325"/>
      <c r="C500" s="180"/>
      <c r="D500" s="244"/>
      <c r="E500" s="244"/>
      <c r="F500" s="244"/>
      <c r="G500" s="244"/>
      <c r="H500" s="194"/>
      <c r="I500" s="194"/>
      <c r="J500" s="194"/>
      <c r="K500" s="194"/>
      <c r="L500" s="194"/>
      <c r="M500" s="194"/>
      <c r="N500" s="194"/>
      <c r="O500" s="194"/>
      <c r="P500" s="194"/>
      <c r="Q500" s="194"/>
      <c r="R500" s="194"/>
    </row>
    <row r="501">
      <c r="A501" s="325"/>
      <c r="B501" s="325"/>
      <c r="C501" s="180"/>
      <c r="D501" s="244"/>
      <c r="E501" s="244"/>
      <c r="F501" s="244"/>
      <c r="G501" s="244"/>
      <c r="H501" s="194"/>
      <c r="I501" s="194"/>
      <c r="J501" s="194"/>
      <c r="K501" s="194"/>
      <c r="L501" s="194"/>
      <c r="M501" s="194"/>
      <c r="N501" s="194"/>
      <c r="O501" s="194"/>
      <c r="P501" s="194"/>
      <c r="Q501" s="194"/>
      <c r="R501" s="194"/>
    </row>
    <row r="502">
      <c r="A502" s="325"/>
      <c r="B502" s="325"/>
      <c r="C502" s="180"/>
      <c r="D502" s="244"/>
      <c r="E502" s="244"/>
      <c r="F502" s="244"/>
      <c r="G502" s="244"/>
      <c r="H502" s="194"/>
      <c r="I502" s="194"/>
      <c r="J502" s="194"/>
      <c r="K502" s="194"/>
      <c r="L502" s="194"/>
      <c r="M502" s="194"/>
      <c r="N502" s="194"/>
      <c r="O502" s="194"/>
      <c r="P502" s="194"/>
      <c r="Q502" s="194"/>
      <c r="R502" s="194"/>
    </row>
    <row r="503">
      <c r="A503" s="325"/>
      <c r="B503" s="325"/>
      <c r="C503" s="180"/>
      <c r="D503" s="244"/>
      <c r="E503" s="244"/>
      <c r="F503" s="244"/>
      <c r="G503" s="244"/>
      <c r="H503" s="194"/>
      <c r="I503" s="194"/>
      <c r="J503" s="194"/>
      <c r="K503" s="194"/>
      <c r="L503" s="194"/>
      <c r="M503" s="194"/>
      <c r="N503" s="194"/>
      <c r="O503" s="194"/>
      <c r="P503" s="194"/>
      <c r="Q503" s="194"/>
      <c r="R503" s="194"/>
    </row>
    <row r="504">
      <c r="A504" s="325"/>
      <c r="B504" s="325"/>
      <c r="C504" s="180"/>
      <c r="D504" s="244"/>
      <c r="E504" s="244"/>
      <c r="F504" s="244"/>
      <c r="G504" s="244"/>
      <c r="H504" s="194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</row>
    <row r="505">
      <c r="A505" s="325"/>
      <c r="B505" s="325"/>
      <c r="C505" s="180"/>
      <c r="D505" s="244"/>
      <c r="E505" s="244"/>
      <c r="F505" s="244"/>
      <c r="G505" s="244"/>
      <c r="H505" s="194"/>
      <c r="I505" s="194"/>
      <c r="J505" s="194"/>
      <c r="K505" s="194"/>
      <c r="L505" s="194"/>
      <c r="M505" s="194"/>
      <c r="N505" s="194"/>
      <c r="O505" s="194"/>
      <c r="P505" s="194"/>
      <c r="Q505" s="194"/>
      <c r="R505" s="194"/>
    </row>
    <row r="506">
      <c r="A506" s="325"/>
      <c r="B506" s="325"/>
      <c r="C506" s="180"/>
      <c r="D506" s="244"/>
      <c r="E506" s="244"/>
      <c r="F506" s="244"/>
      <c r="G506" s="244"/>
      <c r="H506" s="194"/>
      <c r="I506" s="194"/>
      <c r="J506" s="194"/>
      <c r="K506" s="194"/>
      <c r="L506" s="194"/>
      <c r="M506" s="194"/>
      <c r="N506" s="194"/>
      <c r="O506" s="194"/>
      <c r="P506" s="194"/>
      <c r="Q506" s="194"/>
      <c r="R506" s="194"/>
    </row>
    <row r="507">
      <c r="A507" s="325"/>
      <c r="B507" s="325"/>
      <c r="C507" s="180"/>
      <c r="D507" s="244"/>
      <c r="E507" s="244"/>
      <c r="F507" s="244"/>
      <c r="G507" s="244"/>
      <c r="H507" s="194"/>
      <c r="I507" s="194"/>
      <c r="J507" s="194"/>
      <c r="K507" s="194"/>
      <c r="L507" s="194"/>
      <c r="M507" s="194"/>
      <c r="N507" s="194"/>
      <c r="O507" s="194"/>
      <c r="P507" s="194"/>
      <c r="Q507" s="194"/>
      <c r="R507" s="194"/>
    </row>
    <row r="508">
      <c r="A508" s="325"/>
      <c r="B508" s="325"/>
      <c r="C508" s="180"/>
      <c r="D508" s="244"/>
      <c r="E508" s="244"/>
      <c r="F508" s="244"/>
      <c r="G508" s="244"/>
      <c r="H508" s="194"/>
      <c r="I508" s="194"/>
      <c r="J508" s="194"/>
      <c r="K508" s="194"/>
      <c r="L508" s="194"/>
      <c r="M508" s="194"/>
      <c r="N508" s="194"/>
      <c r="O508" s="194"/>
      <c r="P508" s="194"/>
      <c r="Q508" s="194"/>
      <c r="R508" s="194"/>
    </row>
    <row r="509">
      <c r="A509" s="325"/>
      <c r="B509" s="325"/>
      <c r="C509" s="180"/>
      <c r="D509" s="244"/>
      <c r="E509" s="244"/>
      <c r="F509" s="244"/>
      <c r="G509" s="244"/>
      <c r="H509" s="194"/>
      <c r="I509" s="194"/>
      <c r="J509" s="194"/>
      <c r="K509" s="194"/>
      <c r="L509" s="194"/>
      <c r="M509" s="194"/>
      <c r="N509" s="194"/>
      <c r="O509" s="194"/>
      <c r="P509" s="194"/>
      <c r="Q509" s="194"/>
      <c r="R509" s="194"/>
    </row>
    <row r="510">
      <c r="A510" s="325"/>
      <c r="B510" s="325"/>
      <c r="C510" s="180"/>
      <c r="D510" s="244"/>
      <c r="E510" s="244"/>
      <c r="F510" s="244"/>
      <c r="G510" s="244"/>
      <c r="H510" s="194"/>
      <c r="I510" s="194"/>
      <c r="J510" s="194"/>
      <c r="K510" s="194"/>
      <c r="L510" s="194"/>
      <c r="M510" s="194"/>
      <c r="N510" s="194"/>
      <c r="O510" s="194"/>
      <c r="P510" s="194"/>
      <c r="Q510" s="194"/>
      <c r="R510" s="194"/>
    </row>
    <row r="511">
      <c r="A511" s="325"/>
      <c r="B511" s="325"/>
      <c r="C511" s="180"/>
      <c r="D511" s="244"/>
      <c r="E511" s="244"/>
      <c r="F511" s="244"/>
      <c r="G511" s="244"/>
      <c r="H511" s="194"/>
      <c r="I511" s="194"/>
      <c r="J511" s="194"/>
      <c r="K511" s="194"/>
      <c r="L511" s="194"/>
      <c r="M511" s="194"/>
      <c r="N511" s="194"/>
      <c r="O511" s="194"/>
      <c r="P511" s="194"/>
      <c r="Q511" s="194"/>
      <c r="R511" s="194"/>
    </row>
    <row r="512">
      <c r="A512" s="325"/>
      <c r="B512" s="325"/>
      <c r="C512" s="180"/>
      <c r="D512" s="244"/>
      <c r="E512" s="244"/>
      <c r="F512" s="244"/>
      <c r="G512" s="244"/>
      <c r="H512" s="194"/>
      <c r="I512" s="194"/>
      <c r="J512" s="194"/>
      <c r="K512" s="194"/>
      <c r="L512" s="194"/>
      <c r="M512" s="194"/>
      <c r="N512" s="194"/>
      <c r="O512" s="194"/>
      <c r="P512" s="194"/>
      <c r="Q512" s="194"/>
      <c r="R512" s="194"/>
    </row>
    <row r="513">
      <c r="A513" s="325"/>
      <c r="B513" s="325"/>
      <c r="C513" s="180"/>
      <c r="D513" s="244"/>
      <c r="E513" s="244"/>
      <c r="F513" s="244"/>
      <c r="G513" s="244"/>
      <c r="H513" s="194"/>
      <c r="I513" s="194"/>
      <c r="J513" s="194"/>
      <c r="K513" s="194"/>
      <c r="L513" s="194"/>
      <c r="M513" s="194"/>
      <c r="N513" s="194"/>
      <c r="O513" s="194"/>
      <c r="P513" s="194"/>
      <c r="Q513" s="194"/>
      <c r="R513" s="194"/>
    </row>
    <row r="514">
      <c r="A514" s="325"/>
      <c r="B514" s="325"/>
      <c r="C514" s="180"/>
      <c r="D514" s="244"/>
      <c r="E514" s="244"/>
      <c r="F514" s="244"/>
      <c r="G514" s="244"/>
      <c r="H514" s="194"/>
      <c r="I514" s="194"/>
      <c r="J514" s="194"/>
      <c r="K514" s="194"/>
      <c r="L514" s="194"/>
      <c r="M514" s="194"/>
      <c r="N514" s="194"/>
      <c r="O514" s="194"/>
      <c r="P514" s="194"/>
      <c r="Q514" s="194"/>
      <c r="R514" s="194"/>
    </row>
    <row r="515">
      <c r="A515" s="325"/>
      <c r="B515" s="325"/>
      <c r="C515" s="180"/>
      <c r="D515" s="244"/>
      <c r="E515" s="244"/>
      <c r="F515" s="244"/>
      <c r="G515" s="244"/>
      <c r="H515" s="194"/>
      <c r="I515" s="194"/>
      <c r="J515" s="194"/>
      <c r="K515" s="194"/>
      <c r="L515" s="194"/>
      <c r="M515" s="194"/>
      <c r="N515" s="194"/>
      <c r="O515" s="194"/>
      <c r="P515" s="194"/>
      <c r="Q515" s="194"/>
      <c r="R515" s="194"/>
    </row>
    <row r="516">
      <c r="A516" s="325"/>
      <c r="B516" s="325"/>
      <c r="C516" s="180"/>
      <c r="D516" s="244"/>
      <c r="E516" s="244"/>
      <c r="F516" s="244"/>
      <c r="G516" s="244"/>
      <c r="H516" s="194"/>
      <c r="I516" s="194"/>
      <c r="J516" s="194"/>
      <c r="K516" s="194"/>
      <c r="L516" s="194"/>
      <c r="M516" s="194"/>
      <c r="N516" s="194"/>
      <c r="O516" s="194"/>
      <c r="P516" s="194"/>
      <c r="Q516" s="194"/>
      <c r="R516" s="194"/>
    </row>
    <row r="517">
      <c r="A517" s="325"/>
      <c r="B517" s="325"/>
      <c r="C517" s="180"/>
      <c r="D517" s="244"/>
      <c r="E517" s="244"/>
      <c r="F517" s="244"/>
      <c r="G517" s="244"/>
      <c r="H517" s="194"/>
      <c r="I517" s="194"/>
      <c r="J517" s="194"/>
      <c r="K517" s="194"/>
      <c r="L517" s="194"/>
      <c r="M517" s="194"/>
      <c r="N517" s="194"/>
      <c r="O517" s="194"/>
      <c r="P517" s="194"/>
      <c r="Q517" s="194"/>
      <c r="R517" s="194"/>
    </row>
    <row r="518">
      <c r="A518" s="325"/>
      <c r="B518" s="325"/>
      <c r="C518" s="180"/>
      <c r="D518" s="244"/>
      <c r="E518" s="244"/>
      <c r="F518" s="244"/>
      <c r="G518" s="244"/>
      <c r="H518" s="194"/>
      <c r="I518" s="194"/>
      <c r="J518" s="194"/>
      <c r="K518" s="194"/>
      <c r="L518" s="194"/>
      <c r="M518" s="194"/>
      <c r="N518" s="194"/>
      <c r="O518" s="194"/>
      <c r="P518" s="194"/>
      <c r="Q518" s="194"/>
      <c r="R518" s="194"/>
    </row>
    <row r="519">
      <c r="A519" s="325"/>
      <c r="B519" s="325"/>
      <c r="C519" s="180"/>
      <c r="D519" s="244"/>
      <c r="E519" s="244"/>
      <c r="F519" s="244"/>
      <c r="G519" s="244"/>
      <c r="H519" s="194"/>
      <c r="I519" s="194"/>
      <c r="J519" s="194"/>
      <c r="K519" s="194"/>
      <c r="L519" s="194"/>
      <c r="M519" s="194"/>
      <c r="N519" s="194"/>
      <c r="O519" s="194"/>
      <c r="P519" s="194"/>
      <c r="Q519" s="194"/>
      <c r="R519" s="194"/>
    </row>
    <row r="520">
      <c r="A520" s="325"/>
      <c r="B520" s="325"/>
      <c r="C520" s="180"/>
      <c r="D520" s="244"/>
      <c r="E520" s="244"/>
      <c r="F520" s="244"/>
      <c r="G520" s="244"/>
      <c r="H520" s="194"/>
      <c r="I520" s="194"/>
      <c r="J520" s="194"/>
      <c r="K520" s="194"/>
      <c r="L520" s="194"/>
      <c r="M520" s="194"/>
      <c r="N520" s="194"/>
      <c r="O520" s="194"/>
      <c r="P520" s="194"/>
      <c r="Q520" s="194"/>
      <c r="R520" s="194"/>
    </row>
    <row r="521">
      <c r="A521" s="325"/>
      <c r="B521" s="325"/>
      <c r="C521" s="180"/>
      <c r="D521" s="244"/>
      <c r="E521" s="244"/>
      <c r="F521" s="244"/>
      <c r="G521" s="244"/>
      <c r="H521" s="194"/>
      <c r="I521" s="194"/>
      <c r="J521" s="194"/>
      <c r="K521" s="194"/>
      <c r="L521" s="194"/>
      <c r="M521" s="194"/>
      <c r="N521" s="194"/>
      <c r="O521" s="194"/>
      <c r="P521" s="194"/>
      <c r="Q521" s="194"/>
      <c r="R521" s="194"/>
    </row>
    <row r="522">
      <c r="A522" s="325"/>
      <c r="B522" s="325"/>
      <c r="C522" s="180"/>
      <c r="D522" s="244"/>
      <c r="E522" s="244"/>
      <c r="F522" s="244"/>
      <c r="G522" s="244"/>
      <c r="H522" s="194"/>
      <c r="I522" s="194"/>
      <c r="J522" s="194"/>
      <c r="K522" s="194"/>
      <c r="L522" s="194"/>
      <c r="M522" s="194"/>
      <c r="N522" s="194"/>
      <c r="O522" s="194"/>
      <c r="P522" s="194"/>
      <c r="Q522" s="194"/>
      <c r="R522" s="194"/>
    </row>
    <row r="523">
      <c r="A523" s="325"/>
      <c r="B523" s="325"/>
      <c r="C523" s="180"/>
      <c r="D523" s="244"/>
      <c r="E523" s="244"/>
      <c r="F523" s="244"/>
      <c r="G523" s="244"/>
      <c r="H523" s="194"/>
      <c r="I523" s="194"/>
      <c r="J523" s="194"/>
      <c r="K523" s="194"/>
      <c r="L523" s="194"/>
      <c r="M523" s="194"/>
      <c r="N523" s="194"/>
      <c r="O523" s="194"/>
      <c r="P523" s="194"/>
      <c r="Q523" s="194"/>
      <c r="R523" s="194"/>
    </row>
    <row r="524">
      <c r="A524" s="325"/>
      <c r="B524" s="325"/>
      <c r="C524" s="180"/>
      <c r="D524" s="244"/>
      <c r="E524" s="244"/>
      <c r="F524" s="244"/>
      <c r="G524" s="244"/>
      <c r="H524" s="194"/>
      <c r="I524" s="194"/>
      <c r="J524" s="194"/>
      <c r="K524" s="194"/>
      <c r="L524" s="194"/>
      <c r="M524" s="194"/>
      <c r="N524" s="194"/>
      <c r="O524" s="194"/>
      <c r="P524" s="194"/>
      <c r="Q524" s="194"/>
      <c r="R524" s="194"/>
    </row>
    <row r="525">
      <c r="A525" s="325"/>
      <c r="B525" s="325"/>
      <c r="C525" s="180"/>
      <c r="D525" s="244"/>
      <c r="E525" s="244"/>
      <c r="F525" s="244"/>
      <c r="G525" s="244"/>
      <c r="H525" s="194"/>
      <c r="I525" s="194"/>
      <c r="J525" s="194"/>
      <c r="K525" s="194"/>
      <c r="L525" s="194"/>
      <c r="M525" s="194"/>
      <c r="N525" s="194"/>
      <c r="O525" s="194"/>
      <c r="P525" s="194"/>
      <c r="Q525" s="194"/>
      <c r="R525" s="194"/>
    </row>
    <row r="526">
      <c r="A526" s="325"/>
      <c r="B526" s="325"/>
      <c r="C526" s="180"/>
      <c r="D526" s="244"/>
      <c r="E526" s="244"/>
      <c r="F526" s="244"/>
      <c r="G526" s="244"/>
      <c r="H526" s="194"/>
      <c r="I526" s="194"/>
      <c r="J526" s="194"/>
      <c r="K526" s="194"/>
      <c r="L526" s="194"/>
      <c r="M526" s="194"/>
      <c r="N526" s="194"/>
      <c r="O526" s="194"/>
      <c r="P526" s="194"/>
      <c r="Q526" s="194"/>
      <c r="R526" s="194"/>
    </row>
    <row r="527">
      <c r="A527" s="325"/>
      <c r="B527" s="325"/>
      <c r="C527" s="180"/>
      <c r="D527" s="244"/>
      <c r="E527" s="244"/>
      <c r="F527" s="244"/>
      <c r="G527" s="244"/>
      <c r="H527" s="194"/>
      <c r="I527" s="194"/>
      <c r="J527" s="194"/>
      <c r="K527" s="194"/>
      <c r="L527" s="194"/>
      <c r="M527" s="194"/>
      <c r="N527" s="194"/>
      <c r="O527" s="194"/>
      <c r="P527" s="194"/>
      <c r="Q527" s="194"/>
      <c r="R527" s="194"/>
    </row>
    <row r="528">
      <c r="A528" s="325"/>
      <c r="B528" s="325"/>
      <c r="C528" s="180"/>
      <c r="D528" s="244"/>
      <c r="E528" s="244"/>
      <c r="F528" s="244"/>
      <c r="G528" s="244"/>
      <c r="H528" s="194"/>
      <c r="I528" s="194"/>
      <c r="J528" s="194"/>
      <c r="K528" s="194"/>
      <c r="L528" s="194"/>
      <c r="M528" s="194"/>
      <c r="N528" s="194"/>
      <c r="O528" s="194"/>
      <c r="P528" s="194"/>
      <c r="Q528" s="194"/>
      <c r="R528" s="194"/>
    </row>
    <row r="529">
      <c r="A529" s="325"/>
      <c r="B529" s="325"/>
      <c r="C529" s="180"/>
      <c r="D529" s="244"/>
      <c r="E529" s="244"/>
      <c r="F529" s="244"/>
      <c r="G529" s="244"/>
      <c r="H529" s="194"/>
      <c r="I529" s="194"/>
      <c r="J529" s="194"/>
      <c r="K529" s="194"/>
      <c r="L529" s="194"/>
      <c r="M529" s="194"/>
      <c r="N529" s="194"/>
      <c r="O529" s="194"/>
      <c r="P529" s="194"/>
      <c r="Q529" s="194"/>
      <c r="R529" s="194"/>
    </row>
    <row r="530">
      <c r="A530" s="325"/>
      <c r="B530" s="325"/>
      <c r="C530" s="180"/>
      <c r="D530" s="244"/>
      <c r="E530" s="244"/>
      <c r="F530" s="244"/>
      <c r="G530" s="244"/>
      <c r="H530" s="194"/>
      <c r="I530" s="194"/>
      <c r="J530" s="194"/>
      <c r="K530" s="194"/>
      <c r="L530" s="194"/>
      <c r="M530" s="194"/>
      <c r="N530" s="194"/>
      <c r="O530" s="194"/>
      <c r="P530" s="194"/>
      <c r="Q530" s="194"/>
      <c r="R530" s="194"/>
    </row>
    <row r="531">
      <c r="A531" s="325"/>
      <c r="B531" s="325"/>
      <c r="C531" s="180"/>
      <c r="D531" s="244"/>
      <c r="E531" s="244"/>
      <c r="F531" s="244"/>
      <c r="G531" s="244"/>
      <c r="H531" s="194"/>
      <c r="I531" s="194"/>
      <c r="J531" s="194"/>
      <c r="K531" s="194"/>
      <c r="L531" s="194"/>
      <c r="M531" s="194"/>
      <c r="N531" s="194"/>
      <c r="O531" s="194"/>
      <c r="P531" s="194"/>
      <c r="Q531" s="194"/>
      <c r="R531" s="194"/>
    </row>
    <row r="532">
      <c r="A532" s="325"/>
      <c r="B532" s="325"/>
      <c r="C532" s="180"/>
      <c r="D532" s="244"/>
      <c r="E532" s="244"/>
      <c r="F532" s="244"/>
      <c r="G532" s="244"/>
      <c r="H532" s="194"/>
      <c r="I532" s="194"/>
      <c r="J532" s="194"/>
      <c r="K532" s="194"/>
      <c r="L532" s="194"/>
      <c r="M532" s="194"/>
      <c r="N532" s="194"/>
      <c r="O532" s="194"/>
      <c r="P532" s="194"/>
      <c r="Q532" s="194"/>
      <c r="R532" s="194"/>
    </row>
    <row r="533">
      <c r="A533" s="325"/>
      <c r="B533" s="325"/>
      <c r="C533" s="180"/>
      <c r="D533" s="244"/>
      <c r="E533" s="244"/>
      <c r="F533" s="244"/>
      <c r="G533" s="244"/>
      <c r="H533" s="194"/>
      <c r="I533" s="194"/>
      <c r="J533" s="194"/>
      <c r="K533" s="194"/>
      <c r="L533" s="194"/>
      <c r="M533" s="194"/>
      <c r="N533" s="194"/>
      <c r="O533" s="194"/>
      <c r="P533" s="194"/>
      <c r="Q533" s="194"/>
      <c r="R533" s="194"/>
    </row>
    <row r="534">
      <c r="A534" s="325"/>
      <c r="B534" s="325"/>
      <c r="C534" s="180"/>
      <c r="D534" s="244"/>
      <c r="E534" s="244"/>
      <c r="F534" s="244"/>
      <c r="G534" s="244"/>
      <c r="H534" s="194"/>
      <c r="I534" s="194"/>
      <c r="J534" s="194"/>
      <c r="K534" s="194"/>
      <c r="L534" s="194"/>
      <c r="M534" s="194"/>
      <c r="N534" s="194"/>
      <c r="O534" s="194"/>
      <c r="P534" s="194"/>
      <c r="Q534" s="194"/>
      <c r="R534" s="194"/>
    </row>
    <row r="535">
      <c r="A535" s="325"/>
      <c r="B535" s="325"/>
      <c r="C535" s="180"/>
      <c r="D535" s="244"/>
      <c r="E535" s="244"/>
      <c r="F535" s="244"/>
      <c r="G535" s="244"/>
      <c r="H535" s="194"/>
      <c r="I535" s="194"/>
      <c r="J535" s="194"/>
      <c r="K535" s="194"/>
      <c r="L535" s="194"/>
      <c r="M535" s="194"/>
      <c r="N535" s="194"/>
      <c r="O535" s="194"/>
      <c r="P535" s="194"/>
      <c r="Q535" s="194"/>
      <c r="R535" s="194"/>
    </row>
    <row r="536">
      <c r="A536" s="325"/>
      <c r="B536" s="325"/>
      <c r="C536" s="180"/>
      <c r="D536" s="244"/>
      <c r="E536" s="244"/>
      <c r="F536" s="244"/>
      <c r="G536" s="244"/>
      <c r="H536" s="194"/>
      <c r="I536" s="194"/>
      <c r="J536" s="194"/>
      <c r="K536" s="194"/>
      <c r="L536" s="194"/>
      <c r="M536" s="194"/>
      <c r="N536" s="194"/>
      <c r="O536" s="194"/>
      <c r="P536" s="194"/>
      <c r="Q536" s="194"/>
      <c r="R536" s="194"/>
    </row>
    <row r="537">
      <c r="A537" s="325"/>
      <c r="B537" s="325"/>
      <c r="C537" s="180"/>
      <c r="D537" s="244"/>
      <c r="E537" s="244"/>
      <c r="F537" s="244"/>
      <c r="G537" s="244"/>
      <c r="H537" s="194"/>
      <c r="I537" s="194"/>
      <c r="J537" s="194"/>
      <c r="K537" s="194"/>
      <c r="L537" s="194"/>
      <c r="M537" s="194"/>
      <c r="N537" s="194"/>
      <c r="O537" s="194"/>
      <c r="P537" s="194"/>
      <c r="Q537" s="194"/>
      <c r="R537" s="194"/>
    </row>
    <row r="538">
      <c r="A538" s="325"/>
      <c r="B538" s="325"/>
      <c r="C538" s="180"/>
      <c r="D538" s="244"/>
      <c r="E538" s="244"/>
      <c r="F538" s="244"/>
      <c r="G538" s="244"/>
      <c r="H538" s="194"/>
      <c r="I538" s="194"/>
      <c r="J538" s="194"/>
      <c r="K538" s="194"/>
      <c r="L538" s="194"/>
      <c r="M538" s="194"/>
      <c r="N538" s="194"/>
      <c r="O538" s="194"/>
      <c r="P538" s="194"/>
      <c r="Q538" s="194"/>
      <c r="R538" s="194"/>
    </row>
    <row r="539">
      <c r="A539" s="325"/>
      <c r="B539" s="325"/>
      <c r="C539" s="180"/>
      <c r="D539" s="244"/>
      <c r="E539" s="244"/>
      <c r="F539" s="244"/>
      <c r="G539" s="244"/>
      <c r="H539" s="194"/>
      <c r="I539" s="194"/>
      <c r="J539" s="194"/>
      <c r="K539" s="194"/>
      <c r="L539" s="194"/>
      <c r="M539" s="194"/>
      <c r="N539" s="194"/>
      <c r="O539" s="194"/>
      <c r="P539" s="194"/>
      <c r="Q539" s="194"/>
      <c r="R539" s="194"/>
    </row>
    <row r="540">
      <c r="A540" s="325"/>
      <c r="B540" s="325"/>
      <c r="C540" s="180"/>
      <c r="D540" s="244"/>
      <c r="E540" s="244"/>
      <c r="F540" s="244"/>
      <c r="G540" s="244"/>
      <c r="H540" s="194"/>
      <c r="I540" s="194"/>
      <c r="J540" s="194"/>
      <c r="K540" s="194"/>
      <c r="L540" s="194"/>
      <c r="M540" s="194"/>
      <c r="N540" s="194"/>
      <c r="O540" s="194"/>
      <c r="P540" s="194"/>
      <c r="Q540" s="194"/>
      <c r="R540" s="194"/>
    </row>
    <row r="541">
      <c r="A541" s="325"/>
      <c r="B541" s="325"/>
      <c r="C541" s="180"/>
      <c r="D541" s="244"/>
      <c r="E541" s="244"/>
      <c r="F541" s="244"/>
      <c r="G541" s="244"/>
      <c r="H541" s="194"/>
      <c r="I541" s="194"/>
      <c r="J541" s="194"/>
      <c r="K541" s="194"/>
      <c r="L541" s="194"/>
      <c r="M541" s="194"/>
      <c r="N541" s="194"/>
      <c r="O541" s="194"/>
      <c r="P541" s="194"/>
      <c r="Q541" s="194"/>
      <c r="R541" s="194"/>
    </row>
    <row r="542">
      <c r="A542" s="325"/>
      <c r="B542" s="325"/>
      <c r="C542" s="180"/>
      <c r="D542" s="244"/>
      <c r="E542" s="244"/>
      <c r="F542" s="244"/>
      <c r="G542" s="244"/>
      <c r="H542" s="194"/>
      <c r="I542" s="194"/>
      <c r="J542" s="194"/>
      <c r="K542" s="194"/>
      <c r="L542" s="194"/>
      <c r="M542" s="194"/>
      <c r="N542" s="194"/>
      <c r="O542" s="194"/>
      <c r="P542" s="194"/>
      <c r="Q542" s="194"/>
      <c r="R542" s="194"/>
    </row>
    <row r="543">
      <c r="A543" s="325"/>
      <c r="B543" s="325"/>
      <c r="C543" s="180"/>
      <c r="D543" s="244"/>
      <c r="E543" s="244"/>
      <c r="F543" s="244"/>
      <c r="G543" s="244"/>
      <c r="H543" s="194"/>
      <c r="I543" s="194"/>
      <c r="J543" s="194"/>
      <c r="K543" s="194"/>
      <c r="L543" s="194"/>
      <c r="M543" s="194"/>
      <c r="N543" s="194"/>
      <c r="O543" s="194"/>
      <c r="P543" s="194"/>
      <c r="Q543" s="194"/>
      <c r="R543" s="194"/>
    </row>
    <row r="544">
      <c r="A544" s="325"/>
      <c r="B544" s="325"/>
      <c r="C544" s="180"/>
      <c r="D544" s="244"/>
      <c r="E544" s="244"/>
      <c r="F544" s="244"/>
      <c r="G544" s="244"/>
      <c r="H544" s="194"/>
      <c r="I544" s="194"/>
      <c r="J544" s="194"/>
      <c r="K544" s="194"/>
      <c r="L544" s="194"/>
      <c r="M544" s="194"/>
      <c r="N544" s="194"/>
      <c r="O544" s="194"/>
      <c r="P544" s="194"/>
      <c r="Q544" s="194"/>
      <c r="R544" s="194"/>
    </row>
    <row r="545">
      <c r="A545" s="325"/>
      <c r="B545" s="325"/>
      <c r="C545" s="180"/>
      <c r="D545" s="244"/>
      <c r="E545" s="244"/>
      <c r="F545" s="244"/>
      <c r="G545" s="244"/>
      <c r="H545" s="194"/>
      <c r="I545" s="194"/>
      <c r="J545" s="194"/>
      <c r="K545" s="194"/>
      <c r="L545" s="194"/>
      <c r="M545" s="194"/>
      <c r="N545" s="194"/>
      <c r="O545" s="194"/>
      <c r="P545" s="194"/>
      <c r="Q545" s="194"/>
      <c r="R545" s="194"/>
    </row>
    <row r="546">
      <c r="A546" s="325"/>
      <c r="B546" s="325"/>
      <c r="C546" s="180"/>
      <c r="D546" s="244"/>
      <c r="E546" s="244"/>
      <c r="F546" s="244"/>
      <c r="G546" s="244"/>
      <c r="H546" s="194"/>
      <c r="I546" s="194"/>
      <c r="J546" s="194"/>
      <c r="K546" s="194"/>
      <c r="L546" s="194"/>
      <c r="M546" s="194"/>
      <c r="N546" s="194"/>
      <c r="O546" s="194"/>
      <c r="P546" s="194"/>
      <c r="Q546" s="194"/>
      <c r="R546" s="194"/>
    </row>
    <row r="547">
      <c r="A547" s="325"/>
      <c r="B547" s="325"/>
      <c r="C547" s="180"/>
      <c r="D547" s="244"/>
      <c r="E547" s="244"/>
      <c r="F547" s="244"/>
      <c r="G547" s="244"/>
      <c r="H547" s="194"/>
      <c r="I547" s="194"/>
      <c r="J547" s="194"/>
      <c r="K547" s="194"/>
      <c r="L547" s="194"/>
      <c r="M547" s="194"/>
      <c r="N547" s="194"/>
      <c r="O547" s="194"/>
      <c r="P547" s="194"/>
      <c r="Q547" s="194"/>
      <c r="R547" s="194"/>
    </row>
    <row r="548">
      <c r="A548" s="325"/>
      <c r="B548" s="325"/>
      <c r="C548" s="180"/>
      <c r="D548" s="244"/>
      <c r="E548" s="244"/>
      <c r="F548" s="244"/>
      <c r="G548" s="244"/>
      <c r="H548" s="194"/>
      <c r="I548" s="194"/>
      <c r="J548" s="194"/>
      <c r="K548" s="194"/>
      <c r="L548" s="194"/>
      <c r="M548" s="194"/>
      <c r="N548" s="194"/>
      <c r="O548" s="194"/>
      <c r="P548" s="194"/>
      <c r="Q548" s="194"/>
      <c r="R548" s="194"/>
    </row>
    <row r="549">
      <c r="A549" s="325"/>
      <c r="B549" s="325"/>
      <c r="C549" s="180"/>
      <c r="D549" s="244"/>
      <c r="E549" s="244"/>
      <c r="F549" s="244"/>
      <c r="G549" s="244"/>
      <c r="H549" s="194"/>
      <c r="I549" s="194"/>
      <c r="J549" s="194"/>
      <c r="K549" s="194"/>
      <c r="L549" s="194"/>
      <c r="M549" s="194"/>
      <c r="N549" s="194"/>
      <c r="O549" s="194"/>
      <c r="P549" s="194"/>
      <c r="Q549" s="194"/>
      <c r="R549" s="194"/>
    </row>
    <row r="550">
      <c r="A550" s="325"/>
      <c r="B550" s="325"/>
      <c r="C550" s="180"/>
      <c r="D550" s="244"/>
      <c r="E550" s="244"/>
      <c r="F550" s="244"/>
      <c r="G550" s="244"/>
      <c r="H550" s="194"/>
      <c r="I550" s="194"/>
      <c r="J550" s="194"/>
      <c r="K550" s="194"/>
      <c r="L550" s="194"/>
      <c r="M550" s="194"/>
      <c r="N550" s="194"/>
      <c r="O550" s="194"/>
      <c r="P550" s="194"/>
      <c r="Q550" s="194"/>
      <c r="R550" s="194"/>
    </row>
    <row r="551">
      <c r="A551" s="325"/>
      <c r="B551" s="325"/>
      <c r="C551" s="180"/>
      <c r="D551" s="244"/>
      <c r="E551" s="244"/>
      <c r="F551" s="244"/>
      <c r="G551" s="24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</row>
    <row r="552">
      <c r="A552" s="325"/>
      <c r="B552" s="325"/>
      <c r="C552" s="180"/>
      <c r="D552" s="244"/>
      <c r="E552" s="244"/>
      <c r="F552" s="244"/>
      <c r="G552" s="244"/>
      <c r="H552" s="194"/>
      <c r="I552" s="194"/>
      <c r="J552" s="194"/>
      <c r="K552" s="194"/>
      <c r="L552" s="194"/>
      <c r="M552" s="194"/>
      <c r="N552" s="194"/>
      <c r="O552" s="194"/>
      <c r="P552" s="194"/>
      <c r="Q552" s="194"/>
      <c r="R552" s="194"/>
    </row>
    <row r="553">
      <c r="A553" s="325"/>
      <c r="B553" s="325"/>
      <c r="C553" s="180"/>
      <c r="D553" s="244"/>
      <c r="E553" s="244"/>
      <c r="F553" s="244"/>
      <c r="G553" s="24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</row>
    <row r="554">
      <c r="A554" s="325"/>
      <c r="B554" s="325"/>
      <c r="C554" s="180"/>
      <c r="D554" s="244"/>
      <c r="E554" s="244"/>
      <c r="F554" s="244"/>
      <c r="G554" s="244"/>
      <c r="H554" s="194"/>
      <c r="I554" s="194"/>
      <c r="J554" s="194"/>
      <c r="K554" s="194"/>
      <c r="L554" s="194"/>
      <c r="M554" s="194"/>
      <c r="N554" s="194"/>
      <c r="O554" s="194"/>
      <c r="P554" s="194"/>
      <c r="Q554" s="194"/>
      <c r="R554" s="194"/>
    </row>
    <row r="555">
      <c r="A555" s="325"/>
      <c r="B555" s="325"/>
      <c r="C555" s="180"/>
      <c r="D555" s="244"/>
      <c r="E555" s="244"/>
      <c r="F555" s="244"/>
      <c r="G555" s="244"/>
      <c r="H555" s="194"/>
      <c r="I555" s="194"/>
      <c r="J555" s="194"/>
      <c r="K555" s="194"/>
      <c r="L555" s="194"/>
      <c r="M555" s="194"/>
      <c r="N555" s="194"/>
      <c r="O555" s="194"/>
      <c r="P555" s="194"/>
      <c r="Q555" s="194"/>
      <c r="R555" s="194"/>
    </row>
    <row r="556">
      <c r="A556" s="325"/>
      <c r="B556" s="325"/>
      <c r="C556" s="180"/>
      <c r="D556" s="244"/>
      <c r="E556" s="244"/>
      <c r="F556" s="244"/>
      <c r="G556" s="244"/>
      <c r="H556" s="194"/>
      <c r="I556" s="194"/>
      <c r="J556" s="194"/>
      <c r="K556" s="194"/>
      <c r="L556" s="194"/>
      <c r="M556" s="194"/>
      <c r="N556" s="194"/>
      <c r="O556" s="194"/>
      <c r="P556" s="194"/>
      <c r="Q556" s="194"/>
      <c r="R556" s="194"/>
    </row>
    <row r="557">
      <c r="A557" s="325"/>
      <c r="B557" s="325"/>
      <c r="C557" s="180"/>
      <c r="D557" s="244"/>
      <c r="E557" s="244"/>
      <c r="F557" s="244"/>
      <c r="G557" s="244"/>
      <c r="H557" s="194"/>
      <c r="I557" s="194"/>
      <c r="J557" s="194"/>
      <c r="K557" s="194"/>
      <c r="L557" s="194"/>
      <c r="M557" s="194"/>
      <c r="N557" s="194"/>
      <c r="O557" s="194"/>
      <c r="P557" s="194"/>
      <c r="Q557" s="194"/>
      <c r="R557" s="194"/>
    </row>
    <row r="558">
      <c r="A558" s="325"/>
      <c r="B558" s="325"/>
      <c r="C558" s="180"/>
      <c r="D558" s="244"/>
      <c r="E558" s="244"/>
      <c r="F558" s="244"/>
      <c r="G558" s="244"/>
      <c r="H558" s="194"/>
      <c r="I558" s="194"/>
      <c r="J558" s="194"/>
      <c r="K558" s="194"/>
      <c r="L558" s="194"/>
      <c r="M558" s="194"/>
      <c r="N558" s="194"/>
      <c r="O558" s="194"/>
      <c r="P558" s="194"/>
      <c r="Q558" s="194"/>
      <c r="R558" s="194"/>
    </row>
    <row r="559">
      <c r="A559" s="325"/>
      <c r="B559" s="325"/>
      <c r="C559" s="180"/>
      <c r="D559" s="244"/>
      <c r="E559" s="244"/>
      <c r="F559" s="244"/>
      <c r="G559" s="244"/>
      <c r="H559" s="194"/>
      <c r="I559" s="194"/>
      <c r="J559" s="194"/>
      <c r="K559" s="194"/>
      <c r="L559" s="194"/>
      <c r="M559" s="194"/>
      <c r="N559" s="194"/>
      <c r="O559" s="194"/>
      <c r="P559" s="194"/>
      <c r="Q559" s="194"/>
      <c r="R559" s="194"/>
    </row>
    <row r="560">
      <c r="A560" s="325"/>
      <c r="B560" s="325"/>
      <c r="C560" s="180"/>
      <c r="D560" s="244"/>
      <c r="E560" s="244"/>
      <c r="F560" s="244"/>
      <c r="G560" s="244"/>
      <c r="H560" s="194"/>
      <c r="I560" s="194"/>
      <c r="J560" s="194"/>
      <c r="K560" s="194"/>
      <c r="L560" s="194"/>
      <c r="M560" s="194"/>
      <c r="N560" s="194"/>
      <c r="O560" s="194"/>
      <c r="P560" s="194"/>
      <c r="Q560" s="194"/>
      <c r="R560" s="194"/>
    </row>
    <row r="561">
      <c r="A561" s="325"/>
      <c r="B561" s="325"/>
      <c r="C561" s="180"/>
      <c r="D561" s="244"/>
      <c r="E561" s="244"/>
      <c r="F561" s="244"/>
      <c r="G561" s="244"/>
      <c r="H561" s="194"/>
      <c r="I561" s="194"/>
      <c r="J561" s="194"/>
      <c r="K561" s="194"/>
      <c r="L561" s="194"/>
      <c r="M561" s="194"/>
      <c r="N561" s="194"/>
      <c r="O561" s="194"/>
      <c r="P561" s="194"/>
      <c r="Q561" s="194"/>
      <c r="R561" s="194"/>
    </row>
    <row r="562">
      <c r="A562" s="325"/>
      <c r="B562" s="325"/>
      <c r="C562" s="180"/>
      <c r="D562" s="244"/>
      <c r="E562" s="244"/>
      <c r="F562" s="244"/>
      <c r="G562" s="244"/>
      <c r="H562" s="194"/>
      <c r="I562" s="194"/>
      <c r="J562" s="194"/>
      <c r="K562" s="194"/>
      <c r="L562" s="194"/>
      <c r="M562" s="194"/>
      <c r="N562" s="194"/>
      <c r="O562" s="194"/>
      <c r="P562" s="194"/>
      <c r="Q562" s="194"/>
      <c r="R562" s="194"/>
    </row>
    <row r="563">
      <c r="A563" s="325"/>
      <c r="B563" s="325"/>
      <c r="C563" s="180"/>
      <c r="D563" s="244"/>
      <c r="E563" s="244"/>
      <c r="F563" s="244"/>
      <c r="G563" s="244"/>
      <c r="H563" s="194"/>
      <c r="I563" s="194"/>
      <c r="J563" s="194"/>
      <c r="K563" s="194"/>
      <c r="L563" s="194"/>
      <c r="M563" s="194"/>
      <c r="N563" s="194"/>
      <c r="O563" s="194"/>
      <c r="P563" s="194"/>
      <c r="Q563" s="194"/>
      <c r="R563" s="194"/>
    </row>
    <row r="564">
      <c r="A564" s="325"/>
      <c r="B564" s="325"/>
      <c r="C564" s="180"/>
      <c r="D564" s="244"/>
      <c r="E564" s="244"/>
      <c r="F564" s="244"/>
      <c r="G564" s="244"/>
      <c r="H564" s="194"/>
      <c r="I564" s="194"/>
      <c r="J564" s="194"/>
      <c r="K564" s="194"/>
      <c r="L564" s="194"/>
      <c r="M564" s="194"/>
      <c r="N564" s="194"/>
      <c r="O564" s="194"/>
      <c r="P564" s="194"/>
      <c r="Q564" s="194"/>
      <c r="R564" s="194"/>
    </row>
    <row r="565">
      <c r="A565" s="325"/>
      <c r="B565" s="325"/>
      <c r="C565" s="180"/>
      <c r="D565" s="244"/>
      <c r="E565" s="244"/>
      <c r="F565" s="244"/>
      <c r="G565" s="244"/>
      <c r="H565" s="194"/>
      <c r="I565" s="194"/>
      <c r="J565" s="194"/>
      <c r="K565" s="194"/>
      <c r="L565" s="194"/>
      <c r="M565" s="194"/>
      <c r="N565" s="194"/>
      <c r="O565" s="194"/>
      <c r="P565" s="194"/>
      <c r="Q565" s="194"/>
      <c r="R565" s="194"/>
    </row>
  </sheetData>
  <mergeCells count="3">
    <mergeCell ref="B5:B9"/>
    <mergeCell ref="B10:B14"/>
    <mergeCell ref="B15:B19"/>
  </mergeCells>
  <conditionalFormatting sqref="D9:G9 D14:G14 D19:G19">
    <cfRule type="cellIs" dxfId="7" priority="1" operator="lessThan">
      <formula>0</formula>
    </cfRule>
  </conditionalFormatting>
  <printOptions gridLines="1"/>
  <pageMargins bottom="0.75" footer="0.0" header="0.0" left="0.25" right="0.25" top="0.75"/>
  <pageSetup fitToHeight="0" paperSize="9" cellComments="atEnd" orientation="portrait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  <pageSetUpPr fitToPage="1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8.0"/>
    <col customWidth="1" min="2" max="2" width="12.13"/>
    <col customWidth="1" min="3" max="3" width="13.63"/>
    <col customWidth="1" min="4" max="4" width="14.63"/>
    <col customWidth="1" min="5" max="5" width="19.25"/>
    <col customWidth="1" min="6" max="6" width="22.5"/>
    <col customWidth="1" min="7" max="8" width="15.0"/>
    <col customWidth="1" min="9" max="13" width="12.88"/>
  </cols>
  <sheetData>
    <row r="1" ht="31.5" customHeight="1">
      <c r="A1" s="300" t="str">
        <f>IFERROR(__xludf.DUMMYFUNCTION("QUERY('Base de Dados'!A1:CF29, ""select A, W, AA, AT, AB, AC, O, CB, M, CD, CF, G, CA where W &lt;&gt; '' and O = 168105 and J = 'SETIC' and A &gt; 1000 and R = '1 - Selecionado' and CA = 'Não' and H = 'Continuado' order by A"",1)"),"Id")</f>
        <v>Id</v>
      </c>
      <c r="B1" s="353" t="str">
        <f>IFERROR(__xludf.DUMMYFUNCTION("""COMPUTED_VALUE"""),"Contrato")</f>
        <v>Contrato</v>
      </c>
      <c r="C1" s="302" t="str">
        <f>IFERROR(__xludf.DUMMYFUNCTION("""COMPUTED_VALUE"""),"Processo Adm")</f>
        <v>Processo Adm</v>
      </c>
      <c r="D1" s="302" t="str">
        <f>IFERROR(__xludf.DUMMYFUNCTION("""COMPUTED_VALUE"""),"Valor Projetado")</f>
        <v>Valor Projetado</v>
      </c>
      <c r="E1" s="302" t="str">
        <f>IFERROR(__xludf.DUMMYFUNCTION("""COMPUTED_VALUE"""),"CNPJ/CPF Fornec")</f>
        <v>CNPJ/CPF Fornec</v>
      </c>
      <c r="F1" s="354" t="str">
        <f>IFERROR(__xludf.DUMMYFUNCTION("""COMPUTED_VALUE"""),"Razão Social")</f>
        <v>Razão Social</v>
      </c>
      <c r="G1" s="355" t="str">
        <f>IFERROR(__xludf.DUMMYFUNCTION("""COMPUTED_VALUE"""),"Reduzido Previsto")</f>
        <v>Reduzido Previsto</v>
      </c>
      <c r="H1" s="354" t="str">
        <f>IFERROR(__xludf.DUMMYFUNCTION("""COMPUTED_VALUE"""),"DS_CONTA")</f>
        <v>DS_CONTA</v>
      </c>
      <c r="I1" s="309" t="str">
        <f>IFERROR(__xludf.DUMMYFUNCTION("""COMPUTED_VALUE"""),"Sub de Despesa")</f>
        <v>Sub de Despesa</v>
      </c>
      <c r="J1" s="356" t="str">
        <f>IFERROR(__xludf.DUMMYFUNCTION("""COMPUTED_VALUE"""),"DS_NATUREZA")</f>
        <v>DS_NATUREZA</v>
      </c>
      <c r="K1" s="356" t="str">
        <f>IFERROR(__xludf.DUMMYFUNCTION("""COMPUTED_VALUE"""),"DS_SUBITEM")</f>
        <v>DS_SUBITEM</v>
      </c>
      <c r="L1" s="356" t="str">
        <f>IFERROR(__xludf.DUMMYFUNCTION("""COMPUTED_VALUE"""),"Denominação Ampliada")</f>
        <v>Denominação Ampliada</v>
      </c>
      <c r="M1" s="357" t="str">
        <f>IFERROR(__xludf.DUMMYFUNCTION("""COMPUTED_VALUE"""),"Solicitação NE no PROAD")</f>
        <v>Solicitação NE no PROAD</v>
      </c>
    </row>
    <row r="2">
      <c r="A2" s="311"/>
      <c r="B2" s="358"/>
      <c r="C2" s="313"/>
      <c r="D2" s="313"/>
      <c r="E2" s="313"/>
      <c r="F2" s="359"/>
      <c r="G2" s="360"/>
      <c r="H2" s="359"/>
      <c r="I2" s="322"/>
      <c r="J2" s="361"/>
      <c r="K2" s="361"/>
      <c r="L2" s="361"/>
      <c r="M2" s="362"/>
    </row>
    <row r="3">
      <c r="A3" s="311"/>
      <c r="B3" s="358"/>
      <c r="C3" s="313"/>
      <c r="D3" s="313"/>
      <c r="E3" s="313"/>
      <c r="F3" s="359"/>
      <c r="G3" s="360"/>
      <c r="H3" s="359"/>
      <c r="I3" s="322"/>
      <c r="J3" s="361"/>
      <c r="K3" s="361"/>
      <c r="L3" s="361"/>
      <c r="M3" s="362"/>
    </row>
    <row r="4">
      <c r="A4" s="311"/>
      <c r="B4" s="358"/>
      <c r="C4" s="313"/>
      <c r="D4" s="313"/>
      <c r="E4" s="313"/>
      <c r="F4" s="359"/>
      <c r="G4" s="360"/>
      <c r="H4" s="359"/>
      <c r="I4" s="322"/>
      <c r="J4" s="361"/>
      <c r="K4" s="361"/>
      <c r="L4" s="361"/>
      <c r="M4" s="362"/>
    </row>
    <row r="5">
      <c r="A5" s="311"/>
      <c r="B5" s="358"/>
      <c r="C5" s="313"/>
      <c r="D5" s="313"/>
      <c r="E5" s="313"/>
      <c r="F5" s="359"/>
      <c r="G5" s="360"/>
      <c r="H5" s="359"/>
      <c r="I5" s="322"/>
      <c r="J5" s="361"/>
      <c r="K5" s="361"/>
      <c r="L5" s="361"/>
      <c r="M5" s="362"/>
    </row>
    <row r="6">
      <c r="A6" s="311"/>
      <c r="B6" s="358"/>
      <c r="C6" s="313"/>
      <c r="D6" s="313"/>
      <c r="E6" s="313"/>
      <c r="F6" s="359"/>
      <c r="G6" s="360"/>
      <c r="H6" s="359"/>
      <c r="I6" s="322"/>
      <c r="J6" s="361"/>
      <c r="K6" s="361"/>
      <c r="L6" s="361"/>
      <c r="M6" s="362"/>
    </row>
    <row r="7">
      <c r="A7" s="311"/>
      <c r="B7" s="358"/>
      <c r="C7" s="313"/>
      <c r="D7" s="313"/>
      <c r="E7" s="313"/>
      <c r="F7" s="359"/>
      <c r="G7" s="360"/>
      <c r="H7" s="359"/>
      <c r="I7" s="322"/>
      <c r="J7" s="361"/>
      <c r="K7" s="361"/>
      <c r="L7" s="361"/>
      <c r="M7" s="362"/>
    </row>
    <row r="8">
      <c r="A8" s="311"/>
      <c r="B8" s="358"/>
      <c r="C8" s="313"/>
      <c r="D8" s="313"/>
      <c r="E8" s="313"/>
      <c r="F8" s="359"/>
      <c r="G8" s="360"/>
      <c r="H8" s="359"/>
      <c r="I8" s="322"/>
      <c r="J8" s="361"/>
      <c r="K8" s="361"/>
      <c r="L8" s="361"/>
      <c r="M8" s="362"/>
    </row>
    <row r="9">
      <c r="A9" s="311"/>
      <c r="B9" s="358"/>
      <c r="C9" s="313"/>
      <c r="D9" s="313"/>
      <c r="E9" s="324"/>
      <c r="F9" s="359"/>
      <c r="G9" s="360"/>
      <c r="H9" s="359"/>
      <c r="I9" s="322"/>
      <c r="J9" s="361"/>
      <c r="K9" s="361"/>
      <c r="L9" s="361"/>
      <c r="M9" s="362"/>
    </row>
    <row r="10">
      <c r="A10" s="311"/>
      <c r="B10" s="358"/>
      <c r="C10" s="313"/>
      <c r="D10" s="313"/>
      <c r="E10" s="313"/>
      <c r="F10" s="359"/>
      <c r="G10" s="360"/>
      <c r="H10" s="359"/>
      <c r="I10" s="322"/>
      <c r="J10" s="361"/>
      <c r="K10" s="361"/>
      <c r="L10" s="361"/>
      <c r="M10" s="362"/>
    </row>
    <row r="11">
      <c r="A11" s="311"/>
      <c r="B11" s="358"/>
      <c r="C11" s="313"/>
      <c r="D11" s="313"/>
      <c r="E11" s="313"/>
      <c r="F11" s="359"/>
      <c r="G11" s="360"/>
      <c r="H11" s="359"/>
      <c r="I11" s="322"/>
      <c r="J11" s="361"/>
      <c r="K11" s="361"/>
      <c r="L11" s="361"/>
      <c r="M11" s="362"/>
    </row>
    <row r="12">
      <c r="A12" s="311"/>
      <c r="B12" s="358"/>
      <c r="C12" s="313"/>
      <c r="D12" s="313"/>
      <c r="E12" s="313"/>
      <c r="F12" s="359"/>
      <c r="G12" s="360"/>
      <c r="H12" s="359"/>
      <c r="I12" s="322"/>
      <c r="J12" s="361"/>
      <c r="K12" s="361"/>
      <c r="L12" s="361"/>
      <c r="M12" s="362"/>
    </row>
    <row r="13">
      <c r="A13" s="311"/>
      <c r="B13" s="358"/>
      <c r="C13" s="313"/>
      <c r="D13" s="313"/>
      <c r="E13" s="313"/>
      <c r="F13" s="359"/>
      <c r="G13" s="360"/>
      <c r="H13" s="359"/>
      <c r="I13" s="322"/>
      <c r="J13" s="361"/>
      <c r="K13" s="361"/>
      <c r="L13" s="361"/>
      <c r="M13" s="362"/>
    </row>
    <row r="14">
      <c r="A14" s="311"/>
      <c r="B14" s="358"/>
      <c r="C14" s="313"/>
      <c r="D14" s="313"/>
      <c r="E14" s="313"/>
      <c r="F14" s="359"/>
      <c r="G14" s="360"/>
      <c r="H14" s="359"/>
      <c r="I14" s="322"/>
      <c r="J14" s="361"/>
      <c r="K14" s="361"/>
      <c r="L14" s="361"/>
      <c r="M14" s="362"/>
    </row>
    <row r="15">
      <c r="A15" s="311"/>
      <c r="B15" s="358"/>
      <c r="C15" s="313"/>
      <c r="D15" s="313"/>
      <c r="E15" s="313"/>
      <c r="F15" s="359"/>
      <c r="G15" s="360"/>
      <c r="H15" s="359"/>
      <c r="I15" s="322"/>
      <c r="J15" s="361"/>
      <c r="K15" s="361"/>
      <c r="L15" s="361"/>
      <c r="M15" s="362"/>
    </row>
    <row r="16">
      <c r="A16" s="311"/>
      <c r="B16" s="358"/>
      <c r="C16" s="313"/>
      <c r="D16" s="313"/>
      <c r="E16" s="313"/>
      <c r="F16" s="359"/>
      <c r="G16" s="360"/>
      <c r="H16" s="359"/>
      <c r="I16" s="322"/>
      <c r="J16" s="361"/>
      <c r="K16" s="361"/>
      <c r="L16" s="361"/>
      <c r="M16" s="362"/>
    </row>
    <row r="17">
      <c r="A17" s="311"/>
      <c r="B17" s="358"/>
      <c r="C17" s="313"/>
      <c r="D17" s="313"/>
      <c r="E17" s="313"/>
      <c r="F17" s="359"/>
      <c r="G17" s="360"/>
      <c r="H17" s="359"/>
      <c r="I17" s="322"/>
      <c r="J17" s="361"/>
      <c r="K17" s="361"/>
      <c r="L17" s="361"/>
      <c r="M17" s="362"/>
    </row>
    <row r="18">
      <c r="A18" s="311"/>
      <c r="B18" s="358"/>
      <c r="C18" s="313"/>
      <c r="D18" s="313"/>
      <c r="E18" s="313"/>
      <c r="F18" s="359"/>
      <c r="G18" s="360"/>
      <c r="H18" s="359"/>
      <c r="I18" s="322"/>
      <c r="J18" s="361"/>
      <c r="K18" s="361"/>
      <c r="L18" s="361"/>
      <c r="M18" s="362"/>
    </row>
    <row r="19">
      <c r="A19" s="311"/>
      <c r="B19" s="358"/>
      <c r="C19" s="313"/>
      <c r="D19" s="313"/>
      <c r="E19" s="313"/>
      <c r="F19" s="359"/>
      <c r="G19" s="360"/>
      <c r="H19" s="359"/>
      <c r="I19" s="322"/>
      <c r="J19" s="361"/>
      <c r="K19" s="361"/>
      <c r="L19" s="361"/>
      <c r="M19" s="362"/>
    </row>
    <row r="20">
      <c r="A20" s="311"/>
      <c r="B20" s="358"/>
      <c r="C20" s="313"/>
      <c r="D20" s="313"/>
      <c r="E20" s="313"/>
      <c r="F20" s="359"/>
      <c r="G20" s="360"/>
      <c r="H20" s="359"/>
      <c r="I20" s="322"/>
      <c r="J20" s="361"/>
      <c r="K20" s="361"/>
      <c r="L20" s="361"/>
      <c r="M20" s="362"/>
    </row>
    <row r="21">
      <c r="A21" s="311"/>
      <c r="B21" s="358"/>
      <c r="C21" s="313"/>
      <c r="D21" s="313"/>
      <c r="E21" s="313"/>
      <c r="F21" s="359"/>
      <c r="G21" s="360"/>
      <c r="H21" s="359"/>
      <c r="I21" s="322"/>
      <c r="J21" s="361"/>
      <c r="K21" s="361"/>
      <c r="L21" s="361"/>
      <c r="M21" s="362"/>
    </row>
    <row r="22">
      <c r="A22" s="311"/>
      <c r="B22" s="358"/>
      <c r="C22" s="313"/>
      <c r="D22" s="313"/>
      <c r="E22" s="313"/>
      <c r="F22" s="359"/>
      <c r="G22" s="360"/>
      <c r="H22" s="359"/>
      <c r="I22" s="322"/>
      <c r="J22" s="361"/>
      <c r="K22" s="361"/>
      <c r="L22" s="361"/>
      <c r="M22" s="362"/>
    </row>
    <row r="23">
      <c r="A23" s="311"/>
      <c r="B23" s="358"/>
      <c r="C23" s="313"/>
      <c r="D23" s="313"/>
      <c r="E23" s="313"/>
      <c r="F23" s="359"/>
      <c r="G23" s="360"/>
      <c r="H23" s="359"/>
      <c r="I23" s="322"/>
      <c r="J23" s="361"/>
      <c r="K23" s="361"/>
      <c r="L23" s="361"/>
      <c r="M23" s="362"/>
    </row>
    <row r="24">
      <c r="A24" s="311"/>
      <c r="B24" s="358"/>
      <c r="C24" s="313"/>
      <c r="D24" s="313"/>
      <c r="E24" s="313"/>
      <c r="F24" s="359"/>
      <c r="G24" s="360"/>
      <c r="H24" s="359"/>
      <c r="I24" s="322"/>
      <c r="J24" s="361"/>
      <c r="K24" s="361"/>
      <c r="L24" s="361"/>
      <c r="M24" s="362"/>
    </row>
    <row r="25">
      <c r="A25" s="311"/>
      <c r="B25" s="358"/>
      <c r="C25" s="313"/>
      <c r="D25" s="313"/>
      <c r="E25" s="313"/>
      <c r="F25" s="359"/>
      <c r="G25" s="360"/>
      <c r="H25" s="359"/>
      <c r="I25" s="322"/>
      <c r="J25" s="361"/>
      <c r="K25" s="361"/>
      <c r="L25" s="361"/>
      <c r="M25" s="362"/>
    </row>
    <row r="26">
      <c r="A26" s="311"/>
      <c r="B26" s="358"/>
      <c r="C26" s="313"/>
      <c r="D26" s="313"/>
      <c r="E26" s="313"/>
      <c r="F26" s="359"/>
      <c r="G26" s="360"/>
      <c r="H26" s="359"/>
      <c r="I26" s="322"/>
      <c r="J26" s="361"/>
      <c r="K26" s="361"/>
      <c r="L26" s="361"/>
      <c r="M26" s="362"/>
    </row>
    <row r="27">
      <c r="A27" s="311"/>
      <c r="B27" s="358"/>
      <c r="C27" s="313"/>
      <c r="D27" s="313"/>
      <c r="E27" s="313"/>
      <c r="F27" s="359"/>
      <c r="G27" s="360"/>
      <c r="H27" s="359"/>
      <c r="I27" s="322"/>
      <c r="J27" s="361"/>
      <c r="K27" s="361"/>
      <c r="L27" s="361"/>
      <c r="M27" s="362"/>
    </row>
    <row r="28">
      <c r="A28" s="311"/>
      <c r="B28" s="358"/>
      <c r="C28" s="313"/>
      <c r="D28" s="313"/>
      <c r="E28" s="313"/>
      <c r="F28" s="359"/>
      <c r="G28" s="360"/>
      <c r="H28" s="359"/>
      <c r="I28" s="322"/>
      <c r="J28" s="361"/>
      <c r="K28" s="361"/>
      <c r="L28" s="361"/>
      <c r="M28" s="362"/>
    </row>
    <row r="29">
      <c r="A29" s="311"/>
      <c r="B29" s="358"/>
      <c r="C29" s="313"/>
      <c r="D29" s="313"/>
      <c r="E29" s="313"/>
      <c r="F29" s="359"/>
      <c r="G29" s="360"/>
      <c r="H29" s="359"/>
      <c r="I29" s="322"/>
      <c r="J29" s="361"/>
      <c r="K29" s="361"/>
      <c r="L29" s="361"/>
      <c r="M29" s="362"/>
    </row>
  </sheetData>
  <printOptions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93.75"/>
    <col customWidth="1" min="2" max="2" width="83.0"/>
  </cols>
  <sheetData>
    <row r="1" ht="294.75" customHeight="1">
      <c r="A1" s="363" t="str">
        <f>IFERROR(__xludf.DUMMYFUNCTION("arrayformula(if('Dados para NE'!M2:M1000&lt;&gt;""OK"",""PROAD "" &amp; 'Dados para NE'!B2:B1000 &amp; "" (ID PAAC 2020 "" &amp; 
'Dados para NE'!A2:A1000 &amp; "")"" &amp; char(10) &amp; char(10) &amp;
""Do: EACTIC"" &amp; char(10) &amp;
""Para: COF"" &amp; char(10) &amp;
""Assunto: Solicitação de emiss"&amp;"ão de Nota de Empenho"" &amp; char(10) &amp; char(10) &amp;
""Sr. Coordenador da COF,"" &amp; char(10) &amp; char(10) &amp;
""Solicitamos a emissão de Nota de Empenho para o exercício de 2020, conforme dados a seguir:
"" &amp; char(10) &amp; 
""Processo: "" &amp; 'Dados para NE'!C2:C1000 &amp; "&amp;"char(10) &amp;
""Valor: "" &amp; dollar('Dados para NE'!D2:D1000) &amp; char(10) &amp;
""Descrição: "" &amp; 'Dados para NE'!L2:L1000 &amp; char(10) &amp; char(10) &amp;
""CNPJ: "" &amp; 'Dados para NE'!E2:E1000 &amp; char(10) &amp;
""Razão Social: "" &amp; 'Dados para NE'!F2:F1000 &amp; char(10) &amp; char(10"&amp;") &amp;
""Ptres: "" &amp; 
'Dados para NE'!G2:G1000 &amp; char(10) &amp; 
'Dados para NE'!H2:H1000 &amp; char(10) &amp; char(10) &amp;
""Natureza da Despesa: "" &amp;  
'Dados para NE'!I2:I1000 &amp; char(10) &amp;
'Dados para NE'!J2:J1000 &amp; char(10) &amp;
'Dados para NE'!K2:K1000 &amp; char(10) &amp; char"&amp;"(10) &amp;
""Em "" &amp; TO_TEXT(TODAY()) &amp; "","" &amp; char(10) &amp; char(10) &amp;
""Atenciosamente,"" &amp; char(10) &amp; char(10) &amp;
""José Eduardo Amaral de Oliveira Teixeira"" &amp; char(10) &amp;
""Assistente-Chefe do EACTIC"" &amp; char(10) &amp; char(10) &amp;
""Proceda-se ao solicitado,"" &amp;"&amp;" char(10) &amp; char(10) &amp;
""Alécio José Riffel"" &amp; char(10) &amp;
""Coordenador da COF"" &amp; char(10) &amp; char(10),""Inserido no PROAD""))"),"PROAD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" s="363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</row>
    <row r="2">
      <c r="A2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" s="363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</row>
    <row r="3">
      <c r="A3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3" s="363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</row>
    <row r="4">
      <c r="A4" s="365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4" s="365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</row>
    <row r="5">
      <c r="A5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5" s="363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</row>
    <row r="6">
      <c r="A6" s="366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6" s="363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</row>
    <row r="7">
      <c r="A7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7" s="363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</row>
    <row r="8">
      <c r="A8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8" s="363"/>
      <c r="C8" s="364"/>
      <c r="D8" s="364"/>
      <c r="E8" s="364"/>
      <c r="F8" s="364"/>
      <c r="G8" s="36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</row>
    <row r="9">
      <c r="A9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9" s="363"/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</row>
    <row r="10">
      <c r="A10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0" s="363"/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</row>
    <row r="11">
      <c r="A11" s="365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1" s="363"/>
      <c r="C11" s="364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</row>
    <row r="12">
      <c r="A12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2" s="363"/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</row>
    <row r="13">
      <c r="A13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3" s="363"/>
      <c r="C13" s="364"/>
      <c r="D13" s="364"/>
      <c r="E13" s="364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</row>
    <row r="14">
      <c r="A14" s="365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4" s="365"/>
      <c r="C14" s="364"/>
      <c r="D14" s="364"/>
      <c r="E14" s="364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</row>
    <row r="15">
      <c r="A15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5" s="363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</row>
    <row r="16">
      <c r="A16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6" s="363"/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</row>
    <row r="17">
      <c r="A17" s="363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7" s="363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</row>
    <row r="18">
      <c r="A18" s="365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8" s="365"/>
      <c r="C18" s="364"/>
      <c r="D18" s="364"/>
      <c r="E18" s="364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</row>
    <row r="19">
      <c r="A19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19" s="367"/>
      <c r="C19" s="364"/>
      <c r="D19" s="364"/>
      <c r="E19" s="364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</row>
    <row r="20">
      <c r="A20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0" s="367"/>
      <c r="C20" s="364"/>
      <c r="D20" s="364"/>
      <c r="E20" s="364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</row>
    <row r="21">
      <c r="A21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1" s="367"/>
      <c r="C21" s="364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</row>
    <row r="22">
      <c r="A22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2" s="367"/>
      <c r="C22" s="364"/>
      <c r="D22" s="364"/>
      <c r="E22" s="364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</row>
    <row r="23">
      <c r="A23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3" s="367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</row>
    <row r="24">
      <c r="A24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4" s="367"/>
      <c r="C24" s="364"/>
      <c r="D24" s="364"/>
      <c r="E24" s="364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</row>
    <row r="25">
      <c r="A25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5" s="367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</row>
    <row r="26">
      <c r="A26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6" s="367"/>
      <c r="C26" s="364"/>
      <c r="D26" s="364"/>
      <c r="E26" s="364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</row>
    <row r="27">
      <c r="A27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7" s="367"/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</row>
    <row r="28">
      <c r="A28" s="367" t="str">
        <f>IFERROR(__xludf.DUMMYFUNCTION("""COMPUTED_VALUE"""),"PROAD  (ID PAAC 2020 )
Do: EACTIC
Para: COF
Assunto: Solicitação de emissão de Nota de Empenho
Sr. Coordenador da COF,
Solicitamos a emissão de Nota de Empenho para o exercício de 2020, conforme dados a seguir:
Processo: 
Valor: R$ 0,00
Descrição: 
C"&amp;"NPJ: 
Razão Social: 
Ptres: 
Natureza da Despesa: 
Em 26/04/2022,
Atenciosamente,
José Eduardo Amaral de Oliveira Teixeira
Assistente-Chefe do EACTIC
Proceda-se ao solicitado,
Alécio José Riffel
Coordenador da COF
")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26/04/2022,
Atenciosamente,
José Eduardo Amaral de Oliveira Teixeira
Assistente-Chefe do EACTIC
Proceda-se ao solicitado,
Alécio José Riffel
Coordenador da COF
</v>
      </c>
      <c r="B28" s="367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</row>
    <row r="29">
      <c r="A29" s="367"/>
      <c r="B29" s="367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</row>
    <row r="30">
      <c r="A30" s="367"/>
      <c r="B30" s="367"/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</row>
    <row r="31">
      <c r="A31" s="367"/>
      <c r="B31" s="367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</row>
    <row r="32">
      <c r="A32" s="367"/>
      <c r="B32" s="367"/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</row>
    <row r="33">
      <c r="A33" s="367"/>
      <c r="B33" s="367"/>
      <c r="C33" s="364"/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</row>
    <row r="34">
      <c r="A34" s="367"/>
      <c r="B34" s="367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</row>
    <row r="35">
      <c r="A35" s="367"/>
      <c r="B35" s="367"/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</row>
    <row r="36">
      <c r="A36" s="367"/>
      <c r="B36" s="367"/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</row>
    <row r="37">
      <c r="A37" s="367"/>
      <c r="B37" s="367"/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</row>
    <row r="38">
      <c r="A38" s="367"/>
      <c r="B38" s="367"/>
      <c r="C38" s="364"/>
      <c r="D38" s="364"/>
      <c r="E38" s="364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</row>
    <row r="39">
      <c r="A39" s="367"/>
      <c r="B39" s="367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</row>
    <row r="40">
      <c r="A40" s="367"/>
      <c r="B40" s="367"/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</row>
    <row r="41">
      <c r="A41" s="367"/>
      <c r="B41" s="367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</row>
    <row r="42">
      <c r="A42" s="367"/>
      <c r="B42" s="367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</row>
    <row r="43">
      <c r="A43" s="367"/>
      <c r="B43" s="367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</row>
    <row r="44">
      <c r="A44" s="367"/>
      <c r="B44" s="367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</row>
    <row r="45">
      <c r="A45" s="367"/>
      <c r="B45" s="367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</row>
    <row r="46">
      <c r="A46" s="367"/>
      <c r="B46" s="367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</row>
    <row r="47">
      <c r="A47" s="367"/>
      <c r="B47" s="367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</row>
    <row r="48">
      <c r="A48" s="367"/>
      <c r="B48" s="367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</row>
    <row r="49">
      <c r="A49" s="367"/>
      <c r="B49" s="367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</row>
    <row r="50">
      <c r="A50" s="367"/>
      <c r="B50" s="367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</row>
    <row r="51">
      <c r="A51" s="367"/>
      <c r="B51" s="367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</row>
    <row r="52">
      <c r="A52" s="367"/>
      <c r="B52" s="367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</row>
    <row r="53">
      <c r="A53" s="367"/>
      <c r="B53" s="367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</row>
    <row r="54">
      <c r="A54" s="367"/>
      <c r="B54" s="367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</row>
    <row r="55">
      <c r="A55" s="367"/>
      <c r="B55" s="367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</row>
    <row r="56">
      <c r="A56" s="367"/>
      <c r="B56" s="367"/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</row>
    <row r="57">
      <c r="A57" s="367"/>
      <c r="B57" s="367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4"/>
      <c r="Y57" s="364"/>
      <c r="Z57" s="364"/>
    </row>
    <row r="58">
      <c r="A58" s="367"/>
      <c r="B58" s="367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</row>
    <row r="59">
      <c r="A59" s="367"/>
      <c r="B59" s="367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</row>
    <row r="60">
      <c r="A60" s="367"/>
      <c r="B60" s="367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</row>
    <row r="61">
      <c r="A61" s="367"/>
      <c r="B61" s="367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</row>
    <row r="62">
      <c r="A62" s="367"/>
      <c r="B62" s="367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</row>
    <row r="63">
      <c r="A63" s="367"/>
      <c r="B63" s="367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</row>
    <row r="64">
      <c r="A64" s="367"/>
      <c r="B64" s="367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</row>
    <row r="65">
      <c r="A65" s="367"/>
      <c r="B65" s="367"/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364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364"/>
      <c r="Z65" s="364"/>
    </row>
    <row r="66">
      <c r="A66" s="367"/>
      <c r="B66" s="367"/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</row>
    <row r="67">
      <c r="A67" s="367"/>
      <c r="B67" s="367"/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</row>
    <row r="68">
      <c r="A68" s="367"/>
      <c r="B68" s="367"/>
      <c r="C68" s="364"/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</row>
    <row r="69">
      <c r="A69" s="367"/>
      <c r="B69" s="367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</row>
    <row r="70">
      <c r="A70" s="367"/>
      <c r="B70" s="367"/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364"/>
    </row>
    <row r="71">
      <c r="A71" s="367"/>
      <c r="B71" s="367"/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364"/>
      <c r="P71" s="364"/>
      <c r="Q71" s="364"/>
      <c r="R71" s="364"/>
      <c r="S71" s="364"/>
      <c r="T71" s="364"/>
      <c r="U71" s="364"/>
      <c r="V71" s="364"/>
      <c r="W71" s="364"/>
      <c r="X71" s="364"/>
      <c r="Y71" s="364"/>
      <c r="Z71" s="364"/>
    </row>
    <row r="72">
      <c r="A72" s="367"/>
      <c r="B72" s="367"/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  <c r="R72" s="364"/>
      <c r="S72" s="364"/>
      <c r="T72" s="364"/>
      <c r="U72" s="364"/>
      <c r="V72" s="364"/>
      <c r="W72" s="364"/>
      <c r="X72" s="364"/>
      <c r="Y72" s="364"/>
      <c r="Z72" s="364"/>
    </row>
    <row r="73">
      <c r="A73" s="367"/>
      <c r="B73" s="367"/>
      <c r="C73" s="364"/>
      <c r="D73" s="364"/>
      <c r="E73" s="364"/>
      <c r="F73" s="364"/>
      <c r="G73" s="364"/>
      <c r="H73" s="364"/>
      <c r="I73" s="364"/>
      <c r="J73" s="364"/>
      <c r="K73" s="364"/>
      <c r="L73" s="364"/>
      <c r="M73" s="364"/>
      <c r="N73" s="364"/>
      <c r="O73" s="364"/>
      <c r="P73" s="364"/>
      <c r="Q73" s="364"/>
      <c r="R73" s="364"/>
      <c r="S73" s="364"/>
      <c r="T73" s="364"/>
      <c r="U73" s="364"/>
      <c r="V73" s="364"/>
      <c r="W73" s="364"/>
      <c r="X73" s="364"/>
      <c r="Y73" s="364"/>
      <c r="Z73" s="364"/>
    </row>
    <row r="74">
      <c r="A74" s="367"/>
      <c r="B74" s="367"/>
      <c r="C74" s="364"/>
      <c r="D74" s="364"/>
      <c r="E74" s="364"/>
      <c r="F74" s="364"/>
      <c r="G74" s="364"/>
      <c r="H74" s="364"/>
      <c r="I74" s="364"/>
      <c r="J74" s="364"/>
      <c r="K74" s="364"/>
      <c r="L74" s="364"/>
      <c r="M74" s="364"/>
      <c r="N74" s="364"/>
      <c r="O74" s="364"/>
      <c r="P74" s="364"/>
      <c r="Q74" s="364"/>
      <c r="R74" s="364"/>
      <c r="S74" s="364"/>
      <c r="T74" s="364"/>
      <c r="U74" s="364"/>
      <c r="V74" s="364"/>
      <c r="W74" s="364"/>
      <c r="X74" s="364"/>
      <c r="Y74" s="364"/>
      <c r="Z74" s="364"/>
    </row>
    <row r="75">
      <c r="A75" s="367"/>
      <c r="B75" s="367"/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64"/>
      <c r="Q75" s="364"/>
      <c r="R75" s="364"/>
      <c r="S75" s="364"/>
      <c r="T75" s="364"/>
      <c r="U75" s="364"/>
      <c r="V75" s="364"/>
      <c r="W75" s="364"/>
      <c r="X75" s="364"/>
      <c r="Y75" s="364"/>
      <c r="Z75" s="364"/>
    </row>
    <row r="76">
      <c r="A76" s="367"/>
      <c r="B76" s="367"/>
      <c r="C76" s="364"/>
      <c r="D76" s="364"/>
      <c r="E76" s="364"/>
      <c r="F76" s="364"/>
      <c r="G76" s="364"/>
      <c r="H76" s="364"/>
      <c r="I76" s="364"/>
      <c r="J76" s="364"/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4"/>
      <c r="V76" s="364"/>
      <c r="W76" s="364"/>
      <c r="X76" s="364"/>
      <c r="Y76" s="364"/>
      <c r="Z76" s="364"/>
    </row>
    <row r="77">
      <c r="A77" s="367"/>
      <c r="B77" s="367"/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4"/>
      <c r="O77" s="364"/>
      <c r="P77" s="364"/>
      <c r="Q77" s="364"/>
      <c r="R77" s="364"/>
      <c r="S77" s="364"/>
      <c r="T77" s="364"/>
      <c r="U77" s="364"/>
      <c r="V77" s="364"/>
      <c r="W77" s="364"/>
      <c r="X77" s="364"/>
      <c r="Y77" s="364"/>
      <c r="Z77" s="364"/>
    </row>
    <row r="78">
      <c r="A78" s="367"/>
      <c r="B78" s="367"/>
      <c r="C78" s="364"/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  <c r="O78" s="364"/>
      <c r="P78" s="364"/>
      <c r="Q78" s="364"/>
      <c r="R78" s="364"/>
      <c r="S78" s="364"/>
      <c r="T78" s="364"/>
      <c r="U78" s="364"/>
      <c r="V78" s="364"/>
      <c r="W78" s="364"/>
      <c r="X78" s="364"/>
      <c r="Y78" s="364"/>
      <c r="Z78" s="364"/>
    </row>
    <row r="79">
      <c r="A79" s="367"/>
      <c r="B79" s="367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  <c r="Q79" s="364"/>
      <c r="R79" s="364"/>
      <c r="S79" s="364"/>
      <c r="T79" s="364"/>
      <c r="U79" s="364"/>
      <c r="V79" s="364"/>
      <c r="W79" s="364"/>
      <c r="X79" s="364"/>
      <c r="Y79" s="364"/>
      <c r="Z79" s="364"/>
    </row>
    <row r="80">
      <c r="A80" s="367"/>
      <c r="B80" s="367"/>
      <c r="C80" s="364"/>
      <c r="D80" s="364"/>
      <c r="E80" s="364"/>
      <c r="F80" s="364"/>
      <c r="G80" s="364"/>
      <c r="H80" s="364"/>
      <c r="I80" s="364"/>
      <c r="J80" s="364"/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4"/>
      <c r="V80" s="364"/>
      <c r="W80" s="364"/>
      <c r="X80" s="364"/>
      <c r="Y80" s="364"/>
      <c r="Z80" s="364"/>
    </row>
    <row r="81">
      <c r="A81" s="367"/>
      <c r="B81" s="367"/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  <c r="R81" s="364"/>
      <c r="S81" s="364"/>
      <c r="T81" s="364"/>
      <c r="U81" s="364"/>
      <c r="V81" s="364"/>
      <c r="W81" s="364"/>
      <c r="X81" s="364"/>
      <c r="Y81" s="364"/>
      <c r="Z81" s="364"/>
    </row>
    <row r="82">
      <c r="A82" s="367"/>
      <c r="B82" s="367"/>
      <c r="C82" s="364"/>
      <c r="D82" s="364"/>
      <c r="E82" s="364"/>
      <c r="F82" s="364"/>
      <c r="G82" s="364"/>
      <c r="H82" s="364"/>
      <c r="I82" s="364"/>
      <c r="J82" s="364"/>
      <c r="K82" s="364"/>
      <c r="L82" s="36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364"/>
    </row>
    <row r="83">
      <c r="A83" s="367"/>
      <c r="B83" s="367"/>
      <c r="C83" s="364"/>
      <c r="D83" s="364"/>
      <c r="E83" s="364"/>
      <c r="F83" s="364"/>
      <c r="G83" s="364"/>
      <c r="H83" s="364"/>
      <c r="I83" s="364"/>
      <c r="J83" s="364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364"/>
    </row>
    <row r="84">
      <c r="A84" s="367"/>
      <c r="B84" s="367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364"/>
      <c r="Z84" s="364"/>
    </row>
    <row r="85">
      <c r="A85" s="367"/>
      <c r="B85" s="367"/>
      <c r="C85" s="364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364"/>
      <c r="P85" s="364"/>
      <c r="Q85" s="364"/>
      <c r="R85" s="364"/>
      <c r="S85" s="364"/>
      <c r="T85" s="364"/>
      <c r="U85" s="364"/>
      <c r="V85" s="364"/>
      <c r="W85" s="364"/>
      <c r="X85" s="364"/>
      <c r="Y85" s="364"/>
      <c r="Z85" s="364"/>
    </row>
    <row r="86">
      <c r="A86" s="367"/>
      <c r="B86" s="367"/>
      <c r="C86" s="364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364"/>
      <c r="P86" s="364"/>
      <c r="Q86" s="364"/>
      <c r="R86" s="364"/>
      <c r="S86" s="364"/>
      <c r="T86" s="364"/>
      <c r="U86" s="364"/>
      <c r="V86" s="364"/>
      <c r="W86" s="364"/>
      <c r="X86" s="364"/>
      <c r="Y86" s="364"/>
      <c r="Z86" s="364"/>
    </row>
    <row r="87">
      <c r="A87" s="367"/>
      <c r="B87" s="367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4"/>
      <c r="V87" s="364"/>
      <c r="W87" s="364"/>
      <c r="X87" s="364"/>
      <c r="Y87" s="364"/>
      <c r="Z87" s="364"/>
    </row>
    <row r="88">
      <c r="A88" s="367"/>
      <c r="B88" s="367"/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4"/>
      <c r="V88" s="364"/>
      <c r="W88" s="364"/>
      <c r="X88" s="364"/>
      <c r="Y88" s="364"/>
      <c r="Z88" s="364"/>
    </row>
    <row r="89">
      <c r="A89" s="367"/>
      <c r="B89" s="367"/>
      <c r="C89" s="36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364"/>
      <c r="S89" s="364"/>
      <c r="T89" s="364"/>
      <c r="U89" s="364"/>
      <c r="V89" s="364"/>
      <c r="W89" s="364"/>
      <c r="X89" s="364"/>
      <c r="Y89" s="364"/>
      <c r="Z89" s="364"/>
    </row>
    <row r="90">
      <c r="A90" s="367"/>
      <c r="B90" s="367"/>
      <c r="C90" s="364"/>
      <c r="D90" s="364"/>
      <c r="E90" s="364"/>
      <c r="F90" s="364"/>
      <c r="G90" s="364"/>
      <c r="H90" s="364"/>
      <c r="I90" s="364"/>
      <c r="J90" s="364"/>
      <c r="K90" s="364"/>
      <c r="L90" s="364"/>
      <c r="M90" s="364"/>
      <c r="N90" s="364"/>
      <c r="O90" s="364"/>
      <c r="P90" s="364"/>
      <c r="Q90" s="364"/>
      <c r="R90" s="364"/>
      <c r="S90" s="364"/>
      <c r="T90" s="364"/>
      <c r="U90" s="364"/>
      <c r="V90" s="364"/>
      <c r="W90" s="364"/>
      <c r="X90" s="364"/>
      <c r="Y90" s="364"/>
      <c r="Z90" s="364"/>
    </row>
    <row r="91">
      <c r="A91" s="367"/>
      <c r="B91" s="367"/>
      <c r="C91" s="364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364"/>
      <c r="P91" s="364"/>
      <c r="Q91" s="364"/>
      <c r="R91" s="364"/>
      <c r="S91" s="364"/>
      <c r="T91" s="364"/>
      <c r="U91" s="364"/>
      <c r="V91" s="364"/>
      <c r="W91" s="364"/>
      <c r="X91" s="364"/>
      <c r="Y91" s="364"/>
      <c r="Z91" s="364"/>
    </row>
    <row r="92">
      <c r="A92" s="367"/>
      <c r="B92" s="367"/>
      <c r="C92" s="364"/>
      <c r="D92" s="364"/>
      <c r="E92" s="364"/>
      <c r="F92" s="364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364"/>
      <c r="Z92" s="364"/>
    </row>
    <row r="93">
      <c r="A93" s="367"/>
      <c r="B93" s="367"/>
      <c r="C93" s="364"/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364"/>
      <c r="O93" s="364"/>
      <c r="P93" s="364"/>
      <c r="Q93" s="364"/>
      <c r="R93" s="364"/>
      <c r="S93" s="364"/>
      <c r="T93" s="364"/>
      <c r="U93" s="364"/>
      <c r="V93" s="364"/>
      <c r="W93" s="364"/>
      <c r="X93" s="364"/>
      <c r="Y93" s="364"/>
      <c r="Z93" s="364"/>
    </row>
    <row r="94">
      <c r="A94" s="367"/>
      <c r="B94" s="367"/>
      <c r="C94" s="364"/>
      <c r="D94" s="364"/>
      <c r="E94" s="364"/>
      <c r="F94" s="364"/>
      <c r="G94" s="364"/>
      <c r="H94" s="364"/>
      <c r="I94" s="364"/>
      <c r="J94" s="364"/>
      <c r="K94" s="364"/>
      <c r="L94" s="364"/>
      <c r="M94" s="364"/>
      <c r="N94" s="364"/>
      <c r="O94" s="364"/>
      <c r="P94" s="364"/>
      <c r="Q94" s="364"/>
      <c r="R94" s="364"/>
      <c r="S94" s="364"/>
      <c r="T94" s="364"/>
      <c r="U94" s="364"/>
      <c r="V94" s="364"/>
      <c r="W94" s="364"/>
      <c r="X94" s="364"/>
      <c r="Y94" s="364"/>
      <c r="Z94" s="364"/>
    </row>
    <row r="95">
      <c r="A95" s="367"/>
      <c r="B95" s="367"/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4"/>
    </row>
    <row r="96">
      <c r="A96" s="367"/>
      <c r="B96" s="367"/>
      <c r="C96" s="364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364"/>
    </row>
    <row r="97">
      <c r="A97" s="367"/>
      <c r="B97" s="367"/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4"/>
      <c r="V97" s="364"/>
      <c r="W97" s="364"/>
      <c r="X97" s="364"/>
      <c r="Y97" s="364"/>
      <c r="Z97" s="364"/>
    </row>
    <row r="98">
      <c r="A98" s="367"/>
      <c r="B98" s="367"/>
      <c r="C98" s="364"/>
      <c r="D98" s="364"/>
      <c r="E98" s="364"/>
      <c r="F98" s="364"/>
      <c r="G98" s="364"/>
      <c r="H98" s="364"/>
      <c r="I98" s="364"/>
      <c r="J98" s="364"/>
      <c r="K98" s="364"/>
      <c r="L98" s="364"/>
      <c r="M98" s="364"/>
      <c r="N98" s="364"/>
      <c r="O98" s="364"/>
      <c r="P98" s="364"/>
      <c r="Q98" s="364"/>
      <c r="R98" s="364"/>
      <c r="S98" s="364"/>
      <c r="T98" s="364"/>
      <c r="U98" s="364"/>
      <c r="V98" s="364"/>
      <c r="W98" s="364"/>
      <c r="X98" s="364"/>
      <c r="Y98" s="364"/>
      <c r="Z98" s="364"/>
    </row>
    <row r="99">
      <c r="A99" s="367"/>
      <c r="B99" s="367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4"/>
      <c r="Z99" s="364"/>
    </row>
    <row r="100">
      <c r="A100" s="367"/>
      <c r="B100" s="367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364"/>
      <c r="P100" s="364"/>
      <c r="Q100" s="364"/>
      <c r="R100" s="364"/>
      <c r="S100" s="364"/>
      <c r="T100" s="364"/>
      <c r="U100" s="364"/>
      <c r="V100" s="364"/>
      <c r="W100" s="364"/>
      <c r="X100" s="364"/>
      <c r="Y100" s="364"/>
      <c r="Z100" s="364"/>
    </row>
    <row r="101">
      <c r="A101" s="367"/>
      <c r="B101" s="367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4"/>
      <c r="V101" s="364"/>
      <c r="W101" s="364"/>
      <c r="X101" s="364"/>
      <c r="Y101" s="364"/>
      <c r="Z101" s="364"/>
    </row>
    <row r="102">
      <c r="A102" s="367"/>
      <c r="B102" s="367"/>
      <c r="C102" s="364"/>
      <c r="D102" s="364"/>
      <c r="E102" s="364"/>
      <c r="F102" s="364"/>
      <c r="G102" s="364"/>
      <c r="H102" s="364"/>
      <c r="I102" s="364"/>
      <c r="J102" s="364"/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4"/>
      <c r="V102" s="364"/>
      <c r="W102" s="364"/>
      <c r="X102" s="364"/>
      <c r="Y102" s="364"/>
      <c r="Z102" s="364"/>
    </row>
    <row r="103">
      <c r="A103" s="367"/>
      <c r="B103" s="367"/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364"/>
      <c r="P103" s="364"/>
      <c r="Q103" s="364"/>
      <c r="R103" s="364"/>
      <c r="S103" s="364"/>
      <c r="T103" s="364"/>
      <c r="U103" s="364"/>
      <c r="V103" s="364"/>
      <c r="W103" s="364"/>
      <c r="X103" s="364"/>
      <c r="Y103" s="364"/>
      <c r="Z103" s="364"/>
    </row>
    <row r="104">
      <c r="A104" s="367"/>
      <c r="B104" s="367"/>
      <c r="C104" s="364"/>
      <c r="D104" s="364"/>
      <c r="E104" s="364"/>
      <c r="F104" s="364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4"/>
      <c r="V104" s="364"/>
      <c r="W104" s="364"/>
      <c r="X104" s="364"/>
      <c r="Y104" s="364"/>
      <c r="Z104" s="364"/>
    </row>
    <row r="105">
      <c r="A105" s="367"/>
      <c r="B105" s="367"/>
      <c r="C105" s="364"/>
      <c r="D105" s="364"/>
      <c r="E105" s="364"/>
      <c r="F105" s="364"/>
      <c r="G105" s="364"/>
      <c r="H105" s="364"/>
      <c r="I105" s="364"/>
      <c r="J105" s="364"/>
      <c r="K105" s="364"/>
      <c r="L105" s="364"/>
      <c r="M105" s="364"/>
      <c r="N105" s="364"/>
      <c r="O105" s="364"/>
      <c r="P105" s="364"/>
      <c r="Q105" s="364"/>
      <c r="R105" s="364"/>
      <c r="S105" s="364"/>
      <c r="T105" s="364"/>
      <c r="U105" s="364"/>
      <c r="V105" s="364"/>
      <c r="W105" s="364"/>
      <c r="X105" s="364"/>
      <c r="Y105" s="364"/>
      <c r="Z105" s="364"/>
    </row>
    <row r="106">
      <c r="A106" s="367"/>
      <c r="B106" s="367"/>
      <c r="C106" s="364"/>
      <c r="D106" s="364"/>
      <c r="E106" s="364"/>
      <c r="F106" s="364"/>
      <c r="G106" s="364"/>
      <c r="H106" s="364"/>
      <c r="I106" s="364"/>
      <c r="J106" s="364"/>
      <c r="K106" s="364"/>
      <c r="L106" s="364"/>
      <c r="M106" s="364"/>
      <c r="N106" s="364"/>
      <c r="O106" s="364"/>
      <c r="P106" s="364"/>
      <c r="Q106" s="364"/>
      <c r="R106" s="364"/>
      <c r="S106" s="364"/>
      <c r="T106" s="364"/>
      <c r="U106" s="364"/>
      <c r="V106" s="364"/>
      <c r="W106" s="364"/>
      <c r="X106" s="364"/>
      <c r="Y106" s="364"/>
      <c r="Z106" s="364"/>
    </row>
    <row r="107">
      <c r="A107" s="367"/>
      <c r="B107" s="367"/>
      <c r="C107" s="364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364"/>
      <c r="P107" s="364"/>
      <c r="Q107" s="364"/>
      <c r="R107" s="364"/>
      <c r="S107" s="364"/>
      <c r="T107" s="364"/>
      <c r="U107" s="364"/>
      <c r="V107" s="364"/>
      <c r="W107" s="364"/>
      <c r="X107" s="364"/>
      <c r="Y107" s="364"/>
      <c r="Z107" s="364"/>
    </row>
    <row r="108">
      <c r="A108" s="367"/>
      <c r="B108" s="367"/>
      <c r="C108" s="364"/>
      <c r="D108" s="364"/>
      <c r="E108" s="364"/>
      <c r="F108" s="364"/>
      <c r="G108" s="364"/>
      <c r="H108" s="364"/>
      <c r="I108" s="364"/>
      <c r="J108" s="364"/>
      <c r="K108" s="364"/>
      <c r="L108" s="36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364"/>
    </row>
    <row r="109">
      <c r="A109" s="367"/>
      <c r="B109" s="367"/>
      <c r="C109" s="364"/>
      <c r="D109" s="364"/>
      <c r="E109" s="364"/>
      <c r="F109" s="364"/>
      <c r="G109" s="364"/>
      <c r="H109" s="364"/>
      <c r="I109" s="364"/>
      <c r="J109" s="364"/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</row>
    <row r="110">
      <c r="A110" s="367"/>
      <c r="B110" s="367"/>
      <c r="C110" s="364"/>
      <c r="D110" s="364"/>
      <c r="E110" s="364"/>
      <c r="F110" s="364"/>
      <c r="G110" s="364"/>
      <c r="H110" s="364"/>
      <c r="I110" s="364"/>
      <c r="J110" s="364"/>
      <c r="K110" s="364"/>
      <c r="L110" s="364"/>
      <c r="M110" s="364"/>
      <c r="N110" s="364"/>
      <c r="O110" s="364"/>
      <c r="P110" s="364"/>
      <c r="Q110" s="364"/>
      <c r="R110" s="364"/>
      <c r="S110" s="364"/>
      <c r="T110" s="364"/>
      <c r="U110" s="364"/>
      <c r="V110" s="364"/>
      <c r="W110" s="364"/>
      <c r="X110" s="364"/>
      <c r="Y110" s="364"/>
      <c r="Z110" s="364"/>
    </row>
    <row r="111">
      <c r="A111" s="367"/>
      <c r="B111" s="367"/>
      <c r="C111" s="364"/>
      <c r="D111" s="364"/>
      <c r="E111" s="364"/>
      <c r="F111" s="364"/>
      <c r="G111" s="364"/>
      <c r="H111" s="364"/>
      <c r="I111" s="364"/>
      <c r="J111" s="364"/>
      <c r="K111" s="364"/>
      <c r="L111" s="364"/>
      <c r="M111" s="364"/>
      <c r="N111" s="364"/>
      <c r="O111" s="364"/>
      <c r="P111" s="364"/>
      <c r="Q111" s="364"/>
      <c r="R111" s="364"/>
      <c r="S111" s="364"/>
      <c r="T111" s="364"/>
      <c r="U111" s="364"/>
      <c r="V111" s="364"/>
      <c r="W111" s="364"/>
      <c r="X111" s="364"/>
      <c r="Y111" s="364"/>
      <c r="Z111" s="364"/>
    </row>
    <row r="112">
      <c r="A112" s="367"/>
      <c r="B112" s="367"/>
      <c r="C112" s="364"/>
      <c r="D112" s="364"/>
      <c r="E112" s="364"/>
      <c r="F112" s="364"/>
      <c r="G112" s="364"/>
      <c r="H112" s="364"/>
      <c r="I112" s="364"/>
      <c r="J112" s="364"/>
      <c r="K112" s="364"/>
      <c r="L112" s="364"/>
      <c r="M112" s="364"/>
      <c r="N112" s="364"/>
      <c r="O112" s="364"/>
      <c r="P112" s="364"/>
      <c r="Q112" s="364"/>
      <c r="R112" s="364"/>
      <c r="S112" s="364"/>
      <c r="T112" s="364"/>
      <c r="U112" s="364"/>
      <c r="V112" s="364"/>
      <c r="W112" s="364"/>
      <c r="X112" s="364"/>
      <c r="Y112" s="364"/>
      <c r="Z112" s="364"/>
    </row>
    <row r="113">
      <c r="A113" s="367"/>
      <c r="B113" s="367"/>
      <c r="C113" s="364"/>
      <c r="D113" s="364"/>
      <c r="E113" s="364"/>
      <c r="F113" s="364"/>
      <c r="G113" s="364"/>
      <c r="H113" s="364"/>
      <c r="I113" s="364"/>
      <c r="J113" s="364"/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</row>
    <row r="114">
      <c r="A114" s="367"/>
      <c r="B114" s="367"/>
      <c r="C114" s="364"/>
      <c r="D114" s="364"/>
      <c r="E114" s="364"/>
      <c r="F114" s="364"/>
      <c r="G114" s="364"/>
      <c r="H114" s="364"/>
      <c r="I114" s="364"/>
      <c r="J114" s="364"/>
      <c r="K114" s="364"/>
      <c r="L114" s="364"/>
      <c r="M114" s="364"/>
      <c r="N114" s="364"/>
      <c r="O114" s="364"/>
      <c r="P114" s="364"/>
      <c r="Q114" s="364"/>
      <c r="R114" s="364"/>
      <c r="S114" s="364"/>
      <c r="T114" s="364"/>
      <c r="U114" s="364"/>
      <c r="V114" s="364"/>
      <c r="W114" s="364"/>
      <c r="X114" s="364"/>
      <c r="Y114" s="364"/>
      <c r="Z114" s="364"/>
    </row>
    <row r="115">
      <c r="A115" s="367"/>
      <c r="B115" s="367"/>
      <c r="C115" s="364"/>
      <c r="D115" s="364"/>
      <c r="E115" s="364"/>
      <c r="F115" s="364"/>
      <c r="G115" s="364"/>
      <c r="H115" s="364"/>
      <c r="I115" s="364"/>
      <c r="J115" s="364"/>
      <c r="K115" s="364"/>
      <c r="L115" s="364"/>
      <c r="M115" s="364"/>
      <c r="N115" s="364"/>
      <c r="O115" s="364"/>
      <c r="P115" s="364"/>
      <c r="Q115" s="364"/>
      <c r="R115" s="364"/>
      <c r="S115" s="364"/>
      <c r="T115" s="364"/>
      <c r="U115" s="364"/>
      <c r="V115" s="364"/>
      <c r="W115" s="364"/>
      <c r="X115" s="364"/>
      <c r="Y115" s="364"/>
      <c r="Z115" s="364"/>
    </row>
    <row r="116">
      <c r="A116" s="367"/>
      <c r="B116" s="367"/>
      <c r="C116" s="364"/>
      <c r="D116" s="364"/>
      <c r="E116" s="364"/>
      <c r="F116" s="364"/>
      <c r="G116" s="364"/>
      <c r="H116" s="364"/>
      <c r="I116" s="364"/>
      <c r="J116" s="364"/>
      <c r="K116" s="364"/>
      <c r="L116" s="364"/>
      <c r="M116" s="364"/>
      <c r="N116" s="364"/>
      <c r="O116" s="364"/>
      <c r="P116" s="364"/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</row>
    <row r="117">
      <c r="A117" s="367"/>
      <c r="B117" s="367"/>
      <c r="C117" s="364"/>
      <c r="D117" s="364"/>
      <c r="E117" s="364"/>
      <c r="F117" s="364"/>
      <c r="G117" s="364"/>
      <c r="H117" s="364"/>
      <c r="I117" s="364"/>
      <c r="J117" s="364"/>
      <c r="K117" s="364"/>
      <c r="L117" s="364"/>
      <c r="M117" s="364"/>
      <c r="N117" s="364"/>
      <c r="O117" s="364"/>
      <c r="P117" s="364"/>
      <c r="Q117" s="364"/>
      <c r="R117" s="364"/>
      <c r="S117" s="364"/>
      <c r="T117" s="364"/>
      <c r="U117" s="364"/>
      <c r="V117" s="364"/>
      <c r="W117" s="364"/>
      <c r="X117" s="364"/>
      <c r="Y117" s="364"/>
      <c r="Z117" s="364"/>
    </row>
    <row r="118">
      <c r="A118" s="367"/>
      <c r="B118" s="367"/>
      <c r="C118" s="364"/>
      <c r="D118" s="364"/>
      <c r="E118" s="364"/>
      <c r="F118" s="364"/>
      <c r="G118" s="364"/>
      <c r="H118" s="364"/>
      <c r="I118" s="364"/>
      <c r="J118" s="364"/>
      <c r="K118" s="364"/>
      <c r="L118" s="364"/>
      <c r="M118" s="364"/>
      <c r="N118" s="364"/>
      <c r="O118" s="364"/>
      <c r="P118" s="364"/>
      <c r="Q118" s="364"/>
      <c r="R118" s="364"/>
      <c r="S118" s="364"/>
      <c r="T118" s="364"/>
      <c r="U118" s="364"/>
      <c r="V118" s="364"/>
      <c r="W118" s="364"/>
      <c r="X118" s="364"/>
      <c r="Y118" s="364"/>
      <c r="Z118" s="364"/>
    </row>
    <row r="119">
      <c r="A119" s="367"/>
      <c r="B119" s="367"/>
      <c r="C119" s="364"/>
      <c r="D119" s="364"/>
      <c r="E119" s="364"/>
      <c r="F119" s="364"/>
      <c r="G119" s="364"/>
      <c r="H119" s="364"/>
      <c r="I119" s="364"/>
      <c r="J119" s="364"/>
      <c r="K119" s="364"/>
      <c r="L119" s="364"/>
      <c r="M119" s="364"/>
      <c r="N119" s="364"/>
      <c r="O119" s="364"/>
      <c r="P119" s="364"/>
      <c r="Q119" s="364"/>
      <c r="R119" s="364"/>
      <c r="S119" s="364"/>
      <c r="T119" s="364"/>
      <c r="U119" s="364"/>
      <c r="V119" s="364"/>
      <c r="W119" s="364"/>
      <c r="X119" s="364"/>
      <c r="Y119" s="364"/>
      <c r="Z119" s="364"/>
    </row>
    <row r="120">
      <c r="A120" s="367"/>
      <c r="B120" s="367"/>
      <c r="C120" s="364"/>
      <c r="D120" s="364"/>
      <c r="E120" s="364"/>
      <c r="F120" s="364"/>
      <c r="G120" s="364"/>
      <c r="H120" s="364"/>
      <c r="I120" s="364"/>
      <c r="J120" s="364"/>
      <c r="K120" s="364"/>
      <c r="L120" s="364"/>
      <c r="M120" s="364"/>
      <c r="N120" s="364"/>
      <c r="O120" s="364"/>
      <c r="P120" s="364"/>
      <c r="Q120" s="364"/>
      <c r="R120" s="364"/>
      <c r="S120" s="364"/>
      <c r="T120" s="364"/>
      <c r="U120" s="364"/>
      <c r="V120" s="364"/>
      <c r="W120" s="364"/>
      <c r="X120" s="364"/>
      <c r="Y120" s="364"/>
      <c r="Z120" s="364"/>
    </row>
    <row r="121">
      <c r="A121" s="367"/>
      <c r="B121" s="367"/>
      <c r="C121" s="364"/>
      <c r="D121" s="364"/>
      <c r="E121" s="364"/>
      <c r="F121" s="364"/>
      <c r="G121" s="364"/>
      <c r="H121" s="364"/>
      <c r="I121" s="364"/>
      <c r="J121" s="364"/>
      <c r="K121" s="364"/>
      <c r="L121" s="364"/>
      <c r="M121" s="364"/>
      <c r="N121" s="364"/>
      <c r="O121" s="364"/>
      <c r="P121" s="364"/>
      <c r="Q121" s="364"/>
      <c r="R121" s="364"/>
      <c r="S121" s="364"/>
      <c r="T121" s="364"/>
      <c r="U121" s="364"/>
      <c r="V121" s="364"/>
      <c r="W121" s="364"/>
      <c r="X121" s="364"/>
      <c r="Y121" s="364"/>
      <c r="Z121" s="364"/>
    </row>
    <row r="122">
      <c r="A122" s="367"/>
      <c r="B122" s="367"/>
      <c r="C122" s="364"/>
      <c r="D122" s="364"/>
      <c r="E122" s="364"/>
      <c r="F122" s="364"/>
      <c r="G122" s="364"/>
      <c r="H122" s="364"/>
      <c r="I122" s="364"/>
      <c r="J122" s="364"/>
      <c r="K122" s="364"/>
      <c r="L122" s="364"/>
      <c r="M122" s="364"/>
      <c r="N122" s="364"/>
      <c r="O122" s="364"/>
      <c r="P122" s="364"/>
      <c r="Q122" s="364"/>
      <c r="R122" s="364"/>
      <c r="S122" s="364"/>
      <c r="T122" s="364"/>
      <c r="U122" s="364"/>
      <c r="V122" s="364"/>
      <c r="W122" s="364"/>
      <c r="X122" s="364"/>
      <c r="Y122" s="364"/>
      <c r="Z122" s="364"/>
    </row>
    <row r="123">
      <c r="A123" s="367"/>
      <c r="B123" s="367"/>
      <c r="C123" s="364"/>
      <c r="D123" s="364"/>
      <c r="E123" s="364"/>
      <c r="F123" s="364"/>
      <c r="G123" s="364"/>
      <c r="H123" s="364"/>
      <c r="I123" s="364"/>
      <c r="J123" s="364"/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</row>
    <row r="124">
      <c r="A124" s="367"/>
      <c r="B124" s="367"/>
      <c r="C124" s="364"/>
      <c r="D124" s="364"/>
      <c r="E124" s="364"/>
      <c r="F124" s="364"/>
      <c r="G124" s="364"/>
      <c r="H124" s="364"/>
      <c r="I124" s="364"/>
      <c r="J124" s="364"/>
      <c r="K124" s="364"/>
      <c r="L124" s="364"/>
      <c r="M124" s="364"/>
      <c r="N124" s="364"/>
      <c r="O124" s="364"/>
      <c r="P124" s="364"/>
      <c r="Q124" s="364"/>
      <c r="R124" s="364"/>
      <c r="S124" s="364"/>
      <c r="T124" s="364"/>
      <c r="U124" s="364"/>
      <c r="V124" s="364"/>
      <c r="W124" s="364"/>
      <c r="X124" s="364"/>
      <c r="Y124" s="364"/>
      <c r="Z124" s="364"/>
    </row>
    <row r="125">
      <c r="A125" s="367"/>
      <c r="B125" s="367"/>
      <c r="C125" s="364"/>
      <c r="D125" s="364"/>
      <c r="E125" s="364"/>
      <c r="F125" s="364"/>
      <c r="G125" s="364"/>
      <c r="H125" s="364"/>
      <c r="I125" s="364"/>
      <c r="J125" s="364"/>
      <c r="K125" s="364"/>
      <c r="L125" s="364"/>
      <c r="M125" s="364"/>
      <c r="N125" s="364"/>
      <c r="O125" s="364"/>
      <c r="P125" s="364"/>
      <c r="Q125" s="364"/>
      <c r="R125" s="364"/>
      <c r="S125" s="364"/>
      <c r="T125" s="364"/>
      <c r="U125" s="364"/>
      <c r="V125" s="364"/>
      <c r="W125" s="364"/>
      <c r="X125" s="364"/>
      <c r="Y125" s="364"/>
      <c r="Z125" s="364"/>
    </row>
    <row r="126">
      <c r="A126" s="367"/>
      <c r="B126" s="367"/>
      <c r="C126" s="364"/>
      <c r="D126" s="364"/>
      <c r="E126" s="364"/>
      <c r="F126" s="364"/>
      <c r="G126" s="364"/>
      <c r="H126" s="364"/>
      <c r="I126" s="364"/>
      <c r="J126" s="364"/>
      <c r="K126" s="364"/>
      <c r="L126" s="364"/>
      <c r="M126" s="364"/>
      <c r="N126" s="364"/>
      <c r="O126" s="364"/>
      <c r="P126" s="364"/>
      <c r="Q126" s="364"/>
      <c r="R126" s="364"/>
      <c r="S126" s="364"/>
      <c r="T126" s="364"/>
      <c r="U126" s="364"/>
      <c r="V126" s="364"/>
      <c r="W126" s="364"/>
      <c r="X126" s="364"/>
      <c r="Y126" s="364"/>
      <c r="Z126" s="364"/>
    </row>
    <row r="127">
      <c r="A127" s="367"/>
      <c r="B127" s="367"/>
      <c r="C127" s="364"/>
      <c r="D127" s="364"/>
      <c r="E127" s="364"/>
      <c r="F127" s="364"/>
      <c r="G127" s="364"/>
      <c r="H127" s="364"/>
      <c r="I127" s="364"/>
      <c r="J127" s="364"/>
      <c r="K127" s="364"/>
      <c r="L127" s="364"/>
      <c r="M127" s="364"/>
      <c r="N127" s="364"/>
      <c r="O127" s="364"/>
      <c r="P127" s="364"/>
      <c r="Q127" s="364"/>
      <c r="R127" s="364"/>
      <c r="S127" s="364"/>
      <c r="T127" s="364"/>
      <c r="U127" s="364"/>
      <c r="V127" s="364"/>
      <c r="W127" s="364"/>
      <c r="X127" s="364"/>
      <c r="Y127" s="364"/>
      <c r="Z127" s="364"/>
    </row>
    <row r="128">
      <c r="A128" s="367"/>
      <c r="B128" s="367"/>
      <c r="C128" s="364"/>
      <c r="D128" s="364"/>
      <c r="E128" s="364"/>
      <c r="F128" s="364"/>
      <c r="G128" s="364"/>
      <c r="H128" s="364"/>
      <c r="I128" s="364"/>
      <c r="J128" s="364"/>
      <c r="K128" s="364"/>
      <c r="L128" s="364"/>
      <c r="M128" s="364"/>
      <c r="N128" s="364"/>
      <c r="O128" s="364"/>
      <c r="P128" s="364"/>
      <c r="Q128" s="364"/>
      <c r="R128" s="364"/>
      <c r="S128" s="364"/>
      <c r="T128" s="364"/>
      <c r="U128" s="364"/>
      <c r="V128" s="364"/>
      <c r="W128" s="364"/>
      <c r="X128" s="364"/>
      <c r="Y128" s="364"/>
      <c r="Z128" s="364"/>
    </row>
    <row r="129">
      <c r="A129" s="367"/>
      <c r="B129" s="367"/>
      <c r="C129" s="364"/>
      <c r="D129" s="364"/>
      <c r="E129" s="364"/>
      <c r="F129" s="364"/>
      <c r="G129" s="364"/>
      <c r="H129" s="364"/>
      <c r="I129" s="364"/>
      <c r="J129" s="364"/>
      <c r="K129" s="364"/>
      <c r="L129" s="364"/>
      <c r="M129" s="364"/>
      <c r="N129" s="364"/>
      <c r="O129" s="364"/>
      <c r="P129" s="364"/>
      <c r="Q129" s="364"/>
      <c r="R129" s="364"/>
      <c r="S129" s="364"/>
      <c r="T129" s="364"/>
      <c r="U129" s="364"/>
      <c r="V129" s="364"/>
      <c r="W129" s="364"/>
      <c r="X129" s="364"/>
      <c r="Y129" s="364"/>
      <c r="Z129" s="364"/>
    </row>
    <row r="130">
      <c r="A130" s="367"/>
      <c r="B130" s="367"/>
      <c r="C130" s="364"/>
      <c r="D130" s="364"/>
      <c r="E130" s="364"/>
      <c r="F130" s="364"/>
      <c r="G130" s="364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</row>
    <row r="131">
      <c r="A131" s="367"/>
      <c r="B131" s="367"/>
      <c r="C131" s="364"/>
      <c r="D131" s="364"/>
      <c r="E131" s="364"/>
      <c r="F131" s="364"/>
      <c r="G131" s="364"/>
      <c r="H131" s="364"/>
      <c r="I131" s="364"/>
      <c r="J131" s="364"/>
      <c r="K131" s="364"/>
      <c r="L131" s="364"/>
      <c r="M131" s="364"/>
      <c r="N131" s="364"/>
      <c r="O131" s="364"/>
      <c r="P131" s="364"/>
      <c r="Q131" s="364"/>
      <c r="R131" s="364"/>
      <c r="S131" s="364"/>
      <c r="T131" s="364"/>
      <c r="U131" s="364"/>
      <c r="V131" s="364"/>
      <c r="W131" s="364"/>
      <c r="X131" s="364"/>
      <c r="Y131" s="364"/>
      <c r="Z131" s="364"/>
    </row>
    <row r="132">
      <c r="A132" s="367"/>
      <c r="B132" s="367"/>
      <c r="C132" s="364"/>
      <c r="D132" s="364"/>
      <c r="E132" s="364"/>
      <c r="F132" s="364"/>
      <c r="G132" s="364"/>
      <c r="H132" s="364"/>
      <c r="I132" s="364"/>
      <c r="J132" s="364"/>
      <c r="K132" s="364"/>
      <c r="L132" s="364"/>
      <c r="M132" s="364"/>
      <c r="N132" s="364"/>
      <c r="O132" s="364"/>
      <c r="P132" s="364"/>
      <c r="Q132" s="364"/>
      <c r="R132" s="364"/>
      <c r="S132" s="364"/>
      <c r="T132" s="364"/>
      <c r="U132" s="364"/>
      <c r="V132" s="364"/>
      <c r="W132" s="364"/>
      <c r="X132" s="364"/>
      <c r="Y132" s="364"/>
      <c r="Z132" s="364"/>
    </row>
    <row r="133">
      <c r="A133" s="367"/>
      <c r="B133" s="367"/>
      <c r="C133" s="364"/>
      <c r="D133" s="364"/>
      <c r="E133" s="364"/>
      <c r="F133" s="364"/>
      <c r="G133" s="364"/>
      <c r="H133" s="364"/>
      <c r="I133" s="364"/>
      <c r="J133" s="364"/>
      <c r="K133" s="364"/>
      <c r="L133" s="364"/>
      <c r="M133" s="364"/>
      <c r="N133" s="364"/>
      <c r="O133" s="364"/>
      <c r="P133" s="364"/>
      <c r="Q133" s="364"/>
      <c r="R133" s="364"/>
      <c r="S133" s="364"/>
      <c r="T133" s="364"/>
      <c r="U133" s="364"/>
      <c r="V133" s="364"/>
      <c r="W133" s="364"/>
      <c r="X133" s="364"/>
      <c r="Y133" s="364"/>
      <c r="Z133" s="364"/>
    </row>
    <row r="134">
      <c r="A134" s="367"/>
      <c r="B134" s="367"/>
      <c r="C134" s="364"/>
      <c r="D134" s="364"/>
      <c r="E134" s="364"/>
      <c r="F134" s="364"/>
      <c r="G134" s="364"/>
      <c r="H134" s="364"/>
      <c r="I134" s="364"/>
      <c r="J134" s="364"/>
      <c r="K134" s="364"/>
      <c r="L134" s="36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364"/>
    </row>
    <row r="135">
      <c r="A135" s="367"/>
      <c r="B135" s="367"/>
      <c r="C135" s="364"/>
      <c r="D135" s="364"/>
      <c r="E135" s="364"/>
      <c r="F135" s="364"/>
      <c r="G135" s="364"/>
      <c r="H135" s="364"/>
      <c r="I135" s="364"/>
      <c r="J135" s="364"/>
      <c r="K135" s="364"/>
      <c r="L135" s="36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364"/>
    </row>
    <row r="136">
      <c r="A136" s="367"/>
      <c r="B136" s="367"/>
      <c r="C136" s="364"/>
      <c r="D136" s="364"/>
      <c r="E136" s="364"/>
      <c r="F136" s="364"/>
      <c r="G136" s="364"/>
      <c r="H136" s="364"/>
      <c r="I136" s="364"/>
      <c r="J136" s="364"/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</row>
    <row r="137">
      <c r="A137" s="367"/>
      <c r="B137" s="367"/>
      <c r="C137" s="364"/>
      <c r="D137" s="364"/>
      <c r="E137" s="364"/>
      <c r="F137" s="364"/>
      <c r="G137" s="364"/>
      <c r="H137" s="364"/>
      <c r="I137" s="364"/>
      <c r="J137" s="364"/>
      <c r="K137" s="364"/>
      <c r="L137" s="364"/>
      <c r="M137" s="364"/>
      <c r="N137" s="364"/>
      <c r="O137" s="364"/>
      <c r="P137" s="364"/>
      <c r="Q137" s="364"/>
      <c r="R137" s="364"/>
      <c r="S137" s="364"/>
      <c r="T137" s="364"/>
      <c r="U137" s="364"/>
      <c r="V137" s="364"/>
      <c r="W137" s="364"/>
      <c r="X137" s="364"/>
      <c r="Y137" s="364"/>
      <c r="Z137" s="364"/>
    </row>
    <row r="138">
      <c r="A138" s="367"/>
      <c r="B138" s="367"/>
      <c r="C138" s="364"/>
      <c r="D138" s="364"/>
      <c r="E138" s="364"/>
      <c r="F138" s="364"/>
      <c r="G138" s="364"/>
      <c r="H138" s="364"/>
      <c r="I138" s="364"/>
      <c r="J138" s="364"/>
      <c r="K138" s="364"/>
      <c r="L138" s="364"/>
      <c r="M138" s="364"/>
      <c r="N138" s="364"/>
      <c r="O138" s="364"/>
      <c r="P138" s="364"/>
      <c r="Q138" s="364"/>
      <c r="R138" s="364"/>
      <c r="S138" s="364"/>
      <c r="T138" s="364"/>
      <c r="U138" s="364"/>
      <c r="V138" s="364"/>
      <c r="W138" s="364"/>
      <c r="X138" s="364"/>
      <c r="Y138" s="364"/>
      <c r="Z138" s="364"/>
    </row>
    <row r="139">
      <c r="A139" s="367"/>
      <c r="B139" s="367"/>
      <c r="C139" s="364"/>
      <c r="D139" s="364"/>
      <c r="E139" s="364"/>
      <c r="F139" s="364"/>
      <c r="G139" s="364"/>
      <c r="H139" s="364"/>
      <c r="I139" s="364"/>
      <c r="J139" s="364"/>
      <c r="K139" s="364"/>
      <c r="L139" s="364"/>
      <c r="M139" s="364"/>
      <c r="N139" s="364"/>
      <c r="O139" s="364"/>
      <c r="P139" s="364"/>
      <c r="Q139" s="364"/>
      <c r="R139" s="364"/>
      <c r="S139" s="364"/>
      <c r="T139" s="364"/>
      <c r="U139" s="364"/>
      <c r="V139" s="364"/>
      <c r="W139" s="364"/>
      <c r="X139" s="364"/>
      <c r="Y139" s="364"/>
      <c r="Z139" s="364"/>
    </row>
    <row r="140">
      <c r="A140" s="367"/>
      <c r="B140" s="367"/>
      <c r="C140" s="364"/>
      <c r="D140" s="364"/>
      <c r="E140" s="364"/>
      <c r="F140" s="364"/>
      <c r="G140" s="364"/>
      <c r="H140" s="364"/>
      <c r="I140" s="364"/>
      <c r="J140" s="364"/>
      <c r="K140" s="364"/>
      <c r="L140" s="364"/>
      <c r="M140" s="364"/>
      <c r="N140" s="364"/>
      <c r="O140" s="364"/>
      <c r="P140" s="364"/>
      <c r="Q140" s="364"/>
      <c r="R140" s="364"/>
      <c r="S140" s="364"/>
      <c r="T140" s="364"/>
      <c r="U140" s="364"/>
      <c r="V140" s="364"/>
      <c r="W140" s="364"/>
      <c r="X140" s="364"/>
      <c r="Y140" s="364"/>
      <c r="Z140" s="364"/>
    </row>
    <row r="141">
      <c r="A141" s="367"/>
      <c r="B141" s="367"/>
      <c r="C141" s="364"/>
      <c r="D141" s="364"/>
      <c r="E141" s="364"/>
      <c r="F141" s="364"/>
      <c r="G141" s="364"/>
      <c r="H141" s="364"/>
      <c r="I141" s="364"/>
      <c r="J141" s="364"/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</row>
    <row r="142">
      <c r="A142" s="367"/>
      <c r="B142" s="367"/>
      <c r="C142" s="364"/>
      <c r="D142" s="364"/>
      <c r="E142" s="364"/>
      <c r="F142" s="364"/>
      <c r="G142" s="364"/>
      <c r="H142" s="364"/>
      <c r="I142" s="364"/>
      <c r="J142" s="364"/>
      <c r="K142" s="364"/>
      <c r="L142" s="364"/>
      <c r="M142" s="364"/>
      <c r="N142" s="364"/>
      <c r="O142" s="364"/>
      <c r="P142" s="364"/>
      <c r="Q142" s="364"/>
      <c r="R142" s="364"/>
      <c r="S142" s="364"/>
      <c r="T142" s="364"/>
      <c r="U142" s="364"/>
      <c r="V142" s="364"/>
      <c r="W142" s="364"/>
      <c r="X142" s="364"/>
      <c r="Y142" s="364"/>
      <c r="Z142" s="364"/>
    </row>
    <row r="143">
      <c r="A143" s="367"/>
      <c r="B143" s="367"/>
      <c r="C143" s="364"/>
      <c r="D143" s="364"/>
      <c r="E143" s="364"/>
      <c r="F143" s="364"/>
      <c r="G143" s="364"/>
      <c r="H143" s="364"/>
      <c r="I143" s="364"/>
      <c r="J143" s="364"/>
      <c r="K143" s="364"/>
      <c r="L143" s="364"/>
      <c r="M143" s="364"/>
      <c r="N143" s="364"/>
      <c r="O143" s="364"/>
      <c r="P143" s="364"/>
      <c r="Q143" s="364"/>
      <c r="R143" s="364"/>
      <c r="S143" s="364"/>
      <c r="T143" s="364"/>
      <c r="U143" s="364"/>
      <c r="V143" s="364"/>
      <c r="W143" s="364"/>
      <c r="X143" s="364"/>
      <c r="Y143" s="364"/>
      <c r="Z143" s="364"/>
    </row>
    <row r="144">
      <c r="A144" s="367"/>
      <c r="B144" s="367"/>
      <c r="C144" s="364"/>
      <c r="D144" s="364"/>
      <c r="E144" s="364"/>
      <c r="F144" s="364"/>
      <c r="G144" s="364"/>
      <c r="H144" s="364"/>
      <c r="I144" s="364"/>
      <c r="J144" s="364"/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</row>
    <row r="145">
      <c r="A145" s="367"/>
      <c r="B145" s="367"/>
      <c r="C145" s="364"/>
      <c r="D145" s="364"/>
      <c r="E145" s="364"/>
      <c r="F145" s="364"/>
      <c r="G145" s="364"/>
      <c r="H145" s="364"/>
      <c r="I145" s="364"/>
      <c r="J145" s="364"/>
      <c r="K145" s="364"/>
      <c r="L145" s="364"/>
      <c r="M145" s="364"/>
      <c r="N145" s="364"/>
      <c r="O145" s="364"/>
      <c r="P145" s="364"/>
      <c r="Q145" s="364"/>
      <c r="R145" s="364"/>
      <c r="S145" s="364"/>
      <c r="T145" s="364"/>
      <c r="U145" s="364"/>
      <c r="V145" s="364"/>
      <c r="W145" s="364"/>
      <c r="X145" s="364"/>
      <c r="Y145" s="364"/>
      <c r="Z145" s="364"/>
    </row>
    <row r="146">
      <c r="A146" s="367"/>
      <c r="B146" s="367"/>
      <c r="C146" s="364"/>
      <c r="D146" s="364"/>
      <c r="E146" s="364"/>
      <c r="F146" s="364"/>
      <c r="G146" s="364"/>
      <c r="H146" s="364"/>
      <c r="I146" s="364"/>
      <c r="J146" s="364"/>
      <c r="K146" s="364"/>
      <c r="L146" s="364"/>
      <c r="M146" s="364"/>
      <c r="N146" s="364"/>
      <c r="O146" s="364"/>
      <c r="P146" s="364"/>
      <c r="Q146" s="364"/>
      <c r="R146" s="364"/>
      <c r="S146" s="364"/>
      <c r="T146" s="364"/>
      <c r="U146" s="364"/>
      <c r="V146" s="364"/>
      <c r="W146" s="364"/>
      <c r="X146" s="364"/>
      <c r="Y146" s="364"/>
      <c r="Z146" s="364"/>
    </row>
    <row r="147">
      <c r="A147" s="367"/>
      <c r="B147" s="367"/>
      <c r="C147" s="364"/>
      <c r="D147" s="364"/>
      <c r="E147" s="364"/>
      <c r="F147" s="364"/>
      <c r="G147" s="364"/>
      <c r="H147" s="364"/>
      <c r="I147" s="364"/>
      <c r="J147" s="364"/>
      <c r="K147" s="364"/>
      <c r="L147" s="364"/>
      <c r="M147" s="364"/>
      <c r="N147" s="364"/>
      <c r="O147" s="364"/>
      <c r="P147" s="364"/>
      <c r="Q147" s="364"/>
      <c r="R147" s="364"/>
      <c r="S147" s="364"/>
      <c r="T147" s="364"/>
      <c r="U147" s="364"/>
      <c r="V147" s="364"/>
      <c r="W147" s="364"/>
      <c r="X147" s="364"/>
      <c r="Y147" s="364"/>
      <c r="Z147" s="364"/>
    </row>
    <row r="148">
      <c r="A148" s="367"/>
      <c r="B148" s="367"/>
      <c r="C148" s="364"/>
      <c r="D148" s="364"/>
      <c r="E148" s="364"/>
      <c r="F148" s="364"/>
      <c r="G148" s="364"/>
      <c r="H148" s="364"/>
      <c r="I148" s="364"/>
      <c r="J148" s="364"/>
      <c r="K148" s="364"/>
      <c r="L148" s="364"/>
      <c r="M148" s="364"/>
      <c r="N148" s="364"/>
      <c r="O148" s="364"/>
      <c r="P148" s="364"/>
      <c r="Q148" s="364"/>
      <c r="R148" s="364"/>
      <c r="S148" s="364"/>
      <c r="T148" s="364"/>
      <c r="U148" s="364"/>
      <c r="V148" s="364"/>
      <c r="W148" s="364"/>
      <c r="X148" s="364"/>
      <c r="Y148" s="364"/>
      <c r="Z148" s="364"/>
    </row>
    <row r="149">
      <c r="A149" s="367"/>
      <c r="B149" s="367"/>
      <c r="C149" s="364"/>
      <c r="D149" s="364"/>
      <c r="E149" s="364"/>
      <c r="F149" s="364"/>
      <c r="G149" s="364"/>
      <c r="H149" s="364"/>
      <c r="I149" s="364"/>
      <c r="J149" s="364"/>
      <c r="K149" s="364"/>
      <c r="L149" s="364"/>
      <c r="M149" s="364"/>
      <c r="N149" s="364"/>
      <c r="O149" s="364"/>
      <c r="P149" s="364"/>
      <c r="Q149" s="364"/>
      <c r="R149" s="364"/>
      <c r="S149" s="364"/>
      <c r="T149" s="364"/>
      <c r="U149" s="364"/>
      <c r="V149" s="364"/>
      <c r="W149" s="364"/>
      <c r="X149" s="364"/>
      <c r="Y149" s="364"/>
      <c r="Z149" s="364"/>
    </row>
    <row r="150">
      <c r="A150" s="367"/>
      <c r="B150" s="367"/>
      <c r="C150" s="364"/>
      <c r="D150" s="364"/>
      <c r="E150" s="364"/>
      <c r="F150" s="364"/>
      <c r="G150" s="364"/>
      <c r="H150" s="364"/>
      <c r="I150" s="364"/>
      <c r="J150" s="364"/>
      <c r="K150" s="364"/>
      <c r="L150" s="364"/>
      <c r="M150" s="364"/>
      <c r="N150" s="364"/>
      <c r="O150" s="364"/>
      <c r="P150" s="364"/>
      <c r="Q150" s="364"/>
      <c r="R150" s="364"/>
      <c r="S150" s="364"/>
      <c r="T150" s="364"/>
      <c r="U150" s="364"/>
      <c r="V150" s="364"/>
      <c r="W150" s="364"/>
      <c r="X150" s="364"/>
      <c r="Y150" s="364"/>
      <c r="Z150" s="364"/>
    </row>
    <row r="151">
      <c r="A151" s="367"/>
      <c r="B151" s="367"/>
      <c r="C151" s="364"/>
      <c r="D151" s="364"/>
      <c r="E151" s="364"/>
      <c r="F151" s="364"/>
      <c r="G151" s="364"/>
      <c r="H151" s="364"/>
      <c r="I151" s="364"/>
      <c r="J151" s="364"/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  <c r="U151" s="364"/>
      <c r="V151" s="364"/>
      <c r="W151" s="364"/>
      <c r="X151" s="364"/>
      <c r="Y151" s="364"/>
      <c r="Z151" s="364"/>
    </row>
    <row r="152">
      <c r="A152" s="367"/>
      <c r="B152" s="367"/>
      <c r="C152" s="364"/>
      <c r="D152" s="364"/>
      <c r="E152" s="364"/>
      <c r="F152" s="364"/>
      <c r="G152" s="364"/>
      <c r="H152" s="364"/>
      <c r="I152" s="364"/>
      <c r="J152" s="364"/>
      <c r="K152" s="364"/>
      <c r="L152" s="364"/>
      <c r="M152" s="364"/>
      <c r="N152" s="364"/>
      <c r="O152" s="364"/>
      <c r="P152" s="364"/>
      <c r="Q152" s="364"/>
      <c r="R152" s="364"/>
      <c r="S152" s="364"/>
      <c r="T152" s="364"/>
      <c r="U152" s="364"/>
      <c r="V152" s="364"/>
      <c r="W152" s="364"/>
      <c r="X152" s="364"/>
      <c r="Y152" s="364"/>
      <c r="Z152" s="364"/>
    </row>
    <row r="153">
      <c r="A153" s="367"/>
      <c r="B153" s="367"/>
      <c r="C153" s="364"/>
      <c r="D153" s="364"/>
      <c r="E153" s="364"/>
      <c r="F153" s="364"/>
      <c r="G153" s="364"/>
      <c r="H153" s="364"/>
      <c r="I153" s="364"/>
      <c r="J153" s="364"/>
      <c r="K153" s="364"/>
      <c r="L153" s="364"/>
      <c r="M153" s="364"/>
      <c r="N153" s="364"/>
      <c r="O153" s="364"/>
      <c r="P153" s="364"/>
      <c r="Q153" s="364"/>
      <c r="R153" s="364"/>
      <c r="S153" s="364"/>
      <c r="T153" s="364"/>
      <c r="U153" s="364"/>
      <c r="V153" s="364"/>
      <c r="W153" s="364"/>
      <c r="X153" s="364"/>
      <c r="Y153" s="364"/>
      <c r="Z153" s="364"/>
    </row>
    <row r="154">
      <c r="A154" s="367"/>
      <c r="B154" s="367"/>
      <c r="C154" s="364"/>
      <c r="D154" s="364"/>
      <c r="E154" s="364"/>
      <c r="F154" s="364"/>
      <c r="G154" s="364"/>
      <c r="H154" s="364"/>
      <c r="I154" s="364"/>
      <c r="J154" s="364"/>
      <c r="K154" s="364"/>
      <c r="L154" s="364"/>
      <c r="M154" s="364"/>
      <c r="N154" s="364"/>
      <c r="O154" s="364"/>
      <c r="P154" s="364"/>
      <c r="Q154" s="364"/>
      <c r="R154" s="364"/>
      <c r="S154" s="364"/>
      <c r="T154" s="364"/>
      <c r="U154" s="364"/>
      <c r="V154" s="364"/>
      <c r="W154" s="364"/>
      <c r="X154" s="364"/>
      <c r="Y154" s="364"/>
      <c r="Z154" s="364"/>
    </row>
    <row r="155">
      <c r="A155" s="367"/>
      <c r="B155" s="367"/>
      <c r="C155" s="364"/>
      <c r="D155" s="364"/>
      <c r="E155" s="364"/>
      <c r="F155" s="364"/>
      <c r="G155" s="364"/>
      <c r="H155" s="364"/>
      <c r="I155" s="364"/>
      <c r="J155" s="364"/>
      <c r="K155" s="364"/>
      <c r="L155" s="364"/>
      <c r="M155" s="364"/>
      <c r="N155" s="364"/>
      <c r="O155" s="364"/>
      <c r="P155" s="364"/>
      <c r="Q155" s="364"/>
      <c r="R155" s="364"/>
      <c r="S155" s="364"/>
      <c r="T155" s="364"/>
      <c r="U155" s="364"/>
      <c r="V155" s="364"/>
      <c r="W155" s="364"/>
      <c r="X155" s="364"/>
      <c r="Y155" s="364"/>
      <c r="Z155" s="364"/>
    </row>
    <row r="156">
      <c r="A156" s="367"/>
      <c r="B156" s="367"/>
      <c r="C156" s="364"/>
      <c r="D156" s="364"/>
      <c r="E156" s="364"/>
      <c r="F156" s="364"/>
      <c r="G156" s="364"/>
      <c r="H156" s="364"/>
      <c r="I156" s="364"/>
      <c r="J156" s="364"/>
      <c r="K156" s="364"/>
      <c r="L156" s="364"/>
      <c r="M156" s="364"/>
      <c r="N156" s="364"/>
      <c r="O156" s="364"/>
      <c r="P156" s="364"/>
      <c r="Q156" s="364"/>
      <c r="R156" s="364"/>
      <c r="S156" s="364"/>
      <c r="T156" s="364"/>
      <c r="U156" s="364"/>
      <c r="V156" s="364"/>
      <c r="W156" s="364"/>
      <c r="X156" s="364"/>
      <c r="Y156" s="364"/>
      <c r="Z156" s="364"/>
    </row>
    <row r="157">
      <c r="A157" s="367"/>
      <c r="B157" s="367"/>
      <c r="C157" s="364"/>
      <c r="D157" s="364"/>
      <c r="E157" s="364"/>
      <c r="F157" s="364"/>
      <c r="G157" s="364"/>
      <c r="H157" s="364"/>
      <c r="I157" s="364"/>
      <c r="J157" s="364"/>
      <c r="K157" s="364"/>
      <c r="L157" s="364"/>
      <c r="M157" s="364"/>
      <c r="N157" s="364"/>
      <c r="O157" s="364"/>
      <c r="P157" s="364"/>
      <c r="Q157" s="364"/>
      <c r="R157" s="364"/>
      <c r="S157" s="364"/>
      <c r="T157" s="364"/>
      <c r="U157" s="364"/>
      <c r="V157" s="364"/>
      <c r="W157" s="364"/>
      <c r="X157" s="364"/>
      <c r="Y157" s="364"/>
      <c r="Z157" s="364"/>
    </row>
    <row r="158">
      <c r="A158" s="367"/>
      <c r="B158" s="367"/>
      <c r="C158" s="364"/>
      <c r="D158" s="364"/>
      <c r="E158" s="364"/>
      <c r="F158" s="364"/>
      <c r="G158" s="364"/>
      <c r="H158" s="364"/>
      <c r="I158" s="364"/>
      <c r="J158" s="364"/>
      <c r="K158" s="364"/>
      <c r="L158" s="364"/>
      <c r="M158" s="364"/>
      <c r="N158" s="364"/>
      <c r="O158" s="364"/>
      <c r="P158" s="364"/>
      <c r="Q158" s="364"/>
      <c r="R158" s="364"/>
      <c r="S158" s="364"/>
      <c r="T158" s="364"/>
      <c r="U158" s="364"/>
      <c r="V158" s="364"/>
      <c r="W158" s="364"/>
      <c r="X158" s="364"/>
      <c r="Y158" s="364"/>
      <c r="Z158" s="364"/>
    </row>
    <row r="159">
      <c r="A159" s="367"/>
      <c r="B159" s="367"/>
      <c r="C159" s="364"/>
      <c r="D159" s="364"/>
      <c r="E159" s="364"/>
      <c r="F159" s="364"/>
      <c r="G159" s="364"/>
      <c r="H159" s="364"/>
      <c r="I159" s="364"/>
      <c r="J159" s="364"/>
      <c r="K159" s="364"/>
      <c r="L159" s="364"/>
      <c r="M159" s="364"/>
      <c r="N159" s="364"/>
      <c r="O159" s="364"/>
      <c r="P159" s="364"/>
      <c r="Q159" s="364"/>
      <c r="R159" s="364"/>
      <c r="S159" s="364"/>
      <c r="T159" s="364"/>
      <c r="U159" s="364"/>
      <c r="V159" s="364"/>
      <c r="W159" s="364"/>
      <c r="X159" s="364"/>
      <c r="Y159" s="364"/>
      <c r="Z159" s="364"/>
    </row>
    <row r="160">
      <c r="A160" s="367"/>
      <c r="B160" s="367"/>
      <c r="C160" s="364"/>
      <c r="D160" s="364"/>
      <c r="E160" s="364"/>
      <c r="F160" s="364"/>
      <c r="G160" s="364"/>
      <c r="H160" s="364"/>
      <c r="I160" s="364"/>
      <c r="J160" s="364"/>
      <c r="K160" s="364"/>
      <c r="L160" s="364"/>
      <c r="M160" s="364"/>
      <c r="N160" s="364"/>
      <c r="O160" s="364"/>
      <c r="P160" s="364"/>
      <c r="Q160" s="364"/>
      <c r="R160" s="364"/>
      <c r="S160" s="364"/>
      <c r="T160" s="364"/>
      <c r="U160" s="364"/>
      <c r="V160" s="364"/>
      <c r="W160" s="364"/>
      <c r="X160" s="364"/>
      <c r="Y160" s="364"/>
      <c r="Z160" s="364"/>
    </row>
    <row r="161">
      <c r="A161" s="367"/>
      <c r="B161" s="367"/>
      <c r="C161" s="364"/>
      <c r="D161" s="364"/>
      <c r="E161" s="364"/>
      <c r="F161" s="364"/>
      <c r="G161" s="364"/>
      <c r="H161" s="364"/>
      <c r="I161" s="364"/>
      <c r="J161" s="364"/>
      <c r="K161" s="364"/>
      <c r="L161" s="364"/>
      <c r="M161" s="364"/>
      <c r="N161" s="364"/>
      <c r="O161" s="364"/>
      <c r="P161" s="364"/>
      <c r="Q161" s="364"/>
      <c r="R161" s="364"/>
      <c r="S161" s="364"/>
      <c r="T161" s="364"/>
      <c r="U161" s="364"/>
      <c r="V161" s="364"/>
      <c r="W161" s="364"/>
      <c r="X161" s="364"/>
      <c r="Y161" s="364"/>
      <c r="Z161" s="364"/>
    </row>
    <row r="162">
      <c r="A162" s="367"/>
      <c r="B162" s="367"/>
      <c r="C162" s="364"/>
      <c r="D162" s="364"/>
      <c r="E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  <c r="U162" s="364"/>
      <c r="V162" s="364"/>
      <c r="W162" s="364"/>
      <c r="X162" s="364"/>
      <c r="Y162" s="364"/>
      <c r="Z162" s="364"/>
    </row>
    <row r="163">
      <c r="A163" s="367"/>
      <c r="B163" s="367"/>
      <c r="C163" s="364"/>
      <c r="D163" s="364"/>
      <c r="E163" s="364"/>
      <c r="F163" s="364"/>
      <c r="G163" s="364"/>
      <c r="H163" s="364"/>
      <c r="I163" s="364"/>
      <c r="J163" s="364"/>
      <c r="K163" s="364"/>
      <c r="L163" s="364"/>
      <c r="M163" s="364"/>
      <c r="N163" s="364"/>
      <c r="O163" s="364"/>
      <c r="P163" s="364"/>
      <c r="Q163" s="364"/>
      <c r="R163" s="364"/>
      <c r="S163" s="364"/>
      <c r="T163" s="364"/>
      <c r="U163" s="364"/>
      <c r="V163" s="364"/>
      <c r="W163" s="364"/>
      <c r="X163" s="364"/>
      <c r="Y163" s="364"/>
      <c r="Z163" s="364"/>
    </row>
    <row r="164">
      <c r="A164" s="367"/>
      <c r="B164" s="367"/>
      <c r="C164" s="364"/>
      <c r="D164" s="364"/>
      <c r="E164" s="364"/>
      <c r="F164" s="364"/>
      <c r="G164" s="364"/>
      <c r="H164" s="364"/>
      <c r="I164" s="364"/>
      <c r="J164" s="364"/>
      <c r="K164" s="364"/>
      <c r="L164" s="364"/>
      <c r="M164" s="364"/>
      <c r="N164" s="364"/>
      <c r="O164" s="364"/>
      <c r="P164" s="364"/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</row>
    <row r="165">
      <c r="A165" s="367"/>
      <c r="B165" s="367"/>
      <c r="C165" s="364"/>
      <c r="D165" s="364"/>
      <c r="E165" s="364"/>
      <c r="F165" s="364"/>
      <c r="G165" s="364"/>
      <c r="H165" s="364"/>
      <c r="I165" s="364"/>
      <c r="J165" s="364"/>
      <c r="K165" s="364"/>
      <c r="L165" s="364"/>
      <c r="M165" s="364"/>
      <c r="N165" s="364"/>
      <c r="O165" s="364"/>
      <c r="P165" s="364"/>
      <c r="Q165" s="364"/>
      <c r="R165" s="364"/>
      <c r="S165" s="364"/>
      <c r="T165" s="364"/>
      <c r="U165" s="364"/>
      <c r="V165" s="364"/>
      <c r="W165" s="364"/>
      <c r="X165" s="364"/>
      <c r="Y165" s="364"/>
      <c r="Z165" s="364"/>
    </row>
    <row r="166">
      <c r="A166" s="367"/>
      <c r="B166" s="367"/>
      <c r="C166" s="364"/>
      <c r="D166" s="364"/>
      <c r="E166" s="364"/>
      <c r="F166" s="364"/>
      <c r="G166" s="364"/>
      <c r="H166" s="364"/>
      <c r="I166" s="364"/>
      <c r="J166" s="364"/>
      <c r="K166" s="364"/>
      <c r="L166" s="364"/>
      <c r="M166" s="364"/>
      <c r="N166" s="364"/>
      <c r="O166" s="364"/>
      <c r="P166" s="364"/>
      <c r="Q166" s="364"/>
      <c r="R166" s="364"/>
      <c r="S166" s="364"/>
      <c r="T166" s="364"/>
      <c r="U166" s="364"/>
      <c r="V166" s="364"/>
      <c r="W166" s="364"/>
      <c r="X166" s="364"/>
      <c r="Y166" s="364"/>
      <c r="Z166" s="364"/>
    </row>
    <row r="167">
      <c r="A167" s="367"/>
      <c r="B167" s="367"/>
      <c r="C167" s="364"/>
      <c r="D167" s="364"/>
      <c r="E167" s="364"/>
      <c r="F167" s="364"/>
      <c r="G167" s="364"/>
      <c r="H167" s="364"/>
      <c r="I167" s="364"/>
      <c r="J167" s="364"/>
      <c r="K167" s="364"/>
      <c r="L167" s="364"/>
      <c r="M167" s="364"/>
      <c r="N167" s="364"/>
      <c r="O167" s="364"/>
      <c r="P167" s="364"/>
      <c r="Q167" s="364"/>
      <c r="R167" s="364"/>
      <c r="S167" s="364"/>
      <c r="T167" s="364"/>
      <c r="U167" s="364"/>
      <c r="V167" s="364"/>
      <c r="W167" s="364"/>
      <c r="X167" s="364"/>
      <c r="Y167" s="364"/>
      <c r="Z167" s="364"/>
    </row>
    <row r="168">
      <c r="A168" s="367"/>
      <c r="B168" s="367"/>
      <c r="C168" s="364"/>
      <c r="D168" s="364"/>
      <c r="E168" s="364"/>
      <c r="F168" s="364"/>
      <c r="G168" s="364"/>
      <c r="H168" s="364"/>
      <c r="I168" s="364"/>
      <c r="J168" s="364"/>
      <c r="K168" s="364"/>
      <c r="L168" s="364"/>
      <c r="M168" s="364"/>
      <c r="N168" s="364"/>
      <c r="O168" s="364"/>
      <c r="P168" s="364"/>
      <c r="Q168" s="364"/>
      <c r="R168" s="364"/>
      <c r="S168" s="364"/>
      <c r="T168" s="364"/>
      <c r="U168" s="364"/>
      <c r="V168" s="364"/>
      <c r="W168" s="364"/>
      <c r="X168" s="364"/>
      <c r="Y168" s="364"/>
      <c r="Z168" s="364"/>
    </row>
    <row r="169">
      <c r="A169" s="367"/>
      <c r="B169" s="367"/>
      <c r="C169" s="364"/>
      <c r="D169" s="364"/>
      <c r="E169" s="364"/>
      <c r="F169" s="364"/>
      <c r="G169" s="364"/>
      <c r="H169" s="364"/>
      <c r="I169" s="364"/>
      <c r="J169" s="364"/>
      <c r="K169" s="364"/>
      <c r="L169" s="364"/>
      <c r="M169" s="364"/>
      <c r="N169" s="364"/>
      <c r="O169" s="364"/>
      <c r="P169" s="364"/>
      <c r="Q169" s="364"/>
      <c r="R169" s="364"/>
      <c r="S169" s="364"/>
      <c r="T169" s="364"/>
      <c r="U169" s="364"/>
      <c r="V169" s="364"/>
      <c r="W169" s="364"/>
      <c r="X169" s="364"/>
      <c r="Y169" s="364"/>
      <c r="Z169" s="364"/>
    </row>
    <row r="170">
      <c r="A170" s="367"/>
      <c r="B170" s="367"/>
      <c r="C170" s="364"/>
      <c r="D170" s="364"/>
      <c r="E170" s="364"/>
      <c r="F170" s="364"/>
      <c r="G170" s="364"/>
      <c r="H170" s="364"/>
      <c r="I170" s="364"/>
      <c r="J170" s="364"/>
      <c r="K170" s="364"/>
      <c r="L170" s="364"/>
      <c r="M170" s="364"/>
      <c r="N170" s="364"/>
      <c r="O170" s="364"/>
      <c r="P170" s="364"/>
      <c r="Q170" s="364"/>
      <c r="R170" s="364"/>
      <c r="S170" s="364"/>
      <c r="T170" s="364"/>
      <c r="U170" s="364"/>
      <c r="V170" s="364"/>
      <c r="W170" s="364"/>
      <c r="X170" s="364"/>
      <c r="Y170" s="364"/>
      <c r="Z170" s="364"/>
    </row>
    <row r="171">
      <c r="A171" s="367"/>
      <c r="B171" s="367"/>
      <c r="C171" s="364"/>
      <c r="D171" s="364"/>
      <c r="E171" s="364"/>
      <c r="F171" s="364"/>
      <c r="G171" s="364"/>
      <c r="H171" s="364"/>
      <c r="I171" s="364"/>
      <c r="J171" s="364"/>
      <c r="K171" s="364"/>
      <c r="L171" s="364"/>
      <c r="M171" s="364"/>
      <c r="N171" s="364"/>
      <c r="O171" s="364"/>
      <c r="P171" s="364"/>
      <c r="Q171" s="364"/>
      <c r="R171" s="364"/>
      <c r="S171" s="364"/>
      <c r="T171" s="364"/>
      <c r="U171" s="364"/>
      <c r="V171" s="364"/>
      <c r="W171" s="364"/>
      <c r="X171" s="364"/>
      <c r="Y171" s="364"/>
      <c r="Z171" s="364"/>
    </row>
    <row r="172">
      <c r="A172" s="367"/>
      <c r="B172" s="367"/>
      <c r="C172" s="364"/>
      <c r="D172" s="364"/>
      <c r="E172" s="364"/>
      <c r="F172" s="364"/>
      <c r="G172" s="364"/>
      <c r="H172" s="364"/>
      <c r="I172" s="364"/>
      <c r="J172" s="364"/>
      <c r="K172" s="364"/>
      <c r="L172" s="364"/>
      <c r="M172" s="364"/>
      <c r="N172" s="364"/>
      <c r="O172" s="364"/>
      <c r="P172" s="364"/>
      <c r="Q172" s="364"/>
      <c r="R172" s="364"/>
      <c r="S172" s="364"/>
      <c r="T172" s="364"/>
      <c r="U172" s="364"/>
      <c r="V172" s="364"/>
      <c r="W172" s="364"/>
      <c r="X172" s="364"/>
      <c r="Y172" s="364"/>
      <c r="Z172" s="364"/>
    </row>
    <row r="173">
      <c r="A173" s="367"/>
      <c r="B173" s="367"/>
      <c r="C173" s="364"/>
      <c r="D173" s="364"/>
      <c r="E173" s="364"/>
      <c r="F173" s="364"/>
      <c r="G173" s="364"/>
      <c r="H173" s="364"/>
      <c r="I173" s="364"/>
      <c r="J173" s="364"/>
      <c r="K173" s="364"/>
      <c r="L173" s="364"/>
      <c r="M173" s="364"/>
      <c r="N173" s="364"/>
      <c r="O173" s="364"/>
      <c r="P173" s="364"/>
      <c r="Q173" s="364"/>
      <c r="R173" s="364"/>
      <c r="S173" s="364"/>
      <c r="T173" s="364"/>
      <c r="U173" s="364"/>
      <c r="V173" s="364"/>
      <c r="W173" s="364"/>
      <c r="X173" s="364"/>
      <c r="Y173" s="364"/>
      <c r="Z173" s="364"/>
    </row>
    <row r="174">
      <c r="A174" s="367"/>
      <c r="B174" s="367"/>
      <c r="C174" s="364"/>
      <c r="D174" s="364"/>
      <c r="E174" s="364"/>
      <c r="F174" s="364"/>
      <c r="G174" s="364"/>
      <c r="H174" s="364"/>
      <c r="I174" s="364"/>
      <c r="J174" s="364"/>
      <c r="K174" s="364"/>
      <c r="L174" s="364"/>
      <c r="M174" s="364"/>
      <c r="N174" s="364"/>
      <c r="O174" s="364"/>
      <c r="P174" s="364"/>
      <c r="Q174" s="364"/>
      <c r="R174" s="364"/>
      <c r="S174" s="364"/>
      <c r="T174" s="364"/>
      <c r="U174" s="364"/>
      <c r="V174" s="364"/>
      <c r="W174" s="364"/>
      <c r="X174" s="364"/>
      <c r="Y174" s="364"/>
      <c r="Z174" s="364"/>
    </row>
    <row r="175">
      <c r="A175" s="367"/>
      <c r="B175" s="367"/>
      <c r="C175" s="364"/>
      <c r="D175" s="364"/>
      <c r="E175" s="364"/>
      <c r="F175" s="364"/>
      <c r="G175" s="364"/>
      <c r="H175" s="364"/>
      <c r="I175" s="364"/>
      <c r="J175" s="364"/>
      <c r="K175" s="364"/>
      <c r="L175" s="364"/>
      <c r="M175" s="364"/>
      <c r="N175" s="364"/>
      <c r="O175" s="364"/>
      <c r="P175" s="364"/>
      <c r="Q175" s="364"/>
      <c r="R175" s="364"/>
      <c r="S175" s="364"/>
      <c r="T175" s="364"/>
      <c r="U175" s="364"/>
      <c r="V175" s="364"/>
      <c r="W175" s="364"/>
      <c r="X175" s="364"/>
      <c r="Y175" s="364"/>
      <c r="Z175" s="364"/>
    </row>
    <row r="176">
      <c r="A176" s="367"/>
      <c r="B176" s="367"/>
      <c r="C176" s="364"/>
      <c r="D176" s="364"/>
      <c r="E176" s="364"/>
      <c r="F176" s="364"/>
      <c r="G176" s="364"/>
      <c r="H176" s="364"/>
      <c r="I176" s="364"/>
      <c r="J176" s="364"/>
      <c r="K176" s="364"/>
      <c r="L176" s="364"/>
      <c r="M176" s="364"/>
      <c r="N176" s="364"/>
      <c r="O176" s="364"/>
      <c r="P176" s="364"/>
      <c r="Q176" s="364"/>
      <c r="R176" s="364"/>
      <c r="S176" s="364"/>
      <c r="T176" s="364"/>
      <c r="U176" s="364"/>
      <c r="V176" s="364"/>
      <c r="W176" s="364"/>
      <c r="X176" s="364"/>
      <c r="Y176" s="364"/>
      <c r="Z176" s="364"/>
    </row>
    <row r="177">
      <c r="A177" s="367"/>
      <c r="B177" s="367"/>
      <c r="C177" s="364"/>
      <c r="D177" s="364"/>
      <c r="E177" s="364"/>
      <c r="F177" s="364"/>
      <c r="G177" s="364"/>
      <c r="H177" s="364"/>
      <c r="I177" s="364"/>
      <c r="J177" s="364"/>
      <c r="K177" s="364"/>
      <c r="L177" s="364"/>
      <c r="M177" s="364"/>
      <c r="N177" s="364"/>
      <c r="O177" s="364"/>
      <c r="P177" s="364"/>
      <c r="Q177" s="364"/>
      <c r="R177" s="364"/>
      <c r="S177" s="364"/>
      <c r="T177" s="364"/>
      <c r="U177" s="364"/>
      <c r="V177" s="364"/>
      <c r="W177" s="364"/>
      <c r="X177" s="364"/>
      <c r="Y177" s="364"/>
      <c r="Z177" s="364"/>
    </row>
    <row r="178">
      <c r="A178" s="367"/>
      <c r="B178" s="367"/>
      <c r="C178" s="364"/>
      <c r="D178" s="364"/>
      <c r="E178" s="364"/>
      <c r="F178" s="364"/>
      <c r="G178" s="364"/>
      <c r="H178" s="364"/>
      <c r="I178" s="364"/>
      <c r="J178" s="364"/>
      <c r="K178" s="364"/>
      <c r="L178" s="364"/>
      <c r="M178" s="364"/>
      <c r="N178" s="364"/>
      <c r="O178" s="364"/>
      <c r="P178" s="364"/>
      <c r="Q178" s="364"/>
      <c r="R178" s="364"/>
      <c r="S178" s="364"/>
      <c r="T178" s="364"/>
      <c r="U178" s="364"/>
      <c r="V178" s="364"/>
      <c r="W178" s="364"/>
      <c r="X178" s="364"/>
      <c r="Y178" s="364"/>
      <c r="Z178" s="364"/>
    </row>
    <row r="179">
      <c r="A179" s="367"/>
      <c r="B179" s="367"/>
      <c r="C179" s="364"/>
      <c r="D179" s="364"/>
      <c r="E179" s="364"/>
      <c r="F179" s="364"/>
      <c r="G179" s="364"/>
      <c r="H179" s="364"/>
      <c r="I179" s="364"/>
      <c r="J179" s="364"/>
      <c r="K179" s="364"/>
      <c r="L179" s="364"/>
      <c r="M179" s="364"/>
      <c r="N179" s="364"/>
      <c r="O179" s="364"/>
      <c r="P179" s="364"/>
      <c r="Q179" s="364"/>
      <c r="R179" s="364"/>
      <c r="S179" s="364"/>
      <c r="T179" s="364"/>
      <c r="U179" s="364"/>
      <c r="V179" s="364"/>
      <c r="W179" s="364"/>
      <c r="X179" s="364"/>
      <c r="Y179" s="364"/>
      <c r="Z179" s="364"/>
    </row>
    <row r="180">
      <c r="A180" s="367"/>
      <c r="B180" s="367"/>
      <c r="C180" s="364"/>
      <c r="D180" s="364"/>
      <c r="E180" s="364"/>
      <c r="F180" s="364"/>
      <c r="G180" s="364"/>
      <c r="H180" s="364"/>
      <c r="I180" s="364"/>
      <c r="J180" s="364"/>
      <c r="K180" s="364"/>
      <c r="L180" s="364"/>
      <c r="M180" s="364"/>
      <c r="N180" s="364"/>
      <c r="O180" s="364"/>
      <c r="P180" s="364"/>
      <c r="Q180" s="364"/>
      <c r="R180" s="364"/>
      <c r="S180" s="364"/>
      <c r="T180" s="364"/>
      <c r="U180" s="364"/>
      <c r="V180" s="364"/>
      <c r="W180" s="364"/>
      <c r="X180" s="364"/>
      <c r="Y180" s="364"/>
      <c r="Z180" s="364"/>
    </row>
    <row r="181">
      <c r="A181" s="367"/>
      <c r="B181" s="367"/>
      <c r="C181" s="364"/>
      <c r="D181" s="364"/>
      <c r="E181" s="364"/>
      <c r="F181" s="364"/>
      <c r="G181" s="364"/>
      <c r="H181" s="364"/>
      <c r="I181" s="364"/>
      <c r="J181" s="364"/>
      <c r="K181" s="364"/>
      <c r="L181" s="364"/>
      <c r="M181" s="364"/>
      <c r="N181" s="364"/>
      <c r="O181" s="364"/>
      <c r="P181" s="364"/>
      <c r="Q181" s="364"/>
      <c r="R181" s="364"/>
      <c r="S181" s="364"/>
      <c r="T181" s="364"/>
      <c r="U181" s="364"/>
      <c r="V181" s="364"/>
      <c r="W181" s="364"/>
      <c r="X181" s="364"/>
      <c r="Y181" s="364"/>
      <c r="Z181" s="364"/>
    </row>
    <row r="182">
      <c r="A182" s="367"/>
      <c r="B182" s="367"/>
      <c r="C182" s="364"/>
      <c r="D182" s="364"/>
      <c r="E182" s="364"/>
      <c r="F182" s="364"/>
      <c r="G182" s="364"/>
      <c r="H182" s="364"/>
      <c r="I182" s="364"/>
      <c r="J182" s="364"/>
      <c r="K182" s="364"/>
      <c r="L182" s="364"/>
      <c r="M182" s="364"/>
      <c r="N182" s="364"/>
      <c r="O182" s="364"/>
      <c r="P182" s="364"/>
      <c r="Q182" s="364"/>
      <c r="R182" s="364"/>
      <c r="S182" s="364"/>
      <c r="T182" s="364"/>
      <c r="U182" s="364"/>
      <c r="V182" s="364"/>
      <c r="W182" s="364"/>
      <c r="X182" s="364"/>
      <c r="Y182" s="364"/>
      <c r="Z182" s="364"/>
    </row>
    <row r="183">
      <c r="A183" s="367"/>
      <c r="B183" s="367"/>
      <c r="C183" s="364"/>
      <c r="D183" s="364"/>
      <c r="E183" s="364"/>
      <c r="F183" s="364"/>
      <c r="G183" s="364"/>
      <c r="H183" s="364"/>
      <c r="I183" s="364"/>
      <c r="J183" s="364"/>
      <c r="K183" s="364"/>
      <c r="L183" s="364"/>
      <c r="M183" s="364"/>
      <c r="N183" s="364"/>
      <c r="O183" s="364"/>
      <c r="P183" s="364"/>
      <c r="Q183" s="364"/>
      <c r="R183" s="364"/>
      <c r="S183" s="364"/>
      <c r="T183" s="364"/>
      <c r="U183" s="364"/>
      <c r="V183" s="364"/>
      <c r="W183" s="364"/>
      <c r="X183" s="364"/>
      <c r="Y183" s="364"/>
      <c r="Z183" s="364"/>
    </row>
    <row r="184">
      <c r="A184" s="367"/>
      <c r="B184" s="367"/>
      <c r="C184" s="364"/>
      <c r="D184" s="364"/>
      <c r="E184" s="364"/>
      <c r="F184" s="364"/>
      <c r="G184" s="364"/>
      <c r="H184" s="364"/>
      <c r="I184" s="364"/>
      <c r="J184" s="364"/>
      <c r="K184" s="364"/>
      <c r="L184" s="364"/>
      <c r="M184" s="364"/>
      <c r="N184" s="364"/>
      <c r="O184" s="364"/>
      <c r="P184" s="364"/>
      <c r="Q184" s="364"/>
      <c r="R184" s="364"/>
      <c r="S184" s="364"/>
      <c r="T184" s="364"/>
      <c r="U184" s="364"/>
      <c r="V184" s="364"/>
      <c r="W184" s="364"/>
      <c r="X184" s="364"/>
      <c r="Y184" s="364"/>
      <c r="Z184" s="364"/>
    </row>
    <row r="185">
      <c r="A185" s="367"/>
      <c r="B185" s="367"/>
      <c r="C185" s="364"/>
      <c r="D185" s="364"/>
      <c r="E185" s="364"/>
      <c r="F185" s="364"/>
      <c r="G185" s="364"/>
      <c r="H185" s="364"/>
      <c r="I185" s="364"/>
      <c r="J185" s="364"/>
      <c r="K185" s="364"/>
      <c r="L185" s="364"/>
      <c r="M185" s="364"/>
      <c r="N185" s="364"/>
      <c r="O185" s="364"/>
      <c r="P185" s="364"/>
      <c r="Q185" s="364"/>
      <c r="R185" s="364"/>
      <c r="S185" s="364"/>
      <c r="T185" s="364"/>
      <c r="U185" s="364"/>
      <c r="V185" s="364"/>
      <c r="W185" s="364"/>
      <c r="X185" s="364"/>
      <c r="Y185" s="364"/>
      <c r="Z185" s="364"/>
    </row>
    <row r="186">
      <c r="A186" s="367"/>
      <c r="B186" s="367"/>
      <c r="C186" s="364"/>
      <c r="D186" s="364"/>
      <c r="E186" s="364"/>
      <c r="F186" s="364"/>
      <c r="G186" s="364"/>
      <c r="H186" s="364"/>
      <c r="I186" s="364"/>
      <c r="J186" s="364"/>
      <c r="K186" s="364"/>
      <c r="L186" s="364"/>
      <c r="M186" s="364"/>
      <c r="N186" s="364"/>
      <c r="O186" s="364"/>
      <c r="P186" s="364"/>
      <c r="Q186" s="364"/>
      <c r="R186" s="364"/>
      <c r="S186" s="364"/>
      <c r="T186" s="364"/>
      <c r="U186" s="364"/>
      <c r="V186" s="364"/>
      <c r="W186" s="364"/>
      <c r="X186" s="364"/>
      <c r="Y186" s="364"/>
      <c r="Z186" s="364"/>
    </row>
    <row r="187">
      <c r="A187" s="367"/>
      <c r="B187" s="367"/>
      <c r="C187" s="364"/>
      <c r="D187" s="364"/>
      <c r="E187" s="364"/>
      <c r="F187" s="364"/>
      <c r="G187" s="364"/>
      <c r="H187" s="364"/>
      <c r="I187" s="364"/>
      <c r="J187" s="364"/>
      <c r="K187" s="364"/>
      <c r="L187" s="364"/>
      <c r="M187" s="364"/>
      <c r="N187" s="364"/>
      <c r="O187" s="364"/>
      <c r="P187" s="364"/>
      <c r="Q187" s="364"/>
      <c r="R187" s="364"/>
      <c r="S187" s="364"/>
      <c r="T187" s="364"/>
      <c r="U187" s="364"/>
      <c r="V187" s="364"/>
      <c r="W187" s="364"/>
      <c r="X187" s="364"/>
      <c r="Y187" s="364"/>
      <c r="Z187" s="364"/>
    </row>
    <row r="188">
      <c r="A188" s="367"/>
      <c r="B188" s="367"/>
      <c r="C188" s="364"/>
      <c r="D188" s="364"/>
      <c r="E188" s="364"/>
      <c r="F188" s="364"/>
      <c r="G188" s="364"/>
      <c r="H188" s="364"/>
      <c r="I188" s="364"/>
      <c r="J188" s="364"/>
      <c r="K188" s="364"/>
      <c r="L188" s="364"/>
      <c r="M188" s="364"/>
      <c r="N188" s="364"/>
      <c r="O188" s="364"/>
      <c r="P188" s="364"/>
      <c r="Q188" s="364"/>
      <c r="R188" s="364"/>
      <c r="S188" s="364"/>
      <c r="T188" s="364"/>
      <c r="U188" s="364"/>
      <c r="V188" s="364"/>
      <c r="W188" s="364"/>
      <c r="X188" s="364"/>
      <c r="Y188" s="364"/>
      <c r="Z188" s="364"/>
    </row>
    <row r="189">
      <c r="A189" s="367"/>
      <c r="B189" s="367"/>
      <c r="C189" s="364"/>
      <c r="D189" s="364"/>
      <c r="E189" s="364"/>
      <c r="F189" s="364"/>
      <c r="G189" s="364"/>
      <c r="H189" s="364"/>
      <c r="I189" s="364"/>
      <c r="J189" s="364"/>
      <c r="K189" s="364"/>
      <c r="L189" s="364"/>
      <c r="M189" s="364"/>
      <c r="N189" s="364"/>
      <c r="O189" s="364"/>
      <c r="P189" s="364"/>
      <c r="Q189" s="364"/>
      <c r="R189" s="364"/>
      <c r="S189" s="364"/>
      <c r="T189" s="364"/>
      <c r="U189" s="364"/>
      <c r="V189" s="364"/>
      <c r="W189" s="364"/>
      <c r="X189" s="364"/>
      <c r="Y189" s="364"/>
      <c r="Z189" s="364"/>
    </row>
    <row r="190">
      <c r="A190" s="367"/>
      <c r="B190" s="367"/>
      <c r="C190" s="364"/>
      <c r="D190" s="364"/>
      <c r="E190" s="364"/>
      <c r="F190" s="364"/>
      <c r="G190" s="364"/>
      <c r="H190" s="364"/>
      <c r="I190" s="364"/>
      <c r="J190" s="364"/>
      <c r="K190" s="364"/>
      <c r="L190" s="364"/>
      <c r="M190" s="364"/>
      <c r="N190" s="364"/>
      <c r="O190" s="364"/>
      <c r="P190" s="364"/>
      <c r="Q190" s="364"/>
      <c r="R190" s="364"/>
      <c r="S190" s="364"/>
      <c r="T190" s="364"/>
      <c r="U190" s="364"/>
      <c r="V190" s="364"/>
      <c r="W190" s="364"/>
      <c r="X190" s="364"/>
      <c r="Y190" s="364"/>
      <c r="Z190" s="364"/>
    </row>
    <row r="191">
      <c r="A191" s="367"/>
      <c r="B191" s="367"/>
      <c r="C191" s="364"/>
      <c r="D191" s="364"/>
      <c r="E191" s="364"/>
      <c r="F191" s="364"/>
      <c r="G191" s="364"/>
      <c r="H191" s="364"/>
      <c r="I191" s="364"/>
      <c r="J191" s="364"/>
      <c r="K191" s="364"/>
      <c r="L191" s="364"/>
      <c r="M191" s="364"/>
      <c r="N191" s="364"/>
      <c r="O191" s="364"/>
      <c r="P191" s="364"/>
      <c r="Q191" s="364"/>
      <c r="R191" s="364"/>
      <c r="S191" s="364"/>
      <c r="T191" s="364"/>
      <c r="U191" s="364"/>
      <c r="V191" s="364"/>
      <c r="W191" s="364"/>
      <c r="X191" s="364"/>
      <c r="Y191" s="364"/>
      <c r="Z191" s="364"/>
    </row>
    <row r="192">
      <c r="A192" s="367"/>
      <c r="B192" s="367"/>
      <c r="C192" s="364"/>
      <c r="D192" s="364"/>
      <c r="E192" s="364"/>
      <c r="F192" s="364"/>
      <c r="G192" s="364"/>
      <c r="H192" s="364"/>
      <c r="I192" s="364"/>
      <c r="J192" s="364"/>
      <c r="K192" s="364"/>
      <c r="L192" s="364"/>
      <c r="M192" s="364"/>
      <c r="N192" s="364"/>
      <c r="O192" s="364"/>
      <c r="P192" s="364"/>
      <c r="Q192" s="364"/>
      <c r="R192" s="364"/>
      <c r="S192" s="364"/>
      <c r="T192" s="364"/>
      <c r="U192" s="364"/>
      <c r="V192" s="364"/>
      <c r="W192" s="364"/>
      <c r="X192" s="364"/>
      <c r="Y192" s="364"/>
      <c r="Z192" s="364"/>
    </row>
    <row r="193">
      <c r="A193" s="367"/>
      <c r="B193" s="367"/>
      <c r="C193" s="364"/>
      <c r="D193" s="364"/>
      <c r="E193" s="364"/>
      <c r="F193" s="364"/>
      <c r="G193" s="364"/>
      <c r="H193" s="364"/>
      <c r="I193" s="364"/>
      <c r="J193" s="364"/>
      <c r="K193" s="364"/>
      <c r="L193" s="364"/>
      <c r="M193" s="364"/>
      <c r="N193" s="364"/>
      <c r="O193" s="364"/>
      <c r="P193" s="364"/>
      <c r="Q193" s="364"/>
      <c r="R193" s="364"/>
      <c r="S193" s="364"/>
      <c r="T193" s="364"/>
      <c r="U193" s="364"/>
      <c r="V193" s="364"/>
      <c r="W193" s="364"/>
      <c r="X193" s="364"/>
      <c r="Y193" s="364"/>
      <c r="Z193" s="364"/>
    </row>
    <row r="194">
      <c r="A194" s="367"/>
      <c r="B194" s="367"/>
      <c r="C194" s="364"/>
      <c r="D194" s="364"/>
      <c r="E194" s="364"/>
      <c r="F194" s="364"/>
      <c r="G194" s="364"/>
      <c r="H194" s="364"/>
      <c r="I194" s="364"/>
      <c r="J194" s="364"/>
      <c r="K194" s="364"/>
      <c r="L194" s="364"/>
      <c r="M194" s="364"/>
      <c r="N194" s="364"/>
      <c r="O194" s="364"/>
      <c r="P194" s="364"/>
      <c r="Q194" s="364"/>
      <c r="R194" s="364"/>
      <c r="S194" s="364"/>
      <c r="T194" s="364"/>
      <c r="U194" s="364"/>
      <c r="V194" s="364"/>
      <c r="W194" s="364"/>
      <c r="X194" s="364"/>
      <c r="Y194" s="364"/>
      <c r="Z194" s="364"/>
    </row>
    <row r="195">
      <c r="A195" s="367"/>
      <c r="B195" s="367"/>
      <c r="C195" s="364"/>
      <c r="D195" s="364"/>
      <c r="E195" s="364"/>
      <c r="F195" s="364"/>
      <c r="G195" s="364"/>
      <c r="H195" s="364"/>
      <c r="I195" s="364"/>
      <c r="J195" s="364"/>
      <c r="K195" s="364"/>
      <c r="L195" s="364"/>
      <c r="M195" s="364"/>
      <c r="N195" s="364"/>
      <c r="O195" s="364"/>
      <c r="P195" s="364"/>
      <c r="Q195" s="364"/>
      <c r="R195" s="364"/>
      <c r="S195" s="364"/>
      <c r="T195" s="364"/>
      <c r="U195" s="364"/>
      <c r="V195" s="364"/>
      <c r="W195" s="364"/>
      <c r="X195" s="364"/>
      <c r="Y195" s="364"/>
      <c r="Z195" s="364"/>
    </row>
    <row r="196">
      <c r="A196" s="367"/>
      <c r="B196" s="367"/>
      <c r="C196" s="364"/>
      <c r="D196" s="364"/>
      <c r="E196" s="364"/>
      <c r="F196" s="364"/>
      <c r="G196" s="364"/>
      <c r="H196" s="364"/>
      <c r="I196" s="364"/>
      <c r="J196" s="364"/>
      <c r="K196" s="364"/>
      <c r="L196" s="364"/>
      <c r="M196" s="364"/>
      <c r="N196" s="364"/>
      <c r="O196" s="364"/>
      <c r="P196" s="364"/>
      <c r="Q196" s="364"/>
      <c r="R196" s="364"/>
      <c r="S196" s="364"/>
      <c r="T196" s="364"/>
      <c r="U196" s="364"/>
      <c r="V196" s="364"/>
      <c r="W196" s="364"/>
      <c r="X196" s="364"/>
      <c r="Y196" s="364"/>
      <c r="Z196" s="364"/>
    </row>
    <row r="197">
      <c r="A197" s="367"/>
      <c r="B197" s="367"/>
      <c r="C197" s="364"/>
      <c r="D197" s="364"/>
      <c r="E197" s="364"/>
      <c r="F197" s="364"/>
      <c r="G197" s="364"/>
      <c r="H197" s="364"/>
      <c r="I197" s="364"/>
      <c r="J197" s="364"/>
      <c r="K197" s="364"/>
      <c r="L197" s="364"/>
      <c r="M197" s="364"/>
      <c r="N197" s="364"/>
      <c r="O197" s="364"/>
      <c r="P197" s="364"/>
      <c r="Q197" s="364"/>
      <c r="R197" s="364"/>
      <c r="S197" s="364"/>
      <c r="T197" s="364"/>
      <c r="U197" s="364"/>
      <c r="V197" s="364"/>
      <c r="W197" s="364"/>
      <c r="X197" s="364"/>
      <c r="Y197" s="364"/>
      <c r="Z197" s="364"/>
    </row>
    <row r="198">
      <c r="A198" s="367"/>
      <c r="B198" s="367"/>
      <c r="C198" s="364"/>
      <c r="D198" s="364"/>
      <c r="E198" s="364"/>
      <c r="F198" s="364"/>
      <c r="G198" s="364"/>
      <c r="H198" s="364"/>
      <c r="I198" s="364"/>
      <c r="J198" s="364"/>
      <c r="K198" s="364"/>
      <c r="L198" s="364"/>
      <c r="M198" s="364"/>
      <c r="N198" s="364"/>
      <c r="O198" s="364"/>
      <c r="P198" s="364"/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</row>
    <row r="199">
      <c r="A199" s="367"/>
      <c r="B199" s="367"/>
      <c r="C199" s="364"/>
      <c r="D199" s="364"/>
      <c r="E199" s="364"/>
      <c r="F199" s="364"/>
      <c r="G199" s="364"/>
      <c r="H199" s="364"/>
      <c r="I199" s="364"/>
      <c r="J199" s="364"/>
      <c r="K199" s="364"/>
      <c r="L199" s="364"/>
      <c r="M199" s="364"/>
      <c r="N199" s="364"/>
      <c r="O199" s="364"/>
      <c r="P199" s="364"/>
      <c r="Q199" s="364"/>
      <c r="R199" s="364"/>
      <c r="S199" s="364"/>
      <c r="T199" s="364"/>
      <c r="U199" s="364"/>
      <c r="V199" s="364"/>
      <c r="W199" s="364"/>
      <c r="X199" s="364"/>
      <c r="Y199" s="364"/>
      <c r="Z199" s="364"/>
    </row>
    <row r="200">
      <c r="A200" s="367"/>
      <c r="B200" s="367"/>
      <c r="C200" s="364"/>
      <c r="D200" s="364"/>
      <c r="E200" s="364"/>
      <c r="F200" s="364"/>
      <c r="G200" s="364"/>
      <c r="H200" s="364"/>
      <c r="I200" s="364"/>
      <c r="J200" s="364"/>
      <c r="K200" s="364"/>
      <c r="L200" s="364"/>
      <c r="M200" s="364"/>
      <c r="N200" s="364"/>
      <c r="O200" s="364"/>
      <c r="P200" s="364"/>
      <c r="Q200" s="364"/>
      <c r="R200" s="364"/>
      <c r="S200" s="364"/>
      <c r="T200" s="364"/>
      <c r="U200" s="364"/>
      <c r="V200" s="364"/>
      <c r="W200" s="364"/>
      <c r="X200" s="364"/>
      <c r="Y200" s="364"/>
      <c r="Z200" s="364"/>
    </row>
    <row r="201">
      <c r="A201" s="367"/>
      <c r="B201" s="367"/>
      <c r="C201" s="364"/>
      <c r="D201" s="364"/>
      <c r="E201" s="364"/>
      <c r="F201" s="364"/>
      <c r="G201" s="364"/>
      <c r="H201" s="364"/>
      <c r="I201" s="364"/>
      <c r="J201" s="364"/>
      <c r="K201" s="364"/>
      <c r="L201" s="364"/>
      <c r="M201" s="364"/>
      <c r="N201" s="364"/>
      <c r="O201" s="364"/>
      <c r="P201" s="364"/>
      <c r="Q201" s="364"/>
      <c r="R201" s="364"/>
      <c r="S201" s="364"/>
      <c r="T201" s="364"/>
      <c r="U201" s="364"/>
      <c r="V201" s="364"/>
      <c r="W201" s="364"/>
      <c r="X201" s="364"/>
      <c r="Y201" s="364"/>
      <c r="Z201" s="364"/>
    </row>
    <row r="202">
      <c r="A202" s="367"/>
      <c r="B202" s="367"/>
      <c r="C202" s="364"/>
      <c r="D202" s="364"/>
      <c r="E202" s="364"/>
      <c r="F202" s="364"/>
      <c r="G202" s="364"/>
      <c r="H202" s="364"/>
      <c r="I202" s="364"/>
      <c r="J202" s="364"/>
      <c r="K202" s="364"/>
      <c r="L202" s="364"/>
      <c r="M202" s="364"/>
      <c r="N202" s="364"/>
      <c r="O202" s="364"/>
      <c r="P202" s="364"/>
      <c r="Q202" s="364"/>
      <c r="R202" s="364"/>
      <c r="S202" s="364"/>
      <c r="T202" s="364"/>
      <c r="U202" s="364"/>
      <c r="V202" s="364"/>
      <c r="W202" s="364"/>
      <c r="X202" s="364"/>
      <c r="Y202" s="364"/>
      <c r="Z202" s="364"/>
    </row>
    <row r="203">
      <c r="A203" s="367"/>
      <c r="B203" s="367"/>
      <c r="C203" s="364"/>
      <c r="D203" s="364"/>
      <c r="E203" s="364"/>
      <c r="F203" s="364"/>
      <c r="G203" s="364"/>
      <c r="H203" s="364"/>
      <c r="I203" s="364"/>
      <c r="J203" s="364"/>
      <c r="K203" s="364"/>
      <c r="L203" s="364"/>
      <c r="M203" s="364"/>
      <c r="N203" s="364"/>
      <c r="O203" s="364"/>
      <c r="P203" s="364"/>
      <c r="Q203" s="364"/>
      <c r="R203" s="364"/>
      <c r="S203" s="364"/>
      <c r="T203" s="364"/>
      <c r="U203" s="364"/>
      <c r="V203" s="364"/>
      <c r="W203" s="364"/>
      <c r="X203" s="364"/>
      <c r="Y203" s="364"/>
      <c r="Z203" s="364"/>
    </row>
    <row r="204">
      <c r="A204" s="367"/>
      <c r="B204" s="367"/>
      <c r="C204" s="364"/>
      <c r="D204" s="364"/>
      <c r="E204" s="364"/>
      <c r="F204" s="364"/>
      <c r="G204" s="364"/>
      <c r="H204" s="364"/>
      <c r="I204" s="364"/>
      <c r="J204" s="364"/>
      <c r="K204" s="364"/>
      <c r="L204" s="364"/>
      <c r="M204" s="364"/>
      <c r="N204" s="364"/>
      <c r="O204" s="364"/>
      <c r="P204" s="364"/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</row>
    <row r="205">
      <c r="A205" s="367"/>
      <c r="B205" s="367"/>
      <c r="C205" s="364"/>
      <c r="D205" s="364"/>
      <c r="E205" s="364"/>
      <c r="F205" s="364"/>
      <c r="G205" s="364"/>
      <c r="H205" s="364"/>
      <c r="I205" s="364"/>
      <c r="J205" s="364"/>
      <c r="K205" s="364"/>
      <c r="L205" s="364"/>
      <c r="M205" s="364"/>
      <c r="N205" s="364"/>
      <c r="O205" s="364"/>
      <c r="P205" s="364"/>
      <c r="Q205" s="364"/>
      <c r="R205" s="364"/>
      <c r="S205" s="364"/>
      <c r="T205" s="364"/>
      <c r="U205" s="364"/>
      <c r="V205" s="364"/>
      <c r="W205" s="364"/>
      <c r="X205" s="364"/>
      <c r="Y205" s="364"/>
      <c r="Z205" s="364"/>
    </row>
    <row r="206">
      <c r="A206" s="367"/>
      <c r="B206" s="367"/>
      <c r="C206" s="364"/>
      <c r="D206" s="364"/>
      <c r="E206" s="364"/>
      <c r="F206" s="364"/>
      <c r="G206" s="364"/>
      <c r="H206" s="364"/>
      <c r="I206" s="364"/>
      <c r="J206" s="364"/>
      <c r="K206" s="364"/>
      <c r="L206" s="364"/>
      <c r="M206" s="364"/>
      <c r="N206" s="364"/>
      <c r="O206" s="364"/>
      <c r="P206" s="364"/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</row>
    <row r="207">
      <c r="A207" s="367"/>
      <c r="B207" s="367"/>
      <c r="C207" s="364"/>
      <c r="D207" s="364"/>
      <c r="E207" s="364"/>
      <c r="F207" s="364"/>
      <c r="G207" s="364"/>
      <c r="H207" s="364"/>
      <c r="I207" s="364"/>
      <c r="J207" s="364"/>
      <c r="K207" s="364"/>
      <c r="L207" s="364"/>
      <c r="M207" s="364"/>
      <c r="N207" s="364"/>
      <c r="O207" s="364"/>
      <c r="P207" s="364"/>
      <c r="Q207" s="364"/>
      <c r="R207" s="364"/>
      <c r="S207" s="364"/>
      <c r="T207" s="364"/>
      <c r="U207" s="364"/>
      <c r="V207" s="364"/>
      <c r="W207" s="364"/>
      <c r="X207" s="364"/>
      <c r="Y207" s="364"/>
      <c r="Z207" s="364"/>
    </row>
    <row r="208">
      <c r="A208" s="367"/>
      <c r="B208" s="367"/>
      <c r="C208" s="364"/>
      <c r="D208" s="364"/>
      <c r="E208" s="364"/>
      <c r="F208" s="364"/>
      <c r="G208" s="364"/>
      <c r="H208" s="364"/>
      <c r="I208" s="364"/>
      <c r="J208" s="364"/>
      <c r="K208" s="364"/>
      <c r="L208" s="364"/>
      <c r="M208" s="364"/>
      <c r="N208" s="364"/>
      <c r="O208" s="364"/>
      <c r="P208" s="364"/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</row>
    <row r="209">
      <c r="A209" s="367"/>
      <c r="B209" s="367"/>
      <c r="C209" s="364"/>
      <c r="D209" s="364"/>
      <c r="E209" s="364"/>
      <c r="F209" s="364"/>
      <c r="G209" s="364"/>
      <c r="H209" s="364"/>
      <c r="I209" s="364"/>
      <c r="J209" s="364"/>
      <c r="K209" s="364"/>
      <c r="L209" s="364"/>
      <c r="M209" s="364"/>
      <c r="N209" s="364"/>
      <c r="O209" s="364"/>
      <c r="P209" s="364"/>
      <c r="Q209" s="364"/>
      <c r="R209" s="364"/>
      <c r="S209" s="364"/>
      <c r="T209" s="364"/>
      <c r="U209" s="364"/>
      <c r="V209" s="364"/>
      <c r="W209" s="364"/>
      <c r="X209" s="364"/>
      <c r="Y209" s="364"/>
      <c r="Z209" s="364"/>
    </row>
    <row r="210">
      <c r="A210" s="367"/>
      <c r="B210" s="367"/>
      <c r="C210" s="364"/>
      <c r="D210" s="364"/>
      <c r="E210" s="364"/>
      <c r="F210" s="364"/>
      <c r="G210" s="364"/>
      <c r="H210" s="364"/>
      <c r="I210" s="364"/>
      <c r="J210" s="364"/>
      <c r="K210" s="364"/>
      <c r="L210" s="364"/>
      <c r="M210" s="364"/>
      <c r="N210" s="364"/>
      <c r="O210" s="364"/>
      <c r="P210" s="364"/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</row>
    <row r="211">
      <c r="A211" s="367"/>
      <c r="B211" s="367"/>
      <c r="C211" s="364"/>
      <c r="D211" s="364"/>
      <c r="E211" s="364"/>
      <c r="F211" s="364"/>
      <c r="G211" s="364"/>
      <c r="H211" s="364"/>
      <c r="I211" s="364"/>
      <c r="J211" s="364"/>
      <c r="K211" s="364"/>
      <c r="L211" s="364"/>
      <c r="M211" s="364"/>
      <c r="N211" s="364"/>
      <c r="O211" s="364"/>
      <c r="P211" s="364"/>
      <c r="Q211" s="364"/>
      <c r="R211" s="364"/>
      <c r="S211" s="364"/>
      <c r="T211" s="364"/>
      <c r="U211" s="364"/>
      <c r="V211" s="364"/>
      <c r="W211" s="364"/>
      <c r="X211" s="364"/>
      <c r="Y211" s="364"/>
      <c r="Z211" s="364"/>
    </row>
    <row r="212">
      <c r="A212" s="367"/>
      <c r="B212" s="367"/>
      <c r="C212" s="364"/>
      <c r="D212" s="364"/>
      <c r="E212" s="364"/>
      <c r="F212" s="364"/>
      <c r="G212" s="364"/>
      <c r="H212" s="364"/>
      <c r="I212" s="364"/>
      <c r="J212" s="364"/>
      <c r="K212" s="364"/>
      <c r="L212" s="364"/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</row>
    <row r="213">
      <c r="A213" s="367"/>
      <c r="B213" s="367"/>
      <c r="C213" s="364"/>
      <c r="D213" s="364"/>
      <c r="E213" s="364"/>
      <c r="F213" s="364"/>
      <c r="G213" s="364"/>
      <c r="H213" s="364"/>
      <c r="I213" s="364"/>
      <c r="J213" s="364"/>
      <c r="K213" s="364"/>
      <c r="L213" s="364"/>
      <c r="M213" s="364"/>
      <c r="N213" s="364"/>
      <c r="O213" s="364"/>
      <c r="P213" s="364"/>
      <c r="Q213" s="364"/>
      <c r="R213" s="364"/>
      <c r="S213" s="364"/>
      <c r="T213" s="364"/>
      <c r="U213" s="364"/>
      <c r="V213" s="364"/>
      <c r="W213" s="364"/>
      <c r="X213" s="364"/>
      <c r="Y213" s="364"/>
      <c r="Z213" s="364"/>
    </row>
    <row r="214">
      <c r="A214" s="367"/>
      <c r="B214" s="367"/>
      <c r="C214" s="364"/>
      <c r="D214" s="364"/>
      <c r="E214" s="364"/>
      <c r="F214" s="364"/>
      <c r="G214" s="364"/>
      <c r="H214" s="364"/>
      <c r="I214" s="364"/>
      <c r="J214" s="364"/>
      <c r="K214" s="364"/>
      <c r="L214" s="364"/>
      <c r="M214" s="364"/>
      <c r="N214" s="364"/>
      <c r="O214" s="364"/>
      <c r="P214" s="364"/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</row>
    <row r="215">
      <c r="A215" s="367"/>
      <c r="B215" s="367"/>
      <c r="C215" s="364"/>
      <c r="D215" s="364"/>
      <c r="E215" s="364"/>
      <c r="F215" s="364"/>
      <c r="G215" s="364"/>
      <c r="H215" s="364"/>
      <c r="I215" s="364"/>
      <c r="J215" s="364"/>
      <c r="K215" s="364"/>
      <c r="L215" s="364"/>
      <c r="M215" s="364"/>
      <c r="N215" s="364"/>
      <c r="O215" s="364"/>
      <c r="P215" s="364"/>
      <c r="Q215" s="364"/>
      <c r="R215" s="364"/>
      <c r="S215" s="364"/>
      <c r="T215" s="364"/>
      <c r="U215" s="364"/>
      <c r="V215" s="364"/>
      <c r="W215" s="364"/>
      <c r="X215" s="364"/>
      <c r="Y215" s="364"/>
      <c r="Z215" s="364"/>
    </row>
    <row r="216">
      <c r="A216" s="367"/>
      <c r="B216" s="367"/>
      <c r="C216" s="364"/>
      <c r="D216" s="364"/>
      <c r="E216" s="364"/>
      <c r="F216" s="364"/>
      <c r="G216" s="364"/>
      <c r="H216" s="364"/>
      <c r="I216" s="364"/>
      <c r="J216" s="364"/>
      <c r="K216" s="364"/>
      <c r="L216" s="364"/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</row>
    <row r="217">
      <c r="A217" s="367"/>
      <c r="B217" s="367"/>
      <c r="C217" s="364"/>
      <c r="D217" s="364"/>
      <c r="E217" s="364"/>
      <c r="F217" s="364"/>
      <c r="G217" s="364"/>
      <c r="H217" s="364"/>
      <c r="I217" s="364"/>
      <c r="J217" s="364"/>
      <c r="K217" s="364"/>
      <c r="L217" s="364"/>
      <c r="M217" s="364"/>
      <c r="N217" s="364"/>
      <c r="O217" s="364"/>
      <c r="P217" s="364"/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</row>
    <row r="218">
      <c r="A218" s="367"/>
      <c r="B218" s="367"/>
      <c r="C218" s="364"/>
      <c r="D218" s="364"/>
      <c r="E218" s="364"/>
      <c r="F218" s="364"/>
      <c r="G218" s="364"/>
      <c r="H218" s="364"/>
      <c r="I218" s="364"/>
      <c r="J218" s="364"/>
      <c r="K218" s="364"/>
      <c r="L218" s="364"/>
      <c r="M218" s="364"/>
      <c r="N218" s="364"/>
      <c r="O218" s="364"/>
      <c r="P218" s="364"/>
      <c r="Q218" s="364"/>
      <c r="R218" s="364"/>
      <c r="S218" s="364"/>
      <c r="T218" s="364"/>
      <c r="U218" s="364"/>
      <c r="V218" s="364"/>
      <c r="W218" s="364"/>
      <c r="X218" s="364"/>
      <c r="Y218" s="364"/>
      <c r="Z218" s="364"/>
    </row>
    <row r="219">
      <c r="A219" s="367"/>
      <c r="B219" s="367"/>
      <c r="C219" s="364"/>
      <c r="D219" s="364"/>
      <c r="E219" s="364"/>
      <c r="F219" s="364"/>
      <c r="G219" s="364"/>
      <c r="H219" s="364"/>
      <c r="I219" s="364"/>
      <c r="J219" s="364"/>
      <c r="K219" s="364"/>
      <c r="L219" s="364"/>
      <c r="M219" s="364"/>
      <c r="N219" s="364"/>
      <c r="O219" s="364"/>
      <c r="P219" s="364"/>
      <c r="Q219" s="364"/>
      <c r="R219" s="364"/>
      <c r="S219" s="364"/>
      <c r="T219" s="364"/>
      <c r="U219" s="364"/>
      <c r="V219" s="364"/>
      <c r="W219" s="364"/>
      <c r="X219" s="364"/>
      <c r="Y219" s="364"/>
      <c r="Z219" s="364"/>
    </row>
    <row r="220">
      <c r="A220" s="367"/>
      <c r="B220" s="367"/>
      <c r="C220" s="364"/>
      <c r="D220" s="364"/>
      <c r="E220" s="364"/>
      <c r="F220" s="364"/>
      <c r="G220" s="364"/>
      <c r="H220" s="364"/>
      <c r="I220" s="364"/>
      <c r="J220" s="364"/>
      <c r="K220" s="364"/>
      <c r="L220" s="364"/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</row>
    <row r="221">
      <c r="A221" s="367"/>
      <c r="B221" s="367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  <c r="P221" s="364"/>
      <c r="Q221" s="364"/>
      <c r="R221" s="364"/>
      <c r="S221" s="364"/>
      <c r="T221" s="364"/>
      <c r="U221" s="364"/>
      <c r="V221" s="364"/>
      <c r="W221" s="364"/>
      <c r="X221" s="364"/>
      <c r="Y221" s="364"/>
      <c r="Z221" s="364"/>
    </row>
    <row r="222">
      <c r="A222" s="367"/>
      <c r="B222" s="367"/>
      <c r="C222" s="364"/>
      <c r="D222" s="364"/>
      <c r="E222" s="364"/>
      <c r="F222" s="364"/>
      <c r="G222" s="364"/>
      <c r="H222" s="364"/>
      <c r="I222" s="364"/>
      <c r="J222" s="364"/>
      <c r="K222" s="364"/>
      <c r="L222" s="364"/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</row>
    <row r="223">
      <c r="A223" s="367"/>
      <c r="B223" s="367"/>
      <c r="C223" s="364"/>
      <c r="D223" s="364"/>
      <c r="E223" s="364"/>
      <c r="F223" s="364"/>
      <c r="G223" s="364"/>
      <c r="H223" s="364"/>
      <c r="I223" s="364"/>
      <c r="J223" s="364"/>
      <c r="K223" s="364"/>
      <c r="L223" s="364"/>
      <c r="M223" s="364"/>
      <c r="N223" s="364"/>
      <c r="O223" s="364"/>
      <c r="P223" s="364"/>
      <c r="Q223" s="364"/>
      <c r="R223" s="364"/>
      <c r="S223" s="364"/>
      <c r="T223" s="364"/>
      <c r="U223" s="364"/>
      <c r="V223" s="364"/>
      <c r="W223" s="364"/>
      <c r="X223" s="364"/>
      <c r="Y223" s="364"/>
      <c r="Z223" s="364"/>
    </row>
    <row r="224">
      <c r="A224" s="367"/>
      <c r="B224" s="367"/>
      <c r="C224" s="364"/>
      <c r="D224" s="364"/>
      <c r="E224" s="364"/>
      <c r="F224" s="364"/>
      <c r="G224" s="364"/>
      <c r="H224" s="364"/>
      <c r="I224" s="364"/>
      <c r="J224" s="364"/>
      <c r="K224" s="364"/>
      <c r="L224" s="364"/>
      <c r="M224" s="364"/>
      <c r="N224" s="364"/>
      <c r="O224" s="364"/>
      <c r="P224" s="364"/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</row>
    <row r="225">
      <c r="A225" s="367"/>
      <c r="B225" s="367"/>
      <c r="C225" s="364"/>
      <c r="D225" s="364"/>
      <c r="E225" s="364"/>
      <c r="F225" s="364"/>
      <c r="G225" s="364"/>
      <c r="H225" s="364"/>
      <c r="I225" s="364"/>
      <c r="J225" s="364"/>
      <c r="K225" s="364"/>
      <c r="L225" s="364"/>
      <c r="M225" s="364"/>
      <c r="N225" s="364"/>
      <c r="O225" s="364"/>
      <c r="P225" s="364"/>
      <c r="Q225" s="364"/>
      <c r="R225" s="364"/>
      <c r="S225" s="364"/>
      <c r="T225" s="364"/>
      <c r="U225" s="364"/>
      <c r="V225" s="364"/>
      <c r="W225" s="364"/>
      <c r="X225" s="364"/>
      <c r="Y225" s="364"/>
      <c r="Z225" s="364"/>
    </row>
    <row r="226">
      <c r="A226" s="367"/>
      <c r="B226" s="367"/>
      <c r="C226" s="364"/>
      <c r="D226" s="364"/>
      <c r="E226" s="364"/>
      <c r="F226" s="364"/>
      <c r="G226" s="364"/>
      <c r="H226" s="364"/>
      <c r="I226" s="364"/>
      <c r="J226" s="364"/>
      <c r="K226" s="364"/>
      <c r="L226" s="364"/>
      <c r="M226" s="364"/>
      <c r="N226" s="364"/>
      <c r="O226" s="364"/>
      <c r="P226" s="364"/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</row>
    <row r="227">
      <c r="A227" s="367"/>
      <c r="B227" s="367"/>
      <c r="C227" s="364"/>
      <c r="D227" s="364"/>
      <c r="E227" s="364"/>
      <c r="F227" s="364"/>
      <c r="G227" s="364"/>
      <c r="H227" s="364"/>
      <c r="I227" s="364"/>
      <c r="J227" s="364"/>
      <c r="K227" s="364"/>
      <c r="L227" s="364"/>
      <c r="M227" s="364"/>
      <c r="N227" s="364"/>
      <c r="O227" s="364"/>
      <c r="P227" s="364"/>
      <c r="Q227" s="364"/>
      <c r="R227" s="364"/>
      <c r="S227" s="364"/>
      <c r="T227" s="364"/>
      <c r="U227" s="364"/>
      <c r="V227" s="364"/>
      <c r="W227" s="364"/>
      <c r="X227" s="364"/>
      <c r="Y227" s="364"/>
      <c r="Z227" s="364"/>
    </row>
    <row r="228">
      <c r="A228" s="367"/>
      <c r="B228" s="367"/>
      <c r="C228" s="364"/>
      <c r="D228" s="364"/>
      <c r="E228" s="364"/>
      <c r="F228" s="364"/>
      <c r="G228" s="364"/>
      <c r="H228" s="364"/>
      <c r="I228" s="364"/>
      <c r="J228" s="364"/>
      <c r="K228" s="364"/>
      <c r="L228" s="364"/>
      <c r="M228" s="364"/>
      <c r="N228" s="364"/>
      <c r="O228" s="364"/>
      <c r="P228" s="364"/>
      <c r="Q228" s="364"/>
      <c r="R228" s="364"/>
      <c r="S228" s="364"/>
      <c r="T228" s="364"/>
      <c r="U228" s="364"/>
      <c r="V228" s="364"/>
      <c r="W228" s="364"/>
      <c r="X228" s="364"/>
      <c r="Y228" s="364"/>
      <c r="Z228" s="364"/>
    </row>
    <row r="229">
      <c r="A229" s="367"/>
      <c r="B229" s="367"/>
      <c r="C229" s="364"/>
      <c r="D229" s="364"/>
      <c r="E229" s="364"/>
      <c r="F229" s="364"/>
      <c r="G229" s="364"/>
      <c r="H229" s="364"/>
      <c r="I229" s="364"/>
      <c r="J229" s="364"/>
      <c r="K229" s="364"/>
      <c r="L229" s="364"/>
      <c r="M229" s="364"/>
      <c r="N229" s="364"/>
      <c r="O229" s="364"/>
      <c r="P229" s="364"/>
      <c r="Q229" s="364"/>
      <c r="R229" s="364"/>
      <c r="S229" s="364"/>
      <c r="T229" s="364"/>
      <c r="U229" s="364"/>
      <c r="V229" s="364"/>
      <c r="W229" s="364"/>
      <c r="X229" s="364"/>
      <c r="Y229" s="364"/>
      <c r="Z229" s="364"/>
    </row>
    <row r="230">
      <c r="A230" s="367"/>
      <c r="B230" s="367"/>
      <c r="C230" s="364"/>
      <c r="D230" s="364"/>
      <c r="E230" s="364"/>
      <c r="F230" s="364"/>
      <c r="G230" s="364"/>
      <c r="H230" s="364"/>
      <c r="I230" s="364"/>
      <c r="J230" s="364"/>
      <c r="K230" s="364"/>
      <c r="L230" s="364"/>
      <c r="M230" s="364"/>
      <c r="N230" s="364"/>
      <c r="O230" s="364"/>
      <c r="P230" s="364"/>
      <c r="Q230" s="364"/>
      <c r="R230" s="364"/>
      <c r="S230" s="364"/>
      <c r="T230" s="364"/>
      <c r="U230" s="364"/>
      <c r="V230" s="364"/>
      <c r="W230" s="364"/>
      <c r="X230" s="364"/>
      <c r="Y230" s="364"/>
      <c r="Z230" s="364"/>
    </row>
    <row r="231">
      <c r="A231" s="367"/>
      <c r="B231" s="367"/>
      <c r="C231" s="364"/>
      <c r="D231" s="364"/>
      <c r="E231" s="364"/>
      <c r="F231" s="364"/>
      <c r="G231" s="364"/>
      <c r="H231" s="364"/>
      <c r="I231" s="364"/>
      <c r="J231" s="364"/>
      <c r="K231" s="364"/>
      <c r="L231" s="364"/>
      <c r="M231" s="364"/>
      <c r="N231" s="364"/>
      <c r="O231" s="364"/>
      <c r="P231" s="364"/>
      <c r="Q231" s="364"/>
      <c r="R231" s="364"/>
      <c r="S231" s="364"/>
      <c r="T231" s="364"/>
      <c r="U231" s="364"/>
      <c r="V231" s="364"/>
      <c r="W231" s="364"/>
      <c r="X231" s="364"/>
      <c r="Y231" s="364"/>
      <c r="Z231" s="364"/>
    </row>
    <row r="232">
      <c r="A232" s="367"/>
      <c r="B232" s="367"/>
      <c r="C232" s="364"/>
      <c r="D232" s="364"/>
      <c r="E232" s="364"/>
      <c r="F232" s="364"/>
      <c r="G232" s="364"/>
      <c r="H232" s="364"/>
      <c r="I232" s="364"/>
      <c r="J232" s="364"/>
      <c r="K232" s="364"/>
      <c r="L232" s="364"/>
      <c r="M232" s="364"/>
      <c r="N232" s="364"/>
      <c r="O232" s="364"/>
      <c r="P232" s="364"/>
      <c r="Q232" s="364"/>
      <c r="R232" s="364"/>
      <c r="S232" s="364"/>
      <c r="T232" s="364"/>
      <c r="U232" s="364"/>
      <c r="V232" s="364"/>
      <c r="W232" s="364"/>
      <c r="X232" s="364"/>
      <c r="Y232" s="364"/>
      <c r="Z232" s="364"/>
    </row>
    <row r="233">
      <c r="A233" s="367"/>
      <c r="B233" s="367"/>
      <c r="C233" s="364"/>
      <c r="D233" s="364"/>
      <c r="E233" s="364"/>
      <c r="F233" s="364"/>
      <c r="G233" s="364"/>
      <c r="H233" s="364"/>
      <c r="I233" s="364"/>
      <c r="J233" s="364"/>
      <c r="K233" s="364"/>
      <c r="L233" s="364"/>
      <c r="M233" s="364"/>
      <c r="N233" s="364"/>
      <c r="O233" s="364"/>
      <c r="P233" s="364"/>
      <c r="Q233" s="364"/>
      <c r="R233" s="364"/>
      <c r="S233" s="364"/>
      <c r="T233" s="364"/>
      <c r="U233" s="364"/>
      <c r="V233" s="364"/>
      <c r="W233" s="364"/>
      <c r="X233" s="364"/>
      <c r="Y233" s="364"/>
      <c r="Z233" s="364"/>
    </row>
    <row r="234">
      <c r="A234" s="367"/>
      <c r="B234" s="367"/>
      <c r="C234" s="364"/>
      <c r="D234" s="364"/>
      <c r="E234" s="364"/>
      <c r="F234" s="364"/>
      <c r="G234" s="364"/>
      <c r="H234" s="364"/>
      <c r="I234" s="364"/>
      <c r="J234" s="364"/>
      <c r="K234" s="364"/>
      <c r="L234" s="364"/>
      <c r="M234" s="364"/>
      <c r="N234" s="364"/>
      <c r="O234" s="364"/>
      <c r="P234" s="364"/>
      <c r="Q234" s="364"/>
      <c r="R234" s="364"/>
      <c r="S234" s="364"/>
      <c r="T234" s="364"/>
      <c r="U234" s="364"/>
      <c r="V234" s="364"/>
      <c r="W234" s="364"/>
      <c r="X234" s="364"/>
      <c r="Y234" s="364"/>
      <c r="Z234" s="364"/>
    </row>
    <row r="235">
      <c r="A235" s="367"/>
      <c r="B235" s="367"/>
      <c r="C235" s="364"/>
      <c r="D235" s="364"/>
      <c r="E235" s="364"/>
      <c r="F235" s="364"/>
      <c r="G235" s="364"/>
      <c r="H235" s="364"/>
      <c r="I235" s="364"/>
      <c r="J235" s="364"/>
      <c r="K235" s="364"/>
      <c r="L235" s="364"/>
      <c r="M235" s="364"/>
      <c r="N235" s="364"/>
      <c r="O235" s="364"/>
      <c r="P235" s="364"/>
      <c r="Q235" s="364"/>
      <c r="R235" s="364"/>
      <c r="S235" s="364"/>
      <c r="T235" s="364"/>
      <c r="U235" s="364"/>
      <c r="V235" s="364"/>
      <c r="W235" s="364"/>
      <c r="X235" s="364"/>
      <c r="Y235" s="364"/>
      <c r="Z235" s="364"/>
    </row>
    <row r="236">
      <c r="A236" s="367"/>
      <c r="B236" s="367"/>
      <c r="C236" s="364"/>
      <c r="D236" s="364"/>
      <c r="E236" s="364"/>
      <c r="F236" s="364"/>
      <c r="G236" s="364"/>
      <c r="H236" s="364"/>
      <c r="I236" s="364"/>
      <c r="J236" s="364"/>
      <c r="K236" s="364"/>
      <c r="L236" s="364"/>
      <c r="M236" s="364"/>
      <c r="N236" s="364"/>
      <c r="O236" s="364"/>
      <c r="P236" s="364"/>
      <c r="Q236" s="364"/>
      <c r="R236" s="364"/>
      <c r="S236" s="364"/>
      <c r="T236" s="364"/>
      <c r="U236" s="364"/>
      <c r="V236" s="364"/>
      <c r="W236" s="364"/>
      <c r="X236" s="364"/>
      <c r="Y236" s="364"/>
      <c r="Z236" s="364"/>
    </row>
    <row r="237">
      <c r="A237" s="367"/>
      <c r="B237" s="367"/>
      <c r="C237" s="364"/>
      <c r="D237" s="364"/>
      <c r="E237" s="364"/>
      <c r="F237" s="364"/>
      <c r="G237" s="364"/>
      <c r="H237" s="364"/>
      <c r="I237" s="364"/>
      <c r="J237" s="364"/>
      <c r="K237" s="364"/>
      <c r="L237" s="364"/>
      <c r="M237" s="364"/>
      <c r="N237" s="364"/>
      <c r="O237" s="364"/>
      <c r="P237" s="364"/>
      <c r="Q237" s="364"/>
      <c r="R237" s="364"/>
      <c r="S237" s="364"/>
      <c r="T237" s="364"/>
      <c r="U237" s="364"/>
      <c r="V237" s="364"/>
      <c r="W237" s="364"/>
      <c r="X237" s="364"/>
      <c r="Y237" s="364"/>
      <c r="Z237" s="364"/>
    </row>
    <row r="238">
      <c r="A238" s="367"/>
      <c r="B238" s="367"/>
      <c r="C238" s="364"/>
      <c r="D238" s="364"/>
      <c r="E238" s="364"/>
      <c r="F238" s="364"/>
      <c r="G238" s="364"/>
      <c r="H238" s="364"/>
      <c r="I238" s="364"/>
      <c r="J238" s="364"/>
      <c r="K238" s="364"/>
      <c r="L238" s="364"/>
      <c r="M238" s="364"/>
      <c r="N238" s="364"/>
      <c r="O238" s="364"/>
      <c r="P238" s="364"/>
      <c r="Q238" s="364"/>
      <c r="R238" s="364"/>
      <c r="S238" s="364"/>
      <c r="T238" s="364"/>
      <c r="U238" s="364"/>
      <c r="V238" s="364"/>
      <c r="W238" s="364"/>
      <c r="X238" s="364"/>
      <c r="Y238" s="364"/>
      <c r="Z238" s="364"/>
    </row>
    <row r="239">
      <c r="A239" s="367"/>
      <c r="B239" s="367"/>
      <c r="C239" s="364"/>
      <c r="D239" s="364"/>
      <c r="E239" s="364"/>
      <c r="F239" s="364"/>
      <c r="G239" s="364"/>
      <c r="H239" s="364"/>
      <c r="I239" s="364"/>
      <c r="J239" s="364"/>
      <c r="K239" s="364"/>
      <c r="L239" s="364"/>
      <c r="M239" s="364"/>
      <c r="N239" s="364"/>
      <c r="O239" s="364"/>
      <c r="P239" s="364"/>
      <c r="Q239" s="364"/>
      <c r="R239" s="364"/>
      <c r="S239" s="364"/>
      <c r="T239" s="364"/>
      <c r="U239" s="364"/>
      <c r="V239" s="364"/>
      <c r="W239" s="364"/>
      <c r="X239" s="364"/>
      <c r="Y239" s="364"/>
      <c r="Z239" s="364"/>
    </row>
    <row r="240">
      <c r="A240" s="367"/>
      <c r="B240" s="367"/>
      <c r="C240" s="364"/>
      <c r="D240" s="364"/>
      <c r="E240" s="364"/>
      <c r="F240" s="364"/>
      <c r="G240" s="364"/>
      <c r="H240" s="364"/>
      <c r="I240" s="364"/>
      <c r="J240" s="364"/>
      <c r="K240" s="364"/>
      <c r="L240" s="364"/>
      <c r="M240" s="364"/>
      <c r="N240" s="364"/>
      <c r="O240" s="364"/>
      <c r="P240" s="364"/>
      <c r="Q240" s="364"/>
      <c r="R240" s="364"/>
      <c r="S240" s="364"/>
      <c r="T240" s="364"/>
      <c r="U240" s="364"/>
      <c r="V240" s="364"/>
      <c r="W240" s="364"/>
      <c r="X240" s="364"/>
      <c r="Y240" s="364"/>
      <c r="Z240" s="364"/>
    </row>
    <row r="241">
      <c r="A241" s="367"/>
      <c r="B241" s="367"/>
      <c r="C241" s="364"/>
      <c r="D241" s="364"/>
      <c r="E241" s="364"/>
      <c r="F241" s="364"/>
      <c r="G241" s="364"/>
      <c r="H241" s="364"/>
      <c r="I241" s="364"/>
      <c r="J241" s="364"/>
      <c r="K241" s="364"/>
      <c r="L241" s="364"/>
      <c r="M241" s="364"/>
      <c r="N241" s="364"/>
      <c r="O241" s="364"/>
      <c r="P241" s="364"/>
      <c r="Q241" s="364"/>
      <c r="R241" s="364"/>
      <c r="S241" s="364"/>
      <c r="T241" s="364"/>
      <c r="U241" s="364"/>
      <c r="V241" s="364"/>
      <c r="W241" s="364"/>
      <c r="X241" s="364"/>
      <c r="Y241" s="364"/>
      <c r="Z241" s="364"/>
    </row>
    <row r="242">
      <c r="A242" s="367"/>
      <c r="B242" s="367"/>
      <c r="C242" s="364"/>
      <c r="D242" s="364"/>
      <c r="E242" s="364"/>
      <c r="F242" s="364"/>
      <c r="G242" s="364"/>
      <c r="H242" s="364"/>
      <c r="I242" s="364"/>
      <c r="J242" s="364"/>
      <c r="K242" s="364"/>
      <c r="L242" s="364"/>
      <c r="M242" s="364"/>
      <c r="N242" s="364"/>
      <c r="O242" s="364"/>
      <c r="P242" s="364"/>
      <c r="Q242" s="364"/>
      <c r="R242" s="364"/>
      <c r="S242" s="364"/>
      <c r="T242" s="364"/>
      <c r="U242" s="364"/>
      <c r="V242" s="364"/>
      <c r="W242" s="364"/>
      <c r="X242" s="364"/>
      <c r="Y242" s="364"/>
      <c r="Z242" s="364"/>
    </row>
    <row r="243">
      <c r="A243" s="367"/>
      <c r="B243" s="367"/>
      <c r="C243" s="364"/>
      <c r="D243" s="364"/>
      <c r="E243" s="364"/>
      <c r="F243" s="364"/>
      <c r="G243" s="364"/>
      <c r="H243" s="364"/>
      <c r="I243" s="364"/>
      <c r="J243" s="364"/>
      <c r="K243" s="364"/>
      <c r="L243" s="364"/>
      <c r="M243" s="364"/>
      <c r="N243" s="364"/>
      <c r="O243" s="364"/>
      <c r="P243" s="364"/>
      <c r="Q243" s="364"/>
      <c r="R243" s="364"/>
      <c r="S243" s="364"/>
      <c r="T243" s="364"/>
      <c r="U243" s="364"/>
      <c r="V243" s="364"/>
      <c r="W243" s="364"/>
      <c r="X243" s="364"/>
      <c r="Y243" s="364"/>
      <c r="Z243" s="364"/>
    </row>
    <row r="244">
      <c r="A244" s="367"/>
      <c r="B244" s="367"/>
      <c r="C244" s="364"/>
      <c r="D244" s="364"/>
      <c r="E244" s="364"/>
      <c r="F244" s="364"/>
      <c r="G244" s="364"/>
      <c r="H244" s="364"/>
      <c r="I244" s="364"/>
      <c r="J244" s="364"/>
      <c r="K244" s="364"/>
      <c r="L244" s="364"/>
      <c r="M244" s="364"/>
      <c r="N244" s="364"/>
      <c r="O244" s="364"/>
      <c r="P244" s="364"/>
      <c r="Q244" s="364"/>
      <c r="R244" s="364"/>
      <c r="S244" s="364"/>
      <c r="T244" s="364"/>
      <c r="U244" s="364"/>
      <c r="V244" s="364"/>
      <c r="W244" s="364"/>
      <c r="X244" s="364"/>
      <c r="Y244" s="364"/>
      <c r="Z244" s="364"/>
    </row>
    <row r="245">
      <c r="A245" s="367"/>
      <c r="B245" s="367"/>
      <c r="C245" s="364"/>
      <c r="D245" s="364"/>
      <c r="E245" s="364"/>
      <c r="F245" s="364"/>
      <c r="G245" s="364"/>
      <c r="H245" s="364"/>
      <c r="I245" s="364"/>
      <c r="J245" s="364"/>
      <c r="K245" s="364"/>
      <c r="L245" s="364"/>
      <c r="M245" s="364"/>
      <c r="N245" s="364"/>
      <c r="O245" s="364"/>
      <c r="P245" s="364"/>
      <c r="Q245" s="364"/>
      <c r="R245" s="364"/>
      <c r="S245" s="364"/>
      <c r="T245" s="364"/>
      <c r="U245" s="364"/>
      <c r="V245" s="364"/>
      <c r="W245" s="364"/>
      <c r="X245" s="364"/>
      <c r="Y245" s="364"/>
      <c r="Z245" s="364"/>
    </row>
    <row r="246">
      <c r="A246" s="367"/>
      <c r="B246" s="367"/>
      <c r="C246" s="364"/>
      <c r="D246" s="364"/>
      <c r="E246" s="364"/>
      <c r="F246" s="364"/>
      <c r="G246" s="364"/>
      <c r="H246" s="364"/>
      <c r="I246" s="364"/>
      <c r="J246" s="364"/>
      <c r="K246" s="364"/>
      <c r="L246" s="364"/>
      <c r="M246" s="364"/>
      <c r="N246" s="364"/>
      <c r="O246" s="364"/>
      <c r="P246" s="364"/>
      <c r="Q246" s="364"/>
      <c r="R246" s="364"/>
      <c r="S246" s="364"/>
      <c r="T246" s="364"/>
      <c r="U246" s="364"/>
      <c r="V246" s="364"/>
      <c r="W246" s="364"/>
      <c r="X246" s="364"/>
      <c r="Y246" s="364"/>
      <c r="Z246" s="364"/>
    </row>
    <row r="247">
      <c r="A247" s="367"/>
      <c r="B247" s="367"/>
      <c r="C247" s="364"/>
      <c r="D247" s="364"/>
      <c r="E247" s="364"/>
      <c r="F247" s="364"/>
      <c r="G247" s="364"/>
      <c r="H247" s="364"/>
      <c r="I247" s="364"/>
      <c r="J247" s="364"/>
      <c r="K247" s="364"/>
      <c r="L247" s="364"/>
      <c r="M247" s="364"/>
      <c r="N247" s="364"/>
      <c r="O247" s="364"/>
      <c r="P247" s="364"/>
      <c r="Q247" s="364"/>
      <c r="R247" s="364"/>
      <c r="S247" s="364"/>
      <c r="T247" s="364"/>
      <c r="U247" s="364"/>
      <c r="V247" s="364"/>
      <c r="W247" s="364"/>
      <c r="X247" s="364"/>
      <c r="Y247" s="364"/>
      <c r="Z247" s="364"/>
    </row>
    <row r="248">
      <c r="A248" s="367"/>
      <c r="B248" s="367"/>
      <c r="C248" s="364"/>
      <c r="D248" s="364"/>
      <c r="E248" s="364"/>
      <c r="F248" s="364"/>
      <c r="G248" s="364"/>
      <c r="H248" s="364"/>
      <c r="I248" s="364"/>
      <c r="J248" s="364"/>
      <c r="K248" s="364"/>
      <c r="L248" s="364"/>
      <c r="M248" s="364"/>
      <c r="N248" s="364"/>
      <c r="O248" s="364"/>
      <c r="P248" s="364"/>
      <c r="Q248" s="364"/>
      <c r="R248" s="364"/>
      <c r="S248" s="364"/>
      <c r="T248" s="364"/>
      <c r="U248" s="364"/>
      <c r="V248" s="364"/>
      <c r="W248" s="364"/>
      <c r="X248" s="364"/>
      <c r="Y248" s="364"/>
      <c r="Z248" s="364"/>
    </row>
    <row r="249">
      <c r="A249" s="367"/>
      <c r="B249" s="367"/>
      <c r="C249" s="364"/>
      <c r="D249" s="364"/>
      <c r="E249" s="364"/>
      <c r="F249" s="364"/>
      <c r="G249" s="364"/>
      <c r="H249" s="364"/>
      <c r="I249" s="364"/>
      <c r="J249" s="364"/>
      <c r="K249" s="364"/>
      <c r="L249" s="364"/>
      <c r="M249" s="364"/>
      <c r="N249" s="364"/>
      <c r="O249" s="364"/>
      <c r="P249" s="364"/>
      <c r="Q249" s="364"/>
      <c r="R249" s="364"/>
      <c r="S249" s="364"/>
      <c r="T249" s="364"/>
      <c r="U249" s="364"/>
      <c r="V249" s="364"/>
      <c r="W249" s="364"/>
      <c r="X249" s="364"/>
      <c r="Y249" s="364"/>
      <c r="Z249" s="364"/>
    </row>
    <row r="250">
      <c r="A250" s="367"/>
      <c r="B250" s="367"/>
      <c r="C250" s="364"/>
      <c r="D250" s="364"/>
      <c r="E250" s="364"/>
      <c r="F250" s="364"/>
      <c r="G250" s="364"/>
      <c r="H250" s="364"/>
      <c r="I250" s="364"/>
      <c r="J250" s="364"/>
      <c r="K250" s="364"/>
      <c r="L250" s="364"/>
      <c r="M250" s="364"/>
      <c r="N250" s="364"/>
      <c r="O250" s="364"/>
      <c r="P250" s="364"/>
      <c r="Q250" s="364"/>
      <c r="R250" s="364"/>
      <c r="S250" s="364"/>
      <c r="T250" s="364"/>
      <c r="U250" s="364"/>
      <c r="V250" s="364"/>
      <c r="W250" s="364"/>
      <c r="X250" s="364"/>
      <c r="Y250" s="364"/>
      <c r="Z250" s="364"/>
    </row>
    <row r="251">
      <c r="A251" s="367"/>
      <c r="B251" s="367"/>
      <c r="C251" s="364"/>
      <c r="D251" s="364"/>
      <c r="E251" s="364"/>
      <c r="F251" s="364"/>
      <c r="G251" s="364"/>
      <c r="H251" s="364"/>
      <c r="I251" s="364"/>
      <c r="J251" s="364"/>
      <c r="K251" s="364"/>
      <c r="L251" s="364"/>
      <c r="M251" s="364"/>
      <c r="N251" s="364"/>
      <c r="O251" s="364"/>
      <c r="P251" s="364"/>
      <c r="Q251" s="364"/>
      <c r="R251" s="364"/>
      <c r="S251" s="364"/>
      <c r="T251" s="364"/>
      <c r="U251" s="364"/>
      <c r="V251" s="364"/>
      <c r="W251" s="364"/>
      <c r="X251" s="364"/>
      <c r="Y251" s="364"/>
      <c r="Z251" s="364"/>
    </row>
    <row r="252">
      <c r="A252" s="367"/>
      <c r="B252" s="367"/>
      <c r="C252" s="364"/>
      <c r="D252" s="364"/>
      <c r="E252" s="364"/>
      <c r="F252" s="364"/>
      <c r="G252" s="364"/>
      <c r="H252" s="364"/>
      <c r="I252" s="364"/>
      <c r="J252" s="364"/>
      <c r="K252" s="364"/>
      <c r="L252" s="364"/>
      <c r="M252" s="364"/>
      <c r="N252" s="364"/>
      <c r="O252" s="364"/>
      <c r="P252" s="364"/>
      <c r="Q252" s="364"/>
      <c r="R252" s="364"/>
      <c r="S252" s="364"/>
      <c r="T252" s="364"/>
      <c r="U252" s="364"/>
      <c r="V252" s="364"/>
      <c r="W252" s="364"/>
      <c r="X252" s="364"/>
      <c r="Y252" s="364"/>
      <c r="Z252" s="364"/>
    </row>
    <row r="253">
      <c r="A253" s="367"/>
      <c r="B253" s="367"/>
      <c r="C253" s="364"/>
      <c r="D253" s="364"/>
      <c r="E253" s="364"/>
      <c r="F253" s="364"/>
      <c r="G253" s="364"/>
      <c r="H253" s="364"/>
      <c r="I253" s="364"/>
      <c r="J253" s="364"/>
      <c r="K253" s="364"/>
      <c r="L253" s="364"/>
      <c r="M253" s="364"/>
      <c r="N253" s="364"/>
      <c r="O253" s="364"/>
      <c r="P253" s="364"/>
      <c r="Q253" s="364"/>
      <c r="R253" s="364"/>
      <c r="S253" s="364"/>
      <c r="T253" s="364"/>
      <c r="U253" s="364"/>
      <c r="V253" s="364"/>
      <c r="W253" s="364"/>
      <c r="X253" s="364"/>
      <c r="Y253" s="364"/>
      <c r="Z253" s="364"/>
    </row>
    <row r="254">
      <c r="A254" s="367"/>
      <c r="B254" s="367"/>
      <c r="C254" s="364"/>
      <c r="D254" s="364"/>
      <c r="E254" s="364"/>
      <c r="F254" s="364"/>
      <c r="G254" s="364"/>
      <c r="H254" s="364"/>
      <c r="I254" s="364"/>
      <c r="J254" s="364"/>
      <c r="K254" s="364"/>
      <c r="L254" s="364"/>
      <c r="M254" s="364"/>
      <c r="N254" s="364"/>
      <c r="O254" s="364"/>
      <c r="P254" s="364"/>
      <c r="Q254" s="364"/>
      <c r="R254" s="364"/>
      <c r="S254" s="364"/>
      <c r="T254" s="364"/>
      <c r="U254" s="364"/>
      <c r="V254" s="364"/>
      <c r="W254" s="364"/>
      <c r="X254" s="364"/>
      <c r="Y254" s="364"/>
      <c r="Z254" s="364"/>
    </row>
    <row r="255">
      <c r="A255" s="367"/>
      <c r="B255" s="367"/>
      <c r="C255" s="364"/>
      <c r="D255" s="364"/>
      <c r="E255" s="364"/>
      <c r="F255" s="364"/>
      <c r="G255" s="364"/>
      <c r="H255" s="364"/>
      <c r="I255" s="364"/>
      <c r="J255" s="364"/>
      <c r="K255" s="364"/>
      <c r="L255" s="364"/>
      <c r="M255" s="364"/>
      <c r="N255" s="364"/>
      <c r="O255" s="364"/>
      <c r="P255" s="364"/>
      <c r="Q255" s="364"/>
      <c r="R255" s="364"/>
      <c r="S255" s="364"/>
      <c r="T255" s="364"/>
      <c r="U255" s="364"/>
      <c r="V255" s="364"/>
      <c r="W255" s="364"/>
      <c r="X255" s="364"/>
      <c r="Y255" s="364"/>
      <c r="Z255" s="364"/>
    </row>
    <row r="256">
      <c r="A256" s="367"/>
      <c r="B256" s="367"/>
      <c r="C256" s="364"/>
      <c r="D256" s="364"/>
      <c r="E256" s="364"/>
      <c r="F256" s="364"/>
      <c r="G256" s="364"/>
      <c r="H256" s="364"/>
      <c r="I256" s="364"/>
      <c r="J256" s="364"/>
      <c r="K256" s="364"/>
      <c r="L256" s="364"/>
      <c r="M256" s="364"/>
      <c r="N256" s="364"/>
      <c r="O256" s="364"/>
      <c r="P256" s="364"/>
      <c r="Q256" s="364"/>
      <c r="R256" s="364"/>
      <c r="S256" s="364"/>
      <c r="T256" s="364"/>
      <c r="U256" s="364"/>
      <c r="V256" s="364"/>
      <c r="W256" s="364"/>
      <c r="X256" s="364"/>
      <c r="Y256" s="364"/>
      <c r="Z256" s="364"/>
    </row>
    <row r="257">
      <c r="A257" s="367"/>
      <c r="B257" s="367"/>
      <c r="C257" s="364"/>
      <c r="D257" s="364"/>
      <c r="E257" s="364"/>
      <c r="F257" s="364"/>
      <c r="G257" s="364"/>
      <c r="H257" s="364"/>
      <c r="I257" s="364"/>
      <c r="J257" s="364"/>
      <c r="K257" s="364"/>
      <c r="L257" s="364"/>
      <c r="M257" s="364"/>
      <c r="N257" s="364"/>
      <c r="O257" s="364"/>
      <c r="P257" s="364"/>
      <c r="Q257" s="364"/>
      <c r="R257" s="364"/>
      <c r="S257" s="364"/>
      <c r="T257" s="364"/>
      <c r="U257" s="364"/>
      <c r="V257" s="364"/>
      <c r="W257" s="364"/>
      <c r="X257" s="364"/>
      <c r="Y257" s="364"/>
      <c r="Z257" s="364"/>
    </row>
    <row r="258">
      <c r="A258" s="367"/>
      <c r="B258" s="367"/>
      <c r="C258" s="364"/>
      <c r="D258" s="364"/>
      <c r="E258" s="364"/>
      <c r="F258" s="364"/>
      <c r="G258" s="364"/>
      <c r="H258" s="364"/>
      <c r="I258" s="364"/>
      <c r="J258" s="364"/>
      <c r="K258" s="364"/>
      <c r="L258" s="364"/>
      <c r="M258" s="364"/>
      <c r="N258" s="364"/>
      <c r="O258" s="364"/>
      <c r="P258" s="364"/>
      <c r="Q258" s="364"/>
      <c r="R258" s="364"/>
      <c r="S258" s="364"/>
      <c r="T258" s="364"/>
      <c r="U258" s="364"/>
      <c r="V258" s="364"/>
      <c r="W258" s="364"/>
      <c r="X258" s="364"/>
      <c r="Y258" s="364"/>
      <c r="Z258" s="364"/>
    </row>
    <row r="259">
      <c r="A259" s="367"/>
      <c r="B259" s="367"/>
      <c r="C259" s="364"/>
      <c r="D259" s="364"/>
      <c r="E259" s="364"/>
      <c r="F259" s="364"/>
      <c r="G259" s="364"/>
      <c r="H259" s="364"/>
      <c r="I259" s="364"/>
      <c r="J259" s="364"/>
      <c r="K259" s="364"/>
      <c r="L259" s="364"/>
      <c r="M259" s="364"/>
      <c r="N259" s="364"/>
      <c r="O259" s="364"/>
      <c r="P259" s="364"/>
      <c r="Q259" s="364"/>
      <c r="R259" s="364"/>
      <c r="S259" s="364"/>
      <c r="T259" s="364"/>
      <c r="U259" s="364"/>
      <c r="V259" s="364"/>
      <c r="W259" s="364"/>
      <c r="X259" s="364"/>
      <c r="Y259" s="364"/>
      <c r="Z259" s="364"/>
    </row>
    <row r="260">
      <c r="A260" s="367"/>
      <c r="B260" s="367"/>
      <c r="C260" s="364"/>
      <c r="D260" s="364"/>
      <c r="E260" s="364"/>
      <c r="F260" s="364"/>
      <c r="G260" s="364"/>
      <c r="H260" s="364"/>
      <c r="I260" s="364"/>
      <c r="J260" s="364"/>
      <c r="K260" s="364"/>
      <c r="L260" s="364"/>
      <c r="M260" s="364"/>
      <c r="N260" s="364"/>
      <c r="O260" s="364"/>
      <c r="P260" s="364"/>
      <c r="Q260" s="364"/>
      <c r="R260" s="364"/>
      <c r="S260" s="364"/>
      <c r="T260" s="364"/>
      <c r="U260" s="364"/>
      <c r="V260" s="364"/>
      <c r="W260" s="364"/>
      <c r="X260" s="364"/>
      <c r="Y260" s="364"/>
      <c r="Z260" s="364"/>
    </row>
    <row r="261">
      <c r="A261" s="367"/>
      <c r="B261" s="367"/>
      <c r="C261" s="364"/>
      <c r="D261" s="364"/>
      <c r="E261" s="364"/>
      <c r="F261" s="364"/>
      <c r="G261" s="364"/>
      <c r="H261" s="364"/>
      <c r="I261" s="364"/>
      <c r="J261" s="364"/>
      <c r="K261" s="364"/>
      <c r="L261" s="364"/>
      <c r="M261" s="364"/>
      <c r="N261" s="364"/>
      <c r="O261" s="364"/>
      <c r="P261" s="364"/>
      <c r="Q261" s="364"/>
      <c r="R261" s="364"/>
      <c r="S261" s="364"/>
      <c r="T261" s="364"/>
      <c r="U261" s="364"/>
      <c r="V261" s="364"/>
      <c r="W261" s="364"/>
      <c r="X261" s="364"/>
      <c r="Y261" s="364"/>
      <c r="Z261" s="364"/>
    </row>
    <row r="262">
      <c r="A262" s="367"/>
      <c r="B262" s="367"/>
      <c r="C262" s="364"/>
      <c r="D262" s="364"/>
      <c r="E262" s="364"/>
      <c r="F262" s="364"/>
      <c r="G262" s="364"/>
      <c r="H262" s="364"/>
      <c r="I262" s="364"/>
      <c r="J262" s="364"/>
      <c r="K262" s="364"/>
      <c r="L262" s="364"/>
      <c r="M262" s="364"/>
      <c r="N262" s="364"/>
      <c r="O262" s="364"/>
      <c r="P262" s="364"/>
      <c r="Q262" s="364"/>
      <c r="R262" s="364"/>
      <c r="S262" s="364"/>
      <c r="T262" s="364"/>
      <c r="U262" s="364"/>
      <c r="V262" s="364"/>
      <c r="W262" s="364"/>
      <c r="X262" s="364"/>
      <c r="Y262" s="364"/>
      <c r="Z262" s="364"/>
    </row>
    <row r="263">
      <c r="A263" s="367"/>
      <c r="B263" s="367"/>
      <c r="C263" s="364"/>
      <c r="D263" s="364"/>
      <c r="E263" s="364"/>
      <c r="F263" s="364"/>
      <c r="G263" s="364"/>
      <c r="H263" s="364"/>
      <c r="I263" s="364"/>
      <c r="J263" s="364"/>
      <c r="K263" s="364"/>
      <c r="L263" s="364"/>
      <c r="M263" s="364"/>
      <c r="N263" s="364"/>
      <c r="O263" s="364"/>
      <c r="P263" s="364"/>
      <c r="Q263" s="364"/>
      <c r="R263" s="364"/>
      <c r="S263" s="364"/>
      <c r="T263" s="364"/>
      <c r="U263" s="364"/>
      <c r="V263" s="364"/>
      <c r="W263" s="364"/>
      <c r="X263" s="364"/>
      <c r="Y263" s="364"/>
      <c r="Z263" s="364"/>
    </row>
    <row r="264">
      <c r="A264" s="367"/>
      <c r="B264" s="367"/>
      <c r="C264" s="364"/>
      <c r="D264" s="364"/>
      <c r="E264" s="364"/>
      <c r="F264" s="364"/>
      <c r="G264" s="364"/>
      <c r="H264" s="364"/>
      <c r="I264" s="364"/>
      <c r="J264" s="364"/>
      <c r="K264" s="364"/>
      <c r="L264" s="364"/>
      <c r="M264" s="364"/>
      <c r="N264" s="364"/>
      <c r="O264" s="364"/>
      <c r="P264" s="364"/>
      <c r="Q264" s="364"/>
      <c r="R264" s="364"/>
      <c r="S264" s="364"/>
      <c r="T264" s="364"/>
      <c r="U264" s="364"/>
      <c r="V264" s="364"/>
      <c r="W264" s="364"/>
      <c r="X264" s="364"/>
      <c r="Y264" s="364"/>
      <c r="Z264" s="364"/>
    </row>
    <row r="265">
      <c r="A265" s="367"/>
      <c r="B265" s="367"/>
      <c r="C265" s="364"/>
      <c r="D265" s="364"/>
      <c r="E265" s="364"/>
      <c r="F265" s="364"/>
      <c r="G265" s="364"/>
      <c r="H265" s="364"/>
      <c r="I265" s="364"/>
      <c r="J265" s="364"/>
      <c r="K265" s="364"/>
      <c r="L265" s="364"/>
      <c r="M265" s="364"/>
      <c r="N265" s="364"/>
      <c r="O265" s="364"/>
      <c r="P265" s="364"/>
      <c r="Q265" s="364"/>
      <c r="R265" s="364"/>
      <c r="S265" s="364"/>
      <c r="T265" s="364"/>
      <c r="U265" s="364"/>
      <c r="V265" s="364"/>
      <c r="W265" s="364"/>
      <c r="X265" s="364"/>
      <c r="Y265" s="364"/>
      <c r="Z265" s="364"/>
    </row>
    <row r="266">
      <c r="A266" s="367"/>
      <c r="B266" s="367"/>
      <c r="C266" s="364"/>
      <c r="D266" s="364"/>
      <c r="E266" s="364"/>
      <c r="F266" s="364"/>
      <c r="G266" s="364"/>
      <c r="H266" s="364"/>
      <c r="I266" s="364"/>
      <c r="J266" s="364"/>
      <c r="K266" s="364"/>
      <c r="L266" s="364"/>
      <c r="M266" s="364"/>
      <c r="N266" s="364"/>
      <c r="O266" s="364"/>
      <c r="P266" s="364"/>
      <c r="Q266" s="364"/>
      <c r="R266" s="364"/>
      <c r="S266" s="364"/>
      <c r="T266" s="364"/>
      <c r="U266" s="364"/>
      <c r="V266" s="364"/>
      <c r="W266" s="364"/>
      <c r="X266" s="364"/>
      <c r="Y266" s="364"/>
      <c r="Z266" s="364"/>
    </row>
    <row r="267">
      <c r="A267" s="367"/>
      <c r="B267" s="367"/>
      <c r="C267" s="364"/>
      <c r="D267" s="364"/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364"/>
      <c r="P267" s="364"/>
      <c r="Q267" s="364"/>
      <c r="R267" s="364"/>
      <c r="S267" s="364"/>
      <c r="T267" s="364"/>
      <c r="U267" s="364"/>
      <c r="V267" s="364"/>
      <c r="W267" s="364"/>
      <c r="X267" s="364"/>
      <c r="Y267" s="364"/>
      <c r="Z267" s="364"/>
    </row>
    <row r="268">
      <c r="A268" s="367"/>
      <c r="B268" s="367"/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</row>
    <row r="269">
      <c r="A269" s="367"/>
      <c r="B269" s="367"/>
      <c r="C269" s="364"/>
      <c r="D269" s="364"/>
      <c r="E269" s="364"/>
      <c r="F269" s="364"/>
      <c r="G269" s="364"/>
      <c r="H269" s="364"/>
      <c r="I269" s="364"/>
      <c r="J269" s="364"/>
      <c r="K269" s="364"/>
      <c r="L269" s="364"/>
      <c r="M269" s="364"/>
      <c r="N269" s="364"/>
      <c r="O269" s="364"/>
      <c r="P269" s="364"/>
      <c r="Q269" s="364"/>
      <c r="R269" s="364"/>
      <c r="S269" s="364"/>
      <c r="T269" s="364"/>
      <c r="U269" s="364"/>
      <c r="V269" s="364"/>
      <c r="W269" s="364"/>
      <c r="X269" s="364"/>
      <c r="Y269" s="364"/>
      <c r="Z269" s="364"/>
    </row>
    <row r="270">
      <c r="A270" s="367"/>
      <c r="B270" s="367"/>
      <c r="C270" s="364"/>
      <c r="D270" s="364"/>
      <c r="E270" s="364"/>
      <c r="F270" s="364"/>
      <c r="G270" s="364"/>
      <c r="H270" s="364"/>
      <c r="I270" s="364"/>
      <c r="J270" s="364"/>
      <c r="K270" s="364"/>
      <c r="L270" s="364"/>
      <c r="M270" s="364"/>
      <c r="N270" s="364"/>
      <c r="O270" s="364"/>
      <c r="P270" s="364"/>
      <c r="Q270" s="364"/>
      <c r="R270" s="364"/>
      <c r="S270" s="364"/>
      <c r="T270" s="364"/>
      <c r="U270" s="364"/>
      <c r="V270" s="364"/>
      <c r="W270" s="364"/>
      <c r="X270" s="364"/>
      <c r="Y270" s="364"/>
      <c r="Z270" s="364"/>
    </row>
    <row r="271">
      <c r="A271" s="367"/>
      <c r="B271" s="367"/>
      <c r="C271" s="364"/>
      <c r="D271" s="364"/>
      <c r="E271" s="364"/>
      <c r="F271" s="364"/>
      <c r="G271" s="364"/>
      <c r="H271" s="364"/>
      <c r="I271" s="364"/>
      <c r="J271" s="364"/>
      <c r="K271" s="364"/>
      <c r="L271" s="364"/>
      <c r="M271" s="364"/>
      <c r="N271" s="364"/>
      <c r="O271" s="364"/>
      <c r="P271" s="364"/>
      <c r="Q271" s="364"/>
      <c r="R271" s="364"/>
      <c r="S271" s="364"/>
      <c r="T271" s="364"/>
      <c r="U271" s="364"/>
      <c r="V271" s="364"/>
      <c r="W271" s="364"/>
      <c r="X271" s="364"/>
      <c r="Y271" s="364"/>
      <c r="Z271" s="364"/>
    </row>
    <row r="272">
      <c r="A272" s="367"/>
      <c r="B272" s="367"/>
      <c r="C272" s="364"/>
      <c r="D272" s="364"/>
      <c r="E272" s="364"/>
      <c r="F272" s="364"/>
      <c r="G272" s="364"/>
      <c r="H272" s="364"/>
      <c r="I272" s="364"/>
      <c r="J272" s="364"/>
      <c r="K272" s="364"/>
      <c r="L272" s="364"/>
      <c r="M272" s="364"/>
      <c r="N272" s="364"/>
      <c r="O272" s="364"/>
      <c r="P272" s="364"/>
      <c r="Q272" s="364"/>
      <c r="R272" s="364"/>
      <c r="S272" s="364"/>
      <c r="T272" s="364"/>
      <c r="U272" s="364"/>
      <c r="V272" s="364"/>
      <c r="W272" s="364"/>
      <c r="X272" s="364"/>
      <c r="Y272" s="364"/>
      <c r="Z272" s="364"/>
    </row>
    <row r="273">
      <c r="A273" s="367"/>
      <c r="B273" s="367"/>
      <c r="C273" s="364"/>
      <c r="D273" s="364"/>
      <c r="E273" s="364"/>
      <c r="F273" s="364"/>
      <c r="G273" s="364"/>
      <c r="H273" s="364"/>
      <c r="I273" s="364"/>
      <c r="J273" s="364"/>
      <c r="K273" s="364"/>
      <c r="L273" s="364"/>
      <c r="M273" s="364"/>
      <c r="N273" s="364"/>
      <c r="O273" s="364"/>
      <c r="P273" s="364"/>
      <c r="Q273" s="364"/>
      <c r="R273" s="364"/>
      <c r="S273" s="364"/>
      <c r="T273" s="364"/>
      <c r="U273" s="364"/>
      <c r="V273" s="364"/>
      <c r="W273" s="364"/>
      <c r="X273" s="364"/>
      <c r="Y273" s="364"/>
      <c r="Z273" s="364"/>
    </row>
    <row r="274">
      <c r="A274" s="367"/>
      <c r="B274" s="367"/>
      <c r="C274" s="364"/>
      <c r="D274" s="364"/>
      <c r="E274" s="364"/>
      <c r="F274" s="364"/>
      <c r="G274" s="364"/>
      <c r="H274" s="364"/>
      <c r="I274" s="364"/>
      <c r="J274" s="364"/>
      <c r="K274" s="364"/>
      <c r="L274" s="364"/>
      <c r="M274" s="364"/>
      <c r="N274" s="364"/>
      <c r="O274" s="364"/>
      <c r="P274" s="364"/>
      <c r="Q274" s="364"/>
      <c r="R274" s="364"/>
      <c r="S274" s="364"/>
      <c r="T274" s="364"/>
      <c r="U274" s="364"/>
      <c r="V274" s="364"/>
      <c r="W274" s="364"/>
      <c r="X274" s="364"/>
      <c r="Y274" s="364"/>
      <c r="Z274" s="364"/>
    </row>
    <row r="275">
      <c r="A275" s="367"/>
      <c r="B275" s="367"/>
      <c r="C275" s="364"/>
      <c r="D275" s="364"/>
      <c r="E275" s="364"/>
      <c r="F275" s="364"/>
      <c r="G275" s="364"/>
      <c r="H275" s="364"/>
      <c r="I275" s="364"/>
      <c r="J275" s="364"/>
      <c r="K275" s="364"/>
      <c r="L275" s="364"/>
      <c r="M275" s="364"/>
      <c r="N275" s="364"/>
      <c r="O275" s="364"/>
      <c r="P275" s="364"/>
      <c r="Q275" s="364"/>
      <c r="R275" s="364"/>
      <c r="S275" s="364"/>
      <c r="T275" s="364"/>
      <c r="U275" s="364"/>
      <c r="V275" s="364"/>
      <c r="W275" s="364"/>
      <c r="X275" s="364"/>
      <c r="Y275" s="364"/>
      <c r="Z275" s="364"/>
    </row>
    <row r="276">
      <c r="A276" s="367"/>
      <c r="B276" s="367"/>
      <c r="C276" s="364"/>
      <c r="D276" s="364"/>
      <c r="E276" s="364"/>
      <c r="F276" s="364"/>
      <c r="G276" s="364"/>
      <c r="H276" s="364"/>
      <c r="I276" s="364"/>
      <c r="J276" s="364"/>
      <c r="K276" s="364"/>
      <c r="L276" s="364"/>
      <c r="M276" s="364"/>
      <c r="N276" s="364"/>
      <c r="O276" s="364"/>
      <c r="P276" s="364"/>
      <c r="Q276" s="364"/>
      <c r="R276" s="364"/>
      <c r="S276" s="364"/>
      <c r="T276" s="364"/>
      <c r="U276" s="364"/>
      <c r="V276" s="364"/>
      <c r="W276" s="364"/>
      <c r="X276" s="364"/>
      <c r="Y276" s="364"/>
      <c r="Z276" s="364"/>
    </row>
    <row r="277">
      <c r="A277" s="367"/>
      <c r="B277" s="367"/>
      <c r="C277" s="364"/>
      <c r="D277" s="364"/>
      <c r="E277" s="364"/>
      <c r="F277" s="364"/>
      <c r="G277" s="364"/>
      <c r="H277" s="364"/>
      <c r="I277" s="364"/>
      <c r="J277" s="364"/>
      <c r="K277" s="364"/>
      <c r="L277" s="364"/>
      <c r="M277" s="364"/>
      <c r="N277" s="364"/>
      <c r="O277" s="364"/>
      <c r="P277" s="364"/>
      <c r="Q277" s="364"/>
      <c r="R277" s="364"/>
      <c r="S277" s="364"/>
      <c r="T277" s="364"/>
      <c r="U277" s="364"/>
      <c r="V277" s="364"/>
      <c r="W277" s="364"/>
      <c r="X277" s="364"/>
      <c r="Y277" s="364"/>
      <c r="Z277" s="364"/>
    </row>
    <row r="278">
      <c r="A278" s="367"/>
      <c r="B278" s="367"/>
      <c r="C278" s="364"/>
      <c r="D278" s="364"/>
      <c r="E278" s="364"/>
      <c r="F278" s="364"/>
      <c r="G278" s="364"/>
      <c r="H278" s="364"/>
      <c r="I278" s="364"/>
      <c r="J278" s="364"/>
      <c r="K278" s="364"/>
      <c r="L278" s="364"/>
      <c r="M278" s="364"/>
      <c r="N278" s="364"/>
      <c r="O278" s="364"/>
      <c r="P278" s="364"/>
      <c r="Q278" s="364"/>
      <c r="R278" s="364"/>
      <c r="S278" s="364"/>
      <c r="T278" s="364"/>
      <c r="U278" s="364"/>
      <c r="V278" s="364"/>
      <c r="W278" s="364"/>
      <c r="X278" s="364"/>
      <c r="Y278" s="364"/>
      <c r="Z278" s="364"/>
    </row>
    <row r="279">
      <c r="A279" s="367"/>
      <c r="B279" s="367"/>
      <c r="C279" s="364"/>
      <c r="D279" s="364"/>
      <c r="E279" s="364"/>
      <c r="F279" s="364"/>
      <c r="G279" s="364"/>
      <c r="H279" s="364"/>
      <c r="I279" s="364"/>
      <c r="J279" s="364"/>
      <c r="K279" s="364"/>
      <c r="L279" s="364"/>
      <c r="M279" s="364"/>
      <c r="N279" s="364"/>
      <c r="O279" s="364"/>
      <c r="P279" s="364"/>
      <c r="Q279" s="364"/>
      <c r="R279" s="364"/>
      <c r="S279" s="364"/>
      <c r="T279" s="364"/>
      <c r="U279" s="364"/>
      <c r="V279" s="364"/>
      <c r="W279" s="364"/>
      <c r="X279" s="364"/>
      <c r="Y279" s="364"/>
      <c r="Z279" s="364"/>
    </row>
    <row r="280">
      <c r="A280" s="367"/>
      <c r="B280" s="367"/>
      <c r="C280" s="364"/>
      <c r="D280" s="364"/>
      <c r="E280" s="364"/>
      <c r="F280" s="364"/>
      <c r="G280" s="364"/>
      <c r="H280" s="364"/>
      <c r="I280" s="364"/>
      <c r="J280" s="364"/>
      <c r="K280" s="364"/>
      <c r="L280" s="364"/>
      <c r="M280" s="364"/>
      <c r="N280" s="364"/>
      <c r="O280" s="364"/>
      <c r="P280" s="364"/>
      <c r="Q280" s="364"/>
      <c r="R280" s="364"/>
      <c r="S280" s="364"/>
      <c r="T280" s="364"/>
      <c r="U280" s="364"/>
      <c r="V280" s="364"/>
      <c r="W280" s="364"/>
      <c r="X280" s="364"/>
      <c r="Y280" s="364"/>
      <c r="Z280" s="364"/>
    </row>
    <row r="281">
      <c r="A281" s="367"/>
      <c r="B281" s="367"/>
      <c r="C281" s="364"/>
      <c r="D281" s="364"/>
      <c r="E281" s="364"/>
      <c r="F281" s="364"/>
      <c r="G281" s="364"/>
      <c r="H281" s="364"/>
      <c r="I281" s="364"/>
      <c r="J281" s="364"/>
      <c r="K281" s="364"/>
      <c r="L281" s="364"/>
      <c r="M281" s="364"/>
      <c r="N281" s="364"/>
      <c r="O281" s="364"/>
      <c r="P281" s="364"/>
      <c r="Q281" s="364"/>
      <c r="R281" s="364"/>
      <c r="S281" s="364"/>
      <c r="T281" s="364"/>
      <c r="U281" s="364"/>
      <c r="V281" s="364"/>
      <c r="W281" s="364"/>
      <c r="X281" s="364"/>
      <c r="Y281" s="364"/>
      <c r="Z281" s="364"/>
    </row>
    <row r="282">
      <c r="A282" s="367"/>
      <c r="B282" s="367"/>
      <c r="C282" s="364"/>
      <c r="D282" s="364"/>
      <c r="E282" s="364"/>
      <c r="F282" s="364"/>
      <c r="G282" s="364"/>
      <c r="H282" s="364"/>
      <c r="I282" s="364"/>
      <c r="J282" s="364"/>
      <c r="K282" s="364"/>
      <c r="L282" s="364"/>
      <c r="M282" s="364"/>
      <c r="N282" s="364"/>
      <c r="O282" s="364"/>
      <c r="P282" s="364"/>
      <c r="Q282" s="364"/>
      <c r="R282" s="364"/>
      <c r="S282" s="364"/>
      <c r="T282" s="364"/>
      <c r="U282" s="364"/>
      <c r="V282" s="364"/>
      <c r="W282" s="364"/>
      <c r="X282" s="364"/>
      <c r="Y282" s="364"/>
      <c r="Z282" s="364"/>
    </row>
    <row r="283">
      <c r="A283" s="367"/>
      <c r="B283" s="367"/>
      <c r="C283" s="364"/>
      <c r="D283" s="364"/>
      <c r="E283" s="364"/>
      <c r="F283" s="364"/>
      <c r="G283" s="364"/>
      <c r="H283" s="364"/>
      <c r="I283" s="364"/>
      <c r="J283" s="364"/>
      <c r="K283" s="364"/>
      <c r="L283" s="364"/>
      <c r="M283" s="364"/>
      <c r="N283" s="364"/>
      <c r="O283" s="364"/>
      <c r="P283" s="364"/>
      <c r="Q283" s="364"/>
      <c r="R283" s="364"/>
      <c r="S283" s="364"/>
      <c r="T283" s="364"/>
      <c r="U283" s="364"/>
      <c r="V283" s="364"/>
      <c r="W283" s="364"/>
      <c r="X283" s="364"/>
      <c r="Y283" s="364"/>
      <c r="Z283" s="364"/>
    </row>
    <row r="284">
      <c r="A284" s="367"/>
      <c r="B284" s="367"/>
      <c r="C284" s="364"/>
      <c r="D284" s="364"/>
      <c r="E284" s="364"/>
      <c r="F284" s="364"/>
      <c r="G284" s="364"/>
      <c r="H284" s="364"/>
      <c r="I284" s="364"/>
      <c r="J284" s="364"/>
      <c r="K284" s="364"/>
      <c r="L284" s="364"/>
      <c r="M284" s="364"/>
      <c r="N284" s="364"/>
      <c r="O284" s="364"/>
      <c r="P284" s="364"/>
      <c r="Q284" s="364"/>
      <c r="R284" s="364"/>
      <c r="S284" s="364"/>
      <c r="T284" s="364"/>
      <c r="U284" s="364"/>
      <c r="V284" s="364"/>
      <c r="W284" s="364"/>
      <c r="X284" s="364"/>
      <c r="Y284" s="364"/>
      <c r="Z284" s="364"/>
    </row>
    <row r="285">
      <c r="A285" s="367"/>
      <c r="B285" s="367"/>
      <c r="C285" s="364"/>
      <c r="D285" s="364"/>
      <c r="E285" s="364"/>
      <c r="F285" s="364"/>
      <c r="G285" s="364"/>
      <c r="H285" s="364"/>
      <c r="I285" s="364"/>
      <c r="J285" s="364"/>
      <c r="K285" s="364"/>
      <c r="L285" s="364"/>
      <c r="M285" s="364"/>
      <c r="N285" s="364"/>
      <c r="O285" s="364"/>
      <c r="P285" s="364"/>
      <c r="Q285" s="364"/>
      <c r="R285" s="364"/>
      <c r="S285" s="364"/>
      <c r="T285" s="364"/>
      <c r="U285" s="364"/>
      <c r="V285" s="364"/>
      <c r="W285" s="364"/>
      <c r="X285" s="364"/>
      <c r="Y285" s="364"/>
      <c r="Z285" s="364"/>
    </row>
    <row r="286">
      <c r="A286" s="367"/>
      <c r="B286" s="367"/>
      <c r="C286" s="364"/>
      <c r="D286" s="364"/>
      <c r="E286" s="364"/>
      <c r="F286" s="364"/>
      <c r="G286" s="364"/>
      <c r="H286" s="364"/>
      <c r="I286" s="364"/>
      <c r="J286" s="364"/>
      <c r="K286" s="364"/>
      <c r="L286" s="364"/>
      <c r="M286" s="364"/>
      <c r="N286" s="364"/>
      <c r="O286" s="364"/>
      <c r="P286" s="364"/>
      <c r="Q286" s="364"/>
      <c r="R286" s="364"/>
      <c r="S286" s="364"/>
      <c r="T286" s="364"/>
      <c r="U286" s="364"/>
      <c r="V286" s="364"/>
      <c r="W286" s="364"/>
      <c r="X286" s="364"/>
      <c r="Y286" s="364"/>
      <c r="Z286" s="364"/>
    </row>
    <row r="287">
      <c r="A287" s="367"/>
      <c r="B287" s="367"/>
      <c r="C287" s="364"/>
      <c r="D287" s="364"/>
      <c r="E287" s="364"/>
      <c r="F287" s="364"/>
      <c r="G287" s="364"/>
      <c r="H287" s="364"/>
      <c r="I287" s="364"/>
      <c r="J287" s="364"/>
      <c r="K287" s="364"/>
      <c r="L287" s="364"/>
      <c r="M287" s="364"/>
      <c r="N287" s="364"/>
      <c r="O287" s="364"/>
      <c r="P287" s="364"/>
      <c r="Q287" s="364"/>
      <c r="R287" s="364"/>
      <c r="S287" s="364"/>
      <c r="T287" s="364"/>
      <c r="U287" s="364"/>
      <c r="V287" s="364"/>
      <c r="W287" s="364"/>
      <c r="X287" s="364"/>
      <c r="Y287" s="364"/>
      <c r="Z287" s="364"/>
    </row>
    <row r="288">
      <c r="A288" s="367"/>
      <c r="B288" s="367"/>
      <c r="C288" s="364"/>
      <c r="D288" s="364"/>
      <c r="E288" s="364"/>
      <c r="F288" s="364"/>
      <c r="G288" s="364"/>
      <c r="H288" s="364"/>
      <c r="I288" s="364"/>
      <c r="J288" s="364"/>
      <c r="K288" s="364"/>
      <c r="L288" s="364"/>
      <c r="M288" s="364"/>
      <c r="N288" s="364"/>
      <c r="O288" s="364"/>
      <c r="P288" s="364"/>
      <c r="Q288" s="364"/>
      <c r="R288" s="364"/>
      <c r="S288" s="364"/>
      <c r="T288" s="364"/>
      <c r="U288" s="364"/>
      <c r="V288" s="364"/>
      <c r="W288" s="364"/>
      <c r="X288" s="364"/>
      <c r="Y288" s="364"/>
      <c r="Z288" s="364"/>
    </row>
    <row r="289">
      <c r="A289" s="367"/>
      <c r="B289" s="367"/>
      <c r="C289" s="364"/>
      <c r="D289" s="364"/>
      <c r="E289" s="364"/>
      <c r="F289" s="364"/>
      <c r="G289" s="364"/>
      <c r="H289" s="364"/>
      <c r="I289" s="364"/>
      <c r="J289" s="364"/>
      <c r="K289" s="364"/>
      <c r="L289" s="364"/>
      <c r="M289" s="364"/>
      <c r="N289" s="364"/>
      <c r="O289" s="364"/>
      <c r="P289" s="364"/>
      <c r="Q289" s="364"/>
      <c r="R289" s="364"/>
      <c r="S289" s="364"/>
      <c r="T289" s="364"/>
      <c r="U289" s="364"/>
      <c r="V289" s="364"/>
      <c r="W289" s="364"/>
      <c r="X289" s="364"/>
      <c r="Y289" s="364"/>
      <c r="Z289" s="364"/>
    </row>
    <row r="290">
      <c r="A290" s="367"/>
      <c r="B290" s="367"/>
      <c r="C290" s="364"/>
      <c r="D290" s="364"/>
      <c r="E290" s="364"/>
      <c r="F290" s="364"/>
      <c r="G290" s="364"/>
      <c r="H290" s="364"/>
      <c r="I290" s="364"/>
      <c r="J290" s="364"/>
      <c r="K290" s="364"/>
      <c r="L290" s="364"/>
      <c r="M290" s="364"/>
      <c r="N290" s="364"/>
      <c r="O290" s="364"/>
      <c r="P290" s="364"/>
      <c r="Q290" s="364"/>
      <c r="R290" s="364"/>
      <c r="S290" s="364"/>
      <c r="T290" s="364"/>
      <c r="U290" s="364"/>
      <c r="V290" s="364"/>
      <c r="W290" s="364"/>
      <c r="X290" s="364"/>
      <c r="Y290" s="364"/>
      <c r="Z290" s="364"/>
    </row>
    <row r="291">
      <c r="A291" s="367"/>
      <c r="B291" s="367"/>
      <c r="C291" s="364"/>
      <c r="D291" s="364"/>
      <c r="E291" s="364"/>
      <c r="F291" s="364"/>
      <c r="G291" s="364"/>
      <c r="H291" s="364"/>
      <c r="I291" s="364"/>
      <c r="J291" s="364"/>
      <c r="K291" s="364"/>
      <c r="L291" s="364"/>
      <c r="M291" s="364"/>
      <c r="N291" s="364"/>
      <c r="O291" s="364"/>
      <c r="P291" s="364"/>
      <c r="Q291" s="364"/>
      <c r="R291" s="364"/>
      <c r="S291" s="364"/>
      <c r="T291" s="364"/>
      <c r="U291" s="364"/>
      <c r="V291" s="364"/>
      <c r="W291" s="364"/>
      <c r="X291" s="364"/>
      <c r="Y291" s="364"/>
      <c r="Z291" s="364"/>
    </row>
    <row r="292">
      <c r="A292" s="367"/>
      <c r="B292" s="367"/>
      <c r="C292" s="364"/>
      <c r="D292" s="364"/>
      <c r="E292" s="364"/>
      <c r="F292" s="364"/>
      <c r="G292" s="364"/>
      <c r="H292" s="364"/>
      <c r="I292" s="364"/>
      <c r="J292" s="364"/>
      <c r="K292" s="364"/>
      <c r="L292" s="364"/>
      <c r="M292" s="364"/>
      <c r="N292" s="364"/>
      <c r="O292" s="364"/>
      <c r="P292" s="364"/>
      <c r="Q292" s="364"/>
      <c r="R292" s="364"/>
      <c r="S292" s="364"/>
      <c r="T292" s="364"/>
      <c r="U292" s="364"/>
      <c r="V292" s="364"/>
      <c r="W292" s="364"/>
      <c r="X292" s="364"/>
      <c r="Y292" s="364"/>
      <c r="Z292" s="364"/>
    </row>
    <row r="293">
      <c r="A293" s="367"/>
      <c r="B293" s="367"/>
      <c r="C293" s="364"/>
      <c r="D293" s="364"/>
      <c r="E293" s="364"/>
      <c r="F293" s="364"/>
      <c r="G293" s="364"/>
      <c r="H293" s="364"/>
      <c r="I293" s="364"/>
      <c r="J293" s="364"/>
      <c r="K293" s="364"/>
      <c r="L293" s="364"/>
      <c r="M293" s="364"/>
      <c r="N293" s="364"/>
      <c r="O293" s="364"/>
      <c r="P293" s="364"/>
      <c r="Q293" s="364"/>
      <c r="R293" s="364"/>
      <c r="S293" s="364"/>
      <c r="T293" s="364"/>
      <c r="U293" s="364"/>
      <c r="V293" s="364"/>
      <c r="W293" s="364"/>
      <c r="X293" s="364"/>
      <c r="Y293" s="364"/>
      <c r="Z293" s="364"/>
    </row>
    <row r="294">
      <c r="A294" s="367"/>
      <c r="B294" s="367"/>
      <c r="C294" s="364"/>
      <c r="D294" s="364"/>
      <c r="E294" s="364"/>
      <c r="F294" s="364"/>
      <c r="G294" s="364"/>
      <c r="H294" s="364"/>
      <c r="I294" s="364"/>
      <c r="J294" s="364"/>
      <c r="K294" s="364"/>
      <c r="L294" s="364"/>
      <c r="M294" s="364"/>
      <c r="N294" s="364"/>
      <c r="O294" s="364"/>
      <c r="P294" s="364"/>
      <c r="Q294" s="364"/>
      <c r="R294" s="364"/>
      <c r="S294" s="364"/>
      <c r="T294" s="364"/>
      <c r="U294" s="364"/>
      <c r="V294" s="364"/>
      <c r="W294" s="364"/>
      <c r="X294" s="364"/>
      <c r="Y294" s="364"/>
      <c r="Z294" s="364"/>
    </row>
    <row r="295">
      <c r="A295" s="367"/>
      <c r="B295" s="367"/>
      <c r="C295" s="364"/>
      <c r="D295" s="364"/>
      <c r="E295" s="364"/>
      <c r="F295" s="364"/>
      <c r="G295" s="364"/>
      <c r="H295" s="364"/>
      <c r="I295" s="364"/>
      <c r="J295" s="364"/>
      <c r="K295" s="364"/>
      <c r="L295" s="364"/>
      <c r="M295" s="364"/>
      <c r="N295" s="364"/>
      <c r="O295" s="364"/>
      <c r="P295" s="364"/>
      <c r="Q295" s="364"/>
      <c r="R295" s="364"/>
      <c r="S295" s="364"/>
      <c r="T295" s="364"/>
      <c r="U295" s="364"/>
      <c r="V295" s="364"/>
      <c r="W295" s="364"/>
      <c r="X295" s="364"/>
      <c r="Y295" s="364"/>
      <c r="Z295" s="364"/>
    </row>
    <row r="296">
      <c r="A296" s="367"/>
      <c r="B296" s="367"/>
      <c r="C296" s="364"/>
      <c r="D296" s="364"/>
      <c r="E296" s="364"/>
      <c r="F296" s="364"/>
      <c r="G296" s="364"/>
      <c r="H296" s="364"/>
      <c r="I296" s="364"/>
      <c r="J296" s="364"/>
      <c r="K296" s="364"/>
      <c r="L296" s="364"/>
      <c r="M296" s="364"/>
      <c r="N296" s="364"/>
      <c r="O296" s="364"/>
      <c r="P296" s="364"/>
      <c r="Q296" s="364"/>
      <c r="R296" s="364"/>
      <c r="S296" s="364"/>
      <c r="T296" s="364"/>
      <c r="U296" s="364"/>
      <c r="V296" s="364"/>
      <c r="W296" s="364"/>
      <c r="X296" s="364"/>
      <c r="Y296" s="364"/>
      <c r="Z296" s="364"/>
    </row>
    <row r="297">
      <c r="A297" s="367"/>
      <c r="B297" s="367"/>
      <c r="C297" s="364"/>
      <c r="D297" s="364"/>
      <c r="E297" s="364"/>
      <c r="F297" s="364"/>
      <c r="G297" s="364"/>
      <c r="H297" s="364"/>
      <c r="I297" s="364"/>
      <c r="J297" s="364"/>
      <c r="K297" s="364"/>
      <c r="L297" s="364"/>
      <c r="M297" s="364"/>
      <c r="N297" s="364"/>
      <c r="O297" s="364"/>
      <c r="P297" s="364"/>
      <c r="Q297" s="364"/>
      <c r="R297" s="364"/>
      <c r="S297" s="364"/>
      <c r="T297" s="364"/>
      <c r="U297" s="364"/>
      <c r="V297" s="364"/>
      <c r="W297" s="364"/>
      <c r="X297" s="364"/>
      <c r="Y297" s="364"/>
      <c r="Z297" s="364"/>
    </row>
    <row r="298">
      <c r="A298" s="367"/>
      <c r="B298" s="367"/>
      <c r="C298" s="364"/>
      <c r="D298" s="364"/>
      <c r="E298" s="364"/>
      <c r="F298" s="364"/>
      <c r="G298" s="364"/>
      <c r="H298" s="364"/>
      <c r="I298" s="364"/>
      <c r="J298" s="364"/>
      <c r="K298" s="364"/>
      <c r="L298" s="364"/>
      <c r="M298" s="364"/>
      <c r="N298" s="364"/>
      <c r="O298" s="364"/>
      <c r="P298" s="364"/>
      <c r="Q298" s="364"/>
      <c r="R298" s="364"/>
      <c r="S298" s="364"/>
      <c r="T298" s="364"/>
      <c r="U298" s="364"/>
      <c r="V298" s="364"/>
      <c r="W298" s="364"/>
      <c r="X298" s="364"/>
      <c r="Y298" s="364"/>
      <c r="Z298" s="364"/>
    </row>
    <row r="299">
      <c r="A299" s="367"/>
      <c r="B299" s="367"/>
      <c r="C299" s="364"/>
      <c r="D299" s="364"/>
      <c r="E299" s="364"/>
      <c r="F299" s="364"/>
      <c r="G299" s="364"/>
      <c r="H299" s="364"/>
      <c r="I299" s="364"/>
      <c r="J299" s="364"/>
      <c r="K299" s="364"/>
      <c r="L299" s="364"/>
      <c r="M299" s="364"/>
      <c r="N299" s="364"/>
      <c r="O299" s="364"/>
      <c r="P299" s="364"/>
      <c r="Q299" s="364"/>
      <c r="R299" s="364"/>
      <c r="S299" s="364"/>
      <c r="T299" s="364"/>
      <c r="U299" s="364"/>
      <c r="V299" s="364"/>
      <c r="W299" s="364"/>
      <c r="X299" s="364"/>
      <c r="Y299" s="364"/>
      <c r="Z299" s="364"/>
    </row>
    <row r="300">
      <c r="A300" s="367"/>
      <c r="B300" s="367"/>
      <c r="C300" s="364"/>
      <c r="D300" s="364"/>
      <c r="E300" s="364"/>
      <c r="F300" s="364"/>
      <c r="G300" s="364"/>
      <c r="H300" s="364"/>
      <c r="I300" s="364"/>
      <c r="J300" s="364"/>
      <c r="K300" s="364"/>
      <c r="L300" s="364"/>
      <c r="M300" s="364"/>
      <c r="N300" s="364"/>
      <c r="O300" s="364"/>
      <c r="P300" s="364"/>
      <c r="Q300" s="364"/>
      <c r="R300" s="364"/>
      <c r="S300" s="364"/>
      <c r="T300" s="364"/>
      <c r="U300" s="364"/>
      <c r="V300" s="364"/>
      <c r="W300" s="364"/>
      <c r="X300" s="364"/>
      <c r="Y300" s="364"/>
      <c r="Z300" s="364"/>
    </row>
    <row r="301">
      <c r="A301" s="367"/>
      <c r="B301" s="367"/>
      <c r="C301" s="364"/>
      <c r="D301" s="364"/>
      <c r="E301" s="364"/>
      <c r="F301" s="364"/>
      <c r="G301" s="364"/>
      <c r="H301" s="364"/>
      <c r="I301" s="364"/>
      <c r="J301" s="364"/>
      <c r="K301" s="364"/>
      <c r="L301" s="364"/>
      <c r="M301" s="364"/>
      <c r="N301" s="364"/>
      <c r="O301" s="364"/>
      <c r="P301" s="364"/>
      <c r="Q301" s="364"/>
      <c r="R301" s="364"/>
      <c r="S301" s="364"/>
      <c r="T301" s="364"/>
      <c r="U301" s="364"/>
      <c r="V301" s="364"/>
      <c r="W301" s="364"/>
      <c r="X301" s="364"/>
      <c r="Y301" s="364"/>
      <c r="Z301" s="364"/>
    </row>
    <row r="302">
      <c r="A302" s="367"/>
      <c r="B302" s="367"/>
      <c r="C302" s="364"/>
      <c r="D302" s="364"/>
      <c r="E302" s="364"/>
      <c r="F302" s="364"/>
      <c r="G302" s="364"/>
      <c r="H302" s="364"/>
      <c r="I302" s="364"/>
      <c r="J302" s="364"/>
      <c r="K302" s="364"/>
      <c r="L302" s="364"/>
      <c r="M302" s="364"/>
      <c r="N302" s="364"/>
      <c r="O302" s="364"/>
      <c r="P302" s="364"/>
      <c r="Q302" s="364"/>
      <c r="R302" s="364"/>
      <c r="S302" s="364"/>
      <c r="T302" s="364"/>
      <c r="U302" s="364"/>
      <c r="V302" s="364"/>
      <c r="W302" s="364"/>
      <c r="X302" s="364"/>
      <c r="Y302" s="364"/>
      <c r="Z302" s="364"/>
    </row>
    <row r="303">
      <c r="A303" s="367"/>
      <c r="B303" s="367"/>
      <c r="C303" s="364"/>
      <c r="D303" s="364"/>
      <c r="E303" s="364"/>
      <c r="F303" s="364"/>
      <c r="G303" s="364"/>
      <c r="H303" s="364"/>
      <c r="I303" s="364"/>
      <c r="J303" s="364"/>
      <c r="K303" s="364"/>
      <c r="L303" s="364"/>
      <c r="M303" s="364"/>
      <c r="N303" s="364"/>
      <c r="O303" s="364"/>
      <c r="P303" s="364"/>
      <c r="Q303" s="364"/>
      <c r="R303" s="364"/>
      <c r="S303" s="364"/>
      <c r="T303" s="364"/>
      <c r="U303" s="364"/>
      <c r="V303" s="364"/>
      <c r="W303" s="364"/>
      <c r="X303" s="364"/>
      <c r="Y303" s="364"/>
      <c r="Z303" s="364"/>
    </row>
    <row r="304">
      <c r="A304" s="367"/>
      <c r="B304" s="367"/>
      <c r="C304" s="364"/>
      <c r="D304" s="364"/>
      <c r="E304" s="364"/>
      <c r="F304" s="364"/>
      <c r="G304" s="364"/>
      <c r="H304" s="364"/>
      <c r="I304" s="364"/>
      <c r="J304" s="364"/>
      <c r="K304" s="364"/>
      <c r="L304" s="364"/>
      <c r="M304" s="364"/>
      <c r="N304" s="364"/>
      <c r="O304" s="364"/>
      <c r="P304" s="364"/>
      <c r="Q304" s="364"/>
      <c r="R304" s="364"/>
      <c r="S304" s="364"/>
      <c r="T304" s="364"/>
      <c r="U304" s="364"/>
      <c r="V304" s="364"/>
      <c r="W304" s="364"/>
      <c r="X304" s="364"/>
      <c r="Y304" s="364"/>
      <c r="Z304" s="364"/>
    </row>
    <row r="305">
      <c r="A305" s="367"/>
      <c r="B305" s="367"/>
      <c r="C305" s="364"/>
      <c r="D305" s="364"/>
      <c r="E305" s="364"/>
      <c r="F305" s="364"/>
      <c r="G305" s="364"/>
      <c r="H305" s="364"/>
      <c r="I305" s="364"/>
      <c r="J305" s="364"/>
      <c r="K305" s="364"/>
      <c r="L305" s="364"/>
      <c r="M305" s="364"/>
      <c r="N305" s="364"/>
      <c r="O305" s="364"/>
      <c r="P305" s="364"/>
      <c r="Q305" s="364"/>
      <c r="R305" s="364"/>
      <c r="S305" s="364"/>
      <c r="T305" s="364"/>
      <c r="U305" s="364"/>
      <c r="V305" s="364"/>
      <c r="W305" s="364"/>
      <c r="X305" s="364"/>
      <c r="Y305" s="364"/>
      <c r="Z305" s="364"/>
    </row>
    <row r="306">
      <c r="A306" s="367"/>
      <c r="B306" s="367"/>
      <c r="C306" s="364"/>
      <c r="D306" s="364"/>
      <c r="E306" s="364"/>
      <c r="F306" s="364"/>
      <c r="G306" s="364"/>
      <c r="H306" s="364"/>
      <c r="I306" s="364"/>
      <c r="J306" s="364"/>
      <c r="K306" s="364"/>
      <c r="L306" s="364"/>
      <c r="M306" s="364"/>
      <c r="N306" s="364"/>
      <c r="O306" s="364"/>
      <c r="P306" s="364"/>
      <c r="Q306" s="364"/>
      <c r="R306" s="364"/>
      <c r="S306" s="364"/>
      <c r="T306" s="364"/>
      <c r="U306" s="364"/>
      <c r="V306" s="364"/>
      <c r="W306" s="364"/>
      <c r="X306" s="364"/>
      <c r="Y306" s="364"/>
      <c r="Z306" s="364"/>
    </row>
    <row r="307">
      <c r="A307" s="367"/>
      <c r="B307" s="367"/>
      <c r="C307" s="364"/>
      <c r="D307" s="364"/>
      <c r="E307" s="364"/>
      <c r="F307" s="364"/>
      <c r="G307" s="364"/>
      <c r="H307" s="364"/>
      <c r="I307" s="364"/>
      <c r="J307" s="364"/>
      <c r="K307" s="364"/>
      <c r="L307" s="364"/>
      <c r="M307" s="364"/>
      <c r="N307" s="364"/>
      <c r="O307" s="364"/>
      <c r="P307" s="364"/>
      <c r="Q307" s="364"/>
      <c r="R307" s="364"/>
      <c r="S307" s="364"/>
      <c r="T307" s="364"/>
      <c r="U307" s="364"/>
      <c r="V307" s="364"/>
      <c r="W307" s="364"/>
      <c r="X307" s="364"/>
      <c r="Y307" s="364"/>
      <c r="Z307" s="364"/>
    </row>
    <row r="308">
      <c r="A308" s="367"/>
      <c r="B308" s="367"/>
      <c r="C308" s="364"/>
      <c r="D308" s="364"/>
      <c r="E308" s="364"/>
      <c r="F308" s="364"/>
      <c r="G308" s="364"/>
      <c r="H308" s="364"/>
      <c r="I308" s="364"/>
      <c r="J308" s="364"/>
      <c r="K308" s="364"/>
      <c r="L308" s="364"/>
      <c r="M308" s="364"/>
      <c r="N308" s="364"/>
      <c r="O308" s="364"/>
      <c r="P308" s="364"/>
      <c r="Q308" s="364"/>
      <c r="R308" s="364"/>
      <c r="S308" s="364"/>
      <c r="T308" s="364"/>
      <c r="U308" s="364"/>
      <c r="V308" s="364"/>
      <c r="W308" s="364"/>
      <c r="X308" s="364"/>
      <c r="Y308" s="364"/>
      <c r="Z308" s="364"/>
    </row>
    <row r="309">
      <c r="A309" s="367"/>
      <c r="B309" s="367"/>
      <c r="C309" s="364"/>
      <c r="D309" s="364"/>
      <c r="E309" s="364"/>
      <c r="F309" s="364"/>
      <c r="G309" s="364"/>
      <c r="H309" s="364"/>
      <c r="I309" s="364"/>
      <c r="J309" s="364"/>
      <c r="K309" s="364"/>
      <c r="L309" s="364"/>
      <c r="M309" s="364"/>
      <c r="N309" s="364"/>
      <c r="O309" s="364"/>
      <c r="P309" s="364"/>
      <c r="Q309" s="364"/>
      <c r="R309" s="364"/>
      <c r="S309" s="364"/>
      <c r="T309" s="364"/>
      <c r="U309" s="364"/>
      <c r="V309" s="364"/>
      <c r="W309" s="364"/>
      <c r="X309" s="364"/>
      <c r="Y309" s="364"/>
      <c r="Z309" s="364"/>
    </row>
    <row r="310">
      <c r="A310" s="367"/>
      <c r="B310" s="367"/>
      <c r="C310" s="364"/>
      <c r="D310" s="364"/>
      <c r="E310" s="364"/>
      <c r="F310" s="364"/>
      <c r="G310" s="364"/>
      <c r="H310" s="364"/>
      <c r="I310" s="364"/>
      <c r="J310" s="364"/>
      <c r="K310" s="364"/>
      <c r="L310" s="364"/>
      <c r="M310" s="364"/>
      <c r="N310" s="364"/>
      <c r="O310" s="364"/>
      <c r="P310" s="364"/>
      <c r="Q310" s="364"/>
      <c r="R310" s="364"/>
      <c r="S310" s="364"/>
      <c r="T310" s="364"/>
      <c r="U310" s="364"/>
      <c r="V310" s="364"/>
      <c r="W310" s="364"/>
      <c r="X310" s="364"/>
      <c r="Y310" s="364"/>
      <c r="Z310" s="364"/>
    </row>
    <row r="311">
      <c r="A311" s="367"/>
      <c r="B311" s="367"/>
      <c r="C311" s="364"/>
      <c r="D311" s="364"/>
      <c r="E311" s="364"/>
      <c r="F311" s="364"/>
      <c r="G311" s="364"/>
      <c r="H311" s="364"/>
      <c r="I311" s="364"/>
      <c r="J311" s="364"/>
      <c r="K311" s="364"/>
      <c r="L311" s="364"/>
      <c r="M311" s="364"/>
      <c r="N311" s="364"/>
      <c r="O311" s="364"/>
      <c r="P311" s="364"/>
      <c r="Q311" s="364"/>
      <c r="R311" s="364"/>
      <c r="S311" s="364"/>
      <c r="T311" s="364"/>
      <c r="U311" s="364"/>
      <c r="V311" s="364"/>
      <c r="W311" s="364"/>
      <c r="X311" s="364"/>
      <c r="Y311" s="364"/>
      <c r="Z311" s="364"/>
    </row>
    <row r="312">
      <c r="A312" s="367"/>
      <c r="B312" s="367"/>
      <c r="C312" s="364"/>
      <c r="D312" s="364"/>
      <c r="E312" s="364"/>
      <c r="F312" s="364"/>
      <c r="G312" s="364"/>
      <c r="H312" s="364"/>
      <c r="I312" s="364"/>
      <c r="J312" s="364"/>
      <c r="K312" s="364"/>
      <c r="L312" s="364"/>
      <c r="M312" s="364"/>
      <c r="N312" s="364"/>
      <c r="O312" s="364"/>
      <c r="P312" s="364"/>
      <c r="Q312" s="364"/>
      <c r="R312" s="364"/>
      <c r="S312" s="364"/>
      <c r="T312" s="364"/>
      <c r="U312" s="364"/>
      <c r="V312" s="364"/>
      <c r="W312" s="364"/>
      <c r="X312" s="364"/>
      <c r="Y312" s="364"/>
      <c r="Z312" s="364"/>
    </row>
    <row r="313">
      <c r="A313" s="367"/>
      <c r="B313" s="367"/>
      <c r="C313" s="364"/>
      <c r="D313" s="364"/>
      <c r="E313" s="364"/>
      <c r="F313" s="364"/>
      <c r="G313" s="364"/>
      <c r="H313" s="364"/>
      <c r="I313" s="364"/>
      <c r="J313" s="364"/>
      <c r="K313" s="364"/>
      <c r="L313" s="364"/>
      <c r="M313" s="364"/>
      <c r="N313" s="364"/>
      <c r="O313" s="364"/>
      <c r="P313" s="364"/>
      <c r="Q313" s="364"/>
      <c r="R313" s="364"/>
      <c r="S313" s="364"/>
      <c r="T313" s="364"/>
      <c r="U313" s="364"/>
      <c r="V313" s="364"/>
      <c r="W313" s="364"/>
      <c r="X313" s="364"/>
      <c r="Y313" s="364"/>
      <c r="Z313" s="364"/>
    </row>
    <row r="314">
      <c r="A314" s="367"/>
      <c r="B314" s="367"/>
      <c r="C314" s="364"/>
      <c r="D314" s="364"/>
      <c r="E314" s="364"/>
      <c r="F314" s="364"/>
      <c r="G314" s="364"/>
      <c r="H314" s="364"/>
      <c r="I314" s="364"/>
      <c r="J314" s="364"/>
      <c r="K314" s="364"/>
      <c r="L314" s="364"/>
      <c r="M314" s="364"/>
      <c r="N314" s="364"/>
      <c r="O314" s="364"/>
      <c r="P314" s="364"/>
      <c r="Q314" s="364"/>
      <c r="R314" s="364"/>
      <c r="S314" s="364"/>
      <c r="T314" s="364"/>
      <c r="U314" s="364"/>
      <c r="V314" s="364"/>
      <c r="W314" s="364"/>
      <c r="X314" s="364"/>
      <c r="Y314" s="364"/>
      <c r="Z314" s="364"/>
    </row>
    <row r="315">
      <c r="A315" s="367"/>
      <c r="B315" s="367"/>
      <c r="C315" s="364"/>
      <c r="D315" s="364"/>
      <c r="E315" s="364"/>
      <c r="F315" s="364"/>
      <c r="G315" s="364"/>
      <c r="H315" s="364"/>
      <c r="I315" s="364"/>
      <c r="J315" s="364"/>
      <c r="K315" s="364"/>
      <c r="L315" s="364"/>
      <c r="M315" s="364"/>
      <c r="N315" s="364"/>
      <c r="O315" s="364"/>
      <c r="P315" s="364"/>
      <c r="Q315" s="364"/>
      <c r="R315" s="364"/>
      <c r="S315" s="364"/>
      <c r="T315" s="364"/>
      <c r="U315" s="364"/>
      <c r="V315" s="364"/>
      <c r="W315" s="364"/>
      <c r="X315" s="364"/>
      <c r="Y315" s="364"/>
      <c r="Z315" s="364"/>
    </row>
    <row r="316">
      <c r="A316" s="367"/>
      <c r="B316" s="367"/>
      <c r="C316" s="364"/>
      <c r="D316" s="364"/>
      <c r="E316" s="364"/>
      <c r="F316" s="364"/>
      <c r="G316" s="364"/>
      <c r="H316" s="364"/>
      <c r="I316" s="364"/>
      <c r="J316" s="364"/>
      <c r="K316" s="364"/>
      <c r="L316" s="364"/>
      <c r="M316" s="364"/>
      <c r="N316" s="364"/>
      <c r="O316" s="364"/>
      <c r="P316" s="364"/>
      <c r="Q316" s="364"/>
      <c r="R316" s="364"/>
      <c r="S316" s="364"/>
      <c r="T316" s="364"/>
      <c r="U316" s="364"/>
      <c r="V316" s="364"/>
      <c r="W316" s="364"/>
      <c r="X316" s="364"/>
      <c r="Y316" s="364"/>
      <c r="Z316" s="364"/>
    </row>
    <row r="317">
      <c r="A317" s="367"/>
      <c r="B317" s="367"/>
      <c r="C317" s="364"/>
      <c r="D317" s="364"/>
      <c r="E317" s="364"/>
      <c r="F317" s="364"/>
      <c r="G317" s="364"/>
      <c r="H317" s="364"/>
      <c r="I317" s="364"/>
      <c r="J317" s="364"/>
      <c r="K317" s="364"/>
      <c r="L317" s="364"/>
      <c r="M317" s="364"/>
      <c r="N317" s="364"/>
      <c r="O317" s="364"/>
      <c r="P317" s="364"/>
      <c r="Q317" s="364"/>
      <c r="R317" s="364"/>
      <c r="S317" s="364"/>
      <c r="T317" s="364"/>
      <c r="U317" s="364"/>
      <c r="V317" s="364"/>
      <c r="W317" s="364"/>
      <c r="X317" s="364"/>
      <c r="Y317" s="364"/>
      <c r="Z317" s="364"/>
    </row>
    <row r="318">
      <c r="A318" s="367"/>
      <c r="B318" s="367"/>
      <c r="C318" s="364"/>
      <c r="D318" s="364"/>
      <c r="E318" s="364"/>
      <c r="F318" s="364"/>
      <c r="G318" s="364"/>
      <c r="H318" s="364"/>
      <c r="I318" s="364"/>
      <c r="J318" s="364"/>
      <c r="K318" s="364"/>
      <c r="L318" s="364"/>
      <c r="M318" s="364"/>
      <c r="N318" s="364"/>
      <c r="O318" s="364"/>
      <c r="P318" s="364"/>
      <c r="Q318" s="364"/>
      <c r="R318" s="364"/>
      <c r="S318" s="364"/>
      <c r="T318" s="364"/>
      <c r="U318" s="364"/>
      <c r="V318" s="364"/>
      <c r="W318" s="364"/>
      <c r="X318" s="364"/>
      <c r="Y318" s="364"/>
      <c r="Z318" s="364"/>
    </row>
    <row r="319">
      <c r="A319" s="367"/>
      <c r="B319" s="367"/>
      <c r="C319" s="364"/>
      <c r="D319" s="364"/>
      <c r="E319" s="364"/>
      <c r="F319" s="364"/>
      <c r="G319" s="364"/>
      <c r="H319" s="364"/>
      <c r="I319" s="364"/>
      <c r="J319" s="364"/>
      <c r="K319" s="364"/>
      <c r="L319" s="364"/>
      <c r="M319" s="364"/>
      <c r="N319" s="364"/>
      <c r="O319" s="364"/>
      <c r="P319" s="364"/>
      <c r="Q319" s="364"/>
      <c r="R319" s="364"/>
      <c r="S319" s="364"/>
      <c r="T319" s="364"/>
      <c r="U319" s="364"/>
      <c r="V319" s="364"/>
      <c r="W319" s="364"/>
      <c r="X319" s="364"/>
      <c r="Y319" s="364"/>
      <c r="Z319" s="364"/>
    </row>
    <row r="320">
      <c r="A320" s="367"/>
      <c r="B320" s="367"/>
      <c r="C320" s="364"/>
      <c r="D320" s="364"/>
      <c r="E320" s="364"/>
      <c r="F320" s="364"/>
      <c r="G320" s="364"/>
      <c r="H320" s="364"/>
      <c r="I320" s="364"/>
      <c r="J320" s="364"/>
      <c r="K320" s="364"/>
      <c r="L320" s="364"/>
      <c r="M320" s="364"/>
      <c r="N320" s="364"/>
      <c r="O320" s="364"/>
      <c r="P320" s="364"/>
      <c r="Q320" s="364"/>
      <c r="R320" s="364"/>
      <c r="S320" s="364"/>
      <c r="T320" s="364"/>
      <c r="U320" s="364"/>
      <c r="V320" s="364"/>
      <c r="W320" s="364"/>
      <c r="X320" s="364"/>
      <c r="Y320" s="364"/>
      <c r="Z320" s="364"/>
    </row>
    <row r="321">
      <c r="A321" s="367"/>
      <c r="B321" s="367"/>
      <c r="C321" s="364"/>
      <c r="D321" s="364"/>
      <c r="E321" s="364"/>
      <c r="F321" s="364"/>
      <c r="G321" s="364"/>
      <c r="H321" s="364"/>
      <c r="I321" s="364"/>
      <c r="J321" s="364"/>
      <c r="K321" s="364"/>
      <c r="L321" s="364"/>
      <c r="M321" s="364"/>
      <c r="N321" s="364"/>
      <c r="O321" s="364"/>
      <c r="P321" s="364"/>
      <c r="Q321" s="364"/>
      <c r="R321" s="364"/>
      <c r="S321" s="364"/>
      <c r="T321" s="364"/>
      <c r="U321" s="364"/>
      <c r="V321" s="364"/>
      <c r="W321" s="364"/>
      <c r="X321" s="364"/>
      <c r="Y321" s="364"/>
      <c r="Z321" s="364"/>
    </row>
    <row r="322">
      <c r="A322" s="367"/>
      <c r="B322" s="367"/>
      <c r="C322" s="364"/>
      <c r="D322" s="364"/>
      <c r="E322" s="364"/>
      <c r="F322" s="364"/>
      <c r="G322" s="364"/>
      <c r="H322" s="364"/>
      <c r="I322" s="364"/>
      <c r="J322" s="364"/>
      <c r="K322" s="364"/>
      <c r="L322" s="364"/>
      <c r="M322" s="364"/>
      <c r="N322" s="364"/>
      <c r="O322" s="364"/>
      <c r="P322" s="364"/>
      <c r="Q322" s="364"/>
      <c r="R322" s="364"/>
      <c r="S322" s="364"/>
      <c r="T322" s="364"/>
      <c r="U322" s="364"/>
      <c r="V322" s="364"/>
      <c r="W322" s="364"/>
      <c r="X322" s="364"/>
      <c r="Y322" s="364"/>
      <c r="Z322" s="364"/>
    </row>
    <row r="323">
      <c r="A323" s="367"/>
      <c r="B323" s="367"/>
      <c r="C323" s="364"/>
      <c r="D323" s="364"/>
      <c r="E323" s="364"/>
      <c r="F323" s="364"/>
      <c r="G323" s="364"/>
      <c r="H323" s="364"/>
      <c r="I323" s="364"/>
      <c r="J323" s="364"/>
      <c r="K323" s="364"/>
      <c r="L323" s="364"/>
      <c r="M323" s="364"/>
      <c r="N323" s="364"/>
      <c r="O323" s="364"/>
      <c r="P323" s="364"/>
      <c r="Q323" s="364"/>
      <c r="R323" s="364"/>
      <c r="S323" s="364"/>
      <c r="T323" s="364"/>
      <c r="U323" s="364"/>
      <c r="V323" s="364"/>
      <c r="W323" s="364"/>
      <c r="X323" s="364"/>
      <c r="Y323" s="364"/>
      <c r="Z323" s="364"/>
    </row>
    <row r="324">
      <c r="A324" s="367"/>
      <c r="B324" s="367"/>
      <c r="C324" s="364"/>
      <c r="D324" s="364"/>
      <c r="E324" s="364"/>
      <c r="F324" s="364"/>
      <c r="G324" s="364"/>
      <c r="H324" s="364"/>
      <c r="I324" s="364"/>
      <c r="J324" s="364"/>
      <c r="K324" s="364"/>
      <c r="L324" s="364"/>
      <c r="M324" s="364"/>
      <c r="N324" s="364"/>
      <c r="O324" s="364"/>
      <c r="P324" s="364"/>
      <c r="Q324" s="364"/>
      <c r="R324" s="364"/>
      <c r="S324" s="364"/>
      <c r="T324" s="364"/>
      <c r="U324" s="364"/>
      <c r="V324" s="364"/>
      <c r="W324" s="364"/>
      <c r="X324" s="364"/>
      <c r="Y324" s="364"/>
      <c r="Z324" s="364"/>
    </row>
    <row r="325">
      <c r="A325" s="367"/>
      <c r="B325" s="367"/>
      <c r="C325" s="364"/>
      <c r="D325" s="364"/>
      <c r="E325" s="364"/>
      <c r="F325" s="364"/>
      <c r="G325" s="364"/>
      <c r="H325" s="364"/>
      <c r="I325" s="364"/>
      <c r="J325" s="364"/>
      <c r="K325" s="364"/>
      <c r="L325" s="364"/>
      <c r="M325" s="364"/>
      <c r="N325" s="364"/>
      <c r="O325" s="364"/>
      <c r="P325" s="364"/>
      <c r="Q325" s="364"/>
      <c r="R325" s="364"/>
      <c r="S325" s="364"/>
      <c r="T325" s="364"/>
      <c r="U325" s="364"/>
      <c r="V325" s="364"/>
      <c r="W325" s="364"/>
      <c r="X325" s="364"/>
      <c r="Y325" s="364"/>
      <c r="Z325" s="364"/>
    </row>
    <row r="326">
      <c r="A326" s="367"/>
      <c r="B326" s="367"/>
      <c r="C326" s="364"/>
      <c r="D326" s="364"/>
      <c r="E326" s="364"/>
      <c r="F326" s="364"/>
      <c r="G326" s="364"/>
      <c r="H326" s="364"/>
      <c r="I326" s="364"/>
      <c r="J326" s="364"/>
      <c r="K326" s="364"/>
      <c r="L326" s="364"/>
      <c r="M326" s="364"/>
      <c r="N326" s="364"/>
      <c r="O326" s="364"/>
      <c r="P326" s="364"/>
      <c r="Q326" s="364"/>
      <c r="R326" s="364"/>
      <c r="S326" s="364"/>
      <c r="T326" s="364"/>
      <c r="U326" s="364"/>
      <c r="V326" s="364"/>
      <c r="W326" s="364"/>
      <c r="X326" s="364"/>
      <c r="Y326" s="364"/>
      <c r="Z326" s="364"/>
    </row>
    <row r="327">
      <c r="A327" s="367"/>
      <c r="B327" s="367"/>
      <c r="C327" s="364"/>
      <c r="D327" s="364"/>
      <c r="E327" s="364"/>
      <c r="F327" s="364"/>
      <c r="G327" s="364"/>
      <c r="H327" s="364"/>
      <c r="I327" s="364"/>
      <c r="J327" s="364"/>
      <c r="K327" s="364"/>
      <c r="L327" s="364"/>
      <c r="M327" s="364"/>
      <c r="N327" s="364"/>
      <c r="O327" s="364"/>
      <c r="P327" s="364"/>
      <c r="Q327" s="364"/>
      <c r="R327" s="364"/>
      <c r="S327" s="364"/>
      <c r="T327" s="364"/>
      <c r="U327" s="364"/>
      <c r="V327" s="364"/>
      <c r="W327" s="364"/>
      <c r="X327" s="364"/>
      <c r="Y327" s="364"/>
      <c r="Z327" s="364"/>
    </row>
    <row r="328">
      <c r="A328" s="367"/>
      <c r="B328" s="367"/>
      <c r="C328" s="364"/>
      <c r="D328" s="364"/>
      <c r="E328" s="364"/>
      <c r="F328" s="364"/>
      <c r="G328" s="364"/>
      <c r="H328" s="364"/>
      <c r="I328" s="364"/>
      <c r="J328" s="364"/>
      <c r="K328" s="364"/>
      <c r="L328" s="364"/>
      <c r="M328" s="364"/>
      <c r="N328" s="364"/>
      <c r="O328" s="364"/>
      <c r="P328" s="364"/>
      <c r="Q328" s="364"/>
      <c r="R328" s="364"/>
      <c r="S328" s="364"/>
      <c r="T328" s="364"/>
      <c r="U328" s="364"/>
      <c r="V328" s="364"/>
      <c r="W328" s="364"/>
      <c r="X328" s="364"/>
      <c r="Y328" s="364"/>
      <c r="Z328" s="364"/>
    </row>
    <row r="329">
      <c r="A329" s="367"/>
      <c r="B329" s="367"/>
      <c r="C329" s="364"/>
      <c r="D329" s="364"/>
      <c r="E329" s="364"/>
      <c r="F329" s="364"/>
      <c r="G329" s="364"/>
      <c r="H329" s="364"/>
      <c r="I329" s="364"/>
      <c r="J329" s="364"/>
      <c r="K329" s="364"/>
      <c r="L329" s="364"/>
      <c r="M329" s="364"/>
      <c r="N329" s="364"/>
      <c r="O329" s="364"/>
      <c r="P329" s="364"/>
      <c r="Q329" s="364"/>
      <c r="R329" s="364"/>
      <c r="S329" s="364"/>
      <c r="T329" s="364"/>
      <c r="U329" s="364"/>
      <c r="V329" s="364"/>
      <c r="W329" s="364"/>
      <c r="X329" s="364"/>
      <c r="Y329" s="364"/>
      <c r="Z329" s="364"/>
    </row>
    <row r="330">
      <c r="A330" s="367"/>
      <c r="B330" s="367"/>
      <c r="C330" s="364"/>
      <c r="D330" s="364"/>
      <c r="E330" s="364"/>
      <c r="F330" s="364"/>
      <c r="G330" s="364"/>
      <c r="H330" s="364"/>
      <c r="I330" s="364"/>
      <c r="J330" s="364"/>
      <c r="K330" s="364"/>
      <c r="L330" s="364"/>
      <c r="M330" s="364"/>
      <c r="N330" s="364"/>
      <c r="O330" s="364"/>
      <c r="P330" s="364"/>
      <c r="Q330" s="364"/>
      <c r="R330" s="364"/>
      <c r="S330" s="364"/>
      <c r="T330" s="364"/>
      <c r="U330" s="364"/>
      <c r="V330" s="364"/>
      <c r="W330" s="364"/>
      <c r="X330" s="364"/>
      <c r="Y330" s="364"/>
      <c r="Z330" s="364"/>
    </row>
    <row r="331">
      <c r="A331" s="367"/>
      <c r="B331" s="367"/>
      <c r="C331" s="364"/>
      <c r="D331" s="364"/>
      <c r="E331" s="364"/>
      <c r="F331" s="364"/>
      <c r="G331" s="364"/>
      <c r="H331" s="364"/>
      <c r="I331" s="364"/>
      <c r="J331" s="364"/>
      <c r="K331" s="364"/>
      <c r="L331" s="364"/>
      <c r="M331" s="364"/>
      <c r="N331" s="364"/>
      <c r="O331" s="364"/>
      <c r="P331" s="364"/>
      <c r="Q331" s="364"/>
      <c r="R331" s="364"/>
      <c r="S331" s="364"/>
      <c r="T331" s="364"/>
      <c r="U331" s="364"/>
      <c r="V331" s="364"/>
      <c r="W331" s="364"/>
      <c r="X331" s="364"/>
      <c r="Y331" s="364"/>
      <c r="Z331" s="364"/>
    </row>
    <row r="332">
      <c r="A332" s="367"/>
      <c r="B332" s="367"/>
      <c r="C332" s="364"/>
      <c r="D332" s="364"/>
      <c r="E332" s="364"/>
      <c r="F332" s="364"/>
      <c r="G332" s="364"/>
      <c r="H332" s="364"/>
      <c r="I332" s="364"/>
      <c r="J332" s="364"/>
      <c r="K332" s="364"/>
      <c r="L332" s="364"/>
      <c r="M332" s="364"/>
      <c r="N332" s="364"/>
      <c r="O332" s="364"/>
      <c r="P332" s="364"/>
      <c r="Q332" s="364"/>
      <c r="R332" s="364"/>
      <c r="S332" s="364"/>
      <c r="T332" s="364"/>
      <c r="U332" s="364"/>
      <c r="V332" s="364"/>
      <c r="W332" s="364"/>
      <c r="X332" s="364"/>
      <c r="Y332" s="364"/>
      <c r="Z332" s="364"/>
    </row>
    <row r="333">
      <c r="A333" s="367"/>
      <c r="B333" s="367"/>
      <c r="C333" s="364"/>
      <c r="D333" s="364"/>
      <c r="E333" s="364"/>
      <c r="F333" s="364"/>
      <c r="G333" s="364"/>
      <c r="H333" s="364"/>
      <c r="I333" s="364"/>
      <c r="J333" s="364"/>
      <c r="K333" s="364"/>
      <c r="L333" s="364"/>
      <c r="M333" s="364"/>
      <c r="N333" s="364"/>
      <c r="O333" s="364"/>
      <c r="P333" s="364"/>
      <c r="Q333" s="364"/>
      <c r="R333" s="364"/>
      <c r="S333" s="364"/>
      <c r="T333" s="364"/>
      <c r="U333" s="364"/>
      <c r="V333" s="364"/>
      <c r="W333" s="364"/>
      <c r="X333" s="364"/>
      <c r="Y333" s="364"/>
      <c r="Z333" s="364"/>
    </row>
    <row r="334">
      <c r="A334" s="367"/>
      <c r="B334" s="367"/>
      <c r="C334" s="364"/>
      <c r="D334" s="364"/>
      <c r="E334" s="364"/>
      <c r="F334" s="364"/>
      <c r="G334" s="364"/>
      <c r="H334" s="364"/>
      <c r="I334" s="364"/>
      <c r="J334" s="364"/>
      <c r="K334" s="364"/>
      <c r="L334" s="364"/>
      <c r="M334" s="364"/>
      <c r="N334" s="364"/>
      <c r="O334" s="364"/>
      <c r="P334" s="364"/>
      <c r="Q334" s="364"/>
      <c r="R334" s="364"/>
      <c r="S334" s="364"/>
      <c r="T334" s="364"/>
      <c r="U334" s="364"/>
      <c r="V334" s="364"/>
      <c r="W334" s="364"/>
      <c r="X334" s="364"/>
      <c r="Y334" s="364"/>
      <c r="Z334" s="364"/>
    </row>
    <row r="335">
      <c r="A335" s="367"/>
      <c r="B335" s="367"/>
      <c r="C335" s="364"/>
      <c r="D335" s="364"/>
      <c r="E335" s="364"/>
      <c r="F335" s="364"/>
      <c r="G335" s="364"/>
      <c r="H335" s="364"/>
      <c r="I335" s="364"/>
      <c r="J335" s="364"/>
      <c r="K335" s="364"/>
      <c r="L335" s="364"/>
      <c r="M335" s="364"/>
      <c r="N335" s="364"/>
      <c r="O335" s="364"/>
      <c r="P335" s="364"/>
      <c r="Q335" s="364"/>
      <c r="R335" s="364"/>
      <c r="S335" s="364"/>
      <c r="T335" s="364"/>
      <c r="U335" s="364"/>
      <c r="V335" s="364"/>
      <c r="W335" s="364"/>
      <c r="X335" s="364"/>
      <c r="Y335" s="364"/>
      <c r="Z335" s="364"/>
    </row>
    <row r="336">
      <c r="A336" s="367"/>
      <c r="B336" s="367"/>
      <c r="C336" s="364"/>
      <c r="D336" s="364"/>
      <c r="E336" s="364"/>
      <c r="F336" s="364"/>
      <c r="G336" s="364"/>
      <c r="H336" s="364"/>
      <c r="I336" s="364"/>
      <c r="J336" s="364"/>
      <c r="K336" s="364"/>
      <c r="L336" s="364"/>
      <c r="M336" s="364"/>
      <c r="N336" s="364"/>
      <c r="O336" s="364"/>
      <c r="P336" s="364"/>
      <c r="Q336" s="364"/>
      <c r="R336" s="364"/>
      <c r="S336" s="364"/>
      <c r="T336" s="364"/>
      <c r="U336" s="364"/>
      <c r="V336" s="364"/>
      <c r="W336" s="364"/>
      <c r="X336" s="364"/>
      <c r="Y336" s="364"/>
      <c r="Z336" s="364"/>
    </row>
    <row r="337">
      <c r="A337" s="367"/>
      <c r="B337" s="367"/>
      <c r="C337" s="364"/>
      <c r="D337" s="364"/>
      <c r="E337" s="364"/>
      <c r="F337" s="364"/>
      <c r="G337" s="364"/>
      <c r="H337" s="364"/>
      <c r="I337" s="364"/>
      <c r="J337" s="364"/>
      <c r="K337" s="364"/>
      <c r="L337" s="364"/>
      <c r="M337" s="364"/>
      <c r="N337" s="364"/>
      <c r="O337" s="364"/>
      <c r="P337" s="364"/>
      <c r="Q337" s="364"/>
      <c r="R337" s="364"/>
      <c r="S337" s="364"/>
      <c r="T337" s="364"/>
      <c r="U337" s="364"/>
      <c r="V337" s="364"/>
      <c r="W337" s="364"/>
      <c r="X337" s="364"/>
      <c r="Y337" s="364"/>
      <c r="Z337" s="364"/>
    </row>
    <row r="338">
      <c r="A338" s="367"/>
      <c r="B338" s="367"/>
      <c r="C338" s="364"/>
      <c r="D338" s="364"/>
      <c r="E338" s="364"/>
      <c r="F338" s="364"/>
      <c r="G338" s="364"/>
      <c r="H338" s="364"/>
      <c r="I338" s="364"/>
      <c r="J338" s="364"/>
      <c r="K338" s="364"/>
      <c r="L338" s="364"/>
      <c r="M338" s="364"/>
      <c r="N338" s="364"/>
      <c r="O338" s="364"/>
      <c r="P338" s="364"/>
      <c r="Q338" s="364"/>
      <c r="R338" s="364"/>
      <c r="S338" s="364"/>
      <c r="T338" s="364"/>
      <c r="U338" s="364"/>
      <c r="V338" s="364"/>
      <c r="W338" s="364"/>
      <c r="X338" s="364"/>
      <c r="Y338" s="364"/>
      <c r="Z338" s="364"/>
    </row>
    <row r="339">
      <c r="A339" s="367"/>
      <c r="B339" s="367"/>
      <c r="C339" s="364"/>
      <c r="D339" s="364"/>
      <c r="E339" s="364"/>
      <c r="F339" s="364"/>
      <c r="G339" s="364"/>
      <c r="H339" s="364"/>
      <c r="I339" s="364"/>
      <c r="J339" s="364"/>
      <c r="K339" s="364"/>
      <c r="L339" s="364"/>
      <c r="M339" s="364"/>
      <c r="N339" s="364"/>
      <c r="O339" s="364"/>
      <c r="P339" s="364"/>
      <c r="Q339" s="364"/>
      <c r="R339" s="364"/>
      <c r="S339" s="364"/>
      <c r="T339" s="364"/>
      <c r="U339" s="364"/>
      <c r="V339" s="364"/>
      <c r="W339" s="364"/>
      <c r="X339" s="364"/>
      <c r="Y339" s="364"/>
      <c r="Z339" s="364"/>
    </row>
    <row r="340">
      <c r="A340" s="367"/>
      <c r="B340" s="367"/>
      <c r="C340" s="364"/>
      <c r="D340" s="364"/>
      <c r="E340" s="364"/>
      <c r="F340" s="364"/>
      <c r="G340" s="364"/>
      <c r="H340" s="364"/>
      <c r="I340" s="364"/>
      <c r="J340" s="364"/>
      <c r="K340" s="364"/>
      <c r="L340" s="364"/>
      <c r="M340" s="364"/>
      <c r="N340" s="364"/>
      <c r="O340" s="364"/>
      <c r="P340" s="364"/>
      <c r="Q340" s="364"/>
      <c r="R340" s="364"/>
      <c r="S340" s="364"/>
      <c r="T340" s="364"/>
      <c r="U340" s="364"/>
      <c r="V340" s="364"/>
      <c r="W340" s="364"/>
      <c r="X340" s="364"/>
      <c r="Y340" s="364"/>
      <c r="Z340" s="364"/>
    </row>
    <row r="341">
      <c r="A341" s="367"/>
      <c r="B341" s="367"/>
      <c r="C341" s="364"/>
      <c r="D341" s="364"/>
      <c r="E341" s="364"/>
      <c r="F341" s="364"/>
      <c r="G341" s="364"/>
      <c r="H341" s="364"/>
      <c r="I341" s="364"/>
      <c r="J341" s="364"/>
      <c r="K341" s="364"/>
      <c r="L341" s="364"/>
      <c r="M341" s="364"/>
      <c r="N341" s="364"/>
      <c r="O341" s="364"/>
      <c r="P341" s="364"/>
      <c r="Q341" s="364"/>
      <c r="R341" s="364"/>
      <c r="S341" s="364"/>
      <c r="T341" s="364"/>
      <c r="U341" s="364"/>
      <c r="V341" s="364"/>
      <c r="W341" s="364"/>
      <c r="X341" s="364"/>
      <c r="Y341" s="364"/>
      <c r="Z341" s="364"/>
    </row>
    <row r="342">
      <c r="A342" s="367"/>
      <c r="B342" s="367"/>
      <c r="C342" s="364"/>
      <c r="D342" s="364"/>
      <c r="E342" s="364"/>
      <c r="F342" s="364"/>
      <c r="G342" s="364"/>
      <c r="H342" s="364"/>
      <c r="I342" s="364"/>
      <c r="J342" s="364"/>
      <c r="K342" s="364"/>
      <c r="L342" s="364"/>
      <c r="M342" s="364"/>
      <c r="N342" s="364"/>
      <c r="O342" s="364"/>
      <c r="P342" s="364"/>
      <c r="Q342" s="364"/>
      <c r="R342" s="364"/>
      <c r="S342" s="364"/>
      <c r="T342" s="364"/>
      <c r="U342" s="364"/>
      <c r="V342" s="364"/>
      <c r="W342" s="364"/>
      <c r="X342" s="364"/>
      <c r="Y342" s="364"/>
      <c r="Z342" s="364"/>
    </row>
    <row r="343">
      <c r="A343" s="367"/>
      <c r="B343" s="367"/>
      <c r="C343" s="364"/>
      <c r="D343" s="364"/>
      <c r="E343" s="364"/>
      <c r="F343" s="364"/>
      <c r="G343" s="364"/>
      <c r="H343" s="364"/>
      <c r="I343" s="364"/>
      <c r="J343" s="364"/>
      <c r="K343" s="364"/>
      <c r="L343" s="364"/>
      <c r="M343" s="364"/>
      <c r="N343" s="364"/>
      <c r="O343" s="364"/>
      <c r="P343" s="364"/>
      <c r="Q343" s="364"/>
      <c r="R343" s="364"/>
      <c r="S343" s="364"/>
      <c r="T343" s="364"/>
      <c r="U343" s="364"/>
      <c r="V343" s="364"/>
      <c r="W343" s="364"/>
      <c r="X343" s="364"/>
      <c r="Y343" s="364"/>
      <c r="Z343" s="364"/>
    </row>
    <row r="344">
      <c r="A344" s="367"/>
      <c r="B344" s="367"/>
      <c r="C344" s="364"/>
      <c r="D344" s="364"/>
      <c r="E344" s="364"/>
      <c r="F344" s="364"/>
      <c r="G344" s="364"/>
      <c r="H344" s="364"/>
      <c r="I344" s="364"/>
      <c r="J344" s="364"/>
      <c r="K344" s="364"/>
      <c r="L344" s="364"/>
      <c r="M344" s="364"/>
      <c r="N344" s="364"/>
      <c r="O344" s="364"/>
      <c r="P344" s="364"/>
      <c r="Q344" s="364"/>
      <c r="R344" s="364"/>
      <c r="S344" s="364"/>
      <c r="T344" s="364"/>
      <c r="U344" s="364"/>
      <c r="V344" s="364"/>
      <c r="W344" s="364"/>
      <c r="X344" s="364"/>
      <c r="Y344" s="364"/>
      <c r="Z344" s="364"/>
    </row>
    <row r="345">
      <c r="A345" s="367"/>
      <c r="B345" s="367"/>
      <c r="C345" s="364"/>
      <c r="D345" s="364"/>
      <c r="E345" s="364"/>
      <c r="F345" s="364"/>
      <c r="G345" s="364"/>
      <c r="H345" s="364"/>
      <c r="I345" s="364"/>
      <c r="J345" s="364"/>
      <c r="K345" s="364"/>
      <c r="L345" s="364"/>
      <c r="M345" s="364"/>
      <c r="N345" s="364"/>
      <c r="O345" s="364"/>
      <c r="P345" s="364"/>
      <c r="Q345" s="364"/>
      <c r="R345" s="364"/>
      <c r="S345" s="364"/>
      <c r="T345" s="364"/>
      <c r="U345" s="364"/>
      <c r="V345" s="364"/>
      <c r="W345" s="364"/>
      <c r="X345" s="364"/>
      <c r="Y345" s="364"/>
      <c r="Z345" s="364"/>
    </row>
    <row r="346">
      <c r="A346" s="367"/>
      <c r="B346" s="367"/>
      <c r="C346" s="364"/>
      <c r="D346" s="364"/>
      <c r="E346" s="364"/>
      <c r="F346" s="364"/>
      <c r="G346" s="364"/>
      <c r="H346" s="364"/>
      <c r="I346" s="364"/>
      <c r="J346" s="364"/>
      <c r="K346" s="364"/>
      <c r="L346" s="364"/>
      <c r="M346" s="364"/>
      <c r="N346" s="364"/>
      <c r="O346" s="364"/>
      <c r="P346" s="364"/>
      <c r="Q346" s="364"/>
      <c r="R346" s="364"/>
      <c r="S346" s="364"/>
      <c r="T346" s="364"/>
      <c r="U346" s="364"/>
      <c r="V346" s="364"/>
      <c r="W346" s="364"/>
      <c r="X346" s="364"/>
      <c r="Y346" s="364"/>
      <c r="Z346" s="364"/>
    </row>
    <row r="347">
      <c r="A347" s="367"/>
      <c r="B347" s="367"/>
      <c r="C347" s="364"/>
      <c r="D347" s="364"/>
      <c r="E347" s="364"/>
      <c r="F347" s="364"/>
      <c r="G347" s="364"/>
      <c r="H347" s="364"/>
      <c r="I347" s="364"/>
      <c r="J347" s="364"/>
      <c r="K347" s="364"/>
      <c r="L347" s="364"/>
      <c r="M347" s="364"/>
      <c r="N347" s="364"/>
      <c r="O347" s="364"/>
      <c r="P347" s="364"/>
      <c r="Q347" s="364"/>
      <c r="R347" s="364"/>
      <c r="S347" s="364"/>
      <c r="T347" s="364"/>
      <c r="U347" s="364"/>
      <c r="V347" s="364"/>
      <c r="W347" s="364"/>
      <c r="X347" s="364"/>
      <c r="Y347" s="364"/>
      <c r="Z347" s="364"/>
    </row>
    <row r="348">
      <c r="A348" s="367"/>
      <c r="B348" s="367"/>
      <c r="C348" s="364"/>
      <c r="D348" s="364"/>
      <c r="E348" s="364"/>
      <c r="F348" s="364"/>
      <c r="G348" s="364"/>
      <c r="H348" s="364"/>
      <c r="I348" s="364"/>
      <c r="J348" s="364"/>
      <c r="K348" s="364"/>
      <c r="L348" s="364"/>
      <c r="M348" s="364"/>
      <c r="N348" s="364"/>
      <c r="O348" s="364"/>
      <c r="P348" s="364"/>
      <c r="Q348" s="364"/>
      <c r="R348" s="364"/>
      <c r="S348" s="364"/>
      <c r="T348" s="364"/>
      <c r="U348" s="364"/>
      <c r="V348" s="364"/>
      <c r="W348" s="364"/>
      <c r="X348" s="364"/>
      <c r="Y348" s="364"/>
      <c r="Z348" s="364"/>
    </row>
    <row r="349">
      <c r="A349" s="367"/>
      <c r="B349" s="367"/>
      <c r="C349" s="364"/>
      <c r="D349" s="364"/>
      <c r="E349" s="364"/>
      <c r="F349" s="364"/>
      <c r="G349" s="364"/>
      <c r="H349" s="364"/>
      <c r="I349" s="364"/>
      <c r="J349" s="364"/>
      <c r="K349" s="364"/>
      <c r="L349" s="364"/>
      <c r="M349" s="364"/>
      <c r="N349" s="364"/>
      <c r="O349" s="364"/>
      <c r="P349" s="364"/>
      <c r="Q349" s="364"/>
      <c r="R349" s="364"/>
      <c r="S349" s="364"/>
      <c r="T349" s="364"/>
      <c r="U349" s="364"/>
      <c r="V349" s="364"/>
      <c r="W349" s="364"/>
      <c r="X349" s="364"/>
      <c r="Y349" s="364"/>
      <c r="Z349" s="364"/>
    </row>
    <row r="350">
      <c r="A350" s="367"/>
      <c r="B350" s="367"/>
      <c r="C350" s="364"/>
      <c r="D350" s="364"/>
      <c r="E350" s="364"/>
      <c r="F350" s="364"/>
      <c r="G350" s="364"/>
      <c r="H350" s="364"/>
      <c r="I350" s="364"/>
      <c r="J350" s="364"/>
      <c r="K350" s="364"/>
      <c r="L350" s="364"/>
      <c r="M350" s="364"/>
      <c r="N350" s="364"/>
      <c r="O350" s="364"/>
      <c r="P350" s="364"/>
      <c r="Q350" s="364"/>
      <c r="R350" s="364"/>
      <c r="S350" s="364"/>
      <c r="T350" s="364"/>
      <c r="U350" s="364"/>
      <c r="V350" s="364"/>
      <c r="W350" s="364"/>
      <c r="X350" s="364"/>
      <c r="Y350" s="364"/>
      <c r="Z350" s="364"/>
    </row>
    <row r="351">
      <c r="A351" s="367"/>
      <c r="B351" s="367"/>
      <c r="C351" s="364"/>
      <c r="D351" s="364"/>
      <c r="E351" s="364"/>
      <c r="F351" s="364"/>
      <c r="G351" s="364"/>
      <c r="H351" s="364"/>
      <c r="I351" s="364"/>
      <c r="J351" s="364"/>
      <c r="K351" s="364"/>
      <c r="L351" s="364"/>
      <c r="M351" s="364"/>
      <c r="N351" s="364"/>
      <c r="O351" s="364"/>
      <c r="P351" s="364"/>
      <c r="Q351" s="364"/>
      <c r="R351" s="364"/>
      <c r="S351" s="364"/>
      <c r="T351" s="364"/>
      <c r="U351" s="364"/>
      <c r="V351" s="364"/>
      <c r="W351" s="364"/>
      <c r="X351" s="364"/>
      <c r="Y351" s="364"/>
      <c r="Z351" s="364"/>
    </row>
    <row r="352">
      <c r="A352" s="367"/>
      <c r="B352" s="367"/>
      <c r="C352" s="364"/>
      <c r="D352" s="364"/>
      <c r="E352" s="364"/>
      <c r="F352" s="364"/>
      <c r="G352" s="364"/>
      <c r="H352" s="364"/>
      <c r="I352" s="364"/>
      <c r="J352" s="364"/>
      <c r="K352" s="364"/>
      <c r="L352" s="364"/>
      <c r="M352" s="364"/>
      <c r="N352" s="364"/>
      <c r="O352" s="364"/>
      <c r="P352" s="364"/>
      <c r="Q352" s="364"/>
      <c r="R352" s="364"/>
      <c r="S352" s="364"/>
      <c r="T352" s="364"/>
      <c r="U352" s="364"/>
      <c r="V352" s="364"/>
      <c r="W352" s="364"/>
      <c r="X352" s="364"/>
      <c r="Y352" s="364"/>
      <c r="Z352" s="364"/>
    </row>
    <row r="353">
      <c r="A353" s="367"/>
      <c r="B353" s="367"/>
      <c r="C353" s="364"/>
      <c r="D353" s="364"/>
      <c r="E353" s="364"/>
      <c r="F353" s="364"/>
      <c r="G353" s="364"/>
      <c r="H353" s="364"/>
      <c r="I353" s="364"/>
      <c r="J353" s="364"/>
      <c r="K353" s="364"/>
      <c r="L353" s="364"/>
      <c r="M353" s="364"/>
      <c r="N353" s="364"/>
      <c r="O353" s="364"/>
      <c r="P353" s="364"/>
      <c r="Q353" s="364"/>
      <c r="R353" s="364"/>
      <c r="S353" s="364"/>
      <c r="T353" s="364"/>
      <c r="U353" s="364"/>
      <c r="V353" s="364"/>
      <c r="W353" s="364"/>
      <c r="X353" s="364"/>
      <c r="Y353" s="364"/>
      <c r="Z353" s="364"/>
    </row>
    <row r="354">
      <c r="A354" s="367"/>
      <c r="B354" s="367"/>
      <c r="C354" s="364"/>
      <c r="D354" s="364"/>
      <c r="E354" s="364"/>
      <c r="F354" s="364"/>
      <c r="G354" s="364"/>
      <c r="H354" s="364"/>
      <c r="I354" s="364"/>
      <c r="J354" s="364"/>
      <c r="K354" s="364"/>
      <c r="L354" s="364"/>
      <c r="M354" s="364"/>
      <c r="N354" s="364"/>
      <c r="O354" s="364"/>
      <c r="P354" s="364"/>
      <c r="Q354" s="364"/>
      <c r="R354" s="364"/>
      <c r="S354" s="364"/>
      <c r="T354" s="364"/>
      <c r="U354" s="364"/>
      <c r="V354" s="364"/>
      <c r="W354" s="364"/>
      <c r="X354" s="364"/>
      <c r="Y354" s="364"/>
      <c r="Z354" s="364"/>
    </row>
    <row r="355">
      <c r="A355" s="367"/>
      <c r="B355" s="367"/>
      <c r="C355" s="364"/>
      <c r="D355" s="364"/>
      <c r="E355" s="364"/>
      <c r="F355" s="364"/>
      <c r="G355" s="364"/>
      <c r="H355" s="364"/>
      <c r="I355" s="364"/>
      <c r="J355" s="364"/>
      <c r="K355" s="364"/>
      <c r="L355" s="364"/>
      <c r="M355" s="364"/>
      <c r="N355" s="364"/>
      <c r="O355" s="364"/>
      <c r="P355" s="364"/>
      <c r="Q355" s="364"/>
      <c r="R355" s="364"/>
      <c r="S355" s="364"/>
      <c r="T355" s="364"/>
      <c r="U355" s="364"/>
      <c r="V355" s="364"/>
      <c r="W355" s="364"/>
      <c r="X355" s="364"/>
      <c r="Y355" s="364"/>
      <c r="Z355" s="364"/>
    </row>
    <row r="356">
      <c r="A356" s="367"/>
      <c r="B356" s="367"/>
      <c r="C356" s="364"/>
      <c r="D356" s="364"/>
      <c r="E356" s="364"/>
      <c r="F356" s="364"/>
      <c r="G356" s="364"/>
      <c r="H356" s="364"/>
      <c r="I356" s="364"/>
      <c r="J356" s="364"/>
      <c r="K356" s="364"/>
      <c r="L356" s="364"/>
      <c r="M356" s="364"/>
      <c r="N356" s="364"/>
      <c r="O356" s="364"/>
      <c r="P356" s="364"/>
      <c r="Q356" s="364"/>
      <c r="R356" s="364"/>
      <c r="S356" s="364"/>
      <c r="T356" s="364"/>
      <c r="U356" s="364"/>
      <c r="V356" s="364"/>
      <c r="W356" s="364"/>
      <c r="X356" s="364"/>
      <c r="Y356" s="364"/>
      <c r="Z356" s="364"/>
    </row>
    <row r="357">
      <c r="A357" s="367"/>
      <c r="B357" s="367"/>
      <c r="C357" s="364"/>
      <c r="D357" s="364"/>
      <c r="E357" s="364"/>
      <c r="F357" s="364"/>
      <c r="G357" s="364"/>
      <c r="H357" s="364"/>
      <c r="I357" s="364"/>
      <c r="J357" s="364"/>
      <c r="K357" s="364"/>
      <c r="L357" s="364"/>
      <c r="M357" s="364"/>
      <c r="N357" s="364"/>
      <c r="O357" s="364"/>
      <c r="P357" s="364"/>
      <c r="Q357" s="364"/>
      <c r="R357" s="364"/>
      <c r="S357" s="364"/>
      <c r="T357" s="364"/>
      <c r="U357" s="364"/>
      <c r="V357" s="364"/>
      <c r="W357" s="364"/>
      <c r="X357" s="364"/>
      <c r="Y357" s="364"/>
      <c r="Z357" s="364"/>
    </row>
    <row r="358">
      <c r="A358" s="367"/>
      <c r="B358" s="367"/>
      <c r="C358" s="364"/>
      <c r="D358" s="364"/>
      <c r="E358" s="364"/>
      <c r="F358" s="364"/>
      <c r="G358" s="364"/>
      <c r="H358" s="364"/>
      <c r="I358" s="364"/>
      <c r="J358" s="364"/>
      <c r="K358" s="364"/>
      <c r="L358" s="364"/>
      <c r="M358" s="364"/>
      <c r="N358" s="364"/>
      <c r="O358" s="364"/>
      <c r="P358" s="364"/>
      <c r="Q358" s="364"/>
      <c r="R358" s="364"/>
      <c r="S358" s="364"/>
      <c r="T358" s="364"/>
      <c r="U358" s="364"/>
      <c r="V358" s="364"/>
      <c r="W358" s="364"/>
      <c r="X358" s="364"/>
      <c r="Y358" s="364"/>
      <c r="Z358" s="364"/>
    </row>
    <row r="359">
      <c r="A359" s="367"/>
      <c r="B359" s="367"/>
      <c r="C359" s="364"/>
      <c r="D359" s="364"/>
      <c r="E359" s="364"/>
      <c r="F359" s="364"/>
      <c r="G359" s="364"/>
      <c r="H359" s="364"/>
      <c r="I359" s="364"/>
      <c r="J359" s="364"/>
      <c r="K359" s="364"/>
      <c r="L359" s="364"/>
      <c r="M359" s="364"/>
      <c r="N359" s="364"/>
      <c r="O359" s="364"/>
      <c r="P359" s="364"/>
      <c r="Q359" s="364"/>
      <c r="R359" s="364"/>
      <c r="S359" s="364"/>
      <c r="T359" s="364"/>
      <c r="U359" s="364"/>
      <c r="V359" s="364"/>
      <c r="W359" s="364"/>
      <c r="X359" s="364"/>
      <c r="Y359" s="364"/>
      <c r="Z359" s="364"/>
    </row>
    <row r="360">
      <c r="A360" s="367"/>
      <c r="B360" s="367"/>
      <c r="C360" s="364"/>
      <c r="D360" s="364"/>
      <c r="E360" s="364"/>
      <c r="F360" s="364"/>
      <c r="G360" s="364"/>
      <c r="H360" s="364"/>
      <c r="I360" s="364"/>
      <c r="J360" s="364"/>
      <c r="K360" s="364"/>
      <c r="L360" s="364"/>
      <c r="M360" s="364"/>
      <c r="N360" s="364"/>
      <c r="O360" s="364"/>
      <c r="P360" s="364"/>
      <c r="Q360" s="364"/>
      <c r="R360" s="364"/>
      <c r="S360" s="364"/>
      <c r="T360" s="364"/>
      <c r="U360" s="364"/>
      <c r="V360" s="364"/>
      <c r="W360" s="364"/>
      <c r="X360" s="364"/>
      <c r="Y360" s="364"/>
      <c r="Z360" s="364"/>
    </row>
    <row r="361">
      <c r="A361" s="367"/>
      <c r="B361" s="367"/>
      <c r="C361" s="364"/>
      <c r="D361" s="364"/>
      <c r="E361" s="364"/>
      <c r="F361" s="364"/>
      <c r="G361" s="364"/>
      <c r="H361" s="364"/>
      <c r="I361" s="364"/>
      <c r="J361" s="364"/>
      <c r="K361" s="364"/>
      <c r="L361" s="364"/>
      <c r="M361" s="364"/>
      <c r="N361" s="364"/>
      <c r="O361" s="364"/>
      <c r="P361" s="364"/>
      <c r="Q361" s="364"/>
      <c r="R361" s="364"/>
      <c r="S361" s="364"/>
      <c r="T361" s="364"/>
      <c r="U361" s="364"/>
      <c r="V361" s="364"/>
      <c r="W361" s="364"/>
      <c r="X361" s="364"/>
      <c r="Y361" s="364"/>
      <c r="Z361" s="364"/>
    </row>
    <row r="362">
      <c r="A362" s="367"/>
      <c r="B362" s="367"/>
      <c r="C362" s="364"/>
      <c r="D362" s="364"/>
      <c r="E362" s="364"/>
      <c r="F362" s="364"/>
      <c r="G362" s="364"/>
      <c r="H362" s="364"/>
      <c r="I362" s="364"/>
      <c r="J362" s="364"/>
      <c r="K362" s="364"/>
      <c r="L362" s="364"/>
      <c r="M362" s="364"/>
      <c r="N362" s="364"/>
      <c r="O362" s="364"/>
      <c r="P362" s="364"/>
      <c r="Q362" s="364"/>
      <c r="R362" s="364"/>
      <c r="S362" s="364"/>
      <c r="T362" s="364"/>
      <c r="U362" s="364"/>
      <c r="V362" s="364"/>
      <c r="W362" s="364"/>
      <c r="X362" s="364"/>
      <c r="Y362" s="364"/>
      <c r="Z362" s="364"/>
    </row>
    <row r="363">
      <c r="A363" s="367"/>
      <c r="B363" s="367"/>
      <c r="C363" s="364"/>
      <c r="D363" s="364"/>
      <c r="E363" s="364"/>
      <c r="F363" s="364"/>
      <c r="G363" s="364"/>
      <c r="H363" s="364"/>
      <c r="I363" s="364"/>
      <c r="J363" s="364"/>
      <c r="K363" s="364"/>
      <c r="L363" s="364"/>
      <c r="M363" s="364"/>
      <c r="N363" s="364"/>
      <c r="O363" s="364"/>
      <c r="P363" s="364"/>
      <c r="Q363" s="364"/>
      <c r="R363" s="364"/>
      <c r="S363" s="364"/>
      <c r="T363" s="364"/>
      <c r="U363" s="364"/>
      <c r="V363" s="364"/>
      <c r="W363" s="364"/>
      <c r="X363" s="364"/>
      <c r="Y363" s="364"/>
      <c r="Z363" s="364"/>
    </row>
    <row r="364">
      <c r="A364" s="367"/>
      <c r="B364" s="367"/>
      <c r="C364" s="364"/>
      <c r="D364" s="364"/>
      <c r="E364" s="364"/>
      <c r="F364" s="364"/>
      <c r="G364" s="364"/>
      <c r="H364" s="364"/>
      <c r="I364" s="364"/>
      <c r="J364" s="364"/>
      <c r="K364" s="364"/>
      <c r="L364" s="364"/>
      <c r="M364" s="364"/>
      <c r="N364" s="364"/>
      <c r="O364" s="364"/>
      <c r="P364" s="364"/>
      <c r="Q364" s="364"/>
      <c r="R364" s="364"/>
      <c r="S364" s="364"/>
      <c r="T364" s="364"/>
      <c r="U364" s="364"/>
      <c r="V364" s="364"/>
      <c r="W364" s="364"/>
      <c r="X364" s="364"/>
      <c r="Y364" s="364"/>
      <c r="Z364" s="364"/>
    </row>
    <row r="365">
      <c r="A365" s="367"/>
      <c r="B365" s="367"/>
      <c r="C365" s="364"/>
      <c r="D365" s="364"/>
      <c r="E365" s="364"/>
      <c r="F365" s="364"/>
      <c r="G365" s="364"/>
      <c r="H365" s="364"/>
      <c r="I365" s="364"/>
      <c r="J365" s="364"/>
      <c r="K365" s="364"/>
      <c r="L365" s="364"/>
      <c r="M365" s="364"/>
      <c r="N365" s="364"/>
      <c r="O365" s="364"/>
      <c r="P365" s="364"/>
      <c r="Q365" s="364"/>
      <c r="R365" s="364"/>
      <c r="S365" s="364"/>
      <c r="T365" s="364"/>
      <c r="U365" s="364"/>
      <c r="V365" s="364"/>
      <c r="W365" s="364"/>
      <c r="X365" s="364"/>
      <c r="Y365" s="364"/>
      <c r="Z365" s="364"/>
    </row>
    <row r="366">
      <c r="A366" s="367"/>
      <c r="B366" s="367"/>
      <c r="C366" s="364"/>
      <c r="D366" s="364"/>
      <c r="E366" s="364"/>
      <c r="F366" s="364"/>
      <c r="G366" s="364"/>
      <c r="H366" s="364"/>
      <c r="I366" s="364"/>
      <c r="J366" s="364"/>
      <c r="K366" s="364"/>
      <c r="L366" s="364"/>
      <c r="M366" s="364"/>
      <c r="N366" s="364"/>
      <c r="O366" s="364"/>
      <c r="P366" s="364"/>
      <c r="Q366" s="364"/>
      <c r="R366" s="364"/>
      <c r="S366" s="364"/>
      <c r="T366" s="364"/>
      <c r="U366" s="364"/>
      <c r="V366" s="364"/>
      <c r="W366" s="364"/>
      <c r="X366" s="364"/>
      <c r="Y366" s="364"/>
      <c r="Z366" s="364"/>
    </row>
    <row r="367">
      <c r="A367" s="367"/>
      <c r="B367" s="367"/>
      <c r="C367" s="364"/>
      <c r="D367" s="364"/>
      <c r="E367" s="364"/>
      <c r="F367" s="364"/>
      <c r="G367" s="364"/>
      <c r="H367" s="364"/>
      <c r="I367" s="364"/>
      <c r="J367" s="364"/>
      <c r="K367" s="364"/>
      <c r="L367" s="364"/>
      <c r="M367" s="364"/>
      <c r="N367" s="364"/>
      <c r="O367" s="364"/>
      <c r="P367" s="364"/>
      <c r="Q367" s="364"/>
      <c r="R367" s="364"/>
      <c r="S367" s="364"/>
      <c r="T367" s="364"/>
      <c r="U367" s="364"/>
      <c r="V367" s="364"/>
      <c r="W367" s="364"/>
      <c r="X367" s="364"/>
      <c r="Y367" s="364"/>
      <c r="Z367" s="364"/>
    </row>
    <row r="368">
      <c r="A368" s="367"/>
      <c r="B368" s="367"/>
      <c r="C368" s="364"/>
      <c r="D368" s="364"/>
      <c r="E368" s="364"/>
      <c r="F368" s="364"/>
      <c r="G368" s="364"/>
      <c r="H368" s="364"/>
      <c r="I368" s="364"/>
      <c r="J368" s="364"/>
      <c r="K368" s="364"/>
      <c r="L368" s="364"/>
      <c r="M368" s="364"/>
      <c r="N368" s="364"/>
      <c r="O368" s="364"/>
      <c r="P368" s="364"/>
      <c r="Q368" s="364"/>
      <c r="R368" s="364"/>
      <c r="S368" s="364"/>
      <c r="T368" s="364"/>
      <c r="U368" s="364"/>
      <c r="V368" s="364"/>
      <c r="W368" s="364"/>
      <c r="X368" s="364"/>
      <c r="Y368" s="364"/>
      <c r="Z368" s="364"/>
    </row>
    <row r="369">
      <c r="A369" s="367"/>
      <c r="B369" s="367"/>
      <c r="C369" s="364"/>
      <c r="D369" s="364"/>
      <c r="E369" s="364"/>
      <c r="F369" s="364"/>
      <c r="G369" s="364"/>
      <c r="H369" s="364"/>
      <c r="I369" s="364"/>
      <c r="J369" s="364"/>
      <c r="K369" s="364"/>
      <c r="L369" s="364"/>
      <c r="M369" s="364"/>
      <c r="N369" s="364"/>
      <c r="O369" s="364"/>
      <c r="P369" s="364"/>
      <c r="Q369" s="364"/>
      <c r="R369" s="364"/>
      <c r="S369" s="364"/>
      <c r="T369" s="364"/>
      <c r="U369" s="364"/>
      <c r="V369" s="364"/>
      <c r="W369" s="364"/>
      <c r="X369" s="364"/>
      <c r="Y369" s="364"/>
      <c r="Z369" s="364"/>
    </row>
    <row r="370">
      <c r="A370" s="367"/>
      <c r="B370" s="367"/>
      <c r="C370" s="364"/>
      <c r="D370" s="364"/>
      <c r="E370" s="364"/>
      <c r="F370" s="364"/>
      <c r="G370" s="364"/>
      <c r="H370" s="364"/>
      <c r="I370" s="364"/>
      <c r="J370" s="364"/>
      <c r="K370" s="364"/>
      <c r="L370" s="364"/>
      <c r="M370" s="364"/>
      <c r="N370" s="364"/>
      <c r="O370" s="364"/>
      <c r="P370" s="364"/>
      <c r="Q370" s="364"/>
      <c r="R370" s="364"/>
      <c r="S370" s="364"/>
      <c r="T370" s="364"/>
      <c r="U370" s="364"/>
      <c r="V370" s="364"/>
      <c r="W370" s="364"/>
      <c r="X370" s="364"/>
      <c r="Y370" s="364"/>
      <c r="Z370" s="364"/>
    </row>
    <row r="371">
      <c r="A371" s="367"/>
      <c r="B371" s="367"/>
      <c r="C371" s="364"/>
      <c r="D371" s="364"/>
      <c r="E371" s="364"/>
      <c r="F371" s="364"/>
      <c r="G371" s="364"/>
      <c r="H371" s="364"/>
      <c r="I371" s="364"/>
      <c r="J371" s="364"/>
      <c r="K371" s="364"/>
      <c r="L371" s="364"/>
      <c r="M371" s="364"/>
      <c r="N371" s="364"/>
      <c r="O371" s="364"/>
      <c r="P371" s="364"/>
      <c r="Q371" s="364"/>
      <c r="R371" s="364"/>
      <c r="S371" s="364"/>
      <c r="T371" s="364"/>
      <c r="U371" s="364"/>
      <c r="V371" s="364"/>
      <c r="W371" s="364"/>
      <c r="X371" s="364"/>
      <c r="Y371" s="364"/>
      <c r="Z371" s="364"/>
    </row>
    <row r="372">
      <c r="A372" s="367"/>
      <c r="B372" s="367"/>
      <c r="C372" s="364"/>
      <c r="D372" s="364"/>
      <c r="E372" s="364"/>
      <c r="F372" s="364"/>
      <c r="G372" s="364"/>
      <c r="H372" s="364"/>
      <c r="I372" s="364"/>
      <c r="J372" s="364"/>
      <c r="K372" s="364"/>
      <c r="L372" s="364"/>
      <c r="M372" s="364"/>
      <c r="N372" s="364"/>
      <c r="O372" s="364"/>
      <c r="P372" s="364"/>
      <c r="Q372" s="364"/>
      <c r="R372" s="364"/>
      <c r="S372" s="364"/>
      <c r="T372" s="364"/>
      <c r="U372" s="364"/>
      <c r="V372" s="364"/>
      <c r="W372" s="364"/>
      <c r="X372" s="364"/>
      <c r="Y372" s="364"/>
      <c r="Z372" s="364"/>
    </row>
    <row r="373">
      <c r="A373" s="367"/>
      <c r="B373" s="367"/>
      <c r="C373" s="364"/>
      <c r="D373" s="364"/>
      <c r="E373" s="364"/>
      <c r="F373" s="364"/>
      <c r="G373" s="364"/>
      <c r="H373" s="364"/>
      <c r="I373" s="364"/>
      <c r="J373" s="364"/>
      <c r="K373" s="364"/>
      <c r="L373" s="364"/>
      <c r="M373" s="364"/>
      <c r="N373" s="364"/>
      <c r="O373" s="364"/>
      <c r="P373" s="364"/>
      <c r="Q373" s="364"/>
      <c r="R373" s="364"/>
      <c r="S373" s="364"/>
      <c r="T373" s="364"/>
      <c r="U373" s="364"/>
      <c r="V373" s="364"/>
      <c r="W373" s="364"/>
      <c r="X373" s="364"/>
      <c r="Y373" s="364"/>
      <c r="Z373" s="364"/>
    </row>
    <row r="374">
      <c r="A374" s="367"/>
      <c r="B374" s="367"/>
      <c r="C374" s="364"/>
      <c r="D374" s="364"/>
      <c r="E374" s="364"/>
      <c r="F374" s="364"/>
      <c r="G374" s="364"/>
      <c r="H374" s="364"/>
      <c r="I374" s="364"/>
      <c r="J374" s="364"/>
      <c r="K374" s="364"/>
      <c r="L374" s="364"/>
      <c r="M374" s="364"/>
      <c r="N374" s="364"/>
      <c r="O374" s="364"/>
      <c r="P374" s="364"/>
      <c r="Q374" s="364"/>
      <c r="R374" s="364"/>
      <c r="S374" s="364"/>
      <c r="T374" s="364"/>
      <c r="U374" s="364"/>
      <c r="V374" s="364"/>
      <c r="W374" s="364"/>
      <c r="X374" s="364"/>
      <c r="Y374" s="364"/>
      <c r="Z374" s="364"/>
    </row>
    <row r="375">
      <c r="A375" s="367"/>
      <c r="B375" s="367"/>
      <c r="C375" s="364"/>
      <c r="D375" s="364"/>
      <c r="E375" s="364"/>
      <c r="F375" s="364"/>
      <c r="G375" s="364"/>
      <c r="H375" s="364"/>
      <c r="I375" s="364"/>
      <c r="J375" s="364"/>
      <c r="K375" s="364"/>
      <c r="L375" s="364"/>
      <c r="M375" s="364"/>
      <c r="N375" s="364"/>
      <c r="O375" s="364"/>
      <c r="P375" s="364"/>
      <c r="Q375" s="364"/>
      <c r="R375" s="364"/>
      <c r="S375" s="364"/>
      <c r="T375" s="364"/>
      <c r="U375" s="364"/>
      <c r="V375" s="364"/>
      <c r="W375" s="364"/>
      <c r="X375" s="364"/>
      <c r="Y375" s="364"/>
      <c r="Z375" s="364"/>
    </row>
    <row r="376">
      <c r="A376" s="367"/>
      <c r="B376" s="367"/>
      <c r="C376" s="364"/>
      <c r="D376" s="364"/>
      <c r="E376" s="364"/>
      <c r="F376" s="364"/>
      <c r="G376" s="364"/>
      <c r="H376" s="364"/>
      <c r="I376" s="364"/>
      <c r="J376" s="364"/>
      <c r="K376" s="364"/>
      <c r="L376" s="364"/>
      <c r="M376" s="364"/>
      <c r="N376" s="364"/>
      <c r="O376" s="364"/>
      <c r="P376" s="364"/>
      <c r="Q376" s="364"/>
      <c r="R376" s="364"/>
      <c r="S376" s="364"/>
      <c r="T376" s="364"/>
      <c r="U376" s="364"/>
      <c r="V376" s="364"/>
      <c r="W376" s="364"/>
      <c r="X376" s="364"/>
      <c r="Y376" s="364"/>
      <c r="Z376" s="364"/>
    </row>
    <row r="377">
      <c r="A377" s="367"/>
      <c r="B377" s="367"/>
      <c r="C377" s="364"/>
      <c r="D377" s="364"/>
      <c r="E377" s="364"/>
      <c r="F377" s="364"/>
      <c r="G377" s="364"/>
      <c r="H377" s="364"/>
      <c r="I377" s="364"/>
      <c r="J377" s="364"/>
      <c r="K377" s="364"/>
      <c r="L377" s="364"/>
      <c r="M377" s="364"/>
      <c r="N377" s="364"/>
      <c r="O377" s="364"/>
      <c r="P377" s="364"/>
      <c r="Q377" s="364"/>
      <c r="R377" s="364"/>
      <c r="S377" s="364"/>
      <c r="T377" s="364"/>
      <c r="U377" s="364"/>
      <c r="V377" s="364"/>
      <c r="W377" s="364"/>
      <c r="X377" s="364"/>
      <c r="Y377" s="364"/>
      <c r="Z377" s="364"/>
    </row>
    <row r="378">
      <c r="A378" s="367"/>
      <c r="B378" s="367"/>
      <c r="C378" s="364"/>
      <c r="D378" s="364"/>
      <c r="E378" s="364"/>
      <c r="F378" s="364"/>
      <c r="G378" s="364"/>
      <c r="H378" s="364"/>
      <c r="I378" s="364"/>
      <c r="J378" s="364"/>
      <c r="K378" s="364"/>
      <c r="L378" s="364"/>
      <c r="M378" s="364"/>
      <c r="N378" s="364"/>
      <c r="O378" s="364"/>
      <c r="P378" s="364"/>
      <c r="Q378" s="364"/>
      <c r="R378" s="364"/>
      <c r="S378" s="364"/>
      <c r="T378" s="364"/>
      <c r="U378" s="364"/>
      <c r="V378" s="364"/>
      <c r="W378" s="364"/>
      <c r="X378" s="364"/>
      <c r="Y378" s="364"/>
      <c r="Z378" s="364"/>
    </row>
    <row r="379">
      <c r="A379" s="367"/>
      <c r="B379" s="367"/>
      <c r="C379" s="364"/>
      <c r="D379" s="364"/>
      <c r="E379" s="364"/>
      <c r="F379" s="364"/>
      <c r="G379" s="364"/>
      <c r="H379" s="364"/>
      <c r="I379" s="364"/>
      <c r="J379" s="364"/>
      <c r="K379" s="364"/>
      <c r="L379" s="364"/>
      <c r="M379" s="364"/>
      <c r="N379" s="364"/>
      <c r="O379" s="364"/>
      <c r="P379" s="364"/>
      <c r="Q379" s="364"/>
      <c r="R379" s="364"/>
      <c r="S379" s="364"/>
      <c r="T379" s="364"/>
      <c r="U379" s="364"/>
      <c r="V379" s="364"/>
      <c r="W379" s="364"/>
      <c r="X379" s="364"/>
      <c r="Y379" s="364"/>
      <c r="Z379" s="364"/>
    </row>
    <row r="380">
      <c r="A380" s="367"/>
      <c r="B380" s="367"/>
      <c r="C380" s="364"/>
      <c r="D380" s="364"/>
      <c r="E380" s="364"/>
      <c r="F380" s="364"/>
      <c r="G380" s="364"/>
      <c r="H380" s="364"/>
      <c r="I380" s="364"/>
      <c r="J380" s="364"/>
      <c r="K380" s="364"/>
      <c r="L380" s="364"/>
      <c r="M380" s="364"/>
      <c r="N380" s="364"/>
      <c r="O380" s="364"/>
      <c r="P380" s="364"/>
      <c r="Q380" s="364"/>
      <c r="R380" s="364"/>
      <c r="S380" s="364"/>
      <c r="T380" s="364"/>
      <c r="U380" s="364"/>
      <c r="V380" s="364"/>
      <c r="W380" s="364"/>
      <c r="X380" s="364"/>
      <c r="Y380" s="364"/>
      <c r="Z380" s="364"/>
    </row>
    <row r="381">
      <c r="A381" s="367"/>
      <c r="B381" s="367"/>
      <c r="C381" s="364"/>
      <c r="D381" s="364"/>
      <c r="E381" s="364"/>
      <c r="F381" s="364"/>
      <c r="G381" s="364"/>
      <c r="H381" s="364"/>
      <c r="I381" s="364"/>
      <c r="J381" s="364"/>
      <c r="K381" s="364"/>
      <c r="L381" s="364"/>
      <c r="M381" s="364"/>
      <c r="N381" s="364"/>
      <c r="O381" s="364"/>
      <c r="P381" s="364"/>
      <c r="Q381" s="364"/>
      <c r="R381" s="364"/>
      <c r="S381" s="364"/>
      <c r="T381" s="364"/>
      <c r="U381" s="364"/>
      <c r="V381" s="364"/>
      <c r="W381" s="364"/>
      <c r="X381" s="364"/>
      <c r="Y381" s="364"/>
      <c r="Z381" s="364"/>
    </row>
    <row r="382">
      <c r="A382" s="367"/>
      <c r="B382" s="367"/>
      <c r="C382" s="364"/>
      <c r="D382" s="364"/>
      <c r="E382" s="364"/>
      <c r="F382" s="364"/>
      <c r="G382" s="364"/>
      <c r="H382" s="364"/>
      <c r="I382" s="364"/>
      <c r="J382" s="364"/>
      <c r="K382" s="364"/>
      <c r="L382" s="364"/>
      <c r="M382" s="364"/>
      <c r="N382" s="364"/>
      <c r="O382" s="364"/>
      <c r="P382" s="364"/>
      <c r="Q382" s="364"/>
      <c r="R382" s="364"/>
      <c r="S382" s="364"/>
      <c r="T382" s="364"/>
      <c r="U382" s="364"/>
      <c r="V382" s="364"/>
      <c r="W382" s="364"/>
      <c r="X382" s="364"/>
      <c r="Y382" s="364"/>
      <c r="Z382" s="364"/>
    </row>
    <row r="383">
      <c r="A383" s="367"/>
      <c r="B383" s="367"/>
      <c r="C383" s="364"/>
      <c r="D383" s="364"/>
      <c r="E383" s="364"/>
      <c r="F383" s="364"/>
      <c r="G383" s="364"/>
      <c r="H383" s="364"/>
      <c r="I383" s="364"/>
      <c r="J383" s="364"/>
      <c r="K383" s="364"/>
      <c r="L383" s="364"/>
      <c r="M383" s="364"/>
      <c r="N383" s="364"/>
      <c r="O383" s="364"/>
      <c r="P383" s="364"/>
      <c r="Q383" s="364"/>
      <c r="R383" s="364"/>
      <c r="S383" s="364"/>
      <c r="T383" s="364"/>
      <c r="U383" s="364"/>
      <c r="V383" s="364"/>
      <c r="W383" s="364"/>
      <c r="X383" s="364"/>
      <c r="Y383" s="364"/>
      <c r="Z383" s="364"/>
    </row>
    <row r="384">
      <c r="A384" s="367"/>
      <c r="B384" s="367"/>
      <c r="C384" s="364"/>
      <c r="D384" s="364"/>
      <c r="E384" s="364"/>
      <c r="F384" s="364"/>
      <c r="G384" s="364"/>
      <c r="H384" s="364"/>
      <c r="I384" s="364"/>
      <c r="J384" s="364"/>
      <c r="K384" s="364"/>
      <c r="L384" s="364"/>
      <c r="M384" s="364"/>
      <c r="N384" s="364"/>
      <c r="O384" s="364"/>
      <c r="P384" s="364"/>
      <c r="Q384" s="364"/>
      <c r="R384" s="364"/>
      <c r="S384" s="364"/>
      <c r="T384" s="364"/>
      <c r="U384" s="364"/>
      <c r="V384" s="364"/>
      <c r="W384" s="364"/>
      <c r="X384" s="364"/>
      <c r="Y384" s="364"/>
      <c r="Z384" s="364"/>
    </row>
    <row r="385">
      <c r="A385" s="367"/>
      <c r="B385" s="367"/>
      <c r="C385" s="364"/>
      <c r="D385" s="364"/>
      <c r="E385" s="364"/>
      <c r="F385" s="364"/>
      <c r="G385" s="364"/>
      <c r="H385" s="364"/>
      <c r="I385" s="364"/>
      <c r="J385" s="364"/>
      <c r="K385" s="364"/>
      <c r="L385" s="364"/>
      <c r="M385" s="364"/>
      <c r="N385" s="364"/>
      <c r="O385" s="364"/>
      <c r="P385" s="364"/>
      <c r="Q385" s="364"/>
      <c r="R385" s="364"/>
      <c r="S385" s="364"/>
      <c r="T385" s="364"/>
      <c r="U385" s="364"/>
      <c r="V385" s="364"/>
      <c r="W385" s="364"/>
      <c r="X385" s="364"/>
      <c r="Y385" s="364"/>
      <c r="Z385" s="364"/>
    </row>
    <row r="386">
      <c r="A386" s="367"/>
      <c r="B386" s="367"/>
      <c r="C386" s="364"/>
      <c r="D386" s="364"/>
      <c r="E386" s="364"/>
      <c r="F386" s="364"/>
      <c r="G386" s="364"/>
      <c r="H386" s="364"/>
      <c r="I386" s="364"/>
      <c r="J386" s="364"/>
      <c r="K386" s="364"/>
      <c r="L386" s="364"/>
      <c r="M386" s="364"/>
      <c r="N386" s="364"/>
      <c r="O386" s="364"/>
      <c r="P386" s="364"/>
      <c r="Q386" s="364"/>
      <c r="R386" s="364"/>
      <c r="S386" s="364"/>
      <c r="T386" s="364"/>
      <c r="U386" s="364"/>
      <c r="V386" s="364"/>
      <c r="W386" s="364"/>
      <c r="X386" s="364"/>
      <c r="Y386" s="364"/>
      <c r="Z386" s="364"/>
    </row>
    <row r="387">
      <c r="A387" s="367"/>
      <c r="B387" s="367"/>
      <c r="C387" s="364"/>
      <c r="D387" s="364"/>
      <c r="E387" s="364"/>
      <c r="F387" s="364"/>
      <c r="G387" s="364"/>
      <c r="H387" s="364"/>
      <c r="I387" s="364"/>
      <c r="J387" s="364"/>
      <c r="K387" s="364"/>
      <c r="L387" s="364"/>
      <c r="M387" s="364"/>
      <c r="N387" s="364"/>
      <c r="O387" s="364"/>
      <c r="P387" s="364"/>
      <c r="Q387" s="364"/>
      <c r="R387" s="364"/>
      <c r="S387" s="364"/>
      <c r="T387" s="364"/>
      <c r="U387" s="364"/>
      <c r="V387" s="364"/>
      <c r="W387" s="364"/>
      <c r="X387" s="364"/>
      <c r="Y387" s="364"/>
      <c r="Z387" s="364"/>
    </row>
    <row r="388">
      <c r="A388" s="367"/>
      <c r="B388" s="367"/>
      <c r="C388" s="364"/>
      <c r="D388" s="364"/>
      <c r="E388" s="364"/>
      <c r="F388" s="364"/>
      <c r="G388" s="364"/>
      <c r="H388" s="364"/>
      <c r="I388" s="364"/>
      <c r="J388" s="364"/>
      <c r="K388" s="364"/>
      <c r="L388" s="364"/>
      <c r="M388" s="364"/>
      <c r="N388" s="364"/>
      <c r="O388" s="364"/>
      <c r="P388" s="364"/>
      <c r="Q388" s="364"/>
      <c r="R388" s="364"/>
      <c r="S388" s="364"/>
      <c r="T388" s="364"/>
      <c r="U388" s="364"/>
      <c r="V388" s="364"/>
      <c r="W388" s="364"/>
      <c r="X388" s="364"/>
      <c r="Y388" s="364"/>
      <c r="Z388" s="364"/>
    </row>
    <row r="389">
      <c r="A389" s="367"/>
      <c r="B389" s="367"/>
      <c r="C389" s="364"/>
      <c r="D389" s="364"/>
      <c r="E389" s="364"/>
      <c r="F389" s="364"/>
      <c r="G389" s="364"/>
      <c r="H389" s="364"/>
      <c r="I389" s="364"/>
      <c r="J389" s="364"/>
      <c r="K389" s="364"/>
      <c r="L389" s="364"/>
      <c r="M389" s="364"/>
      <c r="N389" s="364"/>
      <c r="O389" s="364"/>
      <c r="P389" s="364"/>
      <c r="Q389" s="364"/>
      <c r="R389" s="364"/>
      <c r="S389" s="364"/>
      <c r="T389" s="364"/>
      <c r="U389" s="364"/>
      <c r="V389" s="364"/>
      <c r="W389" s="364"/>
      <c r="X389" s="364"/>
      <c r="Y389" s="364"/>
      <c r="Z389" s="364"/>
    </row>
    <row r="390">
      <c r="A390" s="367"/>
      <c r="B390" s="367"/>
      <c r="C390" s="364"/>
      <c r="D390" s="364"/>
      <c r="E390" s="364"/>
      <c r="F390" s="364"/>
      <c r="G390" s="364"/>
      <c r="H390" s="364"/>
      <c r="I390" s="364"/>
      <c r="J390" s="364"/>
      <c r="K390" s="364"/>
      <c r="L390" s="364"/>
      <c r="M390" s="364"/>
      <c r="N390" s="364"/>
      <c r="O390" s="364"/>
      <c r="P390" s="364"/>
      <c r="Q390" s="364"/>
      <c r="R390" s="364"/>
      <c r="S390" s="364"/>
      <c r="T390" s="364"/>
      <c r="U390" s="364"/>
      <c r="V390" s="364"/>
      <c r="W390" s="364"/>
      <c r="X390" s="364"/>
      <c r="Y390" s="364"/>
      <c r="Z390" s="364"/>
    </row>
    <row r="391">
      <c r="A391" s="367"/>
      <c r="B391" s="367"/>
      <c r="C391" s="364"/>
      <c r="D391" s="364"/>
      <c r="E391" s="364"/>
      <c r="F391" s="364"/>
      <c r="G391" s="364"/>
      <c r="H391" s="364"/>
      <c r="I391" s="364"/>
      <c r="J391" s="364"/>
      <c r="K391" s="364"/>
      <c r="L391" s="364"/>
      <c r="M391" s="364"/>
      <c r="N391" s="364"/>
      <c r="O391" s="364"/>
      <c r="P391" s="364"/>
      <c r="Q391" s="364"/>
      <c r="R391" s="364"/>
      <c r="S391" s="364"/>
      <c r="T391" s="364"/>
      <c r="U391" s="364"/>
      <c r="V391" s="364"/>
      <c r="W391" s="364"/>
      <c r="X391" s="364"/>
      <c r="Y391" s="364"/>
      <c r="Z391" s="364"/>
    </row>
    <row r="392">
      <c r="A392" s="367"/>
      <c r="B392" s="367"/>
      <c r="C392" s="364"/>
      <c r="D392" s="364"/>
      <c r="E392" s="364"/>
      <c r="F392" s="364"/>
      <c r="G392" s="364"/>
      <c r="H392" s="364"/>
      <c r="I392" s="364"/>
      <c r="J392" s="364"/>
      <c r="K392" s="364"/>
      <c r="L392" s="364"/>
      <c r="M392" s="364"/>
      <c r="N392" s="364"/>
      <c r="O392" s="364"/>
      <c r="P392" s="364"/>
      <c r="Q392" s="364"/>
      <c r="R392" s="364"/>
      <c r="S392" s="364"/>
      <c r="T392" s="364"/>
      <c r="U392" s="364"/>
      <c r="V392" s="364"/>
      <c r="W392" s="364"/>
      <c r="X392" s="364"/>
      <c r="Y392" s="364"/>
      <c r="Z392" s="364"/>
    </row>
    <row r="393">
      <c r="A393" s="367"/>
      <c r="B393" s="367"/>
      <c r="C393" s="364"/>
      <c r="D393" s="364"/>
      <c r="E393" s="364"/>
      <c r="F393" s="364"/>
      <c r="G393" s="364"/>
      <c r="H393" s="364"/>
      <c r="I393" s="364"/>
      <c r="J393" s="364"/>
      <c r="K393" s="364"/>
      <c r="L393" s="364"/>
      <c r="M393" s="364"/>
      <c r="N393" s="364"/>
      <c r="O393" s="364"/>
      <c r="P393" s="364"/>
      <c r="Q393" s="364"/>
      <c r="R393" s="364"/>
      <c r="S393" s="364"/>
      <c r="T393" s="364"/>
      <c r="U393" s="364"/>
      <c r="V393" s="364"/>
      <c r="W393" s="364"/>
      <c r="X393" s="364"/>
      <c r="Y393" s="364"/>
      <c r="Z393" s="364"/>
    </row>
    <row r="394">
      <c r="A394" s="367"/>
      <c r="B394" s="367"/>
      <c r="C394" s="364"/>
      <c r="D394" s="364"/>
      <c r="E394" s="364"/>
      <c r="F394" s="364"/>
      <c r="G394" s="364"/>
      <c r="H394" s="364"/>
      <c r="I394" s="364"/>
      <c r="J394" s="364"/>
      <c r="K394" s="364"/>
      <c r="L394" s="364"/>
      <c r="M394" s="364"/>
      <c r="N394" s="364"/>
      <c r="O394" s="364"/>
      <c r="P394" s="364"/>
      <c r="Q394" s="364"/>
      <c r="R394" s="364"/>
      <c r="S394" s="364"/>
      <c r="T394" s="364"/>
      <c r="U394" s="364"/>
      <c r="V394" s="364"/>
      <c r="W394" s="364"/>
      <c r="X394" s="364"/>
      <c r="Y394" s="364"/>
      <c r="Z394" s="364"/>
    </row>
    <row r="395">
      <c r="A395" s="367"/>
      <c r="B395" s="367"/>
      <c r="C395" s="364"/>
      <c r="D395" s="364"/>
      <c r="E395" s="364"/>
      <c r="F395" s="364"/>
      <c r="G395" s="364"/>
      <c r="H395" s="364"/>
      <c r="I395" s="364"/>
      <c r="J395" s="364"/>
      <c r="K395" s="364"/>
      <c r="L395" s="364"/>
      <c r="M395" s="364"/>
      <c r="N395" s="364"/>
      <c r="O395" s="364"/>
      <c r="P395" s="364"/>
      <c r="Q395" s="364"/>
      <c r="R395" s="364"/>
      <c r="S395" s="364"/>
      <c r="T395" s="364"/>
      <c r="U395" s="364"/>
      <c r="V395" s="364"/>
      <c r="W395" s="364"/>
      <c r="X395" s="364"/>
      <c r="Y395" s="364"/>
      <c r="Z395" s="364"/>
    </row>
    <row r="396">
      <c r="A396" s="367"/>
      <c r="B396" s="367"/>
      <c r="C396" s="364"/>
      <c r="D396" s="364"/>
      <c r="E396" s="364"/>
      <c r="F396" s="364"/>
      <c r="G396" s="364"/>
      <c r="H396" s="364"/>
      <c r="I396" s="364"/>
      <c r="J396" s="364"/>
      <c r="K396" s="364"/>
      <c r="L396" s="364"/>
      <c r="M396" s="364"/>
      <c r="N396" s="364"/>
      <c r="O396" s="364"/>
      <c r="P396" s="364"/>
      <c r="Q396" s="364"/>
      <c r="R396" s="364"/>
      <c r="S396" s="364"/>
      <c r="T396" s="364"/>
      <c r="U396" s="364"/>
      <c r="V396" s="364"/>
      <c r="W396" s="364"/>
      <c r="X396" s="364"/>
      <c r="Y396" s="364"/>
      <c r="Z396" s="364"/>
    </row>
    <row r="397">
      <c r="A397" s="367"/>
      <c r="B397" s="367"/>
      <c r="C397" s="364"/>
      <c r="D397" s="364"/>
      <c r="E397" s="364"/>
      <c r="F397" s="364"/>
      <c r="G397" s="364"/>
      <c r="H397" s="364"/>
      <c r="I397" s="364"/>
      <c r="J397" s="364"/>
      <c r="K397" s="364"/>
      <c r="L397" s="364"/>
      <c r="M397" s="364"/>
      <c r="N397" s="364"/>
      <c r="O397" s="364"/>
      <c r="P397" s="364"/>
      <c r="Q397" s="364"/>
      <c r="R397" s="364"/>
      <c r="S397" s="364"/>
      <c r="T397" s="364"/>
      <c r="U397" s="364"/>
      <c r="V397" s="364"/>
      <c r="W397" s="364"/>
      <c r="X397" s="364"/>
      <c r="Y397" s="364"/>
      <c r="Z397" s="364"/>
    </row>
    <row r="398">
      <c r="A398" s="367"/>
      <c r="B398" s="367"/>
      <c r="C398" s="364"/>
      <c r="D398" s="364"/>
      <c r="E398" s="364"/>
      <c r="F398" s="364"/>
      <c r="G398" s="364"/>
      <c r="H398" s="364"/>
      <c r="I398" s="364"/>
      <c r="J398" s="364"/>
      <c r="K398" s="364"/>
      <c r="L398" s="364"/>
      <c r="M398" s="364"/>
      <c r="N398" s="364"/>
      <c r="O398" s="364"/>
      <c r="P398" s="364"/>
      <c r="Q398" s="364"/>
      <c r="R398" s="364"/>
      <c r="S398" s="364"/>
      <c r="T398" s="364"/>
      <c r="U398" s="364"/>
      <c r="V398" s="364"/>
      <c r="W398" s="364"/>
      <c r="X398" s="364"/>
      <c r="Y398" s="364"/>
      <c r="Z398" s="364"/>
    </row>
    <row r="399">
      <c r="A399" s="367"/>
      <c r="B399" s="367"/>
      <c r="C399" s="364"/>
      <c r="D399" s="364"/>
      <c r="E399" s="364"/>
      <c r="F399" s="364"/>
      <c r="G399" s="364"/>
      <c r="H399" s="364"/>
      <c r="I399" s="364"/>
      <c r="J399" s="364"/>
      <c r="K399" s="364"/>
      <c r="L399" s="364"/>
      <c r="M399" s="364"/>
      <c r="N399" s="364"/>
      <c r="O399" s="364"/>
      <c r="P399" s="364"/>
      <c r="Q399" s="364"/>
      <c r="R399" s="364"/>
      <c r="S399" s="364"/>
      <c r="T399" s="364"/>
      <c r="U399" s="364"/>
      <c r="V399" s="364"/>
      <c r="W399" s="364"/>
      <c r="X399" s="364"/>
      <c r="Y399" s="364"/>
      <c r="Z399" s="364"/>
    </row>
    <row r="400">
      <c r="A400" s="367"/>
      <c r="B400" s="367"/>
      <c r="C400" s="364"/>
      <c r="D400" s="364"/>
      <c r="E400" s="364"/>
      <c r="F400" s="364"/>
      <c r="G400" s="364"/>
      <c r="H400" s="364"/>
      <c r="I400" s="364"/>
      <c r="J400" s="364"/>
      <c r="K400" s="364"/>
      <c r="L400" s="364"/>
      <c r="M400" s="364"/>
      <c r="N400" s="364"/>
      <c r="O400" s="364"/>
      <c r="P400" s="364"/>
      <c r="Q400" s="364"/>
      <c r="R400" s="364"/>
      <c r="S400" s="364"/>
      <c r="T400" s="364"/>
      <c r="U400" s="364"/>
      <c r="V400" s="364"/>
      <c r="W400" s="364"/>
      <c r="X400" s="364"/>
      <c r="Y400" s="364"/>
      <c r="Z400" s="364"/>
    </row>
    <row r="401">
      <c r="A401" s="367"/>
      <c r="B401" s="367"/>
      <c r="C401" s="364"/>
      <c r="D401" s="364"/>
      <c r="E401" s="364"/>
      <c r="F401" s="364"/>
      <c r="G401" s="364"/>
      <c r="H401" s="364"/>
      <c r="I401" s="364"/>
      <c r="J401" s="364"/>
      <c r="K401" s="364"/>
      <c r="L401" s="364"/>
      <c r="M401" s="364"/>
      <c r="N401" s="364"/>
      <c r="O401" s="364"/>
      <c r="P401" s="364"/>
      <c r="Q401" s="364"/>
      <c r="R401" s="364"/>
      <c r="S401" s="364"/>
      <c r="T401" s="364"/>
      <c r="U401" s="364"/>
      <c r="V401" s="364"/>
      <c r="W401" s="364"/>
      <c r="X401" s="364"/>
      <c r="Y401" s="364"/>
      <c r="Z401" s="364"/>
    </row>
    <row r="402">
      <c r="A402" s="367"/>
      <c r="B402" s="367"/>
      <c r="C402" s="364"/>
      <c r="D402" s="364"/>
      <c r="E402" s="364"/>
      <c r="F402" s="364"/>
      <c r="G402" s="364"/>
      <c r="H402" s="364"/>
      <c r="I402" s="364"/>
      <c r="J402" s="364"/>
      <c r="K402" s="364"/>
      <c r="L402" s="364"/>
      <c r="M402" s="364"/>
      <c r="N402" s="364"/>
      <c r="O402" s="364"/>
      <c r="P402" s="364"/>
      <c r="Q402" s="364"/>
      <c r="R402" s="364"/>
      <c r="S402" s="364"/>
      <c r="T402" s="364"/>
      <c r="U402" s="364"/>
      <c r="V402" s="364"/>
      <c r="W402" s="364"/>
      <c r="X402" s="364"/>
      <c r="Y402" s="364"/>
      <c r="Z402" s="364"/>
    </row>
    <row r="403">
      <c r="A403" s="367"/>
      <c r="B403" s="367"/>
      <c r="C403" s="364"/>
      <c r="D403" s="364"/>
      <c r="E403" s="364"/>
      <c r="F403" s="364"/>
      <c r="G403" s="364"/>
      <c r="H403" s="364"/>
      <c r="I403" s="364"/>
      <c r="J403" s="364"/>
      <c r="K403" s="364"/>
      <c r="L403" s="364"/>
      <c r="M403" s="364"/>
      <c r="N403" s="364"/>
      <c r="O403" s="364"/>
      <c r="P403" s="364"/>
      <c r="Q403" s="364"/>
      <c r="R403" s="364"/>
      <c r="S403" s="364"/>
      <c r="T403" s="364"/>
      <c r="U403" s="364"/>
      <c r="V403" s="364"/>
      <c r="W403" s="364"/>
      <c r="X403" s="364"/>
      <c r="Y403" s="364"/>
      <c r="Z403" s="364"/>
    </row>
    <row r="404">
      <c r="A404" s="367"/>
      <c r="B404" s="367"/>
      <c r="C404" s="364"/>
      <c r="D404" s="364"/>
      <c r="E404" s="364"/>
      <c r="F404" s="364"/>
      <c r="G404" s="364"/>
      <c r="H404" s="364"/>
      <c r="I404" s="364"/>
      <c r="J404" s="364"/>
      <c r="K404" s="364"/>
      <c r="L404" s="364"/>
      <c r="M404" s="364"/>
      <c r="N404" s="364"/>
      <c r="O404" s="364"/>
      <c r="P404" s="364"/>
      <c r="Q404" s="364"/>
      <c r="R404" s="364"/>
      <c r="S404" s="364"/>
      <c r="T404" s="364"/>
      <c r="U404" s="364"/>
      <c r="V404" s="364"/>
      <c r="W404" s="364"/>
      <c r="X404" s="364"/>
      <c r="Y404" s="364"/>
      <c r="Z404" s="364"/>
    </row>
    <row r="405">
      <c r="A405" s="367"/>
      <c r="B405" s="367"/>
      <c r="C405" s="364"/>
      <c r="D405" s="364"/>
      <c r="E405" s="364"/>
      <c r="F405" s="364"/>
      <c r="G405" s="364"/>
      <c r="H405" s="364"/>
      <c r="I405" s="364"/>
      <c r="J405" s="364"/>
      <c r="K405" s="364"/>
      <c r="L405" s="364"/>
      <c r="M405" s="364"/>
      <c r="N405" s="364"/>
      <c r="O405" s="364"/>
      <c r="P405" s="364"/>
      <c r="Q405" s="364"/>
      <c r="R405" s="364"/>
      <c r="S405" s="364"/>
      <c r="T405" s="364"/>
      <c r="U405" s="364"/>
      <c r="V405" s="364"/>
      <c r="W405" s="364"/>
      <c r="X405" s="364"/>
      <c r="Y405" s="364"/>
      <c r="Z405" s="364"/>
    </row>
    <row r="406">
      <c r="A406" s="367"/>
      <c r="B406" s="367"/>
      <c r="C406" s="364"/>
      <c r="D406" s="364"/>
      <c r="E406" s="364"/>
      <c r="F406" s="364"/>
      <c r="G406" s="364"/>
      <c r="H406" s="364"/>
      <c r="I406" s="364"/>
      <c r="J406" s="364"/>
      <c r="K406" s="364"/>
      <c r="L406" s="364"/>
      <c r="M406" s="364"/>
      <c r="N406" s="364"/>
      <c r="O406" s="364"/>
      <c r="P406" s="364"/>
      <c r="Q406" s="364"/>
      <c r="R406" s="364"/>
      <c r="S406" s="364"/>
      <c r="T406" s="364"/>
      <c r="U406" s="364"/>
      <c r="V406" s="364"/>
      <c r="W406" s="364"/>
      <c r="X406" s="364"/>
      <c r="Y406" s="364"/>
      <c r="Z406" s="364"/>
    </row>
    <row r="407">
      <c r="A407" s="367"/>
      <c r="B407" s="367"/>
      <c r="C407" s="364"/>
      <c r="D407" s="364"/>
      <c r="E407" s="364"/>
      <c r="F407" s="364"/>
      <c r="G407" s="364"/>
      <c r="H407" s="364"/>
      <c r="I407" s="364"/>
      <c r="J407" s="364"/>
      <c r="K407" s="364"/>
      <c r="L407" s="364"/>
      <c r="M407" s="364"/>
      <c r="N407" s="364"/>
      <c r="O407" s="364"/>
      <c r="P407" s="364"/>
      <c r="Q407" s="364"/>
      <c r="R407" s="364"/>
      <c r="S407" s="364"/>
      <c r="T407" s="364"/>
      <c r="U407" s="364"/>
      <c r="V407" s="364"/>
      <c r="W407" s="364"/>
      <c r="X407" s="364"/>
      <c r="Y407" s="364"/>
      <c r="Z407" s="364"/>
    </row>
    <row r="408">
      <c r="A408" s="367"/>
      <c r="B408" s="367"/>
      <c r="C408" s="364"/>
      <c r="D408" s="364"/>
      <c r="E408" s="364"/>
      <c r="F408" s="364"/>
      <c r="G408" s="364"/>
      <c r="H408" s="364"/>
      <c r="I408" s="364"/>
      <c r="J408" s="364"/>
      <c r="K408" s="364"/>
      <c r="L408" s="364"/>
      <c r="M408" s="364"/>
      <c r="N408" s="364"/>
      <c r="O408" s="364"/>
      <c r="P408" s="364"/>
      <c r="Q408" s="364"/>
      <c r="R408" s="364"/>
      <c r="S408" s="364"/>
      <c r="T408" s="364"/>
      <c r="U408" s="364"/>
      <c r="V408" s="364"/>
      <c r="W408" s="364"/>
      <c r="X408" s="364"/>
      <c r="Y408" s="364"/>
      <c r="Z408" s="364"/>
    </row>
    <row r="409">
      <c r="A409" s="367"/>
      <c r="B409" s="367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64"/>
      <c r="P409" s="364"/>
      <c r="Q409" s="364"/>
      <c r="R409" s="364"/>
      <c r="S409" s="364"/>
      <c r="T409" s="364"/>
      <c r="U409" s="364"/>
      <c r="V409" s="364"/>
      <c r="W409" s="364"/>
      <c r="X409" s="364"/>
      <c r="Y409" s="364"/>
      <c r="Z409" s="364"/>
    </row>
    <row r="410">
      <c r="A410" s="367"/>
      <c r="B410" s="367"/>
      <c r="C410" s="364"/>
      <c r="D410" s="364"/>
      <c r="E410" s="364"/>
      <c r="F410" s="364"/>
      <c r="G410" s="364"/>
      <c r="H410" s="364"/>
      <c r="I410" s="364"/>
      <c r="J410" s="364"/>
      <c r="K410" s="364"/>
      <c r="L410" s="364"/>
      <c r="M410" s="364"/>
      <c r="N410" s="364"/>
      <c r="O410" s="364"/>
      <c r="P410" s="364"/>
      <c r="Q410" s="364"/>
      <c r="R410" s="364"/>
      <c r="S410" s="364"/>
      <c r="T410" s="364"/>
      <c r="U410" s="364"/>
      <c r="V410" s="364"/>
      <c r="W410" s="364"/>
      <c r="X410" s="364"/>
      <c r="Y410" s="364"/>
      <c r="Z410" s="364"/>
    </row>
    <row r="411">
      <c r="A411" s="367"/>
      <c r="B411" s="367"/>
      <c r="C411" s="364"/>
      <c r="D411" s="364"/>
      <c r="E411" s="364"/>
      <c r="F411" s="364"/>
      <c r="G411" s="364"/>
      <c r="H411" s="364"/>
      <c r="I411" s="364"/>
      <c r="J411" s="364"/>
      <c r="K411" s="364"/>
      <c r="L411" s="364"/>
      <c r="M411" s="364"/>
      <c r="N411" s="364"/>
      <c r="O411" s="364"/>
      <c r="P411" s="364"/>
      <c r="Q411" s="364"/>
      <c r="R411" s="364"/>
      <c r="S411" s="364"/>
      <c r="T411" s="364"/>
      <c r="U411" s="364"/>
      <c r="V411" s="364"/>
      <c r="W411" s="364"/>
      <c r="X411" s="364"/>
      <c r="Y411" s="364"/>
      <c r="Z411" s="364"/>
    </row>
    <row r="412">
      <c r="A412" s="367"/>
      <c r="B412" s="367"/>
      <c r="C412" s="364"/>
      <c r="D412" s="364"/>
      <c r="E412" s="364"/>
      <c r="F412" s="364"/>
      <c r="G412" s="364"/>
      <c r="H412" s="364"/>
      <c r="I412" s="364"/>
      <c r="J412" s="364"/>
      <c r="K412" s="364"/>
      <c r="L412" s="364"/>
      <c r="M412" s="364"/>
      <c r="N412" s="364"/>
      <c r="O412" s="364"/>
      <c r="P412" s="364"/>
      <c r="Q412" s="364"/>
      <c r="R412" s="364"/>
      <c r="S412" s="364"/>
      <c r="T412" s="364"/>
      <c r="U412" s="364"/>
      <c r="V412" s="364"/>
      <c r="W412" s="364"/>
      <c r="X412" s="364"/>
      <c r="Y412" s="364"/>
      <c r="Z412" s="364"/>
    </row>
    <row r="413">
      <c r="A413" s="367"/>
      <c r="B413" s="367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64"/>
      <c r="P413" s="364"/>
      <c r="Q413" s="364"/>
      <c r="R413" s="364"/>
      <c r="S413" s="364"/>
      <c r="T413" s="364"/>
      <c r="U413" s="364"/>
      <c r="V413" s="364"/>
      <c r="W413" s="364"/>
      <c r="X413" s="364"/>
      <c r="Y413" s="364"/>
      <c r="Z413" s="364"/>
    </row>
    <row r="414">
      <c r="A414" s="367"/>
      <c r="B414" s="367"/>
      <c r="C414" s="364"/>
      <c r="D414" s="364"/>
      <c r="E414" s="364"/>
      <c r="F414" s="364"/>
      <c r="G414" s="364"/>
      <c r="H414" s="364"/>
      <c r="I414" s="364"/>
      <c r="J414" s="364"/>
      <c r="K414" s="364"/>
      <c r="L414" s="364"/>
      <c r="M414" s="364"/>
      <c r="N414" s="364"/>
      <c r="O414" s="364"/>
      <c r="P414" s="364"/>
      <c r="Q414" s="364"/>
      <c r="R414" s="364"/>
      <c r="S414" s="364"/>
      <c r="T414" s="364"/>
      <c r="U414" s="364"/>
      <c r="V414" s="364"/>
      <c r="W414" s="364"/>
      <c r="X414" s="364"/>
      <c r="Y414" s="364"/>
      <c r="Z414" s="364"/>
    </row>
    <row r="415">
      <c r="A415" s="367"/>
      <c r="B415" s="367"/>
      <c r="C415" s="364"/>
      <c r="D415" s="364"/>
      <c r="E415" s="364"/>
      <c r="F415" s="364"/>
      <c r="G415" s="364"/>
      <c r="H415" s="364"/>
      <c r="I415" s="364"/>
      <c r="J415" s="364"/>
      <c r="K415" s="364"/>
      <c r="L415" s="364"/>
      <c r="M415" s="364"/>
      <c r="N415" s="364"/>
      <c r="O415" s="364"/>
      <c r="P415" s="364"/>
      <c r="Q415" s="364"/>
      <c r="R415" s="364"/>
      <c r="S415" s="364"/>
      <c r="T415" s="364"/>
      <c r="U415" s="364"/>
      <c r="V415" s="364"/>
      <c r="W415" s="364"/>
      <c r="X415" s="364"/>
      <c r="Y415" s="364"/>
      <c r="Z415" s="364"/>
    </row>
    <row r="416">
      <c r="A416" s="367"/>
      <c r="B416" s="367"/>
      <c r="C416" s="364"/>
      <c r="D416" s="364"/>
      <c r="E416" s="364"/>
      <c r="F416" s="364"/>
      <c r="G416" s="364"/>
      <c r="H416" s="364"/>
      <c r="I416" s="364"/>
      <c r="J416" s="364"/>
      <c r="K416" s="364"/>
      <c r="L416" s="364"/>
      <c r="M416" s="364"/>
      <c r="N416" s="364"/>
      <c r="O416" s="364"/>
      <c r="P416" s="364"/>
      <c r="Q416" s="364"/>
      <c r="R416" s="364"/>
      <c r="S416" s="364"/>
      <c r="T416" s="364"/>
      <c r="U416" s="364"/>
      <c r="V416" s="364"/>
      <c r="W416" s="364"/>
      <c r="X416" s="364"/>
      <c r="Y416" s="364"/>
      <c r="Z416" s="364"/>
    </row>
    <row r="417">
      <c r="A417" s="367"/>
      <c r="B417" s="367"/>
      <c r="C417" s="364"/>
      <c r="D417" s="364"/>
      <c r="E417" s="364"/>
      <c r="F417" s="364"/>
      <c r="G417" s="364"/>
      <c r="H417" s="364"/>
      <c r="I417" s="364"/>
      <c r="J417" s="364"/>
      <c r="K417" s="364"/>
      <c r="L417" s="364"/>
      <c r="M417" s="364"/>
      <c r="N417" s="364"/>
      <c r="O417" s="364"/>
      <c r="P417" s="364"/>
      <c r="Q417" s="364"/>
      <c r="R417" s="364"/>
      <c r="S417" s="364"/>
      <c r="T417" s="364"/>
      <c r="U417" s="364"/>
      <c r="V417" s="364"/>
      <c r="W417" s="364"/>
      <c r="X417" s="364"/>
      <c r="Y417" s="364"/>
      <c r="Z417" s="364"/>
    </row>
    <row r="418">
      <c r="A418" s="367"/>
      <c r="B418" s="367"/>
      <c r="C418" s="364"/>
      <c r="D418" s="364"/>
      <c r="E418" s="364"/>
      <c r="F418" s="364"/>
      <c r="G418" s="364"/>
      <c r="H418" s="364"/>
      <c r="I418" s="364"/>
      <c r="J418" s="364"/>
      <c r="K418" s="364"/>
      <c r="L418" s="364"/>
      <c r="M418" s="364"/>
      <c r="N418" s="364"/>
      <c r="O418" s="364"/>
      <c r="P418" s="364"/>
      <c r="Q418" s="364"/>
      <c r="R418" s="364"/>
      <c r="S418" s="364"/>
      <c r="T418" s="364"/>
      <c r="U418" s="364"/>
      <c r="V418" s="364"/>
      <c r="W418" s="364"/>
      <c r="X418" s="364"/>
      <c r="Y418" s="364"/>
      <c r="Z418" s="364"/>
    </row>
    <row r="419">
      <c r="A419" s="367"/>
      <c r="B419" s="367"/>
      <c r="C419" s="364"/>
      <c r="D419" s="364"/>
      <c r="E419" s="364"/>
      <c r="F419" s="364"/>
      <c r="G419" s="364"/>
      <c r="H419" s="364"/>
      <c r="I419" s="364"/>
      <c r="J419" s="364"/>
      <c r="K419" s="364"/>
      <c r="L419" s="364"/>
      <c r="M419" s="364"/>
      <c r="N419" s="364"/>
      <c r="O419" s="364"/>
      <c r="P419" s="364"/>
      <c r="Q419" s="364"/>
      <c r="R419" s="364"/>
      <c r="S419" s="364"/>
      <c r="T419" s="364"/>
      <c r="U419" s="364"/>
      <c r="V419" s="364"/>
      <c r="W419" s="364"/>
      <c r="X419" s="364"/>
      <c r="Y419" s="364"/>
      <c r="Z419" s="364"/>
    </row>
    <row r="420">
      <c r="A420" s="367"/>
      <c r="B420" s="367"/>
      <c r="C420" s="364"/>
      <c r="D420" s="364"/>
      <c r="E420" s="364"/>
      <c r="F420" s="364"/>
      <c r="G420" s="364"/>
      <c r="H420" s="364"/>
      <c r="I420" s="364"/>
      <c r="J420" s="364"/>
      <c r="K420" s="364"/>
      <c r="L420" s="364"/>
      <c r="M420" s="364"/>
      <c r="N420" s="364"/>
      <c r="O420" s="364"/>
      <c r="P420" s="364"/>
      <c r="Q420" s="364"/>
      <c r="R420" s="364"/>
      <c r="S420" s="364"/>
      <c r="T420" s="364"/>
      <c r="U420" s="364"/>
      <c r="V420" s="364"/>
      <c r="W420" s="364"/>
      <c r="X420" s="364"/>
      <c r="Y420" s="364"/>
      <c r="Z420" s="364"/>
    </row>
    <row r="421">
      <c r="A421" s="367"/>
      <c r="B421" s="367"/>
      <c r="C421" s="364"/>
      <c r="D421" s="364"/>
      <c r="E421" s="364"/>
      <c r="F421" s="364"/>
      <c r="G421" s="364"/>
      <c r="H421" s="364"/>
      <c r="I421" s="364"/>
      <c r="J421" s="364"/>
      <c r="K421" s="364"/>
      <c r="L421" s="364"/>
      <c r="M421" s="364"/>
      <c r="N421" s="364"/>
      <c r="O421" s="364"/>
      <c r="P421" s="364"/>
      <c r="Q421" s="364"/>
      <c r="R421" s="364"/>
      <c r="S421" s="364"/>
      <c r="T421" s="364"/>
      <c r="U421" s="364"/>
      <c r="V421" s="364"/>
      <c r="W421" s="364"/>
      <c r="X421" s="364"/>
      <c r="Y421" s="364"/>
      <c r="Z421" s="364"/>
    </row>
    <row r="422">
      <c r="A422" s="367"/>
      <c r="B422" s="367"/>
      <c r="C422" s="364"/>
      <c r="D422" s="364"/>
      <c r="E422" s="364"/>
      <c r="F422" s="364"/>
      <c r="G422" s="364"/>
      <c r="H422" s="364"/>
      <c r="I422" s="364"/>
      <c r="J422" s="364"/>
      <c r="K422" s="364"/>
      <c r="L422" s="364"/>
      <c r="M422" s="364"/>
      <c r="N422" s="364"/>
      <c r="O422" s="364"/>
      <c r="P422" s="364"/>
      <c r="Q422" s="364"/>
      <c r="R422" s="364"/>
      <c r="S422" s="364"/>
      <c r="T422" s="364"/>
      <c r="U422" s="364"/>
      <c r="V422" s="364"/>
      <c r="W422" s="364"/>
      <c r="X422" s="364"/>
      <c r="Y422" s="364"/>
      <c r="Z422" s="364"/>
    </row>
    <row r="423">
      <c r="A423" s="367"/>
      <c r="B423" s="367"/>
      <c r="C423" s="364"/>
      <c r="D423" s="364"/>
      <c r="E423" s="364"/>
      <c r="F423" s="364"/>
      <c r="G423" s="364"/>
      <c r="H423" s="364"/>
      <c r="I423" s="364"/>
      <c r="J423" s="364"/>
      <c r="K423" s="364"/>
      <c r="L423" s="364"/>
      <c r="M423" s="364"/>
      <c r="N423" s="364"/>
      <c r="O423" s="364"/>
      <c r="P423" s="364"/>
      <c r="Q423" s="364"/>
      <c r="R423" s="364"/>
      <c r="S423" s="364"/>
      <c r="T423" s="364"/>
      <c r="U423" s="364"/>
      <c r="V423" s="364"/>
      <c r="W423" s="364"/>
      <c r="X423" s="364"/>
      <c r="Y423" s="364"/>
      <c r="Z423" s="364"/>
    </row>
    <row r="424">
      <c r="A424" s="367"/>
      <c r="B424" s="367"/>
      <c r="C424" s="364"/>
      <c r="D424" s="364"/>
      <c r="E424" s="364"/>
      <c r="F424" s="364"/>
      <c r="G424" s="364"/>
      <c r="H424" s="364"/>
      <c r="I424" s="364"/>
      <c r="J424" s="364"/>
      <c r="K424" s="364"/>
      <c r="L424" s="364"/>
      <c r="M424" s="364"/>
      <c r="N424" s="364"/>
      <c r="O424" s="364"/>
      <c r="P424" s="364"/>
      <c r="Q424" s="364"/>
      <c r="R424" s="364"/>
      <c r="S424" s="364"/>
      <c r="T424" s="364"/>
      <c r="U424" s="364"/>
      <c r="V424" s="364"/>
      <c r="W424" s="364"/>
      <c r="X424" s="364"/>
      <c r="Y424" s="364"/>
      <c r="Z424" s="364"/>
    </row>
    <row r="425">
      <c r="A425" s="367"/>
      <c r="B425" s="367"/>
      <c r="C425" s="364"/>
      <c r="D425" s="364"/>
      <c r="E425" s="364"/>
      <c r="F425" s="364"/>
      <c r="G425" s="364"/>
      <c r="H425" s="364"/>
      <c r="I425" s="364"/>
      <c r="J425" s="364"/>
      <c r="K425" s="364"/>
      <c r="L425" s="364"/>
      <c r="M425" s="364"/>
      <c r="N425" s="364"/>
      <c r="O425" s="364"/>
      <c r="P425" s="364"/>
      <c r="Q425" s="364"/>
      <c r="R425" s="364"/>
      <c r="S425" s="364"/>
      <c r="T425" s="364"/>
      <c r="U425" s="364"/>
      <c r="V425" s="364"/>
      <c r="W425" s="364"/>
      <c r="X425" s="364"/>
      <c r="Y425" s="364"/>
      <c r="Z425" s="364"/>
    </row>
    <row r="426">
      <c r="A426" s="367"/>
      <c r="B426" s="367"/>
      <c r="C426" s="364"/>
      <c r="D426" s="364"/>
      <c r="E426" s="364"/>
      <c r="F426" s="364"/>
      <c r="G426" s="364"/>
      <c r="H426" s="364"/>
      <c r="I426" s="364"/>
      <c r="J426" s="364"/>
      <c r="K426" s="364"/>
      <c r="L426" s="364"/>
      <c r="M426" s="364"/>
      <c r="N426" s="364"/>
      <c r="O426" s="364"/>
      <c r="P426" s="364"/>
      <c r="Q426" s="364"/>
      <c r="R426" s="364"/>
      <c r="S426" s="364"/>
      <c r="T426" s="364"/>
      <c r="U426" s="364"/>
      <c r="V426" s="364"/>
      <c r="W426" s="364"/>
      <c r="X426" s="364"/>
      <c r="Y426" s="364"/>
      <c r="Z426" s="364"/>
    </row>
    <row r="427">
      <c r="A427" s="367"/>
      <c r="B427" s="367"/>
      <c r="C427" s="364"/>
      <c r="D427" s="364"/>
      <c r="E427" s="364"/>
      <c r="F427" s="364"/>
      <c r="G427" s="364"/>
      <c r="H427" s="364"/>
      <c r="I427" s="364"/>
      <c r="J427" s="364"/>
      <c r="K427" s="364"/>
      <c r="L427" s="364"/>
      <c r="M427" s="364"/>
      <c r="N427" s="364"/>
      <c r="O427" s="364"/>
      <c r="P427" s="364"/>
      <c r="Q427" s="364"/>
      <c r="R427" s="364"/>
      <c r="S427" s="364"/>
      <c r="T427" s="364"/>
      <c r="U427" s="364"/>
      <c r="V427" s="364"/>
      <c r="W427" s="364"/>
      <c r="X427" s="364"/>
      <c r="Y427" s="364"/>
      <c r="Z427" s="364"/>
    </row>
    <row r="428">
      <c r="A428" s="367"/>
      <c r="B428" s="367"/>
      <c r="C428" s="364"/>
      <c r="D428" s="364"/>
      <c r="E428" s="364"/>
      <c r="F428" s="364"/>
      <c r="G428" s="364"/>
      <c r="H428" s="364"/>
      <c r="I428" s="364"/>
      <c r="J428" s="364"/>
      <c r="K428" s="364"/>
      <c r="L428" s="364"/>
      <c r="M428" s="364"/>
      <c r="N428" s="364"/>
      <c r="O428" s="364"/>
      <c r="P428" s="364"/>
      <c r="Q428" s="364"/>
      <c r="R428" s="364"/>
      <c r="S428" s="364"/>
      <c r="T428" s="364"/>
      <c r="U428" s="364"/>
      <c r="V428" s="364"/>
      <c r="W428" s="364"/>
      <c r="X428" s="364"/>
      <c r="Y428" s="364"/>
      <c r="Z428" s="364"/>
    </row>
    <row r="429">
      <c r="A429" s="367"/>
      <c r="B429" s="367"/>
      <c r="C429" s="364"/>
      <c r="D429" s="364"/>
      <c r="E429" s="364"/>
      <c r="F429" s="364"/>
      <c r="G429" s="364"/>
      <c r="H429" s="364"/>
      <c r="I429" s="364"/>
      <c r="J429" s="364"/>
      <c r="K429" s="364"/>
      <c r="L429" s="364"/>
      <c r="M429" s="364"/>
      <c r="N429" s="364"/>
      <c r="O429" s="364"/>
      <c r="P429" s="364"/>
      <c r="Q429" s="364"/>
      <c r="R429" s="364"/>
      <c r="S429" s="364"/>
      <c r="T429" s="364"/>
      <c r="U429" s="364"/>
      <c r="V429" s="364"/>
      <c r="W429" s="364"/>
      <c r="X429" s="364"/>
      <c r="Y429" s="364"/>
      <c r="Z429" s="364"/>
    </row>
    <row r="430">
      <c r="A430" s="367"/>
      <c r="B430" s="367"/>
      <c r="C430" s="364"/>
      <c r="D430" s="364"/>
      <c r="E430" s="364"/>
      <c r="F430" s="364"/>
      <c r="G430" s="364"/>
      <c r="H430" s="364"/>
      <c r="I430" s="364"/>
      <c r="J430" s="364"/>
      <c r="K430" s="364"/>
      <c r="L430" s="364"/>
      <c r="M430" s="364"/>
      <c r="N430" s="364"/>
      <c r="O430" s="364"/>
      <c r="P430" s="364"/>
      <c r="Q430" s="364"/>
      <c r="R430" s="364"/>
      <c r="S430" s="364"/>
      <c r="T430" s="364"/>
      <c r="U430" s="364"/>
      <c r="V430" s="364"/>
      <c r="W430" s="364"/>
      <c r="X430" s="364"/>
      <c r="Y430" s="364"/>
      <c r="Z430" s="364"/>
    </row>
    <row r="431">
      <c r="A431" s="367"/>
      <c r="B431" s="367"/>
      <c r="C431" s="364"/>
      <c r="D431" s="364"/>
      <c r="E431" s="364"/>
      <c r="F431" s="364"/>
      <c r="G431" s="364"/>
      <c r="H431" s="364"/>
      <c r="I431" s="364"/>
      <c r="J431" s="364"/>
      <c r="K431" s="364"/>
      <c r="L431" s="364"/>
      <c r="M431" s="364"/>
      <c r="N431" s="364"/>
      <c r="O431" s="364"/>
      <c r="P431" s="364"/>
      <c r="Q431" s="364"/>
      <c r="R431" s="364"/>
      <c r="S431" s="364"/>
      <c r="T431" s="364"/>
      <c r="U431" s="364"/>
      <c r="V431" s="364"/>
      <c r="W431" s="364"/>
      <c r="X431" s="364"/>
      <c r="Y431" s="364"/>
      <c r="Z431" s="364"/>
    </row>
    <row r="432">
      <c r="A432" s="367"/>
      <c r="B432" s="367"/>
      <c r="C432" s="364"/>
      <c r="D432" s="364"/>
      <c r="E432" s="364"/>
      <c r="F432" s="364"/>
      <c r="G432" s="364"/>
      <c r="H432" s="364"/>
      <c r="I432" s="364"/>
      <c r="J432" s="364"/>
      <c r="K432" s="364"/>
      <c r="L432" s="364"/>
      <c r="M432" s="364"/>
      <c r="N432" s="364"/>
      <c r="O432" s="364"/>
      <c r="P432" s="364"/>
      <c r="Q432" s="364"/>
      <c r="R432" s="364"/>
      <c r="S432" s="364"/>
      <c r="T432" s="364"/>
      <c r="U432" s="364"/>
      <c r="V432" s="364"/>
      <c r="W432" s="364"/>
      <c r="X432" s="364"/>
      <c r="Y432" s="364"/>
      <c r="Z432" s="364"/>
    </row>
    <row r="433">
      <c r="A433" s="367"/>
      <c r="B433" s="367"/>
      <c r="C433" s="364"/>
      <c r="D433" s="364"/>
      <c r="E433" s="364"/>
      <c r="F433" s="364"/>
      <c r="G433" s="364"/>
      <c r="H433" s="364"/>
      <c r="I433" s="364"/>
      <c r="J433" s="364"/>
      <c r="K433" s="364"/>
      <c r="L433" s="364"/>
      <c r="M433" s="364"/>
      <c r="N433" s="364"/>
      <c r="O433" s="364"/>
      <c r="P433" s="364"/>
      <c r="Q433" s="364"/>
      <c r="R433" s="364"/>
      <c r="S433" s="364"/>
      <c r="T433" s="364"/>
      <c r="U433" s="364"/>
      <c r="V433" s="364"/>
      <c r="W433" s="364"/>
      <c r="X433" s="364"/>
      <c r="Y433" s="364"/>
      <c r="Z433" s="364"/>
    </row>
    <row r="434">
      <c r="A434" s="367"/>
      <c r="B434" s="367"/>
      <c r="C434" s="364"/>
      <c r="D434" s="364"/>
      <c r="E434" s="364"/>
      <c r="F434" s="364"/>
      <c r="G434" s="364"/>
      <c r="H434" s="364"/>
      <c r="I434" s="364"/>
      <c r="J434" s="364"/>
      <c r="K434" s="364"/>
      <c r="L434" s="364"/>
      <c r="M434" s="364"/>
      <c r="N434" s="364"/>
      <c r="O434" s="364"/>
      <c r="P434" s="364"/>
      <c r="Q434" s="364"/>
      <c r="R434" s="364"/>
      <c r="S434" s="364"/>
      <c r="T434" s="364"/>
      <c r="U434" s="364"/>
      <c r="V434" s="364"/>
      <c r="W434" s="364"/>
      <c r="X434" s="364"/>
      <c r="Y434" s="364"/>
      <c r="Z434" s="364"/>
    </row>
    <row r="435">
      <c r="A435" s="367"/>
      <c r="B435" s="367"/>
      <c r="C435" s="364"/>
      <c r="D435" s="364"/>
      <c r="E435" s="364"/>
      <c r="F435" s="364"/>
      <c r="G435" s="364"/>
      <c r="H435" s="364"/>
      <c r="I435" s="364"/>
      <c r="J435" s="364"/>
      <c r="K435" s="364"/>
      <c r="L435" s="364"/>
      <c r="M435" s="364"/>
      <c r="N435" s="364"/>
      <c r="O435" s="364"/>
      <c r="P435" s="364"/>
      <c r="Q435" s="364"/>
      <c r="R435" s="364"/>
      <c r="S435" s="364"/>
      <c r="T435" s="364"/>
      <c r="U435" s="364"/>
      <c r="V435" s="364"/>
      <c r="W435" s="364"/>
      <c r="X435" s="364"/>
      <c r="Y435" s="364"/>
      <c r="Z435" s="364"/>
    </row>
    <row r="436">
      <c r="A436" s="367"/>
      <c r="B436" s="367"/>
      <c r="C436" s="364"/>
      <c r="D436" s="364"/>
      <c r="E436" s="364"/>
      <c r="F436" s="364"/>
      <c r="G436" s="364"/>
      <c r="H436" s="364"/>
      <c r="I436" s="364"/>
      <c r="J436" s="364"/>
      <c r="K436" s="364"/>
      <c r="L436" s="364"/>
      <c r="M436" s="364"/>
      <c r="N436" s="364"/>
      <c r="O436" s="364"/>
      <c r="P436" s="364"/>
      <c r="Q436" s="364"/>
      <c r="R436" s="364"/>
      <c r="S436" s="364"/>
      <c r="T436" s="364"/>
      <c r="U436" s="364"/>
      <c r="V436" s="364"/>
      <c r="W436" s="364"/>
      <c r="X436" s="364"/>
      <c r="Y436" s="364"/>
      <c r="Z436" s="364"/>
    </row>
    <row r="437">
      <c r="A437" s="367"/>
      <c r="B437" s="367"/>
      <c r="C437" s="364"/>
      <c r="D437" s="364"/>
      <c r="E437" s="364"/>
      <c r="F437" s="364"/>
      <c r="G437" s="364"/>
      <c r="H437" s="364"/>
      <c r="I437" s="364"/>
      <c r="J437" s="364"/>
      <c r="K437" s="364"/>
      <c r="L437" s="364"/>
      <c r="M437" s="364"/>
      <c r="N437" s="364"/>
      <c r="O437" s="364"/>
      <c r="P437" s="364"/>
      <c r="Q437" s="364"/>
      <c r="R437" s="364"/>
      <c r="S437" s="364"/>
      <c r="T437" s="364"/>
      <c r="U437" s="364"/>
      <c r="V437" s="364"/>
      <c r="W437" s="364"/>
      <c r="X437" s="364"/>
      <c r="Y437" s="364"/>
      <c r="Z437" s="364"/>
    </row>
    <row r="438">
      <c r="A438" s="367"/>
      <c r="B438" s="367"/>
      <c r="C438" s="364"/>
      <c r="D438" s="364"/>
      <c r="E438" s="364"/>
      <c r="F438" s="364"/>
      <c r="G438" s="364"/>
      <c r="H438" s="364"/>
      <c r="I438" s="364"/>
      <c r="J438" s="364"/>
      <c r="K438" s="364"/>
      <c r="L438" s="364"/>
      <c r="M438" s="364"/>
      <c r="N438" s="364"/>
      <c r="O438" s="364"/>
      <c r="P438" s="364"/>
      <c r="Q438" s="364"/>
      <c r="R438" s="364"/>
      <c r="S438" s="364"/>
      <c r="T438" s="364"/>
      <c r="U438" s="364"/>
      <c r="V438" s="364"/>
      <c r="W438" s="364"/>
      <c r="X438" s="364"/>
      <c r="Y438" s="364"/>
      <c r="Z438" s="364"/>
    </row>
    <row r="439">
      <c r="A439" s="367"/>
      <c r="B439" s="367"/>
      <c r="C439" s="364"/>
      <c r="D439" s="364"/>
      <c r="E439" s="364"/>
      <c r="F439" s="364"/>
      <c r="G439" s="364"/>
      <c r="H439" s="364"/>
      <c r="I439" s="364"/>
      <c r="J439" s="364"/>
      <c r="K439" s="364"/>
      <c r="L439" s="364"/>
      <c r="M439" s="364"/>
      <c r="N439" s="364"/>
      <c r="O439" s="364"/>
      <c r="P439" s="364"/>
      <c r="Q439" s="364"/>
      <c r="R439" s="364"/>
      <c r="S439" s="364"/>
      <c r="T439" s="364"/>
      <c r="U439" s="364"/>
      <c r="V439" s="364"/>
      <c r="W439" s="364"/>
      <c r="X439" s="364"/>
      <c r="Y439" s="364"/>
      <c r="Z439" s="364"/>
    </row>
    <row r="440">
      <c r="A440" s="367"/>
      <c r="B440" s="367"/>
      <c r="C440" s="364"/>
      <c r="D440" s="364"/>
      <c r="E440" s="364"/>
      <c r="F440" s="364"/>
      <c r="G440" s="364"/>
      <c r="H440" s="364"/>
      <c r="I440" s="364"/>
      <c r="J440" s="364"/>
      <c r="K440" s="364"/>
      <c r="L440" s="364"/>
      <c r="M440" s="364"/>
      <c r="N440" s="364"/>
      <c r="O440" s="364"/>
      <c r="P440" s="364"/>
      <c r="Q440" s="364"/>
      <c r="R440" s="364"/>
      <c r="S440" s="364"/>
      <c r="T440" s="364"/>
      <c r="U440" s="364"/>
      <c r="V440" s="364"/>
      <c r="W440" s="364"/>
      <c r="X440" s="364"/>
      <c r="Y440" s="364"/>
      <c r="Z440" s="364"/>
    </row>
    <row r="441">
      <c r="A441" s="367"/>
      <c r="B441" s="367"/>
      <c r="C441" s="364"/>
      <c r="D441" s="364"/>
      <c r="E441" s="364"/>
      <c r="F441" s="364"/>
      <c r="G441" s="364"/>
      <c r="H441" s="364"/>
      <c r="I441" s="364"/>
      <c r="J441" s="364"/>
      <c r="K441" s="364"/>
      <c r="L441" s="364"/>
      <c r="M441" s="364"/>
      <c r="N441" s="364"/>
      <c r="O441" s="364"/>
      <c r="P441" s="364"/>
      <c r="Q441" s="364"/>
      <c r="R441" s="364"/>
      <c r="S441" s="364"/>
      <c r="T441" s="364"/>
      <c r="U441" s="364"/>
      <c r="V441" s="364"/>
      <c r="W441" s="364"/>
      <c r="X441" s="364"/>
      <c r="Y441" s="364"/>
      <c r="Z441" s="364"/>
    </row>
    <row r="442">
      <c r="A442" s="367"/>
      <c r="B442" s="367"/>
      <c r="C442" s="364"/>
      <c r="D442" s="364"/>
      <c r="E442" s="364"/>
      <c r="F442" s="364"/>
      <c r="G442" s="364"/>
      <c r="H442" s="364"/>
      <c r="I442" s="364"/>
      <c r="J442" s="364"/>
      <c r="K442" s="364"/>
      <c r="L442" s="364"/>
      <c r="M442" s="364"/>
      <c r="N442" s="364"/>
      <c r="O442" s="364"/>
      <c r="P442" s="364"/>
      <c r="Q442" s="364"/>
      <c r="R442" s="364"/>
      <c r="S442" s="364"/>
      <c r="T442" s="364"/>
      <c r="U442" s="364"/>
      <c r="V442" s="364"/>
      <c r="W442" s="364"/>
      <c r="X442" s="364"/>
      <c r="Y442" s="364"/>
      <c r="Z442" s="364"/>
    </row>
    <row r="443">
      <c r="A443" s="367"/>
      <c r="B443" s="367"/>
      <c r="C443" s="364"/>
      <c r="D443" s="364"/>
      <c r="E443" s="364"/>
      <c r="F443" s="364"/>
      <c r="G443" s="364"/>
      <c r="H443" s="364"/>
      <c r="I443" s="364"/>
      <c r="J443" s="364"/>
      <c r="K443" s="364"/>
      <c r="L443" s="364"/>
      <c r="M443" s="364"/>
      <c r="N443" s="364"/>
      <c r="O443" s="364"/>
      <c r="P443" s="364"/>
      <c r="Q443" s="364"/>
      <c r="R443" s="364"/>
      <c r="S443" s="364"/>
      <c r="T443" s="364"/>
      <c r="U443" s="364"/>
      <c r="V443" s="364"/>
      <c r="W443" s="364"/>
      <c r="X443" s="364"/>
      <c r="Y443" s="364"/>
      <c r="Z443" s="364"/>
    </row>
    <row r="444">
      <c r="A444" s="367"/>
      <c r="B444" s="367"/>
      <c r="C444" s="364"/>
      <c r="D444" s="364"/>
      <c r="E444" s="364"/>
      <c r="F444" s="364"/>
      <c r="G444" s="364"/>
      <c r="H444" s="364"/>
      <c r="I444" s="364"/>
      <c r="J444" s="364"/>
      <c r="K444" s="364"/>
      <c r="L444" s="364"/>
      <c r="M444" s="364"/>
      <c r="N444" s="364"/>
      <c r="O444" s="364"/>
      <c r="P444" s="364"/>
      <c r="Q444" s="364"/>
      <c r="R444" s="364"/>
      <c r="S444" s="364"/>
      <c r="T444" s="364"/>
      <c r="U444" s="364"/>
      <c r="V444" s="364"/>
      <c r="W444" s="364"/>
      <c r="X444" s="364"/>
      <c r="Y444" s="364"/>
      <c r="Z444" s="364"/>
    </row>
    <row r="445">
      <c r="A445" s="367"/>
      <c r="B445" s="367"/>
      <c r="C445" s="364"/>
      <c r="D445" s="364"/>
      <c r="E445" s="364"/>
      <c r="F445" s="364"/>
      <c r="G445" s="364"/>
      <c r="H445" s="364"/>
      <c r="I445" s="364"/>
      <c r="J445" s="364"/>
      <c r="K445" s="364"/>
      <c r="L445" s="364"/>
      <c r="M445" s="364"/>
      <c r="N445" s="364"/>
      <c r="O445" s="364"/>
      <c r="P445" s="364"/>
      <c r="Q445" s="364"/>
      <c r="R445" s="364"/>
      <c r="S445" s="364"/>
      <c r="T445" s="364"/>
      <c r="U445" s="364"/>
      <c r="V445" s="364"/>
      <c r="W445" s="364"/>
      <c r="X445" s="364"/>
      <c r="Y445" s="364"/>
      <c r="Z445" s="364"/>
    </row>
    <row r="446">
      <c r="A446" s="367"/>
      <c r="B446" s="367"/>
      <c r="C446" s="364"/>
      <c r="D446" s="364"/>
      <c r="E446" s="364"/>
      <c r="F446" s="364"/>
      <c r="G446" s="364"/>
      <c r="H446" s="364"/>
      <c r="I446" s="364"/>
      <c r="J446" s="364"/>
      <c r="K446" s="364"/>
      <c r="L446" s="364"/>
      <c r="M446" s="364"/>
      <c r="N446" s="364"/>
      <c r="O446" s="364"/>
      <c r="P446" s="364"/>
      <c r="Q446" s="364"/>
      <c r="R446" s="364"/>
      <c r="S446" s="364"/>
      <c r="T446" s="364"/>
      <c r="U446" s="364"/>
      <c r="V446" s="364"/>
      <c r="W446" s="364"/>
      <c r="X446" s="364"/>
      <c r="Y446" s="364"/>
      <c r="Z446" s="364"/>
    </row>
    <row r="447">
      <c r="A447" s="367"/>
      <c r="B447" s="367"/>
      <c r="C447" s="364"/>
      <c r="D447" s="364"/>
      <c r="E447" s="364"/>
      <c r="F447" s="364"/>
      <c r="G447" s="364"/>
      <c r="H447" s="364"/>
      <c r="I447" s="364"/>
      <c r="J447" s="364"/>
      <c r="K447" s="364"/>
      <c r="L447" s="364"/>
      <c r="M447" s="364"/>
      <c r="N447" s="364"/>
      <c r="O447" s="364"/>
      <c r="P447" s="364"/>
      <c r="Q447" s="364"/>
      <c r="R447" s="364"/>
      <c r="S447" s="364"/>
      <c r="T447" s="364"/>
      <c r="U447" s="364"/>
      <c r="V447" s="364"/>
      <c r="W447" s="364"/>
      <c r="X447" s="364"/>
      <c r="Y447" s="364"/>
      <c r="Z447" s="364"/>
    </row>
    <row r="448">
      <c r="A448" s="367"/>
      <c r="B448" s="367"/>
      <c r="C448" s="364"/>
      <c r="D448" s="364"/>
      <c r="E448" s="364"/>
      <c r="F448" s="364"/>
      <c r="G448" s="364"/>
      <c r="H448" s="364"/>
      <c r="I448" s="364"/>
      <c r="J448" s="364"/>
      <c r="K448" s="364"/>
      <c r="L448" s="364"/>
      <c r="M448" s="364"/>
      <c r="N448" s="364"/>
      <c r="O448" s="364"/>
      <c r="P448" s="364"/>
      <c r="Q448" s="364"/>
      <c r="R448" s="364"/>
      <c r="S448" s="364"/>
      <c r="T448" s="364"/>
      <c r="U448" s="364"/>
      <c r="V448" s="364"/>
      <c r="W448" s="364"/>
      <c r="X448" s="364"/>
      <c r="Y448" s="364"/>
      <c r="Z448" s="364"/>
    </row>
    <row r="449">
      <c r="A449" s="367"/>
      <c r="B449" s="367"/>
      <c r="C449" s="364"/>
      <c r="D449" s="364"/>
      <c r="E449" s="364"/>
      <c r="F449" s="364"/>
      <c r="G449" s="364"/>
      <c r="H449" s="364"/>
      <c r="I449" s="364"/>
      <c r="J449" s="364"/>
      <c r="K449" s="364"/>
      <c r="L449" s="364"/>
      <c r="M449" s="364"/>
      <c r="N449" s="364"/>
      <c r="O449" s="364"/>
      <c r="P449" s="364"/>
      <c r="Q449" s="364"/>
      <c r="R449" s="364"/>
      <c r="S449" s="364"/>
      <c r="T449" s="364"/>
      <c r="U449" s="364"/>
      <c r="V449" s="364"/>
      <c r="W449" s="364"/>
      <c r="X449" s="364"/>
      <c r="Y449" s="364"/>
      <c r="Z449" s="364"/>
    </row>
    <row r="450">
      <c r="A450" s="367"/>
      <c r="B450" s="367"/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</row>
    <row r="451">
      <c r="A451" s="367"/>
      <c r="B451" s="367"/>
      <c r="C451" s="364"/>
      <c r="D451" s="364"/>
      <c r="E451" s="364"/>
      <c r="F451" s="364"/>
      <c r="G451" s="364"/>
      <c r="H451" s="364"/>
      <c r="I451" s="364"/>
      <c r="J451" s="364"/>
      <c r="K451" s="364"/>
      <c r="L451" s="364"/>
      <c r="M451" s="364"/>
      <c r="N451" s="364"/>
      <c r="O451" s="364"/>
      <c r="P451" s="364"/>
      <c r="Q451" s="364"/>
      <c r="R451" s="364"/>
      <c r="S451" s="364"/>
      <c r="T451" s="364"/>
      <c r="U451" s="364"/>
      <c r="V451" s="364"/>
      <c r="W451" s="364"/>
      <c r="X451" s="364"/>
      <c r="Y451" s="364"/>
      <c r="Z451" s="364"/>
    </row>
    <row r="452">
      <c r="A452" s="367"/>
      <c r="B452" s="367"/>
      <c r="C452" s="364"/>
      <c r="D452" s="364"/>
      <c r="E452" s="364"/>
      <c r="F452" s="364"/>
      <c r="G452" s="364"/>
      <c r="H452" s="364"/>
      <c r="I452" s="364"/>
      <c r="J452" s="364"/>
      <c r="K452" s="364"/>
      <c r="L452" s="364"/>
      <c r="M452" s="364"/>
      <c r="N452" s="364"/>
      <c r="O452" s="364"/>
      <c r="P452" s="364"/>
      <c r="Q452" s="364"/>
      <c r="R452" s="364"/>
      <c r="S452" s="364"/>
      <c r="T452" s="364"/>
      <c r="U452" s="364"/>
      <c r="V452" s="364"/>
      <c r="W452" s="364"/>
      <c r="X452" s="364"/>
      <c r="Y452" s="364"/>
      <c r="Z452" s="364"/>
    </row>
    <row r="453">
      <c r="A453" s="367"/>
      <c r="B453" s="367"/>
      <c r="C453" s="364"/>
      <c r="D453" s="364"/>
      <c r="E453" s="364"/>
      <c r="F453" s="364"/>
      <c r="G453" s="364"/>
      <c r="H453" s="364"/>
      <c r="I453" s="364"/>
      <c r="J453" s="364"/>
      <c r="K453" s="364"/>
      <c r="L453" s="364"/>
      <c r="M453" s="364"/>
      <c r="N453" s="364"/>
      <c r="O453" s="364"/>
      <c r="P453" s="364"/>
      <c r="Q453" s="364"/>
      <c r="R453" s="364"/>
      <c r="S453" s="364"/>
      <c r="T453" s="364"/>
      <c r="U453" s="364"/>
      <c r="V453" s="364"/>
      <c r="W453" s="364"/>
      <c r="X453" s="364"/>
      <c r="Y453" s="364"/>
      <c r="Z453" s="364"/>
    </row>
    <row r="454">
      <c r="A454" s="367"/>
      <c r="B454" s="367"/>
      <c r="C454" s="364"/>
      <c r="D454" s="364"/>
      <c r="E454" s="364"/>
      <c r="F454" s="364"/>
      <c r="G454" s="364"/>
      <c r="H454" s="364"/>
      <c r="I454" s="364"/>
      <c r="J454" s="364"/>
      <c r="K454" s="364"/>
      <c r="L454" s="364"/>
      <c r="M454" s="364"/>
      <c r="N454" s="364"/>
      <c r="O454" s="364"/>
      <c r="P454" s="364"/>
      <c r="Q454" s="364"/>
      <c r="R454" s="364"/>
      <c r="S454" s="364"/>
      <c r="T454" s="364"/>
      <c r="U454" s="364"/>
      <c r="V454" s="364"/>
      <c r="W454" s="364"/>
      <c r="X454" s="364"/>
      <c r="Y454" s="364"/>
      <c r="Z454" s="364"/>
    </row>
    <row r="455">
      <c r="A455" s="367"/>
      <c r="B455" s="367"/>
      <c r="C455" s="364"/>
      <c r="D455" s="364"/>
      <c r="E455" s="364"/>
      <c r="F455" s="364"/>
      <c r="G455" s="364"/>
      <c r="H455" s="364"/>
      <c r="I455" s="364"/>
      <c r="J455" s="364"/>
      <c r="K455" s="364"/>
      <c r="L455" s="364"/>
      <c r="M455" s="364"/>
      <c r="N455" s="364"/>
      <c r="O455" s="364"/>
      <c r="P455" s="364"/>
      <c r="Q455" s="364"/>
      <c r="R455" s="364"/>
      <c r="S455" s="364"/>
      <c r="T455" s="364"/>
      <c r="U455" s="364"/>
      <c r="V455" s="364"/>
      <c r="W455" s="364"/>
      <c r="X455" s="364"/>
      <c r="Y455" s="364"/>
      <c r="Z455" s="364"/>
    </row>
    <row r="456">
      <c r="A456" s="367"/>
      <c r="B456" s="367"/>
      <c r="C456" s="364"/>
      <c r="D456" s="364"/>
      <c r="E456" s="364"/>
      <c r="F456" s="364"/>
      <c r="G456" s="364"/>
      <c r="H456" s="364"/>
      <c r="I456" s="364"/>
      <c r="J456" s="364"/>
      <c r="K456" s="364"/>
      <c r="L456" s="364"/>
      <c r="M456" s="364"/>
      <c r="N456" s="364"/>
      <c r="O456" s="364"/>
      <c r="P456" s="364"/>
      <c r="Q456" s="364"/>
      <c r="R456" s="364"/>
      <c r="S456" s="364"/>
      <c r="T456" s="364"/>
      <c r="U456" s="364"/>
      <c r="V456" s="364"/>
      <c r="W456" s="364"/>
      <c r="X456" s="364"/>
      <c r="Y456" s="364"/>
      <c r="Z456" s="364"/>
    </row>
    <row r="457">
      <c r="A457" s="367"/>
      <c r="B457" s="367"/>
      <c r="C457" s="364"/>
      <c r="D457" s="364"/>
      <c r="E457" s="364"/>
      <c r="F457" s="364"/>
      <c r="G457" s="364"/>
      <c r="H457" s="364"/>
      <c r="I457" s="364"/>
      <c r="J457" s="364"/>
      <c r="K457" s="364"/>
      <c r="L457" s="364"/>
      <c r="M457" s="364"/>
      <c r="N457" s="364"/>
      <c r="O457" s="364"/>
      <c r="P457" s="364"/>
      <c r="Q457" s="364"/>
      <c r="R457" s="364"/>
      <c r="S457" s="364"/>
      <c r="T457" s="364"/>
      <c r="U457" s="364"/>
      <c r="V457" s="364"/>
      <c r="W457" s="364"/>
      <c r="X457" s="364"/>
      <c r="Y457" s="364"/>
      <c r="Z457" s="364"/>
    </row>
    <row r="458">
      <c r="A458" s="367"/>
      <c r="B458" s="367"/>
      <c r="C458" s="364"/>
      <c r="D458" s="364"/>
      <c r="E458" s="364"/>
      <c r="F458" s="364"/>
      <c r="G458" s="364"/>
      <c r="H458" s="364"/>
      <c r="I458" s="364"/>
      <c r="J458" s="364"/>
      <c r="K458" s="364"/>
      <c r="L458" s="364"/>
      <c r="M458" s="364"/>
      <c r="N458" s="364"/>
      <c r="O458" s="364"/>
      <c r="P458" s="364"/>
      <c r="Q458" s="364"/>
      <c r="R458" s="364"/>
      <c r="S458" s="364"/>
      <c r="T458" s="364"/>
      <c r="U458" s="364"/>
      <c r="V458" s="364"/>
      <c r="W458" s="364"/>
      <c r="X458" s="364"/>
      <c r="Y458" s="364"/>
      <c r="Z458" s="364"/>
    </row>
    <row r="459">
      <c r="A459" s="367"/>
      <c r="B459" s="367"/>
      <c r="C459" s="364"/>
      <c r="D459" s="364"/>
      <c r="E459" s="364"/>
      <c r="F459" s="364"/>
      <c r="G459" s="364"/>
      <c r="H459" s="364"/>
      <c r="I459" s="364"/>
      <c r="J459" s="364"/>
      <c r="K459" s="364"/>
      <c r="L459" s="364"/>
      <c r="M459" s="364"/>
      <c r="N459" s="364"/>
      <c r="O459" s="364"/>
      <c r="P459" s="364"/>
      <c r="Q459" s="364"/>
      <c r="R459" s="364"/>
      <c r="S459" s="364"/>
      <c r="T459" s="364"/>
      <c r="U459" s="364"/>
      <c r="V459" s="364"/>
      <c r="W459" s="364"/>
      <c r="X459" s="364"/>
      <c r="Y459" s="364"/>
      <c r="Z459" s="364"/>
    </row>
    <row r="460">
      <c r="A460" s="367"/>
      <c r="B460" s="367"/>
      <c r="C460" s="364"/>
      <c r="D460" s="364"/>
      <c r="E460" s="364"/>
      <c r="F460" s="364"/>
      <c r="G460" s="364"/>
      <c r="H460" s="364"/>
      <c r="I460" s="364"/>
      <c r="J460" s="364"/>
      <c r="K460" s="364"/>
      <c r="L460" s="364"/>
      <c r="M460" s="364"/>
      <c r="N460" s="364"/>
      <c r="O460" s="364"/>
      <c r="P460" s="364"/>
      <c r="Q460" s="364"/>
      <c r="R460" s="364"/>
      <c r="S460" s="364"/>
      <c r="T460" s="364"/>
      <c r="U460" s="364"/>
      <c r="V460" s="364"/>
      <c r="W460" s="364"/>
      <c r="X460" s="364"/>
      <c r="Y460" s="364"/>
      <c r="Z460" s="364"/>
    </row>
    <row r="461">
      <c r="A461" s="367"/>
      <c r="B461" s="367"/>
      <c r="C461" s="364"/>
      <c r="D461" s="364"/>
      <c r="E461" s="364"/>
      <c r="F461" s="364"/>
      <c r="G461" s="364"/>
      <c r="H461" s="364"/>
      <c r="I461" s="364"/>
      <c r="J461" s="364"/>
      <c r="K461" s="364"/>
      <c r="L461" s="364"/>
      <c r="M461" s="364"/>
      <c r="N461" s="364"/>
      <c r="O461" s="364"/>
      <c r="P461" s="364"/>
      <c r="Q461" s="364"/>
      <c r="R461" s="364"/>
      <c r="S461" s="364"/>
      <c r="T461" s="364"/>
      <c r="U461" s="364"/>
      <c r="V461" s="364"/>
      <c r="W461" s="364"/>
      <c r="X461" s="364"/>
      <c r="Y461" s="364"/>
      <c r="Z461" s="364"/>
    </row>
    <row r="462">
      <c r="A462" s="367"/>
      <c r="B462" s="367"/>
      <c r="C462" s="364"/>
      <c r="D462" s="364"/>
      <c r="E462" s="364"/>
      <c r="F462" s="364"/>
      <c r="G462" s="364"/>
      <c r="H462" s="364"/>
      <c r="I462" s="364"/>
      <c r="J462" s="364"/>
      <c r="K462" s="364"/>
      <c r="L462" s="364"/>
      <c r="M462" s="364"/>
      <c r="N462" s="364"/>
      <c r="O462" s="364"/>
      <c r="P462" s="364"/>
      <c r="Q462" s="364"/>
      <c r="R462" s="364"/>
      <c r="S462" s="364"/>
      <c r="T462" s="364"/>
      <c r="U462" s="364"/>
      <c r="V462" s="364"/>
      <c r="W462" s="364"/>
      <c r="X462" s="364"/>
      <c r="Y462" s="364"/>
      <c r="Z462" s="364"/>
    </row>
    <row r="463">
      <c r="A463" s="367"/>
      <c r="B463" s="367"/>
      <c r="C463" s="364"/>
      <c r="D463" s="364"/>
      <c r="E463" s="364"/>
      <c r="F463" s="364"/>
      <c r="G463" s="364"/>
      <c r="H463" s="364"/>
      <c r="I463" s="364"/>
      <c r="J463" s="364"/>
      <c r="K463" s="364"/>
      <c r="L463" s="364"/>
      <c r="M463" s="364"/>
      <c r="N463" s="364"/>
      <c r="O463" s="364"/>
      <c r="P463" s="364"/>
      <c r="Q463" s="364"/>
      <c r="R463" s="364"/>
      <c r="S463" s="364"/>
      <c r="T463" s="364"/>
      <c r="U463" s="364"/>
      <c r="V463" s="364"/>
      <c r="W463" s="364"/>
      <c r="X463" s="364"/>
      <c r="Y463" s="364"/>
      <c r="Z463" s="364"/>
    </row>
    <row r="464">
      <c r="A464" s="367"/>
      <c r="B464" s="367"/>
      <c r="C464" s="364"/>
      <c r="D464" s="364"/>
      <c r="E464" s="364"/>
      <c r="F464" s="364"/>
      <c r="G464" s="364"/>
      <c r="H464" s="364"/>
      <c r="I464" s="364"/>
      <c r="J464" s="364"/>
      <c r="K464" s="364"/>
      <c r="L464" s="364"/>
      <c r="M464" s="364"/>
      <c r="N464" s="364"/>
      <c r="O464" s="364"/>
      <c r="P464" s="364"/>
      <c r="Q464" s="364"/>
      <c r="R464" s="364"/>
      <c r="S464" s="364"/>
      <c r="T464" s="364"/>
      <c r="U464" s="364"/>
      <c r="V464" s="364"/>
      <c r="W464" s="364"/>
      <c r="X464" s="364"/>
      <c r="Y464" s="364"/>
      <c r="Z464" s="364"/>
    </row>
    <row r="465">
      <c r="A465" s="367"/>
      <c r="B465" s="367"/>
      <c r="C465" s="364"/>
      <c r="D465" s="364"/>
      <c r="E465" s="364"/>
      <c r="F465" s="364"/>
      <c r="G465" s="364"/>
      <c r="H465" s="364"/>
      <c r="I465" s="364"/>
      <c r="J465" s="364"/>
      <c r="K465" s="364"/>
      <c r="L465" s="364"/>
      <c r="M465" s="364"/>
      <c r="N465" s="364"/>
      <c r="O465" s="364"/>
      <c r="P465" s="364"/>
      <c r="Q465" s="364"/>
      <c r="R465" s="364"/>
      <c r="S465" s="364"/>
      <c r="T465" s="364"/>
      <c r="U465" s="364"/>
      <c r="V465" s="364"/>
      <c r="W465" s="364"/>
      <c r="X465" s="364"/>
      <c r="Y465" s="364"/>
      <c r="Z465" s="364"/>
    </row>
    <row r="466">
      <c r="A466" s="367"/>
      <c r="B466" s="367"/>
      <c r="C466" s="364"/>
      <c r="D466" s="364"/>
      <c r="E466" s="364"/>
      <c r="F466" s="364"/>
      <c r="G466" s="364"/>
      <c r="H466" s="364"/>
      <c r="I466" s="364"/>
      <c r="J466" s="364"/>
      <c r="K466" s="364"/>
      <c r="L466" s="364"/>
      <c r="M466" s="364"/>
      <c r="N466" s="364"/>
      <c r="O466" s="364"/>
      <c r="P466" s="364"/>
      <c r="Q466" s="364"/>
      <c r="R466" s="364"/>
      <c r="S466" s="364"/>
      <c r="T466" s="364"/>
      <c r="U466" s="364"/>
      <c r="V466" s="364"/>
      <c r="W466" s="364"/>
      <c r="X466" s="364"/>
      <c r="Y466" s="364"/>
      <c r="Z466" s="364"/>
    </row>
    <row r="467">
      <c r="A467" s="367"/>
      <c r="B467" s="367"/>
      <c r="C467" s="364"/>
      <c r="D467" s="364"/>
      <c r="E467" s="364"/>
      <c r="F467" s="364"/>
      <c r="G467" s="364"/>
      <c r="H467" s="364"/>
      <c r="I467" s="364"/>
      <c r="J467" s="364"/>
      <c r="K467" s="364"/>
      <c r="L467" s="364"/>
      <c r="M467" s="364"/>
      <c r="N467" s="364"/>
      <c r="O467" s="364"/>
      <c r="P467" s="364"/>
      <c r="Q467" s="364"/>
      <c r="R467" s="364"/>
      <c r="S467" s="364"/>
      <c r="T467" s="364"/>
      <c r="U467" s="364"/>
      <c r="V467" s="364"/>
      <c r="W467" s="364"/>
      <c r="X467" s="364"/>
      <c r="Y467" s="364"/>
      <c r="Z467" s="364"/>
    </row>
    <row r="468">
      <c r="A468" s="367"/>
      <c r="B468" s="367"/>
      <c r="C468" s="364"/>
      <c r="D468" s="364"/>
      <c r="E468" s="364"/>
      <c r="F468" s="364"/>
      <c r="G468" s="364"/>
      <c r="H468" s="364"/>
      <c r="I468" s="364"/>
      <c r="J468" s="364"/>
      <c r="K468" s="364"/>
      <c r="L468" s="364"/>
      <c r="M468" s="364"/>
      <c r="N468" s="364"/>
      <c r="O468" s="364"/>
      <c r="P468" s="364"/>
      <c r="Q468" s="364"/>
      <c r="R468" s="364"/>
      <c r="S468" s="364"/>
      <c r="T468" s="364"/>
      <c r="U468" s="364"/>
      <c r="V468" s="364"/>
      <c r="W468" s="364"/>
      <c r="X468" s="364"/>
      <c r="Y468" s="364"/>
      <c r="Z468" s="364"/>
    </row>
    <row r="469">
      <c r="A469" s="367"/>
      <c r="B469" s="367"/>
      <c r="C469" s="364"/>
      <c r="D469" s="364"/>
      <c r="E469" s="364"/>
      <c r="F469" s="364"/>
      <c r="G469" s="364"/>
      <c r="H469" s="364"/>
      <c r="I469" s="364"/>
      <c r="J469" s="364"/>
      <c r="K469" s="364"/>
      <c r="L469" s="364"/>
      <c r="M469" s="364"/>
      <c r="N469" s="364"/>
      <c r="O469" s="364"/>
      <c r="P469" s="364"/>
      <c r="Q469" s="364"/>
      <c r="R469" s="364"/>
      <c r="S469" s="364"/>
      <c r="T469" s="364"/>
      <c r="U469" s="364"/>
      <c r="V469" s="364"/>
      <c r="W469" s="364"/>
      <c r="X469" s="364"/>
      <c r="Y469" s="364"/>
      <c r="Z469" s="364"/>
    </row>
    <row r="470">
      <c r="A470" s="367"/>
      <c r="B470" s="367"/>
      <c r="C470" s="364"/>
      <c r="D470" s="364"/>
      <c r="E470" s="364"/>
      <c r="F470" s="364"/>
      <c r="G470" s="364"/>
      <c r="H470" s="364"/>
      <c r="I470" s="364"/>
      <c r="J470" s="364"/>
      <c r="K470" s="364"/>
      <c r="L470" s="364"/>
      <c r="M470" s="364"/>
      <c r="N470" s="364"/>
      <c r="O470" s="364"/>
      <c r="P470" s="364"/>
      <c r="Q470" s="364"/>
      <c r="R470" s="364"/>
      <c r="S470" s="364"/>
      <c r="T470" s="364"/>
      <c r="U470" s="364"/>
      <c r="V470" s="364"/>
      <c r="W470" s="364"/>
      <c r="X470" s="364"/>
      <c r="Y470" s="364"/>
      <c r="Z470" s="364"/>
    </row>
    <row r="471">
      <c r="A471" s="367"/>
      <c r="B471" s="367"/>
      <c r="C471" s="364"/>
      <c r="D471" s="364"/>
      <c r="E471" s="364"/>
      <c r="F471" s="364"/>
      <c r="G471" s="364"/>
      <c r="H471" s="364"/>
      <c r="I471" s="364"/>
      <c r="J471" s="364"/>
      <c r="K471" s="364"/>
      <c r="L471" s="364"/>
      <c r="M471" s="364"/>
      <c r="N471" s="364"/>
      <c r="O471" s="364"/>
      <c r="P471" s="364"/>
      <c r="Q471" s="364"/>
      <c r="R471" s="364"/>
      <c r="S471" s="364"/>
      <c r="T471" s="364"/>
      <c r="U471" s="364"/>
      <c r="V471" s="364"/>
      <c r="W471" s="364"/>
      <c r="X471" s="364"/>
      <c r="Y471" s="364"/>
      <c r="Z471" s="364"/>
    </row>
    <row r="472">
      <c r="A472" s="367"/>
      <c r="B472" s="367"/>
      <c r="C472" s="364"/>
      <c r="D472" s="364"/>
      <c r="E472" s="364"/>
      <c r="F472" s="364"/>
      <c r="G472" s="364"/>
      <c r="H472" s="364"/>
      <c r="I472" s="364"/>
      <c r="J472" s="364"/>
      <c r="K472" s="364"/>
      <c r="L472" s="364"/>
      <c r="M472" s="364"/>
      <c r="N472" s="364"/>
      <c r="O472" s="364"/>
      <c r="P472" s="364"/>
      <c r="Q472" s="364"/>
      <c r="R472" s="364"/>
      <c r="S472" s="364"/>
      <c r="T472" s="364"/>
      <c r="U472" s="364"/>
      <c r="V472" s="364"/>
      <c r="W472" s="364"/>
      <c r="X472" s="364"/>
      <c r="Y472" s="364"/>
      <c r="Z472" s="364"/>
    </row>
    <row r="473">
      <c r="A473" s="367"/>
      <c r="B473" s="367"/>
      <c r="C473" s="364"/>
      <c r="D473" s="364"/>
      <c r="E473" s="364"/>
      <c r="F473" s="364"/>
      <c r="G473" s="364"/>
      <c r="H473" s="364"/>
      <c r="I473" s="364"/>
      <c r="J473" s="364"/>
      <c r="K473" s="364"/>
      <c r="L473" s="364"/>
      <c r="M473" s="364"/>
      <c r="N473" s="364"/>
      <c r="O473" s="364"/>
      <c r="P473" s="364"/>
      <c r="Q473" s="364"/>
      <c r="R473" s="364"/>
      <c r="S473" s="364"/>
      <c r="T473" s="364"/>
      <c r="U473" s="364"/>
      <c r="V473" s="364"/>
      <c r="W473" s="364"/>
      <c r="X473" s="364"/>
      <c r="Y473" s="364"/>
      <c r="Z473" s="364"/>
    </row>
    <row r="474">
      <c r="A474" s="367"/>
      <c r="B474" s="367"/>
      <c r="C474" s="364"/>
      <c r="D474" s="364"/>
      <c r="E474" s="364"/>
      <c r="F474" s="364"/>
      <c r="G474" s="364"/>
      <c r="H474" s="364"/>
      <c r="I474" s="364"/>
      <c r="J474" s="364"/>
      <c r="K474" s="364"/>
      <c r="L474" s="364"/>
      <c r="M474" s="364"/>
      <c r="N474" s="364"/>
      <c r="O474" s="364"/>
      <c r="P474" s="364"/>
      <c r="Q474" s="364"/>
      <c r="R474" s="364"/>
      <c r="S474" s="364"/>
      <c r="T474" s="364"/>
      <c r="U474" s="364"/>
      <c r="V474" s="364"/>
      <c r="W474" s="364"/>
      <c r="X474" s="364"/>
      <c r="Y474" s="364"/>
      <c r="Z474" s="364"/>
    </row>
    <row r="475">
      <c r="A475" s="367"/>
      <c r="B475" s="367"/>
      <c r="C475" s="364"/>
      <c r="D475" s="364"/>
      <c r="E475" s="364"/>
      <c r="F475" s="364"/>
      <c r="G475" s="364"/>
      <c r="H475" s="364"/>
      <c r="I475" s="364"/>
      <c r="J475" s="364"/>
      <c r="K475" s="364"/>
      <c r="L475" s="364"/>
      <c r="M475" s="364"/>
      <c r="N475" s="364"/>
      <c r="O475" s="364"/>
      <c r="P475" s="364"/>
      <c r="Q475" s="364"/>
      <c r="R475" s="364"/>
      <c r="S475" s="364"/>
      <c r="T475" s="364"/>
      <c r="U475" s="364"/>
      <c r="V475" s="364"/>
      <c r="W475" s="364"/>
      <c r="X475" s="364"/>
      <c r="Y475" s="364"/>
      <c r="Z475" s="364"/>
    </row>
    <row r="476">
      <c r="A476" s="367"/>
      <c r="B476" s="367"/>
      <c r="C476" s="364"/>
      <c r="D476" s="364"/>
      <c r="E476" s="364"/>
      <c r="F476" s="364"/>
      <c r="G476" s="364"/>
      <c r="H476" s="364"/>
      <c r="I476" s="364"/>
      <c r="J476" s="364"/>
      <c r="K476" s="364"/>
      <c r="L476" s="364"/>
      <c r="M476" s="364"/>
      <c r="N476" s="364"/>
      <c r="O476" s="364"/>
      <c r="P476" s="364"/>
      <c r="Q476" s="364"/>
      <c r="R476" s="364"/>
      <c r="S476" s="364"/>
      <c r="T476" s="364"/>
      <c r="U476" s="364"/>
      <c r="V476" s="364"/>
      <c r="W476" s="364"/>
      <c r="X476" s="364"/>
      <c r="Y476" s="364"/>
      <c r="Z476" s="364"/>
    </row>
    <row r="477">
      <c r="A477" s="367"/>
      <c r="B477" s="367"/>
      <c r="C477" s="364"/>
      <c r="D477" s="364"/>
      <c r="E477" s="364"/>
      <c r="F477" s="364"/>
      <c r="G477" s="364"/>
      <c r="H477" s="364"/>
      <c r="I477" s="364"/>
      <c r="J477" s="364"/>
      <c r="K477" s="364"/>
      <c r="L477" s="364"/>
      <c r="M477" s="364"/>
      <c r="N477" s="364"/>
      <c r="O477" s="364"/>
      <c r="P477" s="364"/>
      <c r="Q477" s="364"/>
      <c r="R477" s="364"/>
      <c r="S477" s="364"/>
      <c r="T477" s="364"/>
      <c r="U477" s="364"/>
      <c r="V477" s="364"/>
      <c r="W477" s="364"/>
      <c r="X477" s="364"/>
      <c r="Y477" s="364"/>
      <c r="Z477" s="364"/>
    </row>
    <row r="478">
      <c r="A478" s="367"/>
      <c r="B478" s="367"/>
      <c r="C478" s="364"/>
      <c r="D478" s="364"/>
      <c r="E478" s="364"/>
      <c r="F478" s="364"/>
      <c r="G478" s="364"/>
      <c r="H478" s="364"/>
      <c r="I478" s="364"/>
      <c r="J478" s="364"/>
      <c r="K478" s="364"/>
      <c r="L478" s="364"/>
      <c r="M478" s="364"/>
      <c r="N478" s="364"/>
      <c r="O478" s="364"/>
      <c r="P478" s="364"/>
      <c r="Q478" s="364"/>
      <c r="R478" s="364"/>
      <c r="S478" s="364"/>
      <c r="T478" s="364"/>
      <c r="U478" s="364"/>
      <c r="V478" s="364"/>
      <c r="W478" s="364"/>
      <c r="X478" s="364"/>
      <c r="Y478" s="364"/>
      <c r="Z478" s="364"/>
    </row>
    <row r="479">
      <c r="A479" s="367"/>
      <c r="B479" s="367"/>
      <c r="C479" s="364"/>
      <c r="D479" s="364"/>
      <c r="E479" s="364"/>
      <c r="F479" s="364"/>
      <c r="G479" s="364"/>
      <c r="H479" s="364"/>
      <c r="I479" s="364"/>
      <c r="J479" s="364"/>
      <c r="K479" s="364"/>
      <c r="L479" s="364"/>
      <c r="M479" s="364"/>
      <c r="N479" s="364"/>
      <c r="O479" s="364"/>
      <c r="P479" s="364"/>
      <c r="Q479" s="364"/>
      <c r="R479" s="364"/>
      <c r="S479" s="364"/>
      <c r="T479" s="364"/>
      <c r="U479" s="364"/>
      <c r="V479" s="364"/>
      <c r="W479" s="364"/>
      <c r="X479" s="364"/>
      <c r="Y479" s="364"/>
      <c r="Z479" s="364"/>
    </row>
    <row r="480">
      <c r="A480" s="367"/>
      <c r="B480" s="367"/>
      <c r="C480" s="364"/>
      <c r="D480" s="364"/>
      <c r="E480" s="364"/>
      <c r="F480" s="364"/>
      <c r="G480" s="364"/>
      <c r="H480" s="364"/>
      <c r="I480" s="364"/>
      <c r="J480" s="364"/>
      <c r="K480" s="364"/>
      <c r="L480" s="364"/>
      <c r="M480" s="364"/>
      <c r="N480" s="364"/>
      <c r="O480" s="364"/>
      <c r="P480" s="364"/>
      <c r="Q480" s="364"/>
      <c r="R480" s="364"/>
      <c r="S480" s="364"/>
      <c r="T480" s="364"/>
      <c r="U480" s="364"/>
      <c r="V480" s="364"/>
      <c r="W480" s="364"/>
      <c r="X480" s="364"/>
      <c r="Y480" s="364"/>
      <c r="Z480" s="364"/>
    </row>
    <row r="481">
      <c r="A481" s="367"/>
      <c r="B481" s="367"/>
      <c r="C481" s="364"/>
      <c r="D481" s="364"/>
      <c r="E481" s="364"/>
      <c r="F481" s="364"/>
      <c r="G481" s="364"/>
      <c r="H481" s="364"/>
      <c r="I481" s="364"/>
      <c r="J481" s="364"/>
      <c r="K481" s="364"/>
      <c r="L481" s="364"/>
      <c r="M481" s="364"/>
      <c r="N481" s="364"/>
      <c r="O481" s="364"/>
      <c r="P481" s="364"/>
      <c r="Q481" s="364"/>
      <c r="R481" s="364"/>
      <c r="S481" s="364"/>
      <c r="T481" s="364"/>
      <c r="U481" s="364"/>
      <c r="V481" s="364"/>
      <c r="W481" s="364"/>
      <c r="X481" s="364"/>
      <c r="Y481" s="364"/>
      <c r="Z481" s="364"/>
    </row>
    <row r="482">
      <c r="A482" s="367"/>
      <c r="B482" s="367"/>
      <c r="C482" s="364"/>
      <c r="D482" s="364"/>
      <c r="E482" s="364"/>
      <c r="F482" s="364"/>
      <c r="G482" s="364"/>
      <c r="H482" s="364"/>
      <c r="I482" s="364"/>
      <c r="J482" s="364"/>
      <c r="K482" s="364"/>
      <c r="L482" s="364"/>
      <c r="M482" s="364"/>
      <c r="N482" s="364"/>
      <c r="O482" s="364"/>
      <c r="P482" s="364"/>
      <c r="Q482" s="364"/>
      <c r="R482" s="364"/>
      <c r="S482" s="364"/>
      <c r="T482" s="364"/>
      <c r="U482" s="364"/>
      <c r="V482" s="364"/>
      <c r="W482" s="364"/>
      <c r="X482" s="364"/>
      <c r="Y482" s="364"/>
      <c r="Z482" s="364"/>
    </row>
    <row r="483">
      <c r="A483" s="367"/>
      <c r="B483" s="367"/>
      <c r="C483" s="364"/>
      <c r="D483" s="364"/>
      <c r="E483" s="364"/>
      <c r="F483" s="364"/>
      <c r="G483" s="364"/>
      <c r="H483" s="364"/>
      <c r="I483" s="364"/>
      <c r="J483" s="364"/>
      <c r="K483" s="364"/>
      <c r="L483" s="364"/>
      <c r="M483" s="364"/>
      <c r="N483" s="364"/>
      <c r="O483" s="364"/>
      <c r="P483" s="364"/>
      <c r="Q483" s="364"/>
      <c r="R483" s="364"/>
      <c r="S483" s="364"/>
      <c r="T483" s="364"/>
      <c r="U483" s="364"/>
      <c r="V483" s="364"/>
      <c r="W483" s="364"/>
      <c r="X483" s="364"/>
      <c r="Y483" s="364"/>
      <c r="Z483" s="364"/>
    </row>
    <row r="484">
      <c r="A484" s="367"/>
      <c r="B484" s="367"/>
      <c r="C484" s="364"/>
      <c r="D484" s="364"/>
      <c r="E484" s="364"/>
      <c r="F484" s="364"/>
      <c r="G484" s="364"/>
      <c r="H484" s="364"/>
      <c r="I484" s="364"/>
      <c r="J484" s="364"/>
      <c r="K484" s="364"/>
      <c r="L484" s="364"/>
      <c r="M484" s="364"/>
      <c r="N484" s="364"/>
      <c r="O484" s="364"/>
      <c r="P484" s="364"/>
      <c r="Q484" s="364"/>
      <c r="R484" s="364"/>
      <c r="S484" s="364"/>
      <c r="T484" s="364"/>
      <c r="U484" s="364"/>
      <c r="V484" s="364"/>
      <c r="W484" s="364"/>
      <c r="X484" s="364"/>
      <c r="Y484" s="364"/>
      <c r="Z484" s="364"/>
    </row>
    <row r="485">
      <c r="A485" s="367"/>
      <c r="B485" s="367"/>
      <c r="C485" s="364"/>
      <c r="D485" s="364"/>
      <c r="E485" s="364"/>
      <c r="F485" s="364"/>
      <c r="G485" s="364"/>
      <c r="H485" s="364"/>
      <c r="I485" s="364"/>
      <c r="J485" s="364"/>
      <c r="K485" s="364"/>
      <c r="L485" s="364"/>
      <c r="M485" s="364"/>
      <c r="N485" s="364"/>
      <c r="O485" s="364"/>
      <c r="P485" s="364"/>
      <c r="Q485" s="364"/>
      <c r="R485" s="364"/>
      <c r="S485" s="364"/>
      <c r="T485" s="364"/>
      <c r="U485" s="364"/>
      <c r="V485" s="364"/>
      <c r="W485" s="364"/>
      <c r="X485" s="364"/>
      <c r="Y485" s="364"/>
      <c r="Z485" s="364"/>
    </row>
    <row r="486">
      <c r="A486" s="367"/>
      <c r="B486" s="367"/>
      <c r="C486" s="364"/>
      <c r="D486" s="364"/>
      <c r="E486" s="364"/>
      <c r="F486" s="364"/>
      <c r="G486" s="364"/>
      <c r="H486" s="364"/>
      <c r="I486" s="364"/>
      <c r="J486" s="364"/>
      <c r="K486" s="364"/>
      <c r="L486" s="364"/>
      <c r="M486" s="364"/>
      <c r="N486" s="364"/>
      <c r="O486" s="364"/>
      <c r="P486" s="364"/>
      <c r="Q486" s="364"/>
      <c r="R486" s="364"/>
      <c r="S486" s="364"/>
      <c r="T486" s="364"/>
      <c r="U486" s="364"/>
      <c r="V486" s="364"/>
      <c r="W486" s="364"/>
      <c r="X486" s="364"/>
      <c r="Y486" s="364"/>
      <c r="Z486" s="364"/>
    </row>
    <row r="487">
      <c r="A487" s="367"/>
      <c r="B487" s="367"/>
      <c r="C487" s="364"/>
      <c r="D487" s="364"/>
      <c r="E487" s="364"/>
      <c r="F487" s="364"/>
      <c r="G487" s="364"/>
      <c r="H487" s="364"/>
      <c r="I487" s="364"/>
      <c r="J487" s="364"/>
      <c r="K487" s="364"/>
      <c r="L487" s="364"/>
      <c r="M487" s="364"/>
      <c r="N487" s="364"/>
      <c r="O487" s="364"/>
      <c r="P487" s="364"/>
      <c r="Q487" s="364"/>
      <c r="R487" s="364"/>
      <c r="S487" s="364"/>
      <c r="T487" s="364"/>
      <c r="U487" s="364"/>
      <c r="V487" s="364"/>
      <c r="W487" s="364"/>
      <c r="X487" s="364"/>
      <c r="Y487" s="364"/>
      <c r="Z487" s="364"/>
    </row>
    <row r="488">
      <c r="A488" s="367"/>
      <c r="B488" s="367"/>
      <c r="C488" s="364"/>
      <c r="D488" s="364"/>
      <c r="E488" s="364"/>
      <c r="F488" s="364"/>
      <c r="G488" s="364"/>
      <c r="H488" s="364"/>
      <c r="I488" s="364"/>
      <c r="J488" s="364"/>
      <c r="K488" s="364"/>
      <c r="L488" s="364"/>
      <c r="M488" s="364"/>
      <c r="N488" s="364"/>
      <c r="O488" s="364"/>
      <c r="P488" s="364"/>
      <c r="Q488" s="364"/>
      <c r="R488" s="364"/>
      <c r="S488" s="364"/>
      <c r="T488" s="364"/>
      <c r="U488" s="364"/>
      <c r="V488" s="364"/>
      <c r="W488" s="364"/>
      <c r="X488" s="364"/>
      <c r="Y488" s="364"/>
      <c r="Z488" s="364"/>
    </row>
    <row r="489">
      <c r="A489" s="367"/>
      <c r="B489" s="367"/>
      <c r="C489" s="364"/>
      <c r="D489" s="364"/>
      <c r="E489" s="364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</row>
    <row r="490">
      <c r="A490" s="367"/>
      <c r="B490" s="367"/>
      <c r="C490" s="364"/>
      <c r="D490" s="364"/>
      <c r="E490" s="364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</row>
    <row r="491">
      <c r="A491" s="367"/>
      <c r="B491" s="367"/>
      <c r="C491" s="364"/>
      <c r="D491" s="364"/>
      <c r="E491" s="364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</row>
    <row r="492">
      <c r="A492" s="367"/>
      <c r="B492" s="367"/>
      <c r="C492" s="364"/>
      <c r="D492" s="364"/>
      <c r="E492" s="364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</row>
    <row r="493">
      <c r="A493" s="367"/>
      <c r="B493" s="367"/>
      <c r="C493" s="364"/>
      <c r="D493" s="364"/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</row>
    <row r="494">
      <c r="A494" s="367"/>
      <c r="B494" s="367"/>
      <c r="C494" s="364"/>
      <c r="D494" s="364"/>
      <c r="E494" s="364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</row>
    <row r="495">
      <c r="A495" s="367"/>
      <c r="B495" s="367"/>
      <c r="C495" s="364"/>
      <c r="D495" s="364"/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</row>
    <row r="496">
      <c r="A496" s="367"/>
      <c r="B496" s="367"/>
      <c r="C496" s="364"/>
      <c r="D496" s="364"/>
      <c r="E496" s="364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</row>
    <row r="497">
      <c r="A497" s="367"/>
      <c r="B497" s="367"/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</row>
    <row r="498">
      <c r="A498" s="367"/>
      <c r="B498" s="367"/>
      <c r="C498" s="364"/>
      <c r="D498" s="364"/>
      <c r="E498" s="364"/>
      <c r="F498" s="364"/>
      <c r="G498" s="364"/>
      <c r="H498" s="364"/>
      <c r="I498" s="364"/>
      <c r="J498" s="364"/>
      <c r="K498" s="364"/>
      <c r="L498" s="364"/>
      <c r="M498" s="364"/>
      <c r="N498" s="364"/>
      <c r="O498" s="364"/>
      <c r="P498" s="364"/>
      <c r="Q498" s="364"/>
      <c r="R498" s="364"/>
      <c r="S498" s="364"/>
      <c r="T498" s="364"/>
      <c r="U498" s="364"/>
      <c r="V498" s="364"/>
      <c r="W498" s="364"/>
      <c r="X498" s="364"/>
      <c r="Y498" s="364"/>
      <c r="Z498" s="364"/>
    </row>
    <row r="499">
      <c r="A499" s="367"/>
      <c r="B499" s="367"/>
      <c r="C499" s="364"/>
      <c r="D499" s="364"/>
      <c r="E499" s="364"/>
      <c r="F499" s="364"/>
      <c r="G499" s="364"/>
      <c r="H499" s="364"/>
      <c r="I499" s="364"/>
      <c r="J499" s="364"/>
      <c r="K499" s="364"/>
      <c r="L499" s="364"/>
      <c r="M499" s="364"/>
      <c r="N499" s="364"/>
      <c r="O499" s="364"/>
      <c r="P499" s="364"/>
      <c r="Q499" s="364"/>
      <c r="R499" s="364"/>
      <c r="S499" s="364"/>
      <c r="T499" s="364"/>
      <c r="U499" s="364"/>
      <c r="V499" s="364"/>
      <c r="W499" s="364"/>
      <c r="X499" s="364"/>
      <c r="Y499" s="364"/>
      <c r="Z499" s="364"/>
    </row>
    <row r="500">
      <c r="A500" s="367"/>
      <c r="B500" s="367"/>
      <c r="C500" s="364"/>
      <c r="D500" s="364"/>
      <c r="E500" s="364"/>
      <c r="F500" s="364"/>
      <c r="G500" s="364"/>
      <c r="H500" s="364"/>
      <c r="I500" s="364"/>
      <c r="J500" s="364"/>
      <c r="K500" s="364"/>
      <c r="L500" s="364"/>
      <c r="M500" s="364"/>
      <c r="N500" s="364"/>
      <c r="O500" s="364"/>
      <c r="P500" s="364"/>
      <c r="Q500" s="364"/>
      <c r="R500" s="364"/>
      <c r="S500" s="364"/>
      <c r="T500" s="364"/>
      <c r="U500" s="364"/>
      <c r="V500" s="364"/>
      <c r="W500" s="364"/>
      <c r="X500" s="364"/>
      <c r="Y500" s="364"/>
      <c r="Z500" s="364"/>
    </row>
    <row r="501">
      <c r="A501" s="367"/>
      <c r="B501" s="367"/>
      <c r="C501" s="364"/>
      <c r="D501" s="364"/>
      <c r="E501" s="364"/>
      <c r="F501" s="364"/>
      <c r="G501" s="364"/>
      <c r="H501" s="364"/>
      <c r="I501" s="364"/>
      <c r="J501" s="364"/>
      <c r="K501" s="364"/>
      <c r="L501" s="364"/>
      <c r="M501" s="364"/>
      <c r="N501" s="364"/>
      <c r="O501" s="364"/>
      <c r="P501" s="364"/>
      <c r="Q501" s="364"/>
      <c r="R501" s="364"/>
      <c r="S501" s="364"/>
      <c r="T501" s="364"/>
      <c r="U501" s="364"/>
      <c r="V501" s="364"/>
      <c r="W501" s="364"/>
      <c r="X501" s="364"/>
      <c r="Y501" s="364"/>
      <c r="Z501" s="364"/>
    </row>
    <row r="502">
      <c r="A502" s="367"/>
      <c r="B502" s="367"/>
      <c r="C502" s="364"/>
      <c r="D502" s="364"/>
      <c r="E502" s="364"/>
      <c r="F502" s="364"/>
      <c r="G502" s="364"/>
      <c r="H502" s="364"/>
      <c r="I502" s="364"/>
      <c r="J502" s="364"/>
      <c r="K502" s="364"/>
      <c r="L502" s="364"/>
      <c r="M502" s="364"/>
      <c r="N502" s="364"/>
      <c r="O502" s="364"/>
      <c r="P502" s="364"/>
      <c r="Q502" s="364"/>
      <c r="R502" s="364"/>
      <c r="S502" s="364"/>
      <c r="T502" s="364"/>
      <c r="U502" s="364"/>
      <c r="V502" s="364"/>
      <c r="W502" s="364"/>
      <c r="X502" s="364"/>
      <c r="Y502" s="364"/>
      <c r="Z502" s="364"/>
    </row>
    <row r="503">
      <c r="A503" s="367"/>
      <c r="B503" s="367"/>
      <c r="C503" s="364"/>
      <c r="D503" s="364"/>
      <c r="E503" s="364"/>
      <c r="F503" s="364"/>
      <c r="G503" s="364"/>
      <c r="H503" s="364"/>
      <c r="I503" s="364"/>
      <c r="J503" s="364"/>
      <c r="K503" s="364"/>
      <c r="L503" s="364"/>
      <c r="M503" s="364"/>
      <c r="N503" s="364"/>
      <c r="O503" s="364"/>
      <c r="P503" s="364"/>
      <c r="Q503" s="364"/>
      <c r="R503" s="364"/>
      <c r="S503" s="364"/>
      <c r="T503" s="364"/>
      <c r="U503" s="364"/>
      <c r="V503" s="364"/>
      <c r="W503" s="364"/>
      <c r="X503" s="364"/>
      <c r="Y503" s="364"/>
      <c r="Z503" s="364"/>
    </row>
    <row r="504">
      <c r="A504" s="367"/>
      <c r="B504" s="367"/>
      <c r="C504" s="364"/>
      <c r="D504" s="364"/>
      <c r="E504" s="364"/>
      <c r="F504" s="364"/>
      <c r="G504" s="364"/>
      <c r="H504" s="364"/>
      <c r="I504" s="364"/>
      <c r="J504" s="364"/>
      <c r="K504" s="364"/>
      <c r="L504" s="364"/>
      <c r="M504" s="364"/>
      <c r="N504" s="364"/>
      <c r="O504" s="364"/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4"/>
    </row>
    <row r="505">
      <c r="A505" s="367"/>
      <c r="B505" s="367"/>
      <c r="C505" s="364"/>
      <c r="D505" s="364"/>
      <c r="E505" s="364"/>
      <c r="F505" s="364"/>
      <c r="G505" s="364"/>
      <c r="H505" s="364"/>
      <c r="I505" s="364"/>
      <c r="J505" s="364"/>
      <c r="K505" s="364"/>
      <c r="L505" s="364"/>
      <c r="M505" s="364"/>
      <c r="N505" s="364"/>
      <c r="O505" s="364"/>
      <c r="P505" s="364"/>
      <c r="Q505" s="364"/>
      <c r="R505" s="364"/>
      <c r="S505" s="364"/>
      <c r="T505" s="364"/>
      <c r="U505" s="364"/>
      <c r="V505" s="364"/>
      <c r="W505" s="364"/>
      <c r="X505" s="364"/>
      <c r="Y505" s="364"/>
      <c r="Z505" s="364"/>
    </row>
    <row r="506">
      <c r="A506" s="367"/>
      <c r="B506" s="367"/>
      <c r="C506" s="364"/>
      <c r="D506" s="364"/>
      <c r="E506" s="364"/>
      <c r="F506" s="364"/>
      <c r="G506" s="364"/>
      <c r="H506" s="364"/>
      <c r="I506" s="364"/>
      <c r="J506" s="364"/>
      <c r="K506" s="364"/>
      <c r="L506" s="364"/>
      <c r="M506" s="364"/>
      <c r="N506" s="364"/>
      <c r="O506" s="364"/>
      <c r="P506" s="364"/>
      <c r="Q506" s="364"/>
      <c r="R506" s="364"/>
      <c r="S506" s="364"/>
      <c r="T506" s="364"/>
      <c r="U506" s="364"/>
      <c r="V506" s="364"/>
      <c r="W506" s="364"/>
      <c r="X506" s="364"/>
      <c r="Y506" s="364"/>
      <c r="Z506" s="364"/>
    </row>
    <row r="507">
      <c r="A507" s="367"/>
      <c r="B507" s="367"/>
      <c r="C507" s="364"/>
      <c r="D507" s="364"/>
      <c r="E507" s="364"/>
      <c r="F507" s="364"/>
      <c r="G507" s="364"/>
      <c r="H507" s="364"/>
      <c r="I507" s="364"/>
      <c r="J507" s="364"/>
      <c r="K507" s="364"/>
      <c r="L507" s="364"/>
      <c r="M507" s="364"/>
      <c r="N507" s="364"/>
      <c r="O507" s="364"/>
      <c r="P507" s="364"/>
      <c r="Q507" s="364"/>
      <c r="R507" s="364"/>
      <c r="S507" s="364"/>
      <c r="T507" s="364"/>
      <c r="U507" s="364"/>
      <c r="V507" s="364"/>
      <c r="W507" s="364"/>
      <c r="X507" s="364"/>
      <c r="Y507" s="364"/>
      <c r="Z507" s="364"/>
    </row>
    <row r="508">
      <c r="A508" s="367"/>
      <c r="B508" s="367"/>
      <c r="C508" s="364"/>
      <c r="D508" s="364"/>
      <c r="E508" s="364"/>
      <c r="F508" s="364"/>
      <c r="G508" s="364"/>
      <c r="H508" s="364"/>
      <c r="I508" s="364"/>
      <c r="J508" s="364"/>
      <c r="K508" s="364"/>
      <c r="L508" s="364"/>
      <c r="M508" s="364"/>
      <c r="N508" s="364"/>
      <c r="O508" s="364"/>
      <c r="P508" s="364"/>
      <c r="Q508" s="364"/>
      <c r="R508" s="364"/>
      <c r="S508" s="364"/>
      <c r="T508" s="364"/>
      <c r="U508" s="364"/>
      <c r="V508" s="364"/>
      <c r="W508" s="364"/>
      <c r="X508" s="364"/>
      <c r="Y508" s="364"/>
      <c r="Z508" s="364"/>
    </row>
    <row r="509">
      <c r="A509" s="367"/>
      <c r="B509" s="367"/>
      <c r="C509" s="364"/>
      <c r="D509" s="364"/>
      <c r="E509" s="364"/>
      <c r="F509" s="364"/>
      <c r="G509" s="364"/>
      <c r="H509" s="364"/>
      <c r="I509" s="364"/>
      <c r="J509" s="364"/>
      <c r="K509" s="364"/>
      <c r="L509" s="364"/>
      <c r="M509" s="364"/>
      <c r="N509" s="364"/>
      <c r="O509" s="364"/>
      <c r="P509" s="364"/>
      <c r="Q509" s="364"/>
      <c r="R509" s="364"/>
      <c r="S509" s="364"/>
      <c r="T509" s="364"/>
      <c r="U509" s="364"/>
      <c r="V509" s="364"/>
      <c r="W509" s="364"/>
      <c r="X509" s="364"/>
      <c r="Y509" s="364"/>
      <c r="Z509" s="364"/>
    </row>
    <row r="510">
      <c r="A510" s="367"/>
      <c r="B510" s="367"/>
      <c r="C510" s="364"/>
      <c r="D510" s="364"/>
      <c r="E510" s="364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</row>
    <row r="511">
      <c r="A511" s="367"/>
      <c r="B511" s="367"/>
      <c r="C511" s="364"/>
      <c r="D511" s="364"/>
      <c r="E511" s="364"/>
      <c r="F511" s="364"/>
      <c r="G511" s="364"/>
      <c r="H511" s="364"/>
      <c r="I511" s="364"/>
      <c r="J511" s="364"/>
      <c r="K511" s="364"/>
      <c r="L511" s="364"/>
      <c r="M511" s="364"/>
      <c r="N511" s="364"/>
      <c r="O511" s="364"/>
      <c r="P511" s="364"/>
      <c r="Q511" s="364"/>
      <c r="R511" s="364"/>
      <c r="S511" s="364"/>
      <c r="T511" s="364"/>
      <c r="U511" s="364"/>
      <c r="V511" s="364"/>
      <c r="W511" s="364"/>
      <c r="X511" s="364"/>
      <c r="Y511" s="364"/>
      <c r="Z511" s="364"/>
    </row>
    <row r="512">
      <c r="A512" s="367"/>
      <c r="B512" s="367"/>
      <c r="C512" s="364"/>
      <c r="D512" s="364"/>
      <c r="E512" s="364"/>
      <c r="F512" s="364"/>
      <c r="G512" s="364"/>
      <c r="H512" s="364"/>
      <c r="I512" s="364"/>
      <c r="J512" s="364"/>
      <c r="K512" s="364"/>
      <c r="L512" s="364"/>
      <c r="M512" s="364"/>
      <c r="N512" s="364"/>
      <c r="O512" s="364"/>
      <c r="P512" s="364"/>
      <c r="Q512" s="364"/>
      <c r="R512" s="364"/>
      <c r="S512" s="364"/>
      <c r="T512" s="364"/>
      <c r="U512" s="364"/>
      <c r="V512" s="364"/>
      <c r="W512" s="364"/>
      <c r="X512" s="364"/>
      <c r="Y512" s="364"/>
      <c r="Z512" s="364"/>
    </row>
    <row r="513">
      <c r="A513" s="367"/>
      <c r="B513" s="367"/>
      <c r="C513" s="364"/>
      <c r="D513" s="364"/>
      <c r="E513" s="364"/>
      <c r="F513" s="364"/>
      <c r="G513" s="364"/>
      <c r="H513" s="364"/>
      <c r="I513" s="364"/>
      <c r="J513" s="364"/>
      <c r="K513" s="364"/>
      <c r="L513" s="364"/>
      <c r="M513" s="364"/>
      <c r="N513" s="364"/>
      <c r="O513" s="364"/>
      <c r="P513" s="364"/>
      <c r="Q513" s="364"/>
      <c r="R513" s="364"/>
      <c r="S513" s="364"/>
      <c r="T513" s="364"/>
      <c r="U513" s="364"/>
      <c r="V513" s="364"/>
      <c r="W513" s="364"/>
      <c r="X513" s="364"/>
      <c r="Y513" s="364"/>
      <c r="Z513" s="364"/>
    </row>
    <row r="514">
      <c r="A514" s="367"/>
      <c r="B514" s="367"/>
      <c r="C514" s="364"/>
      <c r="D514" s="364"/>
      <c r="E514" s="364"/>
      <c r="F514" s="364"/>
      <c r="G514" s="364"/>
      <c r="H514" s="364"/>
      <c r="I514" s="364"/>
      <c r="J514" s="364"/>
      <c r="K514" s="364"/>
      <c r="L514" s="364"/>
      <c r="M514" s="364"/>
      <c r="N514" s="364"/>
      <c r="O514" s="364"/>
      <c r="P514" s="364"/>
      <c r="Q514" s="364"/>
      <c r="R514" s="364"/>
      <c r="S514" s="364"/>
      <c r="T514" s="364"/>
      <c r="U514" s="364"/>
      <c r="V514" s="364"/>
      <c r="W514" s="364"/>
      <c r="X514" s="364"/>
      <c r="Y514" s="364"/>
      <c r="Z514" s="364"/>
    </row>
    <row r="515">
      <c r="A515" s="367"/>
      <c r="B515" s="367"/>
      <c r="C515" s="364"/>
      <c r="D515" s="364"/>
      <c r="E515" s="364"/>
      <c r="F515" s="364"/>
      <c r="G515" s="364"/>
      <c r="H515" s="364"/>
      <c r="I515" s="364"/>
      <c r="J515" s="364"/>
      <c r="K515" s="364"/>
      <c r="L515" s="364"/>
      <c r="M515" s="364"/>
      <c r="N515" s="364"/>
      <c r="O515" s="364"/>
      <c r="P515" s="364"/>
      <c r="Q515" s="364"/>
      <c r="R515" s="364"/>
      <c r="S515" s="364"/>
      <c r="T515" s="364"/>
      <c r="U515" s="364"/>
      <c r="V515" s="364"/>
      <c r="W515" s="364"/>
      <c r="X515" s="364"/>
      <c r="Y515" s="364"/>
      <c r="Z515" s="364"/>
    </row>
    <row r="516">
      <c r="A516" s="367"/>
      <c r="B516" s="367"/>
      <c r="C516" s="364"/>
      <c r="D516" s="364"/>
      <c r="E516" s="364"/>
      <c r="F516" s="364"/>
      <c r="G516" s="364"/>
      <c r="H516" s="364"/>
      <c r="I516" s="364"/>
      <c r="J516" s="364"/>
      <c r="K516" s="364"/>
      <c r="L516" s="364"/>
      <c r="M516" s="364"/>
      <c r="N516" s="364"/>
      <c r="O516" s="364"/>
      <c r="P516" s="364"/>
      <c r="Q516" s="364"/>
      <c r="R516" s="364"/>
      <c r="S516" s="364"/>
      <c r="T516" s="364"/>
      <c r="U516" s="364"/>
      <c r="V516" s="364"/>
      <c r="W516" s="364"/>
      <c r="X516" s="364"/>
      <c r="Y516" s="364"/>
      <c r="Z516" s="364"/>
    </row>
    <row r="517">
      <c r="A517" s="367"/>
      <c r="B517" s="367"/>
      <c r="C517" s="364"/>
      <c r="D517" s="364"/>
      <c r="E517" s="364"/>
      <c r="F517" s="364"/>
      <c r="G517" s="364"/>
      <c r="H517" s="364"/>
      <c r="I517" s="364"/>
      <c r="J517" s="364"/>
      <c r="K517" s="364"/>
      <c r="L517" s="364"/>
      <c r="M517" s="364"/>
      <c r="N517" s="364"/>
      <c r="O517" s="364"/>
      <c r="P517" s="364"/>
      <c r="Q517" s="364"/>
      <c r="R517" s="364"/>
      <c r="S517" s="364"/>
      <c r="T517" s="364"/>
      <c r="U517" s="364"/>
      <c r="V517" s="364"/>
      <c r="W517" s="364"/>
      <c r="X517" s="364"/>
      <c r="Y517" s="364"/>
      <c r="Z517" s="364"/>
    </row>
    <row r="518">
      <c r="A518" s="367"/>
      <c r="B518" s="367"/>
      <c r="C518" s="364"/>
      <c r="D518" s="364"/>
      <c r="E518" s="364"/>
      <c r="F518" s="364"/>
      <c r="G518" s="364"/>
      <c r="H518" s="364"/>
      <c r="I518" s="364"/>
      <c r="J518" s="364"/>
      <c r="K518" s="364"/>
      <c r="L518" s="364"/>
      <c r="M518" s="364"/>
      <c r="N518" s="364"/>
      <c r="O518" s="364"/>
      <c r="P518" s="364"/>
      <c r="Q518" s="364"/>
      <c r="R518" s="364"/>
      <c r="S518" s="364"/>
      <c r="T518" s="364"/>
      <c r="U518" s="364"/>
      <c r="V518" s="364"/>
      <c r="W518" s="364"/>
      <c r="X518" s="364"/>
      <c r="Y518" s="364"/>
      <c r="Z518" s="364"/>
    </row>
    <row r="519">
      <c r="A519" s="367"/>
      <c r="B519" s="367"/>
      <c r="C519" s="364"/>
      <c r="D519" s="364"/>
      <c r="E519" s="364"/>
      <c r="F519" s="364"/>
      <c r="G519" s="364"/>
      <c r="H519" s="364"/>
      <c r="I519" s="364"/>
      <c r="J519" s="364"/>
      <c r="K519" s="364"/>
      <c r="L519" s="364"/>
      <c r="M519" s="364"/>
      <c r="N519" s="364"/>
      <c r="O519" s="364"/>
      <c r="P519" s="364"/>
      <c r="Q519" s="364"/>
      <c r="R519" s="364"/>
      <c r="S519" s="364"/>
      <c r="T519" s="364"/>
      <c r="U519" s="364"/>
      <c r="V519" s="364"/>
      <c r="W519" s="364"/>
      <c r="X519" s="364"/>
      <c r="Y519" s="364"/>
      <c r="Z519" s="364"/>
    </row>
    <row r="520">
      <c r="A520" s="367"/>
      <c r="B520" s="367"/>
      <c r="C520" s="364"/>
      <c r="D520" s="364"/>
      <c r="E520" s="364"/>
      <c r="F520" s="364"/>
      <c r="G520" s="364"/>
      <c r="H520" s="364"/>
      <c r="I520" s="364"/>
      <c r="J520" s="364"/>
      <c r="K520" s="364"/>
      <c r="L520" s="364"/>
      <c r="M520" s="364"/>
      <c r="N520" s="364"/>
      <c r="O520" s="364"/>
      <c r="P520" s="364"/>
      <c r="Q520" s="364"/>
      <c r="R520" s="364"/>
      <c r="S520" s="364"/>
      <c r="T520" s="364"/>
      <c r="U520" s="364"/>
      <c r="V520" s="364"/>
      <c r="W520" s="364"/>
      <c r="X520" s="364"/>
      <c r="Y520" s="364"/>
      <c r="Z520" s="364"/>
    </row>
    <row r="521">
      <c r="A521" s="367"/>
      <c r="B521" s="367"/>
      <c r="C521" s="364"/>
      <c r="D521" s="364"/>
      <c r="E521" s="364"/>
      <c r="F521" s="364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4"/>
      <c r="W521" s="364"/>
      <c r="X521" s="364"/>
      <c r="Y521" s="364"/>
      <c r="Z521" s="364"/>
    </row>
    <row r="522">
      <c r="A522" s="367"/>
      <c r="B522" s="367"/>
      <c r="C522" s="364"/>
      <c r="D522" s="364"/>
      <c r="E522" s="364"/>
      <c r="F522" s="364"/>
      <c r="G522" s="364"/>
      <c r="H522" s="364"/>
      <c r="I522" s="364"/>
      <c r="J522" s="364"/>
      <c r="K522" s="364"/>
      <c r="L522" s="364"/>
      <c r="M522" s="364"/>
      <c r="N522" s="364"/>
      <c r="O522" s="364"/>
      <c r="P522" s="364"/>
      <c r="Q522" s="364"/>
      <c r="R522" s="364"/>
      <c r="S522" s="364"/>
      <c r="T522" s="364"/>
      <c r="U522" s="364"/>
      <c r="V522" s="364"/>
      <c r="W522" s="364"/>
      <c r="X522" s="364"/>
      <c r="Y522" s="364"/>
      <c r="Z522" s="364"/>
    </row>
    <row r="523">
      <c r="A523" s="367"/>
      <c r="B523" s="367"/>
      <c r="C523" s="364"/>
      <c r="D523" s="364"/>
      <c r="E523" s="364"/>
      <c r="F523" s="364"/>
      <c r="G523" s="364"/>
      <c r="H523" s="364"/>
      <c r="I523" s="364"/>
      <c r="J523" s="364"/>
      <c r="K523" s="364"/>
      <c r="L523" s="364"/>
      <c r="M523" s="364"/>
      <c r="N523" s="364"/>
      <c r="O523" s="364"/>
      <c r="P523" s="364"/>
      <c r="Q523" s="364"/>
      <c r="R523" s="364"/>
      <c r="S523" s="364"/>
      <c r="T523" s="364"/>
      <c r="U523" s="364"/>
      <c r="V523" s="364"/>
      <c r="W523" s="364"/>
      <c r="X523" s="364"/>
      <c r="Y523" s="364"/>
      <c r="Z523" s="364"/>
    </row>
    <row r="524">
      <c r="A524" s="367"/>
      <c r="B524" s="367"/>
      <c r="C524" s="364"/>
      <c r="D524" s="364"/>
      <c r="E524" s="364"/>
      <c r="F524" s="364"/>
      <c r="G524" s="364"/>
      <c r="H524" s="364"/>
      <c r="I524" s="364"/>
      <c r="J524" s="364"/>
      <c r="K524" s="364"/>
      <c r="L524" s="364"/>
      <c r="M524" s="364"/>
      <c r="N524" s="364"/>
      <c r="O524" s="364"/>
      <c r="P524" s="364"/>
      <c r="Q524" s="364"/>
      <c r="R524" s="364"/>
      <c r="S524" s="364"/>
      <c r="T524" s="364"/>
      <c r="U524" s="364"/>
      <c r="V524" s="364"/>
      <c r="W524" s="364"/>
      <c r="X524" s="364"/>
      <c r="Y524" s="364"/>
      <c r="Z524" s="364"/>
    </row>
    <row r="525">
      <c r="A525" s="367"/>
      <c r="B525" s="367"/>
      <c r="C525" s="364"/>
      <c r="D525" s="364"/>
      <c r="E525" s="364"/>
      <c r="F525" s="364"/>
      <c r="G525" s="364"/>
      <c r="H525" s="364"/>
      <c r="I525" s="364"/>
      <c r="J525" s="364"/>
      <c r="K525" s="364"/>
      <c r="L525" s="364"/>
      <c r="M525" s="364"/>
      <c r="N525" s="364"/>
      <c r="O525" s="364"/>
      <c r="P525" s="364"/>
      <c r="Q525" s="364"/>
      <c r="R525" s="364"/>
      <c r="S525" s="364"/>
      <c r="T525" s="364"/>
      <c r="U525" s="364"/>
      <c r="V525" s="364"/>
      <c r="W525" s="364"/>
      <c r="X525" s="364"/>
      <c r="Y525" s="364"/>
      <c r="Z525" s="364"/>
    </row>
    <row r="526">
      <c r="A526" s="367"/>
      <c r="B526" s="367"/>
      <c r="C526" s="364"/>
      <c r="D526" s="364"/>
      <c r="E526" s="364"/>
      <c r="F526" s="364"/>
      <c r="G526" s="364"/>
      <c r="H526" s="364"/>
      <c r="I526" s="364"/>
      <c r="J526" s="364"/>
      <c r="K526" s="364"/>
      <c r="L526" s="364"/>
      <c r="M526" s="364"/>
      <c r="N526" s="364"/>
      <c r="O526" s="364"/>
      <c r="P526" s="364"/>
      <c r="Q526" s="364"/>
      <c r="R526" s="364"/>
      <c r="S526" s="364"/>
      <c r="T526" s="364"/>
      <c r="U526" s="364"/>
      <c r="V526" s="364"/>
      <c r="W526" s="364"/>
      <c r="X526" s="364"/>
      <c r="Y526" s="364"/>
      <c r="Z526" s="364"/>
    </row>
    <row r="527">
      <c r="A527" s="367"/>
      <c r="B527" s="367"/>
      <c r="C527" s="364"/>
      <c r="D527" s="364"/>
      <c r="E527" s="364"/>
      <c r="F527" s="364"/>
      <c r="G527" s="364"/>
      <c r="H527" s="364"/>
      <c r="I527" s="364"/>
      <c r="J527" s="364"/>
      <c r="K527" s="364"/>
      <c r="L527" s="364"/>
      <c r="M527" s="364"/>
      <c r="N527" s="364"/>
      <c r="O527" s="364"/>
      <c r="P527" s="364"/>
      <c r="Q527" s="364"/>
      <c r="R527" s="364"/>
      <c r="S527" s="364"/>
      <c r="T527" s="364"/>
      <c r="U527" s="364"/>
      <c r="V527" s="364"/>
      <c r="W527" s="364"/>
      <c r="X527" s="364"/>
      <c r="Y527" s="364"/>
      <c r="Z527" s="364"/>
    </row>
    <row r="528">
      <c r="A528" s="367"/>
      <c r="B528" s="367"/>
      <c r="C528" s="364"/>
      <c r="D528" s="364"/>
      <c r="E528" s="364"/>
      <c r="F528" s="364"/>
      <c r="G528" s="364"/>
      <c r="H528" s="364"/>
      <c r="I528" s="364"/>
      <c r="J528" s="364"/>
      <c r="K528" s="364"/>
      <c r="L528" s="364"/>
      <c r="M528" s="364"/>
      <c r="N528" s="364"/>
      <c r="O528" s="364"/>
      <c r="P528" s="364"/>
      <c r="Q528" s="364"/>
      <c r="R528" s="364"/>
      <c r="S528" s="364"/>
      <c r="T528" s="364"/>
      <c r="U528" s="364"/>
      <c r="V528" s="364"/>
      <c r="W528" s="364"/>
      <c r="X528" s="364"/>
      <c r="Y528" s="364"/>
      <c r="Z528" s="364"/>
    </row>
    <row r="529">
      <c r="A529" s="367"/>
      <c r="B529" s="367"/>
      <c r="C529" s="364"/>
      <c r="D529" s="364"/>
      <c r="E529" s="364"/>
      <c r="F529" s="364"/>
      <c r="G529" s="364"/>
      <c r="H529" s="364"/>
      <c r="I529" s="364"/>
      <c r="J529" s="364"/>
      <c r="K529" s="364"/>
      <c r="L529" s="364"/>
      <c r="M529" s="364"/>
      <c r="N529" s="364"/>
      <c r="O529" s="364"/>
      <c r="P529" s="364"/>
      <c r="Q529" s="364"/>
      <c r="R529" s="364"/>
      <c r="S529" s="364"/>
      <c r="T529" s="364"/>
      <c r="U529" s="364"/>
      <c r="V529" s="364"/>
      <c r="W529" s="364"/>
      <c r="X529" s="364"/>
      <c r="Y529" s="364"/>
      <c r="Z529" s="364"/>
    </row>
    <row r="530">
      <c r="A530" s="367"/>
      <c r="B530" s="367"/>
      <c r="C530" s="364"/>
      <c r="D530" s="364"/>
      <c r="E530" s="364"/>
      <c r="F530" s="364"/>
      <c r="G530" s="364"/>
      <c r="H530" s="364"/>
      <c r="I530" s="364"/>
      <c r="J530" s="364"/>
      <c r="K530" s="364"/>
      <c r="L530" s="364"/>
      <c r="M530" s="364"/>
      <c r="N530" s="364"/>
      <c r="O530" s="364"/>
      <c r="P530" s="364"/>
      <c r="Q530" s="364"/>
      <c r="R530" s="364"/>
      <c r="S530" s="364"/>
      <c r="T530" s="364"/>
      <c r="U530" s="364"/>
      <c r="V530" s="364"/>
      <c r="W530" s="364"/>
      <c r="X530" s="364"/>
      <c r="Y530" s="364"/>
      <c r="Z530" s="364"/>
    </row>
    <row r="531">
      <c r="A531" s="367"/>
      <c r="B531" s="367"/>
      <c r="C531" s="364"/>
      <c r="D531" s="364"/>
      <c r="E531" s="364"/>
      <c r="F531" s="364"/>
      <c r="G531" s="364"/>
      <c r="H531" s="364"/>
      <c r="I531" s="364"/>
      <c r="J531" s="364"/>
      <c r="K531" s="364"/>
      <c r="L531" s="364"/>
      <c r="M531" s="364"/>
      <c r="N531" s="364"/>
      <c r="O531" s="364"/>
      <c r="P531" s="364"/>
      <c r="Q531" s="364"/>
      <c r="R531" s="364"/>
      <c r="S531" s="364"/>
      <c r="T531" s="364"/>
      <c r="U531" s="364"/>
      <c r="V531" s="364"/>
      <c r="W531" s="364"/>
      <c r="X531" s="364"/>
      <c r="Y531" s="364"/>
      <c r="Z531" s="364"/>
    </row>
    <row r="532">
      <c r="A532" s="367"/>
      <c r="B532" s="367"/>
      <c r="C532" s="364"/>
      <c r="D532" s="364"/>
      <c r="E532" s="364"/>
      <c r="F532" s="364"/>
      <c r="G532" s="364"/>
      <c r="H532" s="364"/>
      <c r="I532" s="364"/>
      <c r="J532" s="364"/>
      <c r="K532" s="364"/>
      <c r="L532" s="364"/>
      <c r="M532" s="364"/>
      <c r="N532" s="364"/>
      <c r="O532" s="364"/>
      <c r="P532" s="364"/>
      <c r="Q532" s="364"/>
      <c r="R532" s="364"/>
      <c r="S532" s="364"/>
      <c r="T532" s="364"/>
      <c r="U532" s="364"/>
      <c r="V532" s="364"/>
      <c r="W532" s="364"/>
      <c r="X532" s="364"/>
      <c r="Y532" s="364"/>
      <c r="Z532" s="364"/>
    </row>
    <row r="533">
      <c r="A533" s="367"/>
      <c r="B533" s="367"/>
      <c r="C533" s="364"/>
      <c r="D533" s="364"/>
      <c r="E533" s="364"/>
      <c r="F533" s="364"/>
      <c r="G533" s="364"/>
      <c r="H533" s="364"/>
      <c r="I533" s="364"/>
      <c r="J533" s="364"/>
      <c r="K533" s="364"/>
      <c r="L533" s="364"/>
      <c r="M533" s="364"/>
      <c r="N533" s="364"/>
      <c r="O533" s="364"/>
      <c r="P533" s="364"/>
      <c r="Q533" s="364"/>
      <c r="R533" s="364"/>
      <c r="S533" s="364"/>
      <c r="T533" s="364"/>
      <c r="U533" s="364"/>
      <c r="V533" s="364"/>
      <c r="W533" s="364"/>
      <c r="X533" s="364"/>
      <c r="Y533" s="364"/>
      <c r="Z533" s="364"/>
    </row>
    <row r="534">
      <c r="A534" s="367"/>
      <c r="B534" s="367"/>
      <c r="C534" s="364"/>
      <c r="D534" s="364"/>
      <c r="E534" s="364"/>
      <c r="F534" s="364"/>
      <c r="G534" s="364"/>
      <c r="H534" s="364"/>
      <c r="I534" s="364"/>
      <c r="J534" s="364"/>
      <c r="K534" s="364"/>
      <c r="L534" s="364"/>
      <c r="M534" s="364"/>
      <c r="N534" s="364"/>
      <c r="O534" s="364"/>
      <c r="P534" s="364"/>
      <c r="Q534" s="364"/>
      <c r="R534" s="364"/>
      <c r="S534" s="364"/>
      <c r="T534" s="364"/>
      <c r="U534" s="364"/>
      <c r="V534" s="364"/>
      <c r="W534" s="364"/>
      <c r="X534" s="364"/>
      <c r="Y534" s="364"/>
      <c r="Z534" s="364"/>
    </row>
    <row r="535">
      <c r="A535" s="367"/>
      <c r="B535" s="367"/>
      <c r="C535" s="364"/>
      <c r="D535" s="364"/>
      <c r="E535" s="364"/>
      <c r="F535" s="364"/>
      <c r="G535" s="364"/>
      <c r="H535" s="364"/>
      <c r="I535" s="364"/>
      <c r="J535" s="364"/>
      <c r="K535" s="364"/>
      <c r="L535" s="364"/>
      <c r="M535" s="364"/>
      <c r="N535" s="364"/>
      <c r="O535" s="364"/>
      <c r="P535" s="364"/>
      <c r="Q535" s="364"/>
      <c r="R535" s="364"/>
      <c r="S535" s="364"/>
      <c r="T535" s="364"/>
      <c r="U535" s="364"/>
      <c r="V535" s="364"/>
      <c r="W535" s="364"/>
      <c r="X535" s="364"/>
      <c r="Y535" s="364"/>
      <c r="Z535" s="364"/>
    </row>
    <row r="536">
      <c r="A536" s="367"/>
      <c r="B536" s="367"/>
      <c r="C536" s="364"/>
      <c r="D536" s="364"/>
      <c r="E536" s="364"/>
      <c r="F536" s="364"/>
      <c r="G536" s="364"/>
      <c r="H536" s="364"/>
      <c r="I536" s="364"/>
      <c r="J536" s="364"/>
      <c r="K536" s="364"/>
      <c r="L536" s="364"/>
      <c r="M536" s="364"/>
      <c r="N536" s="364"/>
      <c r="O536" s="364"/>
      <c r="P536" s="364"/>
      <c r="Q536" s="364"/>
      <c r="R536" s="364"/>
      <c r="S536" s="364"/>
      <c r="T536" s="364"/>
      <c r="U536" s="364"/>
      <c r="V536" s="364"/>
      <c r="W536" s="364"/>
      <c r="X536" s="364"/>
      <c r="Y536" s="364"/>
      <c r="Z536" s="364"/>
    </row>
    <row r="537">
      <c r="A537" s="367"/>
      <c r="B537" s="367"/>
      <c r="C537" s="364"/>
      <c r="D537" s="364"/>
      <c r="E537" s="364"/>
      <c r="F537" s="364"/>
      <c r="G537" s="364"/>
      <c r="H537" s="364"/>
      <c r="I537" s="364"/>
      <c r="J537" s="364"/>
      <c r="K537" s="364"/>
      <c r="L537" s="364"/>
      <c r="M537" s="364"/>
      <c r="N537" s="364"/>
      <c r="O537" s="364"/>
      <c r="P537" s="364"/>
      <c r="Q537" s="364"/>
      <c r="R537" s="364"/>
      <c r="S537" s="364"/>
      <c r="T537" s="364"/>
      <c r="U537" s="364"/>
      <c r="V537" s="364"/>
      <c r="W537" s="364"/>
      <c r="X537" s="364"/>
      <c r="Y537" s="364"/>
      <c r="Z537" s="364"/>
    </row>
    <row r="538">
      <c r="A538" s="367"/>
      <c r="B538" s="367"/>
      <c r="C538" s="364"/>
      <c r="D538" s="364"/>
      <c r="E538" s="364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</row>
    <row r="539">
      <c r="A539" s="367"/>
      <c r="B539" s="367"/>
      <c r="C539" s="364"/>
      <c r="D539" s="364"/>
      <c r="E539" s="364"/>
      <c r="F539" s="364"/>
      <c r="G539" s="364"/>
      <c r="H539" s="364"/>
      <c r="I539" s="364"/>
      <c r="J539" s="364"/>
      <c r="K539" s="364"/>
      <c r="L539" s="364"/>
      <c r="M539" s="364"/>
      <c r="N539" s="364"/>
      <c r="O539" s="364"/>
      <c r="P539" s="364"/>
      <c r="Q539" s="364"/>
      <c r="R539" s="364"/>
      <c r="S539" s="364"/>
      <c r="T539" s="364"/>
      <c r="U539" s="364"/>
      <c r="V539" s="364"/>
      <c r="W539" s="364"/>
      <c r="X539" s="364"/>
      <c r="Y539" s="364"/>
      <c r="Z539" s="364"/>
    </row>
    <row r="540">
      <c r="A540" s="367"/>
      <c r="B540" s="367"/>
      <c r="C540" s="364"/>
      <c r="D540" s="364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  <c r="S540" s="364"/>
      <c r="T540" s="364"/>
      <c r="U540" s="364"/>
      <c r="V540" s="364"/>
      <c r="W540" s="364"/>
      <c r="X540" s="364"/>
      <c r="Y540" s="364"/>
      <c r="Z540" s="364"/>
    </row>
    <row r="541">
      <c r="A541" s="367"/>
      <c r="B541" s="367"/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</row>
    <row r="542">
      <c r="A542" s="367"/>
      <c r="B542" s="367"/>
      <c r="C542" s="364"/>
      <c r="D542" s="364"/>
      <c r="E542" s="364"/>
      <c r="F542" s="364"/>
      <c r="G542" s="364"/>
      <c r="H542" s="364"/>
      <c r="I542" s="364"/>
      <c r="J542" s="364"/>
      <c r="K542" s="364"/>
      <c r="L542" s="364"/>
      <c r="M542" s="364"/>
      <c r="N542" s="364"/>
      <c r="O542" s="364"/>
      <c r="P542" s="364"/>
      <c r="Q542" s="364"/>
      <c r="R542" s="364"/>
      <c r="S542" s="364"/>
      <c r="T542" s="364"/>
      <c r="U542" s="364"/>
      <c r="V542" s="364"/>
      <c r="W542" s="364"/>
      <c r="X542" s="364"/>
      <c r="Y542" s="364"/>
      <c r="Z542" s="364"/>
    </row>
    <row r="543">
      <c r="A543" s="367"/>
      <c r="B543" s="367"/>
      <c r="C543" s="364"/>
      <c r="D543" s="364"/>
      <c r="E543" s="364"/>
      <c r="F543" s="364"/>
      <c r="G543" s="364"/>
      <c r="H543" s="364"/>
      <c r="I543" s="364"/>
      <c r="J543" s="364"/>
      <c r="K543" s="364"/>
      <c r="L543" s="364"/>
      <c r="M543" s="364"/>
      <c r="N543" s="364"/>
      <c r="O543" s="364"/>
      <c r="P543" s="364"/>
      <c r="Q543" s="364"/>
      <c r="R543" s="364"/>
      <c r="S543" s="364"/>
      <c r="T543" s="364"/>
      <c r="U543" s="364"/>
      <c r="V543" s="364"/>
      <c r="W543" s="364"/>
      <c r="X543" s="364"/>
      <c r="Y543" s="364"/>
      <c r="Z543" s="364"/>
    </row>
    <row r="544">
      <c r="A544" s="367"/>
      <c r="B544" s="367"/>
      <c r="C544" s="364"/>
      <c r="D544" s="364"/>
      <c r="E544" s="364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Z544" s="364"/>
    </row>
    <row r="545">
      <c r="A545" s="367"/>
      <c r="B545" s="367"/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Z545" s="364"/>
    </row>
    <row r="546">
      <c r="A546" s="367"/>
      <c r="B546" s="367"/>
      <c r="C546" s="364"/>
      <c r="D546" s="364"/>
      <c r="E546" s="364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Z546" s="364"/>
    </row>
    <row r="547">
      <c r="A547" s="367"/>
      <c r="B547" s="367"/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Z547" s="364"/>
    </row>
    <row r="548">
      <c r="A548" s="367"/>
      <c r="B548" s="367"/>
      <c r="C548" s="364"/>
      <c r="D548" s="364"/>
      <c r="E548" s="364"/>
      <c r="F548" s="364"/>
      <c r="G548" s="364"/>
      <c r="H548" s="364"/>
      <c r="I548" s="364"/>
      <c r="J548" s="364"/>
      <c r="K548" s="364"/>
      <c r="L548" s="364"/>
      <c r="M548" s="364"/>
      <c r="N548" s="364"/>
      <c r="O548" s="364"/>
      <c r="P548" s="364"/>
      <c r="Q548" s="364"/>
      <c r="R548" s="364"/>
      <c r="S548" s="364"/>
      <c r="T548" s="364"/>
      <c r="U548" s="364"/>
      <c r="V548" s="364"/>
      <c r="W548" s="364"/>
      <c r="X548" s="364"/>
      <c r="Y548" s="364"/>
      <c r="Z548" s="364"/>
    </row>
    <row r="549">
      <c r="A549" s="367"/>
      <c r="B549" s="367"/>
      <c r="C549" s="364"/>
      <c r="D549" s="364"/>
      <c r="E549" s="364"/>
      <c r="F549" s="364"/>
      <c r="G549" s="364"/>
      <c r="H549" s="364"/>
      <c r="I549" s="364"/>
      <c r="J549" s="364"/>
      <c r="K549" s="364"/>
      <c r="L549" s="364"/>
      <c r="M549" s="364"/>
      <c r="N549" s="364"/>
      <c r="O549" s="364"/>
      <c r="P549" s="364"/>
      <c r="Q549" s="364"/>
      <c r="R549" s="364"/>
      <c r="S549" s="364"/>
      <c r="T549" s="364"/>
      <c r="U549" s="364"/>
      <c r="V549" s="364"/>
      <c r="W549" s="364"/>
      <c r="X549" s="364"/>
      <c r="Y549" s="364"/>
      <c r="Z549" s="364"/>
    </row>
    <row r="550">
      <c r="A550" s="367"/>
      <c r="B550" s="367"/>
      <c r="C550" s="364"/>
      <c r="D550" s="364"/>
      <c r="E550" s="364"/>
      <c r="F550" s="364"/>
      <c r="G550" s="364"/>
      <c r="H550" s="364"/>
      <c r="I550" s="364"/>
      <c r="J550" s="364"/>
      <c r="K550" s="364"/>
      <c r="L550" s="364"/>
      <c r="M550" s="364"/>
      <c r="N550" s="364"/>
      <c r="O550" s="364"/>
      <c r="P550" s="364"/>
      <c r="Q550" s="364"/>
      <c r="R550" s="364"/>
      <c r="S550" s="364"/>
      <c r="T550" s="364"/>
      <c r="U550" s="364"/>
      <c r="V550" s="364"/>
      <c r="W550" s="364"/>
      <c r="X550" s="364"/>
      <c r="Y550" s="364"/>
      <c r="Z550" s="364"/>
    </row>
    <row r="551">
      <c r="A551" s="367"/>
      <c r="B551" s="367"/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</row>
    <row r="552">
      <c r="A552" s="367"/>
      <c r="B552" s="367"/>
      <c r="C552" s="364"/>
      <c r="D552" s="364"/>
      <c r="E552" s="364"/>
      <c r="F552" s="364"/>
      <c r="G552" s="364"/>
      <c r="H552" s="364"/>
      <c r="I552" s="364"/>
      <c r="J552" s="364"/>
      <c r="K552" s="364"/>
      <c r="L552" s="364"/>
      <c r="M552" s="364"/>
      <c r="N552" s="364"/>
      <c r="O552" s="364"/>
      <c r="P552" s="364"/>
      <c r="Q552" s="364"/>
      <c r="R552" s="364"/>
      <c r="S552" s="364"/>
      <c r="T552" s="364"/>
      <c r="U552" s="364"/>
      <c r="V552" s="364"/>
      <c r="W552" s="364"/>
      <c r="X552" s="364"/>
      <c r="Y552" s="364"/>
      <c r="Z552" s="364"/>
    </row>
    <row r="553">
      <c r="A553" s="367"/>
      <c r="B553" s="367"/>
      <c r="C553" s="364"/>
      <c r="D553" s="364"/>
      <c r="E553" s="364"/>
      <c r="F553" s="364"/>
      <c r="G553" s="364"/>
      <c r="H553" s="364"/>
      <c r="I553" s="364"/>
      <c r="J553" s="364"/>
      <c r="K553" s="364"/>
      <c r="L553" s="364"/>
      <c r="M553" s="364"/>
      <c r="N553" s="364"/>
      <c r="O553" s="364"/>
      <c r="P553" s="364"/>
      <c r="Q553" s="364"/>
      <c r="R553" s="364"/>
      <c r="S553" s="364"/>
      <c r="T553" s="364"/>
      <c r="U553" s="364"/>
      <c r="V553" s="364"/>
      <c r="W553" s="364"/>
      <c r="X553" s="364"/>
      <c r="Y553" s="364"/>
      <c r="Z553" s="364"/>
    </row>
    <row r="554">
      <c r="A554" s="367"/>
      <c r="B554" s="367"/>
      <c r="C554" s="364"/>
      <c r="D554" s="364"/>
      <c r="E554" s="364"/>
      <c r="F554" s="364"/>
      <c r="G554" s="364"/>
      <c r="H554" s="364"/>
      <c r="I554" s="364"/>
      <c r="J554" s="364"/>
      <c r="K554" s="364"/>
      <c r="L554" s="364"/>
      <c r="M554" s="364"/>
      <c r="N554" s="364"/>
      <c r="O554" s="364"/>
      <c r="P554" s="364"/>
      <c r="Q554" s="364"/>
      <c r="R554" s="364"/>
      <c r="S554" s="364"/>
      <c r="T554" s="364"/>
      <c r="U554" s="364"/>
      <c r="V554" s="364"/>
      <c r="W554" s="364"/>
      <c r="X554" s="364"/>
      <c r="Y554" s="364"/>
      <c r="Z554" s="364"/>
    </row>
    <row r="555">
      <c r="A555" s="367"/>
      <c r="B555" s="367"/>
      <c r="C555" s="364"/>
      <c r="D555" s="364"/>
      <c r="E555" s="364"/>
      <c r="F555" s="364"/>
      <c r="G555" s="364"/>
      <c r="H555" s="364"/>
      <c r="I555" s="364"/>
      <c r="J555" s="364"/>
      <c r="K555" s="364"/>
      <c r="L555" s="364"/>
      <c r="M555" s="364"/>
      <c r="N555" s="364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</row>
    <row r="556">
      <c r="A556" s="367"/>
      <c r="B556" s="367"/>
      <c r="C556" s="364"/>
      <c r="D556" s="364"/>
      <c r="E556" s="364"/>
      <c r="F556" s="364"/>
      <c r="G556" s="364"/>
      <c r="H556" s="364"/>
      <c r="I556" s="364"/>
      <c r="J556" s="364"/>
      <c r="K556" s="364"/>
      <c r="L556" s="364"/>
      <c r="M556" s="364"/>
      <c r="N556" s="364"/>
      <c r="O556" s="364"/>
      <c r="P556" s="364"/>
      <c r="Q556" s="364"/>
      <c r="R556" s="364"/>
      <c r="S556" s="364"/>
      <c r="T556" s="364"/>
      <c r="U556" s="364"/>
      <c r="V556" s="364"/>
      <c r="W556" s="364"/>
      <c r="X556" s="364"/>
      <c r="Y556" s="364"/>
      <c r="Z556" s="364"/>
    </row>
    <row r="557">
      <c r="A557" s="367"/>
      <c r="B557" s="367"/>
      <c r="C557" s="364"/>
      <c r="D557" s="364"/>
      <c r="E557" s="364"/>
      <c r="F557" s="364"/>
      <c r="G557" s="364"/>
      <c r="H557" s="364"/>
      <c r="I557" s="364"/>
      <c r="J557" s="364"/>
      <c r="K557" s="364"/>
      <c r="L557" s="364"/>
      <c r="M557" s="364"/>
      <c r="N557" s="364"/>
      <c r="O557" s="364"/>
      <c r="P557" s="364"/>
      <c r="Q557" s="364"/>
      <c r="R557" s="364"/>
      <c r="S557" s="364"/>
      <c r="T557" s="364"/>
      <c r="U557" s="364"/>
      <c r="V557" s="364"/>
      <c r="W557" s="364"/>
      <c r="X557" s="364"/>
      <c r="Y557" s="364"/>
      <c r="Z557" s="364"/>
    </row>
    <row r="558">
      <c r="A558" s="367"/>
      <c r="B558" s="367"/>
      <c r="C558" s="364"/>
      <c r="D558" s="364"/>
      <c r="E558" s="364"/>
      <c r="F558" s="364"/>
      <c r="G558" s="364"/>
      <c r="H558" s="364"/>
      <c r="I558" s="364"/>
      <c r="J558" s="364"/>
      <c r="K558" s="364"/>
      <c r="L558" s="364"/>
      <c r="M558" s="364"/>
      <c r="N558" s="364"/>
      <c r="O558" s="364"/>
      <c r="P558" s="364"/>
      <c r="Q558" s="364"/>
      <c r="R558" s="364"/>
      <c r="S558" s="364"/>
      <c r="T558" s="364"/>
      <c r="U558" s="364"/>
      <c r="V558" s="364"/>
      <c r="W558" s="364"/>
      <c r="X558" s="364"/>
      <c r="Y558" s="364"/>
      <c r="Z558" s="364"/>
    </row>
    <row r="559">
      <c r="A559" s="367"/>
      <c r="B559" s="367"/>
      <c r="C559" s="364"/>
      <c r="D559" s="364"/>
      <c r="E559" s="364"/>
      <c r="F559" s="364"/>
      <c r="G559" s="364"/>
      <c r="H559" s="364"/>
      <c r="I559" s="364"/>
      <c r="J559" s="364"/>
      <c r="K559" s="364"/>
      <c r="L559" s="364"/>
      <c r="M559" s="364"/>
      <c r="N559" s="364"/>
      <c r="O559" s="364"/>
      <c r="P559" s="364"/>
      <c r="Q559" s="364"/>
      <c r="R559" s="364"/>
      <c r="S559" s="364"/>
      <c r="T559" s="364"/>
      <c r="U559" s="364"/>
      <c r="V559" s="364"/>
      <c r="W559" s="364"/>
      <c r="X559" s="364"/>
      <c r="Y559" s="364"/>
      <c r="Z559" s="364"/>
    </row>
    <row r="560">
      <c r="A560" s="367"/>
      <c r="B560" s="367"/>
      <c r="C560" s="364"/>
      <c r="D560" s="364"/>
      <c r="E560" s="364"/>
      <c r="F560" s="364"/>
      <c r="G560" s="364"/>
      <c r="H560" s="364"/>
      <c r="I560" s="364"/>
      <c r="J560" s="364"/>
      <c r="K560" s="364"/>
      <c r="L560" s="364"/>
      <c r="M560" s="364"/>
      <c r="N560" s="364"/>
      <c r="O560" s="364"/>
      <c r="P560" s="364"/>
      <c r="Q560" s="364"/>
      <c r="R560" s="364"/>
      <c r="S560" s="364"/>
      <c r="T560" s="364"/>
      <c r="U560" s="364"/>
      <c r="V560" s="364"/>
      <c r="W560" s="364"/>
      <c r="X560" s="364"/>
      <c r="Y560" s="364"/>
      <c r="Z560" s="364"/>
    </row>
    <row r="561">
      <c r="A561" s="367"/>
      <c r="B561" s="367"/>
      <c r="C561" s="364"/>
      <c r="D561" s="364"/>
      <c r="E561" s="364"/>
      <c r="F561" s="364"/>
      <c r="G561" s="364"/>
      <c r="H561" s="364"/>
      <c r="I561" s="364"/>
      <c r="J561" s="364"/>
      <c r="K561" s="364"/>
      <c r="L561" s="364"/>
      <c r="M561" s="364"/>
      <c r="N561" s="364"/>
      <c r="O561" s="364"/>
      <c r="P561" s="364"/>
      <c r="Q561" s="364"/>
      <c r="R561" s="364"/>
      <c r="S561" s="364"/>
      <c r="T561" s="364"/>
      <c r="U561" s="364"/>
      <c r="V561" s="364"/>
      <c r="W561" s="364"/>
      <c r="X561" s="364"/>
      <c r="Y561" s="364"/>
      <c r="Z561" s="364"/>
    </row>
    <row r="562">
      <c r="A562" s="367"/>
      <c r="B562" s="367"/>
      <c r="C562" s="364"/>
      <c r="D562" s="364"/>
      <c r="E562" s="364"/>
      <c r="F562" s="364"/>
      <c r="G562" s="364"/>
      <c r="H562" s="364"/>
      <c r="I562" s="364"/>
      <c r="J562" s="364"/>
      <c r="K562" s="364"/>
      <c r="L562" s="364"/>
      <c r="M562" s="364"/>
      <c r="N562" s="364"/>
      <c r="O562" s="364"/>
      <c r="P562" s="364"/>
      <c r="Q562" s="364"/>
      <c r="R562" s="364"/>
      <c r="S562" s="364"/>
      <c r="T562" s="364"/>
      <c r="U562" s="364"/>
      <c r="V562" s="364"/>
      <c r="W562" s="364"/>
      <c r="X562" s="364"/>
      <c r="Y562" s="364"/>
      <c r="Z562" s="364"/>
    </row>
    <row r="563">
      <c r="A563" s="367"/>
      <c r="B563" s="367"/>
      <c r="C563" s="364"/>
      <c r="D563" s="364"/>
      <c r="E563" s="364"/>
      <c r="F563" s="364"/>
      <c r="G563" s="364"/>
      <c r="H563" s="364"/>
      <c r="I563" s="364"/>
      <c r="J563" s="364"/>
      <c r="K563" s="364"/>
      <c r="L563" s="364"/>
      <c r="M563" s="364"/>
      <c r="N563" s="364"/>
      <c r="O563" s="364"/>
      <c r="P563" s="364"/>
      <c r="Q563" s="364"/>
      <c r="R563" s="364"/>
      <c r="S563" s="364"/>
      <c r="T563" s="364"/>
      <c r="U563" s="364"/>
      <c r="V563" s="364"/>
      <c r="W563" s="364"/>
      <c r="X563" s="364"/>
      <c r="Y563" s="364"/>
      <c r="Z563" s="364"/>
    </row>
    <row r="564">
      <c r="A564" s="367"/>
      <c r="B564" s="367"/>
      <c r="C564" s="364"/>
      <c r="D564" s="364"/>
      <c r="E564" s="364"/>
      <c r="F564" s="364"/>
      <c r="G564" s="364"/>
      <c r="H564" s="364"/>
      <c r="I564" s="364"/>
      <c r="J564" s="364"/>
      <c r="K564" s="364"/>
      <c r="L564" s="364"/>
      <c r="M564" s="364"/>
      <c r="N564" s="364"/>
      <c r="O564" s="364"/>
      <c r="P564" s="364"/>
      <c r="Q564" s="364"/>
      <c r="R564" s="364"/>
      <c r="S564" s="364"/>
      <c r="T564" s="364"/>
      <c r="U564" s="364"/>
      <c r="V564" s="364"/>
      <c r="W564" s="364"/>
      <c r="X564" s="364"/>
      <c r="Y564" s="364"/>
      <c r="Z564" s="364"/>
    </row>
    <row r="565">
      <c r="A565" s="367"/>
      <c r="B565" s="367"/>
      <c r="C565" s="364"/>
      <c r="D565" s="364"/>
      <c r="E565" s="364"/>
      <c r="F565" s="364"/>
      <c r="G565" s="364"/>
      <c r="H565" s="364"/>
      <c r="I565" s="364"/>
      <c r="J565" s="364"/>
      <c r="K565" s="364"/>
      <c r="L565" s="364"/>
      <c r="M565" s="364"/>
      <c r="N565" s="364"/>
      <c r="O565" s="364"/>
      <c r="P565" s="364"/>
      <c r="Q565" s="364"/>
      <c r="R565" s="364"/>
      <c r="S565" s="364"/>
      <c r="T565" s="364"/>
      <c r="U565" s="364"/>
      <c r="V565" s="364"/>
      <c r="W565" s="364"/>
      <c r="X565" s="364"/>
      <c r="Y565" s="364"/>
      <c r="Z565" s="364"/>
    </row>
    <row r="566">
      <c r="A566" s="367"/>
      <c r="B566" s="367"/>
      <c r="C566" s="364"/>
      <c r="D566" s="364"/>
      <c r="E566" s="364"/>
      <c r="F566" s="364"/>
      <c r="G566" s="364"/>
      <c r="H566" s="364"/>
      <c r="I566" s="364"/>
      <c r="J566" s="364"/>
      <c r="K566" s="364"/>
      <c r="L566" s="364"/>
      <c r="M566" s="364"/>
      <c r="N566" s="364"/>
      <c r="O566" s="364"/>
      <c r="P566" s="364"/>
      <c r="Q566" s="364"/>
      <c r="R566" s="364"/>
      <c r="S566" s="364"/>
      <c r="T566" s="364"/>
      <c r="U566" s="364"/>
      <c r="V566" s="364"/>
      <c r="W566" s="364"/>
      <c r="X566" s="364"/>
      <c r="Y566" s="364"/>
      <c r="Z566" s="364"/>
    </row>
    <row r="567">
      <c r="A567" s="367"/>
      <c r="B567" s="367"/>
      <c r="C567" s="364"/>
      <c r="D567" s="364"/>
      <c r="E567" s="364"/>
      <c r="F567" s="364"/>
      <c r="G567" s="364"/>
      <c r="H567" s="364"/>
      <c r="I567" s="364"/>
      <c r="J567" s="364"/>
      <c r="K567" s="364"/>
      <c r="L567" s="364"/>
      <c r="M567" s="364"/>
      <c r="N567" s="364"/>
      <c r="O567" s="364"/>
      <c r="P567" s="364"/>
      <c r="Q567" s="364"/>
      <c r="R567" s="364"/>
      <c r="S567" s="364"/>
      <c r="T567" s="364"/>
      <c r="U567" s="364"/>
      <c r="V567" s="364"/>
      <c r="W567" s="364"/>
      <c r="X567" s="364"/>
      <c r="Y567" s="364"/>
      <c r="Z567" s="364"/>
    </row>
    <row r="568">
      <c r="A568" s="367"/>
      <c r="B568" s="367"/>
      <c r="C568" s="364"/>
      <c r="D568" s="364"/>
      <c r="E568" s="364"/>
      <c r="F568" s="364"/>
      <c r="G568" s="364"/>
      <c r="H568" s="364"/>
      <c r="I568" s="364"/>
      <c r="J568" s="364"/>
      <c r="K568" s="364"/>
      <c r="L568" s="364"/>
      <c r="M568" s="364"/>
      <c r="N568" s="364"/>
      <c r="O568" s="364"/>
      <c r="P568" s="364"/>
      <c r="Q568" s="364"/>
      <c r="R568" s="364"/>
      <c r="S568" s="364"/>
      <c r="T568" s="364"/>
      <c r="U568" s="364"/>
      <c r="V568" s="364"/>
      <c r="W568" s="364"/>
      <c r="X568" s="364"/>
      <c r="Y568" s="364"/>
      <c r="Z568" s="364"/>
    </row>
    <row r="569">
      <c r="A569" s="367"/>
      <c r="B569" s="367"/>
      <c r="C569" s="364"/>
      <c r="D569" s="364"/>
      <c r="E569" s="364"/>
      <c r="F569" s="364"/>
      <c r="G569" s="364"/>
      <c r="H569" s="364"/>
      <c r="I569" s="364"/>
      <c r="J569" s="364"/>
      <c r="K569" s="364"/>
      <c r="L569" s="364"/>
      <c r="M569" s="364"/>
      <c r="N569" s="364"/>
      <c r="O569" s="364"/>
      <c r="P569" s="364"/>
      <c r="Q569" s="364"/>
      <c r="R569" s="364"/>
      <c r="S569" s="364"/>
      <c r="T569" s="364"/>
      <c r="U569" s="364"/>
      <c r="V569" s="364"/>
      <c r="W569" s="364"/>
      <c r="X569" s="364"/>
      <c r="Y569" s="364"/>
      <c r="Z569" s="364"/>
    </row>
    <row r="570">
      <c r="A570" s="367"/>
      <c r="B570" s="367"/>
      <c r="C570" s="364"/>
      <c r="D570" s="364"/>
      <c r="E570" s="364"/>
      <c r="F570" s="364"/>
      <c r="G570" s="364"/>
      <c r="H570" s="364"/>
      <c r="I570" s="364"/>
      <c r="J570" s="364"/>
      <c r="K570" s="364"/>
      <c r="L570" s="364"/>
      <c r="M570" s="364"/>
      <c r="N570" s="364"/>
      <c r="O570" s="364"/>
      <c r="P570" s="364"/>
      <c r="Q570" s="364"/>
      <c r="R570" s="364"/>
      <c r="S570" s="364"/>
      <c r="T570" s="364"/>
      <c r="U570" s="364"/>
      <c r="V570" s="364"/>
      <c r="W570" s="364"/>
      <c r="X570" s="364"/>
      <c r="Y570" s="364"/>
      <c r="Z570" s="364"/>
    </row>
    <row r="571">
      <c r="A571" s="367"/>
      <c r="B571" s="367"/>
      <c r="C571" s="364"/>
      <c r="D571" s="364"/>
      <c r="E571" s="364"/>
      <c r="F571" s="364"/>
      <c r="G571" s="364"/>
      <c r="H571" s="364"/>
      <c r="I571" s="364"/>
      <c r="J571" s="364"/>
      <c r="K571" s="364"/>
      <c r="L571" s="364"/>
      <c r="M571" s="364"/>
      <c r="N571" s="364"/>
      <c r="O571" s="364"/>
      <c r="P571" s="364"/>
      <c r="Q571" s="364"/>
      <c r="R571" s="364"/>
      <c r="S571" s="364"/>
      <c r="T571" s="364"/>
      <c r="U571" s="364"/>
      <c r="V571" s="364"/>
      <c r="W571" s="364"/>
      <c r="X571" s="364"/>
      <c r="Y571" s="364"/>
      <c r="Z571" s="364"/>
    </row>
    <row r="572">
      <c r="A572" s="367"/>
      <c r="B572" s="367"/>
      <c r="C572" s="364"/>
      <c r="D572" s="364"/>
      <c r="E572" s="364"/>
      <c r="F572" s="364"/>
      <c r="G572" s="364"/>
      <c r="H572" s="364"/>
      <c r="I572" s="364"/>
      <c r="J572" s="364"/>
      <c r="K572" s="364"/>
      <c r="L572" s="364"/>
      <c r="M572" s="364"/>
      <c r="N572" s="364"/>
      <c r="O572" s="364"/>
      <c r="P572" s="364"/>
      <c r="Q572" s="364"/>
      <c r="R572" s="364"/>
      <c r="S572" s="364"/>
      <c r="T572" s="364"/>
      <c r="U572" s="364"/>
      <c r="V572" s="364"/>
      <c r="W572" s="364"/>
      <c r="X572" s="364"/>
      <c r="Y572" s="364"/>
      <c r="Z572" s="364"/>
    </row>
    <row r="573">
      <c r="A573" s="367"/>
      <c r="B573" s="367"/>
      <c r="C573" s="364"/>
      <c r="D573" s="364"/>
      <c r="E573" s="364"/>
      <c r="F573" s="364"/>
      <c r="G573" s="364"/>
      <c r="H573" s="364"/>
      <c r="I573" s="364"/>
      <c r="J573" s="364"/>
      <c r="K573" s="364"/>
      <c r="L573" s="364"/>
      <c r="M573" s="364"/>
      <c r="N573" s="364"/>
      <c r="O573" s="364"/>
      <c r="P573" s="364"/>
      <c r="Q573" s="364"/>
      <c r="R573" s="364"/>
      <c r="S573" s="364"/>
      <c r="T573" s="364"/>
      <c r="U573" s="364"/>
      <c r="V573" s="364"/>
      <c r="W573" s="364"/>
      <c r="X573" s="364"/>
      <c r="Y573" s="364"/>
      <c r="Z573" s="364"/>
    </row>
    <row r="574">
      <c r="A574" s="367"/>
      <c r="B574" s="367"/>
      <c r="C574" s="364"/>
      <c r="D574" s="364"/>
      <c r="E574" s="364"/>
      <c r="F574" s="364"/>
      <c r="G574" s="364"/>
      <c r="H574" s="364"/>
      <c r="I574" s="364"/>
      <c r="J574" s="364"/>
      <c r="K574" s="364"/>
      <c r="L574" s="364"/>
      <c r="M574" s="364"/>
      <c r="N574" s="364"/>
      <c r="O574" s="364"/>
      <c r="P574" s="364"/>
      <c r="Q574" s="364"/>
      <c r="R574" s="364"/>
      <c r="S574" s="364"/>
      <c r="T574" s="364"/>
      <c r="U574" s="364"/>
      <c r="V574" s="364"/>
      <c r="W574" s="364"/>
      <c r="X574" s="364"/>
      <c r="Y574" s="364"/>
      <c r="Z574" s="364"/>
    </row>
    <row r="575">
      <c r="A575" s="367"/>
      <c r="B575" s="367"/>
      <c r="C575" s="364"/>
      <c r="D575" s="364"/>
      <c r="E575" s="364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</row>
    <row r="576">
      <c r="A576" s="367"/>
      <c r="B576" s="367"/>
      <c r="C576" s="364"/>
      <c r="D576" s="364"/>
      <c r="E576" s="364"/>
      <c r="F576" s="364"/>
      <c r="G576" s="364"/>
      <c r="H576" s="364"/>
      <c r="I576" s="364"/>
      <c r="J576" s="364"/>
      <c r="K576" s="364"/>
      <c r="L576" s="364"/>
      <c r="M576" s="364"/>
      <c r="N576" s="364"/>
      <c r="O576" s="364"/>
      <c r="P576" s="364"/>
      <c r="Q576" s="364"/>
      <c r="R576" s="364"/>
      <c r="S576" s="364"/>
      <c r="T576" s="364"/>
      <c r="U576" s="364"/>
      <c r="V576" s="364"/>
      <c r="W576" s="364"/>
      <c r="X576" s="364"/>
      <c r="Y576" s="364"/>
      <c r="Z576" s="364"/>
    </row>
    <row r="577">
      <c r="A577" s="367"/>
      <c r="B577" s="367"/>
      <c r="C577" s="364"/>
      <c r="D577" s="364"/>
      <c r="E577" s="364"/>
      <c r="F577" s="364"/>
      <c r="G577" s="364"/>
      <c r="H577" s="364"/>
      <c r="I577" s="364"/>
      <c r="J577" s="364"/>
      <c r="K577" s="364"/>
      <c r="L577" s="364"/>
      <c r="M577" s="364"/>
      <c r="N577" s="364"/>
      <c r="O577" s="364"/>
      <c r="P577" s="364"/>
      <c r="Q577" s="364"/>
      <c r="R577" s="364"/>
      <c r="S577" s="364"/>
      <c r="T577" s="364"/>
      <c r="U577" s="364"/>
      <c r="V577" s="364"/>
      <c r="W577" s="364"/>
      <c r="X577" s="364"/>
      <c r="Y577" s="364"/>
      <c r="Z577" s="364"/>
    </row>
    <row r="578">
      <c r="A578" s="367"/>
      <c r="B578" s="367"/>
      <c r="C578" s="364"/>
      <c r="D578" s="364"/>
      <c r="E578" s="364"/>
      <c r="F578" s="364"/>
      <c r="G578" s="364"/>
      <c r="H578" s="364"/>
      <c r="I578" s="364"/>
      <c r="J578" s="364"/>
      <c r="K578" s="364"/>
      <c r="L578" s="364"/>
      <c r="M578" s="364"/>
      <c r="N578" s="364"/>
      <c r="O578" s="364"/>
      <c r="P578" s="364"/>
      <c r="Q578" s="364"/>
      <c r="R578" s="364"/>
      <c r="S578" s="364"/>
      <c r="T578" s="364"/>
      <c r="U578" s="364"/>
      <c r="V578" s="364"/>
      <c r="W578" s="364"/>
      <c r="X578" s="364"/>
      <c r="Y578" s="364"/>
      <c r="Z578" s="364"/>
    </row>
    <row r="579">
      <c r="A579" s="367"/>
      <c r="B579" s="367"/>
      <c r="C579" s="364"/>
      <c r="D579" s="364"/>
      <c r="E579" s="364"/>
      <c r="F579" s="364"/>
      <c r="G579" s="364"/>
      <c r="H579" s="364"/>
      <c r="I579" s="364"/>
      <c r="J579" s="364"/>
      <c r="K579" s="364"/>
      <c r="L579" s="364"/>
      <c r="M579" s="364"/>
      <c r="N579" s="364"/>
      <c r="O579" s="364"/>
      <c r="P579" s="364"/>
      <c r="Q579" s="364"/>
      <c r="R579" s="364"/>
      <c r="S579" s="364"/>
      <c r="T579" s="364"/>
      <c r="U579" s="364"/>
      <c r="V579" s="364"/>
      <c r="W579" s="364"/>
      <c r="X579" s="364"/>
      <c r="Y579" s="364"/>
      <c r="Z579" s="364"/>
    </row>
    <row r="580">
      <c r="A580" s="367"/>
      <c r="B580" s="367"/>
      <c r="C580" s="364"/>
      <c r="D580" s="364"/>
      <c r="E580" s="364"/>
      <c r="F580" s="364"/>
      <c r="G580" s="364"/>
      <c r="H580" s="364"/>
      <c r="I580" s="364"/>
      <c r="J580" s="364"/>
      <c r="K580" s="364"/>
      <c r="L580" s="364"/>
      <c r="M580" s="364"/>
      <c r="N580" s="364"/>
      <c r="O580" s="364"/>
      <c r="P580" s="364"/>
      <c r="Q580" s="364"/>
      <c r="R580" s="364"/>
      <c r="S580" s="364"/>
      <c r="T580" s="364"/>
      <c r="U580" s="364"/>
      <c r="V580" s="364"/>
      <c r="W580" s="364"/>
      <c r="X580" s="364"/>
      <c r="Y580" s="364"/>
      <c r="Z580" s="364"/>
    </row>
    <row r="581">
      <c r="A581" s="367"/>
      <c r="B581" s="367"/>
      <c r="C581" s="364"/>
      <c r="D581" s="364"/>
      <c r="E581" s="364"/>
      <c r="F581" s="364"/>
      <c r="G581" s="364"/>
      <c r="H581" s="364"/>
      <c r="I581" s="364"/>
      <c r="J581" s="364"/>
      <c r="K581" s="364"/>
      <c r="L581" s="364"/>
      <c r="M581" s="364"/>
      <c r="N581" s="364"/>
      <c r="O581" s="364"/>
      <c r="P581" s="364"/>
      <c r="Q581" s="364"/>
      <c r="R581" s="364"/>
      <c r="S581" s="364"/>
      <c r="T581" s="364"/>
      <c r="U581" s="364"/>
      <c r="V581" s="364"/>
      <c r="W581" s="364"/>
      <c r="X581" s="364"/>
      <c r="Y581" s="364"/>
      <c r="Z581" s="364"/>
    </row>
    <row r="582">
      <c r="A582" s="367"/>
      <c r="B582" s="367"/>
      <c r="C582" s="364"/>
      <c r="D582" s="364"/>
      <c r="E582" s="364"/>
      <c r="F582" s="364"/>
      <c r="G582" s="364"/>
      <c r="H582" s="364"/>
      <c r="I582" s="364"/>
      <c r="J582" s="364"/>
      <c r="K582" s="364"/>
      <c r="L582" s="364"/>
      <c r="M582" s="364"/>
      <c r="N582" s="364"/>
      <c r="O582" s="364"/>
      <c r="P582" s="364"/>
      <c r="Q582" s="364"/>
      <c r="R582" s="364"/>
      <c r="S582" s="364"/>
      <c r="T582" s="364"/>
      <c r="U582" s="364"/>
      <c r="V582" s="364"/>
      <c r="W582" s="364"/>
      <c r="X582" s="364"/>
      <c r="Y582" s="364"/>
      <c r="Z582" s="364"/>
    </row>
    <row r="583">
      <c r="A583" s="367"/>
      <c r="B583" s="367"/>
      <c r="C583" s="364"/>
      <c r="D583" s="364"/>
      <c r="E583" s="364"/>
      <c r="F583" s="364"/>
      <c r="G583" s="364"/>
      <c r="H583" s="364"/>
      <c r="I583" s="364"/>
      <c r="J583" s="364"/>
      <c r="K583" s="364"/>
      <c r="L583" s="364"/>
      <c r="M583" s="364"/>
      <c r="N583" s="364"/>
      <c r="O583" s="364"/>
      <c r="P583" s="364"/>
      <c r="Q583" s="364"/>
      <c r="R583" s="364"/>
      <c r="S583" s="364"/>
      <c r="T583" s="364"/>
      <c r="U583" s="364"/>
      <c r="V583" s="364"/>
      <c r="W583" s="364"/>
      <c r="X583" s="364"/>
      <c r="Y583" s="364"/>
      <c r="Z583" s="364"/>
    </row>
    <row r="584">
      <c r="A584" s="367"/>
      <c r="B584" s="367"/>
      <c r="C584" s="364"/>
      <c r="D584" s="364"/>
      <c r="E584" s="364"/>
      <c r="F584" s="364"/>
      <c r="G584" s="364"/>
      <c r="H584" s="364"/>
      <c r="I584" s="364"/>
      <c r="J584" s="364"/>
      <c r="K584" s="364"/>
      <c r="L584" s="364"/>
      <c r="M584" s="364"/>
      <c r="N584" s="364"/>
      <c r="O584" s="364"/>
      <c r="P584" s="364"/>
      <c r="Q584" s="364"/>
      <c r="R584" s="364"/>
      <c r="S584" s="364"/>
      <c r="T584" s="364"/>
      <c r="U584" s="364"/>
      <c r="V584" s="364"/>
      <c r="W584" s="364"/>
      <c r="X584" s="364"/>
      <c r="Y584" s="364"/>
      <c r="Z584" s="364"/>
    </row>
    <row r="585">
      <c r="A585" s="367"/>
      <c r="B585" s="367"/>
      <c r="C585" s="364"/>
      <c r="D585" s="364"/>
      <c r="E585" s="364"/>
      <c r="F585" s="364"/>
      <c r="G585" s="364"/>
      <c r="H585" s="364"/>
      <c r="I585" s="364"/>
      <c r="J585" s="364"/>
      <c r="K585" s="364"/>
      <c r="L585" s="364"/>
      <c r="M585" s="364"/>
      <c r="N585" s="364"/>
      <c r="O585" s="364"/>
      <c r="P585" s="364"/>
      <c r="Q585" s="364"/>
      <c r="R585" s="364"/>
      <c r="S585" s="364"/>
      <c r="T585" s="364"/>
      <c r="U585" s="364"/>
      <c r="V585" s="364"/>
      <c r="W585" s="364"/>
      <c r="X585" s="364"/>
      <c r="Y585" s="364"/>
      <c r="Z585" s="364"/>
    </row>
    <row r="586">
      <c r="A586" s="367"/>
      <c r="B586" s="367"/>
      <c r="C586" s="364"/>
      <c r="D586" s="364"/>
      <c r="E586" s="364"/>
      <c r="F586" s="364"/>
      <c r="G586" s="364"/>
      <c r="H586" s="364"/>
      <c r="I586" s="364"/>
      <c r="J586" s="364"/>
      <c r="K586" s="364"/>
      <c r="L586" s="364"/>
      <c r="M586" s="364"/>
      <c r="N586" s="364"/>
      <c r="O586" s="364"/>
      <c r="P586" s="364"/>
      <c r="Q586" s="364"/>
      <c r="R586" s="364"/>
      <c r="S586" s="364"/>
      <c r="T586" s="364"/>
      <c r="U586" s="364"/>
      <c r="V586" s="364"/>
      <c r="W586" s="364"/>
      <c r="X586" s="364"/>
      <c r="Y586" s="364"/>
      <c r="Z586" s="364"/>
    </row>
    <row r="587">
      <c r="A587" s="367"/>
      <c r="B587" s="367"/>
      <c r="C587" s="364"/>
      <c r="D587" s="364"/>
      <c r="E587" s="364"/>
      <c r="F587" s="364"/>
      <c r="G587" s="364"/>
      <c r="H587" s="364"/>
      <c r="I587" s="364"/>
      <c r="J587" s="364"/>
      <c r="K587" s="364"/>
      <c r="L587" s="364"/>
      <c r="M587" s="364"/>
      <c r="N587" s="364"/>
      <c r="O587" s="364"/>
      <c r="P587" s="364"/>
      <c r="Q587" s="364"/>
      <c r="R587" s="364"/>
      <c r="S587" s="364"/>
      <c r="T587" s="364"/>
      <c r="U587" s="364"/>
      <c r="V587" s="364"/>
      <c r="W587" s="364"/>
      <c r="X587" s="364"/>
      <c r="Y587" s="364"/>
      <c r="Z587" s="364"/>
    </row>
    <row r="588">
      <c r="A588" s="367"/>
      <c r="B588" s="367"/>
      <c r="C588" s="364"/>
      <c r="D588" s="364"/>
      <c r="E588" s="364"/>
      <c r="F588" s="364"/>
      <c r="G588" s="364"/>
      <c r="H588" s="364"/>
      <c r="I588" s="364"/>
      <c r="J588" s="364"/>
      <c r="K588" s="364"/>
      <c r="L588" s="364"/>
      <c r="M588" s="364"/>
      <c r="N588" s="364"/>
      <c r="O588" s="364"/>
      <c r="P588" s="364"/>
      <c r="Q588" s="364"/>
      <c r="R588" s="364"/>
      <c r="S588" s="364"/>
      <c r="T588" s="364"/>
      <c r="U588" s="364"/>
      <c r="V588" s="364"/>
      <c r="W588" s="364"/>
      <c r="X588" s="364"/>
      <c r="Y588" s="364"/>
      <c r="Z588" s="364"/>
    </row>
    <row r="589">
      <c r="A589" s="367"/>
      <c r="B589" s="367"/>
      <c r="C589" s="364"/>
      <c r="D589" s="364"/>
      <c r="E589" s="364"/>
      <c r="F589" s="364"/>
      <c r="G589" s="364"/>
      <c r="H589" s="364"/>
      <c r="I589" s="364"/>
      <c r="J589" s="364"/>
      <c r="K589" s="364"/>
      <c r="L589" s="364"/>
      <c r="M589" s="364"/>
      <c r="N589" s="364"/>
      <c r="O589" s="364"/>
      <c r="P589" s="364"/>
      <c r="Q589" s="364"/>
      <c r="R589" s="364"/>
      <c r="S589" s="364"/>
      <c r="T589" s="364"/>
      <c r="U589" s="364"/>
      <c r="V589" s="364"/>
      <c r="W589" s="364"/>
      <c r="X589" s="364"/>
      <c r="Y589" s="364"/>
      <c r="Z589" s="364"/>
    </row>
    <row r="590">
      <c r="A590" s="367"/>
      <c r="B590" s="367"/>
      <c r="C590" s="364"/>
      <c r="D590" s="364"/>
      <c r="E590" s="364"/>
      <c r="F590" s="364"/>
      <c r="G590" s="364"/>
      <c r="H590" s="364"/>
      <c r="I590" s="364"/>
      <c r="J590" s="364"/>
      <c r="K590" s="364"/>
      <c r="L590" s="364"/>
      <c r="M590" s="364"/>
      <c r="N590" s="364"/>
      <c r="O590" s="364"/>
      <c r="P590" s="364"/>
      <c r="Q590" s="364"/>
      <c r="R590" s="364"/>
      <c r="S590" s="364"/>
      <c r="T590" s="364"/>
      <c r="U590" s="364"/>
      <c r="V590" s="364"/>
      <c r="W590" s="364"/>
      <c r="X590" s="364"/>
      <c r="Y590" s="364"/>
      <c r="Z590" s="364"/>
    </row>
    <row r="591">
      <c r="A591" s="367"/>
      <c r="B591" s="367"/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364"/>
      <c r="P591" s="364"/>
      <c r="Q591" s="364"/>
      <c r="R591" s="364"/>
      <c r="S591" s="364"/>
      <c r="T591" s="364"/>
      <c r="U591" s="364"/>
      <c r="V591" s="364"/>
      <c r="W591" s="364"/>
      <c r="X591" s="364"/>
      <c r="Y591" s="364"/>
      <c r="Z591" s="364"/>
    </row>
    <row r="592">
      <c r="A592" s="367"/>
      <c r="B592" s="367"/>
      <c r="C592" s="364"/>
      <c r="D592" s="364"/>
      <c r="E592" s="364"/>
      <c r="F592" s="364"/>
      <c r="G592" s="364"/>
      <c r="H592" s="364"/>
      <c r="I592" s="364"/>
      <c r="J592" s="364"/>
      <c r="K592" s="364"/>
      <c r="L592" s="364"/>
      <c r="M592" s="364"/>
      <c r="N592" s="364"/>
      <c r="O592" s="364"/>
      <c r="P592" s="364"/>
      <c r="Q592" s="364"/>
      <c r="R592" s="364"/>
      <c r="S592" s="364"/>
      <c r="T592" s="364"/>
      <c r="U592" s="364"/>
      <c r="V592" s="364"/>
      <c r="W592" s="364"/>
      <c r="X592" s="364"/>
      <c r="Y592" s="364"/>
      <c r="Z592" s="364"/>
    </row>
    <row r="593">
      <c r="A593" s="367"/>
      <c r="B593" s="367"/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</row>
    <row r="594">
      <c r="A594" s="367"/>
      <c r="B594" s="367"/>
      <c r="C594" s="364"/>
      <c r="D594" s="364"/>
      <c r="E594" s="364"/>
      <c r="F594" s="364"/>
      <c r="G594" s="364"/>
      <c r="H594" s="364"/>
      <c r="I594" s="364"/>
      <c r="J594" s="364"/>
      <c r="K594" s="364"/>
      <c r="L594" s="364"/>
      <c r="M594" s="364"/>
      <c r="N594" s="364"/>
      <c r="O594" s="364"/>
      <c r="P594" s="364"/>
      <c r="Q594" s="364"/>
      <c r="R594" s="364"/>
      <c r="S594" s="364"/>
      <c r="T594" s="364"/>
      <c r="U594" s="364"/>
      <c r="V594" s="364"/>
      <c r="W594" s="364"/>
      <c r="X594" s="364"/>
      <c r="Y594" s="364"/>
      <c r="Z594" s="364"/>
    </row>
    <row r="595">
      <c r="A595" s="367"/>
      <c r="B595" s="367"/>
      <c r="C595" s="364"/>
      <c r="D595" s="364"/>
      <c r="E595" s="364"/>
      <c r="F595" s="364"/>
      <c r="G595" s="364"/>
      <c r="H595" s="364"/>
      <c r="I595" s="364"/>
      <c r="J595" s="364"/>
      <c r="K595" s="364"/>
      <c r="L595" s="364"/>
      <c r="M595" s="364"/>
      <c r="N595" s="364"/>
      <c r="O595" s="364"/>
      <c r="P595" s="364"/>
      <c r="Q595" s="364"/>
      <c r="R595" s="364"/>
      <c r="S595" s="364"/>
      <c r="T595" s="364"/>
      <c r="U595" s="364"/>
      <c r="V595" s="364"/>
      <c r="W595" s="364"/>
      <c r="X595" s="364"/>
      <c r="Y595" s="364"/>
      <c r="Z595" s="364"/>
    </row>
    <row r="596">
      <c r="A596" s="367"/>
      <c r="B596" s="367"/>
      <c r="C596" s="364"/>
      <c r="D596" s="364"/>
      <c r="E596" s="364"/>
      <c r="F596" s="364"/>
      <c r="G596" s="364"/>
      <c r="H596" s="364"/>
      <c r="I596" s="364"/>
      <c r="J596" s="364"/>
      <c r="K596" s="364"/>
      <c r="L596" s="364"/>
      <c r="M596" s="364"/>
      <c r="N596" s="364"/>
      <c r="O596" s="364"/>
      <c r="P596" s="364"/>
      <c r="Q596" s="364"/>
      <c r="R596" s="364"/>
      <c r="S596" s="364"/>
      <c r="T596" s="364"/>
      <c r="U596" s="364"/>
      <c r="V596" s="364"/>
      <c r="W596" s="364"/>
      <c r="X596" s="364"/>
      <c r="Y596" s="364"/>
      <c r="Z596" s="364"/>
    </row>
    <row r="597">
      <c r="A597" s="367"/>
      <c r="B597" s="367"/>
      <c r="C597" s="364"/>
      <c r="D597" s="364"/>
      <c r="E597" s="364"/>
      <c r="F597" s="364"/>
      <c r="G597" s="364"/>
      <c r="H597" s="364"/>
      <c r="I597" s="364"/>
      <c r="J597" s="364"/>
      <c r="K597" s="364"/>
      <c r="L597" s="364"/>
      <c r="M597" s="364"/>
      <c r="N597" s="364"/>
      <c r="O597" s="364"/>
      <c r="P597" s="364"/>
      <c r="Q597" s="364"/>
      <c r="R597" s="364"/>
      <c r="S597" s="364"/>
      <c r="T597" s="364"/>
      <c r="U597" s="364"/>
      <c r="V597" s="364"/>
      <c r="W597" s="364"/>
      <c r="X597" s="364"/>
      <c r="Y597" s="364"/>
      <c r="Z597" s="364"/>
    </row>
    <row r="598">
      <c r="A598" s="367"/>
      <c r="B598" s="367"/>
      <c r="C598" s="364"/>
      <c r="D598" s="364"/>
      <c r="E598" s="364"/>
      <c r="F598" s="364"/>
      <c r="G598" s="364"/>
      <c r="H598" s="364"/>
      <c r="I598" s="364"/>
      <c r="J598" s="364"/>
      <c r="K598" s="364"/>
      <c r="L598" s="364"/>
      <c r="M598" s="364"/>
      <c r="N598" s="364"/>
      <c r="O598" s="364"/>
      <c r="P598" s="364"/>
      <c r="Q598" s="364"/>
      <c r="R598" s="364"/>
      <c r="S598" s="364"/>
      <c r="T598" s="364"/>
      <c r="U598" s="364"/>
      <c r="V598" s="364"/>
      <c r="W598" s="364"/>
      <c r="X598" s="364"/>
      <c r="Y598" s="364"/>
      <c r="Z598" s="364"/>
    </row>
    <row r="599">
      <c r="A599" s="367"/>
      <c r="B599" s="367"/>
      <c r="C599" s="364"/>
      <c r="D599" s="364"/>
      <c r="E599" s="364"/>
      <c r="F599" s="364"/>
      <c r="G599" s="364"/>
      <c r="H599" s="364"/>
      <c r="I599" s="364"/>
      <c r="J599" s="364"/>
      <c r="K599" s="364"/>
      <c r="L599" s="364"/>
      <c r="M599" s="364"/>
      <c r="N599" s="364"/>
      <c r="O599" s="364"/>
      <c r="P599" s="364"/>
      <c r="Q599" s="364"/>
      <c r="R599" s="364"/>
      <c r="S599" s="364"/>
      <c r="T599" s="364"/>
      <c r="U599" s="364"/>
      <c r="V599" s="364"/>
      <c r="W599" s="364"/>
      <c r="X599" s="364"/>
      <c r="Y599" s="364"/>
      <c r="Z599" s="364"/>
    </row>
    <row r="600">
      <c r="A600" s="367"/>
      <c r="B600" s="367"/>
      <c r="C600" s="364"/>
      <c r="D600" s="364"/>
      <c r="E600" s="364"/>
      <c r="F600" s="364"/>
      <c r="G600" s="364"/>
      <c r="H600" s="364"/>
      <c r="I600" s="364"/>
      <c r="J600" s="364"/>
      <c r="K600" s="364"/>
      <c r="L600" s="364"/>
      <c r="M600" s="364"/>
      <c r="N600" s="364"/>
      <c r="O600" s="364"/>
      <c r="P600" s="364"/>
      <c r="Q600" s="364"/>
      <c r="R600" s="364"/>
      <c r="S600" s="364"/>
      <c r="T600" s="364"/>
      <c r="U600" s="364"/>
      <c r="V600" s="364"/>
      <c r="W600" s="364"/>
      <c r="X600" s="364"/>
      <c r="Y600" s="364"/>
      <c r="Z600" s="364"/>
    </row>
    <row r="601">
      <c r="A601" s="367"/>
      <c r="B601" s="367"/>
      <c r="C601" s="364"/>
      <c r="D601" s="364"/>
      <c r="E601" s="364"/>
      <c r="F601" s="364"/>
      <c r="G601" s="364"/>
      <c r="H601" s="364"/>
      <c r="I601" s="364"/>
      <c r="J601" s="364"/>
      <c r="K601" s="364"/>
      <c r="L601" s="364"/>
      <c r="M601" s="364"/>
      <c r="N601" s="364"/>
      <c r="O601" s="364"/>
      <c r="P601" s="364"/>
      <c r="Q601" s="364"/>
      <c r="R601" s="364"/>
      <c r="S601" s="364"/>
      <c r="T601" s="364"/>
      <c r="U601" s="364"/>
      <c r="V601" s="364"/>
      <c r="W601" s="364"/>
      <c r="X601" s="364"/>
      <c r="Y601" s="364"/>
      <c r="Z601" s="364"/>
    </row>
    <row r="602">
      <c r="A602" s="367"/>
      <c r="B602" s="367"/>
      <c r="C602" s="364"/>
      <c r="D602" s="364"/>
      <c r="E602" s="364"/>
      <c r="F602" s="364"/>
      <c r="G602" s="364"/>
      <c r="H602" s="364"/>
      <c r="I602" s="364"/>
      <c r="J602" s="364"/>
      <c r="K602" s="364"/>
      <c r="L602" s="364"/>
      <c r="M602" s="364"/>
      <c r="N602" s="364"/>
      <c r="O602" s="364"/>
      <c r="P602" s="364"/>
      <c r="Q602" s="364"/>
      <c r="R602" s="364"/>
      <c r="S602" s="364"/>
      <c r="T602" s="364"/>
      <c r="U602" s="364"/>
      <c r="V602" s="364"/>
      <c r="W602" s="364"/>
      <c r="X602" s="364"/>
      <c r="Y602" s="364"/>
      <c r="Z602" s="364"/>
    </row>
    <row r="603">
      <c r="A603" s="367"/>
      <c r="B603" s="367"/>
      <c r="C603" s="364"/>
      <c r="D603" s="364"/>
      <c r="E603" s="364"/>
      <c r="F603" s="364"/>
      <c r="G603" s="364"/>
      <c r="H603" s="364"/>
      <c r="I603" s="364"/>
      <c r="J603" s="364"/>
      <c r="K603" s="364"/>
      <c r="L603" s="364"/>
      <c r="M603" s="364"/>
      <c r="N603" s="364"/>
      <c r="O603" s="364"/>
      <c r="P603" s="364"/>
      <c r="Q603" s="364"/>
      <c r="R603" s="364"/>
      <c r="S603" s="364"/>
      <c r="T603" s="364"/>
      <c r="U603" s="364"/>
      <c r="V603" s="364"/>
      <c r="W603" s="364"/>
      <c r="X603" s="364"/>
      <c r="Y603" s="364"/>
      <c r="Z603" s="364"/>
    </row>
    <row r="604">
      <c r="A604" s="367"/>
      <c r="B604" s="367"/>
      <c r="C604" s="364"/>
      <c r="D604" s="364"/>
      <c r="E604" s="364"/>
      <c r="F604" s="364"/>
      <c r="G604" s="364"/>
      <c r="H604" s="364"/>
      <c r="I604" s="364"/>
      <c r="J604" s="364"/>
      <c r="K604" s="364"/>
      <c r="L604" s="364"/>
      <c r="M604" s="364"/>
      <c r="N604" s="364"/>
      <c r="O604" s="364"/>
      <c r="P604" s="364"/>
      <c r="Q604" s="364"/>
      <c r="R604" s="364"/>
      <c r="S604" s="364"/>
      <c r="T604" s="364"/>
      <c r="U604" s="364"/>
      <c r="V604" s="364"/>
      <c r="W604" s="364"/>
      <c r="X604" s="364"/>
      <c r="Y604" s="364"/>
      <c r="Z604" s="364"/>
    </row>
    <row r="605">
      <c r="A605" s="367"/>
      <c r="B605" s="367"/>
      <c r="C605" s="364"/>
      <c r="D605" s="364"/>
      <c r="E605" s="364"/>
      <c r="F605" s="364"/>
      <c r="G605" s="364"/>
      <c r="H605" s="364"/>
      <c r="I605" s="364"/>
      <c r="J605" s="364"/>
      <c r="K605" s="364"/>
      <c r="L605" s="364"/>
      <c r="M605" s="364"/>
      <c r="N605" s="364"/>
      <c r="O605" s="364"/>
      <c r="P605" s="364"/>
      <c r="Q605" s="364"/>
      <c r="R605" s="364"/>
      <c r="S605" s="364"/>
      <c r="T605" s="364"/>
      <c r="U605" s="364"/>
      <c r="V605" s="364"/>
      <c r="W605" s="364"/>
      <c r="X605" s="364"/>
      <c r="Y605" s="364"/>
      <c r="Z605" s="364"/>
    </row>
    <row r="606">
      <c r="A606" s="367"/>
      <c r="B606" s="367"/>
      <c r="C606" s="364"/>
      <c r="D606" s="364"/>
      <c r="E606" s="364"/>
      <c r="F606" s="364"/>
      <c r="G606" s="364"/>
      <c r="H606" s="364"/>
      <c r="I606" s="364"/>
      <c r="J606" s="364"/>
      <c r="K606" s="364"/>
      <c r="L606" s="364"/>
      <c r="M606" s="364"/>
      <c r="N606" s="364"/>
      <c r="O606" s="364"/>
      <c r="P606" s="364"/>
      <c r="Q606" s="364"/>
      <c r="R606" s="364"/>
      <c r="S606" s="364"/>
      <c r="T606" s="364"/>
      <c r="U606" s="364"/>
      <c r="V606" s="364"/>
      <c r="W606" s="364"/>
      <c r="X606" s="364"/>
      <c r="Y606" s="364"/>
      <c r="Z606" s="364"/>
    </row>
    <row r="607">
      <c r="A607" s="367"/>
      <c r="B607" s="367"/>
      <c r="C607" s="364"/>
      <c r="D607" s="364"/>
      <c r="E607" s="364"/>
      <c r="F607" s="364"/>
      <c r="G607" s="364"/>
      <c r="H607" s="364"/>
      <c r="I607" s="364"/>
      <c r="J607" s="364"/>
      <c r="K607" s="364"/>
      <c r="L607" s="364"/>
      <c r="M607" s="364"/>
      <c r="N607" s="364"/>
      <c r="O607" s="364"/>
      <c r="P607" s="364"/>
      <c r="Q607" s="364"/>
      <c r="R607" s="364"/>
      <c r="S607" s="364"/>
      <c r="T607" s="364"/>
      <c r="U607" s="364"/>
      <c r="V607" s="364"/>
      <c r="W607" s="364"/>
      <c r="X607" s="364"/>
      <c r="Y607" s="364"/>
      <c r="Z607" s="364"/>
    </row>
    <row r="608">
      <c r="A608" s="367"/>
      <c r="B608" s="367"/>
      <c r="C608" s="364"/>
      <c r="D608" s="364"/>
      <c r="E608" s="364"/>
      <c r="F608" s="364"/>
      <c r="G608" s="364"/>
      <c r="H608" s="364"/>
      <c r="I608" s="364"/>
      <c r="J608" s="364"/>
      <c r="K608" s="364"/>
      <c r="L608" s="364"/>
      <c r="M608" s="364"/>
      <c r="N608" s="364"/>
      <c r="O608" s="364"/>
      <c r="P608" s="364"/>
      <c r="Q608" s="364"/>
      <c r="R608" s="364"/>
      <c r="S608" s="364"/>
      <c r="T608" s="364"/>
      <c r="U608" s="364"/>
      <c r="V608" s="364"/>
      <c r="W608" s="364"/>
      <c r="X608" s="364"/>
      <c r="Y608" s="364"/>
      <c r="Z608" s="364"/>
    </row>
    <row r="609">
      <c r="A609" s="367"/>
      <c r="B609" s="367"/>
      <c r="C609" s="364"/>
      <c r="D609" s="364"/>
      <c r="E609" s="364"/>
      <c r="F609" s="364"/>
      <c r="G609" s="364"/>
      <c r="H609" s="364"/>
      <c r="I609" s="364"/>
      <c r="J609" s="364"/>
      <c r="K609" s="364"/>
      <c r="L609" s="364"/>
      <c r="M609" s="364"/>
      <c r="N609" s="364"/>
      <c r="O609" s="364"/>
      <c r="P609" s="364"/>
      <c r="Q609" s="364"/>
      <c r="R609" s="364"/>
      <c r="S609" s="364"/>
      <c r="T609" s="364"/>
      <c r="U609" s="364"/>
      <c r="V609" s="364"/>
      <c r="W609" s="364"/>
      <c r="X609" s="364"/>
      <c r="Y609" s="364"/>
      <c r="Z609" s="364"/>
    </row>
    <row r="610">
      <c r="A610" s="367"/>
      <c r="B610" s="367"/>
      <c r="C610" s="364"/>
      <c r="D610" s="364"/>
      <c r="E610" s="364"/>
      <c r="F610" s="364"/>
      <c r="G610" s="364"/>
      <c r="H610" s="364"/>
      <c r="I610" s="364"/>
      <c r="J610" s="364"/>
      <c r="K610" s="364"/>
      <c r="L610" s="364"/>
      <c r="M610" s="364"/>
      <c r="N610" s="364"/>
      <c r="O610" s="364"/>
      <c r="P610" s="364"/>
      <c r="Q610" s="364"/>
      <c r="R610" s="364"/>
      <c r="S610" s="364"/>
      <c r="T610" s="364"/>
      <c r="U610" s="364"/>
      <c r="V610" s="364"/>
      <c r="W610" s="364"/>
      <c r="X610" s="364"/>
      <c r="Y610" s="364"/>
      <c r="Z610" s="364"/>
    </row>
    <row r="611">
      <c r="A611" s="367"/>
      <c r="B611" s="367"/>
      <c r="C611" s="364"/>
      <c r="D611" s="364"/>
      <c r="E611" s="364"/>
      <c r="F611" s="364"/>
      <c r="G611" s="364"/>
      <c r="H611" s="364"/>
      <c r="I611" s="364"/>
      <c r="J611" s="364"/>
      <c r="K611" s="364"/>
      <c r="L611" s="364"/>
      <c r="M611" s="364"/>
      <c r="N611" s="364"/>
      <c r="O611" s="364"/>
      <c r="P611" s="364"/>
      <c r="Q611" s="364"/>
      <c r="R611" s="364"/>
      <c r="S611" s="364"/>
      <c r="T611" s="364"/>
      <c r="U611" s="364"/>
      <c r="V611" s="364"/>
      <c r="W611" s="364"/>
      <c r="X611" s="364"/>
      <c r="Y611" s="364"/>
      <c r="Z611" s="364"/>
    </row>
    <row r="612">
      <c r="A612" s="367"/>
      <c r="B612" s="367"/>
      <c r="C612" s="364"/>
      <c r="D612" s="364"/>
      <c r="E612" s="364"/>
      <c r="F612" s="364"/>
      <c r="G612" s="364"/>
      <c r="H612" s="364"/>
      <c r="I612" s="364"/>
      <c r="J612" s="364"/>
      <c r="K612" s="364"/>
      <c r="L612" s="364"/>
      <c r="M612" s="364"/>
      <c r="N612" s="364"/>
      <c r="O612" s="364"/>
      <c r="P612" s="364"/>
      <c r="Q612" s="364"/>
      <c r="R612" s="364"/>
      <c r="S612" s="364"/>
      <c r="T612" s="364"/>
      <c r="U612" s="364"/>
      <c r="V612" s="364"/>
      <c r="W612" s="364"/>
      <c r="X612" s="364"/>
      <c r="Y612" s="364"/>
      <c r="Z612" s="364"/>
    </row>
    <row r="613">
      <c r="A613" s="367"/>
      <c r="B613" s="367"/>
      <c r="C613" s="364"/>
      <c r="D613" s="364"/>
      <c r="E613" s="364"/>
      <c r="F613" s="364"/>
      <c r="G613" s="364"/>
      <c r="H613" s="364"/>
      <c r="I613" s="364"/>
      <c r="J613" s="364"/>
      <c r="K613" s="364"/>
      <c r="L613" s="364"/>
      <c r="M613" s="364"/>
      <c r="N613" s="364"/>
      <c r="O613" s="364"/>
      <c r="P613" s="364"/>
      <c r="Q613" s="364"/>
      <c r="R613" s="364"/>
      <c r="S613" s="364"/>
      <c r="T613" s="364"/>
      <c r="U613" s="364"/>
      <c r="V613" s="364"/>
      <c r="W613" s="364"/>
      <c r="X613" s="364"/>
      <c r="Y613" s="364"/>
      <c r="Z613" s="364"/>
    </row>
    <row r="614">
      <c r="A614" s="367"/>
      <c r="B614" s="367"/>
      <c r="C614" s="364"/>
      <c r="D614" s="364"/>
      <c r="E614" s="364"/>
      <c r="F614" s="364"/>
      <c r="G614" s="364"/>
      <c r="H614" s="364"/>
      <c r="I614" s="364"/>
      <c r="J614" s="364"/>
      <c r="K614" s="364"/>
      <c r="L614" s="364"/>
      <c r="M614" s="364"/>
      <c r="N614" s="364"/>
      <c r="O614" s="364"/>
      <c r="P614" s="364"/>
      <c r="Q614" s="364"/>
      <c r="R614" s="364"/>
      <c r="S614" s="364"/>
      <c r="T614" s="364"/>
      <c r="U614" s="364"/>
      <c r="V614" s="364"/>
      <c r="W614" s="364"/>
      <c r="X614" s="364"/>
      <c r="Y614" s="364"/>
      <c r="Z614" s="364"/>
    </row>
    <row r="615">
      <c r="A615" s="367"/>
      <c r="B615" s="367"/>
      <c r="C615" s="364"/>
      <c r="D615" s="364"/>
      <c r="E615" s="364"/>
      <c r="F615" s="364"/>
      <c r="G615" s="364"/>
      <c r="H615" s="364"/>
      <c r="I615" s="364"/>
      <c r="J615" s="364"/>
      <c r="K615" s="364"/>
      <c r="L615" s="364"/>
      <c r="M615" s="364"/>
      <c r="N615" s="364"/>
      <c r="O615" s="364"/>
      <c r="P615" s="364"/>
      <c r="Q615" s="364"/>
      <c r="R615" s="364"/>
      <c r="S615" s="364"/>
      <c r="T615" s="364"/>
      <c r="U615" s="364"/>
      <c r="V615" s="364"/>
      <c r="W615" s="364"/>
      <c r="X615" s="364"/>
      <c r="Y615" s="364"/>
      <c r="Z615" s="364"/>
    </row>
    <row r="616">
      <c r="A616" s="367"/>
      <c r="B616" s="367"/>
      <c r="C616" s="364"/>
      <c r="D616" s="364"/>
      <c r="E616" s="364"/>
      <c r="F616" s="364"/>
      <c r="G616" s="364"/>
      <c r="H616" s="364"/>
      <c r="I616" s="364"/>
      <c r="J616" s="364"/>
      <c r="K616" s="364"/>
      <c r="L616" s="364"/>
      <c r="M616" s="364"/>
      <c r="N616" s="364"/>
      <c r="O616" s="364"/>
      <c r="P616" s="364"/>
      <c r="Q616" s="364"/>
      <c r="R616" s="364"/>
      <c r="S616" s="364"/>
      <c r="T616" s="364"/>
      <c r="U616" s="364"/>
      <c r="V616" s="364"/>
      <c r="W616" s="364"/>
      <c r="X616" s="364"/>
      <c r="Y616" s="364"/>
      <c r="Z616" s="364"/>
    </row>
    <row r="617">
      <c r="A617" s="367"/>
      <c r="B617" s="367"/>
      <c r="C617" s="364"/>
      <c r="D617" s="364"/>
      <c r="E617" s="364"/>
      <c r="F617" s="364"/>
      <c r="G617" s="364"/>
      <c r="H617" s="364"/>
      <c r="I617" s="364"/>
      <c r="J617" s="364"/>
      <c r="K617" s="364"/>
      <c r="L617" s="364"/>
      <c r="M617" s="364"/>
      <c r="N617" s="364"/>
      <c r="O617" s="364"/>
      <c r="P617" s="364"/>
      <c r="Q617" s="364"/>
      <c r="R617" s="364"/>
      <c r="S617" s="364"/>
      <c r="T617" s="364"/>
      <c r="U617" s="364"/>
      <c r="V617" s="364"/>
      <c r="W617" s="364"/>
      <c r="X617" s="364"/>
      <c r="Y617" s="364"/>
      <c r="Z617" s="364"/>
    </row>
    <row r="618">
      <c r="A618" s="367"/>
      <c r="B618" s="367"/>
      <c r="C618" s="364"/>
      <c r="D618" s="364"/>
      <c r="E618" s="364"/>
      <c r="F618" s="364"/>
      <c r="G618" s="364"/>
      <c r="H618" s="364"/>
      <c r="I618" s="364"/>
      <c r="J618" s="364"/>
      <c r="K618" s="364"/>
      <c r="L618" s="364"/>
      <c r="M618" s="364"/>
      <c r="N618" s="364"/>
      <c r="O618" s="364"/>
      <c r="P618" s="364"/>
      <c r="Q618" s="364"/>
      <c r="R618" s="364"/>
      <c r="S618" s="364"/>
      <c r="T618" s="364"/>
      <c r="U618" s="364"/>
      <c r="V618" s="364"/>
      <c r="W618" s="364"/>
      <c r="X618" s="364"/>
      <c r="Y618" s="364"/>
      <c r="Z618" s="364"/>
    </row>
    <row r="619">
      <c r="A619" s="367"/>
      <c r="B619" s="367"/>
      <c r="C619" s="364"/>
      <c r="D619" s="364"/>
      <c r="E619" s="364"/>
      <c r="F619" s="364"/>
      <c r="G619" s="364"/>
      <c r="H619" s="364"/>
      <c r="I619" s="364"/>
      <c r="J619" s="364"/>
      <c r="K619" s="364"/>
      <c r="L619" s="364"/>
      <c r="M619" s="364"/>
      <c r="N619" s="364"/>
      <c r="O619" s="364"/>
      <c r="P619" s="364"/>
      <c r="Q619" s="364"/>
      <c r="R619" s="364"/>
      <c r="S619" s="364"/>
      <c r="T619" s="364"/>
      <c r="U619" s="364"/>
      <c r="V619" s="364"/>
      <c r="W619" s="364"/>
      <c r="X619" s="364"/>
      <c r="Y619" s="364"/>
      <c r="Z619" s="364"/>
    </row>
    <row r="620">
      <c r="A620" s="367"/>
      <c r="B620" s="367"/>
      <c r="C620" s="364"/>
      <c r="D620" s="364"/>
      <c r="E620" s="364"/>
      <c r="F620" s="364"/>
      <c r="G620" s="364"/>
      <c r="H620" s="364"/>
      <c r="I620" s="364"/>
      <c r="J620" s="364"/>
      <c r="K620" s="364"/>
      <c r="L620" s="364"/>
      <c r="M620" s="364"/>
      <c r="N620" s="364"/>
      <c r="O620" s="364"/>
      <c r="P620" s="364"/>
      <c r="Q620" s="364"/>
      <c r="R620" s="364"/>
      <c r="S620" s="364"/>
      <c r="T620" s="364"/>
      <c r="U620" s="364"/>
      <c r="V620" s="364"/>
      <c r="W620" s="364"/>
      <c r="X620" s="364"/>
      <c r="Y620" s="364"/>
      <c r="Z620" s="364"/>
    </row>
    <row r="621">
      <c r="A621" s="367"/>
      <c r="B621" s="367"/>
      <c r="C621" s="364"/>
      <c r="D621" s="364"/>
      <c r="E621" s="364"/>
      <c r="F621" s="364"/>
      <c r="G621" s="364"/>
      <c r="H621" s="364"/>
      <c r="I621" s="364"/>
      <c r="J621" s="364"/>
      <c r="K621" s="364"/>
      <c r="L621" s="364"/>
      <c r="M621" s="364"/>
      <c r="N621" s="364"/>
      <c r="O621" s="364"/>
      <c r="P621" s="364"/>
      <c r="Q621" s="364"/>
      <c r="R621" s="364"/>
      <c r="S621" s="364"/>
      <c r="T621" s="364"/>
      <c r="U621" s="364"/>
      <c r="V621" s="364"/>
      <c r="W621" s="364"/>
      <c r="X621" s="364"/>
      <c r="Y621" s="364"/>
      <c r="Z621" s="364"/>
    </row>
    <row r="622">
      <c r="A622" s="367"/>
      <c r="B622" s="367"/>
      <c r="C622" s="364"/>
      <c r="D622" s="364"/>
      <c r="E622" s="364"/>
      <c r="F622" s="364"/>
      <c r="G622" s="364"/>
      <c r="H622" s="364"/>
      <c r="I622" s="364"/>
      <c r="J622" s="364"/>
      <c r="K622" s="364"/>
      <c r="L622" s="364"/>
      <c r="M622" s="364"/>
      <c r="N622" s="364"/>
      <c r="O622" s="364"/>
      <c r="P622" s="364"/>
      <c r="Q622" s="364"/>
      <c r="R622" s="364"/>
      <c r="S622" s="364"/>
      <c r="T622" s="364"/>
      <c r="U622" s="364"/>
      <c r="V622" s="364"/>
      <c r="W622" s="364"/>
      <c r="X622" s="364"/>
      <c r="Y622" s="364"/>
      <c r="Z622" s="364"/>
    </row>
    <row r="623">
      <c r="A623" s="367"/>
      <c r="B623" s="367"/>
      <c r="C623" s="364"/>
      <c r="D623" s="364"/>
      <c r="E623" s="364"/>
      <c r="F623" s="364"/>
      <c r="G623" s="364"/>
      <c r="H623" s="364"/>
      <c r="I623" s="364"/>
      <c r="J623" s="364"/>
      <c r="K623" s="364"/>
      <c r="L623" s="364"/>
      <c r="M623" s="364"/>
      <c r="N623" s="364"/>
      <c r="O623" s="364"/>
      <c r="P623" s="364"/>
      <c r="Q623" s="364"/>
      <c r="R623" s="364"/>
      <c r="S623" s="364"/>
      <c r="T623" s="364"/>
      <c r="U623" s="364"/>
      <c r="V623" s="364"/>
      <c r="W623" s="364"/>
      <c r="X623" s="364"/>
      <c r="Y623" s="364"/>
      <c r="Z623" s="364"/>
    </row>
    <row r="624">
      <c r="A624" s="367"/>
      <c r="B624" s="367"/>
      <c r="C624" s="364"/>
      <c r="D624" s="364"/>
      <c r="E624" s="364"/>
      <c r="F624" s="364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4"/>
      <c r="W624" s="364"/>
      <c r="X624" s="364"/>
      <c r="Y624" s="364"/>
      <c r="Z624" s="364"/>
    </row>
    <row r="625">
      <c r="A625" s="367"/>
      <c r="B625" s="367"/>
      <c r="C625" s="364"/>
      <c r="D625" s="364"/>
      <c r="E625" s="364"/>
      <c r="F625" s="364"/>
      <c r="G625" s="364"/>
      <c r="H625" s="364"/>
      <c r="I625" s="364"/>
      <c r="J625" s="364"/>
      <c r="K625" s="364"/>
      <c r="L625" s="364"/>
      <c r="M625" s="364"/>
      <c r="N625" s="364"/>
      <c r="O625" s="364"/>
      <c r="P625" s="364"/>
      <c r="Q625" s="364"/>
      <c r="R625" s="364"/>
      <c r="S625" s="364"/>
      <c r="T625" s="364"/>
      <c r="U625" s="364"/>
      <c r="V625" s="364"/>
      <c r="W625" s="364"/>
      <c r="X625" s="364"/>
      <c r="Y625" s="364"/>
      <c r="Z625" s="364"/>
    </row>
    <row r="626">
      <c r="A626" s="367"/>
      <c r="B626" s="367"/>
      <c r="C626" s="364"/>
      <c r="D626" s="364"/>
      <c r="E626" s="364"/>
      <c r="F626" s="364"/>
      <c r="G626" s="364"/>
      <c r="H626" s="364"/>
      <c r="I626" s="364"/>
      <c r="J626" s="364"/>
      <c r="K626" s="364"/>
      <c r="L626" s="364"/>
      <c r="M626" s="364"/>
      <c r="N626" s="364"/>
      <c r="O626" s="364"/>
      <c r="P626" s="364"/>
      <c r="Q626" s="364"/>
      <c r="R626" s="364"/>
      <c r="S626" s="364"/>
      <c r="T626" s="364"/>
      <c r="U626" s="364"/>
      <c r="V626" s="364"/>
      <c r="W626" s="364"/>
      <c r="X626" s="364"/>
      <c r="Y626" s="364"/>
      <c r="Z626" s="364"/>
    </row>
    <row r="627">
      <c r="A627" s="367"/>
      <c r="B627" s="367"/>
      <c r="C627" s="364"/>
      <c r="D627" s="364"/>
      <c r="E627" s="364"/>
      <c r="F627" s="364"/>
      <c r="G627" s="364"/>
      <c r="H627" s="364"/>
      <c r="I627" s="364"/>
      <c r="J627" s="364"/>
      <c r="K627" s="364"/>
      <c r="L627" s="364"/>
      <c r="M627" s="364"/>
      <c r="N627" s="364"/>
      <c r="O627" s="364"/>
      <c r="P627" s="364"/>
      <c r="Q627" s="364"/>
      <c r="R627" s="364"/>
      <c r="S627" s="364"/>
      <c r="T627" s="364"/>
      <c r="U627" s="364"/>
      <c r="V627" s="364"/>
      <c r="W627" s="364"/>
      <c r="X627" s="364"/>
      <c r="Y627" s="364"/>
      <c r="Z627" s="364"/>
    </row>
    <row r="628">
      <c r="A628" s="367"/>
      <c r="B628" s="367"/>
      <c r="C628" s="364"/>
      <c r="D628" s="364"/>
      <c r="E628" s="364"/>
      <c r="F628" s="364"/>
      <c r="G628" s="364"/>
      <c r="H628" s="364"/>
      <c r="I628" s="364"/>
      <c r="J628" s="364"/>
      <c r="K628" s="364"/>
      <c r="L628" s="364"/>
      <c r="M628" s="364"/>
      <c r="N628" s="364"/>
      <c r="O628" s="364"/>
      <c r="P628" s="364"/>
      <c r="Q628" s="364"/>
      <c r="R628" s="364"/>
      <c r="S628" s="364"/>
      <c r="T628" s="364"/>
      <c r="U628" s="364"/>
      <c r="V628" s="364"/>
      <c r="W628" s="364"/>
      <c r="X628" s="364"/>
      <c r="Y628" s="364"/>
      <c r="Z628" s="364"/>
    </row>
    <row r="629">
      <c r="A629" s="367"/>
      <c r="B629" s="367"/>
      <c r="C629" s="364"/>
      <c r="D629" s="364"/>
      <c r="E629" s="364"/>
      <c r="F629" s="364"/>
      <c r="G629" s="364"/>
      <c r="H629" s="364"/>
      <c r="I629" s="364"/>
      <c r="J629" s="364"/>
      <c r="K629" s="364"/>
      <c r="L629" s="364"/>
      <c r="M629" s="364"/>
      <c r="N629" s="364"/>
      <c r="O629" s="364"/>
      <c r="P629" s="364"/>
      <c r="Q629" s="364"/>
      <c r="R629" s="364"/>
      <c r="S629" s="364"/>
      <c r="T629" s="364"/>
      <c r="U629" s="364"/>
      <c r="V629" s="364"/>
      <c r="W629" s="364"/>
      <c r="X629" s="364"/>
      <c r="Y629" s="364"/>
      <c r="Z629" s="364"/>
    </row>
    <row r="630">
      <c r="A630" s="367"/>
      <c r="B630" s="367"/>
      <c r="C630" s="364"/>
      <c r="D630" s="364"/>
      <c r="E630" s="364"/>
      <c r="F630" s="364"/>
      <c r="G630" s="364"/>
      <c r="H630" s="364"/>
      <c r="I630" s="364"/>
      <c r="J630" s="364"/>
      <c r="K630" s="364"/>
      <c r="L630" s="364"/>
      <c r="M630" s="364"/>
      <c r="N630" s="364"/>
      <c r="O630" s="364"/>
      <c r="P630" s="364"/>
      <c r="Q630" s="364"/>
      <c r="R630" s="364"/>
      <c r="S630" s="364"/>
      <c r="T630" s="364"/>
      <c r="U630" s="364"/>
      <c r="V630" s="364"/>
      <c r="W630" s="364"/>
      <c r="X630" s="364"/>
      <c r="Y630" s="364"/>
      <c r="Z630" s="364"/>
    </row>
    <row r="631">
      <c r="A631" s="367"/>
      <c r="B631" s="367"/>
      <c r="C631" s="364"/>
      <c r="D631" s="364"/>
      <c r="E631" s="364"/>
      <c r="F631" s="364"/>
      <c r="G631" s="364"/>
      <c r="H631" s="364"/>
      <c r="I631" s="364"/>
      <c r="J631" s="364"/>
      <c r="K631" s="364"/>
      <c r="L631" s="364"/>
      <c r="M631" s="364"/>
      <c r="N631" s="364"/>
      <c r="O631" s="364"/>
      <c r="P631" s="364"/>
      <c r="Q631" s="364"/>
      <c r="R631" s="364"/>
      <c r="S631" s="364"/>
      <c r="T631" s="364"/>
      <c r="U631" s="364"/>
      <c r="V631" s="364"/>
      <c r="W631" s="364"/>
      <c r="X631" s="364"/>
      <c r="Y631" s="364"/>
      <c r="Z631" s="364"/>
    </row>
    <row r="632">
      <c r="A632" s="367"/>
      <c r="B632" s="367"/>
      <c r="C632" s="364"/>
      <c r="D632" s="364"/>
      <c r="E632" s="364"/>
      <c r="F632" s="364"/>
      <c r="G632" s="364"/>
      <c r="H632" s="364"/>
      <c r="I632" s="364"/>
      <c r="J632" s="364"/>
      <c r="K632" s="364"/>
      <c r="L632" s="364"/>
      <c r="M632" s="364"/>
      <c r="N632" s="364"/>
      <c r="O632" s="364"/>
      <c r="P632" s="364"/>
      <c r="Q632" s="364"/>
      <c r="R632" s="364"/>
      <c r="S632" s="364"/>
      <c r="T632" s="364"/>
      <c r="U632" s="364"/>
      <c r="V632" s="364"/>
      <c r="W632" s="364"/>
      <c r="X632" s="364"/>
      <c r="Y632" s="364"/>
      <c r="Z632" s="364"/>
    </row>
    <row r="633">
      <c r="A633" s="367"/>
      <c r="B633" s="367"/>
      <c r="C633" s="364"/>
      <c r="D633" s="364"/>
      <c r="E633" s="364"/>
      <c r="F633" s="364"/>
      <c r="G633" s="364"/>
      <c r="H633" s="364"/>
      <c r="I633" s="364"/>
      <c r="J633" s="364"/>
      <c r="K633" s="364"/>
      <c r="L633" s="364"/>
      <c r="M633" s="364"/>
      <c r="N633" s="364"/>
      <c r="O633" s="364"/>
      <c r="P633" s="364"/>
      <c r="Q633" s="364"/>
      <c r="R633" s="364"/>
      <c r="S633" s="364"/>
      <c r="T633" s="364"/>
      <c r="U633" s="364"/>
      <c r="V633" s="364"/>
      <c r="W633" s="364"/>
      <c r="X633" s="364"/>
      <c r="Y633" s="364"/>
      <c r="Z633" s="364"/>
    </row>
    <row r="634">
      <c r="A634" s="367"/>
      <c r="B634" s="367"/>
      <c r="C634" s="364"/>
      <c r="D634" s="364"/>
      <c r="E634" s="364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</row>
    <row r="635">
      <c r="A635" s="367"/>
      <c r="B635" s="367"/>
      <c r="C635" s="364"/>
      <c r="D635" s="364"/>
      <c r="E635" s="364"/>
      <c r="F635" s="364"/>
      <c r="G635" s="364"/>
      <c r="H635" s="364"/>
      <c r="I635" s="364"/>
      <c r="J635" s="364"/>
      <c r="K635" s="364"/>
      <c r="L635" s="364"/>
      <c r="M635" s="364"/>
      <c r="N635" s="364"/>
      <c r="O635" s="364"/>
      <c r="P635" s="364"/>
      <c r="Q635" s="364"/>
      <c r="R635" s="364"/>
      <c r="S635" s="364"/>
      <c r="T635" s="364"/>
      <c r="U635" s="364"/>
      <c r="V635" s="364"/>
      <c r="W635" s="364"/>
      <c r="X635" s="364"/>
      <c r="Y635" s="364"/>
      <c r="Z635" s="364"/>
    </row>
    <row r="636">
      <c r="A636" s="367"/>
      <c r="B636" s="367"/>
      <c r="C636" s="364"/>
      <c r="D636" s="364"/>
      <c r="E636" s="364"/>
      <c r="F636" s="364"/>
      <c r="G636" s="364"/>
      <c r="H636" s="364"/>
      <c r="I636" s="364"/>
      <c r="J636" s="364"/>
      <c r="K636" s="364"/>
      <c r="L636" s="364"/>
      <c r="M636" s="364"/>
      <c r="N636" s="364"/>
      <c r="O636" s="364"/>
      <c r="P636" s="364"/>
      <c r="Q636" s="364"/>
      <c r="R636" s="364"/>
      <c r="S636" s="364"/>
      <c r="T636" s="364"/>
      <c r="U636" s="364"/>
      <c r="V636" s="364"/>
      <c r="W636" s="364"/>
      <c r="X636" s="364"/>
      <c r="Y636" s="364"/>
      <c r="Z636" s="364"/>
    </row>
    <row r="637">
      <c r="A637" s="367"/>
      <c r="B637" s="367"/>
      <c r="C637" s="364"/>
      <c r="D637" s="364"/>
      <c r="E637" s="364"/>
      <c r="F637" s="364"/>
      <c r="G637" s="364"/>
      <c r="H637" s="364"/>
      <c r="I637" s="364"/>
      <c r="J637" s="364"/>
      <c r="K637" s="364"/>
      <c r="L637" s="364"/>
      <c r="M637" s="364"/>
      <c r="N637" s="364"/>
      <c r="O637" s="364"/>
      <c r="P637" s="364"/>
      <c r="Q637" s="364"/>
      <c r="R637" s="364"/>
      <c r="S637" s="364"/>
      <c r="T637" s="364"/>
      <c r="U637" s="364"/>
      <c r="V637" s="364"/>
      <c r="W637" s="364"/>
      <c r="X637" s="364"/>
      <c r="Y637" s="364"/>
      <c r="Z637" s="364"/>
    </row>
    <row r="638">
      <c r="A638" s="367"/>
      <c r="B638" s="367"/>
      <c r="C638" s="364"/>
      <c r="D638" s="364"/>
      <c r="E638" s="364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</row>
    <row r="639">
      <c r="A639" s="367"/>
      <c r="B639" s="367"/>
      <c r="C639" s="364"/>
      <c r="D639" s="364"/>
      <c r="E639" s="364"/>
      <c r="F639" s="364"/>
      <c r="G639" s="364"/>
      <c r="H639" s="364"/>
      <c r="I639" s="364"/>
      <c r="J639" s="364"/>
      <c r="K639" s="364"/>
      <c r="L639" s="364"/>
      <c r="M639" s="364"/>
      <c r="N639" s="364"/>
      <c r="O639" s="364"/>
      <c r="P639" s="364"/>
      <c r="Q639" s="364"/>
      <c r="R639" s="364"/>
      <c r="S639" s="364"/>
      <c r="T639" s="364"/>
      <c r="U639" s="364"/>
      <c r="V639" s="364"/>
      <c r="W639" s="364"/>
      <c r="X639" s="364"/>
      <c r="Y639" s="364"/>
      <c r="Z639" s="364"/>
    </row>
    <row r="640">
      <c r="A640" s="367"/>
      <c r="B640" s="367"/>
      <c r="C640" s="364"/>
      <c r="D640" s="364"/>
      <c r="E640" s="364"/>
      <c r="F640" s="364"/>
      <c r="G640" s="364"/>
      <c r="H640" s="364"/>
      <c r="I640" s="364"/>
      <c r="J640" s="364"/>
      <c r="K640" s="364"/>
      <c r="L640" s="364"/>
      <c r="M640" s="364"/>
      <c r="N640" s="364"/>
      <c r="O640" s="364"/>
      <c r="P640" s="364"/>
      <c r="Q640" s="364"/>
      <c r="R640" s="364"/>
      <c r="S640" s="364"/>
      <c r="T640" s="364"/>
      <c r="U640" s="364"/>
      <c r="V640" s="364"/>
      <c r="W640" s="364"/>
      <c r="X640" s="364"/>
      <c r="Y640" s="364"/>
      <c r="Z640" s="364"/>
    </row>
    <row r="641">
      <c r="A641" s="367"/>
      <c r="B641" s="367"/>
      <c r="C641" s="364"/>
      <c r="D641" s="364"/>
      <c r="E641" s="364"/>
      <c r="F641" s="364"/>
      <c r="G641" s="364"/>
      <c r="H641" s="364"/>
      <c r="I641" s="364"/>
      <c r="J641" s="364"/>
      <c r="K641" s="364"/>
      <c r="L641" s="364"/>
      <c r="M641" s="364"/>
      <c r="N641" s="364"/>
      <c r="O641" s="364"/>
      <c r="P641" s="364"/>
      <c r="Q641" s="364"/>
      <c r="R641" s="364"/>
      <c r="S641" s="364"/>
      <c r="T641" s="364"/>
      <c r="U641" s="364"/>
      <c r="V641" s="364"/>
      <c r="W641" s="364"/>
      <c r="X641" s="364"/>
      <c r="Y641" s="364"/>
      <c r="Z641" s="364"/>
    </row>
    <row r="642">
      <c r="A642" s="367"/>
      <c r="B642" s="367"/>
      <c r="C642" s="364"/>
      <c r="D642" s="364"/>
      <c r="E642" s="364"/>
      <c r="F642" s="364"/>
      <c r="G642" s="364"/>
      <c r="H642" s="364"/>
      <c r="I642" s="364"/>
      <c r="J642" s="364"/>
      <c r="K642" s="364"/>
      <c r="L642" s="364"/>
      <c r="M642" s="364"/>
      <c r="N642" s="364"/>
      <c r="O642" s="364"/>
      <c r="P642" s="364"/>
      <c r="Q642" s="364"/>
      <c r="R642" s="364"/>
      <c r="S642" s="364"/>
      <c r="T642" s="364"/>
      <c r="U642" s="364"/>
      <c r="V642" s="364"/>
      <c r="W642" s="364"/>
      <c r="X642" s="364"/>
      <c r="Y642" s="364"/>
      <c r="Z642" s="364"/>
    </row>
    <row r="643">
      <c r="A643" s="367"/>
      <c r="B643" s="367"/>
      <c r="C643" s="364"/>
      <c r="D643" s="364"/>
      <c r="E643" s="364"/>
      <c r="F643" s="364"/>
      <c r="G643" s="364"/>
      <c r="H643" s="364"/>
      <c r="I643" s="364"/>
      <c r="J643" s="364"/>
      <c r="K643" s="364"/>
      <c r="L643" s="364"/>
      <c r="M643" s="364"/>
      <c r="N643" s="364"/>
      <c r="O643" s="364"/>
      <c r="P643" s="364"/>
      <c r="Q643" s="364"/>
      <c r="R643" s="364"/>
      <c r="S643" s="364"/>
      <c r="T643" s="364"/>
      <c r="U643" s="364"/>
      <c r="V643" s="364"/>
      <c r="W643" s="364"/>
      <c r="X643" s="364"/>
      <c r="Y643" s="364"/>
      <c r="Z643" s="364"/>
    </row>
    <row r="644">
      <c r="A644" s="367"/>
      <c r="B644" s="367"/>
      <c r="C644" s="364"/>
      <c r="D644" s="364"/>
      <c r="E644" s="364"/>
      <c r="F644" s="364"/>
      <c r="G644" s="364"/>
      <c r="H644" s="364"/>
      <c r="I644" s="364"/>
      <c r="J644" s="364"/>
      <c r="K644" s="364"/>
      <c r="L644" s="364"/>
      <c r="M644" s="364"/>
      <c r="N644" s="364"/>
      <c r="O644" s="364"/>
      <c r="P644" s="364"/>
      <c r="Q644" s="364"/>
      <c r="R644" s="364"/>
      <c r="S644" s="364"/>
      <c r="T644" s="364"/>
      <c r="U644" s="364"/>
      <c r="V644" s="364"/>
      <c r="W644" s="364"/>
      <c r="X644" s="364"/>
      <c r="Y644" s="364"/>
      <c r="Z644" s="364"/>
    </row>
    <row r="645">
      <c r="A645" s="367"/>
      <c r="B645" s="367"/>
      <c r="C645" s="364"/>
      <c r="D645" s="364"/>
      <c r="E645" s="364"/>
      <c r="F645" s="364"/>
      <c r="G645" s="364"/>
      <c r="H645" s="364"/>
      <c r="I645" s="364"/>
      <c r="J645" s="364"/>
      <c r="K645" s="364"/>
      <c r="L645" s="364"/>
      <c r="M645" s="364"/>
      <c r="N645" s="364"/>
      <c r="O645" s="364"/>
      <c r="P645" s="364"/>
      <c r="Q645" s="364"/>
      <c r="R645" s="364"/>
      <c r="S645" s="364"/>
      <c r="T645" s="364"/>
      <c r="U645" s="364"/>
      <c r="V645" s="364"/>
      <c r="W645" s="364"/>
      <c r="X645" s="364"/>
      <c r="Y645" s="364"/>
      <c r="Z645" s="364"/>
    </row>
    <row r="646">
      <c r="A646" s="367"/>
      <c r="B646" s="367"/>
      <c r="C646" s="364"/>
      <c r="D646" s="364"/>
      <c r="E646" s="364"/>
      <c r="F646" s="364"/>
      <c r="G646" s="364"/>
      <c r="H646" s="364"/>
      <c r="I646" s="364"/>
      <c r="J646" s="364"/>
      <c r="K646" s="364"/>
      <c r="L646" s="364"/>
      <c r="M646" s="364"/>
      <c r="N646" s="364"/>
      <c r="O646" s="364"/>
      <c r="P646" s="364"/>
      <c r="Q646" s="364"/>
      <c r="R646" s="364"/>
      <c r="S646" s="364"/>
      <c r="T646" s="364"/>
      <c r="U646" s="364"/>
      <c r="V646" s="364"/>
      <c r="W646" s="364"/>
      <c r="X646" s="364"/>
      <c r="Y646" s="364"/>
      <c r="Z646" s="364"/>
    </row>
    <row r="647">
      <c r="A647" s="367"/>
      <c r="B647" s="367"/>
      <c r="C647" s="364"/>
      <c r="D647" s="364"/>
      <c r="E647" s="364"/>
      <c r="F647" s="364"/>
      <c r="G647" s="364"/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</row>
    <row r="648">
      <c r="A648" s="367"/>
      <c r="B648" s="367"/>
      <c r="C648" s="364"/>
      <c r="D648" s="364"/>
      <c r="E648" s="364"/>
      <c r="F648" s="364"/>
      <c r="G648" s="364"/>
      <c r="H648" s="364"/>
      <c r="I648" s="364"/>
      <c r="J648" s="364"/>
      <c r="K648" s="364"/>
      <c r="L648" s="364"/>
      <c r="M648" s="364"/>
      <c r="N648" s="364"/>
      <c r="O648" s="364"/>
      <c r="P648" s="364"/>
      <c r="Q648" s="364"/>
      <c r="R648" s="364"/>
      <c r="S648" s="364"/>
      <c r="T648" s="364"/>
      <c r="U648" s="364"/>
      <c r="V648" s="364"/>
      <c r="W648" s="364"/>
      <c r="X648" s="364"/>
      <c r="Y648" s="364"/>
      <c r="Z648" s="364"/>
    </row>
    <row r="649">
      <c r="A649" s="367"/>
      <c r="B649" s="367"/>
      <c r="C649" s="364"/>
      <c r="D649" s="364"/>
      <c r="E649" s="364"/>
      <c r="F649" s="364"/>
      <c r="G649" s="364"/>
      <c r="H649" s="364"/>
      <c r="I649" s="364"/>
      <c r="J649" s="364"/>
      <c r="K649" s="364"/>
      <c r="L649" s="364"/>
      <c r="M649" s="364"/>
      <c r="N649" s="364"/>
      <c r="O649" s="364"/>
      <c r="P649" s="364"/>
      <c r="Q649" s="364"/>
      <c r="R649" s="364"/>
      <c r="S649" s="364"/>
      <c r="T649" s="364"/>
      <c r="U649" s="364"/>
      <c r="V649" s="364"/>
      <c r="W649" s="364"/>
      <c r="X649" s="364"/>
      <c r="Y649" s="364"/>
      <c r="Z649" s="364"/>
    </row>
    <row r="650">
      <c r="A650" s="367"/>
      <c r="B650" s="367"/>
      <c r="C650" s="364"/>
      <c r="D650" s="364"/>
      <c r="E650" s="364"/>
      <c r="F650" s="364"/>
      <c r="G650" s="364"/>
      <c r="H650" s="364"/>
      <c r="I650" s="364"/>
      <c r="J650" s="364"/>
      <c r="K650" s="364"/>
      <c r="L650" s="364"/>
      <c r="M650" s="364"/>
      <c r="N650" s="364"/>
      <c r="O650" s="364"/>
      <c r="P650" s="364"/>
      <c r="Q650" s="364"/>
      <c r="R650" s="364"/>
      <c r="S650" s="364"/>
      <c r="T650" s="364"/>
      <c r="U650" s="364"/>
      <c r="V650" s="364"/>
      <c r="W650" s="364"/>
      <c r="X650" s="364"/>
      <c r="Y650" s="364"/>
      <c r="Z650" s="364"/>
    </row>
    <row r="651">
      <c r="A651" s="367"/>
      <c r="B651" s="367"/>
      <c r="C651" s="364"/>
      <c r="D651" s="364"/>
      <c r="E651" s="364"/>
      <c r="F651" s="364"/>
      <c r="G651" s="364"/>
      <c r="H651" s="364"/>
      <c r="I651" s="364"/>
      <c r="J651" s="364"/>
      <c r="K651" s="364"/>
      <c r="L651" s="364"/>
      <c r="M651" s="364"/>
      <c r="N651" s="364"/>
      <c r="O651" s="364"/>
      <c r="P651" s="364"/>
      <c r="Q651" s="364"/>
      <c r="R651" s="364"/>
      <c r="S651" s="364"/>
      <c r="T651" s="364"/>
      <c r="U651" s="364"/>
      <c r="V651" s="364"/>
      <c r="W651" s="364"/>
      <c r="X651" s="364"/>
      <c r="Y651" s="364"/>
      <c r="Z651" s="364"/>
    </row>
    <row r="652">
      <c r="A652" s="367"/>
      <c r="B652" s="367"/>
      <c r="C652" s="364"/>
      <c r="D652" s="364"/>
      <c r="E652" s="364"/>
      <c r="F652" s="364"/>
      <c r="G652" s="364"/>
      <c r="H652" s="364"/>
      <c r="I652" s="364"/>
      <c r="J652" s="364"/>
      <c r="K652" s="364"/>
      <c r="L652" s="364"/>
      <c r="M652" s="364"/>
      <c r="N652" s="364"/>
      <c r="O652" s="364"/>
      <c r="P652" s="364"/>
      <c r="Q652" s="364"/>
      <c r="R652" s="364"/>
      <c r="S652" s="364"/>
      <c r="T652" s="364"/>
      <c r="U652" s="364"/>
      <c r="V652" s="364"/>
      <c r="W652" s="364"/>
      <c r="X652" s="364"/>
      <c r="Y652" s="364"/>
      <c r="Z652" s="364"/>
    </row>
    <row r="653">
      <c r="A653" s="367"/>
      <c r="B653" s="367"/>
      <c r="C653" s="364"/>
      <c r="D653" s="364"/>
      <c r="E653" s="364"/>
      <c r="F653" s="364"/>
      <c r="G653" s="364"/>
      <c r="H653" s="364"/>
      <c r="I653" s="364"/>
      <c r="J653" s="364"/>
      <c r="K653" s="364"/>
      <c r="L653" s="364"/>
      <c r="M653" s="364"/>
      <c r="N653" s="364"/>
      <c r="O653" s="364"/>
      <c r="P653" s="364"/>
      <c r="Q653" s="364"/>
      <c r="R653" s="364"/>
      <c r="S653" s="364"/>
      <c r="T653" s="364"/>
      <c r="U653" s="364"/>
      <c r="V653" s="364"/>
      <c r="W653" s="364"/>
      <c r="X653" s="364"/>
      <c r="Y653" s="364"/>
      <c r="Z653" s="364"/>
    </row>
    <row r="654">
      <c r="A654" s="367"/>
      <c r="B654" s="367"/>
      <c r="C654" s="364"/>
      <c r="D654" s="364"/>
      <c r="E654" s="364"/>
      <c r="F654" s="364"/>
      <c r="G654" s="364"/>
      <c r="H654" s="364"/>
      <c r="I654" s="364"/>
      <c r="J654" s="364"/>
      <c r="K654" s="364"/>
      <c r="L654" s="364"/>
      <c r="M654" s="364"/>
      <c r="N654" s="364"/>
      <c r="O654" s="364"/>
      <c r="P654" s="364"/>
      <c r="Q654" s="364"/>
      <c r="R654" s="364"/>
      <c r="S654" s="364"/>
      <c r="T654" s="364"/>
      <c r="U654" s="364"/>
      <c r="V654" s="364"/>
      <c r="W654" s="364"/>
      <c r="X654" s="364"/>
      <c r="Y654" s="364"/>
      <c r="Z654" s="364"/>
    </row>
    <row r="655">
      <c r="A655" s="367"/>
      <c r="B655" s="367"/>
      <c r="C655" s="364"/>
      <c r="D655" s="364"/>
      <c r="E655" s="364"/>
      <c r="F655" s="364"/>
      <c r="G655" s="364"/>
      <c r="H655" s="364"/>
      <c r="I655" s="364"/>
      <c r="J655" s="364"/>
      <c r="K655" s="364"/>
      <c r="L655" s="364"/>
      <c r="M655" s="364"/>
      <c r="N655" s="364"/>
      <c r="O655" s="364"/>
      <c r="P655" s="364"/>
      <c r="Q655" s="364"/>
      <c r="R655" s="364"/>
      <c r="S655" s="364"/>
      <c r="T655" s="364"/>
      <c r="U655" s="364"/>
      <c r="V655" s="364"/>
      <c r="W655" s="364"/>
      <c r="X655" s="364"/>
      <c r="Y655" s="364"/>
      <c r="Z655" s="364"/>
    </row>
    <row r="656">
      <c r="A656" s="367"/>
      <c r="B656" s="367"/>
      <c r="C656" s="364"/>
      <c r="D656" s="364"/>
      <c r="E656" s="364"/>
      <c r="F656" s="364"/>
      <c r="G656" s="364"/>
      <c r="H656" s="364"/>
      <c r="I656" s="364"/>
      <c r="J656" s="364"/>
      <c r="K656" s="364"/>
      <c r="L656" s="364"/>
      <c r="M656" s="364"/>
      <c r="N656" s="364"/>
      <c r="O656" s="364"/>
      <c r="P656" s="364"/>
      <c r="Q656" s="364"/>
      <c r="R656" s="364"/>
      <c r="S656" s="364"/>
      <c r="T656" s="364"/>
      <c r="U656" s="364"/>
      <c r="V656" s="364"/>
      <c r="W656" s="364"/>
      <c r="X656" s="364"/>
      <c r="Y656" s="364"/>
      <c r="Z656" s="364"/>
    </row>
    <row r="657">
      <c r="A657" s="367"/>
      <c r="B657" s="367"/>
      <c r="C657" s="364"/>
      <c r="D657" s="364"/>
      <c r="E657" s="364"/>
      <c r="F657" s="364"/>
      <c r="G657" s="364"/>
      <c r="H657" s="364"/>
      <c r="I657" s="364"/>
      <c r="J657" s="364"/>
      <c r="K657" s="364"/>
      <c r="L657" s="364"/>
      <c r="M657" s="364"/>
      <c r="N657" s="364"/>
      <c r="O657" s="364"/>
      <c r="P657" s="364"/>
      <c r="Q657" s="364"/>
      <c r="R657" s="364"/>
      <c r="S657" s="364"/>
      <c r="T657" s="364"/>
      <c r="U657" s="364"/>
      <c r="V657" s="364"/>
      <c r="W657" s="364"/>
      <c r="X657" s="364"/>
      <c r="Y657" s="364"/>
      <c r="Z657" s="364"/>
    </row>
    <row r="658">
      <c r="A658" s="367"/>
      <c r="B658" s="367"/>
      <c r="C658" s="364"/>
      <c r="D658" s="364"/>
      <c r="E658" s="364"/>
      <c r="F658" s="364"/>
      <c r="G658" s="364"/>
      <c r="H658" s="364"/>
      <c r="I658" s="364"/>
      <c r="J658" s="364"/>
      <c r="K658" s="364"/>
      <c r="L658" s="364"/>
      <c r="M658" s="364"/>
      <c r="N658" s="364"/>
      <c r="O658" s="364"/>
      <c r="P658" s="364"/>
      <c r="Q658" s="364"/>
      <c r="R658" s="364"/>
      <c r="S658" s="364"/>
      <c r="T658" s="364"/>
      <c r="U658" s="364"/>
      <c r="V658" s="364"/>
      <c r="W658" s="364"/>
      <c r="X658" s="364"/>
      <c r="Y658" s="364"/>
      <c r="Z658" s="364"/>
    </row>
    <row r="659">
      <c r="A659" s="367"/>
      <c r="B659" s="367"/>
      <c r="C659" s="364"/>
      <c r="D659" s="364"/>
      <c r="E659" s="364"/>
      <c r="F659" s="364"/>
      <c r="G659" s="364"/>
      <c r="H659" s="364"/>
      <c r="I659" s="364"/>
      <c r="J659" s="364"/>
      <c r="K659" s="364"/>
      <c r="L659" s="364"/>
      <c r="M659" s="364"/>
      <c r="N659" s="364"/>
      <c r="O659" s="364"/>
      <c r="P659" s="364"/>
      <c r="Q659" s="364"/>
      <c r="R659" s="364"/>
      <c r="S659" s="364"/>
      <c r="T659" s="364"/>
      <c r="U659" s="364"/>
      <c r="V659" s="364"/>
      <c r="W659" s="364"/>
      <c r="X659" s="364"/>
      <c r="Y659" s="364"/>
      <c r="Z659" s="364"/>
    </row>
    <row r="660">
      <c r="A660" s="367"/>
      <c r="B660" s="367"/>
      <c r="C660" s="364"/>
      <c r="D660" s="364"/>
      <c r="E660" s="364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364"/>
      <c r="T660" s="364"/>
      <c r="U660" s="364"/>
      <c r="V660" s="364"/>
      <c r="W660" s="364"/>
      <c r="X660" s="364"/>
      <c r="Y660" s="364"/>
      <c r="Z660" s="364"/>
    </row>
    <row r="661">
      <c r="A661" s="367"/>
      <c r="B661" s="367"/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364"/>
      <c r="T661" s="364"/>
      <c r="U661" s="364"/>
      <c r="V661" s="364"/>
      <c r="W661" s="364"/>
      <c r="X661" s="364"/>
      <c r="Y661" s="364"/>
      <c r="Z661" s="364"/>
    </row>
    <row r="662">
      <c r="A662" s="367"/>
      <c r="B662" s="367"/>
      <c r="C662" s="364"/>
      <c r="D662" s="364"/>
      <c r="E662" s="364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364"/>
      <c r="T662" s="364"/>
      <c r="U662" s="364"/>
      <c r="V662" s="364"/>
      <c r="W662" s="364"/>
      <c r="X662" s="364"/>
      <c r="Y662" s="364"/>
      <c r="Z662" s="364"/>
    </row>
    <row r="663">
      <c r="A663" s="367"/>
      <c r="B663" s="367"/>
      <c r="C663" s="364"/>
      <c r="D663" s="364"/>
      <c r="E663" s="364"/>
      <c r="F663" s="364"/>
      <c r="G663" s="364"/>
      <c r="H663" s="364"/>
      <c r="I663" s="364"/>
      <c r="J663" s="364"/>
      <c r="K663" s="364"/>
      <c r="L663" s="364"/>
      <c r="M663" s="364"/>
      <c r="N663" s="364"/>
      <c r="O663" s="364"/>
      <c r="P663" s="364"/>
      <c r="Q663" s="364"/>
      <c r="R663" s="364"/>
      <c r="S663" s="364"/>
      <c r="T663" s="364"/>
      <c r="U663" s="364"/>
      <c r="V663" s="364"/>
      <c r="W663" s="364"/>
      <c r="X663" s="364"/>
      <c r="Y663" s="364"/>
      <c r="Z663" s="364"/>
    </row>
    <row r="664">
      <c r="A664" s="367"/>
      <c r="B664" s="367"/>
      <c r="C664" s="364"/>
      <c r="D664" s="364"/>
      <c r="E664" s="364"/>
      <c r="F664" s="364"/>
      <c r="G664" s="364"/>
      <c r="H664" s="364"/>
      <c r="I664" s="364"/>
      <c r="J664" s="364"/>
      <c r="K664" s="364"/>
      <c r="L664" s="364"/>
      <c r="M664" s="364"/>
      <c r="N664" s="364"/>
      <c r="O664" s="364"/>
      <c r="P664" s="364"/>
      <c r="Q664" s="364"/>
      <c r="R664" s="364"/>
      <c r="S664" s="364"/>
      <c r="T664" s="364"/>
      <c r="U664" s="364"/>
      <c r="V664" s="364"/>
      <c r="W664" s="364"/>
      <c r="X664" s="364"/>
      <c r="Y664" s="364"/>
      <c r="Z664" s="364"/>
    </row>
    <row r="665">
      <c r="A665" s="367"/>
      <c r="B665" s="367"/>
      <c r="C665" s="364"/>
      <c r="D665" s="364"/>
      <c r="E665" s="364"/>
      <c r="F665" s="364"/>
      <c r="G665" s="364"/>
      <c r="H665" s="364"/>
      <c r="I665" s="364"/>
      <c r="J665" s="364"/>
      <c r="K665" s="364"/>
      <c r="L665" s="364"/>
      <c r="M665" s="364"/>
      <c r="N665" s="364"/>
      <c r="O665" s="364"/>
      <c r="P665" s="364"/>
      <c r="Q665" s="364"/>
      <c r="R665" s="364"/>
      <c r="S665" s="364"/>
      <c r="T665" s="364"/>
      <c r="U665" s="364"/>
      <c r="V665" s="364"/>
      <c r="W665" s="364"/>
      <c r="X665" s="364"/>
      <c r="Y665" s="364"/>
      <c r="Z665" s="364"/>
    </row>
    <row r="666">
      <c r="A666" s="367"/>
      <c r="B666" s="367"/>
      <c r="C666" s="364"/>
      <c r="D666" s="364"/>
      <c r="E666" s="364"/>
      <c r="F666" s="364"/>
      <c r="G666" s="364"/>
      <c r="H666" s="364"/>
      <c r="I666" s="364"/>
      <c r="J666" s="364"/>
      <c r="K666" s="364"/>
      <c r="L666" s="364"/>
      <c r="M666" s="364"/>
      <c r="N666" s="364"/>
      <c r="O666" s="364"/>
      <c r="P666" s="364"/>
      <c r="Q666" s="364"/>
      <c r="R666" s="364"/>
      <c r="S666" s="364"/>
      <c r="T666" s="364"/>
      <c r="U666" s="364"/>
      <c r="V666" s="364"/>
      <c r="W666" s="364"/>
      <c r="X666" s="364"/>
      <c r="Y666" s="364"/>
      <c r="Z666" s="364"/>
    </row>
    <row r="667">
      <c r="A667" s="367"/>
      <c r="B667" s="367"/>
      <c r="C667" s="364"/>
      <c r="D667" s="364"/>
      <c r="E667" s="364"/>
      <c r="F667" s="364"/>
      <c r="G667" s="364"/>
      <c r="H667" s="364"/>
      <c r="I667" s="364"/>
      <c r="J667" s="364"/>
      <c r="K667" s="364"/>
      <c r="L667" s="364"/>
      <c r="M667" s="364"/>
      <c r="N667" s="364"/>
      <c r="O667" s="364"/>
      <c r="P667" s="364"/>
      <c r="Q667" s="364"/>
      <c r="R667" s="364"/>
      <c r="S667" s="364"/>
      <c r="T667" s="364"/>
      <c r="U667" s="364"/>
      <c r="V667" s="364"/>
      <c r="W667" s="364"/>
      <c r="X667" s="364"/>
      <c r="Y667" s="364"/>
      <c r="Z667" s="364"/>
    </row>
    <row r="668">
      <c r="A668" s="367"/>
      <c r="B668" s="367"/>
      <c r="C668" s="364"/>
      <c r="D668" s="364"/>
      <c r="E668" s="364"/>
      <c r="F668" s="364"/>
      <c r="G668" s="364"/>
      <c r="H668" s="364"/>
      <c r="I668" s="364"/>
      <c r="J668" s="364"/>
      <c r="K668" s="364"/>
      <c r="L668" s="364"/>
      <c r="M668" s="364"/>
      <c r="N668" s="364"/>
      <c r="O668" s="364"/>
      <c r="P668" s="364"/>
      <c r="Q668" s="364"/>
      <c r="R668" s="364"/>
      <c r="S668" s="364"/>
      <c r="T668" s="364"/>
      <c r="U668" s="364"/>
      <c r="V668" s="364"/>
      <c r="W668" s="364"/>
      <c r="X668" s="364"/>
      <c r="Y668" s="364"/>
      <c r="Z668" s="364"/>
    </row>
    <row r="669">
      <c r="A669" s="367"/>
      <c r="B669" s="367"/>
      <c r="C669" s="364"/>
      <c r="D669" s="364"/>
      <c r="E669" s="364"/>
      <c r="F669" s="364"/>
      <c r="G669" s="364"/>
      <c r="H669" s="364"/>
      <c r="I669" s="364"/>
      <c r="J669" s="364"/>
      <c r="K669" s="364"/>
      <c r="L669" s="364"/>
      <c r="M669" s="364"/>
      <c r="N669" s="364"/>
      <c r="O669" s="364"/>
      <c r="P669" s="364"/>
      <c r="Q669" s="364"/>
      <c r="R669" s="364"/>
      <c r="S669" s="364"/>
      <c r="T669" s="364"/>
      <c r="U669" s="364"/>
      <c r="V669" s="364"/>
      <c r="W669" s="364"/>
      <c r="X669" s="364"/>
      <c r="Y669" s="364"/>
      <c r="Z669" s="364"/>
    </row>
    <row r="670">
      <c r="A670" s="367"/>
      <c r="B670" s="367"/>
      <c r="C670" s="364"/>
      <c r="D670" s="364"/>
      <c r="E670" s="364"/>
      <c r="F670" s="364"/>
      <c r="G670" s="364"/>
      <c r="H670" s="364"/>
      <c r="I670" s="364"/>
      <c r="J670" s="364"/>
      <c r="K670" s="364"/>
      <c r="L670" s="364"/>
      <c r="M670" s="364"/>
      <c r="N670" s="364"/>
      <c r="O670" s="364"/>
      <c r="P670" s="364"/>
      <c r="Q670" s="364"/>
      <c r="R670" s="364"/>
      <c r="S670" s="364"/>
      <c r="T670" s="364"/>
      <c r="U670" s="364"/>
      <c r="V670" s="364"/>
      <c r="W670" s="364"/>
      <c r="X670" s="364"/>
      <c r="Y670" s="364"/>
      <c r="Z670" s="364"/>
    </row>
    <row r="671">
      <c r="A671" s="367"/>
      <c r="B671" s="367"/>
      <c r="C671" s="364"/>
      <c r="D671" s="364"/>
      <c r="E671" s="364"/>
      <c r="F671" s="364"/>
      <c r="G671" s="364"/>
      <c r="H671" s="364"/>
      <c r="I671" s="364"/>
      <c r="J671" s="364"/>
      <c r="K671" s="364"/>
      <c r="L671" s="364"/>
      <c r="M671" s="364"/>
      <c r="N671" s="364"/>
      <c r="O671" s="364"/>
      <c r="P671" s="364"/>
      <c r="Q671" s="364"/>
      <c r="R671" s="364"/>
      <c r="S671" s="364"/>
      <c r="T671" s="364"/>
      <c r="U671" s="364"/>
      <c r="V671" s="364"/>
      <c r="W671" s="364"/>
      <c r="X671" s="364"/>
      <c r="Y671" s="364"/>
      <c r="Z671" s="364"/>
    </row>
    <row r="672">
      <c r="A672" s="367"/>
      <c r="B672" s="367"/>
      <c r="C672" s="364"/>
      <c r="D672" s="364"/>
      <c r="E672" s="364"/>
      <c r="F672" s="364"/>
      <c r="G672" s="364"/>
      <c r="H672" s="364"/>
      <c r="I672" s="364"/>
      <c r="J672" s="364"/>
      <c r="K672" s="364"/>
      <c r="L672" s="364"/>
      <c r="M672" s="364"/>
      <c r="N672" s="364"/>
      <c r="O672" s="364"/>
      <c r="P672" s="364"/>
      <c r="Q672" s="364"/>
      <c r="R672" s="364"/>
      <c r="S672" s="364"/>
      <c r="T672" s="364"/>
      <c r="U672" s="364"/>
      <c r="V672" s="364"/>
      <c r="W672" s="364"/>
      <c r="X672" s="364"/>
      <c r="Y672" s="364"/>
      <c r="Z672" s="364"/>
    </row>
    <row r="673">
      <c r="A673" s="367"/>
      <c r="B673" s="367"/>
      <c r="C673" s="364"/>
      <c r="D673" s="364"/>
      <c r="E673" s="364"/>
      <c r="F673" s="364"/>
      <c r="G673" s="364"/>
      <c r="H673" s="364"/>
      <c r="I673" s="364"/>
      <c r="J673" s="364"/>
      <c r="K673" s="364"/>
      <c r="L673" s="364"/>
      <c r="M673" s="364"/>
      <c r="N673" s="364"/>
      <c r="O673" s="364"/>
      <c r="P673" s="364"/>
      <c r="Q673" s="364"/>
      <c r="R673" s="364"/>
      <c r="S673" s="364"/>
      <c r="T673" s="364"/>
      <c r="U673" s="364"/>
      <c r="V673" s="364"/>
      <c r="W673" s="364"/>
      <c r="X673" s="364"/>
      <c r="Y673" s="364"/>
      <c r="Z673" s="364"/>
    </row>
    <row r="674">
      <c r="A674" s="367"/>
      <c r="B674" s="367"/>
      <c r="C674" s="364"/>
      <c r="D674" s="364"/>
      <c r="E674" s="364"/>
      <c r="F674" s="364"/>
      <c r="G674" s="364"/>
      <c r="H674" s="364"/>
      <c r="I674" s="364"/>
      <c r="J674" s="364"/>
      <c r="K674" s="364"/>
      <c r="L674" s="364"/>
      <c r="M674" s="364"/>
      <c r="N674" s="364"/>
      <c r="O674" s="364"/>
      <c r="P674" s="364"/>
      <c r="Q674" s="364"/>
      <c r="R674" s="364"/>
      <c r="S674" s="364"/>
      <c r="T674" s="364"/>
      <c r="U674" s="364"/>
      <c r="V674" s="364"/>
      <c r="W674" s="364"/>
      <c r="X674" s="364"/>
      <c r="Y674" s="364"/>
      <c r="Z674" s="364"/>
    </row>
    <row r="675">
      <c r="A675" s="367"/>
      <c r="B675" s="367"/>
      <c r="C675" s="364"/>
      <c r="D675" s="364"/>
      <c r="E675" s="364"/>
      <c r="F675" s="364"/>
      <c r="G675" s="364"/>
      <c r="H675" s="364"/>
      <c r="I675" s="364"/>
      <c r="J675" s="364"/>
      <c r="K675" s="364"/>
      <c r="L675" s="364"/>
      <c r="M675" s="364"/>
      <c r="N675" s="364"/>
      <c r="O675" s="364"/>
      <c r="P675" s="364"/>
      <c r="Q675" s="364"/>
      <c r="R675" s="364"/>
      <c r="S675" s="364"/>
      <c r="T675" s="364"/>
      <c r="U675" s="364"/>
      <c r="V675" s="364"/>
      <c r="W675" s="364"/>
      <c r="X675" s="364"/>
      <c r="Y675" s="364"/>
      <c r="Z675" s="364"/>
    </row>
    <row r="676">
      <c r="A676" s="367"/>
      <c r="B676" s="367"/>
      <c r="C676" s="364"/>
      <c r="D676" s="364"/>
      <c r="E676" s="364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</row>
    <row r="677">
      <c r="A677" s="367"/>
      <c r="B677" s="367"/>
      <c r="C677" s="364"/>
      <c r="D677" s="364"/>
      <c r="E677" s="364"/>
      <c r="F677" s="364"/>
      <c r="G677" s="364"/>
      <c r="H677" s="364"/>
      <c r="I677" s="364"/>
      <c r="J677" s="364"/>
      <c r="K677" s="364"/>
      <c r="L677" s="364"/>
      <c r="M677" s="364"/>
      <c r="N677" s="364"/>
      <c r="O677" s="364"/>
      <c r="P677" s="364"/>
      <c r="Q677" s="364"/>
      <c r="R677" s="364"/>
      <c r="S677" s="364"/>
      <c r="T677" s="364"/>
      <c r="U677" s="364"/>
      <c r="V677" s="364"/>
      <c r="W677" s="364"/>
      <c r="X677" s="364"/>
      <c r="Y677" s="364"/>
      <c r="Z677" s="364"/>
    </row>
    <row r="678">
      <c r="A678" s="367"/>
      <c r="B678" s="367"/>
      <c r="C678" s="364"/>
      <c r="D678" s="364"/>
      <c r="E678" s="364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</row>
    <row r="679">
      <c r="A679" s="367"/>
      <c r="B679" s="367"/>
      <c r="C679" s="364"/>
      <c r="D679" s="364"/>
      <c r="E679" s="364"/>
      <c r="F679" s="364"/>
      <c r="G679" s="364"/>
      <c r="H679" s="364"/>
      <c r="I679" s="364"/>
      <c r="J679" s="364"/>
      <c r="K679" s="364"/>
      <c r="L679" s="364"/>
      <c r="M679" s="364"/>
      <c r="N679" s="364"/>
      <c r="O679" s="364"/>
      <c r="P679" s="364"/>
      <c r="Q679" s="364"/>
      <c r="R679" s="364"/>
      <c r="S679" s="364"/>
      <c r="T679" s="364"/>
      <c r="U679" s="364"/>
      <c r="V679" s="364"/>
      <c r="W679" s="364"/>
      <c r="X679" s="364"/>
      <c r="Y679" s="364"/>
      <c r="Z679" s="364"/>
    </row>
    <row r="680">
      <c r="A680" s="367"/>
      <c r="B680" s="367"/>
      <c r="C680" s="364"/>
      <c r="D680" s="364"/>
      <c r="E680" s="364"/>
      <c r="F680" s="364"/>
      <c r="G680" s="364"/>
      <c r="H680" s="364"/>
      <c r="I680" s="364"/>
      <c r="J680" s="364"/>
      <c r="K680" s="364"/>
      <c r="L680" s="364"/>
      <c r="M680" s="364"/>
      <c r="N680" s="364"/>
      <c r="O680" s="364"/>
      <c r="P680" s="364"/>
      <c r="Q680" s="364"/>
      <c r="R680" s="364"/>
      <c r="S680" s="364"/>
      <c r="T680" s="364"/>
      <c r="U680" s="364"/>
      <c r="V680" s="364"/>
      <c r="W680" s="364"/>
      <c r="X680" s="364"/>
      <c r="Y680" s="364"/>
      <c r="Z680" s="364"/>
    </row>
    <row r="681">
      <c r="A681" s="367"/>
      <c r="B681" s="367"/>
      <c r="C681" s="364"/>
      <c r="D681" s="364"/>
      <c r="E681" s="364"/>
      <c r="F681" s="364"/>
      <c r="G681" s="364"/>
      <c r="H681" s="364"/>
      <c r="I681" s="364"/>
      <c r="J681" s="364"/>
      <c r="K681" s="364"/>
      <c r="L681" s="364"/>
      <c r="M681" s="364"/>
      <c r="N681" s="364"/>
      <c r="O681" s="364"/>
      <c r="P681" s="364"/>
      <c r="Q681" s="364"/>
      <c r="R681" s="364"/>
      <c r="S681" s="364"/>
      <c r="T681" s="364"/>
      <c r="U681" s="364"/>
      <c r="V681" s="364"/>
      <c r="W681" s="364"/>
      <c r="X681" s="364"/>
      <c r="Y681" s="364"/>
      <c r="Z681" s="364"/>
    </row>
    <row r="682">
      <c r="A682" s="367"/>
      <c r="B682" s="367"/>
      <c r="C682" s="364"/>
      <c r="D682" s="364"/>
      <c r="E682" s="364"/>
      <c r="F682" s="364"/>
      <c r="G682" s="364"/>
      <c r="H682" s="364"/>
      <c r="I682" s="364"/>
      <c r="J682" s="364"/>
      <c r="K682" s="364"/>
      <c r="L682" s="364"/>
      <c r="M682" s="364"/>
      <c r="N682" s="364"/>
      <c r="O682" s="364"/>
      <c r="P682" s="364"/>
      <c r="Q682" s="364"/>
      <c r="R682" s="364"/>
      <c r="S682" s="364"/>
      <c r="T682" s="364"/>
      <c r="U682" s="364"/>
      <c r="V682" s="364"/>
      <c r="W682" s="364"/>
      <c r="X682" s="364"/>
      <c r="Y682" s="364"/>
      <c r="Z682" s="364"/>
    </row>
    <row r="683">
      <c r="A683" s="367"/>
      <c r="B683" s="367"/>
      <c r="C683" s="364"/>
      <c r="D683" s="364"/>
      <c r="E683" s="364"/>
      <c r="F683" s="364"/>
      <c r="G683" s="364"/>
      <c r="H683" s="364"/>
      <c r="I683" s="364"/>
      <c r="J683" s="364"/>
      <c r="K683" s="364"/>
      <c r="L683" s="364"/>
      <c r="M683" s="364"/>
      <c r="N683" s="364"/>
      <c r="O683" s="364"/>
      <c r="P683" s="364"/>
      <c r="Q683" s="364"/>
      <c r="R683" s="364"/>
      <c r="S683" s="364"/>
      <c r="T683" s="364"/>
      <c r="U683" s="364"/>
      <c r="V683" s="364"/>
      <c r="W683" s="364"/>
      <c r="X683" s="364"/>
      <c r="Y683" s="364"/>
      <c r="Z683" s="364"/>
    </row>
    <row r="684">
      <c r="A684" s="367"/>
      <c r="B684" s="367"/>
      <c r="C684" s="364"/>
      <c r="D684" s="364"/>
      <c r="E684" s="364"/>
      <c r="F684" s="364"/>
      <c r="G684" s="364"/>
      <c r="H684" s="364"/>
      <c r="I684" s="364"/>
      <c r="J684" s="364"/>
      <c r="K684" s="364"/>
      <c r="L684" s="364"/>
      <c r="M684" s="364"/>
      <c r="N684" s="364"/>
      <c r="O684" s="364"/>
      <c r="P684" s="364"/>
      <c r="Q684" s="364"/>
      <c r="R684" s="364"/>
      <c r="S684" s="364"/>
      <c r="T684" s="364"/>
      <c r="U684" s="364"/>
      <c r="V684" s="364"/>
      <c r="W684" s="364"/>
      <c r="X684" s="364"/>
      <c r="Y684" s="364"/>
      <c r="Z684" s="364"/>
    </row>
    <row r="685">
      <c r="A685" s="367"/>
      <c r="B685" s="367"/>
      <c r="C685" s="364"/>
      <c r="D685" s="364"/>
      <c r="E685" s="364"/>
      <c r="F685" s="364"/>
      <c r="G685" s="364"/>
      <c r="H685" s="364"/>
      <c r="I685" s="364"/>
      <c r="J685" s="364"/>
      <c r="K685" s="364"/>
      <c r="L685" s="364"/>
      <c r="M685" s="364"/>
      <c r="N685" s="364"/>
      <c r="O685" s="364"/>
      <c r="P685" s="364"/>
      <c r="Q685" s="364"/>
      <c r="R685" s="364"/>
      <c r="S685" s="364"/>
      <c r="T685" s="364"/>
      <c r="U685" s="364"/>
      <c r="V685" s="364"/>
      <c r="W685" s="364"/>
      <c r="X685" s="364"/>
      <c r="Y685" s="364"/>
      <c r="Z685" s="364"/>
    </row>
    <row r="686">
      <c r="A686" s="367"/>
      <c r="B686" s="367"/>
      <c r="C686" s="364"/>
      <c r="D686" s="364"/>
      <c r="E686" s="364"/>
      <c r="F686" s="364"/>
      <c r="G686" s="364"/>
      <c r="H686" s="364"/>
      <c r="I686" s="364"/>
      <c r="J686" s="364"/>
      <c r="K686" s="364"/>
      <c r="L686" s="364"/>
      <c r="M686" s="364"/>
      <c r="N686" s="364"/>
      <c r="O686" s="364"/>
      <c r="P686" s="364"/>
      <c r="Q686" s="364"/>
      <c r="R686" s="364"/>
      <c r="S686" s="364"/>
      <c r="T686" s="364"/>
      <c r="U686" s="364"/>
      <c r="V686" s="364"/>
      <c r="W686" s="364"/>
      <c r="X686" s="364"/>
      <c r="Y686" s="364"/>
      <c r="Z686" s="364"/>
    </row>
    <row r="687">
      <c r="A687" s="367"/>
      <c r="B687" s="367"/>
      <c r="C687" s="364"/>
      <c r="D687" s="364"/>
      <c r="E687" s="364"/>
      <c r="F687" s="364"/>
      <c r="G687" s="364"/>
      <c r="H687" s="364"/>
      <c r="I687" s="364"/>
      <c r="J687" s="364"/>
      <c r="K687" s="364"/>
      <c r="L687" s="364"/>
      <c r="M687" s="364"/>
      <c r="N687" s="364"/>
      <c r="O687" s="364"/>
      <c r="P687" s="364"/>
      <c r="Q687" s="364"/>
      <c r="R687" s="364"/>
      <c r="S687" s="364"/>
      <c r="T687" s="364"/>
      <c r="U687" s="364"/>
      <c r="V687" s="364"/>
      <c r="W687" s="364"/>
      <c r="X687" s="364"/>
      <c r="Y687" s="364"/>
      <c r="Z687" s="364"/>
    </row>
    <row r="688">
      <c r="A688" s="367"/>
      <c r="B688" s="367"/>
      <c r="C688" s="364"/>
      <c r="D688" s="364"/>
      <c r="E688" s="364"/>
      <c r="F688" s="364"/>
      <c r="G688" s="364"/>
      <c r="H688" s="364"/>
      <c r="I688" s="364"/>
      <c r="J688" s="364"/>
      <c r="K688" s="364"/>
      <c r="L688" s="364"/>
      <c r="M688" s="364"/>
      <c r="N688" s="364"/>
      <c r="O688" s="364"/>
      <c r="P688" s="364"/>
      <c r="Q688" s="364"/>
      <c r="R688" s="364"/>
      <c r="S688" s="364"/>
      <c r="T688" s="364"/>
      <c r="U688" s="364"/>
      <c r="V688" s="364"/>
      <c r="W688" s="364"/>
      <c r="X688" s="364"/>
      <c r="Y688" s="364"/>
      <c r="Z688" s="364"/>
    </row>
    <row r="689">
      <c r="A689" s="367"/>
      <c r="B689" s="367"/>
      <c r="C689" s="364"/>
      <c r="D689" s="364"/>
      <c r="E689" s="364"/>
      <c r="F689" s="364"/>
      <c r="G689" s="364"/>
      <c r="H689" s="364"/>
      <c r="I689" s="364"/>
      <c r="J689" s="364"/>
      <c r="K689" s="364"/>
      <c r="L689" s="364"/>
      <c r="M689" s="364"/>
      <c r="N689" s="364"/>
      <c r="O689" s="364"/>
      <c r="P689" s="364"/>
      <c r="Q689" s="364"/>
      <c r="R689" s="364"/>
      <c r="S689" s="364"/>
      <c r="T689" s="364"/>
      <c r="U689" s="364"/>
      <c r="V689" s="364"/>
      <c r="W689" s="364"/>
      <c r="X689" s="364"/>
      <c r="Y689" s="364"/>
      <c r="Z689" s="364"/>
    </row>
    <row r="690">
      <c r="A690" s="367"/>
      <c r="B690" s="367"/>
      <c r="C690" s="364"/>
      <c r="D690" s="364"/>
      <c r="E690" s="364"/>
      <c r="F690" s="364"/>
      <c r="G690" s="364"/>
      <c r="H690" s="364"/>
      <c r="I690" s="364"/>
      <c r="J690" s="364"/>
      <c r="K690" s="364"/>
      <c r="L690" s="364"/>
      <c r="M690" s="364"/>
      <c r="N690" s="364"/>
      <c r="O690" s="364"/>
      <c r="P690" s="364"/>
      <c r="Q690" s="364"/>
      <c r="R690" s="364"/>
      <c r="S690" s="364"/>
      <c r="T690" s="364"/>
      <c r="U690" s="364"/>
      <c r="V690" s="364"/>
      <c r="W690" s="364"/>
      <c r="X690" s="364"/>
      <c r="Y690" s="364"/>
      <c r="Z690" s="364"/>
    </row>
    <row r="691">
      <c r="A691" s="367"/>
      <c r="B691" s="367"/>
      <c r="C691" s="364"/>
      <c r="D691" s="364"/>
      <c r="E691" s="364"/>
      <c r="F691" s="364"/>
      <c r="G691" s="364"/>
      <c r="H691" s="364"/>
      <c r="I691" s="364"/>
      <c r="J691" s="364"/>
      <c r="K691" s="364"/>
      <c r="L691" s="364"/>
      <c r="M691" s="364"/>
      <c r="N691" s="364"/>
      <c r="O691" s="364"/>
      <c r="P691" s="364"/>
      <c r="Q691" s="364"/>
      <c r="R691" s="364"/>
      <c r="S691" s="364"/>
      <c r="T691" s="364"/>
      <c r="U691" s="364"/>
      <c r="V691" s="364"/>
      <c r="W691" s="364"/>
      <c r="X691" s="364"/>
      <c r="Y691" s="364"/>
      <c r="Z691" s="364"/>
    </row>
    <row r="692">
      <c r="A692" s="367"/>
      <c r="B692" s="367"/>
      <c r="C692" s="364"/>
      <c r="D692" s="364"/>
      <c r="E692" s="364"/>
      <c r="F692" s="364"/>
      <c r="G692" s="364"/>
      <c r="H692" s="364"/>
      <c r="I692" s="364"/>
      <c r="J692" s="364"/>
      <c r="K692" s="364"/>
      <c r="L692" s="364"/>
      <c r="M692" s="364"/>
      <c r="N692" s="364"/>
      <c r="O692" s="364"/>
      <c r="P692" s="364"/>
      <c r="Q692" s="364"/>
      <c r="R692" s="364"/>
      <c r="S692" s="364"/>
      <c r="T692" s="364"/>
      <c r="U692" s="364"/>
      <c r="V692" s="364"/>
      <c r="W692" s="364"/>
      <c r="X692" s="364"/>
      <c r="Y692" s="364"/>
      <c r="Z692" s="364"/>
    </row>
    <row r="693">
      <c r="A693" s="367"/>
      <c r="B693" s="367"/>
      <c r="C693" s="364"/>
      <c r="D693" s="364"/>
      <c r="E693" s="364"/>
      <c r="F693" s="364"/>
      <c r="G693" s="364"/>
      <c r="H693" s="364"/>
      <c r="I693" s="364"/>
      <c r="J693" s="364"/>
      <c r="K693" s="364"/>
      <c r="L693" s="364"/>
      <c r="M693" s="364"/>
      <c r="N693" s="364"/>
      <c r="O693" s="364"/>
      <c r="P693" s="364"/>
      <c r="Q693" s="364"/>
      <c r="R693" s="364"/>
      <c r="S693" s="364"/>
      <c r="T693" s="364"/>
      <c r="U693" s="364"/>
      <c r="V693" s="364"/>
      <c r="W693" s="364"/>
      <c r="X693" s="364"/>
      <c r="Y693" s="364"/>
      <c r="Z693" s="364"/>
    </row>
    <row r="694">
      <c r="A694" s="367"/>
      <c r="B694" s="367"/>
      <c r="C694" s="364"/>
      <c r="D694" s="364"/>
      <c r="E694" s="364"/>
      <c r="F694" s="364"/>
      <c r="G694" s="364"/>
      <c r="H694" s="364"/>
      <c r="I694" s="364"/>
      <c r="J694" s="364"/>
      <c r="K694" s="364"/>
      <c r="L694" s="364"/>
      <c r="M694" s="364"/>
      <c r="N694" s="364"/>
      <c r="O694" s="364"/>
      <c r="P694" s="364"/>
      <c r="Q694" s="364"/>
      <c r="R694" s="364"/>
      <c r="S694" s="364"/>
      <c r="T694" s="364"/>
      <c r="U694" s="364"/>
      <c r="V694" s="364"/>
      <c r="W694" s="364"/>
      <c r="X694" s="364"/>
      <c r="Y694" s="364"/>
      <c r="Z694" s="364"/>
    </row>
    <row r="695">
      <c r="A695" s="367"/>
      <c r="B695" s="367"/>
      <c r="C695" s="364"/>
      <c r="D695" s="364"/>
      <c r="E695" s="364"/>
      <c r="F695" s="364"/>
      <c r="G695" s="364"/>
      <c r="H695" s="364"/>
      <c r="I695" s="364"/>
      <c r="J695" s="364"/>
      <c r="K695" s="364"/>
      <c r="L695" s="364"/>
      <c r="M695" s="364"/>
      <c r="N695" s="364"/>
      <c r="O695" s="364"/>
      <c r="P695" s="364"/>
      <c r="Q695" s="364"/>
      <c r="R695" s="364"/>
      <c r="S695" s="364"/>
      <c r="T695" s="364"/>
      <c r="U695" s="364"/>
      <c r="V695" s="364"/>
      <c r="W695" s="364"/>
      <c r="X695" s="364"/>
      <c r="Y695" s="364"/>
      <c r="Z695" s="364"/>
    </row>
    <row r="696">
      <c r="A696" s="367"/>
      <c r="B696" s="367"/>
      <c r="C696" s="364"/>
      <c r="D696" s="364"/>
      <c r="E696" s="364"/>
      <c r="F696" s="364"/>
      <c r="G696" s="364"/>
      <c r="H696" s="364"/>
      <c r="I696" s="364"/>
      <c r="J696" s="364"/>
      <c r="K696" s="364"/>
      <c r="L696" s="364"/>
      <c r="M696" s="364"/>
      <c r="N696" s="364"/>
      <c r="O696" s="364"/>
      <c r="P696" s="364"/>
      <c r="Q696" s="364"/>
      <c r="R696" s="364"/>
      <c r="S696" s="364"/>
      <c r="T696" s="364"/>
      <c r="U696" s="364"/>
      <c r="V696" s="364"/>
      <c r="W696" s="364"/>
      <c r="X696" s="364"/>
      <c r="Y696" s="364"/>
      <c r="Z696" s="364"/>
    </row>
    <row r="697">
      <c r="A697" s="367"/>
      <c r="B697" s="367"/>
      <c r="C697" s="364"/>
      <c r="D697" s="364"/>
      <c r="E697" s="364"/>
      <c r="F697" s="364"/>
      <c r="G697" s="364"/>
      <c r="H697" s="364"/>
      <c r="I697" s="364"/>
      <c r="J697" s="364"/>
      <c r="K697" s="364"/>
      <c r="L697" s="364"/>
      <c r="M697" s="364"/>
      <c r="N697" s="364"/>
      <c r="O697" s="364"/>
      <c r="P697" s="364"/>
      <c r="Q697" s="364"/>
      <c r="R697" s="364"/>
      <c r="S697" s="364"/>
      <c r="T697" s="364"/>
      <c r="U697" s="364"/>
      <c r="V697" s="364"/>
      <c r="W697" s="364"/>
      <c r="X697" s="364"/>
      <c r="Y697" s="364"/>
      <c r="Z697" s="364"/>
    </row>
    <row r="698">
      <c r="A698" s="367"/>
      <c r="B698" s="367"/>
      <c r="C698" s="364"/>
      <c r="D698" s="364"/>
      <c r="E698" s="364"/>
      <c r="F698" s="364"/>
      <c r="G698" s="364"/>
      <c r="H698" s="364"/>
      <c r="I698" s="364"/>
      <c r="J698" s="364"/>
      <c r="K698" s="364"/>
      <c r="L698" s="364"/>
      <c r="M698" s="364"/>
      <c r="N698" s="364"/>
      <c r="O698" s="364"/>
      <c r="P698" s="364"/>
      <c r="Q698" s="364"/>
      <c r="R698" s="364"/>
      <c r="S698" s="364"/>
      <c r="T698" s="364"/>
      <c r="U698" s="364"/>
      <c r="V698" s="364"/>
      <c r="W698" s="364"/>
      <c r="X698" s="364"/>
      <c r="Y698" s="364"/>
      <c r="Z698" s="364"/>
    </row>
    <row r="699">
      <c r="A699" s="367"/>
      <c r="B699" s="367"/>
      <c r="C699" s="364"/>
      <c r="D699" s="364"/>
      <c r="E699" s="364"/>
      <c r="F699" s="364"/>
      <c r="G699" s="364"/>
      <c r="H699" s="364"/>
      <c r="I699" s="364"/>
      <c r="J699" s="364"/>
      <c r="K699" s="364"/>
      <c r="L699" s="364"/>
      <c r="M699" s="364"/>
      <c r="N699" s="364"/>
      <c r="O699" s="364"/>
      <c r="P699" s="364"/>
      <c r="Q699" s="364"/>
      <c r="R699" s="364"/>
      <c r="S699" s="364"/>
      <c r="T699" s="364"/>
      <c r="U699" s="364"/>
      <c r="V699" s="364"/>
      <c r="W699" s="364"/>
      <c r="X699" s="364"/>
      <c r="Y699" s="364"/>
      <c r="Z699" s="364"/>
    </row>
    <row r="700">
      <c r="A700" s="367"/>
      <c r="B700" s="367"/>
      <c r="C700" s="364"/>
      <c r="D700" s="364"/>
      <c r="E700" s="364"/>
      <c r="F700" s="364"/>
      <c r="G700" s="364"/>
      <c r="H700" s="364"/>
      <c r="I700" s="364"/>
      <c r="J700" s="364"/>
      <c r="K700" s="364"/>
      <c r="L700" s="364"/>
      <c r="M700" s="364"/>
      <c r="N700" s="364"/>
      <c r="O700" s="364"/>
      <c r="P700" s="364"/>
      <c r="Q700" s="364"/>
      <c r="R700" s="364"/>
      <c r="S700" s="364"/>
      <c r="T700" s="364"/>
      <c r="U700" s="364"/>
      <c r="V700" s="364"/>
      <c r="W700" s="364"/>
      <c r="X700" s="364"/>
      <c r="Y700" s="364"/>
      <c r="Z700" s="364"/>
    </row>
    <row r="701">
      <c r="A701" s="367"/>
      <c r="B701" s="367"/>
      <c r="C701" s="364"/>
      <c r="D701" s="364"/>
      <c r="E701" s="364"/>
      <c r="F701" s="364"/>
      <c r="G701" s="364"/>
      <c r="H701" s="364"/>
      <c r="I701" s="364"/>
      <c r="J701" s="364"/>
      <c r="K701" s="364"/>
      <c r="L701" s="364"/>
      <c r="M701" s="364"/>
      <c r="N701" s="364"/>
      <c r="O701" s="364"/>
      <c r="P701" s="364"/>
      <c r="Q701" s="364"/>
      <c r="R701" s="364"/>
      <c r="S701" s="364"/>
      <c r="T701" s="364"/>
      <c r="U701" s="364"/>
      <c r="V701" s="364"/>
      <c r="W701" s="364"/>
      <c r="X701" s="364"/>
      <c r="Y701" s="364"/>
      <c r="Z701" s="364"/>
    </row>
    <row r="702">
      <c r="A702" s="367"/>
      <c r="B702" s="367"/>
      <c r="C702" s="364"/>
      <c r="D702" s="364"/>
      <c r="E702" s="364"/>
      <c r="F702" s="364"/>
      <c r="G702" s="364"/>
      <c r="H702" s="364"/>
      <c r="I702" s="364"/>
      <c r="J702" s="364"/>
      <c r="K702" s="364"/>
      <c r="L702" s="364"/>
      <c r="M702" s="364"/>
      <c r="N702" s="364"/>
      <c r="O702" s="364"/>
      <c r="P702" s="364"/>
      <c r="Q702" s="364"/>
      <c r="R702" s="364"/>
      <c r="S702" s="364"/>
      <c r="T702" s="364"/>
      <c r="U702" s="364"/>
      <c r="V702" s="364"/>
      <c r="W702" s="364"/>
      <c r="X702" s="364"/>
      <c r="Y702" s="364"/>
      <c r="Z702" s="364"/>
    </row>
    <row r="703">
      <c r="A703" s="367"/>
      <c r="B703" s="367"/>
      <c r="C703" s="364"/>
      <c r="D703" s="364"/>
      <c r="E703" s="364"/>
      <c r="F703" s="364"/>
      <c r="G703" s="364"/>
      <c r="H703" s="364"/>
      <c r="I703" s="364"/>
      <c r="J703" s="364"/>
      <c r="K703" s="364"/>
      <c r="L703" s="364"/>
      <c r="M703" s="364"/>
      <c r="N703" s="364"/>
      <c r="O703" s="364"/>
      <c r="P703" s="364"/>
      <c r="Q703" s="364"/>
      <c r="R703" s="364"/>
      <c r="S703" s="364"/>
      <c r="T703" s="364"/>
      <c r="U703" s="364"/>
      <c r="V703" s="364"/>
      <c r="W703" s="364"/>
      <c r="X703" s="364"/>
      <c r="Y703" s="364"/>
      <c r="Z703" s="364"/>
    </row>
    <row r="704">
      <c r="A704" s="367"/>
      <c r="B704" s="367"/>
      <c r="C704" s="364"/>
      <c r="D704" s="364"/>
      <c r="E704" s="364"/>
      <c r="F704" s="364"/>
      <c r="G704" s="364"/>
      <c r="H704" s="364"/>
      <c r="I704" s="364"/>
      <c r="J704" s="364"/>
      <c r="K704" s="364"/>
      <c r="L704" s="364"/>
      <c r="M704" s="364"/>
      <c r="N704" s="364"/>
      <c r="O704" s="364"/>
      <c r="P704" s="364"/>
      <c r="Q704" s="364"/>
      <c r="R704" s="364"/>
      <c r="S704" s="364"/>
      <c r="T704" s="364"/>
      <c r="U704" s="364"/>
      <c r="V704" s="364"/>
      <c r="W704" s="364"/>
      <c r="X704" s="364"/>
      <c r="Y704" s="364"/>
      <c r="Z704" s="364"/>
    </row>
    <row r="705">
      <c r="A705" s="367"/>
      <c r="B705" s="367"/>
      <c r="C705" s="364"/>
      <c r="D705" s="364"/>
      <c r="E705" s="364"/>
      <c r="F705" s="364"/>
      <c r="G705" s="364"/>
      <c r="H705" s="364"/>
      <c r="I705" s="364"/>
      <c r="J705" s="364"/>
      <c r="K705" s="364"/>
      <c r="L705" s="364"/>
      <c r="M705" s="364"/>
      <c r="N705" s="364"/>
      <c r="O705" s="364"/>
      <c r="P705" s="364"/>
      <c r="Q705" s="364"/>
      <c r="R705" s="364"/>
      <c r="S705" s="364"/>
      <c r="T705" s="364"/>
      <c r="U705" s="364"/>
      <c r="V705" s="364"/>
      <c r="W705" s="364"/>
      <c r="X705" s="364"/>
      <c r="Y705" s="364"/>
      <c r="Z705" s="364"/>
    </row>
    <row r="706">
      <c r="A706" s="367"/>
      <c r="B706" s="367"/>
      <c r="C706" s="364"/>
      <c r="D706" s="364"/>
      <c r="E706" s="364"/>
      <c r="F706" s="364"/>
      <c r="G706" s="364"/>
      <c r="H706" s="364"/>
      <c r="I706" s="364"/>
      <c r="J706" s="364"/>
      <c r="K706" s="364"/>
      <c r="L706" s="364"/>
      <c r="M706" s="364"/>
      <c r="N706" s="364"/>
      <c r="O706" s="364"/>
      <c r="P706" s="364"/>
      <c r="Q706" s="364"/>
      <c r="R706" s="364"/>
      <c r="S706" s="364"/>
      <c r="T706" s="364"/>
      <c r="U706" s="364"/>
      <c r="V706" s="364"/>
      <c r="W706" s="364"/>
      <c r="X706" s="364"/>
      <c r="Y706" s="364"/>
      <c r="Z706" s="364"/>
    </row>
    <row r="707">
      <c r="A707" s="367"/>
      <c r="B707" s="367"/>
      <c r="C707" s="364"/>
      <c r="D707" s="364"/>
      <c r="E707" s="364"/>
      <c r="F707" s="364"/>
      <c r="G707" s="364"/>
      <c r="H707" s="364"/>
      <c r="I707" s="364"/>
      <c r="J707" s="364"/>
      <c r="K707" s="364"/>
      <c r="L707" s="364"/>
      <c r="M707" s="364"/>
      <c r="N707" s="364"/>
      <c r="O707" s="364"/>
      <c r="P707" s="364"/>
      <c r="Q707" s="364"/>
      <c r="R707" s="364"/>
      <c r="S707" s="364"/>
      <c r="T707" s="364"/>
      <c r="U707" s="364"/>
      <c r="V707" s="364"/>
      <c r="W707" s="364"/>
      <c r="X707" s="364"/>
      <c r="Y707" s="364"/>
      <c r="Z707" s="364"/>
    </row>
    <row r="708">
      <c r="A708" s="367"/>
      <c r="B708" s="367"/>
      <c r="C708" s="364"/>
      <c r="D708" s="364"/>
      <c r="E708" s="364"/>
      <c r="F708" s="364"/>
      <c r="G708" s="364"/>
      <c r="H708" s="364"/>
      <c r="I708" s="364"/>
      <c r="J708" s="364"/>
      <c r="K708" s="364"/>
      <c r="L708" s="364"/>
      <c r="M708" s="364"/>
      <c r="N708" s="364"/>
      <c r="O708" s="364"/>
      <c r="P708" s="364"/>
      <c r="Q708" s="364"/>
      <c r="R708" s="364"/>
      <c r="S708" s="364"/>
      <c r="T708" s="364"/>
      <c r="U708" s="364"/>
      <c r="V708" s="364"/>
      <c r="W708" s="364"/>
      <c r="X708" s="364"/>
      <c r="Y708" s="364"/>
      <c r="Z708" s="364"/>
    </row>
    <row r="709">
      <c r="A709" s="367"/>
      <c r="B709" s="367"/>
      <c r="C709" s="364"/>
      <c r="D709" s="364"/>
      <c r="E709" s="364"/>
      <c r="F709" s="364"/>
      <c r="G709" s="364"/>
      <c r="H709" s="364"/>
      <c r="I709" s="364"/>
      <c r="J709" s="364"/>
      <c r="K709" s="364"/>
      <c r="L709" s="364"/>
      <c r="M709" s="364"/>
      <c r="N709" s="364"/>
      <c r="O709" s="364"/>
      <c r="P709" s="364"/>
      <c r="Q709" s="364"/>
      <c r="R709" s="364"/>
      <c r="S709" s="364"/>
      <c r="T709" s="364"/>
      <c r="U709" s="364"/>
      <c r="V709" s="364"/>
      <c r="W709" s="364"/>
      <c r="X709" s="364"/>
      <c r="Y709" s="364"/>
      <c r="Z709" s="364"/>
    </row>
    <row r="710">
      <c r="A710" s="367"/>
      <c r="B710" s="367"/>
      <c r="C710" s="364"/>
      <c r="D710" s="364"/>
      <c r="E710" s="364"/>
      <c r="F710" s="364"/>
      <c r="G710" s="364"/>
      <c r="H710" s="364"/>
      <c r="I710" s="364"/>
      <c r="J710" s="364"/>
      <c r="K710" s="364"/>
      <c r="L710" s="364"/>
      <c r="M710" s="364"/>
      <c r="N710" s="364"/>
      <c r="O710" s="364"/>
      <c r="P710" s="364"/>
      <c r="Q710" s="364"/>
      <c r="R710" s="364"/>
      <c r="S710" s="364"/>
      <c r="T710" s="364"/>
      <c r="U710" s="364"/>
      <c r="V710" s="364"/>
      <c r="W710" s="364"/>
      <c r="X710" s="364"/>
      <c r="Y710" s="364"/>
      <c r="Z710" s="364"/>
    </row>
    <row r="711">
      <c r="A711" s="367"/>
      <c r="B711" s="367"/>
      <c r="C711" s="364"/>
      <c r="D711" s="364"/>
      <c r="E711" s="364"/>
      <c r="F711" s="364"/>
      <c r="G711" s="364"/>
      <c r="H711" s="364"/>
      <c r="I711" s="364"/>
      <c r="J711" s="364"/>
      <c r="K711" s="364"/>
      <c r="L711" s="364"/>
      <c r="M711" s="364"/>
      <c r="N711" s="364"/>
      <c r="O711" s="364"/>
      <c r="P711" s="364"/>
      <c r="Q711" s="364"/>
      <c r="R711" s="364"/>
      <c r="S711" s="364"/>
      <c r="T711" s="364"/>
      <c r="U711" s="364"/>
      <c r="V711" s="364"/>
      <c r="W711" s="364"/>
      <c r="X711" s="364"/>
      <c r="Y711" s="364"/>
      <c r="Z711" s="364"/>
    </row>
    <row r="712">
      <c r="A712" s="367"/>
      <c r="B712" s="367"/>
      <c r="C712" s="364"/>
      <c r="D712" s="364"/>
      <c r="E712" s="364"/>
      <c r="F712" s="364"/>
      <c r="G712" s="364"/>
      <c r="H712" s="364"/>
      <c r="I712" s="364"/>
      <c r="J712" s="364"/>
      <c r="K712" s="364"/>
      <c r="L712" s="364"/>
      <c r="M712" s="364"/>
      <c r="N712" s="364"/>
      <c r="O712" s="364"/>
      <c r="P712" s="364"/>
      <c r="Q712" s="364"/>
      <c r="R712" s="364"/>
      <c r="S712" s="364"/>
      <c r="T712" s="364"/>
      <c r="U712" s="364"/>
      <c r="V712" s="364"/>
      <c r="W712" s="364"/>
      <c r="X712" s="364"/>
      <c r="Y712" s="364"/>
      <c r="Z712" s="364"/>
    </row>
    <row r="713">
      <c r="A713" s="367"/>
      <c r="B713" s="367"/>
      <c r="C713" s="364"/>
      <c r="D713" s="364"/>
      <c r="E713" s="364"/>
      <c r="F713" s="364"/>
      <c r="G713" s="364"/>
      <c r="H713" s="364"/>
      <c r="I713" s="364"/>
      <c r="J713" s="364"/>
      <c r="K713" s="364"/>
      <c r="L713" s="364"/>
      <c r="M713" s="364"/>
      <c r="N713" s="364"/>
      <c r="O713" s="364"/>
      <c r="P713" s="364"/>
      <c r="Q713" s="364"/>
      <c r="R713" s="364"/>
      <c r="S713" s="364"/>
      <c r="T713" s="364"/>
      <c r="U713" s="364"/>
      <c r="V713" s="364"/>
      <c r="W713" s="364"/>
      <c r="X713" s="364"/>
      <c r="Y713" s="364"/>
      <c r="Z713" s="364"/>
    </row>
    <row r="714">
      <c r="A714" s="367"/>
      <c r="B714" s="367"/>
      <c r="C714" s="364"/>
      <c r="D714" s="364"/>
      <c r="E714" s="364"/>
      <c r="F714" s="364"/>
      <c r="G714" s="364"/>
      <c r="H714" s="364"/>
      <c r="I714" s="364"/>
      <c r="J714" s="364"/>
      <c r="K714" s="364"/>
      <c r="L714" s="364"/>
      <c r="M714" s="364"/>
      <c r="N714" s="364"/>
      <c r="O714" s="364"/>
      <c r="P714" s="364"/>
      <c r="Q714" s="364"/>
      <c r="R714" s="364"/>
      <c r="S714" s="364"/>
      <c r="T714" s="364"/>
      <c r="U714" s="364"/>
      <c r="V714" s="364"/>
      <c r="W714" s="364"/>
      <c r="X714" s="364"/>
      <c r="Y714" s="364"/>
      <c r="Z714" s="364"/>
    </row>
    <row r="715">
      <c r="A715" s="367"/>
      <c r="B715" s="367"/>
      <c r="C715" s="364"/>
      <c r="D715" s="364"/>
      <c r="E715" s="364"/>
      <c r="F715" s="364"/>
      <c r="G715" s="364"/>
      <c r="H715" s="364"/>
      <c r="I715" s="364"/>
      <c r="J715" s="364"/>
      <c r="K715" s="364"/>
      <c r="L715" s="364"/>
      <c r="M715" s="364"/>
      <c r="N715" s="364"/>
      <c r="O715" s="364"/>
      <c r="P715" s="364"/>
      <c r="Q715" s="364"/>
      <c r="R715" s="364"/>
      <c r="S715" s="364"/>
      <c r="T715" s="364"/>
      <c r="U715" s="364"/>
      <c r="V715" s="364"/>
      <c r="W715" s="364"/>
      <c r="X715" s="364"/>
      <c r="Y715" s="364"/>
      <c r="Z715" s="364"/>
    </row>
    <row r="716">
      <c r="A716" s="367"/>
      <c r="B716" s="367"/>
      <c r="C716" s="364"/>
      <c r="D716" s="364"/>
      <c r="E716" s="364"/>
      <c r="F716" s="364"/>
      <c r="G716" s="364"/>
      <c r="H716" s="364"/>
      <c r="I716" s="364"/>
      <c r="J716" s="364"/>
      <c r="K716" s="364"/>
      <c r="L716" s="364"/>
      <c r="M716" s="364"/>
      <c r="N716" s="364"/>
      <c r="O716" s="364"/>
      <c r="P716" s="364"/>
      <c r="Q716" s="364"/>
      <c r="R716" s="364"/>
      <c r="S716" s="364"/>
      <c r="T716" s="364"/>
      <c r="U716" s="364"/>
      <c r="V716" s="364"/>
      <c r="W716" s="364"/>
      <c r="X716" s="364"/>
      <c r="Y716" s="364"/>
      <c r="Z716" s="364"/>
    </row>
    <row r="717">
      <c r="A717" s="367"/>
      <c r="B717" s="367"/>
      <c r="C717" s="364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4"/>
    </row>
    <row r="718">
      <c r="A718" s="367"/>
      <c r="B718" s="367"/>
      <c r="C718" s="364"/>
      <c r="D718" s="364"/>
      <c r="E718" s="364"/>
      <c r="F718" s="364"/>
      <c r="G718" s="364"/>
      <c r="H718" s="364"/>
      <c r="I718" s="364"/>
      <c r="J718" s="364"/>
      <c r="K718" s="364"/>
      <c r="L718" s="364"/>
      <c r="M718" s="364"/>
      <c r="N718" s="364"/>
      <c r="O718" s="364"/>
      <c r="P718" s="364"/>
      <c r="Q718" s="364"/>
      <c r="R718" s="364"/>
      <c r="S718" s="364"/>
      <c r="T718" s="364"/>
      <c r="U718" s="364"/>
      <c r="V718" s="364"/>
      <c r="W718" s="364"/>
      <c r="X718" s="364"/>
      <c r="Y718" s="364"/>
      <c r="Z718" s="364"/>
    </row>
    <row r="719">
      <c r="A719" s="367"/>
      <c r="B719" s="367"/>
      <c r="C719" s="364"/>
      <c r="D719" s="364"/>
      <c r="E719" s="364"/>
      <c r="F719" s="364"/>
      <c r="G719" s="364"/>
      <c r="H719" s="364"/>
      <c r="I719" s="364"/>
      <c r="J719" s="364"/>
      <c r="K719" s="364"/>
      <c r="L719" s="364"/>
      <c r="M719" s="364"/>
      <c r="N719" s="364"/>
      <c r="O719" s="364"/>
      <c r="P719" s="364"/>
      <c r="Q719" s="364"/>
      <c r="R719" s="364"/>
      <c r="S719" s="364"/>
      <c r="T719" s="364"/>
      <c r="U719" s="364"/>
      <c r="V719" s="364"/>
      <c r="W719" s="364"/>
      <c r="X719" s="364"/>
      <c r="Y719" s="364"/>
      <c r="Z719" s="364"/>
    </row>
    <row r="720">
      <c r="A720" s="367"/>
      <c r="B720" s="367"/>
      <c r="C720" s="364"/>
      <c r="D720" s="364"/>
      <c r="E720" s="364"/>
      <c r="F720" s="364"/>
      <c r="G720" s="364"/>
      <c r="H720" s="364"/>
      <c r="I720" s="364"/>
      <c r="J720" s="364"/>
      <c r="K720" s="364"/>
      <c r="L720" s="364"/>
      <c r="M720" s="364"/>
      <c r="N720" s="364"/>
      <c r="O720" s="364"/>
      <c r="P720" s="364"/>
      <c r="Q720" s="364"/>
      <c r="R720" s="364"/>
      <c r="S720" s="364"/>
      <c r="T720" s="364"/>
      <c r="U720" s="364"/>
      <c r="V720" s="364"/>
      <c r="W720" s="364"/>
      <c r="X720" s="364"/>
      <c r="Y720" s="364"/>
      <c r="Z720" s="364"/>
    </row>
    <row r="721">
      <c r="A721" s="367"/>
      <c r="B721" s="367"/>
      <c r="C721" s="364"/>
      <c r="D721" s="364"/>
      <c r="E721" s="364"/>
      <c r="F721" s="364"/>
      <c r="G721" s="364"/>
      <c r="H721" s="364"/>
      <c r="I721" s="364"/>
      <c r="J721" s="364"/>
      <c r="K721" s="364"/>
      <c r="L721" s="364"/>
      <c r="M721" s="364"/>
      <c r="N721" s="364"/>
      <c r="O721" s="364"/>
      <c r="P721" s="364"/>
      <c r="Q721" s="364"/>
      <c r="R721" s="364"/>
      <c r="S721" s="364"/>
      <c r="T721" s="364"/>
      <c r="U721" s="364"/>
      <c r="V721" s="364"/>
      <c r="W721" s="364"/>
      <c r="X721" s="364"/>
      <c r="Y721" s="364"/>
      <c r="Z721" s="364"/>
    </row>
    <row r="722">
      <c r="A722" s="367"/>
      <c r="B722" s="367"/>
      <c r="C722" s="364"/>
      <c r="D722" s="364"/>
      <c r="E722" s="364"/>
      <c r="F722" s="364"/>
      <c r="G722" s="364"/>
      <c r="H722" s="364"/>
      <c r="I722" s="364"/>
      <c r="J722" s="364"/>
      <c r="K722" s="364"/>
      <c r="L722" s="364"/>
      <c r="M722" s="364"/>
      <c r="N722" s="364"/>
      <c r="O722" s="364"/>
      <c r="P722" s="364"/>
      <c r="Q722" s="364"/>
      <c r="R722" s="364"/>
      <c r="S722" s="364"/>
      <c r="T722" s="364"/>
      <c r="U722" s="364"/>
      <c r="V722" s="364"/>
      <c r="W722" s="364"/>
      <c r="X722" s="364"/>
      <c r="Y722" s="364"/>
      <c r="Z722" s="364"/>
    </row>
    <row r="723">
      <c r="A723" s="367"/>
      <c r="B723" s="367"/>
      <c r="C723" s="364"/>
      <c r="D723" s="364"/>
      <c r="E723" s="364"/>
      <c r="F723" s="364"/>
      <c r="G723" s="364"/>
      <c r="H723" s="364"/>
      <c r="I723" s="364"/>
      <c r="J723" s="364"/>
      <c r="K723" s="364"/>
      <c r="L723" s="364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4"/>
    </row>
    <row r="724">
      <c r="A724" s="367"/>
      <c r="B724" s="367"/>
      <c r="C724" s="364"/>
      <c r="D724" s="364"/>
      <c r="E724" s="364"/>
      <c r="F724" s="364"/>
      <c r="G724" s="364"/>
      <c r="H724" s="364"/>
      <c r="I724" s="364"/>
      <c r="J724" s="364"/>
      <c r="K724" s="364"/>
      <c r="L724" s="364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4"/>
    </row>
    <row r="725">
      <c r="A725" s="367"/>
      <c r="B725" s="367"/>
      <c r="C725" s="364"/>
      <c r="D725" s="364"/>
      <c r="E725" s="364"/>
      <c r="F725" s="364"/>
      <c r="G725" s="364"/>
      <c r="H725" s="364"/>
      <c r="I725" s="364"/>
      <c r="J725" s="364"/>
      <c r="K725" s="364"/>
      <c r="L725" s="364"/>
      <c r="M725" s="364"/>
      <c r="N725" s="364"/>
      <c r="O725" s="364"/>
      <c r="P725" s="364"/>
      <c r="Q725" s="364"/>
      <c r="R725" s="364"/>
      <c r="S725" s="364"/>
      <c r="T725" s="364"/>
      <c r="U725" s="364"/>
      <c r="V725" s="364"/>
      <c r="W725" s="364"/>
      <c r="X725" s="364"/>
      <c r="Y725" s="364"/>
      <c r="Z725" s="364"/>
    </row>
    <row r="726">
      <c r="A726" s="367"/>
      <c r="B726" s="367"/>
      <c r="C726" s="364"/>
      <c r="D726" s="364"/>
      <c r="E726" s="364"/>
      <c r="F726" s="364"/>
      <c r="G726" s="364"/>
      <c r="H726" s="364"/>
      <c r="I726" s="364"/>
      <c r="J726" s="364"/>
      <c r="K726" s="364"/>
      <c r="L726" s="364"/>
      <c r="M726" s="364"/>
      <c r="N726" s="364"/>
      <c r="O726" s="364"/>
      <c r="P726" s="364"/>
      <c r="Q726" s="364"/>
      <c r="R726" s="364"/>
      <c r="S726" s="364"/>
      <c r="T726" s="364"/>
      <c r="U726" s="364"/>
      <c r="V726" s="364"/>
      <c r="W726" s="364"/>
      <c r="X726" s="364"/>
      <c r="Y726" s="364"/>
      <c r="Z726" s="364"/>
    </row>
    <row r="727">
      <c r="A727" s="367"/>
      <c r="B727" s="367"/>
      <c r="C727" s="364"/>
      <c r="D727" s="364"/>
      <c r="E727" s="364"/>
      <c r="F727" s="364"/>
      <c r="G727" s="364"/>
      <c r="H727" s="364"/>
      <c r="I727" s="364"/>
      <c r="J727" s="364"/>
      <c r="K727" s="364"/>
      <c r="L727" s="364"/>
      <c r="M727" s="364"/>
      <c r="N727" s="364"/>
      <c r="O727" s="364"/>
      <c r="P727" s="364"/>
      <c r="Q727" s="364"/>
      <c r="R727" s="364"/>
      <c r="S727" s="364"/>
      <c r="T727" s="364"/>
      <c r="U727" s="364"/>
      <c r="V727" s="364"/>
      <c r="W727" s="364"/>
      <c r="X727" s="364"/>
      <c r="Y727" s="364"/>
      <c r="Z727" s="364"/>
    </row>
    <row r="728">
      <c r="A728" s="367"/>
      <c r="B728" s="367"/>
      <c r="C728" s="364"/>
      <c r="D728" s="364"/>
      <c r="E728" s="364"/>
      <c r="F728" s="364"/>
      <c r="G728" s="364"/>
      <c r="H728" s="364"/>
      <c r="I728" s="364"/>
      <c r="J728" s="364"/>
      <c r="K728" s="364"/>
      <c r="L728" s="364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4"/>
    </row>
    <row r="729">
      <c r="A729" s="367"/>
      <c r="B729" s="367"/>
      <c r="C729" s="364"/>
      <c r="D729" s="364"/>
      <c r="E729" s="364"/>
      <c r="F729" s="364"/>
      <c r="G729" s="364"/>
      <c r="H729" s="364"/>
      <c r="I729" s="364"/>
      <c r="J729" s="364"/>
      <c r="K729" s="364"/>
      <c r="L729" s="364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4"/>
    </row>
    <row r="730">
      <c r="A730" s="367"/>
      <c r="B730" s="367"/>
      <c r="C730" s="364"/>
      <c r="D730" s="364"/>
      <c r="E730" s="364"/>
      <c r="F730" s="364"/>
      <c r="G730" s="364"/>
      <c r="H730" s="364"/>
      <c r="I730" s="364"/>
      <c r="J730" s="364"/>
      <c r="K730" s="364"/>
      <c r="L730" s="364"/>
      <c r="M730" s="364"/>
      <c r="N730" s="364"/>
      <c r="O730" s="364"/>
      <c r="P730" s="364"/>
      <c r="Q730" s="364"/>
      <c r="R730" s="364"/>
      <c r="S730" s="364"/>
      <c r="T730" s="364"/>
      <c r="U730" s="364"/>
      <c r="V730" s="364"/>
      <c r="W730" s="364"/>
      <c r="X730" s="364"/>
      <c r="Y730" s="364"/>
      <c r="Z730" s="364"/>
    </row>
    <row r="731">
      <c r="A731" s="367"/>
      <c r="B731" s="367"/>
      <c r="C731" s="364"/>
      <c r="D731" s="364"/>
      <c r="E731" s="364"/>
      <c r="F731" s="364"/>
      <c r="G731" s="364"/>
      <c r="H731" s="364"/>
      <c r="I731" s="364"/>
      <c r="J731" s="364"/>
      <c r="K731" s="364"/>
      <c r="L731" s="364"/>
      <c r="M731" s="364"/>
      <c r="N731" s="364"/>
      <c r="O731" s="364"/>
      <c r="P731" s="364"/>
      <c r="Q731" s="364"/>
      <c r="R731" s="364"/>
      <c r="S731" s="364"/>
      <c r="T731" s="364"/>
      <c r="U731" s="364"/>
      <c r="V731" s="364"/>
      <c r="W731" s="364"/>
      <c r="X731" s="364"/>
      <c r="Y731" s="364"/>
      <c r="Z731" s="364"/>
    </row>
    <row r="732">
      <c r="A732" s="367"/>
      <c r="B732" s="367"/>
      <c r="C732" s="364"/>
      <c r="D732" s="364"/>
      <c r="E732" s="364"/>
      <c r="F732" s="364"/>
      <c r="G732" s="364"/>
      <c r="H732" s="364"/>
      <c r="I732" s="364"/>
      <c r="J732" s="364"/>
      <c r="K732" s="364"/>
      <c r="L732" s="364"/>
      <c r="M732" s="364"/>
      <c r="N732" s="364"/>
      <c r="O732" s="364"/>
      <c r="P732" s="364"/>
      <c r="Q732" s="364"/>
      <c r="R732" s="364"/>
      <c r="S732" s="364"/>
      <c r="T732" s="364"/>
      <c r="U732" s="364"/>
      <c r="V732" s="364"/>
      <c r="W732" s="364"/>
      <c r="X732" s="364"/>
      <c r="Y732" s="364"/>
      <c r="Z732" s="364"/>
    </row>
    <row r="733">
      <c r="A733" s="367"/>
      <c r="B733" s="367"/>
      <c r="C733" s="364"/>
      <c r="D733" s="364"/>
      <c r="E733" s="364"/>
      <c r="F733" s="364"/>
      <c r="G733" s="364"/>
      <c r="H733" s="364"/>
      <c r="I733" s="364"/>
      <c r="J733" s="364"/>
      <c r="K733" s="364"/>
      <c r="L733" s="364"/>
      <c r="M733" s="364"/>
      <c r="N733" s="364"/>
      <c r="O733" s="364"/>
      <c r="P733" s="364"/>
      <c r="Q733" s="364"/>
      <c r="R733" s="364"/>
      <c r="S733" s="364"/>
      <c r="T733" s="364"/>
      <c r="U733" s="364"/>
      <c r="V733" s="364"/>
      <c r="W733" s="364"/>
      <c r="X733" s="364"/>
      <c r="Y733" s="364"/>
      <c r="Z733" s="364"/>
    </row>
    <row r="734">
      <c r="A734" s="367"/>
      <c r="B734" s="367"/>
      <c r="C734" s="364"/>
      <c r="D734" s="364"/>
      <c r="E734" s="364"/>
      <c r="F734" s="364"/>
      <c r="G734" s="364"/>
      <c r="H734" s="364"/>
      <c r="I734" s="364"/>
      <c r="J734" s="364"/>
      <c r="K734" s="364"/>
      <c r="L734" s="364"/>
      <c r="M734" s="364"/>
      <c r="N734" s="364"/>
      <c r="O734" s="364"/>
      <c r="P734" s="364"/>
      <c r="Q734" s="364"/>
      <c r="R734" s="364"/>
      <c r="S734" s="364"/>
      <c r="T734" s="364"/>
      <c r="U734" s="364"/>
      <c r="V734" s="364"/>
      <c r="W734" s="364"/>
      <c r="X734" s="364"/>
      <c r="Y734" s="364"/>
      <c r="Z734" s="364"/>
    </row>
    <row r="735">
      <c r="A735" s="367"/>
      <c r="B735" s="367"/>
      <c r="C735" s="364"/>
      <c r="D735" s="364"/>
      <c r="E735" s="364"/>
      <c r="F735" s="364"/>
      <c r="G735" s="364"/>
      <c r="H735" s="364"/>
      <c r="I735" s="364"/>
      <c r="J735" s="364"/>
      <c r="K735" s="364"/>
      <c r="L735" s="364"/>
      <c r="M735" s="364"/>
      <c r="N735" s="364"/>
      <c r="O735" s="364"/>
      <c r="P735" s="364"/>
      <c r="Q735" s="364"/>
      <c r="R735" s="364"/>
      <c r="S735" s="364"/>
      <c r="T735" s="364"/>
      <c r="U735" s="364"/>
      <c r="V735" s="364"/>
      <c r="W735" s="364"/>
      <c r="X735" s="364"/>
      <c r="Y735" s="364"/>
      <c r="Z735" s="364"/>
    </row>
    <row r="736">
      <c r="A736" s="367"/>
      <c r="B736" s="367"/>
      <c r="C736" s="364"/>
      <c r="D736" s="364"/>
      <c r="E736" s="364"/>
      <c r="F736" s="364"/>
      <c r="G736" s="364"/>
      <c r="H736" s="364"/>
      <c r="I736" s="364"/>
      <c r="J736" s="364"/>
      <c r="K736" s="364"/>
      <c r="L736" s="364"/>
      <c r="M736" s="364"/>
      <c r="N736" s="364"/>
      <c r="O736" s="364"/>
      <c r="P736" s="364"/>
      <c r="Q736" s="364"/>
      <c r="R736" s="364"/>
      <c r="S736" s="364"/>
      <c r="T736" s="364"/>
      <c r="U736" s="364"/>
      <c r="V736" s="364"/>
      <c r="W736" s="364"/>
      <c r="X736" s="364"/>
      <c r="Y736" s="364"/>
      <c r="Z736" s="364"/>
    </row>
    <row r="737">
      <c r="A737" s="367"/>
      <c r="B737" s="367"/>
      <c r="C737" s="364"/>
      <c r="D737" s="364"/>
      <c r="E737" s="364"/>
      <c r="F737" s="364"/>
      <c r="G737" s="364"/>
      <c r="H737" s="364"/>
      <c r="I737" s="364"/>
      <c r="J737" s="364"/>
      <c r="K737" s="364"/>
      <c r="L737" s="364"/>
      <c r="M737" s="364"/>
      <c r="N737" s="364"/>
      <c r="O737" s="364"/>
      <c r="P737" s="364"/>
      <c r="Q737" s="364"/>
      <c r="R737" s="364"/>
      <c r="S737" s="364"/>
      <c r="T737" s="364"/>
      <c r="U737" s="364"/>
      <c r="V737" s="364"/>
      <c r="W737" s="364"/>
      <c r="X737" s="364"/>
      <c r="Y737" s="364"/>
      <c r="Z737" s="364"/>
    </row>
    <row r="738">
      <c r="A738" s="367"/>
      <c r="B738" s="367"/>
      <c r="C738" s="364"/>
      <c r="D738" s="364"/>
      <c r="E738" s="364"/>
      <c r="F738" s="364"/>
      <c r="G738" s="364"/>
      <c r="H738" s="364"/>
      <c r="I738" s="364"/>
      <c r="J738" s="364"/>
      <c r="K738" s="364"/>
      <c r="L738" s="364"/>
      <c r="M738" s="364"/>
      <c r="N738" s="364"/>
      <c r="O738" s="364"/>
      <c r="P738" s="364"/>
      <c r="Q738" s="364"/>
      <c r="R738" s="364"/>
      <c r="S738" s="364"/>
      <c r="T738" s="364"/>
      <c r="U738" s="364"/>
      <c r="V738" s="364"/>
      <c r="W738" s="364"/>
      <c r="X738" s="364"/>
      <c r="Y738" s="364"/>
      <c r="Z738" s="364"/>
    </row>
    <row r="739">
      <c r="A739" s="367"/>
      <c r="B739" s="367"/>
      <c r="C739" s="364"/>
      <c r="D739" s="364"/>
      <c r="E739" s="364"/>
      <c r="F739" s="364"/>
      <c r="G739" s="364"/>
      <c r="H739" s="364"/>
      <c r="I739" s="364"/>
      <c r="J739" s="364"/>
      <c r="K739" s="364"/>
      <c r="L739" s="364"/>
      <c r="M739" s="364"/>
      <c r="N739" s="364"/>
      <c r="O739" s="364"/>
      <c r="P739" s="364"/>
      <c r="Q739" s="364"/>
      <c r="R739" s="364"/>
      <c r="S739" s="364"/>
      <c r="T739" s="364"/>
      <c r="U739" s="364"/>
      <c r="V739" s="364"/>
      <c r="W739" s="364"/>
      <c r="X739" s="364"/>
      <c r="Y739" s="364"/>
      <c r="Z739" s="364"/>
    </row>
    <row r="740">
      <c r="A740" s="367"/>
      <c r="B740" s="367"/>
      <c r="C740" s="364"/>
      <c r="D740" s="364"/>
      <c r="E740" s="364"/>
      <c r="F740" s="364"/>
      <c r="G740" s="364"/>
      <c r="H740" s="364"/>
      <c r="I740" s="364"/>
      <c r="J740" s="364"/>
      <c r="K740" s="364"/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4"/>
    </row>
    <row r="741">
      <c r="A741" s="367"/>
      <c r="B741" s="367"/>
      <c r="C741" s="364"/>
      <c r="D741" s="364"/>
      <c r="E741" s="364"/>
      <c r="F741" s="364"/>
      <c r="G741" s="364"/>
      <c r="H741" s="364"/>
      <c r="I741" s="364"/>
      <c r="J741" s="364"/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  <c r="V741" s="364"/>
      <c r="W741" s="364"/>
      <c r="X741" s="364"/>
      <c r="Y741" s="364"/>
      <c r="Z741" s="364"/>
    </row>
    <row r="742">
      <c r="A742" s="367"/>
      <c r="B742" s="367"/>
      <c r="C742" s="364"/>
      <c r="D742" s="364"/>
      <c r="E742" s="364"/>
      <c r="F742" s="364"/>
      <c r="G742" s="364"/>
      <c r="H742" s="364"/>
      <c r="I742" s="364"/>
      <c r="J742" s="364"/>
      <c r="K742" s="364"/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  <c r="V742" s="364"/>
      <c r="W742" s="364"/>
      <c r="X742" s="364"/>
      <c r="Y742" s="364"/>
      <c r="Z742" s="364"/>
    </row>
    <row r="743">
      <c r="A743" s="367"/>
      <c r="B743" s="367"/>
      <c r="C743" s="364"/>
      <c r="D743" s="364"/>
      <c r="E743" s="364"/>
      <c r="F743" s="364"/>
      <c r="G743" s="364"/>
      <c r="H743" s="364"/>
      <c r="I743" s="364"/>
      <c r="J743" s="364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  <c r="V743" s="364"/>
      <c r="W743" s="364"/>
      <c r="X743" s="364"/>
      <c r="Y743" s="364"/>
      <c r="Z743" s="364"/>
    </row>
    <row r="744">
      <c r="A744" s="367"/>
      <c r="B744" s="367"/>
      <c r="C744" s="364"/>
      <c r="D744" s="364"/>
      <c r="E744" s="364"/>
      <c r="F744" s="364"/>
      <c r="G744" s="364"/>
      <c r="H744" s="364"/>
      <c r="I744" s="364"/>
      <c r="J744" s="364"/>
      <c r="K744" s="364"/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  <c r="V744" s="364"/>
      <c r="W744" s="364"/>
      <c r="X744" s="364"/>
      <c r="Y744" s="364"/>
      <c r="Z744" s="364"/>
    </row>
    <row r="745">
      <c r="A745" s="367"/>
      <c r="B745" s="367"/>
      <c r="C745" s="364"/>
      <c r="D745" s="364"/>
      <c r="E745" s="364"/>
      <c r="F745" s="364"/>
      <c r="G745" s="364"/>
      <c r="H745" s="364"/>
      <c r="I745" s="364"/>
      <c r="J745" s="364"/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  <c r="V745" s="364"/>
      <c r="W745" s="364"/>
      <c r="X745" s="364"/>
      <c r="Y745" s="364"/>
      <c r="Z745" s="364"/>
    </row>
    <row r="746">
      <c r="A746" s="367"/>
      <c r="B746" s="367"/>
      <c r="C746" s="364"/>
      <c r="D746" s="364"/>
      <c r="E746" s="364"/>
      <c r="F746" s="364"/>
      <c r="G746" s="364"/>
      <c r="H746" s="364"/>
      <c r="I746" s="364"/>
      <c r="J746" s="364"/>
      <c r="K746" s="364"/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  <c r="V746" s="364"/>
      <c r="W746" s="364"/>
      <c r="X746" s="364"/>
      <c r="Y746" s="364"/>
      <c r="Z746" s="364"/>
    </row>
    <row r="747">
      <c r="A747" s="367"/>
      <c r="B747" s="367"/>
      <c r="C747" s="364"/>
      <c r="D747" s="364"/>
      <c r="E747" s="364"/>
      <c r="F747" s="364"/>
      <c r="G747" s="364"/>
      <c r="H747" s="364"/>
      <c r="I747" s="364"/>
      <c r="J747" s="364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4"/>
    </row>
    <row r="748">
      <c r="A748" s="367"/>
      <c r="B748" s="367"/>
      <c r="C748" s="364"/>
      <c r="D748" s="364"/>
      <c r="E748" s="364"/>
      <c r="F748" s="364"/>
      <c r="G748" s="364"/>
      <c r="H748" s="364"/>
      <c r="I748" s="364"/>
      <c r="J748" s="364"/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4"/>
    </row>
    <row r="749">
      <c r="A749" s="367"/>
      <c r="B749" s="367"/>
      <c r="C749" s="364"/>
      <c r="D749" s="364"/>
      <c r="E749" s="364"/>
      <c r="F749" s="364"/>
      <c r="G749" s="364"/>
      <c r="H749" s="364"/>
      <c r="I749" s="364"/>
      <c r="J749" s="364"/>
      <c r="K749" s="364"/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  <c r="V749" s="364"/>
      <c r="W749" s="364"/>
      <c r="X749" s="364"/>
      <c r="Y749" s="364"/>
      <c r="Z749" s="364"/>
    </row>
    <row r="750">
      <c r="A750" s="367"/>
      <c r="B750" s="367"/>
      <c r="C750" s="364"/>
      <c r="D750" s="364"/>
      <c r="E750" s="364"/>
      <c r="F750" s="364"/>
      <c r="G750" s="364"/>
      <c r="H750" s="364"/>
      <c r="I750" s="364"/>
      <c r="J750" s="364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  <c r="V750" s="364"/>
      <c r="W750" s="364"/>
      <c r="X750" s="364"/>
      <c r="Y750" s="364"/>
      <c r="Z750" s="364"/>
    </row>
    <row r="751">
      <c r="A751" s="367"/>
      <c r="B751" s="367"/>
      <c r="C751" s="364"/>
      <c r="D751" s="364"/>
      <c r="E751" s="364"/>
      <c r="F751" s="364"/>
      <c r="G751" s="364"/>
      <c r="H751" s="364"/>
      <c r="I751" s="364"/>
      <c r="J751" s="364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  <c r="V751" s="364"/>
      <c r="W751" s="364"/>
      <c r="X751" s="364"/>
      <c r="Y751" s="364"/>
      <c r="Z751" s="364"/>
    </row>
    <row r="752">
      <c r="A752" s="367"/>
      <c r="B752" s="367"/>
      <c r="C752" s="364"/>
      <c r="D752" s="364"/>
      <c r="E752" s="364"/>
      <c r="F752" s="364"/>
      <c r="G752" s="364"/>
      <c r="H752" s="364"/>
      <c r="I752" s="364"/>
      <c r="J752" s="364"/>
      <c r="K752" s="364"/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4"/>
    </row>
    <row r="753">
      <c r="A753" s="367"/>
      <c r="B753" s="367"/>
      <c r="C753" s="364"/>
      <c r="D753" s="364"/>
      <c r="E753" s="364"/>
      <c r="F753" s="364"/>
      <c r="G753" s="364"/>
      <c r="H753" s="364"/>
      <c r="I753" s="364"/>
      <c r="J753" s="364"/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4"/>
    </row>
    <row r="754">
      <c r="A754" s="367"/>
      <c r="B754" s="367"/>
      <c r="C754" s="364"/>
      <c r="D754" s="364"/>
      <c r="E754" s="364"/>
      <c r="F754" s="364"/>
      <c r="G754" s="364"/>
      <c r="H754" s="364"/>
      <c r="I754" s="364"/>
      <c r="J754" s="364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  <c r="V754" s="364"/>
      <c r="W754" s="364"/>
      <c r="X754" s="364"/>
      <c r="Y754" s="364"/>
      <c r="Z754" s="364"/>
    </row>
    <row r="755">
      <c r="A755" s="367"/>
      <c r="B755" s="367"/>
      <c r="C755" s="364"/>
      <c r="D755" s="364"/>
      <c r="E755" s="364"/>
      <c r="F755" s="364"/>
      <c r="G755" s="364"/>
      <c r="H755" s="364"/>
      <c r="I755" s="364"/>
      <c r="J755" s="364"/>
      <c r="K755" s="364"/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  <c r="V755" s="364"/>
      <c r="W755" s="364"/>
      <c r="X755" s="364"/>
      <c r="Y755" s="364"/>
      <c r="Z755" s="364"/>
    </row>
    <row r="756">
      <c r="A756" s="367"/>
      <c r="B756" s="367"/>
      <c r="C756" s="364"/>
      <c r="D756" s="364"/>
      <c r="E756" s="364"/>
      <c r="F756" s="364"/>
      <c r="G756" s="364"/>
      <c r="H756" s="364"/>
      <c r="I756" s="364"/>
      <c r="J756" s="364"/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  <c r="V756" s="364"/>
      <c r="W756" s="364"/>
      <c r="X756" s="364"/>
      <c r="Y756" s="364"/>
      <c r="Z756" s="364"/>
    </row>
    <row r="757">
      <c r="A757" s="367"/>
      <c r="B757" s="367"/>
      <c r="C757" s="364"/>
      <c r="D757" s="364"/>
      <c r="E757" s="364"/>
      <c r="F757" s="364"/>
      <c r="G757" s="364"/>
      <c r="H757" s="364"/>
      <c r="I757" s="364"/>
      <c r="J757" s="364"/>
      <c r="K757" s="364"/>
      <c r="L757" s="364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4"/>
    </row>
    <row r="758">
      <c r="A758" s="367"/>
      <c r="B758" s="367"/>
      <c r="C758" s="364"/>
      <c r="D758" s="364"/>
      <c r="E758" s="364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</row>
    <row r="759">
      <c r="A759" s="367"/>
      <c r="B759" s="367"/>
      <c r="C759" s="364"/>
      <c r="D759" s="364"/>
      <c r="E759" s="364"/>
      <c r="F759" s="364"/>
      <c r="G759" s="364"/>
      <c r="H759" s="364"/>
      <c r="I759" s="364"/>
      <c r="J759" s="364"/>
      <c r="K759" s="364"/>
      <c r="L759" s="364"/>
      <c r="M759" s="364"/>
      <c r="N759" s="364"/>
      <c r="O759" s="364"/>
      <c r="P759" s="364"/>
      <c r="Q759" s="364"/>
      <c r="R759" s="364"/>
      <c r="S759" s="364"/>
      <c r="T759" s="364"/>
      <c r="U759" s="364"/>
      <c r="V759" s="364"/>
      <c r="W759" s="364"/>
      <c r="X759" s="364"/>
      <c r="Y759" s="364"/>
      <c r="Z759" s="364"/>
    </row>
    <row r="760">
      <c r="A760" s="367"/>
      <c r="B760" s="367"/>
      <c r="C760" s="364"/>
      <c r="D760" s="364"/>
      <c r="E760" s="364"/>
      <c r="F760" s="364"/>
      <c r="G760" s="364"/>
      <c r="H760" s="364"/>
      <c r="I760" s="364"/>
      <c r="J760" s="364"/>
      <c r="K760" s="364"/>
      <c r="L760" s="364"/>
      <c r="M760" s="364"/>
      <c r="N760" s="364"/>
      <c r="O760" s="364"/>
      <c r="P760" s="364"/>
      <c r="Q760" s="364"/>
      <c r="R760" s="364"/>
      <c r="S760" s="364"/>
      <c r="T760" s="364"/>
      <c r="U760" s="364"/>
      <c r="V760" s="364"/>
      <c r="W760" s="364"/>
      <c r="X760" s="364"/>
      <c r="Y760" s="364"/>
      <c r="Z760" s="364"/>
    </row>
    <row r="761">
      <c r="A761" s="367"/>
      <c r="B761" s="367"/>
      <c r="C761" s="364"/>
      <c r="D761" s="364"/>
      <c r="E761" s="364"/>
      <c r="F761" s="364"/>
      <c r="G761" s="364"/>
      <c r="H761" s="364"/>
      <c r="I761" s="364"/>
      <c r="J761" s="364"/>
      <c r="K761" s="364"/>
      <c r="L761" s="364"/>
      <c r="M761" s="364"/>
      <c r="N761" s="364"/>
      <c r="O761" s="364"/>
      <c r="P761" s="364"/>
      <c r="Q761" s="364"/>
      <c r="R761" s="364"/>
      <c r="S761" s="364"/>
      <c r="T761" s="364"/>
      <c r="U761" s="364"/>
      <c r="V761" s="364"/>
      <c r="W761" s="364"/>
      <c r="X761" s="364"/>
      <c r="Y761" s="364"/>
      <c r="Z761" s="364"/>
    </row>
    <row r="762">
      <c r="A762" s="367"/>
      <c r="B762" s="367"/>
      <c r="C762" s="364"/>
      <c r="D762" s="364"/>
      <c r="E762" s="364"/>
      <c r="F762" s="364"/>
      <c r="G762" s="364"/>
      <c r="H762" s="364"/>
      <c r="I762" s="364"/>
      <c r="J762" s="364"/>
      <c r="K762" s="364"/>
      <c r="L762" s="364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4"/>
    </row>
    <row r="763">
      <c r="A763" s="367"/>
      <c r="B763" s="367"/>
      <c r="C763" s="364"/>
      <c r="D763" s="364"/>
      <c r="E763" s="364"/>
      <c r="F763" s="364"/>
      <c r="G763" s="364"/>
      <c r="H763" s="364"/>
      <c r="I763" s="364"/>
      <c r="J763" s="364"/>
      <c r="K763" s="364"/>
      <c r="L763" s="364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4"/>
    </row>
    <row r="764">
      <c r="A764" s="367"/>
      <c r="B764" s="367"/>
      <c r="C764" s="364"/>
      <c r="D764" s="364"/>
      <c r="E764" s="364"/>
      <c r="F764" s="364"/>
      <c r="G764" s="364"/>
      <c r="H764" s="364"/>
      <c r="I764" s="364"/>
      <c r="J764" s="364"/>
      <c r="K764" s="364"/>
      <c r="L764" s="364"/>
      <c r="M764" s="364"/>
      <c r="N764" s="364"/>
      <c r="O764" s="364"/>
      <c r="P764" s="364"/>
      <c r="Q764" s="364"/>
      <c r="R764" s="364"/>
      <c r="S764" s="364"/>
      <c r="T764" s="364"/>
      <c r="U764" s="364"/>
      <c r="V764" s="364"/>
      <c r="W764" s="364"/>
      <c r="X764" s="364"/>
      <c r="Y764" s="364"/>
      <c r="Z764" s="364"/>
    </row>
    <row r="765">
      <c r="A765" s="367"/>
      <c r="B765" s="367"/>
      <c r="C765" s="364"/>
      <c r="D765" s="364"/>
      <c r="E765" s="364"/>
      <c r="F765" s="364"/>
      <c r="G765" s="364"/>
      <c r="H765" s="364"/>
      <c r="I765" s="364"/>
      <c r="J765" s="364"/>
      <c r="K765" s="364"/>
      <c r="L765" s="364"/>
      <c r="M765" s="364"/>
      <c r="N765" s="364"/>
      <c r="O765" s="364"/>
      <c r="P765" s="364"/>
      <c r="Q765" s="364"/>
      <c r="R765" s="364"/>
      <c r="S765" s="364"/>
      <c r="T765" s="364"/>
      <c r="U765" s="364"/>
      <c r="V765" s="364"/>
      <c r="W765" s="364"/>
      <c r="X765" s="364"/>
      <c r="Y765" s="364"/>
      <c r="Z765" s="364"/>
    </row>
    <row r="766">
      <c r="A766" s="367"/>
      <c r="B766" s="367"/>
      <c r="C766" s="364"/>
      <c r="D766" s="364"/>
      <c r="E766" s="364"/>
      <c r="F766" s="364"/>
      <c r="G766" s="364"/>
      <c r="H766" s="364"/>
      <c r="I766" s="364"/>
      <c r="J766" s="364"/>
      <c r="K766" s="364"/>
      <c r="L766" s="364"/>
      <c r="M766" s="364"/>
      <c r="N766" s="364"/>
      <c r="O766" s="364"/>
      <c r="P766" s="364"/>
      <c r="Q766" s="364"/>
      <c r="R766" s="364"/>
      <c r="S766" s="364"/>
      <c r="T766" s="364"/>
      <c r="U766" s="364"/>
      <c r="V766" s="364"/>
      <c r="W766" s="364"/>
      <c r="X766" s="364"/>
      <c r="Y766" s="364"/>
      <c r="Z766" s="364"/>
    </row>
    <row r="767">
      <c r="A767" s="367"/>
      <c r="B767" s="367"/>
      <c r="C767" s="364"/>
      <c r="D767" s="364"/>
      <c r="E767" s="364"/>
      <c r="F767" s="364"/>
      <c r="G767" s="364"/>
      <c r="H767" s="364"/>
      <c r="I767" s="364"/>
      <c r="J767" s="364"/>
      <c r="K767" s="364"/>
      <c r="L767" s="364"/>
      <c r="M767" s="364"/>
      <c r="N767" s="364"/>
      <c r="O767" s="364"/>
      <c r="P767" s="364"/>
      <c r="Q767" s="364"/>
      <c r="R767" s="364"/>
      <c r="S767" s="364"/>
      <c r="T767" s="364"/>
      <c r="U767" s="364"/>
      <c r="V767" s="364"/>
      <c r="W767" s="364"/>
      <c r="X767" s="364"/>
      <c r="Y767" s="364"/>
      <c r="Z767" s="364"/>
    </row>
    <row r="768">
      <c r="A768" s="367"/>
      <c r="B768" s="367"/>
      <c r="C768" s="364"/>
      <c r="D768" s="364"/>
      <c r="E768" s="364"/>
      <c r="F768" s="364"/>
      <c r="G768" s="364"/>
      <c r="H768" s="364"/>
      <c r="I768" s="364"/>
      <c r="J768" s="364"/>
      <c r="K768" s="364"/>
      <c r="L768" s="364"/>
      <c r="M768" s="364"/>
      <c r="N768" s="364"/>
      <c r="O768" s="364"/>
      <c r="P768" s="364"/>
      <c r="Q768" s="364"/>
      <c r="R768" s="364"/>
      <c r="S768" s="364"/>
      <c r="T768" s="364"/>
      <c r="U768" s="364"/>
      <c r="V768" s="364"/>
      <c r="W768" s="364"/>
      <c r="X768" s="364"/>
      <c r="Y768" s="364"/>
      <c r="Z768" s="364"/>
    </row>
    <row r="769">
      <c r="A769" s="367"/>
      <c r="B769" s="367"/>
      <c r="C769" s="364"/>
      <c r="D769" s="364"/>
      <c r="E769" s="364"/>
      <c r="F769" s="364"/>
      <c r="G769" s="364"/>
      <c r="H769" s="364"/>
      <c r="I769" s="364"/>
      <c r="J769" s="364"/>
      <c r="K769" s="364"/>
      <c r="L769" s="364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4"/>
    </row>
    <row r="770">
      <c r="A770" s="367"/>
      <c r="B770" s="367"/>
      <c r="C770" s="364"/>
      <c r="D770" s="364"/>
      <c r="E770" s="364"/>
      <c r="F770" s="364"/>
      <c r="G770" s="364"/>
      <c r="H770" s="364"/>
      <c r="I770" s="364"/>
      <c r="J770" s="364"/>
      <c r="K770" s="364"/>
      <c r="L770" s="364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</row>
    <row r="771">
      <c r="A771" s="367"/>
      <c r="B771" s="367"/>
      <c r="C771" s="364"/>
      <c r="D771" s="364"/>
      <c r="E771" s="364"/>
      <c r="F771" s="364"/>
      <c r="G771" s="364"/>
      <c r="H771" s="364"/>
      <c r="I771" s="364"/>
      <c r="J771" s="364"/>
      <c r="K771" s="364"/>
      <c r="L771" s="364"/>
      <c r="M771" s="364"/>
      <c r="N771" s="364"/>
      <c r="O771" s="364"/>
      <c r="P771" s="364"/>
      <c r="Q771" s="364"/>
      <c r="R771" s="364"/>
      <c r="S771" s="364"/>
      <c r="T771" s="364"/>
      <c r="U771" s="364"/>
      <c r="V771" s="364"/>
      <c r="W771" s="364"/>
      <c r="X771" s="364"/>
      <c r="Y771" s="364"/>
      <c r="Z771" s="364"/>
    </row>
    <row r="772">
      <c r="A772" s="367"/>
      <c r="B772" s="367"/>
      <c r="C772" s="364"/>
      <c r="D772" s="364"/>
      <c r="E772" s="364"/>
      <c r="F772" s="364"/>
      <c r="G772" s="364"/>
      <c r="H772" s="364"/>
      <c r="I772" s="364"/>
      <c r="J772" s="364"/>
      <c r="K772" s="364"/>
      <c r="L772" s="364"/>
      <c r="M772" s="364"/>
      <c r="N772" s="364"/>
      <c r="O772" s="364"/>
      <c r="P772" s="364"/>
      <c r="Q772" s="364"/>
      <c r="R772" s="364"/>
      <c r="S772" s="364"/>
      <c r="T772" s="364"/>
      <c r="U772" s="364"/>
      <c r="V772" s="364"/>
      <c r="W772" s="364"/>
      <c r="X772" s="364"/>
      <c r="Y772" s="364"/>
      <c r="Z772" s="364"/>
    </row>
    <row r="773">
      <c r="A773" s="367"/>
      <c r="B773" s="367"/>
      <c r="C773" s="364"/>
      <c r="D773" s="364"/>
      <c r="E773" s="364"/>
      <c r="F773" s="364"/>
      <c r="G773" s="364"/>
      <c r="H773" s="364"/>
      <c r="I773" s="364"/>
      <c r="J773" s="364"/>
      <c r="K773" s="364"/>
      <c r="L773" s="364"/>
      <c r="M773" s="364"/>
      <c r="N773" s="364"/>
      <c r="O773" s="364"/>
      <c r="P773" s="364"/>
      <c r="Q773" s="364"/>
      <c r="R773" s="364"/>
      <c r="S773" s="364"/>
      <c r="T773" s="364"/>
      <c r="U773" s="364"/>
      <c r="V773" s="364"/>
      <c r="W773" s="364"/>
      <c r="X773" s="364"/>
      <c r="Y773" s="364"/>
      <c r="Z773" s="364"/>
    </row>
    <row r="774">
      <c r="A774" s="367"/>
      <c r="B774" s="367"/>
      <c r="C774" s="364"/>
      <c r="D774" s="364"/>
      <c r="E774" s="364"/>
      <c r="F774" s="364"/>
      <c r="G774" s="364"/>
      <c r="H774" s="364"/>
      <c r="I774" s="364"/>
      <c r="J774" s="364"/>
      <c r="K774" s="364"/>
      <c r="L774" s="364"/>
      <c r="M774" s="364"/>
      <c r="N774" s="364"/>
      <c r="O774" s="364"/>
      <c r="P774" s="364"/>
      <c r="Q774" s="364"/>
      <c r="R774" s="364"/>
      <c r="S774" s="364"/>
      <c r="T774" s="364"/>
      <c r="U774" s="364"/>
      <c r="V774" s="364"/>
      <c r="W774" s="364"/>
      <c r="X774" s="364"/>
      <c r="Y774" s="364"/>
      <c r="Z774" s="364"/>
    </row>
    <row r="775">
      <c r="A775" s="367"/>
      <c r="B775" s="367"/>
      <c r="C775" s="364"/>
      <c r="D775" s="364"/>
      <c r="E775" s="364"/>
      <c r="F775" s="364"/>
      <c r="G775" s="364"/>
      <c r="H775" s="364"/>
      <c r="I775" s="364"/>
      <c r="J775" s="364"/>
      <c r="K775" s="364"/>
      <c r="L775" s="364"/>
      <c r="M775" s="364"/>
      <c r="N775" s="364"/>
      <c r="O775" s="364"/>
      <c r="P775" s="364"/>
      <c r="Q775" s="364"/>
      <c r="R775" s="364"/>
      <c r="S775" s="364"/>
      <c r="T775" s="364"/>
      <c r="U775" s="364"/>
      <c r="V775" s="364"/>
      <c r="W775" s="364"/>
      <c r="X775" s="364"/>
      <c r="Y775" s="364"/>
      <c r="Z775" s="364"/>
    </row>
    <row r="776">
      <c r="A776" s="367"/>
      <c r="B776" s="367"/>
      <c r="C776" s="364"/>
      <c r="D776" s="364"/>
      <c r="E776" s="364"/>
      <c r="F776" s="364"/>
      <c r="G776" s="364"/>
      <c r="H776" s="364"/>
      <c r="I776" s="364"/>
      <c r="J776" s="364"/>
      <c r="K776" s="364"/>
      <c r="L776" s="364"/>
      <c r="M776" s="364"/>
      <c r="N776" s="364"/>
      <c r="O776" s="364"/>
      <c r="P776" s="364"/>
      <c r="Q776" s="364"/>
      <c r="R776" s="364"/>
      <c r="S776" s="364"/>
      <c r="T776" s="364"/>
      <c r="U776" s="364"/>
      <c r="V776" s="364"/>
      <c r="W776" s="364"/>
      <c r="X776" s="364"/>
      <c r="Y776" s="364"/>
      <c r="Z776" s="364"/>
    </row>
    <row r="777">
      <c r="A777" s="367"/>
      <c r="B777" s="367"/>
      <c r="C777" s="364"/>
      <c r="D777" s="364"/>
      <c r="E777" s="364"/>
      <c r="F777" s="364"/>
      <c r="G777" s="364"/>
      <c r="H777" s="364"/>
      <c r="I777" s="364"/>
      <c r="J777" s="364"/>
      <c r="K777" s="364"/>
      <c r="L777" s="364"/>
      <c r="M777" s="364"/>
      <c r="N777" s="364"/>
      <c r="O777" s="364"/>
      <c r="P777" s="364"/>
      <c r="Q777" s="364"/>
      <c r="R777" s="364"/>
      <c r="S777" s="364"/>
      <c r="T777" s="364"/>
      <c r="U777" s="364"/>
      <c r="V777" s="364"/>
      <c r="W777" s="364"/>
      <c r="X777" s="364"/>
      <c r="Y777" s="364"/>
      <c r="Z777" s="364"/>
    </row>
    <row r="778">
      <c r="A778" s="367"/>
      <c r="B778" s="367"/>
      <c r="C778" s="364"/>
      <c r="D778" s="364"/>
      <c r="E778" s="364"/>
      <c r="F778" s="364"/>
      <c r="G778" s="364"/>
      <c r="H778" s="364"/>
      <c r="I778" s="364"/>
      <c r="J778" s="364"/>
      <c r="K778" s="364"/>
      <c r="L778" s="364"/>
      <c r="M778" s="364"/>
      <c r="N778" s="364"/>
      <c r="O778" s="364"/>
      <c r="P778" s="364"/>
      <c r="Q778" s="364"/>
      <c r="R778" s="364"/>
      <c r="S778" s="364"/>
      <c r="T778" s="364"/>
      <c r="U778" s="364"/>
      <c r="V778" s="364"/>
      <c r="W778" s="364"/>
      <c r="X778" s="364"/>
      <c r="Y778" s="364"/>
      <c r="Z778" s="364"/>
    </row>
    <row r="779">
      <c r="A779" s="367"/>
      <c r="B779" s="367"/>
      <c r="C779" s="364"/>
      <c r="D779" s="364"/>
      <c r="E779" s="364"/>
      <c r="F779" s="364"/>
      <c r="G779" s="364"/>
      <c r="H779" s="364"/>
      <c r="I779" s="364"/>
      <c r="J779" s="364"/>
      <c r="K779" s="364"/>
      <c r="L779" s="364"/>
      <c r="M779" s="364"/>
      <c r="N779" s="364"/>
      <c r="O779" s="364"/>
      <c r="P779" s="364"/>
      <c r="Q779" s="364"/>
      <c r="R779" s="364"/>
      <c r="S779" s="364"/>
      <c r="T779" s="364"/>
      <c r="U779" s="364"/>
      <c r="V779" s="364"/>
      <c r="W779" s="364"/>
      <c r="X779" s="364"/>
      <c r="Y779" s="364"/>
      <c r="Z779" s="364"/>
    </row>
    <row r="780">
      <c r="A780" s="367"/>
      <c r="B780" s="367"/>
      <c r="C780" s="364"/>
      <c r="D780" s="364"/>
      <c r="E780" s="364"/>
      <c r="F780" s="364"/>
      <c r="G780" s="364"/>
      <c r="H780" s="364"/>
      <c r="I780" s="364"/>
      <c r="J780" s="364"/>
      <c r="K780" s="364"/>
      <c r="L780" s="364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4"/>
    </row>
    <row r="781">
      <c r="A781" s="367"/>
      <c r="B781" s="367"/>
      <c r="C781" s="364"/>
      <c r="D781" s="364"/>
      <c r="E781" s="364"/>
      <c r="F781" s="364"/>
      <c r="G781" s="364"/>
      <c r="H781" s="364"/>
      <c r="I781" s="364"/>
      <c r="J781" s="364"/>
      <c r="K781" s="364"/>
      <c r="L781" s="364"/>
      <c r="M781" s="364"/>
      <c r="N781" s="364"/>
      <c r="O781" s="364"/>
      <c r="P781" s="364"/>
      <c r="Q781" s="364"/>
      <c r="R781" s="364"/>
      <c r="S781" s="364"/>
      <c r="T781" s="364"/>
      <c r="U781" s="364"/>
      <c r="V781" s="364"/>
      <c r="W781" s="364"/>
      <c r="X781" s="364"/>
      <c r="Y781" s="364"/>
      <c r="Z781" s="364"/>
    </row>
    <row r="782">
      <c r="A782" s="367"/>
      <c r="B782" s="367"/>
      <c r="C782" s="364"/>
      <c r="D782" s="364"/>
      <c r="E782" s="364"/>
      <c r="F782" s="364"/>
      <c r="G782" s="364"/>
      <c r="H782" s="364"/>
      <c r="I782" s="364"/>
      <c r="J782" s="364"/>
      <c r="K782" s="364"/>
      <c r="L782" s="364"/>
      <c r="M782" s="364"/>
      <c r="N782" s="364"/>
      <c r="O782" s="364"/>
      <c r="P782" s="364"/>
      <c r="Q782" s="364"/>
      <c r="R782" s="364"/>
      <c r="S782" s="364"/>
      <c r="T782" s="364"/>
      <c r="U782" s="364"/>
      <c r="V782" s="364"/>
      <c r="W782" s="364"/>
      <c r="X782" s="364"/>
      <c r="Y782" s="364"/>
      <c r="Z782" s="364"/>
    </row>
    <row r="783">
      <c r="A783" s="367"/>
      <c r="B783" s="367"/>
      <c r="C783" s="364"/>
      <c r="D783" s="364"/>
      <c r="E783" s="364"/>
      <c r="F783" s="364"/>
      <c r="G783" s="364"/>
      <c r="H783" s="364"/>
      <c r="I783" s="364"/>
      <c r="J783" s="364"/>
      <c r="K783" s="364"/>
      <c r="L783" s="364"/>
      <c r="M783" s="364"/>
      <c r="N783" s="364"/>
      <c r="O783" s="364"/>
      <c r="P783" s="364"/>
      <c r="Q783" s="364"/>
      <c r="R783" s="364"/>
      <c r="S783" s="364"/>
      <c r="T783" s="364"/>
      <c r="U783" s="364"/>
      <c r="V783" s="364"/>
      <c r="W783" s="364"/>
      <c r="X783" s="364"/>
      <c r="Y783" s="364"/>
      <c r="Z783" s="364"/>
    </row>
    <row r="784">
      <c r="A784" s="367"/>
      <c r="B784" s="367"/>
      <c r="C784" s="364"/>
      <c r="D784" s="364"/>
      <c r="E784" s="364"/>
      <c r="F784" s="364"/>
      <c r="G784" s="364"/>
      <c r="H784" s="364"/>
      <c r="I784" s="364"/>
      <c r="J784" s="364"/>
      <c r="K784" s="364"/>
      <c r="L784" s="364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4"/>
    </row>
    <row r="785">
      <c r="A785" s="367"/>
      <c r="B785" s="367"/>
      <c r="C785" s="364"/>
      <c r="D785" s="364"/>
      <c r="E785" s="364"/>
      <c r="F785" s="364"/>
      <c r="G785" s="364"/>
      <c r="H785" s="364"/>
      <c r="I785" s="364"/>
      <c r="J785" s="364"/>
      <c r="K785" s="364"/>
      <c r="L785" s="364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4"/>
    </row>
    <row r="786">
      <c r="A786" s="367"/>
      <c r="B786" s="367"/>
      <c r="C786" s="364"/>
      <c r="D786" s="364"/>
      <c r="E786" s="364"/>
      <c r="F786" s="364"/>
      <c r="G786" s="364"/>
      <c r="H786" s="364"/>
      <c r="I786" s="364"/>
      <c r="J786" s="364"/>
      <c r="K786" s="364"/>
      <c r="L786" s="364"/>
      <c r="M786" s="364"/>
      <c r="N786" s="364"/>
      <c r="O786" s="364"/>
      <c r="P786" s="364"/>
      <c r="Q786" s="364"/>
      <c r="R786" s="364"/>
      <c r="S786" s="364"/>
      <c r="T786" s="364"/>
      <c r="U786" s="364"/>
      <c r="V786" s="364"/>
      <c r="W786" s="364"/>
      <c r="X786" s="364"/>
      <c r="Y786" s="364"/>
      <c r="Z786" s="364"/>
    </row>
    <row r="787">
      <c r="A787" s="367"/>
      <c r="B787" s="367"/>
      <c r="C787" s="364"/>
      <c r="D787" s="364"/>
      <c r="E787" s="364"/>
      <c r="F787" s="364"/>
      <c r="G787" s="364"/>
      <c r="H787" s="364"/>
      <c r="I787" s="364"/>
      <c r="J787" s="364"/>
      <c r="K787" s="364"/>
      <c r="L787" s="364"/>
      <c r="M787" s="364"/>
      <c r="N787" s="364"/>
      <c r="O787" s="364"/>
      <c r="P787" s="364"/>
      <c r="Q787" s="364"/>
      <c r="R787" s="364"/>
      <c r="S787" s="364"/>
      <c r="T787" s="364"/>
      <c r="U787" s="364"/>
      <c r="V787" s="364"/>
      <c r="W787" s="364"/>
      <c r="X787" s="364"/>
      <c r="Y787" s="364"/>
      <c r="Z787" s="364"/>
    </row>
    <row r="788">
      <c r="A788" s="367"/>
      <c r="B788" s="367"/>
      <c r="C788" s="364"/>
      <c r="D788" s="364"/>
      <c r="E788" s="364"/>
      <c r="F788" s="364"/>
      <c r="G788" s="364"/>
      <c r="H788" s="364"/>
      <c r="I788" s="364"/>
      <c r="J788" s="364"/>
      <c r="K788" s="364"/>
      <c r="L788" s="364"/>
      <c r="M788" s="364"/>
      <c r="N788" s="364"/>
      <c r="O788" s="364"/>
      <c r="P788" s="364"/>
      <c r="Q788" s="364"/>
      <c r="R788" s="364"/>
      <c r="S788" s="364"/>
      <c r="T788" s="364"/>
      <c r="U788" s="364"/>
      <c r="V788" s="364"/>
      <c r="W788" s="364"/>
      <c r="X788" s="364"/>
      <c r="Y788" s="364"/>
      <c r="Z788" s="364"/>
    </row>
    <row r="789">
      <c r="A789" s="367"/>
      <c r="B789" s="367"/>
      <c r="C789" s="364"/>
      <c r="D789" s="364"/>
      <c r="E789" s="364"/>
      <c r="F789" s="364"/>
      <c r="G789" s="364"/>
      <c r="H789" s="364"/>
      <c r="I789" s="364"/>
      <c r="J789" s="364"/>
      <c r="K789" s="364"/>
      <c r="L789" s="364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4"/>
    </row>
    <row r="790">
      <c r="A790" s="367"/>
      <c r="B790" s="367"/>
      <c r="C790" s="364"/>
      <c r="D790" s="364"/>
      <c r="E790" s="364"/>
      <c r="F790" s="364"/>
      <c r="G790" s="364"/>
      <c r="H790" s="364"/>
      <c r="I790" s="364"/>
      <c r="J790" s="364"/>
      <c r="K790" s="364"/>
      <c r="L790" s="364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4"/>
    </row>
    <row r="791">
      <c r="A791" s="367"/>
      <c r="B791" s="367"/>
      <c r="C791" s="364"/>
      <c r="D791" s="364"/>
      <c r="E791" s="364"/>
      <c r="F791" s="364"/>
      <c r="G791" s="364"/>
      <c r="H791" s="364"/>
      <c r="I791" s="364"/>
      <c r="J791" s="364"/>
      <c r="K791" s="364"/>
      <c r="L791" s="364"/>
      <c r="M791" s="364"/>
      <c r="N791" s="364"/>
      <c r="O791" s="364"/>
      <c r="P791" s="364"/>
      <c r="Q791" s="364"/>
      <c r="R791" s="364"/>
      <c r="S791" s="364"/>
      <c r="T791" s="364"/>
      <c r="U791" s="364"/>
      <c r="V791" s="364"/>
      <c r="W791" s="364"/>
      <c r="X791" s="364"/>
      <c r="Y791" s="364"/>
      <c r="Z791" s="364"/>
    </row>
    <row r="792">
      <c r="A792" s="367"/>
      <c r="B792" s="367"/>
      <c r="C792" s="364"/>
      <c r="D792" s="364"/>
      <c r="E792" s="364"/>
      <c r="F792" s="364"/>
      <c r="G792" s="364"/>
      <c r="H792" s="364"/>
      <c r="I792" s="364"/>
      <c r="J792" s="364"/>
      <c r="K792" s="364"/>
      <c r="L792" s="364"/>
      <c r="M792" s="364"/>
      <c r="N792" s="364"/>
      <c r="O792" s="364"/>
      <c r="P792" s="364"/>
      <c r="Q792" s="364"/>
      <c r="R792" s="364"/>
      <c r="S792" s="364"/>
      <c r="T792" s="364"/>
      <c r="U792" s="364"/>
      <c r="V792" s="364"/>
      <c r="W792" s="364"/>
      <c r="X792" s="364"/>
      <c r="Y792" s="364"/>
      <c r="Z792" s="364"/>
    </row>
    <row r="793">
      <c r="A793" s="367"/>
      <c r="B793" s="367"/>
      <c r="C793" s="364"/>
      <c r="D793" s="364"/>
      <c r="E793" s="364"/>
      <c r="F793" s="364"/>
      <c r="G793" s="364"/>
      <c r="H793" s="364"/>
      <c r="I793" s="364"/>
      <c r="J793" s="364"/>
      <c r="K793" s="364"/>
      <c r="L793" s="364"/>
      <c r="M793" s="364"/>
      <c r="N793" s="364"/>
      <c r="O793" s="364"/>
      <c r="P793" s="364"/>
      <c r="Q793" s="364"/>
      <c r="R793" s="364"/>
      <c r="S793" s="364"/>
      <c r="T793" s="364"/>
      <c r="U793" s="364"/>
      <c r="V793" s="364"/>
      <c r="W793" s="364"/>
      <c r="X793" s="364"/>
      <c r="Y793" s="364"/>
      <c r="Z793" s="364"/>
    </row>
    <row r="794">
      <c r="A794" s="367"/>
      <c r="B794" s="367"/>
      <c r="C794" s="364"/>
      <c r="D794" s="364"/>
      <c r="E794" s="364"/>
      <c r="F794" s="364"/>
      <c r="G794" s="364"/>
      <c r="H794" s="364"/>
      <c r="I794" s="364"/>
      <c r="J794" s="364"/>
      <c r="K794" s="364"/>
      <c r="L794" s="364"/>
      <c r="M794" s="364"/>
      <c r="N794" s="364"/>
      <c r="O794" s="364"/>
      <c r="P794" s="364"/>
      <c r="Q794" s="364"/>
      <c r="R794" s="364"/>
      <c r="S794" s="364"/>
      <c r="T794" s="364"/>
      <c r="U794" s="364"/>
      <c r="V794" s="364"/>
      <c r="W794" s="364"/>
      <c r="X794" s="364"/>
      <c r="Y794" s="364"/>
      <c r="Z794" s="364"/>
    </row>
    <row r="795">
      <c r="A795" s="367"/>
      <c r="B795" s="367"/>
      <c r="C795" s="364"/>
      <c r="D795" s="364"/>
      <c r="E795" s="364"/>
      <c r="F795" s="364"/>
      <c r="G795" s="364"/>
      <c r="H795" s="364"/>
      <c r="I795" s="364"/>
      <c r="J795" s="364"/>
      <c r="K795" s="364"/>
      <c r="L795" s="364"/>
      <c r="M795" s="364"/>
      <c r="N795" s="364"/>
      <c r="O795" s="364"/>
      <c r="P795" s="364"/>
      <c r="Q795" s="364"/>
      <c r="R795" s="364"/>
      <c r="S795" s="364"/>
      <c r="T795" s="364"/>
      <c r="U795" s="364"/>
      <c r="V795" s="364"/>
      <c r="W795" s="364"/>
      <c r="X795" s="364"/>
      <c r="Y795" s="364"/>
      <c r="Z795" s="364"/>
    </row>
    <row r="796">
      <c r="A796" s="367"/>
      <c r="B796" s="367"/>
      <c r="C796" s="364"/>
      <c r="D796" s="364"/>
      <c r="E796" s="364"/>
      <c r="F796" s="364"/>
      <c r="G796" s="364"/>
      <c r="H796" s="364"/>
      <c r="I796" s="364"/>
      <c r="J796" s="364"/>
      <c r="K796" s="364"/>
      <c r="L796" s="364"/>
      <c r="M796" s="364"/>
      <c r="N796" s="364"/>
      <c r="O796" s="364"/>
      <c r="P796" s="364"/>
      <c r="Q796" s="364"/>
      <c r="R796" s="364"/>
      <c r="S796" s="364"/>
      <c r="T796" s="364"/>
      <c r="U796" s="364"/>
      <c r="V796" s="364"/>
      <c r="W796" s="364"/>
      <c r="X796" s="364"/>
      <c r="Y796" s="364"/>
      <c r="Z796" s="364"/>
    </row>
    <row r="797">
      <c r="A797" s="367"/>
      <c r="B797" s="367"/>
      <c r="C797" s="364"/>
      <c r="D797" s="364"/>
      <c r="E797" s="364"/>
      <c r="F797" s="364"/>
      <c r="G797" s="364"/>
      <c r="H797" s="364"/>
      <c r="I797" s="364"/>
      <c r="J797" s="364"/>
      <c r="K797" s="364"/>
      <c r="L797" s="364"/>
      <c r="M797" s="364"/>
      <c r="N797" s="364"/>
      <c r="O797" s="364"/>
      <c r="P797" s="364"/>
      <c r="Q797" s="364"/>
      <c r="R797" s="364"/>
      <c r="S797" s="364"/>
      <c r="T797" s="364"/>
      <c r="U797" s="364"/>
      <c r="V797" s="364"/>
      <c r="W797" s="364"/>
      <c r="X797" s="364"/>
      <c r="Y797" s="364"/>
      <c r="Z797" s="364"/>
    </row>
    <row r="798">
      <c r="A798" s="367"/>
      <c r="B798" s="367"/>
      <c r="C798" s="364"/>
      <c r="D798" s="364"/>
      <c r="E798" s="364"/>
      <c r="F798" s="364"/>
      <c r="G798" s="364"/>
      <c r="H798" s="364"/>
      <c r="I798" s="364"/>
      <c r="J798" s="364"/>
      <c r="K798" s="364"/>
      <c r="L798" s="364"/>
      <c r="M798" s="364"/>
      <c r="N798" s="364"/>
      <c r="O798" s="364"/>
      <c r="P798" s="364"/>
      <c r="Q798" s="364"/>
      <c r="R798" s="364"/>
      <c r="S798" s="364"/>
      <c r="T798" s="364"/>
      <c r="U798" s="364"/>
      <c r="V798" s="364"/>
      <c r="W798" s="364"/>
      <c r="X798" s="364"/>
      <c r="Y798" s="364"/>
      <c r="Z798" s="364"/>
    </row>
    <row r="799">
      <c r="A799" s="367"/>
      <c r="B799" s="367"/>
      <c r="C799" s="364"/>
      <c r="D799" s="364"/>
      <c r="E799" s="364"/>
      <c r="F799" s="364"/>
      <c r="G799" s="364"/>
      <c r="H799" s="364"/>
      <c r="I799" s="364"/>
      <c r="J799" s="364"/>
      <c r="K799" s="364"/>
      <c r="L799" s="364"/>
      <c r="M799" s="364"/>
      <c r="N799" s="364"/>
      <c r="O799" s="364"/>
      <c r="P799" s="364"/>
      <c r="Q799" s="364"/>
      <c r="R799" s="364"/>
      <c r="S799" s="364"/>
      <c r="T799" s="364"/>
      <c r="U799" s="364"/>
      <c r="V799" s="364"/>
      <c r="W799" s="364"/>
      <c r="X799" s="364"/>
      <c r="Y799" s="364"/>
      <c r="Z799" s="364"/>
    </row>
    <row r="800">
      <c r="A800" s="367"/>
      <c r="B800" s="367"/>
      <c r="C800" s="364"/>
      <c r="D800" s="364"/>
      <c r="E800" s="364"/>
      <c r="F800" s="364"/>
      <c r="G800" s="364"/>
      <c r="H800" s="364"/>
      <c r="I800" s="364"/>
      <c r="J800" s="364"/>
      <c r="K800" s="364"/>
      <c r="L800" s="364"/>
      <c r="M800" s="364"/>
      <c r="N800" s="364"/>
      <c r="O800" s="364"/>
      <c r="P800" s="364"/>
      <c r="Q800" s="364"/>
      <c r="R800" s="364"/>
      <c r="S800" s="364"/>
      <c r="T800" s="364"/>
      <c r="U800" s="364"/>
      <c r="V800" s="364"/>
      <c r="W800" s="364"/>
      <c r="X800" s="364"/>
      <c r="Y800" s="364"/>
      <c r="Z800" s="364"/>
    </row>
    <row r="801">
      <c r="A801" s="367"/>
      <c r="B801" s="367"/>
      <c r="C801" s="364"/>
      <c r="D801" s="364"/>
      <c r="E801" s="364"/>
      <c r="F801" s="364"/>
      <c r="G801" s="364"/>
      <c r="H801" s="364"/>
      <c r="I801" s="364"/>
      <c r="J801" s="364"/>
      <c r="K801" s="364"/>
      <c r="L801" s="364"/>
      <c r="M801" s="364"/>
      <c r="N801" s="364"/>
      <c r="O801" s="364"/>
      <c r="P801" s="364"/>
      <c r="Q801" s="364"/>
      <c r="R801" s="364"/>
      <c r="S801" s="364"/>
      <c r="T801" s="364"/>
      <c r="U801" s="364"/>
      <c r="V801" s="364"/>
      <c r="W801" s="364"/>
      <c r="X801" s="364"/>
      <c r="Y801" s="364"/>
      <c r="Z801" s="364"/>
    </row>
    <row r="802">
      <c r="A802" s="367"/>
      <c r="B802" s="367"/>
      <c r="C802" s="364"/>
      <c r="D802" s="364"/>
      <c r="E802" s="364"/>
      <c r="F802" s="364"/>
      <c r="G802" s="364"/>
      <c r="H802" s="364"/>
      <c r="I802" s="364"/>
      <c r="J802" s="364"/>
      <c r="K802" s="364"/>
      <c r="L802" s="364"/>
      <c r="M802" s="364"/>
      <c r="N802" s="364"/>
      <c r="O802" s="364"/>
      <c r="P802" s="364"/>
      <c r="Q802" s="364"/>
      <c r="R802" s="364"/>
      <c r="S802" s="364"/>
      <c r="T802" s="364"/>
      <c r="U802" s="364"/>
      <c r="V802" s="364"/>
      <c r="W802" s="364"/>
      <c r="X802" s="364"/>
      <c r="Y802" s="364"/>
      <c r="Z802" s="364"/>
    </row>
    <row r="803">
      <c r="A803" s="367"/>
      <c r="B803" s="367"/>
      <c r="C803" s="364"/>
      <c r="D803" s="364"/>
      <c r="E803" s="364"/>
      <c r="F803" s="364"/>
      <c r="G803" s="364"/>
      <c r="H803" s="364"/>
      <c r="I803" s="364"/>
      <c r="J803" s="364"/>
      <c r="K803" s="364"/>
      <c r="L803" s="364"/>
      <c r="M803" s="364"/>
      <c r="N803" s="364"/>
      <c r="O803" s="364"/>
      <c r="P803" s="364"/>
      <c r="Q803" s="364"/>
      <c r="R803" s="364"/>
      <c r="S803" s="364"/>
      <c r="T803" s="364"/>
      <c r="U803" s="364"/>
      <c r="V803" s="364"/>
      <c r="W803" s="364"/>
      <c r="X803" s="364"/>
      <c r="Y803" s="364"/>
      <c r="Z803" s="364"/>
    </row>
    <row r="804">
      <c r="A804" s="367"/>
      <c r="B804" s="367"/>
      <c r="C804" s="364"/>
      <c r="D804" s="364"/>
      <c r="E804" s="364"/>
      <c r="F804" s="364"/>
      <c r="G804" s="364"/>
      <c r="H804" s="364"/>
      <c r="I804" s="364"/>
      <c r="J804" s="364"/>
      <c r="K804" s="364"/>
      <c r="L804" s="364"/>
      <c r="M804" s="364"/>
      <c r="N804" s="364"/>
      <c r="O804" s="364"/>
      <c r="P804" s="364"/>
      <c r="Q804" s="364"/>
      <c r="R804" s="364"/>
      <c r="S804" s="364"/>
      <c r="T804" s="364"/>
      <c r="U804" s="364"/>
      <c r="V804" s="364"/>
      <c r="W804" s="364"/>
      <c r="X804" s="364"/>
      <c r="Y804" s="364"/>
      <c r="Z804" s="364"/>
    </row>
    <row r="805">
      <c r="A805" s="367"/>
      <c r="B805" s="367"/>
      <c r="C805" s="364"/>
      <c r="D805" s="364"/>
      <c r="E805" s="364"/>
      <c r="F805" s="364"/>
      <c r="G805" s="364"/>
      <c r="H805" s="364"/>
      <c r="I805" s="364"/>
      <c r="J805" s="364"/>
      <c r="K805" s="364"/>
      <c r="L805" s="364"/>
      <c r="M805" s="364"/>
      <c r="N805" s="364"/>
      <c r="O805" s="364"/>
      <c r="P805" s="364"/>
      <c r="Q805" s="364"/>
      <c r="R805" s="364"/>
      <c r="S805" s="364"/>
      <c r="T805" s="364"/>
      <c r="U805" s="364"/>
      <c r="V805" s="364"/>
      <c r="W805" s="364"/>
      <c r="X805" s="364"/>
      <c r="Y805" s="364"/>
      <c r="Z805" s="364"/>
    </row>
    <row r="806">
      <c r="A806" s="367"/>
      <c r="B806" s="367"/>
      <c r="C806" s="364"/>
      <c r="D806" s="364"/>
      <c r="E806" s="364"/>
      <c r="F806" s="364"/>
      <c r="G806" s="364"/>
      <c r="H806" s="364"/>
      <c r="I806" s="364"/>
      <c r="J806" s="364"/>
      <c r="K806" s="364"/>
      <c r="L806" s="364"/>
      <c r="M806" s="364"/>
      <c r="N806" s="364"/>
      <c r="O806" s="364"/>
      <c r="P806" s="364"/>
      <c r="Q806" s="364"/>
      <c r="R806" s="364"/>
      <c r="S806" s="364"/>
      <c r="T806" s="364"/>
      <c r="U806" s="364"/>
      <c r="V806" s="364"/>
      <c r="W806" s="364"/>
      <c r="X806" s="364"/>
      <c r="Y806" s="364"/>
      <c r="Z806" s="364"/>
    </row>
    <row r="807">
      <c r="A807" s="367"/>
      <c r="B807" s="367"/>
      <c r="C807" s="364"/>
      <c r="D807" s="364"/>
      <c r="E807" s="364"/>
      <c r="F807" s="364"/>
      <c r="G807" s="364"/>
      <c r="H807" s="364"/>
      <c r="I807" s="364"/>
      <c r="J807" s="364"/>
      <c r="K807" s="364"/>
      <c r="L807" s="364"/>
      <c r="M807" s="364"/>
      <c r="N807" s="364"/>
      <c r="O807" s="364"/>
      <c r="P807" s="364"/>
      <c r="Q807" s="364"/>
      <c r="R807" s="364"/>
      <c r="S807" s="364"/>
      <c r="T807" s="364"/>
      <c r="U807" s="364"/>
      <c r="V807" s="364"/>
      <c r="W807" s="364"/>
      <c r="X807" s="364"/>
      <c r="Y807" s="364"/>
      <c r="Z807" s="364"/>
    </row>
    <row r="808">
      <c r="A808" s="367"/>
      <c r="B808" s="367"/>
      <c r="C808" s="364"/>
      <c r="D808" s="364"/>
      <c r="E808" s="364"/>
      <c r="F808" s="364"/>
      <c r="G808" s="364"/>
      <c r="H808" s="364"/>
      <c r="I808" s="364"/>
      <c r="J808" s="364"/>
      <c r="K808" s="364"/>
      <c r="L808" s="364"/>
      <c r="M808" s="364"/>
      <c r="N808" s="364"/>
      <c r="O808" s="364"/>
      <c r="P808" s="364"/>
      <c r="Q808" s="364"/>
      <c r="R808" s="364"/>
      <c r="S808" s="364"/>
      <c r="T808" s="364"/>
      <c r="U808" s="364"/>
      <c r="V808" s="364"/>
      <c r="W808" s="364"/>
      <c r="X808" s="364"/>
      <c r="Y808" s="364"/>
      <c r="Z808" s="364"/>
    </row>
    <row r="809">
      <c r="A809" s="367"/>
      <c r="B809" s="367"/>
      <c r="C809" s="364"/>
      <c r="D809" s="364"/>
      <c r="E809" s="364"/>
      <c r="F809" s="364"/>
      <c r="G809" s="364"/>
      <c r="H809" s="364"/>
      <c r="I809" s="364"/>
      <c r="J809" s="364"/>
      <c r="K809" s="364"/>
      <c r="L809" s="364"/>
      <c r="M809" s="364"/>
      <c r="N809" s="364"/>
      <c r="O809" s="364"/>
      <c r="P809" s="364"/>
      <c r="Q809" s="364"/>
      <c r="R809" s="364"/>
      <c r="S809" s="364"/>
      <c r="T809" s="364"/>
      <c r="U809" s="364"/>
      <c r="V809" s="364"/>
      <c r="W809" s="364"/>
      <c r="X809" s="364"/>
      <c r="Y809" s="364"/>
      <c r="Z809" s="364"/>
    </row>
    <row r="810">
      <c r="A810" s="367"/>
      <c r="B810" s="367"/>
      <c r="C810" s="364"/>
      <c r="D810" s="364"/>
      <c r="E810" s="364"/>
      <c r="F810" s="364"/>
      <c r="G810" s="364"/>
      <c r="H810" s="364"/>
      <c r="I810" s="364"/>
      <c r="J810" s="364"/>
      <c r="K810" s="364"/>
      <c r="L810" s="364"/>
      <c r="M810" s="364"/>
      <c r="N810" s="364"/>
      <c r="O810" s="364"/>
      <c r="P810" s="364"/>
      <c r="Q810" s="364"/>
      <c r="R810" s="364"/>
      <c r="S810" s="364"/>
      <c r="T810" s="364"/>
      <c r="U810" s="364"/>
      <c r="V810" s="364"/>
      <c r="W810" s="364"/>
      <c r="X810" s="364"/>
      <c r="Y810" s="364"/>
      <c r="Z810" s="364"/>
    </row>
    <row r="811">
      <c r="A811" s="367"/>
      <c r="B811" s="367"/>
      <c r="C811" s="364"/>
      <c r="D811" s="364"/>
      <c r="E811" s="364"/>
      <c r="F811" s="364"/>
      <c r="G811" s="364"/>
      <c r="H811" s="364"/>
      <c r="I811" s="364"/>
      <c r="J811" s="364"/>
      <c r="K811" s="364"/>
      <c r="L811" s="364"/>
      <c r="M811" s="364"/>
      <c r="N811" s="364"/>
      <c r="O811" s="364"/>
      <c r="P811" s="364"/>
      <c r="Q811" s="364"/>
      <c r="R811" s="364"/>
      <c r="S811" s="364"/>
      <c r="T811" s="364"/>
      <c r="U811" s="364"/>
      <c r="V811" s="364"/>
      <c r="W811" s="364"/>
      <c r="X811" s="364"/>
      <c r="Y811" s="364"/>
      <c r="Z811" s="364"/>
    </row>
    <row r="812">
      <c r="A812" s="367"/>
      <c r="B812" s="367"/>
      <c r="C812" s="364"/>
      <c r="D812" s="364"/>
      <c r="E812" s="364"/>
      <c r="F812" s="364"/>
      <c r="G812" s="364"/>
      <c r="H812" s="364"/>
      <c r="I812" s="364"/>
      <c r="J812" s="364"/>
      <c r="K812" s="364"/>
      <c r="L812" s="364"/>
      <c r="M812" s="364"/>
      <c r="N812" s="364"/>
      <c r="O812" s="364"/>
      <c r="P812" s="364"/>
      <c r="Q812" s="364"/>
      <c r="R812" s="364"/>
      <c r="S812" s="364"/>
      <c r="T812" s="364"/>
      <c r="U812" s="364"/>
      <c r="V812" s="364"/>
      <c r="W812" s="364"/>
      <c r="X812" s="364"/>
      <c r="Y812" s="364"/>
      <c r="Z812" s="364"/>
    </row>
    <row r="813">
      <c r="A813" s="367"/>
      <c r="B813" s="367"/>
      <c r="C813" s="364"/>
      <c r="D813" s="364"/>
      <c r="E813" s="364"/>
      <c r="F813" s="364"/>
      <c r="G813" s="364"/>
      <c r="H813" s="364"/>
      <c r="I813" s="364"/>
      <c r="J813" s="364"/>
      <c r="K813" s="364"/>
      <c r="L813" s="364"/>
      <c r="M813" s="364"/>
      <c r="N813" s="364"/>
      <c r="O813" s="364"/>
      <c r="P813" s="364"/>
      <c r="Q813" s="364"/>
      <c r="R813" s="364"/>
      <c r="S813" s="364"/>
      <c r="T813" s="364"/>
      <c r="U813" s="364"/>
      <c r="V813" s="364"/>
      <c r="W813" s="364"/>
      <c r="X813" s="364"/>
      <c r="Y813" s="364"/>
      <c r="Z813" s="364"/>
    </row>
    <row r="814">
      <c r="A814" s="367"/>
      <c r="B814" s="367"/>
      <c r="C814" s="364"/>
      <c r="D814" s="364"/>
      <c r="E814" s="364"/>
      <c r="F814" s="364"/>
      <c r="G814" s="364"/>
      <c r="H814" s="364"/>
      <c r="I814" s="364"/>
      <c r="J814" s="364"/>
      <c r="K814" s="364"/>
      <c r="L814" s="364"/>
      <c r="M814" s="364"/>
      <c r="N814" s="364"/>
      <c r="O814" s="364"/>
      <c r="P814" s="364"/>
      <c r="Q814" s="364"/>
      <c r="R814" s="364"/>
      <c r="S814" s="364"/>
      <c r="T814" s="364"/>
      <c r="U814" s="364"/>
      <c r="V814" s="364"/>
      <c r="W814" s="364"/>
      <c r="X814" s="364"/>
      <c r="Y814" s="364"/>
      <c r="Z814" s="364"/>
    </row>
    <row r="815">
      <c r="A815" s="367"/>
      <c r="B815" s="367"/>
      <c r="C815" s="364"/>
      <c r="D815" s="364"/>
      <c r="E815" s="364"/>
      <c r="F815" s="364"/>
      <c r="G815" s="364"/>
      <c r="H815" s="364"/>
      <c r="I815" s="364"/>
      <c r="J815" s="364"/>
      <c r="K815" s="364"/>
      <c r="L815" s="364"/>
      <c r="M815" s="364"/>
      <c r="N815" s="364"/>
      <c r="O815" s="364"/>
      <c r="P815" s="364"/>
      <c r="Q815" s="364"/>
      <c r="R815" s="364"/>
      <c r="S815" s="364"/>
      <c r="T815" s="364"/>
      <c r="U815" s="364"/>
      <c r="V815" s="364"/>
      <c r="W815" s="364"/>
      <c r="X815" s="364"/>
      <c r="Y815" s="364"/>
      <c r="Z815" s="364"/>
    </row>
    <row r="816">
      <c r="A816" s="367"/>
      <c r="B816" s="367"/>
      <c r="C816" s="364"/>
      <c r="D816" s="364"/>
      <c r="E816" s="364"/>
      <c r="F816" s="364"/>
      <c r="G816" s="364"/>
      <c r="H816" s="364"/>
      <c r="I816" s="364"/>
      <c r="J816" s="364"/>
      <c r="K816" s="364"/>
      <c r="L816" s="364"/>
      <c r="M816" s="364"/>
      <c r="N816" s="364"/>
      <c r="O816" s="364"/>
      <c r="P816" s="364"/>
      <c r="Q816" s="364"/>
      <c r="R816" s="364"/>
      <c r="S816" s="364"/>
      <c r="T816" s="364"/>
      <c r="U816" s="364"/>
      <c r="V816" s="364"/>
      <c r="W816" s="364"/>
      <c r="X816" s="364"/>
      <c r="Y816" s="364"/>
      <c r="Z816" s="364"/>
    </row>
    <row r="817">
      <c r="A817" s="367"/>
      <c r="B817" s="367"/>
      <c r="C817" s="364"/>
      <c r="D817" s="364"/>
      <c r="E817" s="364"/>
      <c r="F817" s="364"/>
      <c r="G817" s="364"/>
      <c r="H817" s="364"/>
      <c r="I817" s="364"/>
      <c r="J817" s="364"/>
      <c r="K817" s="364"/>
      <c r="L817" s="364"/>
      <c r="M817" s="364"/>
      <c r="N817" s="364"/>
      <c r="O817" s="364"/>
      <c r="P817" s="364"/>
      <c r="Q817" s="364"/>
      <c r="R817" s="364"/>
      <c r="S817" s="364"/>
      <c r="T817" s="364"/>
      <c r="U817" s="364"/>
      <c r="V817" s="364"/>
      <c r="W817" s="364"/>
      <c r="X817" s="364"/>
      <c r="Y817" s="364"/>
      <c r="Z817" s="364"/>
    </row>
    <row r="818">
      <c r="A818" s="367"/>
      <c r="B818" s="367"/>
      <c r="C818" s="364"/>
      <c r="D818" s="364"/>
      <c r="E818" s="364"/>
      <c r="F818" s="364"/>
      <c r="G818" s="364"/>
      <c r="H818" s="364"/>
      <c r="I818" s="364"/>
      <c r="J818" s="364"/>
      <c r="K818" s="364"/>
      <c r="L818" s="364"/>
      <c r="M818" s="364"/>
      <c r="N818" s="364"/>
      <c r="O818" s="364"/>
      <c r="P818" s="364"/>
      <c r="Q818" s="364"/>
      <c r="R818" s="364"/>
      <c r="S818" s="364"/>
      <c r="T818" s="364"/>
      <c r="U818" s="364"/>
      <c r="V818" s="364"/>
      <c r="W818" s="364"/>
      <c r="X818" s="364"/>
      <c r="Y818" s="364"/>
      <c r="Z818" s="364"/>
    </row>
    <row r="819">
      <c r="A819" s="367"/>
      <c r="B819" s="367"/>
      <c r="C819" s="364"/>
      <c r="D819" s="364"/>
      <c r="E819" s="364"/>
      <c r="F819" s="364"/>
      <c r="G819" s="364"/>
      <c r="H819" s="364"/>
      <c r="I819" s="364"/>
      <c r="J819" s="364"/>
      <c r="K819" s="364"/>
      <c r="L819" s="364"/>
      <c r="M819" s="364"/>
      <c r="N819" s="364"/>
      <c r="O819" s="364"/>
      <c r="P819" s="364"/>
      <c r="Q819" s="364"/>
      <c r="R819" s="364"/>
      <c r="S819" s="364"/>
      <c r="T819" s="364"/>
      <c r="U819" s="364"/>
      <c r="V819" s="364"/>
      <c r="W819" s="364"/>
      <c r="X819" s="364"/>
      <c r="Y819" s="364"/>
      <c r="Z819" s="364"/>
    </row>
    <row r="820">
      <c r="A820" s="367"/>
      <c r="B820" s="367"/>
      <c r="C820" s="364"/>
      <c r="D820" s="364"/>
      <c r="E820" s="364"/>
      <c r="F820" s="364"/>
      <c r="G820" s="364"/>
      <c r="H820" s="364"/>
      <c r="I820" s="364"/>
      <c r="J820" s="364"/>
      <c r="K820" s="364"/>
      <c r="L820" s="364"/>
      <c r="M820" s="364"/>
      <c r="N820" s="364"/>
      <c r="O820" s="364"/>
      <c r="P820" s="364"/>
      <c r="Q820" s="364"/>
      <c r="R820" s="364"/>
      <c r="S820" s="364"/>
      <c r="T820" s="364"/>
      <c r="U820" s="364"/>
      <c r="V820" s="364"/>
      <c r="W820" s="364"/>
      <c r="X820" s="364"/>
      <c r="Y820" s="364"/>
      <c r="Z820" s="364"/>
    </row>
    <row r="821">
      <c r="A821" s="367"/>
      <c r="B821" s="367"/>
      <c r="C821" s="364"/>
      <c r="D821" s="364"/>
      <c r="E821" s="364"/>
      <c r="F821" s="364"/>
      <c r="G821" s="364"/>
      <c r="H821" s="364"/>
      <c r="I821" s="364"/>
      <c r="J821" s="364"/>
      <c r="K821" s="364"/>
      <c r="L821" s="364"/>
      <c r="M821" s="364"/>
      <c r="N821" s="364"/>
      <c r="O821" s="364"/>
      <c r="P821" s="364"/>
      <c r="Q821" s="364"/>
      <c r="R821" s="364"/>
      <c r="S821" s="364"/>
      <c r="T821" s="364"/>
      <c r="U821" s="364"/>
      <c r="V821" s="364"/>
      <c r="W821" s="364"/>
      <c r="X821" s="364"/>
      <c r="Y821" s="364"/>
      <c r="Z821" s="364"/>
    </row>
    <row r="822">
      <c r="A822" s="367"/>
      <c r="B822" s="367"/>
      <c r="C822" s="364"/>
      <c r="D822" s="364"/>
      <c r="E822" s="364"/>
      <c r="F822" s="364"/>
      <c r="G822" s="364"/>
      <c r="H822" s="364"/>
      <c r="I822" s="364"/>
      <c r="J822" s="364"/>
      <c r="K822" s="364"/>
      <c r="L822" s="364"/>
      <c r="M822" s="364"/>
      <c r="N822" s="364"/>
      <c r="O822" s="364"/>
      <c r="P822" s="364"/>
      <c r="Q822" s="364"/>
      <c r="R822" s="364"/>
      <c r="S822" s="364"/>
      <c r="T822" s="364"/>
      <c r="U822" s="364"/>
      <c r="V822" s="364"/>
      <c r="W822" s="364"/>
      <c r="X822" s="364"/>
      <c r="Y822" s="364"/>
      <c r="Z822" s="364"/>
    </row>
    <row r="823">
      <c r="A823" s="367"/>
      <c r="B823" s="367"/>
      <c r="C823" s="364"/>
      <c r="D823" s="364"/>
      <c r="E823" s="364"/>
      <c r="F823" s="364"/>
      <c r="G823" s="364"/>
      <c r="H823" s="364"/>
      <c r="I823" s="364"/>
      <c r="J823" s="364"/>
      <c r="K823" s="364"/>
      <c r="L823" s="364"/>
      <c r="M823" s="364"/>
      <c r="N823" s="364"/>
      <c r="O823" s="364"/>
      <c r="P823" s="364"/>
      <c r="Q823" s="364"/>
      <c r="R823" s="364"/>
      <c r="S823" s="364"/>
      <c r="T823" s="364"/>
      <c r="U823" s="364"/>
      <c r="V823" s="364"/>
      <c r="W823" s="364"/>
      <c r="X823" s="364"/>
      <c r="Y823" s="364"/>
      <c r="Z823" s="364"/>
    </row>
    <row r="824">
      <c r="A824" s="367"/>
      <c r="B824" s="367"/>
      <c r="C824" s="364"/>
      <c r="D824" s="364"/>
      <c r="E824" s="364"/>
      <c r="F824" s="364"/>
      <c r="G824" s="364"/>
      <c r="H824" s="364"/>
      <c r="I824" s="364"/>
      <c r="J824" s="364"/>
      <c r="K824" s="364"/>
      <c r="L824" s="364"/>
      <c r="M824" s="364"/>
      <c r="N824" s="364"/>
      <c r="O824" s="364"/>
      <c r="P824" s="364"/>
      <c r="Q824" s="364"/>
      <c r="R824" s="364"/>
      <c r="S824" s="364"/>
      <c r="T824" s="364"/>
      <c r="U824" s="364"/>
      <c r="V824" s="364"/>
      <c r="W824" s="364"/>
      <c r="X824" s="364"/>
      <c r="Y824" s="364"/>
      <c r="Z824" s="364"/>
    </row>
    <row r="825">
      <c r="A825" s="367"/>
      <c r="B825" s="367"/>
      <c r="C825" s="364"/>
      <c r="D825" s="364"/>
      <c r="E825" s="364"/>
      <c r="F825" s="364"/>
      <c r="G825" s="364"/>
      <c r="H825" s="364"/>
      <c r="I825" s="364"/>
      <c r="J825" s="364"/>
      <c r="K825" s="364"/>
      <c r="L825" s="364"/>
      <c r="M825" s="364"/>
      <c r="N825" s="364"/>
      <c r="O825" s="364"/>
      <c r="P825" s="364"/>
      <c r="Q825" s="364"/>
      <c r="R825" s="364"/>
      <c r="S825" s="364"/>
      <c r="T825" s="364"/>
      <c r="U825" s="364"/>
      <c r="V825" s="364"/>
      <c r="W825" s="364"/>
      <c r="X825" s="364"/>
      <c r="Y825" s="364"/>
      <c r="Z825" s="364"/>
    </row>
    <row r="826">
      <c r="A826" s="367"/>
      <c r="B826" s="367"/>
      <c r="C826" s="364"/>
      <c r="D826" s="364"/>
      <c r="E826" s="364"/>
      <c r="F826" s="364"/>
      <c r="G826" s="364"/>
      <c r="H826" s="364"/>
      <c r="I826" s="364"/>
      <c r="J826" s="364"/>
      <c r="K826" s="364"/>
      <c r="L826" s="364"/>
      <c r="M826" s="364"/>
      <c r="N826" s="364"/>
      <c r="O826" s="364"/>
      <c r="P826" s="364"/>
      <c r="Q826" s="364"/>
      <c r="R826" s="364"/>
      <c r="S826" s="364"/>
      <c r="T826" s="364"/>
      <c r="U826" s="364"/>
      <c r="V826" s="364"/>
      <c r="W826" s="364"/>
      <c r="X826" s="364"/>
      <c r="Y826" s="364"/>
      <c r="Z826" s="364"/>
    </row>
    <row r="827">
      <c r="A827" s="367"/>
      <c r="B827" s="367"/>
      <c r="C827" s="364"/>
      <c r="D827" s="364"/>
      <c r="E827" s="364"/>
      <c r="F827" s="364"/>
      <c r="G827" s="364"/>
      <c r="H827" s="364"/>
      <c r="I827" s="364"/>
      <c r="J827" s="364"/>
      <c r="K827" s="364"/>
      <c r="L827" s="364"/>
      <c r="M827" s="364"/>
      <c r="N827" s="364"/>
      <c r="O827" s="364"/>
      <c r="P827" s="364"/>
      <c r="Q827" s="364"/>
      <c r="R827" s="364"/>
      <c r="S827" s="364"/>
      <c r="T827" s="364"/>
      <c r="U827" s="364"/>
      <c r="V827" s="364"/>
      <c r="W827" s="364"/>
      <c r="X827" s="364"/>
      <c r="Y827" s="364"/>
      <c r="Z827" s="364"/>
    </row>
    <row r="828">
      <c r="A828" s="367"/>
      <c r="B828" s="367"/>
      <c r="C828" s="364"/>
      <c r="D828" s="364"/>
      <c r="E828" s="364"/>
      <c r="F828" s="364"/>
      <c r="G828" s="364"/>
      <c r="H828" s="364"/>
      <c r="I828" s="364"/>
      <c r="J828" s="364"/>
      <c r="K828" s="364"/>
      <c r="L828" s="364"/>
      <c r="M828" s="364"/>
      <c r="N828" s="364"/>
      <c r="O828" s="364"/>
      <c r="P828" s="364"/>
      <c r="Q828" s="364"/>
      <c r="R828" s="364"/>
      <c r="S828" s="364"/>
      <c r="T828" s="364"/>
      <c r="U828" s="364"/>
      <c r="V828" s="364"/>
      <c r="W828" s="364"/>
      <c r="X828" s="364"/>
      <c r="Y828" s="364"/>
      <c r="Z828" s="364"/>
    </row>
    <row r="829">
      <c r="A829" s="367"/>
      <c r="B829" s="367"/>
      <c r="C829" s="364"/>
      <c r="D829" s="364"/>
      <c r="E829" s="364"/>
      <c r="F829" s="364"/>
      <c r="G829" s="364"/>
      <c r="H829" s="364"/>
      <c r="I829" s="364"/>
      <c r="J829" s="364"/>
      <c r="K829" s="364"/>
      <c r="L829" s="364"/>
      <c r="M829" s="364"/>
      <c r="N829" s="364"/>
      <c r="O829" s="364"/>
      <c r="P829" s="364"/>
      <c r="Q829" s="364"/>
      <c r="R829" s="364"/>
      <c r="S829" s="364"/>
      <c r="T829" s="364"/>
      <c r="U829" s="364"/>
      <c r="V829" s="364"/>
      <c r="W829" s="364"/>
      <c r="X829" s="364"/>
      <c r="Y829" s="364"/>
      <c r="Z829" s="364"/>
    </row>
    <row r="830">
      <c r="A830" s="367"/>
      <c r="B830" s="367"/>
      <c r="C830" s="364"/>
      <c r="D830" s="364"/>
      <c r="E830" s="364"/>
      <c r="F830" s="364"/>
      <c r="G830" s="364"/>
      <c r="H830" s="364"/>
      <c r="I830" s="364"/>
      <c r="J830" s="364"/>
      <c r="K830" s="364"/>
      <c r="L830" s="364"/>
      <c r="M830" s="364"/>
      <c r="N830" s="364"/>
      <c r="O830" s="364"/>
      <c r="P830" s="364"/>
      <c r="Q830" s="364"/>
      <c r="R830" s="364"/>
      <c r="S830" s="364"/>
      <c r="T830" s="364"/>
      <c r="U830" s="364"/>
      <c r="V830" s="364"/>
      <c r="W830" s="364"/>
      <c r="X830" s="364"/>
      <c r="Y830" s="364"/>
      <c r="Z830" s="364"/>
    </row>
    <row r="831">
      <c r="A831" s="367"/>
      <c r="B831" s="367"/>
      <c r="C831" s="364"/>
      <c r="D831" s="364"/>
      <c r="E831" s="364"/>
      <c r="F831" s="364"/>
      <c r="G831" s="364"/>
      <c r="H831" s="364"/>
      <c r="I831" s="364"/>
      <c r="J831" s="364"/>
      <c r="K831" s="364"/>
      <c r="L831" s="364"/>
      <c r="M831" s="364"/>
      <c r="N831" s="364"/>
      <c r="O831" s="364"/>
      <c r="P831" s="364"/>
      <c r="Q831" s="364"/>
      <c r="R831" s="364"/>
      <c r="S831" s="364"/>
      <c r="T831" s="364"/>
      <c r="U831" s="364"/>
      <c r="V831" s="364"/>
      <c r="W831" s="364"/>
      <c r="X831" s="364"/>
      <c r="Y831" s="364"/>
      <c r="Z831" s="364"/>
    </row>
    <row r="832">
      <c r="A832" s="367"/>
      <c r="B832" s="367"/>
      <c r="C832" s="364"/>
      <c r="D832" s="364"/>
      <c r="E832" s="364"/>
      <c r="F832" s="364"/>
      <c r="G832" s="364"/>
      <c r="H832" s="364"/>
      <c r="I832" s="364"/>
      <c r="J832" s="364"/>
      <c r="K832" s="364"/>
      <c r="L832" s="364"/>
      <c r="M832" s="364"/>
      <c r="N832" s="364"/>
      <c r="O832" s="364"/>
      <c r="P832" s="364"/>
      <c r="Q832" s="364"/>
      <c r="R832" s="364"/>
      <c r="S832" s="364"/>
      <c r="T832" s="364"/>
      <c r="U832" s="364"/>
      <c r="V832" s="364"/>
      <c r="W832" s="364"/>
      <c r="X832" s="364"/>
      <c r="Y832" s="364"/>
      <c r="Z832" s="364"/>
    </row>
    <row r="833">
      <c r="A833" s="367"/>
      <c r="B833" s="367"/>
      <c r="C833" s="364"/>
      <c r="D833" s="364"/>
      <c r="E833" s="364"/>
      <c r="F833" s="364"/>
      <c r="G833" s="364"/>
      <c r="H833" s="364"/>
      <c r="I833" s="364"/>
      <c r="J833" s="364"/>
      <c r="K833" s="364"/>
      <c r="L833" s="364"/>
      <c r="M833" s="364"/>
      <c r="N833" s="364"/>
      <c r="O833" s="364"/>
      <c r="P833" s="364"/>
      <c r="Q833" s="364"/>
      <c r="R833" s="364"/>
      <c r="S833" s="364"/>
      <c r="T833" s="364"/>
      <c r="U833" s="364"/>
      <c r="V833" s="364"/>
      <c r="W833" s="364"/>
      <c r="X833" s="364"/>
      <c r="Y833" s="364"/>
      <c r="Z833" s="364"/>
    </row>
    <row r="834">
      <c r="A834" s="367"/>
      <c r="B834" s="367"/>
      <c r="C834" s="364"/>
      <c r="D834" s="364"/>
      <c r="E834" s="364"/>
      <c r="F834" s="364"/>
      <c r="G834" s="364"/>
      <c r="H834" s="364"/>
      <c r="I834" s="364"/>
      <c r="J834" s="364"/>
      <c r="K834" s="364"/>
      <c r="L834" s="364"/>
      <c r="M834" s="364"/>
      <c r="N834" s="364"/>
      <c r="O834" s="364"/>
      <c r="P834" s="364"/>
      <c r="Q834" s="364"/>
      <c r="R834" s="364"/>
      <c r="S834" s="364"/>
      <c r="T834" s="364"/>
      <c r="U834" s="364"/>
      <c r="V834" s="364"/>
      <c r="W834" s="364"/>
      <c r="X834" s="364"/>
      <c r="Y834" s="364"/>
      <c r="Z834" s="364"/>
    </row>
    <row r="835">
      <c r="A835" s="367"/>
      <c r="B835" s="367"/>
      <c r="C835" s="364"/>
      <c r="D835" s="364"/>
      <c r="E835" s="364"/>
      <c r="F835" s="364"/>
      <c r="G835" s="364"/>
      <c r="H835" s="364"/>
      <c r="I835" s="364"/>
      <c r="J835" s="364"/>
      <c r="K835" s="364"/>
      <c r="L835" s="364"/>
      <c r="M835" s="364"/>
      <c r="N835" s="364"/>
      <c r="O835" s="364"/>
      <c r="P835" s="364"/>
      <c r="Q835" s="364"/>
      <c r="R835" s="364"/>
      <c r="S835" s="364"/>
      <c r="T835" s="364"/>
      <c r="U835" s="364"/>
      <c r="V835" s="364"/>
      <c r="W835" s="364"/>
      <c r="X835" s="364"/>
      <c r="Y835" s="364"/>
      <c r="Z835" s="364"/>
    </row>
    <row r="836">
      <c r="A836" s="367"/>
      <c r="B836" s="367"/>
      <c r="C836" s="364"/>
      <c r="D836" s="364"/>
      <c r="E836" s="364"/>
      <c r="F836" s="364"/>
      <c r="G836" s="364"/>
      <c r="H836" s="364"/>
      <c r="I836" s="364"/>
      <c r="J836" s="364"/>
      <c r="K836" s="364"/>
      <c r="L836" s="364"/>
      <c r="M836" s="364"/>
      <c r="N836" s="364"/>
      <c r="O836" s="364"/>
      <c r="P836" s="364"/>
      <c r="Q836" s="364"/>
      <c r="R836" s="364"/>
      <c r="S836" s="364"/>
      <c r="T836" s="364"/>
      <c r="U836" s="364"/>
      <c r="V836" s="364"/>
      <c r="W836" s="364"/>
      <c r="X836" s="364"/>
      <c r="Y836" s="364"/>
      <c r="Z836" s="364"/>
    </row>
    <row r="837">
      <c r="A837" s="367"/>
      <c r="B837" s="367"/>
      <c r="C837" s="364"/>
      <c r="D837" s="364"/>
      <c r="E837" s="364"/>
      <c r="F837" s="364"/>
      <c r="G837" s="364"/>
      <c r="H837" s="364"/>
      <c r="I837" s="364"/>
      <c r="J837" s="364"/>
      <c r="K837" s="364"/>
      <c r="L837" s="364"/>
      <c r="M837" s="364"/>
      <c r="N837" s="364"/>
      <c r="O837" s="364"/>
      <c r="P837" s="364"/>
      <c r="Q837" s="364"/>
      <c r="R837" s="364"/>
      <c r="S837" s="364"/>
      <c r="T837" s="364"/>
      <c r="U837" s="364"/>
      <c r="V837" s="364"/>
      <c r="W837" s="364"/>
      <c r="X837" s="364"/>
      <c r="Y837" s="364"/>
      <c r="Z837" s="364"/>
    </row>
    <row r="838">
      <c r="A838" s="367"/>
      <c r="B838" s="367"/>
      <c r="C838" s="364"/>
      <c r="D838" s="364"/>
      <c r="E838" s="364"/>
      <c r="F838" s="364"/>
      <c r="G838" s="364"/>
      <c r="H838" s="364"/>
      <c r="I838" s="364"/>
      <c r="J838" s="364"/>
      <c r="K838" s="364"/>
      <c r="L838" s="364"/>
      <c r="M838" s="364"/>
      <c r="N838" s="364"/>
      <c r="O838" s="364"/>
      <c r="P838" s="364"/>
      <c r="Q838" s="364"/>
      <c r="R838" s="364"/>
      <c r="S838" s="364"/>
      <c r="T838" s="364"/>
      <c r="U838" s="364"/>
      <c r="V838" s="364"/>
      <c r="W838" s="364"/>
      <c r="X838" s="364"/>
      <c r="Y838" s="364"/>
      <c r="Z838" s="364"/>
    </row>
    <row r="839">
      <c r="A839" s="367"/>
      <c r="B839" s="367"/>
      <c r="C839" s="364"/>
      <c r="D839" s="364"/>
      <c r="E839" s="364"/>
      <c r="F839" s="364"/>
      <c r="G839" s="364"/>
      <c r="H839" s="364"/>
      <c r="I839" s="364"/>
      <c r="J839" s="364"/>
      <c r="K839" s="364"/>
      <c r="L839" s="364"/>
      <c r="M839" s="364"/>
      <c r="N839" s="364"/>
      <c r="O839" s="364"/>
      <c r="P839" s="364"/>
      <c r="Q839" s="364"/>
      <c r="R839" s="364"/>
      <c r="S839" s="364"/>
      <c r="T839" s="364"/>
      <c r="U839" s="364"/>
      <c r="V839" s="364"/>
      <c r="W839" s="364"/>
      <c r="X839" s="364"/>
      <c r="Y839" s="364"/>
      <c r="Z839" s="364"/>
    </row>
    <row r="840">
      <c r="A840" s="367"/>
      <c r="B840" s="367"/>
      <c r="C840" s="364"/>
      <c r="D840" s="364"/>
      <c r="E840" s="364"/>
      <c r="F840" s="364"/>
      <c r="G840" s="364"/>
      <c r="H840" s="364"/>
      <c r="I840" s="364"/>
      <c r="J840" s="364"/>
      <c r="K840" s="364"/>
      <c r="L840" s="364"/>
      <c r="M840" s="364"/>
      <c r="N840" s="364"/>
      <c r="O840" s="364"/>
      <c r="P840" s="364"/>
      <c r="Q840" s="364"/>
      <c r="R840" s="364"/>
      <c r="S840" s="364"/>
      <c r="T840" s="364"/>
      <c r="U840" s="364"/>
      <c r="V840" s="364"/>
      <c r="W840" s="364"/>
      <c r="X840" s="364"/>
      <c r="Y840" s="364"/>
      <c r="Z840" s="364"/>
    </row>
    <row r="841">
      <c r="A841" s="367"/>
      <c r="B841" s="367"/>
      <c r="C841" s="364"/>
      <c r="D841" s="364"/>
      <c r="E841" s="364"/>
      <c r="F841" s="364"/>
      <c r="G841" s="364"/>
      <c r="H841" s="364"/>
      <c r="I841" s="364"/>
      <c r="J841" s="364"/>
      <c r="K841" s="364"/>
      <c r="L841" s="364"/>
      <c r="M841" s="364"/>
      <c r="N841" s="364"/>
      <c r="O841" s="364"/>
      <c r="P841" s="364"/>
      <c r="Q841" s="364"/>
      <c r="R841" s="364"/>
      <c r="S841" s="364"/>
      <c r="T841" s="364"/>
      <c r="U841" s="364"/>
      <c r="V841" s="364"/>
      <c r="W841" s="364"/>
      <c r="X841" s="364"/>
      <c r="Y841" s="364"/>
      <c r="Z841" s="364"/>
    </row>
    <row r="842">
      <c r="A842" s="367"/>
      <c r="B842" s="367"/>
      <c r="C842" s="364"/>
      <c r="D842" s="364"/>
      <c r="E842" s="364"/>
      <c r="F842" s="364"/>
      <c r="G842" s="364"/>
      <c r="H842" s="364"/>
      <c r="I842" s="364"/>
      <c r="J842" s="364"/>
      <c r="K842" s="364"/>
      <c r="L842" s="364"/>
      <c r="M842" s="364"/>
      <c r="N842" s="364"/>
      <c r="O842" s="364"/>
      <c r="P842" s="364"/>
      <c r="Q842" s="364"/>
      <c r="R842" s="364"/>
      <c r="S842" s="364"/>
      <c r="T842" s="364"/>
      <c r="U842" s="364"/>
      <c r="V842" s="364"/>
      <c r="W842" s="364"/>
      <c r="X842" s="364"/>
      <c r="Y842" s="364"/>
      <c r="Z842" s="364"/>
    </row>
    <row r="843">
      <c r="A843" s="367"/>
      <c r="B843" s="367"/>
      <c r="C843" s="364"/>
      <c r="D843" s="364"/>
      <c r="E843" s="364"/>
      <c r="F843" s="364"/>
      <c r="G843" s="364"/>
      <c r="H843" s="364"/>
      <c r="I843" s="364"/>
      <c r="J843" s="364"/>
      <c r="K843" s="364"/>
      <c r="L843" s="364"/>
      <c r="M843" s="364"/>
      <c r="N843" s="364"/>
      <c r="O843" s="364"/>
      <c r="P843" s="364"/>
      <c r="Q843" s="364"/>
      <c r="R843" s="364"/>
      <c r="S843" s="364"/>
      <c r="T843" s="364"/>
      <c r="U843" s="364"/>
      <c r="V843" s="364"/>
      <c r="W843" s="364"/>
      <c r="X843" s="364"/>
      <c r="Y843" s="364"/>
      <c r="Z843" s="364"/>
    </row>
    <row r="844">
      <c r="A844" s="367"/>
      <c r="B844" s="367"/>
      <c r="C844" s="364"/>
      <c r="D844" s="364"/>
      <c r="E844" s="364"/>
      <c r="F844" s="364"/>
      <c r="G844" s="364"/>
      <c r="H844" s="364"/>
      <c r="I844" s="364"/>
      <c r="J844" s="364"/>
      <c r="K844" s="364"/>
      <c r="L844" s="364"/>
      <c r="M844" s="364"/>
      <c r="N844" s="364"/>
      <c r="O844" s="364"/>
      <c r="P844" s="364"/>
      <c r="Q844" s="364"/>
      <c r="R844" s="364"/>
      <c r="S844" s="364"/>
      <c r="T844" s="364"/>
      <c r="U844" s="364"/>
      <c r="V844" s="364"/>
      <c r="W844" s="364"/>
      <c r="X844" s="364"/>
      <c r="Y844" s="364"/>
      <c r="Z844" s="364"/>
    </row>
    <row r="845">
      <c r="A845" s="367"/>
      <c r="B845" s="367"/>
      <c r="C845" s="364"/>
      <c r="D845" s="364"/>
      <c r="E845" s="364"/>
      <c r="F845" s="364"/>
      <c r="G845" s="364"/>
      <c r="H845" s="364"/>
      <c r="I845" s="364"/>
      <c r="J845" s="364"/>
      <c r="K845" s="364"/>
      <c r="L845" s="364"/>
      <c r="M845" s="364"/>
      <c r="N845" s="364"/>
      <c r="O845" s="364"/>
      <c r="P845" s="364"/>
      <c r="Q845" s="364"/>
      <c r="R845" s="364"/>
      <c r="S845" s="364"/>
      <c r="T845" s="364"/>
      <c r="U845" s="364"/>
      <c r="V845" s="364"/>
      <c r="W845" s="364"/>
      <c r="X845" s="364"/>
      <c r="Y845" s="364"/>
      <c r="Z845" s="364"/>
    </row>
    <row r="846">
      <c r="A846" s="367"/>
      <c r="B846" s="367"/>
      <c r="C846" s="364"/>
      <c r="D846" s="364"/>
      <c r="E846" s="364"/>
      <c r="F846" s="364"/>
      <c r="G846" s="364"/>
      <c r="H846" s="364"/>
      <c r="I846" s="364"/>
      <c r="J846" s="364"/>
      <c r="K846" s="364"/>
      <c r="L846" s="364"/>
      <c r="M846" s="364"/>
      <c r="N846" s="364"/>
      <c r="O846" s="364"/>
      <c r="P846" s="364"/>
      <c r="Q846" s="364"/>
      <c r="R846" s="364"/>
      <c r="S846" s="364"/>
      <c r="T846" s="364"/>
      <c r="U846" s="364"/>
      <c r="V846" s="364"/>
      <c r="W846" s="364"/>
      <c r="X846" s="364"/>
      <c r="Y846" s="364"/>
      <c r="Z846" s="364"/>
    </row>
    <row r="847">
      <c r="A847" s="367"/>
      <c r="B847" s="367"/>
      <c r="C847" s="364"/>
      <c r="D847" s="364"/>
      <c r="E847" s="364"/>
      <c r="F847" s="364"/>
      <c r="G847" s="364"/>
      <c r="H847" s="364"/>
      <c r="I847" s="364"/>
      <c r="J847" s="364"/>
      <c r="K847" s="364"/>
      <c r="L847" s="364"/>
      <c r="M847" s="364"/>
      <c r="N847" s="364"/>
      <c r="O847" s="364"/>
      <c r="P847" s="364"/>
      <c r="Q847" s="364"/>
      <c r="R847" s="364"/>
      <c r="S847" s="364"/>
      <c r="T847" s="364"/>
      <c r="U847" s="364"/>
      <c r="V847" s="364"/>
      <c r="W847" s="364"/>
      <c r="X847" s="364"/>
      <c r="Y847" s="364"/>
      <c r="Z847" s="364"/>
    </row>
    <row r="848">
      <c r="A848" s="367"/>
      <c r="B848" s="367"/>
      <c r="C848" s="364"/>
      <c r="D848" s="364"/>
      <c r="E848" s="364"/>
      <c r="F848" s="364"/>
      <c r="G848" s="364"/>
      <c r="H848" s="364"/>
      <c r="I848" s="364"/>
      <c r="J848" s="364"/>
      <c r="K848" s="364"/>
      <c r="L848" s="364"/>
      <c r="M848" s="364"/>
      <c r="N848" s="364"/>
      <c r="O848" s="364"/>
      <c r="P848" s="364"/>
      <c r="Q848" s="364"/>
      <c r="R848" s="364"/>
      <c r="S848" s="364"/>
      <c r="T848" s="364"/>
      <c r="U848" s="364"/>
      <c r="V848" s="364"/>
      <c r="W848" s="364"/>
      <c r="X848" s="364"/>
      <c r="Y848" s="364"/>
      <c r="Z848" s="364"/>
    </row>
    <row r="849">
      <c r="A849" s="367"/>
      <c r="B849" s="367"/>
      <c r="C849" s="364"/>
      <c r="D849" s="364"/>
      <c r="E849" s="364"/>
      <c r="F849" s="364"/>
      <c r="G849" s="364"/>
      <c r="H849" s="364"/>
      <c r="I849" s="364"/>
      <c r="J849" s="364"/>
      <c r="K849" s="364"/>
      <c r="L849" s="364"/>
      <c r="M849" s="364"/>
      <c r="N849" s="364"/>
      <c r="O849" s="364"/>
      <c r="P849" s="364"/>
      <c r="Q849" s="364"/>
      <c r="R849" s="364"/>
      <c r="S849" s="364"/>
      <c r="T849" s="364"/>
      <c r="U849" s="364"/>
      <c r="V849" s="364"/>
      <c r="W849" s="364"/>
      <c r="X849" s="364"/>
      <c r="Y849" s="364"/>
      <c r="Z849" s="364"/>
    </row>
    <row r="850">
      <c r="A850" s="367"/>
      <c r="B850" s="367"/>
      <c r="C850" s="364"/>
      <c r="D850" s="364"/>
      <c r="E850" s="364"/>
      <c r="F850" s="364"/>
      <c r="G850" s="364"/>
      <c r="H850" s="364"/>
      <c r="I850" s="364"/>
      <c r="J850" s="364"/>
      <c r="K850" s="364"/>
      <c r="L850" s="364"/>
      <c r="M850" s="364"/>
      <c r="N850" s="364"/>
      <c r="O850" s="364"/>
      <c r="P850" s="364"/>
      <c r="Q850" s="364"/>
      <c r="R850" s="364"/>
      <c r="S850" s="364"/>
      <c r="T850" s="364"/>
      <c r="U850" s="364"/>
      <c r="V850" s="364"/>
      <c r="W850" s="364"/>
      <c r="X850" s="364"/>
      <c r="Y850" s="364"/>
      <c r="Z850" s="364"/>
    </row>
    <row r="851">
      <c r="A851" s="367"/>
      <c r="B851" s="367"/>
      <c r="C851" s="364"/>
      <c r="D851" s="364"/>
      <c r="E851" s="364"/>
      <c r="F851" s="364"/>
      <c r="G851" s="364"/>
      <c r="H851" s="364"/>
      <c r="I851" s="364"/>
      <c r="J851" s="364"/>
      <c r="K851" s="364"/>
      <c r="L851" s="364"/>
      <c r="M851" s="364"/>
      <c r="N851" s="364"/>
      <c r="O851" s="364"/>
      <c r="P851" s="364"/>
      <c r="Q851" s="364"/>
      <c r="R851" s="364"/>
      <c r="S851" s="364"/>
      <c r="T851" s="364"/>
      <c r="U851" s="364"/>
      <c r="V851" s="364"/>
      <c r="W851" s="364"/>
      <c r="X851" s="364"/>
      <c r="Y851" s="364"/>
      <c r="Z851" s="364"/>
    </row>
    <row r="852">
      <c r="A852" s="367"/>
      <c r="B852" s="367"/>
      <c r="C852" s="364"/>
      <c r="D852" s="364"/>
      <c r="E852" s="364"/>
      <c r="F852" s="364"/>
      <c r="G852" s="364"/>
      <c r="H852" s="364"/>
      <c r="I852" s="364"/>
      <c r="J852" s="364"/>
      <c r="K852" s="364"/>
      <c r="L852" s="364"/>
      <c r="M852" s="364"/>
      <c r="N852" s="364"/>
      <c r="O852" s="364"/>
      <c r="P852" s="364"/>
      <c r="Q852" s="364"/>
      <c r="R852" s="364"/>
      <c r="S852" s="364"/>
      <c r="T852" s="364"/>
      <c r="U852" s="364"/>
      <c r="V852" s="364"/>
      <c r="W852" s="364"/>
      <c r="X852" s="364"/>
      <c r="Y852" s="364"/>
      <c r="Z852" s="364"/>
    </row>
    <row r="853">
      <c r="A853" s="367"/>
      <c r="B853" s="367"/>
      <c r="C853" s="364"/>
      <c r="D853" s="364"/>
      <c r="E853" s="364"/>
      <c r="F853" s="364"/>
      <c r="G853" s="364"/>
      <c r="H853" s="364"/>
      <c r="I853" s="364"/>
      <c r="J853" s="364"/>
      <c r="K853" s="364"/>
      <c r="L853" s="364"/>
      <c r="M853" s="364"/>
      <c r="N853" s="364"/>
      <c r="O853" s="364"/>
      <c r="P853" s="364"/>
      <c r="Q853" s="364"/>
      <c r="R853" s="364"/>
      <c r="S853" s="364"/>
      <c r="T853" s="364"/>
      <c r="U853" s="364"/>
      <c r="V853" s="364"/>
      <c r="W853" s="364"/>
      <c r="X853" s="364"/>
      <c r="Y853" s="364"/>
      <c r="Z853" s="364"/>
    </row>
    <row r="854">
      <c r="A854" s="367"/>
      <c r="B854" s="367"/>
      <c r="C854" s="364"/>
      <c r="D854" s="364"/>
      <c r="E854" s="364"/>
      <c r="F854" s="364"/>
      <c r="G854" s="364"/>
      <c r="H854" s="364"/>
      <c r="I854" s="364"/>
      <c r="J854" s="364"/>
      <c r="K854" s="364"/>
      <c r="L854" s="364"/>
      <c r="M854" s="364"/>
      <c r="N854" s="364"/>
      <c r="O854" s="364"/>
      <c r="P854" s="364"/>
      <c r="Q854" s="364"/>
      <c r="R854" s="364"/>
      <c r="S854" s="364"/>
      <c r="T854" s="364"/>
      <c r="U854" s="364"/>
      <c r="V854" s="364"/>
      <c r="W854" s="364"/>
      <c r="X854" s="364"/>
      <c r="Y854" s="364"/>
      <c r="Z854" s="364"/>
    </row>
    <row r="855">
      <c r="A855" s="367"/>
      <c r="B855" s="367"/>
      <c r="C855" s="364"/>
      <c r="D855" s="364"/>
      <c r="E855" s="364"/>
      <c r="F855" s="364"/>
      <c r="G855" s="364"/>
      <c r="H855" s="364"/>
      <c r="I855" s="364"/>
      <c r="J855" s="364"/>
      <c r="K855" s="364"/>
      <c r="L855" s="364"/>
      <c r="M855" s="364"/>
      <c r="N855" s="364"/>
      <c r="O855" s="364"/>
      <c r="P855" s="364"/>
      <c r="Q855" s="364"/>
      <c r="R855" s="364"/>
      <c r="S855" s="364"/>
      <c r="T855" s="364"/>
      <c r="U855" s="364"/>
      <c r="V855" s="364"/>
      <c r="W855" s="364"/>
      <c r="X855" s="364"/>
      <c r="Y855" s="364"/>
      <c r="Z855" s="364"/>
    </row>
    <row r="856">
      <c r="A856" s="367"/>
      <c r="B856" s="367"/>
      <c r="C856" s="364"/>
      <c r="D856" s="364"/>
      <c r="E856" s="364"/>
      <c r="F856" s="364"/>
      <c r="G856" s="364"/>
      <c r="H856" s="364"/>
      <c r="I856" s="364"/>
      <c r="J856" s="364"/>
      <c r="K856" s="364"/>
      <c r="L856" s="364"/>
      <c r="M856" s="364"/>
      <c r="N856" s="364"/>
      <c r="O856" s="364"/>
      <c r="P856" s="364"/>
      <c r="Q856" s="364"/>
      <c r="R856" s="364"/>
      <c r="S856" s="364"/>
      <c r="T856" s="364"/>
      <c r="U856" s="364"/>
      <c r="V856" s="364"/>
      <c r="W856" s="364"/>
      <c r="X856" s="364"/>
      <c r="Y856" s="364"/>
      <c r="Z856" s="364"/>
    </row>
    <row r="857">
      <c r="A857" s="367"/>
      <c r="B857" s="367"/>
      <c r="C857" s="364"/>
      <c r="D857" s="364"/>
      <c r="E857" s="364"/>
      <c r="F857" s="364"/>
      <c r="G857" s="364"/>
      <c r="H857" s="364"/>
      <c r="I857" s="364"/>
      <c r="J857" s="364"/>
      <c r="K857" s="364"/>
      <c r="L857" s="364"/>
      <c r="M857" s="364"/>
      <c r="N857" s="364"/>
      <c r="O857" s="364"/>
      <c r="P857" s="364"/>
      <c r="Q857" s="364"/>
      <c r="R857" s="364"/>
      <c r="S857" s="364"/>
      <c r="T857" s="364"/>
      <c r="U857" s="364"/>
      <c r="V857" s="364"/>
      <c r="W857" s="364"/>
      <c r="X857" s="364"/>
      <c r="Y857" s="364"/>
      <c r="Z857" s="364"/>
    </row>
    <row r="858">
      <c r="A858" s="367"/>
      <c r="B858" s="367"/>
      <c r="C858" s="364"/>
      <c r="D858" s="364"/>
      <c r="E858" s="364"/>
      <c r="F858" s="364"/>
      <c r="G858" s="364"/>
      <c r="H858" s="364"/>
      <c r="I858" s="364"/>
      <c r="J858" s="364"/>
      <c r="K858" s="364"/>
      <c r="L858" s="364"/>
      <c r="M858" s="364"/>
      <c r="N858" s="364"/>
      <c r="O858" s="364"/>
      <c r="P858" s="364"/>
      <c r="Q858" s="364"/>
      <c r="R858" s="364"/>
      <c r="S858" s="364"/>
      <c r="T858" s="364"/>
      <c r="U858" s="364"/>
      <c r="V858" s="364"/>
      <c r="W858" s="364"/>
      <c r="X858" s="364"/>
      <c r="Y858" s="364"/>
      <c r="Z858" s="364"/>
    </row>
    <row r="859">
      <c r="A859" s="367"/>
      <c r="B859" s="367"/>
      <c r="C859" s="364"/>
      <c r="D859" s="364"/>
      <c r="E859" s="364"/>
      <c r="F859" s="364"/>
      <c r="G859" s="364"/>
      <c r="H859" s="364"/>
      <c r="I859" s="364"/>
      <c r="J859" s="364"/>
      <c r="K859" s="364"/>
      <c r="L859" s="364"/>
      <c r="M859" s="364"/>
      <c r="N859" s="364"/>
      <c r="O859" s="364"/>
      <c r="P859" s="364"/>
      <c r="Q859" s="364"/>
      <c r="R859" s="364"/>
      <c r="S859" s="364"/>
      <c r="T859" s="364"/>
      <c r="U859" s="364"/>
      <c r="V859" s="364"/>
      <c r="W859" s="364"/>
      <c r="X859" s="364"/>
      <c r="Y859" s="364"/>
      <c r="Z859" s="364"/>
    </row>
    <row r="860">
      <c r="A860" s="367"/>
      <c r="B860" s="367"/>
      <c r="C860" s="364"/>
      <c r="D860" s="364"/>
      <c r="E860" s="364"/>
      <c r="F860" s="364"/>
      <c r="G860" s="364"/>
      <c r="H860" s="364"/>
      <c r="I860" s="364"/>
      <c r="J860" s="364"/>
      <c r="K860" s="364"/>
      <c r="L860" s="364"/>
      <c r="M860" s="364"/>
      <c r="N860" s="364"/>
      <c r="O860" s="364"/>
      <c r="P860" s="364"/>
      <c r="Q860" s="364"/>
      <c r="R860" s="364"/>
      <c r="S860" s="364"/>
      <c r="T860" s="364"/>
      <c r="U860" s="364"/>
      <c r="V860" s="364"/>
      <c r="W860" s="364"/>
      <c r="X860" s="364"/>
      <c r="Y860" s="364"/>
      <c r="Z860" s="364"/>
    </row>
    <row r="861">
      <c r="A861" s="367"/>
      <c r="B861" s="367"/>
      <c r="C861" s="364"/>
      <c r="D861" s="364"/>
      <c r="E861" s="364"/>
      <c r="F861" s="364"/>
      <c r="G861" s="364"/>
      <c r="H861" s="364"/>
      <c r="I861" s="364"/>
      <c r="J861" s="364"/>
      <c r="K861" s="364"/>
      <c r="L861" s="364"/>
      <c r="M861" s="364"/>
      <c r="N861" s="364"/>
      <c r="O861" s="364"/>
      <c r="P861" s="364"/>
      <c r="Q861" s="364"/>
      <c r="R861" s="364"/>
      <c r="S861" s="364"/>
      <c r="T861" s="364"/>
      <c r="U861" s="364"/>
      <c r="V861" s="364"/>
      <c r="W861" s="364"/>
      <c r="X861" s="364"/>
      <c r="Y861" s="364"/>
      <c r="Z861" s="364"/>
    </row>
    <row r="862">
      <c r="A862" s="367"/>
      <c r="B862" s="367"/>
      <c r="C862" s="364"/>
      <c r="D862" s="364"/>
      <c r="E862" s="364"/>
      <c r="F862" s="364"/>
      <c r="G862" s="364"/>
      <c r="H862" s="364"/>
      <c r="I862" s="364"/>
      <c r="J862" s="364"/>
      <c r="K862" s="364"/>
      <c r="L862" s="364"/>
      <c r="M862" s="364"/>
      <c r="N862" s="364"/>
      <c r="O862" s="364"/>
      <c r="P862" s="364"/>
      <c r="Q862" s="364"/>
      <c r="R862" s="364"/>
      <c r="S862" s="364"/>
      <c r="T862" s="364"/>
      <c r="U862" s="364"/>
      <c r="V862" s="364"/>
      <c r="W862" s="364"/>
      <c r="X862" s="364"/>
      <c r="Y862" s="364"/>
      <c r="Z862" s="364"/>
    </row>
    <row r="863">
      <c r="A863" s="367"/>
      <c r="B863" s="367"/>
      <c r="C863" s="364"/>
      <c r="D863" s="364"/>
      <c r="E863" s="364"/>
      <c r="F863" s="364"/>
      <c r="G863" s="364"/>
      <c r="H863" s="364"/>
      <c r="I863" s="364"/>
      <c r="J863" s="364"/>
      <c r="K863" s="364"/>
      <c r="L863" s="364"/>
      <c r="M863" s="364"/>
      <c r="N863" s="364"/>
      <c r="O863" s="364"/>
      <c r="P863" s="364"/>
      <c r="Q863" s="364"/>
      <c r="R863" s="364"/>
      <c r="S863" s="364"/>
      <c r="T863" s="364"/>
      <c r="U863" s="364"/>
      <c r="V863" s="364"/>
      <c r="W863" s="364"/>
      <c r="X863" s="364"/>
      <c r="Y863" s="364"/>
      <c r="Z863" s="364"/>
    </row>
    <row r="864">
      <c r="A864" s="367"/>
      <c r="B864" s="367"/>
      <c r="C864" s="364"/>
      <c r="D864" s="364"/>
      <c r="E864" s="364"/>
      <c r="F864" s="364"/>
      <c r="G864" s="364"/>
      <c r="H864" s="364"/>
      <c r="I864" s="364"/>
      <c r="J864" s="364"/>
      <c r="K864" s="364"/>
      <c r="L864" s="364"/>
      <c r="M864" s="364"/>
      <c r="N864" s="364"/>
      <c r="O864" s="364"/>
      <c r="P864" s="364"/>
      <c r="Q864" s="364"/>
      <c r="R864" s="364"/>
      <c r="S864" s="364"/>
      <c r="T864" s="364"/>
      <c r="U864" s="364"/>
      <c r="V864" s="364"/>
      <c r="W864" s="364"/>
      <c r="X864" s="364"/>
      <c r="Y864" s="364"/>
      <c r="Z864" s="364"/>
    </row>
    <row r="865">
      <c r="A865" s="367"/>
      <c r="B865" s="367"/>
      <c r="C865" s="364"/>
      <c r="D865" s="364"/>
      <c r="E865" s="364"/>
      <c r="F865" s="364"/>
      <c r="G865" s="364"/>
      <c r="H865" s="364"/>
      <c r="I865" s="364"/>
      <c r="J865" s="364"/>
      <c r="K865" s="364"/>
      <c r="L865" s="364"/>
      <c r="M865" s="364"/>
      <c r="N865" s="364"/>
      <c r="O865" s="364"/>
      <c r="P865" s="364"/>
      <c r="Q865" s="364"/>
      <c r="R865" s="364"/>
      <c r="S865" s="364"/>
      <c r="T865" s="364"/>
      <c r="U865" s="364"/>
      <c r="V865" s="364"/>
      <c r="W865" s="364"/>
      <c r="X865" s="364"/>
      <c r="Y865" s="364"/>
      <c r="Z865" s="364"/>
    </row>
    <row r="866">
      <c r="A866" s="367"/>
      <c r="B866" s="367"/>
      <c r="C866" s="364"/>
      <c r="D866" s="364"/>
      <c r="E866" s="364"/>
      <c r="F866" s="364"/>
      <c r="G866" s="364"/>
      <c r="H866" s="364"/>
      <c r="I866" s="364"/>
      <c r="J866" s="364"/>
      <c r="K866" s="364"/>
      <c r="L866" s="364"/>
      <c r="M866" s="364"/>
      <c r="N866" s="364"/>
      <c r="O866" s="364"/>
      <c r="P866" s="364"/>
      <c r="Q866" s="364"/>
      <c r="R866" s="364"/>
      <c r="S866" s="364"/>
      <c r="T866" s="364"/>
      <c r="U866" s="364"/>
      <c r="V866" s="364"/>
      <c r="W866" s="364"/>
      <c r="X866" s="364"/>
      <c r="Y866" s="364"/>
      <c r="Z866" s="364"/>
    </row>
    <row r="867">
      <c r="A867" s="367"/>
      <c r="B867" s="367"/>
      <c r="C867" s="364"/>
      <c r="D867" s="364"/>
      <c r="E867" s="364"/>
      <c r="F867" s="364"/>
      <c r="G867" s="364"/>
      <c r="H867" s="364"/>
      <c r="I867" s="364"/>
      <c r="J867" s="364"/>
      <c r="K867" s="364"/>
      <c r="L867" s="364"/>
      <c r="M867" s="364"/>
      <c r="N867" s="364"/>
      <c r="O867" s="364"/>
      <c r="P867" s="364"/>
      <c r="Q867" s="364"/>
      <c r="R867" s="364"/>
      <c r="S867" s="364"/>
      <c r="T867" s="364"/>
      <c r="U867" s="364"/>
      <c r="V867" s="364"/>
      <c r="W867" s="364"/>
      <c r="X867" s="364"/>
      <c r="Y867" s="364"/>
      <c r="Z867" s="364"/>
    </row>
    <row r="868">
      <c r="A868" s="367"/>
      <c r="B868" s="367"/>
      <c r="C868" s="364"/>
      <c r="D868" s="364"/>
      <c r="E868" s="364"/>
      <c r="F868" s="364"/>
      <c r="G868" s="364"/>
      <c r="H868" s="364"/>
      <c r="I868" s="364"/>
      <c r="J868" s="364"/>
      <c r="K868" s="364"/>
      <c r="L868" s="364"/>
      <c r="M868" s="364"/>
      <c r="N868" s="364"/>
      <c r="O868" s="364"/>
      <c r="P868" s="364"/>
      <c r="Q868" s="364"/>
      <c r="R868" s="364"/>
      <c r="S868" s="364"/>
      <c r="T868" s="364"/>
      <c r="U868" s="364"/>
      <c r="V868" s="364"/>
      <c r="W868" s="364"/>
      <c r="X868" s="364"/>
      <c r="Y868" s="364"/>
      <c r="Z868" s="364"/>
    </row>
    <row r="869">
      <c r="A869" s="367"/>
      <c r="B869" s="367"/>
      <c r="C869" s="364"/>
      <c r="D869" s="364"/>
      <c r="E869" s="364"/>
      <c r="F869" s="364"/>
      <c r="G869" s="364"/>
      <c r="H869" s="364"/>
      <c r="I869" s="364"/>
      <c r="J869" s="364"/>
      <c r="K869" s="364"/>
      <c r="L869" s="364"/>
      <c r="M869" s="364"/>
      <c r="N869" s="364"/>
      <c r="O869" s="364"/>
      <c r="P869" s="364"/>
      <c r="Q869" s="364"/>
      <c r="R869" s="364"/>
      <c r="S869" s="364"/>
      <c r="T869" s="364"/>
      <c r="U869" s="364"/>
      <c r="V869" s="364"/>
      <c r="W869" s="364"/>
      <c r="X869" s="364"/>
      <c r="Y869" s="364"/>
      <c r="Z869" s="364"/>
    </row>
    <row r="870">
      <c r="A870" s="367"/>
      <c r="B870" s="367"/>
      <c r="C870" s="364"/>
      <c r="D870" s="364"/>
      <c r="E870" s="364"/>
      <c r="F870" s="364"/>
      <c r="G870" s="364"/>
      <c r="H870" s="364"/>
      <c r="I870" s="364"/>
      <c r="J870" s="364"/>
      <c r="K870" s="364"/>
      <c r="L870" s="364"/>
      <c r="M870" s="364"/>
      <c r="N870" s="364"/>
      <c r="O870" s="364"/>
      <c r="P870" s="364"/>
      <c r="Q870" s="364"/>
      <c r="R870" s="364"/>
      <c r="S870" s="364"/>
      <c r="T870" s="364"/>
      <c r="U870" s="364"/>
      <c r="V870" s="364"/>
      <c r="W870" s="364"/>
      <c r="X870" s="364"/>
      <c r="Y870" s="364"/>
      <c r="Z870" s="364"/>
    </row>
    <row r="871">
      <c r="A871" s="367"/>
      <c r="B871" s="367"/>
      <c r="C871" s="364"/>
      <c r="D871" s="364"/>
      <c r="E871" s="364"/>
      <c r="F871" s="364"/>
      <c r="G871" s="364"/>
      <c r="H871" s="364"/>
      <c r="I871" s="364"/>
      <c r="J871" s="364"/>
      <c r="K871" s="364"/>
      <c r="L871" s="364"/>
      <c r="M871" s="364"/>
      <c r="N871" s="364"/>
      <c r="O871" s="364"/>
      <c r="P871" s="364"/>
      <c r="Q871" s="364"/>
      <c r="R871" s="364"/>
      <c r="S871" s="364"/>
      <c r="T871" s="364"/>
      <c r="U871" s="364"/>
      <c r="V871" s="364"/>
      <c r="W871" s="364"/>
      <c r="X871" s="364"/>
      <c r="Y871" s="364"/>
      <c r="Z871" s="364"/>
    </row>
    <row r="872">
      <c r="A872" s="367"/>
      <c r="B872" s="367"/>
      <c r="C872" s="364"/>
      <c r="D872" s="364"/>
      <c r="E872" s="364"/>
      <c r="F872" s="364"/>
      <c r="G872" s="364"/>
      <c r="H872" s="364"/>
      <c r="I872" s="364"/>
      <c r="J872" s="364"/>
      <c r="K872" s="364"/>
      <c r="L872" s="364"/>
      <c r="M872" s="364"/>
      <c r="N872" s="364"/>
      <c r="O872" s="364"/>
      <c r="P872" s="364"/>
      <c r="Q872" s="364"/>
      <c r="R872" s="364"/>
      <c r="S872" s="364"/>
      <c r="T872" s="364"/>
      <c r="U872" s="364"/>
      <c r="V872" s="364"/>
      <c r="W872" s="364"/>
      <c r="X872" s="364"/>
      <c r="Y872" s="364"/>
      <c r="Z872" s="364"/>
    </row>
    <row r="873">
      <c r="A873" s="367"/>
      <c r="B873" s="367"/>
      <c r="C873" s="364"/>
      <c r="D873" s="364"/>
      <c r="E873" s="364"/>
      <c r="F873" s="364"/>
      <c r="G873" s="364"/>
      <c r="H873" s="364"/>
      <c r="I873" s="364"/>
      <c r="J873" s="364"/>
      <c r="K873" s="364"/>
      <c r="L873" s="364"/>
      <c r="M873" s="364"/>
      <c r="N873" s="364"/>
      <c r="O873" s="364"/>
      <c r="P873" s="364"/>
      <c r="Q873" s="364"/>
      <c r="R873" s="364"/>
      <c r="S873" s="364"/>
      <c r="T873" s="364"/>
      <c r="U873" s="364"/>
      <c r="V873" s="364"/>
      <c r="W873" s="364"/>
      <c r="X873" s="364"/>
      <c r="Y873" s="364"/>
      <c r="Z873" s="364"/>
    </row>
    <row r="874">
      <c r="A874" s="367"/>
      <c r="B874" s="367"/>
      <c r="C874" s="364"/>
      <c r="D874" s="364"/>
      <c r="E874" s="364"/>
      <c r="F874" s="364"/>
      <c r="G874" s="364"/>
      <c r="H874" s="364"/>
      <c r="I874" s="364"/>
      <c r="J874" s="364"/>
      <c r="K874" s="364"/>
      <c r="L874" s="364"/>
      <c r="M874" s="364"/>
      <c r="N874" s="364"/>
      <c r="O874" s="364"/>
      <c r="P874" s="364"/>
      <c r="Q874" s="364"/>
      <c r="R874" s="364"/>
      <c r="S874" s="364"/>
      <c r="T874" s="364"/>
      <c r="U874" s="364"/>
      <c r="V874" s="364"/>
      <c r="W874" s="364"/>
      <c r="X874" s="364"/>
      <c r="Y874" s="364"/>
      <c r="Z874" s="364"/>
    </row>
    <row r="875">
      <c r="A875" s="367"/>
      <c r="B875" s="367"/>
      <c r="C875" s="364"/>
      <c r="D875" s="364"/>
      <c r="E875" s="364"/>
      <c r="F875" s="364"/>
      <c r="G875" s="364"/>
      <c r="H875" s="364"/>
      <c r="I875" s="364"/>
      <c r="J875" s="364"/>
      <c r="K875" s="364"/>
      <c r="L875" s="364"/>
      <c r="M875" s="364"/>
      <c r="N875" s="364"/>
      <c r="O875" s="364"/>
      <c r="P875" s="364"/>
      <c r="Q875" s="364"/>
      <c r="R875" s="364"/>
      <c r="S875" s="364"/>
      <c r="T875" s="364"/>
      <c r="U875" s="364"/>
      <c r="V875" s="364"/>
      <c r="W875" s="364"/>
      <c r="X875" s="364"/>
      <c r="Y875" s="364"/>
      <c r="Z875" s="364"/>
    </row>
    <row r="876">
      <c r="A876" s="367"/>
      <c r="B876" s="367"/>
      <c r="C876" s="364"/>
      <c r="D876" s="364"/>
      <c r="E876" s="364"/>
      <c r="F876" s="364"/>
      <c r="G876" s="364"/>
      <c r="H876" s="364"/>
      <c r="I876" s="364"/>
      <c r="J876" s="364"/>
      <c r="K876" s="364"/>
      <c r="L876" s="364"/>
      <c r="M876" s="364"/>
      <c r="N876" s="364"/>
      <c r="O876" s="364"/>
      <c r="P876" s="364"/>
      <c r="Q876" s="364"/>
      <c r="R876" s="364"/>
      <c r="S876" s="364"/>
      <c r="T876" s="364"/>
      <c r="U876" s="364"/>
      <c r="V876" s="364"/>
      <c r="W876" s="364"/>
      <c r="X876" s="364"/>
      <c r="Y876" s="364"/>
      <c r="Z876" s="364"/>
    </row>
    <row r="877">
      <c r="A877" s="367"/>
      <c r="B877" s="367"/>
      <c r="C877" s="364"/>
      <c r="D877" s="364"/>
      <c r="E877" s="364"/>
      <c r="F877" s="364"/>
      <c r="G877" s="364"/>
      <c r="H877" s="364"/>
      <c r="I877" s="364"/>
      <c r="J877" s="364"/>
      <c r="K877" s="364"/>
      <c r="L877" s="364"/>
      <c r="M877" s="364"/>
      <c r="N877" s="364"/>
      <c r="O877" s="364"/>
      <c r="P877" s="364"/>
      <c r="Q877" s="364"/>
      <c r="R877" s="364"/>
      <c r="S877" s="364"/>
      <c r="T877" s="364"/>
      <c r="U877" s="364"/>
      <c r="V877" s="364"/>
      <c r="W877" s="364"/>
      <c r="X877" s="364"/>
      <c r="Y877" s="364"/>
      <c r="Z877" s="364"/>
    </row>
    <row r="878">
      <c r="A878" s="367"/>
      <c r="B878" s="367"/>
      <c r="C878" s="364"/>
      <c r="D878" s="364"/>
      <c r="E878" s="364"/>
      <c r="F878" s="364"/>
      <c r="G878" s="364"/>
      <c r="H878" s="364"/>
      <c r="I878" s="364"/>
      <c r="J878" s="364"/>
      <c r="K878" s="364"/>
      <c r="L878" s="364"/>
      <c r="M878" s="364"/>
      <c r="N878" s="364"/>
      <c r="O878" s="364"/>
      <c r="P878" s="364"/>
      <c r="Q878" s="364"/>
      <c r="R878" s="364"/>
      <c r="S878" s="364"/>
      <c r="T878" s="364"/>
      <c r="U878" s="364"/>
      <c r="V878" s="364"/>
      <c r="W878" s="364"/>
      <c r="X878" s="364"/>
      <c r="Y878" s="364"/>
      <c r="Z878" s="364"/>
    </row>
    <row r="879">
      <c r="A879" s="367"/>
      <c r="B879" s="367"/>
      <c r="C879" s="364"/>
      <c r="D879" s="364"/>
      <c r="E879" s="364"/>
      <c r="F879" s="364"/>
      <c r="G879" s="364"/>
      <c r="H879" s="364"/>
      <c r="I879" s="364"/>
      <c r="J879" s="364"/>
      <c r="K879" s="364"/>
      <c r="L879" s="364"/>
      <c r="M879" s="364"/>
      <c r="N879" s="364"/>
      <c r="O879" s="364"/>
      <c r="P879" s="364"/>
      <c r="Q879" s="364"/>
      <c r="R879" s="364"/>
      <c r="S879" s="364"/>
      <c r="T879" s="364"/>
      <c r="U879" s="364"/>
      <c r="V879" s="364"/>
      <c r="W879" s="364"/>
      <c r="X879" s="364"/>
      <c r="Y879" s="364"/>
      <c r="Z879" s="364"/>
    </row>
    <row r="880">
      <c r="A880" s="367"/>
      <c r="B880" s="367"/>
      <c r="C880" s="364"/>
      <c r="D880" s="364"/>
      <c r="E880" s="364"/>
      <c r="F880" s="364"/>
      <c r="G880" s="364"/>
      <c r="H880" s="364"/>
      <c r="I880" s="364"/>
      <c r="J880" s="364"/>
      <c r="K880" s="364"/>
      <c r="L880" s="364"/>
      <c r="M880" s="364"/>
      <c r="N880" s="364"/>
      <c r="O880" s="364"/>
      <c r="P880" s="364"/>
      <c r="Q880" s="364"/>
      <c r="R880" s="364"/>
      <c r="S880" s="364"/>
      <c r="T880" s="364"/>
      <c r="U880" s="364"/>
      <c r="V880" s="364"/>
      <c r="W880" s="364"/>
      <c r="X880" s="364"/>
      <c r="Y880" s="364"/>
      <c r="Z880" s="364"/>
    </row>
    <row r="881">
      <c r="A881" s="367"/>
      <c r="B881" s="367"/>
      <c r="C881" s="364"/>
      <c r="D881" s="364"/>
      <c r="E881" s="364"/>
      <c r="F881" s="364"/>
      <c r="G881" s="364"/>
      <c r="H881" s="364"/>
      <c r="I881" s="364"/>
      <c r="J881" s="364"/>
      <c r="K881" s="364"/>
      <c r="L881" s="364"/>
      <c r="M881" s="364"/>
      <c r="N881" s="364"/>
      <c r="O881" s="364"/>
      <c r="P881" s="364"/>
      <c r="Q881" s="364"/>
      <c r="R881" s="364"/>
      <c r="S881" s="364"/>
      <c r="T881" s="364"/>
      <c r="U881" s="364"/>
      <c r="V881" s="364"/>
      <c r="W881" s="364"/>
      <c r="X881" s="364"/>
      <c r="Y881" s="364"/>
      <c r="Z881" s="364"/>
    </row>
    <row r="882">
      <c r="A882" s="367"/>
      <c r="B882" s="367"/>
      <c r="C882" s="364"/>
      <c r="D882" s="364"/>
      <c r="E882" s="364"/>
      <c r="F882" s="364"/>
      <c r="G882" s="364"/>
      <c r="H882" s="364"/>
      <c r="I882" s="364"/>
      <c r="J882" s="364"/>
      <c r="K882" s="364"/>
      <c r="L882" s="364"/>
      <c r="M882" s="364"/>
      <c r="N882" s="364"/>
      <c r="O882" s="364"/>
      <c r="P882" s="364"/>
      <c r="Q882" s="364"/>
      <c r="R882" s="364"/>
      <c r="S882" s="364"/>
      <c r="T882" s="364"/>
      <c r="U882" s="364"/>
      <c r="V882" s="364"/>
      <c r="W882" s="364"/>
      <c r="X882" s="364"/>
      <c r="Y882" s="364"/>
      <c r="Z882" s="364"/>
    </row>
    <row r="883">
      <c r="A883" s="367"/>
      <c r="B883" s="367"/>
      <c r="C883" s="364"/>
      <c r="D883" s="364"/>
      <c r="E883" s="364"/>
      <c r="F883" s="364"/>
      <c r="G883" s="364"/>
      <c r="H883" s="364"/>
      <c r="I883" s="364"/>
      <c r="J883" s="364"/>
      <c r="K883" s="364"/>
      <c r="L883" s="364"/>
      <c r="M883" s="364"/>
      <c r="N883" s="364"/>
      <c r="O883" s="364"/>
      <c r="P883" s="364"/>
      <c r="Q883" s="364"/>
      <c r="R883" s="364"/>
      <c r="S883" s="364"/>
      <c r="T883" s="364"/>
      <c r="U883" s="364"/>
      <c r="V883" s="364"/>
      <c r="W883" s="364"/>
      <c r="X883" s="364"/>
      <c r="Y883" s="364"/>
      <c r="Z883" s="364"/>
    </row>
    <row r="884">
      <c r="A884" s="367"/>
      <c r="B884" s="367"/>
      <c r="C884" s="364"/>
      <c r="D884" s="364"/>
      <c r="E884" s="364"/>
      <c r="F884" s="364"/>
      <c r="G884" s="364"/>
      <c r="H884" s="364"/>
      <c r="I884" s="364"/>
      <c r="J884" s="364"/>
      <c r="K884" s="364"/>
      <c r="L884" s="364"/>
      <c r="M884" s="364"/>
      <c r="N884" s="364"/>
      <c r="O884" s="364"/>
      <c r="P884" s="364"/>
      <c r="Q884" s="364"/>
      <c r="R884" s="364"/>
      <c r="S884" s="364"/>
      <c r="T884" s="364"/>
      <c r="U884" s="364"/>
      <c r="V884" s="364"/>
      <c r="W884" s="364"/>
      <c r="X884" s="364"/>
      <c r="Y884" s="364"/>
      <c r="Z884" s="364"/>
    </row>
    <row r="885">
      <c r="A885" s="367"/>
      <c r="B885" s="367"/>
      <c r="C885" s="364"/>
      <c r="D885" s="364"/>
      <c r="E885" s="364"/>
      <c r="F885" s="364"/>
      <c r="G885" s="364"/>
      <c r="H885" s="364"/>
      <c r="I885" s="364"/>
      <c r="J885" s="364"/>
      <c r="K885" s="364"/>
      <c r="L885" s="364"/>
      <c r="M885" s="364"/>
      <c r="N885" s="364"/>
      <c r="O885" s="364"/>
      <c r="P885" s="364"/>
      <c r="Q885" s="364"/>
      <c r="R885" s="364"/>
      <c r="S885" s="364"/>
      <c r="T885" s="364"/>
      <c r="U885" s="364"/>
      <c r="V885" s="364"/>
      <c r="W885" s="364"/>
      <c r="X885" s="364"/>
      <c r="Y885" s="364"/>
      <c r="Z885" s="364"/>
    </row>
    <row r="886">
      <c r="A886" s="367"/>
      <c r="B886" s="367"/>
      <c r="C886" s="364"/>
      <c r="D886" s="364"/>
      <c r="E886" s="364"/>
      <c r="F886" s="364"/>
      <c r="G886" s="364"/>
      <c r="H886" s="364"/>
      <c r="I886" s="364"/>
      <c r="J886" s="364"/>
      <c r="K886" s="364"/>
      <c r="L886" s="364"/>
      <c r="M886" s="364"/>
      <c r="N886" s="364"/>
      <c r="O886" s="364"/>
      <c r="P886" s="364"/>
      <c r="Q886" s="364"/>
      <c r="R886" s="364"/>
      <c r="S886" s="364"/>
      <c r="T886" s="364"/>
      <c r="U886" s="364"/>
      <c r="V886" s="364"/>
      <c r="W886" s="364"/>
      <c r="X886" s="364"/>
      <c r="Y886" s="364"/>
      <c r="Z886" s="364"/>
    </row>
    <row r="887">
      <c r="A887" s="367"/>
      <c r="B887" s="367"/>
      <c r="C887" s="364"/>
      <c r="D887" s="364"/>
      <c r="E887" s="364"/>
      <c r="F887" s="364"/>
      <c r="G887" s="364"/>
      <c r="H887" s="364"/>
      <c r="I887" s="364"/>
      <c r="J887" s="364"/>
      <c r="K887" s="364"/>
      <c r="L887" s="364"/>
      <c r="M887" s="364"/>
      <c r="N887" s="364"/>
      <c r="O887" s="364"/>
      <c r="P887" s="364"/>
      <c r="Q887" s="364"/>
      <c r="R887" s="364"/>
      <c r="S887" s="364"/>
      <c r="T887" s="364"/>
      <c r="U887" s="364"/>
      <c r="V887" s="364"/>
      <c r="W887" s="364"/>
      <c r="X887" s="364"/>
      <c r="Y887" s="364"/>
      <c r="Z887" s="364"/>
    </row>
    <row r="888">
      <c r="A888" s="367"/>
      <c r="B888" s="367"/>
      <c r="C888" s="364"/>
      <c r="D888" s="364"/>
      <c r="E888" s="364"/>
      <c r="F888" s="364"/>
      <c r="G888" s="364"/>
      <c r="H888" s="364"/>
      <c r="I888" s="364"/>
      <c r="J888" s="364"/>
      <c r="K888" s="364"/>
      <c r="L888" s="364"/>
      <c r="M888" s="364"/>
      <c r="N888" s="364"/>
      <c r="O888" s="364"/>
      <c r="P888" s="364"/>
      <c r="Q888" s="364"/>
      <c r="R888" s="364"/>
      <c r="S888" s="364"/>
      <c r="T888" s="364"/>
      <c r="U888" s="364"/>
      <c r="V888" s="364"/>
      <c r="W888" s="364"/>
      <c r="X888" s="364"/>
      <c r="Y888" s="364"/>
      <c r="Z888" s="364"/>
    </row>
    <row r="889">
      <c r="A889" s="367"/>
      <c r="B889" s="367"/>
      <c r="C889" s="364"/>
      <c r="D889" s="364"/>
      <c r="E889" s="364"/>
      <c r="F889" s="364"/>
      <c r="G889" s="364"/>
      <c r="H889" s="364"/>
      <c r="I889" s="364"/>
      <c r="J889" s="364"/>
      <c r="K889" s="364"/>
      <c r="L889" s="364"/>
      <c r="M889" s="364"/>
      <c r="N889" s="364"/>
      <c r="O889" s="364"/>
      <c r="P889" s="364"/>
      <c r="Q889" s="364"/>
      <c r="R889" s="364"/>
      <c r="S889" s="364"/>
      <c r="T889" s="364"/>
      <c r="U889" s="364"/>
      <c r="V889" s="364"/>
      <c r="W889" s="364"/>
      <c r="X889" s="364"/>
      <c r="Y889" s="364"/>
      <c r="Z889" s="364"/>
    </row>
    <row r="890">
      <c r="A890" s="367"/>
      <c r="B890" s="367"/>
      <c r="C890" s="364"/>
      <c r="D890" s="364"/>
      <c r="E890" s="364"/>
      <c r="F890" s="364"/>
      <c r="G890" s="364"/>
      <c r="H890" s="364"/>
      <c r="I890" s="364"/>
      <c r="J890" s="364"/>
      <c r="K890" s="364"/>
      <c r="L890" s="364"/>
      <c r="M890" s="364"/>
      <c r="N890" s="364"/>
      <c r="O890" s="364"/>
      <c r="P890" s="364"/>
      <c r="Q890" s="364"/>
      <c r="R890" s="364"/>
      <c r="S890" s="364"/>
      <c r="T890" s="364"/>
      <c r="U890" s="364"/>
      <c r="V890" s="364"/>
      <c r="W890" s="364"/>
      <c r="X890" s="364"/>
      <c r="Y890" s="364"/>
      <c r="Z890" s="364"/>
    </row>
    <row r="891">
      <c r="A891" s="367"/>
      <c r="B891" s="367"/>
      <c r="C891" s="364"/>
      <c r="D891" s="364"/>
      <c r="E891" s="364"/>
      <c r="F891" s="364"/>
      <c r="G891" s="364"/>
      <c r="H891" s="364"/>
      <c r="I891" s="364"/>
      <c r="J891" s="364"/>
      <c r="K891" s="364"/>
      <c r="L891" s="364"/>
      <c r="M891" s="364"/>
      <c r="N891" s="364"/>
      <c r="O891" s="364"/>
      <c r="P891" s="364"/>
      <c r="Q891" s="364"/>
      <c r="R891" s="364"/>
      <c r="S891" s="364"/>
      <c r="T891" s="364"/>
      <c r="U891" s="364"/>
      <c r="V891" s="364"/>
      <c r="W891" s="364"/>
      <c r="X891" s="364"/>
      <c r="Y891" s="364"/>
      <c r="Z891" s="364"/>
    </row>
    <row r="892">
      <c r="A892" s="367"/>
      <c r="B892" s="367"/>
      <c r="C892" s="364"/>
      <c r="D892" s="364"/>
      <c r="E892" s="364"/>
      <c r="F892" s="364"/>
      <c r="G892" s="364"/>
      <c r="H892" s="364"/>
      <c r="I892" s="364"/>
      <c r="J892" s="364"/>
      <c r="K892" s="364"/>
      <c r="L892" s="364"/>
      <c r="M892" s="364"/>
      <c r="N892" s="364"/>
      <c r="O892" s="364"/>
      <c r="P892" s="364"/>
      <c r="Q892" s="364"/>
      <c r="R892" s="364"/>
      <c r="S892" s="364"/>
      <c r="T892" s="364"/>
      <c r="U892" s="364"/>
      <c r="V892" s="364"/>
      <c r="W892" s="364"/>
      <c r="X892" s="364"/>
      <c r="Y892" s="364"/>
      <c r="Z892" s="364"/>
    </row>
    <row r="893">
      <c r="A893" s="367"/>
      <c r="B893" s="367"/>
      <c r="C893" s="364"/>
      <c r="D893" s="364"/>
      <c r="E893" s="364"/>
      <c r="F893" s="364"/>
      <c r="G893" s="364"/>
      <c r="H893" s="364"/>
      <c r="I893" s="364"/>
      <c r="J893" s="364"/>
      <c r="K893" s="364"/>
      <c r="L893" s="364"/>
      <c r="M893" s="364"/>
      <c r="N893" s="364"/>
      <c r="O893" s="364"/>
      <c r="P893" s="364"/>
      <c r="Q893" s="364"/>
      <c r="R893" s="364"/>
      <c r="S893" s="364"/>
      <c r="T893" s="364"/>
      <c r="U893" s="364"/>
      <c r="V893" s="364"/>
      <c r="W893" s="364"/>
      <c r="X893" s="364"/>
      <c r="Y893" s="364"/>
      <c r="Z893" s="364"/>
    </row>
    <row r="894">
      <c r="A894" s="367"/>
      <c r="B894" s="367"/>
      <c r="C894" s="364"/>
      <c r="D894" s="364"/>
      <c r="E894" s="364"/>
      <c r="F894" s="364"/>
      <c r="G894" s="364"/>
      <c r="H894" s="364"/>
      <c r="I894" s="364"/>
      <c r="J894" s="364"/>
      <c r="K894" s="364"/>
      <c r="L894" s="364"/>
      <c r="M894" s="364"/>
      <c r="N894" s="364"/>
      <c r="O894" s="364"/>
      <c r="P894" s="364"/>
      <c r="Q894" s="364"/>
      <c r="R894" s="364"/>
      <c r="S894" s="364"/>
      <c r="T894" s="364"/>
      <c r="U894" s="364"/>
      <c r="V894" s="364"/>
      <c r="W894" s="364"/>
      <c r="X894" s="364"/>
      <c r="Y894" s="364"/>
      <c r="Z894" s="364"/>
    </row>
    <row r="895">
      <c r="A895" s="367"/>
      <c r="B895" s="367"/>
      <c r="C895" s="364"/>
      <c r="D895" s="364"/>
      <c r="E895" s="364"/>
      <c r="F895" s="364"/>
      <c r="G895" s="364"/>
      <c r="H895" s="364"/>
      <c r="I895" s="364"/>
      <c r="J895" s="364"/>
      <c r="K895" s="364"/>
      <c r="L895" s="364"/>
      <c r="M895" s="364"/>
      <c r="N895" s="364"/>
      <c r="O895" s="364"/>
      <c r="P895" s="364"/>
      <c r="Q895" s="364"/>
      <c r="R895" s="364"/>
      <c r="S895" s="364"/>
      <c r="T895" s="364"/>
      <c r="U895" s="364"/>
      <c r="V895" s="364"/>
      <c r="W895" s="364"/>
      <c r="X895" s="364"/>
      <c r="Y895" s="364"/>
      <c r="Z895" s="364"/>
    </row>
    <row r="896">
      <c r="A896" s="367"/>
      <c r="B896" s="367"/>
      <c r="C896" s="364"/>
      <c r="D896" s="364"/>
      <c r="E896" s="364"/>
      <c r="F896" s="364"/>
      <c r="G896" s="364"/>
      <c r="H896" s="364"/>
      <c r="I896" s="364"/>
      <c r="J896" s="364"/>
      <c r="K896" s="364"/>
      <c r="L896" s="364"/>
      <c r="M896" s="364"/>
      <c r="N896" s="364"/>
      <c r="O896" s="364"/>
      <c r="P896" s="364"/>
      <c r="Q896" s="364"/>
      <c r="R896" s="364"/>
      <c r="S896" s="364"/>
      <c r="T896" s="364"/>
      <c r="U896" s="364"/>
      <c r="V896" s="364"/>
      <c r="W896" s="364"/>
      <c r="X896" s="364"/>
      <c r="Y896" s="364"/>
      <c r="Z896" s="364"/>
    </row>
    <row r="897">
      <c r="A897" s="367"/>
      <c r="B897" s="367"/>
      <c r="C897" s="364"/>
      <c r="D897" s="364"/>
      <c r="E897" s="364"/>
      <c r="F897" s="364"/>
      <c r="G897" s="364"/>
      <c r="H897" s="364"/>
      <c r="I897" s="364"/>
      <c r="J897" s="364"/>
      <c r="K897" s="364"/>
      <c r="L897" s="364"/>
      <c r="M897" s="364"/>
      <c r="N897" s="364"/>
      <c r="O897" s="364"/>
      <c r="P897" s="364"/>
      <c r="Q897" s="364"/>
      <c r="R897" s="364"/>
      <c r="S897" s="364"/>
      <c r="T897" s="364"/>
      <c r="U897" s="364"/>
      <c r="V897" s="364"/>
      <c r="W897" s="364"/>
      <c r="X897" s="364"/>
      <c r="Y897" s="364"/>
      <c r="Z897" s="364"/>
    </row>
    <row r="898">
      <c r="A898" s="367"/>
      <c r="B898" s="367"/>
      <c r="C898" s="364"/>
      <c r="D898" s="364"/>
      <c r="E898" s="364"/>
      <c r="F898" s="364"/>
      <c r="G898" s="364"/>
      <c r="H898" s="364"/>
      <c r="I898" s="364"/>
      <c r="J898" s="364"/>
      <c r="K898" s="364"/>
      <c r="L898" s="364"/>
      <c r="M898" s="364"/>
      <c r="N898" s="364"/>
      <c r="O898" s="364"/>
      <c r="P898" s="364"/>
      <c r="Q898" s="364"/>
      <c r="R898" s="364"/>
      <c r="S898" s="364"/>
      <c r="T898" s="364"/>
      <c r="U898" s="364"/>
      <c r="V898" s="364"/>
      <c r="W898" s="364"/>
      <c r="X898" s="364"/>
      <c r="Y898" s="364"/>
      <c r="Z898" s="364"/>
    </row>
    <row r="899">
      <c r="A899" s="367"/>
      <c r="B899" s="367"/>
      <c r="C899" s="364"/>
      <c r="D899" s="364"/>
      <c r="E899" s="364"/>
      <c r="F899" s="364"/>
      <c r="G899" s="364"/>
      <c r="H899" s="364"/>
      <c r="I899" s="364"/>
      <c r="J899" s="364"/>
      <c r="K899" s="364"/>
      <c r="L899" s="364"/>
      <c r="M899" s="364"/>
      <c r="N899" s="364"/>
      <c r="O899" s="364"/>
      <c r="P899" s="364"/>
      <c r="Q899" s="364"/>
      <c r="R899" s="364"/>
      <c r="S899" s="364"/>
      <c r="T899" s="364"/>
      <c r="U899" s="364"/>
      <c r="V899" s="364"/>
      <c r="W899" s="364"/>
      <c r="X899" s="364"/>
      <c r="Y899" s="364"/>
      <c r="Z899" s="364"/>
    </row>
    <row r="900">
      <c r="A900" s="367"/>
      <c r="B900" s="367"/>
      <c r="C900" s="364"/>
      <c r="D900" s="364"/>
      <c r="E900" s="364"/>
      <c r="F900" s="364"/>
      <c r="G900" s="364"/>
      <c r="H900" s="364"/>
      <c r="I900" s="364"/>
      <c r="J900" s="364"/>
      <c r="K900" s="364"/>
      <c r="L900" s="364"/>
      <c r="M900" s="364"/>
      <c r="N900" s="364"/>
      <c r="O900" s="364"/>
      <c r="P900" s="364"/>
      <c r="Q900" s="364"/>
      <c r="R900" s="364"/>
      <c r="S900" s="364"/>
      <c r="T900" s="364"/>
      <c r="U900" s="364"/>
      <c r="V900" s="364"/>
      <c r="W900" s="364"/>
      <c r="X900" s="364"/>
      <c r="Y900" s="364"/>
      <c r="Z900" s="364"/>
    </row>
    <row r="901">
      <c r="A901" s="367"/>
      <c r="B901" s="367"/>
      <c r="C901" s="364"/>
      <c r="D901" s="364"/>
      <c r="E901" s="364"/>
      <c r="F901" s="364"/>
      <c r="G901" s="364"/>
      <c r="H901" s="364"/>
      <c r="I901" s="364"/>
      <c r="J901" s="364"/>
      <c r="K901" s="364"/>
      <c r="L901" s="364"/>
      <c r="M901" s="364"/>
      <c r="N901" s="364"/>
      <c r="O901" s="364"/>
      <c r="P901" s="364"/>
      <c r="Q901" s="364"/>
      <c r="R901" s="364"/>
      <c r="S901" s="364"/>
      <c r="T901" s="364"/>
      <c r="U901" s="364"/>
      <c r="V901" s="364"/>
      <c r="W901" s="364"/>
      <c r="X901" s="364"/>
      <c r="Y901" s="364"/>
      <c r="Z901" s="364"/>
    </row>
    <row r="902">
      <c r="A902" s="367"/>
      <c r="B902" s="367"/>
      <c r="C902" s="364"/>
      <c r="D902" s="364"/>
      <c r="E902" s="364"/>
      <c r="F902" s="364"/>
      <c r="G902" s="364"/>
      <c r="H902" s="364"/>
      <c r="I902" s="364"/>
      <c r="J902" s="364"/>
      <c r="K902" s="364"/>
      <c r="L902" s="364"/>
      <c r="M902" s="364"/>
      <c r="N902" s="364"/>
      <c r="O902" s="364"/>
      <c r="P902" s="364"/>
      <c r="Q902" s="364"/>
      <c r="R902" s="364"/>
      <c r="S902" s="364"/>
      <c r="T902" s="364"/>
      <c r="U902" s="364"/>
      <c r="V902" s="364"/>
      <c r="W902" s="364"/>
      <c r="X902" s="364"/>
      <c r="Y902" s="364"/>
      <c r="Z902" s="364"/>
    </row>
    <row r="903">
      <c r="A903" s="367"/>
      <c r="B903" s="367"/>
      <c r="C903" s="364"/>
      <c r="D903" s="364"/>
      <c r="E903" s="364"/>
      <c r="F903" s="364"/>
      <c r="G903" s="364"/>
      <c r="H903" s="364"/>
      <c r="I903" s="364"/>
      <c r="J903" s="364"/>
      <c r="K903" s="364"/>
      <c r="L903" s="364"/>
      <c r="M903" s="364"/>
      <c r="N903" s="364"/>
      <c r="O903" s="364"/>
      <c r="P903" s="364"/>
      <c r="Q903" s="364"/>
      <c r="R903" s="364"/>
      <c r="S903" s="364"/>
      <c r="T903" s="364"/>
      <c r="U903" s="364"/>
      <c r="V903" s="364"/>
      <c r="W903" s="364"/>
      <c r="X903" s="364"/>
      <c r="Y903" s="364"/>
      <c r="Z903" s="364"/>
    </row>
    <row r="904">
      <c r="A904" s="367"/>
      <c r="B904" s="367"/>
      <c r="C904" s="364"/>
      <c r="D904" s="364"/>
      <c r="E904" s="364"/>
      <c r="F904" s="364"/>
      <c r="G904" s="364"/>
      <c r="H904" s="364"/>
      <c r="I904" s="364"/>
      <c r="J904" s="364"/>
      <c r="K904" s="364"/>
      <c r="L904" s="364"/>
      <c r="M904" s="364"/>
      <c r="N904" s="364"/>
      <c r="O904" s="364"/>
      <c r="P904" s="364"/>
      <c r="Q904" s="364"/>
      <c r="R904" s="364"/>
      <c r="S904" s="364"/>
      <c r="T904" s="364"/>
      <c r="U904" s="364"/>
      <c r="V904" s="364"/>
      <c r="W904" s="364"/>
      <c r="X904" s="364"/>
      <c r="Y904" s="364"/>
      <c r="Z904" s="364"/>
    </row>
    <row r="905">
      <c r="A905" s="367"/>
      <c r="B905" s="367"/>
      <c r="C905" s="364"/>
      <c r="D905" s="364"/>
      <c r="E905" s="364"/>
      <c r="F905" s="364"/>
      <c r="G905" s="364"/>
      <c r="H905" s="364"/>
      <c r="I905" s="364"/>
      <c r="J905" s="364"/>
      <c r="K905" s="364"/>
      <c r="L905" s="364"/>
      <c r="M905" s="364"/>
      <c r="N905" s="364"/>
      <c r="O905" s="364"/>
      <c r="P905" s="364"/>
      <c r="Q905" s="364"/>
      <c r="R905" s="364"/>
      <c r="S905" s="364"/>
      <c r="T905" s="364"/>
      <c r="U905" s="364"/>
      <c r="V905" s="364"/>
      <c r="W905" s="364"/>
      <c r="X905" s="364"/>
      <c r="Y905" s="364"/>
      <c r="Z905" s="364"/>
    </row>
    <row r="906">
      <c r="A906" s="367"/>
      <c r="B906" s="367"/>
      <c r="C906" s="364"/>
      <c r="D906" s="364"/>
      <c r="E906" s="364"/>
      <c r="F906" s="364"/>
      <c r="G906" s="364"/>
      <c r="H906" s="364"/>
      <c r="I906" s="364"/>
      <c r="J906" s="364"/>
      <c r="K906" s="364"/>
      <c r="L906" s="364"/>
      <c r="M906" s="364"/>
      <c r="N906" s="364"/>
      <c r="O906" s="364"/>
      <c r="P906" s="364"/>
      <c r="Q906" s="364"/>
      <c r="R906" s="364"/>
      <c r="S906" s="364"/>
      <c r="T906" s="364"/>
      <c r="U906" s="364"/>
      <c r="V906" s="364"/>
      <c r="W906" s="364"/>
      <c r="X906" s="364"/>
      <c r="Y906" s="364"/>
      <c r="Z906" s="364"/>
    </row>
    <row r="907">
      <c r="A907" s="367"/>
      <c r="B907" s="367"/>
      <c r="C907" s="364"/>
      <c r="D907" s="364"/>
      <c r="E907" s="364"/>
      <c r="F907" s="364"/>
      <c r="G907" s="364"/>
      <c r="H907" s="364"/>
      <c r="I907" s="364"/>
      <c r="J907" s="364"/>
      <c r="K907" s="364"/>
      <c r="L907" s="364"/>
      <c r="M907" s="364"/>
      <c r="N907" s="364"/>
      <c r="O907" s="364"/>
      <c r="P907" s="364"/>
      <c r="Q907" s="364"/>
      <c r="R907" s="364"/>
      <c r="S907" s="364"/>
      <c r="T907" s="364"/>
      <c r="U907" s="364"/>
      <c r="V907" s="364"/>
      <c r="W907" s="364"/>
      <c r="X907" s="364"/>
      <c r="Y907" s="364"/>
      <c r="Z907" s="364"/>
    </row>
    <row r="908">
      <c r="A908" s="367"/>
      <c r="B908" s="367"/>
      <c r="C908" s="364"/>
      <c r="D908" s="364"/>
      <c r="E908" s="364"/>
      <c r="F908" s="364"/>
      <c r="G908" s="364"/>
      <c r="H908" s="364"/>
      <c r="I908" s="364"/>
      <c r="J908" s="364"/>
      <c r="K908" s="364"/>
      <c r="L908" s="364"/>
      <c r="M908" s="364"/>
      <c r="N908" s="364"/>
      <c r="O908" s="364"/>
      <c r="P908" s="364"/>
      <c r="Q908" s="364"/>
      <c r="R908" s="364"/>
      <c r="S908" s="364"/>
      <c r="T908" s="364"/>
      <c r="U908" s="364"/>
      <c r="V908" s="364"/>
      <c r="W908" s="364"/>
      <c r="X908" s="364"/>
      <c r="Y908" s="364"/>
      <c r="Z908" s="364"/>
    </row>
    <row r="909">
      <c r="A909" s="367"/>
      <c r="B909" s="367"/>
      <c r="C909" s="364"/>
      <c r="D909" s="364"/>
      <c r="E909" s="364"/>
      <c r="F909" s="364"/>
      <c r="G909" s="364"/>
      <c r="H909" s="364"/>
      <c r="I909" s="364"/>
      <c r="J909" s="364"/>
      <c r="K909" s="364"/>
      <c r="L909" s="364"/>
      <c r="M909" s="364"/>
      <c r="N909" s="364"/>
      <c r="O909" s="364"/>
      <c r="P909" s="364"/>
      <c r="Q909" s="364"/>
      <c r="R909" s="364"/>
      <c r="S909" s="364"/>
      <c r="T909" s="364"/>
      <c r="U909" s="364"/>
      <c r="V909" s="364"/>
      <c r="W909" s="364"/>
      <c r="X909" s="364"/>
      <c r="Y909" s="364"/>
      <c r="Z909" s="364"/>
    </row>
    <row r="910">
      <c r="A910" s="367"/>
      <c r="B910" s="367"/>
      <c r="C910" s="364"/>
      <c r="D910" s="364"/>
      <c r="E910" s="364"/>
      <c r="F910" s="364"/>
      <c r="G910" s="364"/>
      <c r="H910" s="364"/>
      <c r="I910" s="364"/>
      <c r="J910" s="364"/>
      <c r="K910" s="364"/>
      <c r="L910" s="364"/>
      <c r="M910" s="364"/>
      <c r="N910" s="364"/>
      <c r="O910" s="364"/>
      <c r="P910" s="364"/>
      <c r="Q910" s="364"/>
      <c r="R910" s="364"/>
      <c r="S910" s="364"/>
      <c r="T910" s="364"/>
      <c r="U910" s="364"/>
      <c r="V910" s="364"/>
      <c r="W910" s="364"/>
      <c r="X910" s="364"/>
      <c r="Y910" s="364"/>
      <c r="Z910" s="364"/>
    </row>
    <row r="911">
      <c r="A911" s="367"/>
      <c r="B911" s="367"/>
      <c r="C911" s="364"/>
      <c r="D911" s="364"/>
      <c r="E911" s="364"/>
      <c r="F911" s="364"/>
      <c r="G911" s="364"/>
      <c r="H911" s="364"/>
      <c r="I911" s="364"/>
      <c r="J911" s="364"/>
      <c r="K911" s="364"/>
      <c r="L911" s="364"/>
      <c r="M911" s="364"/>
      <c r="N911" s="364"/>
      <c r="O911" s="364"/>
      <c r="P911" s="364"/>
      <c r="Q911" s="364"/>
      <c r="R911" s="364"/>
      <c r="S911" s="364"/>
      <c r="T911" s="364"/>
      <c r="U911" s="364"/>
      <c r="V911" s="364"/>
      <c r="W911" s="364"/>
      <c r="X911" s="364"/>
      <c r="Y911" s="364"/>
      <c r="Z911" s="364"/>
    </row>
    <row r="912">
      <c r="A912" s="367"/>
      <c r="B912" s="367"/>
      <c r="C912" s="364"/>
      <c r="D912" s="364"/>
      <c r="E912" s="364"/>
      <c r="F912" s="364"/>
      <c r="G912" s="364"/>
      <c r="H912" s="364"/>
      <c r="I912" s="364"/>
      <c r="J912" s="364"/>
      <c r="K912" s="364"/>
      <c r="L912" s="364"/>
      <c r="M912" s="364"/>
      <c r="N912" s="364"/>
      <c r="O912" s="364"/>
      <c r="P912" s="364"/>
      <c r="Q912" s="364"/>
      <c r="R912" s="364"/>
      <c r="S912" s="364"/>
      <c r="T912" s="364"/>
      <c r="U912" s="364"/>
      <c r="V912" s="364"/>
      <c r="W912" s="364"/>
      <c r="X912" s="364"/>
      <c r="Y912" s="364"/>
      <c r="Z912" s="364"/>
    </row>
    <row r="913">
      <c r="A913" s="367"/>
      <c r="B913" s="367"/>
      <c r="C913" s="364"/>
      <c r="D913" s="364"/>
      <c r="E913" s="364"/>
      <c r="F913" s="364"/>
      <c r="G913" s="364"/>
      <c r="H913" s="364"/>
      <c r="I913" s="364"/>
      <c r="J913" s="364"/>
      <c r="K913" s="364"/>
      <c r="L913" s="364"/>
      <c r="M913" s="364"/>
      <c r="N913" s="364"/>
      <c r="O913" s="364"/>
      <c r="P913" s="364"/>
      <c r="Q913" s="364"/>
      <c r="R913" s="364"/>
      <c r="S913" s="364"/>
      <c r="T913" s="364"/>
      <c r="U913" s="364"/>
      <c r="V913" s="364"/>
      <c r="W913" s="364"/>
      <c r="X913" s="364"/>
      <c r="Y913" s="364"/>
      <c r="Z913" s="364"/>
    </row>
    <row r="914">
      <c r="A914" s="367"/>
      <c r="B914" s="367"/>
      <c r="C914" s="364"/>
      <c r="D914" s="364"/>
      <c r="E914" s="364"/>
      <c r="F914" s="364"/>
      <c r="G914" s="364"/>
      <c r="H914" s="364"/>
      <c r="I914" s="364"/>
      <c r="J914" s="364"/>
      <c r="K914" s="364"/>
      <c r="L914" s="364"/>
      <c r="M914" s="364"/>
      <c r="N914" s="364"/>
      <c r="O914" s="364"/>
      <c r="P914" s="364"/>
      <c r="Q914" s="364"/>
      <c r="R914" s="364"/>
      <c r="S914" s="364"/>
      <c r="T914" s="364"/>
      <c r="U914" s="364"/>
      <c r="V914" s="364"/>
      <c r="W914" s="364"/>
      <c r="X914" s="364"/>
      <c r="Y914" s="364"/>
      <c r="Z914" s="364"/>
    </row>
    <row r="915">
      <c r="A915" s="367"/>
      <c r="B915" s="367"/>
      <c r="C915" s="364"/>
      <c r="D915" s="364"/>
      <c r="E915" s="364"/>
      <c r="F915" s="364"/>
      <c r="G915" s="364"/>
      <c r="H915" s="364"/>
      <c r="I915" s="364"/>
      <c r="J915" s="364"/>
      <c r="K915" s="364"/>
      <c r="L915" s="364"/>
      <c r="M915" s="364"/>
      <c r="N915" s="364"/>
      <c r="O915" s="364"/>
      <c r="P915" s="364"/>
      <c r="Q915" s="364"/>
      <c r="R915" s="364"/>
      <c r="S915" s="364"/>
      <c r="T915" s="364"/>
      <c r="U915" s="364"/>
      <c r="V915" s="364"/>
      <c r="W915" s="364"/>
      <c r="X915" s="364"/>
      <c r="Y915" s="364"/>
      <c r="Z915" s="364"/>
    </row>
    <row r="916">
      <c r="A916" s="367"/>
      <c r="B916" s="367"/>
      <c r="C916" s="364"/>
      <c r="D916" s="364"/>
      <c r="E916" s="364"/>
      <c r="F916" s="364"/>
      <c r="G916" s="364"/>
      <c r="H916" s="364"/>
      <c r="I916" s="364"/>
      <c r="J916" s="364"/>
      <c r="K916" s="364"/>
      <c r="L916" s="364"/>
      <c r="M916" s="364"/>
      <c r="N916" s="364"/>
      <c r="O916" s="364"/>
      <c r="P916" s="364"/>
      <c r="Q916" s="364"/>
      <c r="R916" s="364"/>
      <c r="S916" s="364"/>
      <c r="T916" s="364"/>
      <c r="U916" s="364"/>
      <c r="V916" s="364"/>
      <c r="W916" s="364"/>
      <c r="X916" s="364"/>
      <c r="Y916" s="364"/>
      <c r="Z916" s="364"/>
    </row>
    <row r="917">
      <c r="A917" s="367"/>
      <c r="B917" s="367"/>
      <c r="C917" s="364"/>
      <c r="D917" s="364"/>
      <c r="E917" s="364"/>
      <c r="F917" s="364"/>
      <c r="G917" s="364"/>
      <c r="H917" s="364"/>
      <c r="I917" s="364"/>
      <c r="J917" s="364"/>
      <c r="K917" s="364"/>
      <c r="L917" s="364"/>
      <c r="M917" s="364"/>
      <c r="N917" s="364"/>
      <c r="O917" s="364"/>
      <c r="P917" s="364"/>
      <c r="Q917" s="364"/>
      <c r="R917" s="364"/>
      <c r="S917" s="364"/>
      <c r="T917" s="364"/>
      <c r="U917" s="364"/>
      <c r="V917" s="364"/>
      <c r="W917" s="364"/>
      <c r="X917" s="364"/>
      <c r="Y917" s="364"/>
      <c r="Z917" s="364"/>
    </row>
    <row r="918">
      <c r="A918" s="367"/>
      <c r="B918" s="367"/>
      <c r="C918" s="364"/>
      <c r="D918" s="364"/>
      <c r="E918" s="364"/>
      <c r="F918" s="364"/>
      <c r="G918" s="364"/>
      <c r="H918" s="364"/>
      <c r="I918" s="364"/>
      <c r="J918" s="364"/>
      <c r="K918" s="364"/>
      <c r="L918" s="364"/>
      <c r="M918" s="364"/>
      <c r="N918" s="364"/>
      <c r="O918" s="364"/>
      <c r="P918" s="364"/>
      <c r="Q918" s="364"/>
      <c r="R918" s="364"/>
      <c r="S918" s="364"/>
      <c r="T918" s="364"/>
      <c r="U918" s="364"/>
      <c r="V918" s="364"/>
      <c r="W918" s="364"/>
      <c r="X918" s="364"/>
      <c r="Y918" s="364"/>
      <c r="Z918" s="364"/>
    </row>
    <row r="919">
      <c r="A919" s="367"/>
      <c r="B919" s="367"/>
      <c r="C919" s="364"/>
      <c r="D919" s="364"/>
      <c r="E919" s="364"/>
      <c r="F919" s="364"/>
      <c r="G919" s="364"/>
      <c r="H919" s="364"/>
      <c r="I919" s="364"/>
      <c r="J919" s="364"/>
      <c r="K919" s="364"/>
      <c r="L919" s="364"/>
      <c r="M919" s="364"/>
      <c r="N919" s="364"/>
      <c r="O919" s="364"/>
      <c r="P919" s="364"/>
      <c r="Q919" s="364"/>
      <c r="R919" s="364"/>
      <c r="S919" s="364"/>
      <c r="T919" s="364"/>
      <c r="U919" s="364"/>
      <c r="V919" s="364"/>
      <c r="W919" s="364"/>
      <c r="X919" s="364"/>
      <c r="Y919" s="364"/>
      <c r="Z919" s="364"/>
    </row>
    <row r="920">
      <c r="A920" s="367"/>
      <c r="B920" s="367"/>
      <c r="C920" s="364"/>
      <c r="D920" s="364"/>
      <c r="E920" s="364"/>
      <c r="F920" s="364"/>
      <c r="G920" s="364"/>
      <c r="H920" s="364"/>
      <c r="I920" s="364"/>
      <c r="J920" s="364"/>
      <c r="K920" s="364"/>
      <c r="L920" s="364"/>
      <c r="M920" s="364"/>
      <c r="N920" s="364"/>
      <c r="O920" s="364"/>
      <c r="P920" s="364"/>
      <c r="Q920" s="364"/>
      <c r="R920" s="364"/>
      <c r="S920" s="364"/>
      <c r="T920" s="364"/>
      <c r="U920" s="364"/>
      <c r="V920" s="364"/>
      <c r="W920" s="364"/>
      <c r="X920" s="364"/>
      <c r="Y920" s="364"/>
      <c r="Z920" s="364"/>
    </row>
    <row r="921">
      <c r="A921" s="367"/>
      <c r="B921" s="367"/>
      <c r="C921" s="364"/>
      <c r="D921" s="364"/>
      <c r="E921" s="364"/>
      <c r="F921" s="364"/>
      <c r="G921" s="364"/>
      <c r="H921" s="364"/>
      <c r="I921" s="364"/>
      <c r="J921" s="364"/>
      <c r="K921" s="364"/>
      <c r="L921" s="364"/>
      <c r="M921" s="364"/>
      <c r="N921" s="364"/>
      <c r="O921" s="364"/>
      <c r="P921" s="364"/>
      <c r="Q921" s="364"/>
      <c r="R921" s="364"/>
      <c r="S921" s="364"/>
      <c r="T921" s="364"/>
      <c r="U921" s="364"/>
      <c r="V921" s="364"/>
      <c r="W921" s="364"/>
      <c r="X921" s="364"/>
      <c r="Y921" s="364"/>
      <c r="Z921" s="364"/>
    </row>
    <row r="922">
      <c r="A922" s="367"/>
      <c r="B922" s="367"/>
      <c r="C922" s="364"/>
      <c r="D922" s="364"/>
      <c r="E922" s="364"/>
      <c r="F922" s="364"/>
      <c r="G922" s="364"/>
      <c r="H922" s="364"/>
      <c r="I922" s="364"/>
      <c r="J922" s="364"/>
      <c r="K922" s="364"/>
      <c r="L922" s="364"/>
      <c r="M922" s="364"/>
      <c r="N922" s="364"/>
      <c r="O922" s="364"/>
      <c r="P922" s="364"/>
      <c r="Q922" s="364"/>
      <c r="R922" s="364"/>
      <c r="S922" s="364"/>
      <c r="T922" s="364"/>
      <c r="U922" s="364"/>
      <c r="V922" s="364"/>
      <c r="W922" s="364"/>
      <c r="X922" s="364"/>
      <c r="Y922" s="364"/>
      <c r="Z922" s="364"/>
    </row>
    <row r="923">
      <c r="A923" s="367"/>
      <c r="B923" s="367"/>
      <c r="C923" s="364"/>
      <c r="D923" s="364"/>
      <c r="E923" s="364"/>
      <c r="F923" s="364"/>
      <c r="G923" s="364"/>
      <c r="H923" s="364"/>
      <c r="I923" s="364"/>
      <c r="J923" s="364"/>
      <c r="K923" s="364"/>
      <c r="L923" s="364"/>
      <c r="M923" s="364"/>
      <c r="N923" s="364"/>
      <c r="O923" s="364"/>
      <c r="P923" s="364"/>
      <c r="Q923" s="364"/>
      <c r="R923" s="364"/>
      <c r="S923" s="364"/>
      <c r="T923" s="364"/>
      <c r="U923" s="364"/>
      <c r="V923" s="364"/>
      <c r="W923" s="364"/>
      <c r="X923" s="364"/>
      <c r="Y923" s="364"/>
      <c r="Z923" s="364"/>
    </row>
    <row r="924">
      <c r="A924" s="367"/>
      <c r="B924" s="367"/>
      <c r="C924" s="364"/>
      <c r="D924" s="364"/>
      <c r="E924" s="364"/>
      <c r="F924" s="364"/>
      <c r="G924" s="364"/>
      <c r="H924" s="364"/>
      <c r="I924" s="364"/>
      <c r="J924" s="364"/>
      <c r="K924" s="364"/>
      <c r="L924" s="364"/>
      <c r="M924" s="364"/>
      <c r="N924" s="364"/>
      <c r="O924" s="364"/>
      <c r="P924" s="364"/>
      <c r="Q924" s="364"/>
      <c r="R924" s="364"/>
      <c r="S924" s="364"/>
      <c r="T924" s="364"/>
      <c r="U924" s="364"/>
      <c r="V924" s="364"/>
      <c r="W924" s="364"/>
      <c r="X924" s="364"/>
      <c r="Y924" s="364"/>
      <c r="Z924" s="364"/>
    </row>
    <row r="925">
      <c r="A925" s="367"/>
      <c r="B925" s="367"/>
      <c r="C925" s="364"/>
      <c r="D925" s="364"/>
      <c r="E925" s="364"/>
      <c r="F925" s="364"/>
      <c r="G925" s="364"/>
      <c r="H925" s="364"/>
      <c r="I925" s="364"/>
      <c r="J925" s="364"/>
      <c r="K925" s="364"/>
      <c r="L925" s="364"/>
      <c r="M925" s="364"/>
      <c r="N925" s="364"/>
      <c r="O925" s="364"/>
      <c r="P925" s="364"/>
      <c r="Q925" s="364"/>
      <c r="R925" s="364"/>
      <c r="S925" s="364"/>
      <c r="T925" s="364"/>
      <c r="U925" s="364"/>
      <c r="V925" s="364"/>
      <c r="W925" s="364"/>
      <c r="X925" s="364"/>
      <c r="Y925" s="364"/>
      <c r="Z925" s="364"/>
    </row>
    <row r="926">
      <c r="A926" s="367"/>
      <c r="B926" s="367"/>
      <c r="C926" s="364"/>
      <c r="D926" s="364"/>
      <c r="E926" s="364"/>
      <c r="F926" s="364"/>
      <c r="G926" s="364"/>
      <c r="H926" s="364"/>
      <c r="I926" s="364"/>
      <c r="J926" s="364"/>
      <c r="K926" s="364"/>
      <c r="L926" s="364"/>
      <c r="M926" s="364"/>
      <c r="N926" s="364"/>
      <c r="O926" s="364"/>
      <c r="P926" s="364"/>
      <c r="Q926" s="364"/>
      <c r="R926" s="364"/>
      <c r="S926" s="364"/>
      <c r="T926" s="364"/>
      <c r="U926" s="364"/>
      <c r="V926" s="364"/>
      <c r="W926" s="364"/>
      <c r="X926" s="364"/>
      <c r="Y926" s="364"/>
      <c r="Z926" s="364"/>
    </row>
    <row r="927">
      <c r="A927" s="367"/>
      <c r="B927" s="367"/>
      <c r="C927" s="364"/>
      <c r="D927" s="364"/>
      <c r="E927" s="364"/>
      <c r="F927" s="364"/>
      <c r="G927" s="364"/>
      <c r="H927" s="364"/>
      <c r="I927" s="364"/>
      <c r="J927" s="364"/>
      <c r="K927" s="364"/>
      <c r="L927" s="364"/>
      <c r="M927" s="364"/>
      <c r="N927" s="364"/>
      <c r="O927" s="364"/>
      <c r="P927" s="364"/>
      <c r="Q927" s="364"/>
      <c r="R927" s="364"/>
      <c r="S927" s="364"/>
      <c r="T927" s="364"/>
      <c r="U927" s="364"/>
      <c r="V927" s="364"/>
      <c r="W927" s="364"/>
      <c r="X927" s="364"/>
      <c r="Y927" s="364"/>
      <c r="Z927" s="364"/>
    </row>
    <row r="928">
      <c r="A928" s="367"/>
      <c r="B928" s="367"/>
      <c r="C928" s="364"/>
      <c r="D928" s="364"/>
      <c r="E928" s="364"/>
      <c r="F928" s="364"/>
      <c r="G928" s="364"/>
      <c r="H928" s="364"/>
      <c r="I928" s="364"/>
      <c r="J928" s="364"/>
      <c r="K928" s="364"/>
      <c r="L928" s="364"/>
      <c r="M928" s="364"/>
      <c r="N928" s="364"/>
      <c r="O928" s="364"/>
      <c r="P928" s="364"/>
      <c r="Q928" s="364"/>
      <c r="R928" s="364"/>
      <c r="S928" s="364"/>
      <c r="T928" s="364"/>
      <c r="U928" s="364"/>
      <c r="V928" s="364"/>
      <c r="W928" s="364"/>
      <c r="X928" s="364"/>
      <c r="Y928" s="364"/>
      <c r="Z928" s="364"/>
    </row>
    <row r="929">
      <c r="A929" s="367"/>
      <c r="B929" s="367"/>
      <c r="C929" s="364"/>
      <c r="D929" s="364"/>
      <c r="E929" s="364"/>
      <c r="F929" s="364"/>
      <c r="G929" s="364"/>
      <c r="H929" s="364"/>
      <c r="I929" s="364"/>
      <c r="J929" s="364"/>
      <c r="K929" s="364"/>
      <c r="L929" s="364"/>
      <c r="M929" s="364"/>
      <c r="N929" s="364"/>
      <c r="O929" s="364"/>
      <c r="P929" s="364"/>
      <c r="Q929" s="364"/>
      <c r="R929" s="364"/>
      <c r="S929" s="364"/>
      <c r="T929" s="364"/>
      <c r="U929" s="364"/>
      <c r="V929" s="364"/>
      <c r="W929" s="364"/>
      <c r="X929" s="364"/>
      <c r="Y929" s="364"/>
      <c r="Z929" s="364"/>
    </row>
    <row r="930">
      <c r="A930" s="367"/>
      <c r="B930" s="367"/>
      <c r="C930" s="364"/>
      <c r="D930" s="364"/>
      <c r="E930" s="364"/>
      <c r="F930" s="364"/>
      <c r="G930" s="364"/>
      <c r="H930" s="364"/>
      <c r="I930" s="364"/>
      <c r="J930" s="364"/>
      <c r="K930" s="364"/>
      <c r="L930" s="364"/>
      <c r="M930" s="364"/>
      <c r="N930" s="364"/>
      <c r="O930" s="364"/>
      <c r="P930" s="364"/>
      <c r="Q930" s="364"/>
      <c r="R930" s="364"/>
      <c r="S930" s="364"/>
      <c r="T930" s="364"/>
      <c r="U930" s="364"/>
      <c r="V930" s="364"/>
      <c r="W930" s="364"/>
      <c r="X930" s="364"/>
      <c r="Y930" s="364"/>
      <c r="Z930" s="364"/>
    </row>
    <row r="931">
      <c r="A931" s="367"/>
      <c r="B931" s="367"/>
      <c r="C931" s="364"/>
      <c r="D931" s="364"/>
      <c r="E931" s="364"/>
      <c r="F931" s="364"/>
      <c r="G931" s="364"/>
      <c r="H931" s="364"/>
      <c r="I931" s="364"/>
      <c r="J931" s="364"/>
      <c r="K931" s="364"/>
      <c r="L931" s="364"/>
      <c r="M931" s="364"/>
      <c r="N931" s="364"/>
      <c r="O931" s="364"/>
      <c r="P931" s="364"/>
      <c r="Q931" s="364"/>
      <c r="R931" s="364"/>
      <c r="S931" s="364"/>
      <c r="T931" s="364"/>
      <c r="U931" s="364"/>
      <c r="V931" s="364"/>
      <c r="W931" s="364"/>
      <c r="X931" s="364"/>
      <c r="Y931" s="364"/>
      <c r="Z931" s="364"/>
    </row>
    <row r="932">
      <c r="A932" s="367"/>
      <c r="B932" s="367"/>
      <c r="C932" s="364"/>
      <c r="D932" s="364"/>
      <c r="E932" s="364"/>
      <c r="F932" s="364"/>
      <c r="G932" s="364"/>
      <c r="H932" s="364"/>
      <c r="I932" s="364"/>
      <c r="J932" s="364"/>
      <c r="K932" s="364"/>
      <c r="L932" s="364"/>
      <c r="M932" s="364"/>
      <c r="N932" s="364"/>
      <c r="O932" s="364"/>
      <c r="P932" s="364"/>
      <c r="Q932" s="364"/>
      <c r="R932" s="364"/>
      <c r="S932" s="364"/>
      <c r="T932" s="364"/>
      <c r="U932" s="364"/>
      <c r="V932" s="364"/>
      <c r="W932" s="364"/>
      <c r="X932" s="364"/>
      <c r="Y932" s="364"/>
      <c r="Z932" s="364"/>
    </row>
    <row r="933">
      <c r="A933" s="367"/>
      <c r="B933" s="367"/>
      <c r="C933" s="364"/>
      <c r="D933" s="364"/>
      <c r="E933" s="364"/>
      <c r="F933" s="364"/>
      <c r="G933" s="364"/>
      <c r="H933" s="364"/>
      <c r="I933" s="364"/>
      <c r="J933" s="364"/>
      <c r="K933" s="364"/>
      <c r="L933" s="364"/>
      <c r="M933" s="364"/>
      <c r="N933" s="364"/>
      <c r="O933" s="364"/>
      <c r="P933" s="364"/>
      <c r="Q933" s="364"/>
      <c r="R933" s="364"/>
      <c r="S933" s="364"/>
      <c r="T933" s="364"/>
      <c r="U933" s="364"/>
      <c r="V933" s="364"/>
      <c r="W933" s="364"/>
      <c r="X933" s="364"/>
      <c r="Y933" s="364"/>
      <c r="Z933" s="364"/>
    </row>
    <row r="934">
      <c r="A934" s="367"/>
      <c r="B934" s="367"/>
      <c r="C934" s="364"/>
      <c r="D934" s="364"/>
      <c r="E934" s="364"/>
      <c r="F934" s="364"/>
      <c r="G934" s="364"/>
      <c r="H934" s="364"/>
      <c r="I934" s="364"/>
      <c r="J934" s="364"/>
      <c r="K934" s="364"/>
      <c r="L934" s="364"/>
      <c r="M934" s="364"/>
      <c r="N934" s="364"/>
      <c r="O934" s="364"/>
      <c r="P934" s="364"/>
      <c r="Q934" s="364"/>
      <c r="R934" s="364"/>
      <c r="S934" s="364"/>
      <c r="T934" s="364"/>
      <c r="U934" s="364"/>
      <c r="V934" s="364"/>
      <c r="W934" s="364"/>
      <c r="X934" s="364"/>
      <c r="Y934" s="364"/>
      <c r="Z934" s="364"/>
    </row>
    <row r="935">
      <c r="A935" s="367"/>
      <c r="B935" s="367"/>
      <c r="C935" s="364"/>
      <c r="D935" s="364"/>
      <c r="E935" s="364"/>
      <c r="F935" s="364"/>
      <c r="G935" s="364"/>
      <c r="H935" s="364"/>
      <c r="I935" s="364"/>
      <c r="J935" s="364"/>
      <c r="K935" s="364"/>
      <c r="L935" s="364"/>
      <c r="M935" s="364"/>
      <c r="N935" s="364"/>
      <c r="O935" s="364"/>
      <c r="P935" s="364"/>
      <c r="Q935" s="364"/>
      <c r="R935" s="364"/>
      <c r="S935" s="364"/>
      <c r="T935" s="364"/>
      <c r="U935" s="364"/>
      <c r="V935" s="364"/>
      <c r="W935" s="364"/>
      <c r="X935" s="364"/>
      <c r="Y935" s="364"/>
      <c r="Z935" s="364"/>
    </row>
    <row r="936">
      <c r="A936" s="367"/>
      <c r="B936" s="367"/>
      <c r="C936" s="364"/>
      <c r="D936" s="364"/>
      <c r="E936" s="364"/>
      <c r="F936" s="364"/>
      <c r="G936" s="364"/>
      <c r="H936" s="364"/>
      <c r="I936" s="364"/>
      <c r="J936" s="364"/>
      <c r="K936" s="364"/>
      <c r="L936" s="364"/>
      <c r="M936" s="364"/>
      <c r="N936" s="364"/>
      <c r="O936" s="364"/>
      <c r="P936" s="364"/>
      <c r="Q936" s="364"/>
      <c r="R936" s="364"/>
      <c r="S936" s="364"/>
      <c r="T936" s="364"/>
      <c r="U936" s="364"/>
      <c r="V936" s="364"/>
      <c r="W936" s="364"/>
      <c r="X936" s="364"/>
      <c r="Y936" s="364"/>
      <c r="Z936" s="364"/>
    </row>
    <row r="937">
      <c r="A937" s="367"/>
      <c r="B937" s="367"/>
      <c r="C937" s="364"/>
      <c r="D937" s="364"/>
      <c r="E937" s="364"/>
      <c r="F937" s="364"/>
      <c r="G937" s="364"/>
      <c r="H937" s="364"/>
      <c r="I937" s="364"/>
      <c r="J937" s="364"/>
      <c r="K937" s="364"/>
      <c r="L937" s="364"/>
      <c r="M937" s="364"/>
      <c r="N937" s="364"/>
      <c r="O937" s="364"/>
      <c r="P937" s="364"/>
      <c r="Q937" s="364"/>
      <c r="R937" s="364"/>
      <c r="S937" s="364"/>
      <c r="T937" s="364"/>
      <c r="U937" s="364"/>
      <c r="V937" s="364"/>
      <c r="W937" s="364"/>
      <c r="X937" s="364"/>
      <c r="Y937" s="364"/>
      <c r="Z937" s="364"/>
    </row>
    <row r="938">
      <c r="A938" s="367"/>
      <c r="B938" s="367"/>
      <c r="C938" s="364"/>
      <c r="D938" s="364"/>
      <c r="E938" s="364"/>
      <c r="F938" s="364"/>
      <c r="G938" s="364"/>
      <c r="H938" s="364"/>
      <c r="I938" s="364"/>
      <c r="J938" s="364"/>
      <c r="K938" s="364"/>
      <c r="L938" s="364"/>
      <c r="M938" s="364"/>
      <c r="N938" s="364"/>
      <c r="O938" s="364"/>
      <c r="P938" s="364"/>
      <c r="Q938" s="364"/>
      <c r="R938" s="364"/>
      <c r="S938" s="364"/>
      <c r="T938" s="364"/>
      <c r="U938" s="364"/>
      <c r="V938" s="364"/>
      <c r="W938" s="364"/>
      <c r="X938" s="364"/>
      <c r="Y938" s="364"/>
      <c r="Z938" s="364"/>
    </row>
    <row r="939">
      <c r="A939" s="367"/>
      <c r="B939" s="367"/>
      <c r="C939" s="364"/>
      <c r="D939" s="364"/>
      <c r="E939" s="364"/>
      <c r="F939" s="364"/>
      <c r="G939" s="364"/>
      <c r="H939" s="364"/>
      <c r="I939" s="364"/>
      <c r="J939" s="364"/>
      <c r="K939" s="364"/>
      <c r="L939" s="364"/>
      <c r="M939" s="364"/>
      <c r="N939" s="364"/>
      <c r="O939" s="364"/>
      <c r="P939" s="364"/>
      <c r="Q939" s="364"/>
      <c r="R939" s="364"/>
      <c r="S939" s="364"/>
      <c r="T939" s="364"/>
      <c r="U939" s="364"/>
      <c r="V939" s="364"/>
      <c r="W939" s="364"/>
      <c r="X939" s="364"/>
      <c r="Y939" s="364"/>
      <c r="Z939" s="364"/>
    </row>
    <row r="940">
      <c r="A940" s="367"/>
      <c r="B940" s="367"/>
      <c r="C940" s="364"/>
      <c r="D940" s="364"/>
      <c r="E940" s="364"/>
      <c r="F940" s="364"/>
      <c r="G940" s="364"/>
      <c r="H940" s="364"/>
      <c r="I940" s="364"/>
      <c r="J940" s="364"/>
      <c r="K940" s="364"/>
      <c r="L940" s="364"/>
      <c r="M940" s="364"/>
      <c r="N940" s="364"/>
      <c r="O940" s="364"/>
      <c r="P940" s="364"/>
      <c r="Q940" s="364"/>
      <c r="R940" s="364"/>
      <c r="S940" s="364"/>
      <c r="T940" s="364"/>
      <c r="U940" s="364"/>
      <c r="V940" s="364"/>
      <c r="W940" s="364"/>
      <c r="X940" s="364"/>
      <c r="Y940" s="364"/>
      <c r="Z940" s="364"/>
    </row>
    <row r="941">
      <c r="A941" s="367"/>
      <c r="B941" s="367"/>
      <c r="C941" s="364"/>
      <c r="D941" s="364"/>
      <c r="E941" s="364"/>
      <c r="F941" s="364"/>
      <c r="G941" s="364"/>
      <c r="H941" s="364"/>
      <c r="I941" s="364"/>
      <c r="J941" s="364"/>
      <c r="K941" s="364"/>
      <c r="L941" s="364"/>
      <c r="M941" s="364"/>
      <c r="N941" s="364"/>
      <c r="O941" s="364"/>
      <c r="P941" s="364"/>
      <c r="Q941" s="364"/>
      <c r="R941" s="364"/>
      <c r="S941" s="364"/>
      <c r="T941" s="364"/>
      <c r="U941" s="364"/>
      <c r="V941" s="364"/>
      <c r="W941" s="364"/>
      <c r="X941" s="364"/>
      <c r="Y941" s="364"/>
      <c r="Z941" s="364"/>
    </row>
    <row r="942">
      <c r="A942" s="367"/>
      <c r="B942" s="367"/>
      <c r="C942" s="364"/>
      <c r="D942" s="364"/>
      <c r="E942" s="364"/>
      <c r="F942" s="364"/>
      <c r="G942" s="364"/>
      <c r="H942" s="364"/>
      <c r="I942" s="364"/>
      <c r="J942" s="364"/>
      <c r="K942" s="364"/>
      <c r="L942" s="364"/>
      <c r="M942" s="364"/>
      <c r="N942" s="364"/>
      <c r="O942" s="364"/>
      <c r="P942" s="364"/>
      <c r="Q942" s="364"/>
      <c r="R942" s="364"/>
      <c r="S942" s="364"/>
      <c r="T942" s="364"/>
      <c r="U942" s="364"/>
      <c r="V942" s="364"/>
      <c r="W942" s="364"/>
      <c r="X942" s="364"/>
      <c r="Y942" s="364"/>
      <c r="Z942" s="364"/>
    </row>
    <row r="943">
      <c r="A943" s="367"/>
      <c r="B943" s="367"/>
      <c r="C943" s="364"/>
      <c r="D943" s="364"/>
      <c r="E943" s="364"/>
      <c r="F943" s="364"/>
      <c r="G943" s="364"/>
      <c r="H943" s="364"/>
      <c r="I943" s="364"/>
      <c r="J943" s="364"/>
      <c r="K943" s="364"/>
      <c r="L943" s="364"/>
      <c r="M943" s="364"/>
      <c r="N943" s="364"/>
      <c r="O943" s="364"/>
      <c r="P943" s="364"/>
      <c r="Q943" s="364"/>
      <c r="R943" s="364"/>
      <c r="S943" s="364"/>
      <c r="T943" s="364"/>
      <c r="U943" s="364"/>
      <c r="V943" s="364"/>
      <c r="W943" s="364"/>
      <c r="X943" s="364"/>
      <c r="Y943" s="364"/>
      <c r="Z943" s="364"/>
    </row>
    <row r="944">
      <c r="A944" s="367"/>
      <c r="B944" s="367"/>
      <c r="C944" s="364"/>
      <c r="D944" s="364"/>
      <c r="E944" s="364"/>
      <c r="F944" s="364"/>
      <c r="G944" s="364"/>
      <c r="H944" s="364"/>
      <c r="I944" s="364"/>
      <c r="J944" s="364"/>
      <c r="K944" s="364"/>
      <c r="L944" s="364"/>
      <c r="M944" s="364"/>
      <c r="N944" s="364"/>
      <c r="O944" s="364"/>
      <c r="P944" s="364"/>
      <c r="Q944" s="364"/>
      <c r="R944" s="364"/>
      <c r="S944" s="364"/>
      <c r="T944" s="364"/>
      <c r="U944" s="364"/>
      <c r="V944" s="364"/>
      <c r="W944" s="364"/>
      <c r="X944" s="364"/>
      <c r="Y944" s="364"/>
      <c r="Z944" s="364"/>
    </row>
    <row r="945">
      <c r="A945" s="367"/>
      <c r="B945" s="367"/>
      <c r="C945" s="364"/>
      <c r="D945" s="364"/>
      <c r="E945" s="364"/>
      <c r="F945" s="364"/>
      <c r="G945" s="364"/>
      <c r="H945" s="364"/>
      <c r="I945" s="364"/>
      <c r="J945" s="364"/>
      <c r="K945" s="364"/>
      <c r="L945" s="364"/>
      <c r="M945" s="364"/>
      <c r="N945" s="364"/>
      <c r="O945" s="364"/>
      <c r="P945" s="364"/>
      <c r="Q945" s="364"/>
      <c r="R945" s="364"/>
      <c r="S945" s="364"/>
      <c r="T945" s="364"/>
      <c r="U945" s="364"/>
      <c r="V945" s="364"/>
      <c r="W945" s="364"/>
      <c r="X945" s="364"/>
      <c r="Y945" s="364"/>
      <c r="Z945" s="364"/>
    </row>
    <row r="946">
      <c r="A946" s="367"/>
      <c r="B946" s="367"/>
      <c r="C946" s="364"/>
      <c r="D946" s="364"/>
      <c r="E946" s="364"/>
      <c r="F946" s="364"/>
      <c r="G946" s="364"/>
      <c r="H946" s="364"/>
      <c r="I946" s="364"/>
      <c r="J946" s="364"/>
      <c r="K946" s="364"/>
      <c r="L946" s="364"/>
      <c r="M946" s="364"/>
      <c r="N946" s="364"/>
      <c r="O946" s="364"/>
      <c r="P946" s="364"/>
      <c r="Q946" s="364"/>
      <c r="R946" s="364"/>
      <c r="S946" s="364"/>
      <c r="T946" s="364"/>
      <c r="U946" s="364"/>
      <c r="V946" s="364"/>
      <c r="W946" s="364"/>
      <c r="X946" s="364"/>
      <c r="Y946" s="364"/>
      <c r="Z946" s="364"/>
    </row>
    <row r="947">
      <c r="A947" s="367"/>
      <c r="B947" s="367"/>
      <c r="C947" s="364"/>
      <c r="D947" s="364"/>
      <c r="E947" s="364"/>
      <c r="F947" s="364"/>
      <c r="G947" s="364"/>
      <c r="H947" s="364"/>
      <c r="I947" s="364"/>
      <c r="J947" s="364"/>
      <c r="K947" s="364"/>
      <c r="L947" s="364"/>
      <c r="M947" s="364"/>
      <c r="N947" s="364"/>
      <c r="O947" s="364"/>
      <c r="P947" s="364"/>
      <c r="Q947" s="364"/>
      <c r="R947" s="364"/>
      <c r="S947" s="364"/>
      <c r="T947" s="364"/>
      <c r="U947" s="364"/>
      <c r="V947" s="364"/>
      <c r="W947" s="364"/>
      <c r="X947" s="364"/>
      <c r="Y947" s="364"/>
      <c r="Z947" s="364"/>
    </row>
    <row r="948">
      <c r="A948" s="367"/>
      <c r="B948" s="367"/>
      <c r="C948" s="364"/>
      <c r="D948" s="364"/>
      <c r="E948" s="364"/>
      <c r="F948" s="364"/>
      <c r="G948" s="364"/>
      <c r="H948" s="364"/>
      <c r="I948" s="364"/>
      <c r="J948" s="364"/>
      <c r="K948" s="364"/>
      <c r="L948" s="364"/>
      <c r="M948" s="364"/>
      <c r="N948" s="364"/>
      <c r="O948" s="364"/>
      <c r="P948" s="364"/>
      <c r="Q948" s="364"/>
      <c r="R948" s="364"/>
      <c r="S948" s="364"/>
      <c r="T948" s="364"/>
      <c r="U948" s="364"/>
      <c r="V948" s="364"/>
      <c r="W948" s="364"/>
      <c r="X948" s="364"/>
      <c r="Y948" s="364"/>
      <c r="Z948" s="364"/>
    </row>
    <row r="949">
      <c r="A949" s="367"/>
      <c r="B949" s="367"/>
      <c r="C949" s="364"/>
      <c r="D949" s="364"/>
      <c r="E949" s="364"/>
      <c r="F949" s="364"/>
      <c r="G949" s="364"/>
      <c r="H949" s="364"/>
      <c r="I949" s="364"/>
      <c r="J949" s="364"/>
      <c r="K949" s="364"/>
      <c r="L949" s="364"/>
      <c r="M949" s="364"/>
      <c r="N949" s="364"/>
      <c r="O949" s="364"/>
      <c r="P949" s="364"/>
      <c r="Q949" s="364"/>
      <c r="R949" s="364"/>
      <c r="S949" s="364"/>
      <c r="T949" s="364"/>
      <c r="U949" s="364"/>
      <c r="V949" s="364"/>
      <c r="W949" s="364"/>
      <c r="X949" s="364"/>
      <c r="Y949" s="364"/>
      <c r="Z949" s="364"/>
    </row>
    <row r="950">
      <c r="A950" s="367"/>
      <c r="B950" s="367"/>
      <c r="C950" s="364"/>
      <c r="D950" s="364"/>
      <c r="E950" s="364"/>
      <c r="F950" s="364"/>
      <c r="G950" s="364"/>
      <c r="H950" s="364"/>
      <c r="I950" s="364"/>
      <c r="J950" s="364"/>
      <c r="K950" s="364"/>
      <c r="L950" s="364"/>
      <c r="M950" s="364"/>
      <c r="N950" s="364"/>
      <c r="O950" s="364"/>
      <c r="P950" s="364"/>
      <c r="Q950" s="364"/>
      <c r="R950" s="364"/>
      <c r="S950" s="364"/>
      <c r="T950" s="364"/>
      <c r="U950" s="364"/>
      <c r="V950" s="364"/>
      <c r="W950" s="364"/>
      <c r="X950" s="364"/>
      <c r="Y950" s="364"/>
      <c r="Z950" s="364"/>
    </row>
    <row r="951">
      <c r="A951" s="367"/>
      <c r="B951" s="367"/>
      <c r="C951" s="364"/>
      <c r="D951" s="364"/>
      <c r="E951" s="364"/>
      <c r="F951" s="364"/>
      <c r="G951" s="364"/>
      <c r="H951" s="364"/>
      <c r="I951" s="364"/>
      <c r="J951" s="364"/>
      <c r="K951" s="364"/>
      <c r="L951" s="364"/>
      <c r="M951" s="364"/>
      <c r="N951" s="364"/>
      <c r="O951" s="364"/>
      <c r="P951" s="364"/>
      <c r="Q951" s="364"/>
      <c r="R951" s="364"/>
      <c r="S951" s="364"/>
      <c r="T951" s="364"/>
      <c r="U951" s="364"/>
      <c r="V951" s="364"/>
      <c r="W951" s="364"/>
      <c r="X951" s="364"/>
      <c r="Y951" s="364"/>
      <c r="Z951" s="364"/>
    </row>
    <row r="952">
      <c r="A952" s="367"/>
      <c r="B952" s="367"/>
      <c r="C952" s="364"/>
      <c r="D952" s="364"/>
      <c r="E952" s="364"/>
      <c r="F952" s="364"/>
      <c r="G952" s="364"/>
      <c r="H952" s="364"/>
      <c r="I952" s="364"/>
      <c r="J952" s="364"/>
      <c r="K952" s="364"/>
      <c r="L952" s="364"/>
      <c r="M952" s="364"/>
      <c r="N952" s="364"/>
      <c r="O952" s="364"/>
      <c r="P952" s="364"/>
      <c r="Q952" s="364"/>
      <c r="R952" s="364"/>
      <c r="S952" s="364"/>
      <c r="T952" s="364"/>
      <c r="U952" s="364"/>
      <c r="V952" s="364"/>
      <c r="W952" s="364"/>
      <c r="X952" s="364"/>
      <c r="Y952" s="364"/>
      <c r="Z952" s="364"/>
    </row>
    <row r="953">
      <c r="A953" s="367"/>
      <c r="B953" s="367"/>
      <c r="C953" s="364"/>
      <c r="D953" s="364"/>
      <c r="E953" s="364"/>
      <c r="F953" s="364"/>
      <c r="G953" s="364"/>
      <c r="H953" s="364"/>
      <c r="I953" s="364"/>
      <c r="J953" s="364"/>
      <c r="K953" s="364"/>
      <c r="L953" s="364"/>
      <c r="M953" s="364"/>
      <c r="N953" s="364"/>
      <c r="O953" s="364"/>
      <c r="P953" s="364"/>
      <c r="Q953" s="364"/>
      <c r="R953" s="364"/>
      <c r="S953" s="364"/>
      <c r="T953" s="364"/>
      <c r="U953" s="364"/>
      <c r="V953" s="364"/>
      <c r="W953" s="364"/>
      <c r="X953" s="364"/>
      <c r="Y953" s="364"/>
      <c r="Z953" s="364"/>
    </row>
    <row r="954">
      <c r="A954" s="367"/>
      <c r="B954" s="367"/>
      <c r="C954" s="364"/>
      <c r="D954" s="364"/>
      <c r="E954" s="364"/>
      <c r="F954" s="364"/>
      <c r="G954" s="364"/>
      <c r="H954" s="364"/>
      <c r="I954" s="364"/>
      <c r="J954" s="364"/>
      <c r="K954" s="364"/>
      <c r="L954" s="364"/>
      <c r="M954" s="364"/>
      <c r="N954" s="364"/>
      <c r="O954" s="364"/>
      <c r="P954" s="364"/>
      <c r="Q954" s="364"/>
      <c r="R954" s="364"/>
      <c r="S954" s="364"/>
      <c r="T954" s="364"/>
      <c r="U954" s="364"/>
      <c r="V954" s="364"/>
      <c r="W954" s="364"/>
      <c r="X954" s="364"/>
      <c r="Y954" s="364"/>
      <c r="Z954" s="364"/>
    </row>
    <row r="955">
      <c r="A955" s="367"/>
      <c r="B955" s="367"/>
      <c r="C955" s="364"/>
      <c r="D955" s="364"/>
      <c r="E955" s="364"/>
      <c r="F955" s="364"/>
      <c r="G955" s="364"/>
      <c r="H955" s="364"/>
      <c r="I955" s="364"/>
      <c r="J955" s="364"/>
      <c r="K955" s="364"/>
      <c r="L955" s="364"/>
      <c r="M955" s="364"/>
      <c r="N955" s="364"/>
      <c r="O955" s="364"/>
      <c r="P955" s="364"/>
      <c r="Q955" s="364"/>
      <c r="R955" s="364"/>
      <c r="S955" s="364"/>
      <c r="T955" s="364"/>
      <c r="U955" s="364"/>
      <c r="V955" s="364"/>
      <c r="W955" s="364"/>
      <c r="X955" s="364"/>
      <c r="Y955" s="364"/>
      <c r="Z955" s="364"/>
    </row>
    <row r="956">
      <c r="A956" s="367"/>
      <c r="B956" s="367"/>
      <c r="C956" s="364"/>
      <c r="D956" s="364"/>
      <c r="E956" s="364"/>
      <c r="F956" s="364"/>
      <c r="G956" s="364"/>
      <c r="H956" s="364"/>
      <c r="I956" s="364"/>
      <c r="J956" s="364"/>
      <c r="K956" s="364"/>
      <c r="L956" s="364"/>
      <c r="M956" s="364"/>
      <c r="N956" s="364"/>
      <c r="O956" s="364"/>
      <c r="P956" s="364"/>
      <c r="Q956" s="364"/>
      <c r="R956" s="364"/>
      <c r="S956" s="364"/>
      <c r="T956" s="364"/>
      <c r="U956" s="364"/>
      <c r="V956" s="364"/>
      <c r="W956" s="364"/>
      <c r="X956" s="364"/>
      <c r="Y956" s="364"/>
      <c r="Z956" s="364"/>
    </row>
    <row r="957">
      <c r="A957" s="367"/>
      <c r="B957" s="367"/>
      <c r="C957" s="364"/>
      <c r="D957" s="364"/>
      <c r="E957" s="364"/>
      <c r="F957" s="364"/>
      <c r="G957" s="364"/>
      <c r="H957" s="364"/>
      <c r="I957" s="364"/>
      <c r="J957" s="364"/>
      <c r="K957" s="364"/>
      <c r="L957" s="364"/>
      <c r="M957" s="364"/>
      <c r="N957" s="364"/>
      <c r="O957" s="364"/>
      <c r="P957" s="364"/>
      <c r="Q957" s="364"/>
      <c r="R957" s="364"/>
      <c r="S957" s="364"/>
      <c r="T957" s="364"/>
      <c r="U957" s="364"/>
      <c r="V957" s="364"/>
      <c r="W957" s="364"/>
      <c r="X957" s="364"/>
      <c r="Y957" s="364"/>
      <c r="Z957" s="364"/>
    </row>
    <row r="958">
      <c r="A958" s="367"/>
      <c r="B958" s="367"/>
      <c r="C958" s="364"/>
      <c r="D958" s="364"/>
      <c r="E958" s="364"/>
      <c r="F958" s="364"/>
      <c r="G958" s="364"/>
      <c r="H958" s="364"/>
      <c r="I958" s="364"/>
      <c r="J958" s="364"/>
      <c r="K958" s="364"/>
      <c r="L958" s="364"/>
      <c r="M958" s="364"/>
      <c r="N958" s="364"/>
      <c r="O958" s="364"/>
      <c r="P958" s="364"/>
      <c r="Q958" s="364"/>
      <c r="R958" s="364"/>
      <c r="S958" s="364"/>
      <c r="T958" s="364"/>
      <c r="U958" s="364"/>
      <c r="V958" s="364"/>
      <c r="W958" s="364"/>
      <c r="X958" s="364"/>
      <c r="Y958" s="364"/>
      <c r="Z958" s="364"/>
    </row>
    <row r="959">
      <c r="A959" s="367"/>
      <c r="B959" s="367"/>
      <c r="C959" s="364"/>
      <c r="D959" s="364"/>
      <c r="E959" s="364"/>
      <c r="F959" s="364"/>
      <c r="G959" s="364"/>
      <c r="H959" s="364"/>
      <c r="I959" s="364"/>
      <c r="J959" s="364"/>
      <c r="K959" s="364"/>
      <c r="L959" s="364"/>
      <c r="M959" s="364"/>
      <c r="N959" s="364"/>
      <c r="O959" s="364"/>
      <c r="P959" s="364"/>
      <c r="Q959" s="364"/>
      <c r="R959" s="364"/>
      <c r="S959" s="364"/>
      <c r="T959" s="364"/>
      <c r="U959" s="364"/>
      <c r="V959" s="364"/>
      <c r="W959" s="364"/>
      <c r="X959" s="364"/>
      <c r="Y959" s="364"/>
      <c r="Z959" s="364"/>
    </row>
    <row r="960">
      <c r="A960" s="367"/>
      <c r="B960" s="367"/>
      <c r="C960" s="364"/>
      <c r="D960" s="364"/>
      <c r="E960" s="364"/>
      <c r="F960" s="364"/>
      <c r="G960" s="364"/>
      <c r="H960" s="364"/>
      <c r="I960" s="364"/>
      <c r="J960" s="364"/>
      <c r="K960" s="364"/>
      <c r="L960" s="364"/>
      <c r="M960" s="364"/>
      <c r="N960" s="364"/>
      <c r="O960" s="364"/>
      <c r="P960" s="364"/>
      <c r="Q960" s="364"/>
      <c r="R960" s="364"/>
      <c r="S960" s="364"/>
      <c r="T960" s="364"/>
      <c r="U960" s="364"/>
      <c r="V960" s="364"/>
      <c r="W960" s="364"/>
      <c r="X960" s="364"/>
      <c r="Y960" s="364"/>
      <c r="Z960" s="364"/>
    </row>
    <row r="961">
      <c r="A961" s="367"/>
      <c r="B961" s="367"/>
      <c r="C961" s="364"/>
      <c r="D961" s="364"/>
      <c r="E961" s="364"/>
      <c r="F961" s="364"/>
      <c r="G961" s="364"/>
      <c r="H961" s="364"/>
      <c r="I961" s="364"/>
      <c r="J961" s="364"/>
      <c r="K961" s="364"/>
      <c r="L961" s="364"/>
      <c r="M961" s="364"/>
      <c r="N961" s="364"/>
      <c r="O961" s="364"/>
      <c r="P961" s="364"/>
      <c r="Q961" s="364"/>
      <c r="R961" s="364"/>
      <c r="S961" s="364"/>
      <c r="T961" s="364"/>
      <c r="U961" s="364"/>
      <c r="V961" s="364"/>
      <c r="W961" s="364"/>
      <c r="X961" s="364"/>
      <c r="Y961" s="364"/>
      <c r="Z961" s="364"/>
    </row>
    <row r="962">
      <c r="A962" s="367"/>
      <c r="B962" s="367"/>
      <c r="C962" s="364"/>
      <c r="D962" s="364"/>
      <c r="E962" s="364"/>
      <c r="F962" s="364"/>
      <c r="G962" s="364"/>
      <c r="H962" s="364"/>
      <c r="I962" s="364"/>
      <c r="J962" s="364"/>
      <c r="K962" s="364"/>
      <c r="L962" s="364"/>
      <c r="M962" s="364"/>
      <c r="N962" s="364"/>
      <c r="O962" s="364"/>
      <c r="P962" s="364"/>
      <c r="Q962" s="364"/>
      <c r="R962" s="364"/>
      <c r="S962" s="364"/>
      <c r="T962" s="364"/>
      <c r="U962" s="364"/>
      <c r="V962" s="364"/>
      <c r="W962" s="364"/>
      <c r="X962" s="364"/>
      <c r="Y962" s="364"/>
      <c r="Z962" s="364"/>
    </row>
    <row r="963">
      <c r="A963" s="367"/>
      <c r="B963" s="367"/>
      <c r="C963" s="364"/>
      <c r="D963" s="364"/>
      <c r="E963" s="364"/>
      <c r="F963" s="364"/>
      <c r="G963" s="364"/>
      <c r="H963" s="364"/>
      <c r="I963" s="364"/>
      <c r="J963" s="364"/>
      <c r="K963" s="364"/>
      <c r="L963" s="364"/>
      <c r="M963" s="364"/>
      <c r="N963" s="364"/>
      <c r="O963" s="364"/>
      <c r="P963" s="364"/>
      <c r="Q963" s="364"/>
      <c r="R963" s="364"/>
      <c r="S963" s="364"/>
      <c r="T963" s="364"/>
      <c r="U963" s="364"/>
      <c r="V963" s="364"/>
      <c r="W963" s="364"/>
      <c r="X963" s="364"/>
      <c r="Y963" s="364"/>
      <c r="Z963" s="364"/>
    </row>
    <row r="964">
      <c r="A964" s="367"/>
      <c r="B964" s="367"/>
      <c r="C964" s="364"/>
      <c r="D964" s="364"/>
      <c r="E964" s="364"/>
      <c r="F964" s="364"/>
      <c r="G964" s="364"/>
      <c r="H964" s="364"/>
      <c r="I964" s="364"/>
      <c r="J964" s="364"/>
      <c r="K964" s="364"/>
      <c r="L964" s="364"/>
      <c r="M964" s="364"/>
      <c r="N964" s="364"/>
      <c r="O964" s="364"/>
      <c r="P964" s="364"/>
      <c r="Q964" s="364"/>
      <c r="R964" s="364"/>
      <c r="S964" s="364"/>
      <c r="T964" s="364"/>
      <c r="U964" s="364"/>
      <c r="V964" s="364"/>
      <c r="W964" s="364"/>
      <c r="X964" s="364"/>
      <c r="Y964" s="364"/>
      <c r="Z964" s="364"/>
    </row>
    <row r="965">
      <c r="A965" s="367"/>
      <c r="B965" s="367"/>
      <c r="C965" s="364"/>
      <c r="D965" s="364"/>
      <c r="E965" s="364"/>
      <c r="F965" s="364"/>
      <c r="G965" s="364"/>
      <c r="H965" s="364"/>
      <c r="I965" s="364"/>
      <c r="J965" s="364"/>
      <c r="K965" s="364"/>
      <c r="L965" s="364"/>
      <c r="M965" s="364"/>
      <c r="N965" s="364"/>
      <c r="O965" s="364"/>
      <c r="P965" s="364"/>
      <c r="Q965" s="364"/>
      <c r="R965" s="364"/>
      <c r="S965" s="364"/>
      <c r="T965" s="364"/>
      <c r="U965" s="364"/>
      <c r="V965" s="364"/>
      <c r="W965" s="364"/>
      <c r="X965" s="364"/>
      <c r="Y965" s="364"/>
      <c r="Z965" s="364"/>
    </row>
    <row r="966">
      <c r="A966" s="367"/>
      <c r="B966" s="367"/>
      <c r="C966" s="364"/>
      <c r="D966" s="364"/>
      <c r="E966" s="364"/>
      <c r="F966" s="364"/>
      <c r="G966" s="364"/>
      <c r="H966" s="364"/>
      <c r="I966" s="364"/>
      <c r="J966" s="364"/>
      <c r="K966" s="364"/>
      <c r="L966" s="364"/>
      <c r="M966" s="364"/>
      <c r="N966" s="364"/>
      <c r="O966" s="364"/>
      <c r="P966" s="364"/>
      <c r="Q966" s="364"/>
      <c r="R966" s="364"/>
      <c r="S966" s="364"/>
      <c r="T966" s="364"/>
      <c r="U966" s="364"/>
      <c r="V966" s="364"/>
      <c r="W966" s="364"/>
      <c r="X966" s="364"/>
      <c r="Y966" s="364"/>
      <c r="Z966" s="364"/>
    </row>
    <row r="967">
      <c r="A967" s="367"/>
      <c r="B967" s="367"/>
      <c r="C967" s="364"/>
      <c r="D967" s="364"/>
      <c r="E967" s="364"/>
      <c r="F967" s="364"/>
      <c r="G967" s="364"/>
      <c r="H967" s="364"/>
      <c r="I967" s="364"/>
      <c r="J967" s="364"/>
      <c r="K967" s="364"/>
      <c r="L967" s="364"/>
      <c r="M967" s="364"/>
      <c r="N967" s="364"/>
      <c r="O967" s="364"/>
      <c r="P967" s="364"/>
      <c r="Q967" s="364"/>
      <c r="R967" s="364"/>
      <c r="S967" s="364"/>
      <c r="T967" s="364"/>
      <c r="U967" s="364"/>
      <c r="V967" s="364"/>
      <c r="W967" s="364"/>
      <c r="X967" s="364"/>
      <c r="Y967" s="364"/>
      <c r="Z967" s="364"/>
    </row>
    <row r="968">
      <c r="A968" s="367"/>
      <c r="B968" s="367"/>
      <c r="C968" s="364"/>
      <c r="D968" s="364"/>
      <c r="E968" s="364"/>
      <c r="F968" s="364"/>
      <c r="G968" s="364"/>
      <c r="H968" s="364"/>
      <c r="I968" s="364"/>
      <c r="J968" s="364"/>
      <c r="K968" s="364"/>
      <c r="L968" s="364"/>
      <c r="M968" s="364"/>
      <c r="N968" s="364"/>
      <c r="O968" s="364"/>
      <c r="P968" s="364"/>
      <c r="Q968" s="364"/>
      <c r="R968" s="364"/>
      <c r="S968" s="364"/>
      <c r="T968" s="364"/>
      <c r="U968" s="364"/>
      <c r="V968" s="364"/>
      <c r="W968" s="364"/>
      <c r="X968" s="364"/>
      <c r="Y968" s="364"/>
      <c r="Z968" s="364"/>
    </row>
    <row r="969">
      <c r="A969" s="367"/>
      <c r="B969" s="367"/>
      <c r="C969" s="364"/>
      <c r="D969" s="364"/>
      <c r="E969" s="364"/>
      <c r="F969" s="364"/>
      <c r="G969" s="364"/>
      <c r="H969" s="364"/>
      <c r="I969" s="364"/>
      <c r="J969" s="364"/>
      <c r="K969" s="364"/>
      <c r="L969" s="364"/>
      <c r="M969" s="364"/>
      <c r="N969" s="364"/>
      <c r="O969" s="364"/>
      <c r="P969" s="364"/>
      <c r="Q969" s="364"/>
      <c r="R969" s="364"/>
      <c r="S969" s="364"/>
      <c r="T969" s="364"/>
      <c r="U969" s="364"/>
      <c r="V969" s="364"/>
      <c r="W969" s="364"/>
      <c r="X969" s="364"/>
      <c r="Y969" s="364"/>
      <c r="Z969" s="364"/>
    </row>
    <row r="970">
      <c r="A970" s="367"/>
      <c r="B970" s="367"/>
      <c r="C970" s="364"/>
      <c r="D970" s="364"/>
      <c r="E970" s="364"/>
      <c r="F970" s="364"/>
      <c r="G970" s="364"/>
      <c r="H970" s="364"/>
      <c r="I970" s="364"/>
      <c r="J970" s="364"/>
      <c r="K970" s="364"/>
      <c r="L970" s="364"/>
      <c r="M970" s="364"/>
      <c r="N970" s="364"/>
      <c r="O970" s="364"/>
      <c r="P970" s="364"/>
      <c r="Q970" s="364"/>
      <c r="R970" s="364"/>
      <c r="S970" s="364"/>
      <c r="T970" s="364"/>
      <c r="U970" s="364"/>
      <c r="V970" s="364"/>
      <c r="W970" s="364"/>
      <c r="X970" s="364"/>
      <c r="Y970" s="364"/>
      <c r="Z970" s="364"/>
    </row>
    <row r="971">
      <c r="A971" s="367"/>
      <c r="B971" s="367"/>
      <c r="C971" s="364"/>
      <c r="D971" s="364"/>
      <c r="E971" s="364"/>
      <c r="F971" s="364"/>
      <c r="G971" s="364"/>
      <c r="H971" s="364"/>
      <c r="I971" s="364"/>
      <c r="J971" s="364"/>
      <c r="K971" s="364"/>
      <c r="L971" s="364"/>
      <c r="M971" s="364"/>
      <c r="N971" s="364"/>
      <c r="O971" s="364"/>
      <c r="P971" s="364"/>
      <c r="Q971" s="364"/>
      <c r="R971" s="364"/>
      <c r="S971" s="364"/>
      <c r="T971" s="364"/>
      <c r="U971" s="364"/>
      <c r="V971" s="364"/>
      <c r="W971" s="364"/>
      <c r="X971" s="364"/>
      <c r="Y971" s="364"/>
      <c r="Z971" s="364"/>
    </row>
    <row r="972">
      <c r="A972" s="367"/>
      <c r="B972" s="367"/>
      <c r="C972" s="364"/>
      <c r="D972" s="364"/>
      <c r="E972" s="364"/>
      <c r="F972" s="364"/>
      <c r="G972" s="364"/>
      <c r="H972" s="364"/>
      <c r="I972" s="364"/>
      <c r="J972" s="364"/>
      <c r="K972" s="364"/>
      <c r="L972" s="364"/>
      <c r="M972" s="364"/>
      <c r="N972" s="364"/>
      <c r="O972" s="364"/>
      <c r="P972" s="364"/>
      <c r="Q972" s="364"/>
      <c r="R972" s="364"/>
      <c r="S972" s="364"/>
      <c r="T972" s="364"/>
      <c r="U972" s="364"/>
      <c r="V972" s="364"/>
      <c r="W972" s="364"/>
      <c r="X972" s="364"/>
      <c r="Y972" s="364"/>
      <c r="Z972" s="364"/>
    </row>
    <row r="973">
      <c r="A973" s="367"/>
      <c r="B973" s="367"/>
      <c r="C973" s="364"/>
      <c r="D973" s="364"/>
      <c r="E973" s="364"/>
      <c r="F973" s="364"/>
      <c r="G973" s="364"/>
      <c r="H973" s="364"/>
      <c r="I973" s="364"/>
      <c r="J973" s="364"/>
      <c r="K973" s="364"/>
      <c r="L973" s="364"/>
      <c r="M973" s="364"/>
      <c r="N973" s="364"/>
      <c r="O973" s="364"/>
      <c r="P973" s="364"/>
      <c r="Q973" s="364"/>
      <c r="R973" s="364"/>
      <c r="S973" s="364"/>
      <c r="T973" s="364"/>
      <c r="U973" s="364"/>
      <c r="V973" s="364"/>
      <c r="W973" s="364"/>
      <c r="X973" s="364"/>
      <c r="Y973" s="364"/>
      <c r="Z973" s="364"/>
    </row>
    <row r="974">
      <c r="A974" s="367"/>
      <c r="B974" s="367"/>
      <c r="C974" s="364"/>
      <c r="D974" s="364"/>
      <c r="E974" s="364"/>
      <c r="F974" s="364"/>
      <c r="G974" s="364"/>
      <c r="H974" s="364"/>
      <c r="I974" s="364"/>
      <c r="J974" s="364"/>
      <c r="K974" s="364"/>
      <c r="L974" s="364"/>
      <c r="M974" s="364"/>
      <c r="N974" s="364"/>
      <c r="O974" s="364"/>
      <c r="P974" s="364"/>
      <c r="Q974" s="364"/>
      <c r="R974" s="364"/>
      <c r="S974" s="364"/>
      <c r="T974" s="364"/>
      <c r="U974" s="364"/>
      <c r="V974" s="364"/>
      <c r="W974" s="364"/>
      <c r="X974" s="364"/>
      <c r="Y974" s="364"/>
      <c r="Z974" s="364"/>
    </row>
    <row r="975">
      <c r="A975" s="367"/>
      <c r="B975" s="367"/>
      <c r="C975" s="364"/>
      <c r="D975" s="364"/>
      <c r="E975" s="364"/>
      <c r="F975" s="364"/>
      <c r="G975" s="364"/>
      <c r="H975" s="364"/>
      <c r="I975" s="364"/>
      <c r="J975" s="364"/>
      <c r="K975" s="364"/>
      <c r="L975" s="364"/>
      <c r="M975" s="364"/>
      <c r="N975" s="364"/>
      <c r="O975" s="364"/>
      <c r="P975" s="364"/>
      <c r="Q975" s="364"/>
      <c r="R975" s="364"/>
      <c r="S975" s="364"/>
      <c r="T975" s="364"/>
      <c r="U975" s="364"/>
      <c r="V975" s="364"/>
      <c r="W975" s="364"/>
      <c r="X975" s="364"/>
      <c r="Y975" s="364"/>
      <c r="Z975" s="364"/>
    </row>
    <row r="976">
      <c r="A976" s="367"/>
      <c r="B976" s="367"/>
      <c r="C976" s="364"/>
      <c r="D976" s="364"/>
      <c r="E976" s="364"/>
      <c r="F976" s="364"/>
      <c r="G976" s="364"/>
      <c r="H976" s="364"/>
      <c r="I976" s="364"/>
      <c r="J976" s="364"/>
      <c r="K976" s="364"/>
      <c r="L976" s="364"/>
      <c r="M976" s="364"/>
      <c r="N976" s="364"/>
      <c r="O976" s="364"/>
      <c r="P976" s="364"/>
      <c r="Q976" s="364"/>
      <c r="R976" s="364"/>
      <c r="S976" s="364"/>
      <c r="T976" s="364"/>
      <c r="U976" s="364"/>
      <c r="V976" s="364"/>
      <c r="W976" s="364"/>
      <c r="X976" s="364"/>
      <c r="Y976" s="364"/>
      <c r="Z976" s="364"/>
    </row>
    <row r="977">
      <c r="A977" s="367"/>
      <c r="B977" s="367"/>
      <c r="C977" s="364"/>
      <c r="D977" s="364"/>
      <c r="E977" s="364"/>
      <c r="F977" s="364"/>
      <c r="G977" s="364"/>
      <c r="H977" s="364"/>
      <c r="I977" s="364"/>
      <c r="J977" s="364"/>
      <c r="K977" s="364"/>
      <c r="L977" s="364"/>
      <c r="M977" s="364"/>
      <c r="N977" s="364"/>
      <c r="O977" s="364"/>
      <c r="P977" s="364"/>
      <c r="Q977" s="364"/>
      <c r="R977" s="364"/>
      <c r="S977" s="364"/>
      <c r="T977" s="364"/>
      <c r="U977" s="364"/>
      <c r="V977" s="364"/>
      <c r="W977" s="364"/>
      <c r="X977" s="364"/>
      <c r="Y977" s="364"/>
      <c r="Z977" s="364"/>
    </row>
    <row r="978">
      <c r="A978" s="367"/>
      <c r="B978" s="367"/>
      <c r="C978" s="364"/>
      <c r="D978" s="364"/>
      <c r="E978" s="364"/>
      <c r="F978" s="364"/>
      <c r="G978" s="364"/>
      <c r="H978" s="364"/>
      <c r="I978" s="364"/>
      <c r="J978" s="364"/>
      <c r="K978" s="364"/>
      <c r="L978" s="364"/>
      <c r="M978" s="364"/>
      <c r="N978" s="364"/>
      <c r="O978" s="364"/>
      <c r="P978" s="364"/>
      <c r="Q978" s="364"/>
      <c r="R978" s="364"/>
      <c r="S978" s="364"/>
      <c r="T978" s="364"/>
      <c r="U978" s="364"/>
      <c r="V978" s="364"/>
      <c r="W978" s="364"/>
      <c r="X978" s="364"/>
      <c r="Y978" s="364"/>
      <c r="Z978" s="364"/>
    </row>
    <row r="979">
      <c r="A979" s="367"/>
      <c r="B979" s="367"/>
      <c r="C979" s="364"/>
      <c r="D979" s="364"/>
      <c r="E979" s="364"/>
      <c r="F979" s="364"/>
      <c r="G979" s="364"/>
      <c r="H979" s="364"/>
      <c r="I979" s="364"/>
      <c r="J979" s="364"/>
      <c r="K979" s="364"/>
      <c r="L979" s="364"/>
      <c r="M979" s="364"/>
      <c r="N979" s="364"/>
      <c r="O979" s="364"/>
      <c r="P979" s="364"/>
      <c r="Q979" s="364"/>
      <c r="R979" s="364"/>
      <c r="S979" s="364"/>
      <c r="T979" s="364"/>
      <c r="U979" s="364"/>
      <c r="V979" s="364"/>
      <c r="W979" s="364"/>
      <c r="X979" s="364"/>
      <c r="Y979" s="364"/>
      <c r="Z979" s="364"/>
    </row>
    <row r="980">
      <c r="A980" s="367"/>
      <c r="B980" s="367"/>
      <c r="C980" s="364"/>
      <c r="D980" s="364"/>
      <c r="E980" s="364"/>
      <c r="F980" s="364"/>
      <c r="G980" s="364"/>
      <c r="H980" s="364"/>
      <c r="I980" s="364"/>
      <c r="J980" s="364"/>
      <c r="K980" s="364"/>
      <c r="L980" s="364"/>
      <c r="M980" s="364"/>
      <c r="N980" s="364"/>
      <c r="O980" s="364"/>
      <c r="P980" s="364"/>
      <c r="Q980" s="364"/>
      <c r="R980" s="364"/>
      <c r="S980" s="364"/>
      <c r="T980" s="364"/>
      <c r="U980" s="364"/>
      <c r="V980" s="364"/>
      <c r="W980" s="364"/>
      <c r="X980" s="364"/>
      <c r="Y980" s="364"/>
      <c r="Z980" s="364"/>
    </row>
    <row r="981">
      <c r="A981" s="367"/>
      <c r="B981" s="367"/>
      <c r="C981" s="364"/>
      <c r="D981" s="364"/>
      <c r="E981" s="364"/>
      <c r="F981" s="364"/>
      <c r="G981" s="364"/>
      <c r="H981" s="364"/>
      <c r="I981" s="364"/>
      <c r="J981" s="364"/>
      <c r="K981" s="364"/>
      <c r="L981" s="364"/>
      <c r="M981" s="364"/>
      <c r="N981" s="364"/>
      <c r="O981" s="364"/>
      <c r="P981" s="364"/>
      <c r="Q981" s="364"/>
      <c r="R981" s="364"/>
      <c r="S981" s="364"/>
      <c r="T981" s="364"/>
      <c r="U981" s="364"/>
      <c r="V981" s="364"/>
      <c r="W981" s="364"/>
      <c r="X981" s="364"/>
      <c r="Y981" s="364"/>
      <c r="Z981" s="364"/>
    </row>
    <row r="982">
      <c r="A982" s="367"/>
      <c r="B982" s="367"/>
      <c r="C982" s="364"/>
      <c r="D982" s="364"/>
      <c r="E982" s="364"/>
      <c r="F982" s="364"/>
      <c r="G982" s="364"/>
      <c r="H982" s="364"/>
      <c r="I982" s="364"/>
      <c r="J982" s="364"/>
      <c r="K982" s="364"/>
      <c r="L982" s="364"/>
      <c r="M982" s="364"/>
      <c r="N982" s="364"/>
      <c r="O982" s="364"/>
      <c r="P982" s="364"/>
      <c r="Q982" s="364"/>
      <c r="R982" s="364"/>
      <c r="S982" s="364"/>
      <c r="T982" s="364"/>
      <c r="U982" s="364"/>
      <c r="V982" s="364"/>
      <c r="W982" s="364"/>
      <c r="X982" s="364"/>
      <c r="Y982" s="364"/>
      <c r="Z982" s="364"/>
    </row>
    <row r="983">
      <c r="A983" s="367"/>
      <c r="B983" s="367"/>
      <c r="C983" s="364"/>
      <c r="D983" s="364"/>
      <c r="E983" s="364"/>
      <c r="F983" s="364"/>
      <c r="G983" s="364"/>
      <c r="H983" s="364"/>
      <c r="I983" s="364"/>
      <c r="J983" s="364"/>
      <c r="K983" s="364"/>
      <c r="L983" s="364"/>
      <c r="M983" s="364"/>
      <c r="N983" s="364"/>
      <c r="O983" s="364"/>
      <c r="P983" s="364"/>
      <c r="Q983" s="364"/>
      <c r="R983" s="364"/>
      <c r="S983" s="364"/>
      <c r="T983" s="364"/>
      <c r="U983" s="364"/>
      <c r="V983" s="364"/>
      <c r="W983" s="364"/>
      <c r="X983" s="364"/>
      <c r="Y983" s="364"/>
      <c r="Z983" s="364"/>
    </row>
    <row r="984">
      <c r="A984" s="367"/>
      <c r="B984" s="367"/>
      <c r="C984" s="364"/>
      <c r="D984" s="364"/>
      <c r="E984" s="364"/>
      <c r="F984" s="364"/>
      <c r="G984" s="364"/>
      <c r="H984" s="364"/>
      <c r="I984" s="364"/>
      <c r="J984" s="364"/>
      <c r="K984" s="364"/>
      <c r="L984" s="364"/>
      <c r="M984" s="364"/>
      <c r="N984" s="364"/>
      <c r="O984" s="364"/>
      <c r="P984" s="364"/>
      <c r="Q984" s="364"/>
      <c r="R984" s="364"/>
      <c r="S984" s="364"/>
      <c r="T984" s="364"/>
      <c r="U984" s="364"/>
      <c r="V984" s="364"/>
      <c r="W984" s="364"/>
      <c r="X984" s="364"/>
      <c r="Y984" s="364"/>
      <c r="Z984" s="364"/>
    </row>
    <row r="985">
      <c r="A985" s="367"/>
      <c r="B985" s="367"/>
      <c r="C985" s="364"/>
      <c r="D985" s="364"/>
      <c r="E985" s="364"/>
      <c r="F985" s="364"/>
      <c r="G985" s="364"/>
      <c r="H985" s="364"/>
      <c r="I985" s="364"/>
      <c r="J985" s="364"/>
      <c r="K985" s="364"/>
      <c r="L985" s="364"/>
      <c r="M985" s="364"/>
      <c r="N985" s="364"/>
      <c r="O985" s="364"/>
      <c r="P985" s="364"/>
      <c r="Q985" s="364"/>
      <c r="R985" s="364"/>
      <c r="S985" s="364"/>
      <c r="T985" s="364"/>
      <c r="U985" s="364"/>
      <c r="V985" s="364"/>
      <c r="W985" s="364"/>
      <c r="X985" s="364"/>
      <c r="Y985" s="364"/>
      <c r="Z985" s="364"/>
    </row>
    <row r="986">
      <c r="A986" s="367"/>
      <c r="B986" s="367"/>
      <c r="C986" s="364"/>
      <c r="D986" s="364"/>
      <c r="E986" s="364"/>
      <c r="F986" s="364"/>
      <c r="G986" s="364"/>
      <c r="H986" s="364"/>
      <c r="I986" s="364"/>
      <c r="J986" s="364"/>
      <c r="K986" s="364"/>
      <c r="L986" s="364"/>
      <c r="M986" s="364"/>
      <c r="N986" s="364"/>
      <c r="O986" s="364"/>
      <c r="P986" s="364"/>
      <c r="Q986" s="364"/>
      <c r="R986" s="364"/>
      <c r="S986" s="364"/>
      <c r="T986" s="364"/>
      <c r="U986" s="364"/>
      <c r="V986" s="364"/>
      <c r="W986" s="364"/>
      <c r="X986" s="364"/>
      <c r="Y986" s="364"/>
      <c r="Z986" s="364"/>
    </row>
    <row r="987">
      <c r="A987" s="367"/>
      <c r="B987" s="367"/>
      <c r="C987" s="364"/>
      <c r="D987" s="364"/>
      <c r="E987" s="364"/>
      <c r="F987" s="364"/>
      <c r="G987" s="364"/>
      <c r="H987" s="364"/>
      <c r="I987" s="364"/>
      <c r="J987" s="364"/>
      <c r="K987" s="364"/>
      <c r="L987" s="364"/>
      <c r="M987" s="364"/>
      <c r="N987" s="364"/>
      <c r="O987" s="364"/>
      <c r="P987" s="364"/>
      <c r="Q987" s="364"/>
      <c r="R987" s="364"/>
      <c r="S987" s="364"/>
      <c r="T987" s="364"/>
      <c r="U987" s="364"/>
      <c r="V987" s="364"/>
      <c r="W987" s="364"/>
      <c r="X987" s="364"/>
      <c r="Y987" s="364"/>
      <c r="Z987" s="364"/>
    </row>
    <row r="988">
      <c r="A988" s="367"/>
      <c r="B988" s="367"/>
      <c r="C988" s="364"/>
      <c r="D988" s="364"/>
      <c r="E988" s="364"/>
      <c r="F988" s="364"/>
      <c r="G988" s="364"/>
      <c r="H988" s="364"/>
      <c r="I988" s="364"/>
      <c r="J988" s="364"/>
      <c r="K988" s="364"/>
      <c r="L988" s="364"/>
      <c r="M988" s="364"/>
      <c r="N988" s="364"/>
      <c r="O988" s="364"/>
      <c r="P988" s="364"/>
      <c r="Q988" s="364"/>
      <c r="R988" s="364"/>
      <c r="S988" s="364"/>
      <c r="T988" s="364"/>
      <c r="U988" s="364"/>
      <c r="V988" s="364"/>
      <c r="W988" s="364"/>
      <c r="X988" s="364"/>
      <c r="Y988" s="364"/>
      <c r="Z988" s="364"/>
    </row>
    <row r="989">
      <c r="A989" s="367"/>
      <c r="B989" s="367"/>
      <c r="C989" s="364"/>
      <c r="D989" s="364"/>
      <c r="E989" s="364"/>
      <c r="F989" s="364"/>
      <c r="G989" s="364"/>
      <c r="H989" s="364"/>
      <c r="I989" s="364"/>
      <c r="J989" s="364"/>
      <c r="K989" s="364"/>
      <c r="L989" s="364"/>
      <c r="M989" s="364"/>
      <c r="N989" s="364"/>
      <c r="O989" s="364"/>
      <c r="P989" s="364"/>
      <c r="Q989" s="364"/>
      <c r="R989" s="364"/>
      <c r="S989" s="364"/>
      <c r="T989" s="364"/>
      <c r="U989" s="364"/>
      <c r="V989" s="364"/>
      <c r="W989" s="364"/>
      <c r="X989" s="364"/>
      <c r="Y989" s="364"/>
      <c r="Z989" s="364"/>
    </row>
    <row r="990">
      <c r="A990" s="367"/>
      <c r="B990" s="367"/>
      <c r="C990" s="364"/>
      <c r="D990" s="364"/>
      <c r="E990" s="364"/>
      <c r="F990" s="364"/>
      <c r="G990" s="364"/>
      <c r="H990" s="364"/>
      <c r="I990" s="364"/>
      <c r="J990" s="364"/>
      <c r="K990" s="364"/>
      <c r="L990" s="364"/>
      <c r="M990" s="364"/>
      <c r="N990" s="364"/>
      <c r="O990" s="364"/>
      <c r="P990" s="364"/>
      <c r="Q990" s="364"/>
      <c r="R990" s="364"/>
      <c r="S990" s="364"/>
      <c r="T990" s="364"/>
      <c r="U990" s="364"/>
      <c r="V990" s="364"/>
      <c r="W990" s="364"/>
      <c r="X990" s="364"/>
      <c r="Y990" s="364"/>
      <c r="Z990" s="364"/>
    </row>
    <row r="991">
      <c r="A991" s="367"/>
      <c r="B991" s="367"/>
      <c r="C991" s="364"/>
      <c r="D991" s="364"/>
      <c r="E991" s="364"/>
      <c r="F991" s="364"/>
      <c r="G991" s="364"/>
      <c r="H991" s="364"/>
      <c r="I991" s="364"/>
      <c r="J991" s="364"/>
      <c r="K991" s="364"/>
      <c r="L991" s="364"/>
      <c r="M991" s="364"/>
      <c r="N991" s="364"/>
      <c r="O991" s="364"/>
      <c r="P991" s="364"/>
      <c r="Q991" s="364"/>
      <c r="R991" s="364"/>
      <c r="S991" s="364"/>
      <c r="T991" s="364"/>
      <c r="U991" s="364"/>
      <c r="V991" s="364"/>
      <c r="W991" s="364"/>
      <c r="X991" s="364"/>
      <c r="Y991" s="364"/>
      <c r="Z991" s="364"/>
    </row>
    <row r="992">
      <c r="A992" s="367"/>
      <c r="B992" s="367"/>
      <c r="C992" s="364"/>
      <c r="D992" s="364"/>
      <c r="E992" s="364"/>
      <c r="F992" s="364"/>
      <c r="G992" s="364"/>
      <c r="H992" s="364"/>
      <c r="I992" s="364"/>
      <c r="J992" s="364"/>
      <c r="K992" s="364"/>
      <c r="L992" s="364"/>
      <c r="M992" s="364"/>
      <c r="N992" s="364"/>
      <c r="O992" s="364"/>
      <c r="P992" s="364"/>
      <c r="Q992" s="364"/>
      <c r="R992" s="364"/>
      <c r="S992" s="364"/>
      <c r="T992" s="364"/>
      <c r="U992" s="364"/>
      <c r="V992" s="364"/>
      <c r="W992" s="364"/>
      <c r="X992" s="364"/>
      <c r="Y992" s="364"/>
      <c r="Z992" s="364"/>
    </row>
    <row r="993">
      <c r="A993" s="367"/>
      <c r="B993" s="367"/>
      <c r="C993" s="364"/>
      <c r="D993" s="364"/>
      <c r="E993" s="364"/>
      <c r="F993" s="364"/>
      <c r="G993" s="364"/>
      <c r="H993" s="364"/>
      <c r="I993" s="364"/>
      <c r="J993" s="364"/>
      <c r="K993" s="364"/>
      <c r="L993" s="364"/>
      <c r="M993" s="364"/>
      <c r="N993" s="364"/>
      <c r="O993" s="364"/>
      <c r="P993" s="364"/>
      <c r="Q993" s="364"/>
      <c r="R993" s="364"/>
      <c r="S993" s="364"/>
      <c r="T993" s="364"/>
      <c r="U993" s="364"/>
      <c r="V993" s="364"/>
      <c r="W993" s="364"/>
      <c r="X993" s="364"/>
      <c r="Y993" s="364"/>
      <c r="Z993" s="364"/>
    </row>
    <row r="994">
      <c r="A994" s="367"/>
      <c r="B994" s="367"/>
      <c r="C994" s="364"/>
      <c r="D994" s="364"/>
      <c r="E994" s="364"/>
      <c r="F994" s="364"/>
      <c r="G994" s="364"/>
      <c r="H994" s="364"/>
      <c r="I994" s="364"/>
      <c r="J994" s="364"/>
      <c r="K994" s="364"/>
      <c r="L994" s="364"/>
      <c r="M994" s="364"/>
      <c r="N994" s="364"/>
      <c r="O994" s="364"/>
      <c r="P994" s="364"/>
      <c r="Q994" s="364"/>
      <c r="R994" s="364"/>
      <c r="S994" s="364"/>
      <c r="T994" s="364"/>
      <c r="U994" s="364"/>
      <c r="V994" s="364"/>
      <c r="W994" s="364"/>
      <c r="X994" s="364"/>
      <c r="Y994" s="364"/>
      <c r="Z994" s="364"/>
    </row>
    <row r="995">
      <c r="A995" s="367"/>
      <c r="B995" s="367"/>
      <c r="C995" s="364"/>
      <c r="D995" s="364"/>
      <c r="E995" s="364"/>
      <c r="F995" s="364"/>
      <c r="G995" s="364"/>
      <c r="H995" s="364"/>
      <c r="I995" s="364"/>
      <c r="J995" s="364"/>
      <c r="K995" s="364"/>
      <c r="L995" s="364"/>
      <c r="M995" s="364"/>
      <c r="N995" s="364"/>
      <c r="O995" s="364"/>
      <c r="P995" s="364"/>
      <c r="Q995" s="364"/>
      <c r="R995" s="364"/>
      <c r="S995" s="364"/>
      <c r="T995" s="364"/>
      <c r="U995" s="364"/>
      <c r="V995" s="364"/>
      <c r="W995" s="364"/>
      <c r="X995" s="364"/>
      <c r="Y995" s="364"/>
      <c r="Z995" s="364"/>
    </row>
    <row r="996">
      <c r="A996" s="367"/>
      <c r="B996" s="367"/>
      <c r="C996" s="364"/>
      <c r="D996" s="364"/>
      <c r="E996" s="364"/>
      <c r="F996" s="364"/>
      <c r="G996" s="364"/>
      <c r="H996" s="364"/>
      <c r="I996" s="364"/>
      <c r="J996" s="364"/>
      <c r="K996" s="364"/>
      <c r="L996" s="364"/>
      <c r="M996" s="364"/>
      <c r="N996" s="364"/>
      <c r="O996" s="364"/>
      <c r="P996" s="364"/>
      <c r="Q996" s="364"/>
      <c r="R996" s="364"/>
      <c r="S996" s="364"/>
      <c r="T996" s="364"/>
      <c r="U996" s="364"/>
      <c r="V996" s="364"/>
      <c r="W996" s="364"/>
      <c r="X996" s="364"/>
      <c r="Y996" s="364"/>
      <c r="Z996" s="364"/>
    </row>
    <row r="997">
      <c r="A997" s="367"/>
      <c r="B997" s="367"/>
      <c r="C997" s="364"/>
      <c r="D997" s="364"/>
      <c r="E997" s="364"/>
      <c r="F997" s="364"/>
      <c r="G997" s="364"/>
      <c r="H997" s="364"/>
      <c r="I997" s="364"/>
      <c r="J997" s="364"/>
      <c r="K997" s="364"/>
      <c r="L997" s="364"/>
      <c r="M997" s="364"/>
      <c r="N997" s="364"/>
      <c r="O997" s="364"/>
      <c r="P997" s="364"/>
      <c r="Q997" s="364"/>
      <c r="R997" s="364"/>
      <c r="S997" s="364"/>
      <c r="T997" s="364"/>
      <c r="U997" s="364"/>
      <c r="V997" s="364"/>
      <c r="W997" s="364"/>
      <c r="X997" s="364"/>
      <c r="Y997" s="364"/>
      <c r="Z997" s="364"/>
    </row>
    <row r="998">
      <c r="A998" s="367"/>
      <c r="B998" s="367"/>
      <c r="C998" s="364"/>
      <c r="D998" s="364"/>
      <c r="E998" s="364"/>
      <c r="F998" s="364"/>
      <c r="G998" s="364"/>
      <c r="H998" s="364"/>
      <c r="I998" s="364"/>
      <c r="J998" s="364"/>
      <c r="K998" s="364"/>
      <c r="L998" s="364"/>
      <c r="M998" s="364"/>
      <c r="N998" s="364"/>
      <c r="O998" s="364"/>
      <c r="P998" s="364"/>
      <c r="Q998" s="364"/>
      <c r="R998" s="364"/>
      <c r="S998" s="364"/>
      <c r="T998" s="364"/>
      <c r="U998" s="364"/>
      <c r="V998" s="364"/>
      <c r="W998" s="364"/>
      <c r="X998" s="364"/>
      <c r="Y998" s="364"/>
      <c r="Z998" s="364"/>
    </row>
    <row r="999">
      <c r="A999" s="367"/>
      <c r="B999" s="367"/>
      <c r="C999" s="364"/>
      <c r="D999" s="364"/>
      <c r="E999" s="364"/>
      <c r="F999" s="364"/>
      <c r="G999" s="364"/>
      <c r="H999" s="364"/>
      <c r="I999" s="364"/>
      <c r="J999" s="364"/>
      <c r="K999" s="364"/>
      <c r="L999" s="364"/>
      <c r="M999" s="364"/>
      <c r="N999" s="364"/>
      <c r="O999" s="364"/>
      <c r="P999" s="364"/>
      <c r="Q999" s="364"/>
      <c r="R999" s="364"/>
      <c r="S999" s="364"/>
      <c r="T999" s="364"/>
      <c r="U999" s="364"/>
      <c r="V999" s="364"/>
      <c r="W999" s="364"/>
      <c r="X999" s="364"/>
      <c r="Y999" s="364"/>
      <c r="Z999" s="364"/>
    </row>
    <row r="1000">
      <c r="A1000" s="367"/>
      <c r="B1000" s="367"/>
      <c r="C1000" s="364"/>
      <c r="D1000" s="364"/>
      <c r="E1000" s="364"/>
      <c r="F1000" s="364"/>
      <c r="G1000" s="364"/>
      <c r="H1000" s="364"/>
      <c r="I1000" s="364"/>
      <c r="J1000" s="364"/>
      <c r="K1000" s="364"/>
      <c r="L1000" s="364"/>
      <c r="M1000" s="364"/>
      <c r="N1000" s="364"/>
      <c r="O1000" s="364"/>
      <c r="P1000" s="364"/>
      <c r="Q1000" s="364"/>
      <c r="R1000" s="364"/>
      <c r="S1000" s="364"/>
      <c r="T1000" s="364"/>
      <c r="U1000" s="364"/>
      <c r="V1000" s="364"/>
      <c r="W1000" s="364"/>
      <c r="X1000" s="364"/>
      <c r="Y1000" s="364"/>
      <c r="Z1000" s="364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  <pageSetUpPr fitToPage="1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8.0"/>
    <col customWidth="1" min="2" max="2" width="12.13"/>
    <col customWidth="1" min="3" max="3" width="13.63"/>
    <col customWidth="1" min="4" max="4" width="10.88"/>
    <col customWidth="1" min="5" max="5" width="20.5"/>
    <col customWidth="1" min="6" max="6" width="49.63"/>
    <col customWidth="1" min="7" max="8" width="15.0"/>
    <col customWidth="1" min="9" max="13" width="12.88"/>
  </cols>
  <sheetData>
    <row r="1" ht="31.5" customHeight="1">
      <c r="A1" s="353" t="str">
        <f>IFERROR(__xludf.DUMMYFUNCTION("QUERY('Base de Dados'!A1:CF29, ""select A, W, AA, AT, AB, AC, O, CB, M, CD, CF, BV, CA where W &lt;&gt; '' and O = 168107 and J = 'SETIC' and A &gt; 1000 and R = '1 - Selecionado' and CA = 'Não' and H = 'Continuado' order by A"",1)"),"Id")</f>
        <v>Id</v>
      </c>
      <c r="B1" s="353" t="str">
        <f>IFERROR(__xludf.DUMMYFUNCTION("""COMPUTED_VALUE"""),"Contrato")</f>
        <v>Contrato</v>
      </c>
      <c r="C1" s="302" t="str">
        <f>IFERROR(__xludf.DUMMYFUNCTION("""COMPUTED_VALUE"""),"Processo Adm")</f>
        <v>Processo Adm</v>
      </c>
      <c r="D1" s="302" t="str">
        <f>IFERROR(__xludf.DUMMYFUNCTION("""COMPUTED_VALUE"""),"Valor Projetado")</f>
        <v>Valor Projetado</v>
      </c>
      <c r="E1" s="302" t="str">
        <f>IFERROR(__xludf.DUMMYFUNCTION("""COMPUTED_VALUE"""),"CNPJ/CPF Fornec")</f>
        <v>CNPJ/CPF Fornec</v>
      </c>
      <c r="F1" s="304" t="str">
        <f>IFERROR(__xludf.DUMMYFUNCTION("""COMPUTED_VALUE"""),"Razão Social")</f>
        <v>Razão Social</v>
      </c>
      <c r="G1" s="355" t="str">
        <f>IFERROR(__xludf.DUMMYFUNCTION("""COMPUTED_VALUE"""),"Reduzido Previsto")</f>
        <v>Reduzido Previsto</v>
      </c>
      <c r="H1" s="304" t="str">
        <f>IFERROR(__xludf.DUMMYFUNCTION("""COMPUTED_VALUE"""),"DS_CONTA")</f>
        <v>DS_CONTA</v>
      </c>
      <c r="I1" s="309" t="str">
        <f>IFERROR(__xludf.DUMMYFUNCTION("""COMPUTED_VALUE"""),"Sub de Despesa")</f>
        <v>Sub de Despesa</v>
      </c>
      <c r="J1" s="357" t="str">
        <f>IFERROR(__xludf.DUMMYFUNCTION("""COMPUTED_VALUE"""),"DS_NATUREZA")</f>
        <v>DS_NATUREZA</v>
      </c>
      <c r="K1" s="357" t="str">
        <f>IFERROR(__xludf.DUMMYFUNCTION("""COMPUTED_VALUE"""),"DS_SUBITEM")</f>
        <v>DS_SUBITEM</v>
      </c>
      <c r="L1" s="357" t="str">
        <f>IFERROR(__xludf.DUMMYFUNCTION("""COMPUTED_VALUE"""),"Item do Planejamento PO (CSJT ATO 71)")</f>
        <v>Item do Planejamento PO (CSJT ATO 71)</v>
      </c>
      <c r="M1" s="357" t="str">
        <f>IFERROR(__xludf.DUMMYFUNCTION("""COMPUTED_VALUE"""),"Solicitação NE no PROAD")</f>
        <v>Solicitação NE no PROAD</v>
      </c>
    </row>
    <row r="2">
      <c r="A2" s="311"/>
      <c r="B2" s="358"/>
      <c r="C2" s="313"/>
      <c r="D2" s="313"/>
      <c r="E2" s="313"/>
      <c r="F2" s="359"/>
      <c r="G2" s="360"/>
      <c r="H2" s="359"/>
      <c r="I2" s="368"/>
      <c r="J2" s="361"/>
      <c r="K2" s="361"/>
      <c r="L2" s="361"/>
      <c r="M2" s="362"/>
    </row>
    <row r="3">
      <c r="A3" s="311"/>
      <c r="B3" s="358"/>
      <c r="C3" s="313"/>
      <c r="D3" s="313"/>
      <c r="E3" s="313"/>
      <c r="F3" s="359"/>
      <c r="G3" s="360"/>
      <c r="H3" s="359"/>
      <c r="I3" s="368"/>
      <c r="J3" s="361"/>
      <c r="K3" s="361"/>
      <c r="L3" s="361"/>
      <c r="M3" s="362"/>
    </row>
    <row r="4">
      <c r="A4" s="311"/>
      <c r="B4" s="358"/>
      <c r="C4" s="313"/>
      <c r="D4" s="313"/>
      <c r="E4" s="313"/>
      <c r="F4" s="359"/>
      <c r="G4" s="360"/>
      <c r="H4" s="359"/>
      <c r="I4" s="368"/>
      <c r="J4" s="361"/>
      <c r="K4" s="361"/>
      <c r="L4" s="361"/>
      <c r="M4" s="362"/>
    </row>
    <row r="5">
      <c r="A5" s="311"/>
      <c r="B5" s="358"/>
      <c r="C5" s="313"/>
      <c r="D5" s="313"/>
      <c r="E5" s="313"/>
      <c r="F5" s="359"/>
      <c r="G5" s="360"/>
      <c r="H5" s="359"/>
      <c r="I5" s="368"/>
      <c r="J5" s="361"/>
      <c r="K5" s="361"/>
      <c r="L5" s="361"/>
      <c r="M5" s="362"/>
    </row>
    <row r="6">
      <c r="A6" s="311"/>
      <c r="B6" s="358"/>
      <c r="C6" s="313"/>
      <c r="D6" s="313"/>
      <c r="E6" s="313"/>
      <c r="F6" s="359"/>
      <c r="G6" s="360"/>
      <c r="H6" s="359"/>
      <c r="I6" s="368"/>
      <c r="J6" s="361"/>
      <c r="K6" s="361"/>
      <c r="L6" s="361"/>
      <c r="M6" s="362"/>
    </row>
    <row r="7">
      <c r="A7" s="311"/>
      <c r="B7" s="358"/>
      <c r="C7" s="313"/>
      <c r="D7" s="313"/>
      <c r="E7" s="313"/>
      <c r="F7" s="359"/>
      <c r="G7" s="360"/>
      <c r="H7" s="359"/>
      <c r="I7" s="368"/>
      <c r="J7" s="361"/>
      <c r="K7" s="361"/>
      <c r="L7" s="361"/>
      <c r="M7" s="362"/>
    </row>
    <row r="8">
      <c r="A8" s="311"/>
      <c r="B8" s="358"/>
      <c r="C8" s="313"/>
      <c r="D8" s="313"/>
      <c r="E8" s="313"/>
      <c r="F8" s="359"/>
      <c r="G8" s="360"/>
      <c r="H8" s="359"/>
      <c r="I8" s="368"/>
      <c r="J8" s="361"/>
      <c r="K8" s="361"/>
      <c r="L8" s="361"/>
      <c r="M8" s="362"/>
    </row>
    <row r="9">
      <c r="A9" s="311"/>
      <c r="B9" s="358"/>
      <c r="C9" s="313"/>
      <c r="D9" s="313"/>
      <c r="E9" s="324"/>
      <c r="F9" s="359"/>
      <c r="G9" s="360"/>
      <c r="H9" s="359"/>
      <c r="I9" s="368"/>
      <c r="J9" s="361"/>
      <c r="K9" s="361"/>
      <c r="L9" s="361"/>
      <c r="M9" s="362"/>
    </row>
    <row r="10">
      <c r="A10" s="311"/>
      <c r="B10" s="358"/>
      <c r="C10" s="313"/>
      <c r="D10" s="313"/>
      <c r="E10" s="313"/>
      <c r="F10" s="359"/>
      <c r="G10" s="360"/>
      <c r="H10" s="359"/>
      <c r="I10" s="368"/>
      <c r="J10" s="361"/>
      <c r="K10" s="361"/>
      <c r="L10" s="361"/>
      <c r="M10" s="362"/>
    </row>
    <row r="11">
      <c r="A11" s="311"/>
      <c r="B11" s="358"/>
      <c r="C11" s="313"/>
      <c r="D11" s="313"/>
      <c r="E11" s="313"/>
      <c r="F11" s="359"/>
      <c r="G11" s="360"/>
      <c r="H11" s="359"/>
      <c r="I11" s="368"/>
      <c r="J11" s="361"/>
      <c r="K11" s="361"/>
      <c r="L11" s="361"/>
      <c r="M11" s="362"/>
    </row>
    <row r="12">
      <c r="A12" s="311"/>
      <c r="B12" s="358"/>
      <c r="C12" s="313"/>
      <c r="D12" s="313"/>
      <c r="E12" s="313"/>
      <c r="F12" s="359"/>
      <c r="G12" s="360"/>
      <c r="H12" s="359"/>
      <c r="I12" s="368"/>
      <c r="J12" s="361"/>
      <c r="K12" s="361"/>
      <c r="L12" s="361"/>
      <c r="M12" s="362"/>
    </row>
    <row r="13">
      <c r="A13" s="311"/>
      <c r="B13" s="358"/>
      <c r="C13" s="313"/>
      <c r="D13" s="313"/>
      <c r="E13" s="313"/>
      <c r="F13" s="359"/>
      <c r="G13" s="360"/>
      <c r="H13" s="359"/>
      <c r="I13" s="368"/>
      <c r="J13" s="361"/>
      <c r="K13" s="361"/>
      <c r="L13" s="361"/>
      <c r="M13" s="362"/>
    </row>
    <row r="14">
      <c r="A14" s="311"/>
      <c r="B14" s="358"/>
      <c r="C14" s="313"/>
      <c r="D14" s="313"/>
      <c r="E14" s="313"/>
      <c r="F14" s="359"/>
      <c r="G14" s="360"/>
      <c r="H14" s="359"/>
      <c r="I14" s="368"/>
      <c r="J14" s="361"/>
      <c r="K14" s="361"/>
      <c r="L14" s="361"/>
      <c r="M14" s="362"/>
    </row>
    <row r="15">
      <c r="A15" s="311"/>
      <c r="B15" s="358"/>
      <c r="C15" s="313"/>
      <c r="D15" s="313"/>
      <c r="E15" s="313"/>
      <c r="F15" s="359"/>
      <c r="G15" s="360"/>
      <c r="H15" s="359"/>
      <c r="I15" s="368"/>
      <c r="J15" s="361"/>
      <c r="K15" s="361"/>
      <c r="L15" s="361"/>
      <c r="M15" s="362"/>
    </row>
    <row r="16">
      <c r="A16" s="311"/>
      <c r="B16" s="358"/>
      <c r="C16" s="313"/>
      <c r="D16" s="313"/>
      <c r="E16" s="313"/>
      <c r="F16" s="359"/>
      <c r="G16" s="360"/>
      <c r="H16" s="359"/>
      <c r="I16" s="368"/>
      <c r="J16" s="361"/>
      <c r="K16" s="361"/>
      <c r="L16" s="361"/>
      <c r="M16" s="362"/>
    </row>
    <row r="17">
      <c r="A17" s="311"/>
      <c r="B17" s="358"/>
      <c r="C17" s="313"/>
      <c r="D17" s="313"/>
      <c r="E17" s="313"/>
      <c r="F17" s="359"/>
      <c r="G17" s="360"/>
      <c r="H17" s="359"/>
      <c r="I17" s="368"/>
      <c r="J17" s="361"/>
      <c r="K17" s="361"/>
      <c r="L17" s="361"/>
      <c r="M17" s="362"/>
    </row>
    <row r="18">
      <c r="A18" s="311"/>
      <c r="B18" s="358"/>
      <c r="C18" s="313"/>
      <c r="D18" s="313"/>
      <c r="E18" s="313"/>
      <c r="F18" s="359"/>
      <c r="G18" s="360"/>
      <c r="H18" s="359"/>
      <c r="I18" s="368"/>
      <c r="J18" s="361"/>
      <c r="K18" s="361"/>
      <c r="L18" s="361"/>
      <c r="M18" s="362"/>
    </row>
    <row r="19">
      <c r="A19" s="311"/>
      <c r="B19" s="358"/>
      <c r="C19" s="313"/>
      <c r="D19" s="313"/>
      <c r="E19" s="313"/>
      <c r="F19" s="359"/>
      <c r="G19" s="360"/>
      <c r="H19" s="359"/>
      <c r="I19" s="368"/>
      <c r="J19" s="361"/>
      <c r="K19" s="361"/>
      <c r="L19" s="361"/>
      <c r="M19" s="362"/>
    </row>
    <row r="20">
      <c r="A20" s="311"/>
      <c r="B20" s="358"/>
      <c r="C20" s="313"/>
      <c r="D20" s="313"/>
      <c r="E20" s="313"/>
      <c r="F20" s="359"/>
      <c r="G20" s="360"/>
      <c r="H20" s="359"/>
      <c r="I20" s="368"/>
      <c r="J20" s="361"/>
      <c r="K20" s="361"/>
      <c r="L20" s="361"/>
      <c r="M20" s="362"/>
    </row>
    <row r="21">
      <c r="A21" s="311"/>
      <c r="B21" s="358"/>
      <c r="C21" s="313"/>
      <c r="D21" s="313"/>
      <c r="E21" s="313"/>
      <c r="F21" s="359"/>
      <c r="G21" s="360"/>
      <c r="H21" s="359"/>
      <c r="I21" s="368"/>
      <c r="J21" s="361"/>
      <c r="K21" s="361"/>
      <c r="L21" s="361"/>
      <c r="M21" s="362"/>
    </row>
    <row r="22">
      <c r="A22" s="311"/>
      <c r="B22" s="358"/>
      <c r="C22" s="313"/>
      <c r="D22" s="313"/>
      <c r="E22" s="313"/>
      <c r="F22" s="359"/>
      <c r="G22" s="360"/>
      <c r="H22" s="359"/>
      <c r="I22" s="368"/>
      <c r="J22" s="361"/>
      <c r="K22" s="361"/>
      <c r="L22" s="361"/>
      <c r="M22" s="362"/>
    </row>
    <row r="23">
      <c r="A23" s="311"/>
      <c r="B23" s="358"/>
      <c r="C23" s="313"/>
      <c r="D23" s="313"/>
      <c r="E23" s="313"/>
      <c r="F23" s="359"/>
      <c r="G23" s="360"/>
      <c r="H23" s="359"/>
      <c r="I23" s="368"/>
      <c r="J23" s="361"/>
      <c r="K23" s="361"/>
      <c r="L23" s="361"/>
      <c r="M23" s="362"/>
    </row>
    <row r="24">
      <c r="A24" s="311"/>
      <c r="B24" s="358"/>
      <c r="C24" s="313"/>
      <c r="D24" s="313"/>
      <c r="E24" s="313"/>
      <c r="F24" s="359"/>
      <c r="G24" s="360"/>
      <c r="H24" s="359"/>
      <c r="I24" s="368"/>
      <c r="J24" s="361"/>
      <c r="K24" s="361"/>
      <c r="L24" s="361"/>
      <c r="M24" s="362"/>
    </row>
    <row r="25">
      <c r="A25" s="311"/>
      <c r="B25" s="358"/>
      <c r="C25" s="313"/>
      <c r="D25" s="313"/>
      <c r="E25" s="313"/>
      <c r="F25" s="359"/>
      <c r="G25" s="360"/>
      <c r="H25" s="359"/>
      <c r="I25" s="368"/>
      <c r="J25" s="361"/>
      <c r="K25" s="361"/>
      <c r="L25" s="361"/>
      <c r="M25" s="362"/>
    </row>
    <row r="26">
      <c r="A26" s="311"/>
      <c r="B26" s="358"/>
      <c r="C26" s="313"/>
      <c r="D26" s="313"/>
      <c r="E26" s="313"/>
      <c r="F26" s="359"/>
      <c r="G26" s="360"/>
      <c r="H26" s="359"/>
      <c r="I26" s="368"/>
      <c r="J26" s="361"/>
      <c r="K26" s="361"/>
      <c r="L26" s="361"/>
      <c r="M26" s="362"/>
    </row>
    <row r="27">
      <c r="A27" s="311"/>
      <c r="B27" s="358"/>
      <c r="C27" s="313"/>
      <c r="D27" s="313"/>
      <c r="E27" s="313"/>
      <c r="F27" s="359"/>
      <c r="G27" s="360"/>
      <c r="H27" s="359"/>
      <c r="I27" s="368"/>
      <c r="J27" s="361"/>
      <c r="K27" s="361"/>
      <c r="L27" s="361"/>
      <c r="M27" s="362"/>
    </row>
    <row r="28">
      <c r="A28" s="311"/>
      <c r="B28" s="358"/>
      <c r="C28" s="313"/>
      <c r="D28" s="313"/>
      <c r="E28" s="313"/>
      <c r="F28" s="359"/>
      <c r="G28" s="360"/>
      <c r="H28" s="359"/>
      <c r="I28" s="368"/>
      <c r="J28" s="361"/>
      <c r="K28" s="361"/>
      <c r="L28" s="361"/>
      <c r="M28" s="362"/>
    </row>
    <row r="29">
      <c r="A29" s="311"/>
      <c r="B29" s="358"/>
      <c r="C29" s="313"/>
      <c r="D29" s="313"/>
      <c r="E29" s="313"/>
      <c r="F29" s="359"/>
      <c r="G29" s="360"/>
      <c r="H29" s="359"/>
      <c r="I29" s="368"/>
      <c r="J29" s="361"/>
      <c r="K29" s="361"/>
      <c r="L29" s="361"/>
      <c r="M29" s="362"/>
    </row>
  </sheetData>
  <printOptions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93.75"/>
    <col customWidth="1" min="2" max="2" width="83.0"/>
  </cols>
  <sheetData>
    <row r="1" ht="294.75" customHeight="1">
      <c r="A1" s="363" t="str">
        <f t="array" ref="A1:A28">"PROAD " &amp; 'Dados para NE (PO)'!B2:B1000 &amp; " (ID PAAC 2020 " &amp; 
'Dados para NE (PO)'!A2:A1000 &amp; ")" &amp; char(10) &amp; char(10) &amp;
"Do: EACTIC" &amp; char(10) &amp;
"Para: COF" &amp; char(10) &amp;
"Assunto: Solicitação de emissão de Nota de Empenho" &amp; char(10) &amp; char(10) &amp;
"Sr. Coordenador da COF," &amp; char(10) &amp; char(10) &amp;
"Solicitamos a emissão de Nota de Empenho para o exercício de 2020, conforme dados a seguir:
" &amp; char(10) &amp; 
"Processo: " &amp; 'Dados para NE (PO)'!C2:C1000 &amp; char(10) &amp;
"Valor: " &amp; dollar('Dados para NE (PO)'!D2:D1000) &amp; char(10) &amp;
"Descrição: " &amp; 'Dados para NE (PO)'!L2:L1000 &amp; char(10) &amp; char(10) &amp;
"CNPJ: " &amp; 'Dados para NE (PO)'!E2:E1000 &amp; char(10) &amp;
"Razão Social: " &amp; 'Dados para NE (PO)'!F2:F1000 &amp; char(10) &amp; char(10) &amp;
"Ptres: " &amp; 
'Dados para NE (PO)'!G2:G1000 &amp; char(10) &amp; 
'Dados para NE (PO)'!H2:H1000 &amp; char(10) &amp; char(10) &amp;
"Natureza da Despesa: " &amp;  
'Dados para NE (PO)'!I2:I1000 &amp; char(10) &amp;
'Dados para NE (PO)'!J2:J1000 &amp; char(10) &amp;
'Dados para NE (PO)'!K2:K1000 &amp; char(10) &amp; char(10) &amp;
"Em 22/01/2020," &amp; char(10) &amp; char(10) &amp;
"Atenciosamente," &amp; char(10) &amp; char(10) &amp;
"José Eduardo Amaral de Oliveira Teixeira" &amp; char(10) &amp;
"Assistente-Chefe do EACTIC" &amp; char(10) &amp; char(10) &amp;
"Proceda-se ao solicitado," &amp; char(10) &amp; char(10) &amp;
"Alécio José Riffel" &amp; char(10) &amp;
"Coordenador da COF" &amp; char(10) &amp; char(10)</f>
        <v>PROAD  (ID PAAC 2020 )
Do: EACTIC
Para: COF
Assunto: Solicitação de emissão de Nota de Empenho
Sr. Coordenador da COF,
Solicitamos a emissão de Nota de Empenho para o exercício de 2020, conforme dados a seguir:
Processo: 
Valor: R$ 0,00
Descrição: 
CNPJ: 
Razão Social: 
Ptres: 
Natureza da Despesa: 
Em 22/01/2020,
Atenciosamente,
José Eduardo Amaral de Oliveira Teixeira
Assistente-Chefe do EACTIC
Proceda-se ao solicitado,
Alécio José Riffel
Coordenador da COF
</v>
      </c>
      <c r="B1" s="363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</row>
    <row r="2">
      <c r="A2" s="363" t="s">
        <v>734</v>
      </c>
      <c r="B2" s="363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</row>
    <row r="3">
      <c r="A3" s="363" t="s">
        <v>734</v>
      </c>
      <c r="B3" s="363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</row>
    <row r="4">
      <c r="A4" s="365" t="s">
        <v>734</v>
      </c>
      <c r="B4" s="365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</row>
    <row r="5">
      <c r="A5" s="363" t="s">
        <v>734</v>
      </c>
      <c r="B5" s="363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</row>
    <row r="6">
      <c r="A6" s="366" t="s">
        <v>734</v>
      </c>
      <c r="B6" s="363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</row>
    <row r="7">
      <c r="A7" s="363" t="s">
        <v>734</v>
      </c>
      <c r="B7" s="363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</row>
    <row r="8">
      <c r="A8" s="363" t="s">
        <v>734</v>
      </c>
      <c r="B8" s="363"/>
      <c r="C8" s="364"/>
      <c r="D8" s="364"/>
      <c r="E8" s="364"/>
      <c r="F8" s="364"/>
      <c r="G8" s="36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</row>
    <row r="9">
      <c r="A9" s="363" t="s">
        <v>734</v>
      </c>
      <c r="B9" s="363"/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</row>
    <row r="10">
      <c r="A10" s="363" t="s">
        <v>734</v>
      </c>
      <c r="B10" s="363"/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</row>
    <row r="11">
      <c r="A11" s="365" t="s">
        <v>734</v>
      </c>
      <c r="B11" s="363"/>
      <c r="C11" s="364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</row>
    <row r="12">
      <c r="A12" s="363" t="s">
        <v>734</v>
      </c>
      <c r="B12" s="363"/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</row>
    <row r="13">
      <c r="A13" s="363" t="s">
        <v>734</v>
      </c>
      <c r="B13" s="363"/>
      <c r="C13" s="364"/>
      <c r="D13" s="364"/>
      <c r="E13" s="364"/>
      <c r="F13" s="364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4"/>
      <c r="T13" s="364"/>
      <c r="U13" s="364"/>
      <c r="V13" s="364"/>
      <c r="W13" s="364"/>
      <c r="X13" s="364"/>
      <c r="Y13" s="364"/>
      <c r="Z13" s="364"/>
    </row>
    <row r="14">
      <c r="A14" s="365" t="s">
        <v>734</v>
      </c>
      <c r="B14" s="365"/>
      <c r="C14" s="364"/>
      <c r="D14" s="364"/>
      <c r="E14" s="364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</row>
    <row r="15">
      <c r="A15" s="363" t="s">
        <v>734</v>
      </c>
      <c r="B15" s="363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</row>
    <row r="16">
      <c r="A16" s="363" t="s">
        <v>734</v>
      </c>
      <c r="B16" s="363"/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</row>
    <row r="17">
      <c r="A17" s="363" t="s">
        <v>734</v>
      </c>
      <c r="B17" s="363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</row>
    <row r="18">
      <c r="A18" s="365" t="s">
        <v>734</v>
      </c>
      <c r="B18" s="365"/>
      <c r="C18" s="364"/>
      <c r="D18" s="364"/>
      <c r="E18" s="364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</row>
    <row r="19">
      <c r="A19" s="367" t="s">
        <v>734</v>
      </c>
      <c r="B19" s="367"/>
      <c r="C19" s="364"/>
      <c r="D19" s="364"/>
      <c r="E19" s="364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</row>
    <row r="20">
      <c r="A20" s="367" t="s">
        <v>734</v>
      </c>
      <c r="B20" s="367"/>
      <c r="C20" s="364"/>
      <c r="D20" s="364"/>
      <c r="E20" s="364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</row>
    <row r="21">
      <c r="A21" s="367" t="s">
        <v>734</v>
      </c>
      <c r="B21" s="367"/>
      <c r="C21" s="364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</row>
    <row r="22">
      <c r="A22" s="367" t="s">
        <v>734</v>
      </c>
      <c r="B22" s="367"/>
      <c r="C22" s="364"/>
      <c r="D22" s="364"/>
      <c r="E22" s="364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</row>
    <row r="23">
      <c r="A23" s="367" t="s">
        <v>734</v>
      </c>
      <c r="B23" s="367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</row>
    <row r="24">
      <c r="A24" s="367" t="s">
        <v>734</v>
      </c>
      <c r="B24" s="367"/>
      <c r="C24" s="364"/>
      <c r="D24" s="364"/>
      <c r="E24" s="364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</row>
    <row r="25">
      <c r="A25" s="367" t="s">
        <v>734</v>
      </c>
      <c r="B25" s="367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</row>
    <row r="26">
      <c r="A26" s="367" t="s">
        <v>734</v>
      </c>
      <c r="B26" s="367"/>
      <c r="C26" s="364"/>
      <c r="D26" s="364"/>
      <c r="E26" s="364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</row>
    <row r="27">
      <c r="A27" s="367" t="s">
        <v>734</v>
      </c>
      <c r="B27" s="367"/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</row>
    <row r="28">
      <c r="A28" s="367" t="s">
        <v>734</v>
      </c>
      <c r="B28" s="367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</row>
    <row r="29">
      <c r="A29" s="367"/>
      <c r="B29" s="367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</row>
    <row r="30">
      <c r="A30" s="367"/>
      <c r="B30" s="367"/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</row>
    <row r="31">
      <c r="A31" s="367"/>
      <c r="B31" s="367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</row>
    <row r="32">
      <c r="A32" s="367"/>
      <c r="B32" s="367"/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</row>
    <row r="33">
      <c r="A33" s="367"/>
      <c r="B33" s="367"/>
      <c r="C33" s="364"/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</row>
    <row r="34">
      <c r="A34" s="367"/>
      <c r="B34" s="367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</row>
    <row r="35">
      <c r="A35" s="367"/>
      <c r="B35" s="367"/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</row>
    <row r="36">
      <c r="A36" s="367"/>
      <c r="B36" s="367"/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</row>
    <row r="37">
      <c r="A37" s="367"/>
      <c r="B37" s="367"/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</row>
    <row r="38">
      <c r="A38" s="367"/>
      <c r="B38" s="367"/>
      <c r="C38" s="364"/>
      <c r="D38" s="364"/>
      <c r="E38" s="364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</row>
    <row r="39">
      <c r="A39" s="367"/>
      <c r="B39" s="367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</row>
    <row r="40">
      <c r="A40" s="367"/>
      <c r="B40" s="367"/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</row>
    <row r="41">
      <c r="A41" s="367"/>
      <c r="B41" s="367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</row>
    <row r="42">
      <c r="A42" s="367"/>
      <c r="B42" s="367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</row>
    <row r="43">
      <c r="A43" s="367"/>
      <c r="B43" s="367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</row>
    <row r="44">
      <c r="A44" s="367"/>
      <c r="B44" s="367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</row>
    <row r="45">
      <c r="A45" s="367"/>
      <c r="B45" s="367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</row>
    <row r="46">
      <c r="A46" s="367"/>
      <c r="B46" s="367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</row>
    <row r="47">
      <c r="A47" s="367"/>
      <c r="B47" s="367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</row>
    <row r="48">
      <c r="A48" s="367"/>
      <c r="B48" s="367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</row>
    <row r="49">
      <c r="A49" s="367"/>
      <c r="B49" s="367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</row>
    <row r="50">
      <c r="A50" s="367"/>
      <c r="B50" s="367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</row>
    <row r="51">
      <c r="A51" s="367"/>
      <c r="B51" s="367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</row>
    <row r="52">
      <c r="A52" s="367"/>
      <c r="B52" s="367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</row>
    <row r="53">
      <c r="A53" s="367"/>
      <c r="B53" s="367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</row>
    <row r="54">
      <c r="A54" s="367"/>
      <c r="B54" s="367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</row>
    <row r="55">
      <c r="A55" s="367"/>
      <c r="B55" s="367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</row>
    <row r="56">
      <c r="A56" s="367"/>
      <c r="B56" s="367"/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</row>
    <row r="57">
      <c r="A57" s="367"/>
      <c r="B57" s="367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4"/>
      <c r="Y57" s="364"/>
      <c r="Z57" s="364"/>
    </row>
    <row r="58">
      <c r="A58" s="367"/>
      <c r="B58" s="367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</row>
    <row r="59">
      <c r="A59" s="367"/>
      <c r="B59" s="367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</row>
    <row r="60">
      <c r="A60" s="367"/>
      <c r="B60" s="367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</row>
    <row r="61">
      <c r="A61" s="367"/>
      <c r="B61" s="367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</row>
    <row r="62">
      <c r="A62" s="367"/>
      <c r="B62" s="367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</row>
    <row r="63">
      <c r="A63" s="367"/>
      <c r="B63" s="367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</row>
    <row r="64">
      <c r="A64" s="367"/>
      <c r="B64" s="367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</row>
    <row r="65">
      <c r="A65" s="367"/>
      <c r="B65" s="367"/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364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364"/>
      <c r="Z65" s="364"/>
    </row>
    <row r="66">
      <c r="A66" s="367"/>
      <c r="B66" s="367"/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</row>
    <row r="67">
      <c r="A67" s="367"/>
      <c r="B67" s="367"/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</row>
    <row r="68">
      <c r="A68" s="367"/>
      <c r="B68" s="367"/>
      <c r="C68" s="364"/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</row>
    <row r="69">
      <c r="A69" s="367"/>
      <c r="B69" s="367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</row>
    <row r="70">
      <c r="A70" s="367"/>
      <c r="B70" s="367"/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364"/>
    </row>
    <row r="71">
      <c r="A71" s="367"/>
      <c r="B71" s="367"/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364"/>
      <c r="P71" s="364"/>
      <c r="Q71" s="364"/>
      <c r="R71" s="364"/>
      <c r="S71" s="364"/>
      <c r="T71" s="364"/>
      <c r="U71" s="364"/>
      <c r="V71" s="364"/>
      <c r="W71" s="364"/>
      <c r="X71" s="364"/>
      <c r="Y71" s="364"/>
      <c r="Z71" s="364"/>
    </row>
    <row r="72">
      <c r="A72" s="367"/>
      <c r="B72" s="367"/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  <c r="R72" s="364"/>
      <c r="S72" s="364"/>
      <c r="T72" s="364"/>
      <c r="U72" s="364"/>
      <c r="V72" s="364"/>
      <c r="W72" s="364"/>
      <c r="X72" s="364"/>
      <c r="Y72" s="364"/>
      <c r="Z72" s="364"/>
    </row>
    <row r="73">
      <c r="A73" s="367"/>
      <c r="B73" s="367"/>
      <c r="C73" s="364"/>
      <c r="D73" s="364"/>
      <c r="E73" s="364"/>
      <c r="F73" s="364"/>
      <c r="G73" s="364"/>
      <c r="H73" s="364"/>
      <c r="I73" s="364"/>
      <c r="J73" s="364"/>
      <c r="K73" s="364"/>
      <c r="L73" s="364"/>
      <c r="M73" s="364"/>
      <c r="N73" s="364"/>
      <c r="O73" s="364"/>
      <c r="P73" s="364"/>
      <c r="Q73" s="364"/>
      <c r="R73" s="364"/>
      <c r="S73" s="364"/>
      <c r="T73" s="364"/>
      <c r="U73" s="364"/>
      <c r="V73" s="364"/>
      <c r="W73" s="364"/>
      <c r="X73" s="364"/>
      <c r="Y73" s="364"/>
      <c r="Z73" s="364"/>
    </row>
    <row r="74">
      <c r="A74" s="367"/>
      <c r="B74" s="367"/>
      <c r="C74" s="364"/>
      <c r="D74" s="364"/>
      <c r="E74" s="364"/>
      <c r="F74" s="364"/>
      <c r="G74" s="364"/>
      <c r="H74" s="364"/>
      <c r="I74" s="364"/>
      <c r="J74" s="364"/>
      <c r="K74" s="364"/>
      <c r="L74" s="364"/>
      <c r="M74" s="364"/>
      <c r="N74" s="364"/>
      <c r="O74" s="364"/>
      <c r="P74" s="364"/>
      <c r="Q74" s="364"/>
      <c r="R74" s="364"/>
      <c r="S74" s="364"/>
      <c r="T74" s="364"/>
      <c r="U74" s="364"/>
      <c r="V74" s="364"/>
      <c r="W74" s="364"/>
      <c r="X74" s="364"/>
      <c r="Y74" s="364"/>
      <c r="Z74" s="364"/>
    </row>
    <row r="75">
      <c r="A75" s="367"/>
      <c r="B75" s="367"/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64"/>
      <c r="Q75" s="364"/>
      <c r="R75" s="364"/>
      <c r="S75" s="364"/>
      <c r="T75" s="364"/>
      <c r="U75" s="364"/>
      <c r="V75" s="364"/>
      <c r="W75" s="364"/>
      <c r="X75" s="364"/>
      <c r="Y75" s="364"/>
      <c r="Z75" s="364"/>
    </row>
    <row r="76">
      <c r="A76" s="367"/>
      <c r="B76" s="367"/>
      <c r="C76" s="364"/>
      <c r="D76" s="364"/>
      <c r="E76" s="364"/>
      <c r="F76" s="364"/>
      <c r="G76" s="364"/>
      <c r="H76" s="364"/>
      <c r="I76" s="364"/>
      <c r="J76" s="364"/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4"/>
      <c r="V76" s="364"/>
      <c r="W76" s="364"/>
      <c r="X76" s="364"/>
      <c r="Y76" s="364"/>
      <c r="Z76" s="364"/>
    </row>
    <row r="77">
      <c r="A77" s="367"/>
      <c r="B77" s="367"/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4"/>
      <c r="O77" s="364"/>
      <c r="P77" s="364"/>
      <c r="Q77" s="364"/>
      <c r="R77" s="364"/>
      <c r="S77" s="364"/>
      <c r="T77" s="364"/>
      <c r="U77" s="364"/>
      <c r="V77" s="364"/>
      <c r="W77" s="364"/>
      <c r="X77" s="364"/>
      <c r="Y77" s="364"/>
      <c r="Z77" s="364"/>
    </row>
    <row r="78">
      <c r="A78" s="367"/>
      <c r="B78" s="367"/>
      <c r="C78" s="364"/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  <c r="O78" s="364"/>
      <c r="P78" s="364"/>
      <c r="Q78" s="364"/>
      <c r="R78" s="364"/>
      <c r="S78" s="364"/>
      <c r="T78" s="364"/>
      <c r="U78" s="364"/>
      <c r="V78" s="364"/>
      <c r="W78" s="364"/>
      <c r="X78" s="364"/>
      <c r="Y78" s="364"/>
      <c r="Z78" s="364"/>
    </row>
    <row r="79">
      <c r="A79" s="367"/>
      <c r="B79" s="367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  <c r="Q79" s="364"/>
      <c r="R79" s="364"/>
      <c r="S79" s="364"/>
      <c r="T79" s="364"/>
      <c r="U79" s="364"/>
      <c r="V79" s="364"/>
      <c r="W79" s="364"/>
      <c r="X79" s="364"/>
      <c r="Y79" s="364"/>
      <c r="Z79" s="364"/>
    </row>
    <row r="80">
      <c r="A80" s="367"/>
      <c r="B80" s="367"/>
      <c r="C80" s="364"/>
      <c r="D80" s="364"/>
      <c r="E80" s="364"/>
      <c r="F80" s="364"/>
      <c r="G80" s="364"/>
      <c r="H80" s="364"/>
      <c r="I80" s="364"/>
      <c r="J80" s="364"/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4"/>
      <c r="V80" s="364"/>
      <c r="W80" s="364"/>
      <c r="X80" s="364"/>
      <c r="Y80" s="364"/>
      <c r="Z80" s="364"/>
    </row>
    <row r="81">
      <c r="A81" s="367"/>
      <c r="B81" s="367"/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  <c r="R81" s="364"/>
      <c r="S81" s="364"/>
      <c r="T81" s="364"/>
      <c r="U81" s="364"/>
      <c r="V81" s="364"/>
      <c r="W81" s="364"/>
      <c r="X81" s="364"/>
      <c r="Y81" s="364"/>
      <c r="Z81" s="364"/>
    </row>
    <row r="82">
      <c r="A82" s="367"/>
      <c r="B82" s="367"/>
      <c r="C82" s="364"/>
      <c r="D82" s="364"/>
      <c r="E82" s="364"/>
      <c r="F82" s="364"/>
      <c r="G82" s="364"/>
      <c r="H82" s="364"/>
      <c r="I82" s="364"/>
      <c r="J82" s="364"/>
      <c r="K82" s="364"/>
      <c r="L82" s="36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364"/>
    </row>
    <row r="83">
      <c r="A83" s="367"/>
      <c r="B83" s="367"/>
      <c r="C83" s="364"/>
      <c r="D83" s="364"/>
      <c r="E83" s="364"/>
      <c r="F83" s="364"/>
      <c r="G83" s="364"/>
      <c r="H83" s="364"/>
      <c r="I83" s="364"/>
      <c r="J83" s="364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364"/>
    </row>
    <row r="84">
      <c r="A84" s="367"/>
      <c r="B84" s="367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364"/>
      <c r="Z84" s="364"/>
    </row>
    <row r="85">
      <c r="A85" s="367"/>
      <c r="B85" s="367"/>
      <c r="C85" s="364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364"/>
      <c r="P85" s="364"/>
      <c r="Q85" s="364"/>
      <c r="R85" s="364"/>
      <c r="S85" s="364"/>
      <c r="T85" s="364"/>
      <c r="U85" s="364"/>
      <c r="V85" s="364"/>
      <c r="W85" s="364"/>
      <c r="X85" s="364"/>
      <c r="Y85" s="364"/>
      <c r="Z85" s="364"/>
    </row>
    <row r="86">
      <c r="A86" s="367"/>
      <c r="B86" s="367"/>
      <c r="C86" s="364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364"/>
      <c r="P86" s="364"/>
      <c r="Q86" s="364"/>
      <c r="R86" s="364"/>
      <c r="S86" s="364"/>
      <c r="T86" s="364"/>
      <c r="U86" s="364"/>
      <c r="V86" s="364"/>
      <c r="W86" s="364"/>
      <c r="X86" s="364"/>
      <c r="Y86" s="364"/>
      <c r="Z86" s="364"/>
    </row>
    <row r="87">
      <c r="A87" s="367"/>
      <c r="B87" s="367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4"/>
      <c r="V87" s="364"/>
      <c r="W87" s="364"/>
      <c r="X87" s="364"/>
      <c r="Y87" s="364"/>
      <c r="Z87" s="364"/>
    </row>
    <row r="88">
      <c r="A88" s="367"/>
      <c r="B88" s="367"/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4"/>
      <c r="V88" s="364"/>
      <c r="W88" s="364"/>
      <c r="X88" s="364"/>
      <c r="Y88" s="364"/>
      <c r="Z88" s="364"/>
    </row>
    <row r="89">
      <c r="A89" s="367"/>
      <c r="B89" s="367"/>
      <c r="C89" s="36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364"/>
      <c r="S89" s="364"/>
      <c r="T89" s="364"/>
      <c r="U89" s="364"/>
      <c r="V89" s="364"/>
      <c r="W89" s="364"/>
      <c r="X89" s="364"/>
      <c r="Y89" s="364"/>
      <c r="Z89" s="364"/>
    </row>
    <row r="90">
      <c r="A90" s="367"/>
      <c r="B90" s="367"/>
      <c r="C90" s="364"/>
      <c r="D90" s="364"/>
      <c r="E90" s="364"/>
      <c r="F90" s="364"/>
      <c r="G90" s="364"/>
      <c r="H90" s="364"/>
      <c r="I90" s="364"/>
      <c r="J90" s="364"/>
      <c r="K90" s="364"/>
      <c r="L90" s="364"/>
      <c r="M90" s="364"/>
      <c r="N90" s="364"/>
      <c r="O90" s="364"/>
      <c r="P90" s="364"/>
      <c r="Q90" s="364"/>
      <c r="R90" s="364"/>
      <c r="S90" s="364"/>
      <c r="T90" s="364"/>
      <c r="U90" s="364"/>
      <c r="V90" s="364"/>
      <c r="W90" s="364"/>
      <c r="X90" s="364"/>
      <c r="Y90" s="364"/>
      <c r="Z90" s="364"/>
    </row>
    <row r="91">
      <c r="A91" s="367"/>
      <c r="B91" s="367"/>
      <c r="C91" s="364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364"/>
      <c r="P91" s="364"/>
      <c r="Q91" s="364"/>
      <c r="R91" s="364"/>
      <c r="S91" s="364"/>
      <c r="T91" s="364"/>
      <c r="U91" s="364"/>
      <c r="V91" s="364"/>
      <c r="W91" s="364"/>
      <c r="X91" s="364"/>
      <c r="Y91" s="364"/>
      <c r="Z91" s="364"/>
    </row>
    <row r="92">
      <c r="A92" s="367"/>
      <c r="B92" s="367"/>
      <c r="C92" s="364"/>
      <c r="D92" s="364"/>
      <c r="E92" s="364"/>
      <c r="F92" s="364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364"/>
      <c r="Z92" s="364"/>
    </row>
    <row r="93">
      <c r="A93" s="367"/>
      <c r="B93" s="367"/>
      <c r="C93" s="364"/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364"/>
      <c r="O93" s="364"/>
      <c r="P93" s="364"/>
      <c r="Q93" s="364"/>
      <c r="R93" s="364"/>
      <c r="S93" s="364"/>
      <c r="T93" s="364"/>
      <c r="U93" s="364"/>
      <c r="V93" s="364"/>
      <c r="W93" s="364"/>
      <c r="X93" s="364"/>
      <c r="Y93" s="364"/>
      <c r="Z93" s="364"/>
    </row>
    <row r="94">
      <c r="A94" s="367"/>
      <c r="B94" s="367"/>
      <c r="C94" s="364"/>
      <c r="D94" s="364"/>
      <c r="E94" s="364"/>
      <c r="F94" s="364"/>
      <c r="G94" s="364"/>
      <c r="H94" s="364"/>
      <c r="I94" s="364"/>
      <c r="J94" s="364"/>
      <c r="K94" s="364"/>
      <c r="L94" s="364"/>
      <c r="M94" s="364"/>
      <c r="N94" s="364"/>
      <c r="O94" s="364"/>
      <c r="P94" s="364"/>
      <c r="Q94" s="364"/>
      <c r="R94" s="364"/>
      <c r="S94" s="364"/>
      <c r="T94" s="364"/>
      <c r="U94" s="364"/>
      <c r="V94" s="364"/>
      <c r="W94" s="364"/>
      <c r="X94" s="364"/>
      <c r="Y94" s="364"/>
      <c r="Z94" s="364"/>
    </row>
    <row r="95">
      <c r="A95" s="367"/>
      <c r="B95" s="367"/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4"/>
    </row>
    <row r="96">
      <c r="A96" s="367"/>
      <c r="B96" s="367"/>
      <c r="C96" s="364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364"/>
    </row>
    <row r="97">
      <c r="A97" s="367"/>
      <c r="B97" s="367"/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4"/>
      <c r="V97" s="364"/>
      <c r="W97" s="364"/>
      <c r="X97" s="364"/>
      <c r="Y97" s="364"/>
      <c r="Z97" s="364"/>
    </row>
    <row r="98">
      <c r="A98" s="367"/>
      <c r="B98" s="367"/>
      <c r="C98" s="364"/>
      <c r="D98" s="364"/>
      <c r="E98" s="364"/>
      <c r="F98" s="364"/>
      <c r="G98" s="364"/>
      <c r="H98" s="364"/>
      <c r="I98" s="364"/>
      <c r="J98" s="364"/>
      <c r="K98" s="364"/>
      <c r="L98" s="364"/>
      <c r="M98" s="364"/>
      <c r="N98" s="364"/>
      <c r="O98" s="364"/>
      <c r="P98" s="364"/>
      <c r="Q98" s="364"/>
      <c r="R98" s="364"/>
      <c r="S98" s="364"/>
      <c r="T98" s="364"/>
      <c r="U98" s="364"/>
      <c r="V98" s="364"/>
      <c r="W98" s="364"/>
      <c r="X98" s="364"/>
      <c r="Y98" s="364"/>
      <c r="Z98" s="364"/>
    </row>
    <row r="99">
      <c r="A99" s="367"/>
      <c r="B99" s="367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4"/>
      <c r="Z99" s="364"/>
    </row>
    <row r="100">
      <c r="A100" s="367"/>
      <c r="B100" s="367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364"/>
      <c r="P100" s="364"/>
      <c r="Q100" s="364"/>
      <c r="R100" s="364"/>
      <c r="S100" s="364"/>
      <c r="T100" s="364"/>
      <c r="U100" s="364"/>
      <c r="V100" s="364"/>
      <c r="W100" s="364"/>
      <c r="X100" s="364"/>
      <c r="Y100" s="364"/>
      <c r="Z100" s="364"/>
    </row>
    <row r="101">
      <c r="A101" s="367"/>
      <c r="B101" s="367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4"/>
      <c r="V101" s="364"/>
      <c r="W101" s="364"/>
      <c r="X101" s="364"/>
      <c r="Y101" s="364"/>
      <c r="Z101" s="364"/>
    </row>
    <row r="102">
      <c r="A102" s="367"/>
      <c r="B102" s="367"/>
      <c r="C102" s="364"/>
      <c r="D102" s="364"/>
      <c r="E102" s="364"/>
      <c r="F102" s="364"/>
      <c r="G102" s="364"/>
      <c r="H102" s="364"/>
      <c r="I102" s="364"/>
      <c r="J102" s="364"/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4"/>
      <c r="V102" s="364"/>
      <c r="W102" s="364"/>
      <c r="X102" s="364"/>
      <c r="Y102" s="364"/>
      <c r="Z102" s="364"/>
    </row>
    <row r="103">
      <c r="A103" s="367"/>
      <c r="B103" s="367"/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364"/>
      <c r="P103" s="364"/>
      <c r="Q103" s="364"/>
      <c r="R103" s="364"/>
      <c r="S103" s="364"/>
      <c r="T103" s="364"/>
      <c r="U103" s="364"/>
      <c r="V103" s="364"/>
      <c r="W103" s="364"/>
      <c r="X103" s="364"/>
      <c r="Y103" s="364"/>
      <c r="Z103" s="364"/>
    </row>
    <row r="104">
      <c r="A104" s="367"/>
      <c r="B104" s="367"/>
      <c r="C104" s="364"/>
      <c r="D104" s="364"/>
      <c r="E104" s="364"/>
      <c r="F104" s="364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4"/>
      <c r="V104" s="364"/>
      <c r="W104" s="364"/>
      <c r="X104" s="364"/>
      <c r="Y104" s="364"/>
      <c r="Z104" s="364"/>
    </row>
    <row r="105">
      <c r="A105" s="367"/>
      <c r="B105" s="367"/>
      <c r="C105" s="364"/>
      <c r="D105" s="364"/>
      <c r="E105" s="364"/>
      <c r="F105" s="364"/>
      <c r="G105" s="364"/>
      <c r="H105" s="364"/>
      <c r="I105" s="364"/>
      <c r="J105" s="364"/>
      <c r="K105" s="364"/>
      <c r="L105" s="364"/>
      <c r="M105" s="364"/>
      <c r="N105" s="364"/>
      <c r="O105" s="364"/>
      <c r="P105" s="364"/>
      <c r="Q105" s="364"/>
      <c r="R105" s="364"/>
      <c r="S105" s="364"/>
      <c r="T105" s="364"/>
      <c r="U105" s="364"/>
      <c r="V105" s="364"/>
      <c r="W105" s="364"/>
      <c r="X105" s="364"/>
      <c r="Y105" s="364"/>
      <c r="Z105" s="364"/>
    </row>
    <row r="106">
      <c r="A106" s="367"/>
      <c r="B106" s="367"/>
      <c r="C106" s="364"/>
      <c r="D106" s="364"/>
      <c r="E106" s="364"/>
      <c r="F106" s="364"/>
      <c r="G106" s="364"/>
      <c r="H106" s="364"/>
      <c r="I106" s="364"/>
      <c r="J106" s="364"/>
      <c r="K106" s="364"/>
      <c r="L106" s="364"/>
      <c r="M106" s="364"/>
      <c r="N106" s="364"/>
      <c r="O106" s="364"/>
      <c r="P106" s="364"/>
      <c r="Q106" s="364"/>
      <c r="R106" s="364"/>
      <c r="S106" s="364"/>
      <c r="T106" s="364"/>
      <c r="U106" s="364"/>
      <c r="V106" s="364"/>
      <c r="W106" s="364"/>
      <c r="X106" s="364"/>
      <c r="Y106" s="364"/>
      <c r="Z106" s="364"/>
    </row>
    <row r="107">
      <c r="A107" s="367"/>
      <c r="B107" s="367"/>
      <c r="C107" s="364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364"/>
      <c r="P107" s="364"/>
      <c r="Q107" s="364"/>
      <c r="R107" s="364"/>
      <c r="S107" s="364"/>
      <c r="T107" s="364"/>
      <c r="U107" s="364"/>
      <c r="V107" s="364"/>
      <c r="W107" s="364"/>
      <c r="X107" s="364"/>
      <c r="Y107" s="364"/>
      <c r="Z107" s="364"/>
    </row>
    <row r="108">
      <c r="A108" s="367"/>
      <c r="B108" s="367"/>
      <c r="C108" s="364"/>
      <c r="D108" s="364"/>
      <c r="E108" s="364"/>
      <c r="F108" s="364"/>
      <c r="G108" s="364"/>
      <c r="H108" s="364"/>
      <c r="I108" s="364"/>
      <c r="J108" s="364"/>
      <c r="K108" s="364"/>
      <c r="L108" s="36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364"/>
    </row>
    <row r="109">
      <c r="A109" s="367"/>
      <c r="B109" s="367"/>
      <c r="C109" s="364"/>
      <c r="D109" s="364"/>
      <c r="E109" s="364"/>
      <c r="F109" s="364"/>
      <c r="G109" s="364"/>
      <c r="H109" s="364"/>
      <c r="I109" s="364"/>
      <c r="J109" s="364"/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</row>
    <row r="110">
      <c r="A110" s="367"/>
      <c r="B110" s="367"/>
      <c r="C110" s="364"/>
      <c r="D110" s="364"/>
      <c r="E110" s="364"/>
      <c r="F110" s="364"/>
      <c r="G110" s="364"/>
      <c r="H110" s="364"/>
      <c r="I110" s="364"/>
      <c r="J110" s="364"/>
      <c r="K110" s="364"/>
      <c r="L110" s="364"/>
      <c r="M110" s="364"/>
      <c r="N110" s="364"/>
      <c r="O110" s="364"/>
      <c r="P110" s="364"/>
      <c r="Q110" s="364"/>
      <c r="R110" s="364"/>
      <c r="S110" s="364"/>
      <c r="T110" s="364"/>
      <c r="U110" s="364"/>
      <c r="V110" s="364"/>
      <c r="W110" s="364"/>
      <c r="X110" s="364"/>
      <c r="Y110" s="364"/>
      <c r="Z110" s="364"/>
    </row>
    <row r="111">
      <c r="A111" s="367"/>
      <c r="B111" s="367"/>
      <c r="C111" s="364"/>
      <c r="D111" s="364"/>
      <c r="E111" s="364"/>
      <c r="F111" s="364"/>
      <c r="G111" s="364"/>
      <c r="H111" s="364"/>
      <c r="I111" s="364"/>
      <c r="J111" s="364"/>
      <c r="K111" s="364"/>
      <c r="L111" s="364"/>
      <c r="M111" s="364"/>
      <c r="N111" s="364"/>
      <c r="O111" s="364"/>
      <c r="P111" s="364"/>
      <c r="Q111" s="364"/>
      <c r="R111" s="364"/>
      <c r="S111" s="364"/>
      <c r="T111" s="364"/>
      <c r="U111" s="364"/>
      <c r="V111" s="364"/>
      <c r="W111" s="364"/>
      <c r="X111" s="364"/>
      <c r="Y111" s="364"/>
      <c r="Z111" s="364"/>
    </row>
    <row r="112">
      <c r="A112" s="367"/>
      <c r="B112" s="367"/>
      <c r="C112" s="364"/>
      <c r="D112" s="364"/>
      <c r="E112" s="364"/>
      <c r="F112" s="364"/>
      <c r="G112" s="364"/>
      <c r="H112" s="364"/>
      <c r="I112" s="364"/>
      <c r="J112" s="364"/>
      <c r="K112" s="364"/>
      <c r="L112" s="364"/>
      <c r="M112" s="364"/>
      <c r="N112" s="364"/>
      <c r="O112" s="364"/>
      <c r="P112" s="364"/>
      <c r="Q112" s="364"/>
      <c r="R112" s="364"/>
      <c r="S112" s="364"/>
      <c r="T112" s="364"/>
      <c r="U112" s="364"/>
      <c r="V112" s="364"/>
      <c r="W112" s="364"/>
      <c r="X112" s="364"/>
      <c r="Y112" s="364"/>
      <c r="Z112" s="364"/>
    </row>
    <row r="113">
      <c r="A113" s="367"/>
      <c r="B113" s="367"/>
      <c r="C113" s="364"/>
      <c r="D113" s="364"/>
      <c r="E113" s="364"/>
      <c r="F113" s="364"/>
      <c r="G113" s="364"/>
      <c r="H113" s="364"/>
      <c r="I113" s="364"/>
      <c r="J113" s="364"/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</row>
    <row r="114">
      <c r="A114" s="367"/>
      <c r="B114" s="367"/>
      <c r="C114" s="364"/>
      <c r="D114" s="364"/>
      <c r="E114" s="364"/>
      <c r="F114" s="364"/>
      <c r="G114" s="364"/>
      <c r="H114" s="364"/>
      <c r="I114" s="364"/>
      <c r="J114" s="364"/>
      <c r="K114" s="364"/>
      <c r="L114" s="364"/>
      <c r="M114" s="364"/>
      <c r="N114" s="364"/>
      <c r="O114" s="364"/>
      <c r="P114" s="364"/>
      <c r="Q114" s="364"/>
      <c r="R114" s="364"/>
      <c r="S114" s="364"/>
      <c r="T114" s="364"/>
      <c r="U114" s="364"/>
      <c r="V114" s="364"/>
      <c r="W114" s="364"/>
      <c r="X114" s="364"/>
      <c r="Y114" s="364"/>
      <c r="Z114" s="364"/>
    </row>
    <row r="115">
      <c r="A115" s="367"/>
      <c r="B115" s="367"/>
      <c r="C115" s="364"/>
      <c r="D115" s="364"/>
      <c r="E115" s="364"/>
      <c r="F115" s="364"/>
      <c r="G115" s="364"/>
      <c r="H115" s="364"/>
      <c r="I115" s="364"/>
      <c r="J115" s="364"/>
      <c r="K115" s="364"/>
      <c r="L115" s="364"/>
      <c r="M115" s="364"/>
      <c r="N115" s="364"/>
      <c r="O115" s="364"/>
      <c r="P115" s="364"/>
      <c r="Q115" s="364"/>
      <c r="R115" s="364"/>
      <c r="S115" s="364"/>
      <c r="T115" s="364"/>
      <c r="U115" s="364"/>
      <c r="V115" s="364"/>
      <c r="W115" s="364"/>
      <c r="X115" s="364"/>
      <c r="Y115" s="364"/>
      <c r="Z115" s="364"/>
    </row>
    <row r="116">
      <c r="A116" s="367"/>
      <c r="B116" s="367"/>
      <c r="C116" s="364"/>
      <c r="D116" s="364"/>
      <c r="E116" s="364"/>
      <c r="F116" s="364"/>
      <c r="G116" s="364"/>
      <c r="H116" s="364"/>
      <c r="I116" s="364"/>
      <c r="J116" s="364"/>
      <c r="K116" s="364"/>
      <c r="L116" s="364"/>
      <c r="M116" s="364"/>
      <c r="N116" s="364"/>
      <c r="O116" s="364"/>
      <c r="P116" s="364"/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</row>
    <row r="117">
      <c r="A117" s="367"/>
      <c r="B117" s="367"/>
      <c r="C117" s="364"/>
      <c r="D117" s="364"/>
      <c r="E117" s="364"/>
      <c r="F117" s="364"/>
      <c r="G117" s="364"/>
      <c r="H117" s="364"/>
      <c r="I117" s="364"/>
      <c r="J117" s="364"/>
      <c r="K117" s="364"/>
      <c r="L117" s="364"/>
      <c r="M117" s="364"/>
      <c r="N117" s="364"/>
      <c r="O117" s="364"/>
      <c r="P117" s="364"/>
      <c r="Q117" s="364"/>
      <c r="R117" s="364"/>
      <c r="S117" s="364"/>
      <c r="T117" s="364"/>
      <c r="U117" s="364"/>
      <c r="V117" s="364"/>
      <c r="W117" s="364"/>
      <c r="X117" s="364"/>
      <c r="Y117" s="364"/>
      <c r="Z117" s="364"/>
    </row>
    <row r="118">
      <c r="A118" s="367"/>
      <c r="B118" s="367"/>
      <c r="C118" s="364"/>
      <c r="D118" s="364"/>
      <c r="E118" s="364"/>
      <c r="F118" s="364"/>
      <c r="G118" s="364"/>
      <c r="H118" s="364"/>
      <c r="I118" s="364"/>
      <c r="J118" s="364"/>
      <c r="K118" s="364"/>
      <c r="L118" s="364"/>
      <c r="M118" s="364"/>
      <c r="N118" s="364"/>
      <c r="O118" s="364"/>
      <c r="P118" s="364"/>
      <c r="Q118" s="364"/>
      <c r="R118" s="364"/>
      <c r="S118" s="364"/>
      <c r="T118" s="364"/>
      <c r="U118" s="364"/>
      <c r="V118" s="364"/>
      <c r="W118" s="364"/>
      <c r="X118" s="364"/>
      <c r="Y118" s="364"/>
      <c r="Z118" s="364"/>
    </row>
    <row r="119">
      <c r="A119" s="367"/>
      <c r="B119" s="367"/>
      <c r="C119" s="364"/>
      <c r="D119" s="364"/>
      <c r="E119" s="364"/>
      <c r="F119" s="364"/>
      <c r="G119" s="364"/>
      <c r="H119" s="364"/>
      <c r="I119" s="364"/>
      <c r="J119" s="364"/>
      <c r="K119" s="364"/>
      <c r="L119" s="364"/>
      <c r="M119" s="364"/>
      <c r="N119" s="364"/>
      <c r="O119" s="364"/>
      <c r="P119" s="364"/>
      <c r="Q119" s="364"/>
      <c r="R119" s="364"/>
      <c r="S119" s="364"/>
      <c r="T119" s="364"/>
      <c r="U119" s="364"/>
      <c r="V119" s="364"/>
      <c r="W119" s="364"/>
      <c r="X119" s="364"/>
      <c r="Y119" s="364"/>
      <c r="Z119" s="364"/>
    </row>
    <row r="120">
      <c r="A120" s="367"/>
      <c r="B120" s="367"/>
      <c r="C120" s="364"/>
      <c r="D120" s="364"/>
      <c r="E120" s="364"/>
      <c r="F120" s="364"/>
      <c r="G120" s="364"/>
      <c r="H120" s="364"/>
      <c r="I120" s="364"/>
      <c r="J120" s="364"/>
      <c r="K120" s="364"/>
      <c r="L120" s="364"/>
      <c r="M120" s="364"/>
      <c r="N120" s="364"/>
      <c r="O120" s="364"/>
      <c r="P120" s="364"/>
      <c r="Q120" s="364"/>
      <c r="R120" s="364"/>
      <c r="S120" s="364"/>
      <c r="T120" s="364"/>
      <c r="U120" s="364"/>
      <c r="V120" s="364"/>
      <c r="W120" s="364"/>
      <c r="X120" s="364"/>
      <c r="Y120" s="364"/>
      <c r="Z120" s="364"/>
    </row>
    <row r="121">
      <c r="A121" s="367"/>
      <c r="B121" s="367"/>
      <c r="C121" s="364"/>
      <c r="D121" s="364"/>
      <c r="E121" s="364"/>
      <c r="F121" s="364"/>
      <c r="G121" s="364"/>
      <c r="H121" s="364"/>
      <c r="I121" s="364"/>
      <c r="J121" s="364"/>
      <c r="K121" s="364"/>
      <c r="L121" s="364"/>
      <c r="M121" s="364"/>
      <c r="N121" s="364"/>
      <c r="O121" s="364"/>
      <c r="P121" s="364"/>
      <c r="Q121" s="364"/>
      <c r="R121" s="364"/>
      <c r="S121" s="364"/>
      <c r="T121" s="364"/>
      <c r="U121" s="364"/>
      <c r="V121" s="364"/>
      <c r="W121" s="364"/>
      <c r="X121" s="364"/>
      <c r="Y121" s="364"/>
      <c r="Z121" s="364"/>
    </row>
    <row r="122">
      <c r="A122" s="367"/>
      <c r="B122" s="367"/>
      <c r="C122" s="364"/>
      <c r="D122" s="364"/>
      <c r="E122" s="364"/>
      <c r="F122" s="364"/>
      <c r="G122" s="364"/>
      <c r="H122" s="364"/>
      <c r="I122" s="364"/>
      <c r="J122" s="364"/>
      <c r="K122" s="364"/>
      <c r="L122" s="364"/>
      <c r="M122" s="364"/>
      <c r="N122" s="364"/>
      <c r="O122" s="364"/>
      <c r="P122" s="364"/>
      <c r="Q122" s="364"/>
      <c r="R122" s="364"/>
      <c r="S122" s="364"/>
      <c r="T122" s="364"/>
      <c r="U122" s="364"/>
      <c r="V122" s="364"/>
      <c r="W122" s="364"/>
      <c r="X122" s="364"/>
      <c r="Y122" s="364"/>
      <c r="Z122" s="364"/>
    </row>
    <row r="123">
      <c r="A123" s="367"/>
      <c r="B123" s="367"/>
      <c r="C123" s="364"/>
      <c r="D123" s="364"/>
      <c r="E123" s="364"/>
      <c r="F123" s="364"/>
      <c r="G123" s="364"/>
      <c r="H123" s="364"/>
      <c r="I123" s="364"/>
      <c r="J123" s="364"/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</row>
    <row r="124">
      <c r="A124" s="367"/>
      <c r="B124" s="367"/>
      <c r="C124" s="364"/>
      <c r="D124" s="364"/>
      <c r="E124" s="364"/>
      <c r="F124" s="364"/>
      <c r="G124" s="364"/>
      <c r="H124" s="364"/>
      <c r="I124" s="364"/>
      <c r="J124" s="364"/>
      <c r="K124" s="364"/>
      <c r="L124" s="364"/>
      <c r="M124" s="364"/>
      <c r="N124" s="364"/>
      <c r="O124" s="364"/>
      <c r="P124" s="364"/>
      <c r="Q124" s="364"/>
      <c r="R124" s="364"/>
      <c r="S124" s="364"/>
      <c r="T124" s="364"/>
      <c r="U124" s="364"/>
      <c r="V124" s="364"/>
      <c r="W124" s="364"/>
      <c r="X124" s="364"/>
      <c r="Y124" s="364"/>
      <c r="Z124" s="364"/>
    </row>
    <row r="125">
      <c r="A125" s="367"/>
      <c r="B125" s="367"/>
      <c r="C125" s="364"/>
      <c r="D125" s="364"/>
      <c r="E125" s="364"/>
      <c r="F125" s="364"/>
      <c r="G125" s="364"/>
      <c r="H125" s="364"/>
      <c r="I125" s="364"/>
      <c r="J125" s="364"/>
      <c r="K125" s="364"/>
      <c r="L125" s="364"/>
      <c r="M125" s="364"/>
      <c r="N125" s="364"/>
      <c r="O125" s="364"/>
      <c r="P125" s="364"/>
      <c r="Q125" s="364"/>
      <c r="R125" s="364"/>
      <c r="S125" s="364"/>
      <c r="T125" s="364"/>
      <c r="U125" s="364"/>
      <c r="V125" s="364"/>
      <c r="W125" s="364"/>
      <c r="X125" s="364"/>
      <c r="Y125" s="364"/>
      <c r="Z125" s="364"/>
    </row>
    <row r="126">
      <c r="A126" s="367"/>
      <c r="B126" s="367"/>
      <c r="C126" s="364"/>
      <c r="D126" s="364"/>
      <c r="E126" s="364"/>
      <c r="F126" s="364"/>
      <c r="G126" s="364"/>
      <c r="H126" s="364"/>
      <c r="I126" s="364"/>
      <c r="J126" s="364"/>
      <c r="K126" s="364"/>
      <c r="L126" s="364"/>
      <c r="M126" s="364"/>
      <c r="N126" s="364"/>
      <c r="O126" s="364"/>
      <c r="P126" s="364"/>
      <c r="Q126" s="364"/>
      <c r="R126" s="364"/>
      <c r="S126" s="364"/>
      <c r="T126" s="364"/>
      <c r="U126" s="364"/>
      <c r="V126" s="364"/>
      <c r="W126" s="364"/>
      <c r="X126" s="364"/>
      <c r="Y126" s="364"/>
      <c r="Z126" s="364"/>
    </row>
    <row r="127">
      <c r="A127" s="367"/>
      <c r="B127" s="367"/>
      <c r="C127" s="364"/>
      <c r="D127" s="364"/>
      <c r="E127" s="364"/>
      <c r="F127" s="364"/>
      <c r="G127" s="364"/>
      <c r="H127" s="364"/>
      <c r="I127" s="364"/>
      <c r="J127" s="364"/>
      <c r="K127" s="364"/>
      <c r="L127" s="364"/>
      <c r="M127" s="364"/>
      <c r="N127" s="364"/>
      <c r="O127" s="364"/>
      <c r="P127" s="364"/>
      <c r="Q127" s="364"/>
      <c r="R127" s="364"/>
      <c r="S127" s="364"/>
      <c r="T127" s="364"/>
      <c r="U127" s="364"/>
      <c r="V127" s="364"/>
      <c r="W127" s="364"/>
      <c r="X127" s="364"/>
      <c r="Y127" s="364"/>
      <c r="Z127" s="364"/>
    </row>
    <row r="128">
      <c r="A128" s="367"/>
      <c r="B128" s="367"/>
      <c r="C128" s="364"/>
      <c r="D128" s="364"/>
      <c r="E128" s="364"/>
      <c r="F128" s="364"/>
      <c r="G128" s="364"/>
      <c r="H128" s="364"/>
      <c r="I128" s="364"/>
      <c r="J128" s="364"/>
      <c r="K128" s="364"/>
      <c r="L128" s="364"/>
      <c r="M128" s="364"/>
      <c r="N128" s="364"/>
      <c r="O128" s="364"/>
      <c r="P128" s="364"/>
      <c r="Q128" s="364"/>
      <c r="R128" s="364"/>
      <c r="S128" s="364"/>
      <c r="T128" s="364"/>
      <c r="U128" s="364"/>
      <c r="V128" s="364"/>
      <c r="W128" s="364"/>
      <c r="X128" s="364"/>
      <c r="Y128" s="364"/>
      <c r="Z128" s="364"/>
    </row>
    <row r="129">
      <c r="A129" s="367"/>
      <c r="B129" s="367"/>
      <c r="C129" s="364"/>
      <c r="D129" s="364"/>
      <c r="E129" s="364"/>
      <c r="F129" s="364"/>
      <c r="G129" s="364"/>
      <c r="H129" s="364"/>
      <c r="I129" s="364"/>
      <c r="J129" s="364"/>
      <c r="K129" s="364"/>
      <c r="L129" s="364"/>
      <c r="M129" s="364"/>
      <c r="N129" s="364"/>
      <c r="O129" s="364"/>
      <c r="P129" s="364"/>
      <c r="Q129" s="364"/>
      <c r="R129" s="364"/>
      <c r="S129" s="364"/>
      <c r="T129" s="364"/>
      <c r="U129" s="364"/>
      <c r="V129" s="364"/>
      <c r="W129" s="364"/>
      <c r="X129" s="364"/>
      <c r="Y129" s="364"/>
      <c r="Z129" s="364"/>
    </row>
    <row r="130">
      <c r="A130" s="367"/>
      <c r="B130" s="367"/>
      <c r="C130" s="364"/>
      <c r="D130" s="364"/>
      <c r="E130" s="364"/>
      <c r="F130" s="364"/>
      <c r="G130" s="364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</row>
    <row r="131">
      <c r="A131" s="367"/>
      <c r="B131" s="367"/>
      <c r="C131" s="364"/>
      <c r="D131" s="364"/>
      <c r="E131" s="364"/>
      <c r="F131" s="364"/>
      <c r="G131" s="364"/>
      <c r="H131" s="364"/>
      <c r="I131" s="364"/>
      <c r="J131" s="364"/>
      <c r="K131" s="364"/>
      <c r="L131" s="364"/>
      <c r="M131" s="364"/>
      <c r="N131" s="364"/>
      <c r="O131" s="364"/>
      <c r="P131" s="364"/>
      <c r="Q131" s="364"/>
      <c r="R131" s="364"/>
      <c r="S131" s="364"/>
      <c r="T131" s="364"/>
      <c r="U131" s="364"/>
      <c r="V131" s="364"/>
      <c r="W131" s="364"/>
      <c r="X131" s="364"/>
      <c r="Y131" s="364"/>
      <c r="Z131" s="364"/>
    </row>
    <row r="132">
      <c r="A132" s="367"/>
      <c r="B132" s="367"/>
      <c r="C132" s="364"/>
      <c r="D132" s="364"/>
      <c r="E132" s="364"/>
      <c r="F132" s="364"/>
      <c r="G132" s="364"/>
      <c r="H132" s="364"/>
      <c r="I132" s="364"/>
      <c r="J132" s="364"/>
      <c r="K132" s="364"/>
      <c r="L132" s="364"/>
      <c r="M132" s="364"/>
      <c r="N132" s="364"/>
      <c r="O132" s="364"/>
      <c r="P132" s="364"/>
      <c r="Q132" s="364"/>
      <c r="R132" s="364"/>
      <c r="S132" s="364"/>
      <c r="T132" s="364"/>
      <c r="U132" s="364"/>
      <c r="V132" s="364"/>
      <c r="W132" s="364"/>
      <c r="X132" s="364"/>
      <c r="Y132" s="364"/>
      <c r="Z132" s="364"/>
    </row>
    <row r="133">
      <c r="A133" s="367"/>
      <c r="B133" s="367"/>
      <c r="C133" s="364"/>
      <c r="D133" s="364"/>
      <c r="E133" s="364"/>
      <c r="F133" s="364"/>
      <c r="G133" s="364"/>
      <c r="H133" s="364"/>
      <c r="I133" s="364"/>
      <c r="J133" s="364"/>
      <c r="K133" s="364"/>
      <c r="L133" s="364"/>
      <c r="M133" s="364"/>
      <c r="N133" s="364"/>
      <c r="O133" s="364"/>
      <c r="P133" s="364"/>
      <c r="Q133" s="364"/>
      <c r="R133" s="364"/>
      <c r="S133" s="364"/>
      <c r="T133" s="364"/>
      <c r="U133" s="364"/>
      <c r="V133" s="364"/>
      <c r="W133" s="364"/>
      <c r="X133" s="364"/>
      <c r="Y133" s="364"/>
      <c r="Z133" s="364"/>
    </row>
    <row r="134">
      <c r="A134" s="367"/>
      <c r="B134" s="367"/>
      <c r="C134" s="364"/>
      <c r="D134" s="364"/>
      <c r="E134" s="364"/>
      <c r="F134" s="364"/>
      <c r="G134" s="364"/>
      <c r="H134" s="364"/>
      <c r="I134" s="364"/>
      <c r="J134" s="364"/>
      <c r="K134" s="364"/>
      <c r="L134" s="36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364"/>
    </row>
    <row r="135">
      <c r="A135" s="367"/>
      <c r="B135" s="367"/>
      <c r="C135" s="364"/>
      <c r="D135" s="364"/>
      <c r="E135" s="364"/>
      <c r="F135" s="364"/>
      <c r="G135" s="364"/>
      <c r="H135" s="364"/>
      <c r="I135" s="364"/>
      <c r="J135" s="364"/>
      <c r="K135" s="364"/>
      <c r="L135" s="36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364"/>
    </row>
    <row r="136">
      <c r="A136" s="367"/>
      <c r="B136" s="367"/>
      <c r="C136" s="364"/>
      <c r="D136" s="364"/>
      <c r="E136" s="364"/>
      <c r="F136" s="364"/>
      <c r="G136" s="364"/>
      <c r="H136" s="364"/>
      <c r="I136" s="364"/>
      <c r="J136" s="364"/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</row>
    <row r="137">
      <c r="A137" s="367"/>
      <c r="B137" s="367"/>
      <c r="C137" s="364"/>
      <c r="D137" s="364"/>
      <c r="E137" s="364"/>
      <c r="F137" s="364"/>
      <c r="G137" s="364"/>
      <c r="H137" s="364"/>
      <c r="I137" s="364"/>
      <c r="J137" s="364"/>
      <c r="K137" s="364"/>
      <c r="L137" s="364"/>
      <c r="M137" s="364"/>
      <c r="N137" s="364"/>
      <c r="O137" s="364"/>
      <c r="P137" s="364"/>
      <c r="Q137" s="364"/>
      <c r="R137" s="364"/>
      <c r="S137" s="364"/>
      <c r="T137" s="364"/>
      <c r="U137" s="364"/>
      <c r="V137" s="364"/>
      <c r="W137" s="364"/>
      <c r="X137" s="364"/>
      <c r="Y137" s="364"/>
      <c r="Z137" s="364"/>
    </row>
    <row r="138">
      <c r="A138" s="367"/>
      <c r="B138" s="367"/>
      <c r="C138" s="364"/>
      <c r="D138" s="364"/>
      <c r="E138" s="364"/>
      <c r="F138" s="364"/>
      <c r="G138" s="364"/>
      <c r="H138" s="364"/>
      <c r="I138" s="364"/>
      <c r="J138" s="364"/>
      <c r="K138" s="364"/>
      <c r="L138" s="364"/>
      <c r="M138" s="364"/>
      <c r="N138" s="364"/>
      <c r="O138" s="364"/>
      <c r="P138" s="364"/>
      <c r="Q138" s="364"/>
      <c r="R138" s="364"/>
      <c r="S138" s="364"/>
      <c r="T138" s="364"/>
      <c r="U138" s="364"/>
      <c r="V138" s="364"/>
      <c r="W138" s="364"/>
      <c r="X138" s="364"/>
      <c r="Y138" s="364"/>
      <c r="Z138" s="364"/>
    </row>
    <row r="139">
      <c r="A139" s="367"/>
      <c r="B139" s="367"/>
      <c r="C139" s="364"/>
      <c r="D139" s="364"/>
      <c r="E139" s="364"/>
      <c r="F139" s="364"/>
      <c r="G139" s="364"/>
      <c r="H139" s="364"/>
      <c r="I139" s="364"/>
      <c r="J139" s="364"/>
      <c r="K139" s="364"/>
      <c r="L139" s="364"/>
      <c r="M139" s="364"/>
      <c r="N139" s="364"/>
      <c r="O139" s="364"/>
      <c r="P139" s="364"/>
      <c r="Q139" s="364"/>
      <c r="R139" s="364"/>
      <c r="S139" s="364"/>
      <c r="T139" s="364"/>
      <c r="U139" s="364"/>
      <c r="V139" s="364"/>
      <c r="W139" s="364"/>
      <c r="X139" s="364"/>
      <c r="Y139" s="364"/>
      <c r="Z139" s="364"/>
    </row>
    <row r="140">
      <c r="A140" s="367"/>
      <c r="B140" s="367"/>
      <c r="C140" s="364"/>
      <c r="D140" s="364"/>
      <c r="E140" s="364"/>
      <c r="F140" s="364"/>
      <c r="G140" s="364"/>
      <c r="H140" s="364"/>
      <c r="I140" s="364"/>
      <c r="J140" s="364"/>
      <c r="K140" s="364"/>
      <c r="L140" s="364"/>
      <c r="M140" s="364"/>
      <c r="N140" s="364"/>
      <c r="O140" s="364"/>
      <c r="P140" s="364"/>
      <c r="Q140" s="364"/>
      <c r="R140" s="364"/>
      <c r="S140" s="364"/>
      <c r="T140" s="364"/>
      <c r="U140" s="364"/>
      <c r="V140" s="364"/>
      <c r="W140" s="364"/>
      <c r="X140" s="364"/>
      <c r="Y140" s="364"/>
      <c r="Z140" s="364"/>
    </row>
    <row r="141">
      <c r="A141" s="367"/>
      <c r="B141" s="367"/>
      <c r="C141" s="364"/>
      <c r="D141" s="364"/>
      <c r="E141" s="364"/>
      <c r="F141" s="364"/>
      <c r="G141" s="364"/>
      <c r="H141" s="364"/>
      <c r="I141" s="364"/>
      <c r="J141" s="364"/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</row>
    <row r="142">
      <c r="A142" s="367"/>
      <c r="B142" s="367"/>
      <c r="C142" s="364"/>
      <c r="D142" s="364"/>
      <c r="E142" s="364"/>
      <c r="F142" s="364"/>
      <c r="G142" s="364"/>
      <c r="H142" s="364"/>
      <c r="I142" s="364"/>
      <c r="J142" s="364"/>
      <c r="K142" s="364"/>
      <c r="L142" s="364"/>
      <c r="M142" s="364"/>
      <c r="N142" s="364"/>
      <c r="O142" s="364"/>
      <c r="P142" s="364"/>
      <c r="Q142" s="364"/>
      <c r="R142" s="364"/>
      <c r="S142" s="364"/>
      <c r="T142" s="364"/>
      <c r="U142" s="364"/>
      <c r="V142" s="364"/>
      <c r="W142" s="364"/>
      <c r="X142" s="364"/>
      <c r="Y142" s="364"/>
      <c r="Z142" s="364"/>
    </row>
    <row r="143">
      <c r="A143" s="367"/>
      <c r="B143" s="367"/>
      <c r="C143" s="364"/>
      <c r="D143" s="364"/>
      <c r="E143" s="364"/>
      <c r="F143" s="364"/>
      <c r="G143" s="364"/>
      <c r="H143" s="364"/>
      <c r="I143" s="364"/>
      <c r="J143" s="364"/>
      <c r="K143" s="364"/>
      <c r="L143" s="364"/>
      <c r="M143" s="364"/>
      <c r="N143" s="364"/>
      <c r="O143" s="364"/>
      <c r="P143" s="364"/>
      <c r="Q143" s="364"/>
      <c r="R143" s="364"/>
      <c r="S143" s="364"/>
      <c r="T143" s="364"/>
      <c r="U143" s="364"/>
      <c r="V143" s="364"/>
      <c r="W143" s="364"/>
      <c r="X143" s="364"/>
      <c r="Y143" s="364"/>
      <c r="Z143" s="364"/>
    </row>
    <row r="144">
      <c r="A144" s="367"/>
      <c r="B144" s="367"/>
      <c r="C144" s="364"/>
      <c r="D144" s="364"/>
      <c r="E144" s="364"/>
      <c r="F144" s="364"/>
      <c r="G144" s="364"/>
      <c r="H144" s="364"/>
      <c r="I144" s="364"/>
      <c r="J144" s="364"/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</row>
    <row r="145">
      <c r="A145" s="367"/>
      <c r="B145" s="367"/>
      <c r="C145" s="364"/>
      <c r="D145" s="364"/>
      <c r="E145" s="364"/>
      <c r="F145" s="364"/>
      <c r="G145" s="364"/>
      <c r="H145" s="364"/>
      <c r="I145" s="364"/>
      <c r="J145" s="364"/>
      <c r="K145" s="364"/>
      <c r="L145" s="364"/>
      <c r="M145" s="364"/>
      <c r="N145" s="364"/>
      <c r="O145" s="364"/>
      <c r="P145" s="364"/>
      <c r="Q145" s="364"/>
      <c r="R145" s="364"/>
      <c r="S145" s="364"/>
      <c r="T145" s="364"/>
      <c r="U145" s="364"/>
      <c r="V145" s="364"/>
      <c r="W145" s="364"/>
      <c r="X145" s="364"/>
      <c r="Y145" s="364"/>
      <c r="Z145" s="364"/>
    </row>
    <row r="146">
      <c r="A146" s="367"/>
      <c r="B146" s="367"/>
      <c r="C146" s="364"/>
      <c r="D146" s="364"/>
      <c r="E146" s="364"/>
      <c r="F146" s="364"/>
      <c r="G146" s="364"/>
      <c r="H146" s="364"/>
      <c r="I146" s="364"/>
      <c r="J146" s="364"/>
      <c r="K146" s="364"/>
      <c r="L146" s="364"/>
      <c r="M146" s="364"/>
      <c r="N146" s="364"/>
      <c r="O146" s="364"/>
      <c r="P146" s="364"/>
      <c r="Q146" s="364"/>
      <c r="R146" s="364"/>
      <c r="S146" s="364"/>
      <c r="T146" s="364"/>
      <c r="U146" s="364"/>
      <c r="V146" s="364"/>
      <c r="W146" s="364"/>
      <c r="X146" s="364"/>
      <c r="Y146" s="364"/>
      <c r="Z146" s="364"/>
    </row>
    <row r="147">
      <c r="A147" s="367"/>
      <c r="B147" s="367"/>
      <c r="C147" s="364"/>
      <c r="D147" s="364"/>
      <c r="E147" s="364"/>
      <c r="F147" s="364"/>
      <c r="G147" s="364"/>
      <c r="H147" s="364"/>
      <c r="I147" s="364"/>
      <c r="J147" s="364"/>
      <c r="K147" s="364"/>
      <c r="L147" s="364"/>
      <c r="M147" s="364"/>
      <c r="N147" s="364"/>
      <c r="O147" s="364"/>
      <c r="P147" s="364"/>
      <c r="Q147" s="364"/>
      <c r="R147" s="364"/>
      <c r="S147" s="364"/>
      <c r="T147" s="364"/>
      <c r="U147" s="364"/>
      <c r="V147" s="364"/>
      <c r="W147" s="364"/>
      <c r="X147" s="364"/>
      <c r="Y147" s="364"/>
      <c r="Z147" s="364"/>
    </row>
    <row r="148">
      <c r="A148" s="367"/>
      <c r="B148" s="367"/>
      <c r="C148" s="364"/>
      <c r="D148" s="364"/>
      <c r="E148" s="364"/>
      <c r="F148" s="364"/>
      <c r="G148" s="364"/>
      <c r="H148" s="364"/>
      <c r="I148" s="364"/>
      <c r="J148" s="364"/>
      <c r="K148" s="364"/>
      <c r="L148" s="364"/>
      <c r="M148" s="364"/>
      <c r="N148" s="364"/>
      <c r="O148" s="364"/>
      <c r="P148" s="364"/>
      <c r="Q148" s="364"/>
      <c r="R148" s="364"/>
      <c r="S148" s="364"/>
      <c r="T148" s="364"/>
      <c r="U148" s="364"/>
      <c r="V148" s="364"/>
      <c r="W148" s="364"/>
      <c r="X148" s="364"/>
      <c r="Y148" s="364"/>
      <c r="Z148" s="364"/>
    </row>
    <row r="149">
      <c r="A149" s="367"/>
      <c r="B149" s="367"/>
      <c r="C149" s="364"/>
      <c r="D149" s="364"/>
      <c r="E149" s="364"/>
      <c r="F149" s="364"/>
      <c r="G149" s="364"/>
      <c r="H149" s="364"/>
      <c r="I149" s="364"/>
      <c r="J149" s="364"/>
      <c r="K149" s="364"/>
      <c r="L149" s="364"/>
      <c r="M149" s="364"/>
      <c r="N149" s="364"/>
      <c r="O149" s="364"/>
      <c r="P149" s="364"/>
      <c r="Q149" s="364"/>
      <c r="R149" s="364"/>
      <c r="S149" s="364"/>
      <c r="T149" s="364"/>
      <c r="U149" s="364"/>
      <c r="V149" s="364"/>
      <c r="W149" s="364"/>
      <c r="X149" s="364"/>
      <c r="Y149" s="364"/>
      <c r="Z149" s="364"/>
    </row>
    <row r="150">
      <c r="A150" s="367"/>
      <c r="B150" s="367"/>
      <c r="C150" s="364"/>
      <c r="D150" s="364"/>
      <c r="E150" s="364"/>
      <c r="F150" s="364"/>
      <c r="G150" s="364"/>
      <c r="H150" s="364"/>
      <c r="I150" s="364"/>
      <c r="J150" s="364"/>
      <c r="K150" s="364"/>
      <c r="L150" s="364"/>
      <c r="M150" s="364"/>
      <c r="N150" s="364"/>
      <c r="O150" s="364"/>
      <c r="P150" s="364"/>
      <c r="Q150" s="364"/>
      <c r="R150" s="364"/>
      <c r="S150" s="364"/>
      <c r="T150" s="364"/>
      <c r="U150" s="364"/>
      <c r="V150" s="364"/>
      <c r="W150" s="364"/>
      <c r="X150" s="364"/>
      <c r="Y150" s="364"/>
      <c r="Z150" s="364"/>
    </row>
    <row r="151">
      <c r="A151" s="367"/>
      <c r="B151" s="367"/>
      <c r="C151" s="364"/>
      <c r="D151" s="364"/>
      <c r="E151" s="364"/>
      <c r="F151" s="364"/>
      <c r="G151" s="364"/>
      <c r="H151" s="364"/>
      <c r="I151" s="364"/>
      <c r="J151" s="364"/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  <c r="U151" s="364"/>
      <c r="V151" s="364"/>
      <c r="W151" s="364"/>
      <c r="X151" s="364"/>
      <c r="Y151" s="364"/>
      <c r="Z151" s="364"/>
    </row>
    <row r="152">
      <c r="A152" s="367"/>
      <c r="B152" s="367"/>
      <c r="C152" s="364"/>
      <c r="D152" s="364"/>
      <c r="E152" s="364"/>
      <c r="F152" s="364"/>
      <c r="G152" s="364"/>
      <c r="H152" s="364"/>
      <c r="I152" s="364"/>
      <c r="J152" s="364"/>
      <c r="K152" s="364"/>
      <c r="L152" s="364"/>
      <c r="M152" s="364"/>
      <c r="N152" s="364"/>
      <c r="O152" s="364"/>
      <c r="P152" s="364"/>
      <c r="Q152" s="364"/>
      <c r="R152" s="364"/>
      <c r="S152" s="364"/>
      <c r="T152" s="364"/>
      <c r="U152" s="364"/>
      <c r="V152" s="364"/>
      <c r="W152" s="364"/>
      <c r="X152" s="364"/>
      <c r="Y152" s="364"/>
      <c r="Z152" s="364"/>
    </row>
    <row r="153">
      <c r="A153" s="367"/>
      <c r="B153" s="367"/>
      <c r="C153" s="364"/>
      <c r="D153" s="364"/>
      <c r="E153" s="364"/>
      <c r="F153" s="364"/>
      <c r="G153" s="364"/>
      <c r="H153" s="364"/>
      <c r="I153" s="364"/>
      <c r="J153" s="364"/>
      <c r="K153" s="364"/>
      <c r="L153" s="364"/>
      <c r="M153" s="364"/>
      <c r="N153" s="364"/>
      <c r="O153" s="364"/>
      <c r="P153" s="364"/>
      <c r="Q153" s="364"/>
      <c r="R153" s="364"/>
      <c r="S153" s="364"/>
      <c r="T153" s="364"/>
      <c r="U153" s="364"/>
      <c r="V153" s="364"/>
      <c r="W153" s="364"/>
      <c r="X153" s="364"/>
      <c r="Y153" s="364"/>
      <c r="Z153" s="364"/>
    </row>
    <row r="154">
      <c r="A154" s="367"/>
      <c r="B154" s="367"/>
      <c r="C154" s="364"/>
      <c r="D154" s="364"/>
      <c r="E154" s="364"/>
      <c r="F154" s="364"/>
      <c r="G154" s="364"/>
      <c r="H154" s="364"/>
      <c r="I154" s="364"/>
      <c r="J154" s="364"/>
      <c r="K154" s="364"/>
      <c r="L154" s="364"/>
      <c r="M154" s="364"/>
      <c r="N154" s="364"/>
      <c r="O154" s="364"/>
      <c r="P154" s="364"/>
      <c r="Q154" s="364"/>
      <c r="R154" s="364"/>
      <c r="S154" s="364"/>
      <c r="T154" s="364"/>
      <c r="U154" s="364"/>
      <c r="V154" s="364"/>
      <c r="W154" s="364"/>
      <c r="X154" s="364"/>
      <c r="Y154" s="364"/>
      <c r="Z154" s="364"/>
    </row>
    <row r="155">
      <c r="A155" s="367"/>
      <c r="B155" s="367"/>
      <c r="C155" s="364"/>
      <c r="D155" s="364"/>
      <c r="E155" s="364"/>
      <c r="F155" s="364"/>
      <c r="G155" s="364"/>
      <c r="H155" s="364"/>
      <c r="I155" s="364"/>
      <c r="J155" s="364"/>
      <c r="K155" s="364"/>
      <c r="L155" s="364"/>
      <c r="M155" s="364"/>
      <c r="N155" s="364"/>
      <c r="O155" s="364"/>
      <c r="P155" s="364"/>
      <c r="Q155" s="364"/>
      <c r="R155" s="364"/>
      <c r="S155" s="364"/>
      <c r="T155" s="364"/>
      <c r="U155" s="364"/>
      <c r="V155" s="364"/>
      <c r="W155" s="364"/>
      <c r="X155" s="364"/>
      <c r="Y155" s="364"/>
      <c r="Z155" s="364"/>
    </row>
    <row r="156">
      <c r="A156" s="367"/>
      <c r="B156" s="367"/>
      <c r="C156" s="364"/>
      <c r="D156" s="364"/>
      <c r="E156" s="364"/>
      <c r="F156" s="364"/>
      <c r="G156" s="364"/>
      <c r="H156" s="364"/>
      <c r="I156" s="364"/>
      <c r="J156" s="364"/>
      <c r="K156" s="364"/>
      <c r="L156" s="364"/>
      <c r="M156" s="364"/>
      <c r="N156" s="364"/>
      <c r="O156" s="364"/>
      <c r="P156" s="364"/>
      <c r="Q156" s="364"/>
      <c r="R156" s="364"/>
      <c r="S156" s="364"/>
      <c r="T156" s="364"/>
      <c r="U156" s="364"/>
      <c r="V156" s="364"/>
      <c r="W156" s="364"/>
      <c r="X156" s="364"/>
      <c r="Y156" s="364"/>
      <c r="Z156" s="364"/>
    </row>
    <row r="157">
      <c r="A157" s="367"/>
      <c r="B157" s="367"/>
      <c r="C157" s="364"/>
      <c r="D157" s="364"/>
      <c r="E157" s="364"/>
      <c r="F157" s="364"/>
      <c r="G157" s="364"/>
      <c r="H157" s="364"/>
      <c r="I157" s="364"/>
      <c r="J157" s="364"/>
      <c r="K157" s="364"/>
      <c r="L157" s="364"/>
      <c r="M157" s="364"/>
      <c r="N157" s="364"/>
      <c r="O157" s="364"/>
      <c r="P157" s="364"/>
      <c r="Q157" s="364"/>
      <c r="R157" s="364"/>
      <c r="S157" s="364"/>
      <c r="T157" s="364"/>
      <c r="U157" s="364"/>
      <c r="V157" s="364"/>
      <c r="W157" s="364"/>
      <c r="X157" s="364"/>
      <c r="Y157" s="364"/>
      <c r="Z157" s="364"/>
    </row>
    <row r="158">
      <c r="A158" s="367"/>
      <c r="B158" s="367"/>
      <c r="C158" s="364"/>
      <c r="D158" s="364"/>
      <c r="E158" s="364"/>
      <c r="F158" s="364"/>
      <c r="G158" s="364"/>
      <c r="H158" s="364"/>
      <c r="I158" s="364"/>
      <c r="J158" s="364"/>
      <c r="K158" s="364"/>
      <c r="L158" s="364"/>
      <c r="M158" s="364"/>
      <c r="N158" s="364"/>
      <c r="O158" s="364"/>
      <c r="P158" s="364"/>
      <c r="Q158" s="364"/>
      <c r="R158" s="364"/>
      <c r="S158" s="364"/>
      <c r="T158" s="364"/>
      <c r="U158" s="364"/>
      <c r="V158" s="364"/>
      <c r="W158" s="364"/>
      <c r="X158" s="364"/>
      <c r="Y158" s="364"/>
      <c r="Z158" s="364"/>
    </row>
    <row r="159">
      <c r="A159" s="367"/>
      <c r="B159" s="367"/>
      <c r="C159" s="364"/>
      <c r="D159" s="364"/>
      <c r="E159" s="364"/>
      <c r="F159" s="364"/>
      <c r="G159" s="364"/>
      <c r="H159" s="364"/>
      <c r="I159" s="364"/>
      <c r="J159" s="364"/>
      <c r="K159" s="364"/>
      <c r="L159" s="364"/>
      <c r="M159" s="364"/>
      <c r="N159" s="364"/>
      <c r="O159" s="364"/>
      <c r="P159" s="364"/>
      <c r="Q159" s="364"/>
      <c r="R159" s="364"/>
      <c r="S159" s="364"/>
      <c r="T159" s="364"/>
      <c r="U159" s="364"/>
      <c r="V159" s="364"/>
      <c r="W159" s="364"/>
      <c r="X159" s="364"/>
      <c r="Y159" s="364"/>
      <c r="Z159" s="364"/>
    </row>
    <row r="160">
      <c r="A160" s="367"/>
      <c r="B160" s="367"/>
      <c r="C160" s="364"/>
      <c r="D160" s="364"/>
      <c r="E160" s="364"/>
      <c r="F160" s="364"/>
      <c r="G160" s="364"/>
      <c r="H160" s="364"/>
      <c r="I160" s="364"/>
      <c r="J160" s="364"/>
      <c r="K160" s="364"/>
      <c r="L160" s="364"/>
      <c r="M160" s="364"/>
      <c r="N160" s="364"/>
      <c r="O160" s="364"/>
      <c r="P160" s="364"/>
      <c r="Q160" s="364"/>
      <c r="R160" s="364"/>
      <c r="S160" s="364"/>
      <c r="T160" s="364"/>
      <c r="U160" s="364"/>
      <c r="V160" s="364"/>
      <c r="W160" s="364"/>
      <c r="X160" s="364"/>
      <c r="Y160" s="364"/>
      <c r="Z160" s="364"/>
    </row>
    <row r="161">
      <c r="A161" s="367"/>
      <c r="B161" s="367"/>
      <c r="C161" s="364"/>
      <c r="D161" s="364"/>
      <c r="E161" s="364"/>
      <c r="F161" s="364"/>
      <c r="G161" s="364"/>
      <c r="H161" s="364"/>
      <c r="I161" s="364"/>
      <c r="J161" s="364"/>
      <c r="K161" s="364"/>
      <c r="L161" s="364"/>
      <c r="M161" s="364"/>
      <c r="N161" s="364"/>
      <c r="O161" s="364"/>
      <c r="P161" s="364"/>
      <c r="Q161" s="364"/>
      <c r="R161" s="364"/>
      <c r="S161" s="364"/>
      <c r="T161" s="364"/>
      <c r="U161" s="364"/>
      <c r="V161" s="364"/>
      <c r="W161" s="364"/>
      <c r="X161" s="364"/>
      <c r="Y161" s="364"/>
      <c r="Z161" s="364"/>
    </row>
    <row r="162">
      <c r="A162" s="367"/>
      <c r="B162" s="367"/>
      <c r="C162" s="364"/>
      <c r="D162" s="364"/>
      <c r="E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  <c r="U162" s="364"/>
      <c r="V162" s="364"/>
      <c r="W162" s="364"/>
      <c r="X162" s="364"/>
      <c r="Y162" s="364"/>
      <c r="Z162" s="364"/>
    </row>
    <row r="163">
      <c r="A163" s="367"/>
      <c r="B163" s="367"/>
      <c r="C163" s="364"/>
      <c r="D163" s="364"/>
      <c r="E163" s="364"/>
      <c r="F163" s="364"/>
      <c r="G163" s="364"/>
      <c r="H163" s="364"/>
      <c r="I163" s="364"/>
      <c r="J163" s="364"/>
      <c r="K163" s="364"/>
      <c r="L163" s="364"/>
      <c r="M163" s="364"/>
      <c r="N163" s="364"/>
      <c r="O163" s="364"/>
      <c r="P163" s="364"/>
      <c r="Q163" s="364"/>
      <c r="R163" s="364"/>
      <c r="S163" s="364"/>
      <c r="T163" s="364"/>
      <c r="U163" s="364"/>
      <c r="V163" s="364"/>
      <c r="W163" s="364"/>
      <c r="X163" s="364"/>
      <c r="Y163" s="364"/>
      <c r="Z163" s="364"/>
    </row>
    <row r="164">
      <c r="A164" s="367"/>
      <c r="B164" s="367"/>
      <c r="C164" s="364"/>
      <c r="D164" s="364"/>
      <c r="E164" s="364"/>
      <c r="F164" s="364"/>
      <c r="G164" s="364"/>
      <c r="H164" s="364"/>
      <c r="I164" s="364"/>
      <c r="J164" s="364"/>
      <c r="K164" s="364"/>
      <c r="L164" s="364"/>
      <c r="M164" s="364"/>
      <c r="N164" s="364"/>
      <c r="O164" s="364"/>
      <c r="P164" s="364"/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</row>
    <row r="165">
      <c r="A165" s="367"/>
      <c r="B165" s="367"/>
      <c r="C165" s="364"/>
      <c r="D165" s="364"/>
      <c r="E165" s="364"/>
      <c r="F165" s="364"/>
      <c r="G165" s="364"/>
      <c r="H165" s="364"/>
      <c r="I165" s="364"/>
      <c r="J165" s="364"/>
      <c r="K165" s="364"/>
      <c r="L165" s="364"/>
      <c r="M165" s="364"/>
      <c r="N165" s="364"/>
      <c r="O165" s="364"/>
      <c r="P165" s="364"/>
      <c r="Q165" s="364"/>
      <c r="R165" s="364"/>
      <c r="S165" s="364"/>
      <c r="T165" s="364"/>
      <c r="U165" s="364"/>
      <c r="V165" s="364"/>
      <c r="W165" s="364"/>
      <c r="X165" s="364"/>
      <c r="Y165" s="364"/>
      <c r="Z165" s="364"/>
    </row>
    <row r="166">
      <c r="A166" s="367"/>
      <c r="B166" s="367"/>
      <c r="C166" s="364"/>
      <c r="D166" s="364"/>
      <c r="E166" s="364"/>
      <c r="F166" s="364"/>
      <c r="G166" s="364"/>
      <c r="H166" s="364"/>
      <c r="I166" s="364"/>
      <c r="J166" s="364"/>
      <c r="K166" s="364"/>
      <c r="L166" s="364"/>
      <c r="M166" s="364"/>
      <c r="N166" s="364"/>
      <c r="O166" s="364"/>
      <c r="P166" s="364"/>
      <c r="Q166" s="364"/>
      <c r="R166" s="364"/>
      <c r="S166" s="364"/>
      <c r="T166" s="364"/>
      <c r="U166" s="364"/>
      <c r="V166" s="364"/>
      <c r="W166" s="364"/>
      <c r="X166" s="364"/>
      <c r="Y166" s="364"/>
      <c r="Z166" s="364"/>
    </row>
    <row r="167">
      <c r="A167" s="367"/>
      <c r="B167" s="367"/>
      <c r="C167" s="364"/>
      <c r="D167" s="364"/>
      <c r="E167" s="364"/>
      <c r="F167" s="364"/>
      <c r="G167" s="364"/>
      <c r="H167" s="364"/>
      <c r="I167" s="364"/>
      <c r="J167" s="364"/>
      <c r="K167" s="364"/>
      <c r="L167" s="364"/>
      <c r="M167" s="364"/>
      <c r="N167" s="364"/>
      <c r="O167" s="364"/>
      <c r="P167" s="364"/>
      <c r="Q167" s="364"/>
      <c r="R167" s="364"/>
      <c r="S167" s="364"/>
      <c r="T167" s="364"/>
      <c r="U167" s="364"/>
      <c r="V167" s="364"/>
      <c r="W167" s="364"/>
      <c r="X167" s="364"/>
      <c r="Y167" s="364"/>
      <c r="Z167" s="364"/>
    </row>
    <row r="168">
      <c r="A168" s="367"/>
      <c r="B168" s="367"/>
      <c r="C168" s="364"/>
      <c r="D168" s="364"/>
      <c r="E168" s="364"/>
      <c r="F168" s="364"/>
      <c r="G168" s="364"/>
      <c r="H168" s="364"/>
      <c r="I168" s="364"/>
      <c r="J168" s="364"/>
      <c r="K168" s="364"/>
      <c r="L168" s="364"/>
      <c r="M168" s="364"/>
      <c r="N168" s="364"/>
      <c r="O168" s="364"/>
      <c r="P168" s="364"/>
      <c r="Q168" s="364"/>
      <c r="R168" s="364"/>
      <c r="S168" s="364"/>
      <c r="T168" s="364"/>
      <c r="U168" s="364"/>
      <c r="V168" s="364"/>
      <c r="W168" s="364"/>
      <c r="X168" s="364"/>
      <c r="Y168" s="364"/>
      <c r="Z168" s="364"/>
    </row>
    <row r="169">
      <c r="A169" s="367"/>
      <c r="B169" s="367"/>
      <c r="C169" s="364"/>
      <c r="D169" s="364"/>
      <c r="E169" s="364"/>
      <c r="F169" s="364"/>
      <c r="G169" s="364"/>
      <c r="H169" s="364"/>
      <c r="I169" s="364"/>
      <c r="J169" s="364"/>
      <c r="K169" s="364"/>
      <c r="L169" s="364"/>
      <c r="M169" s="364"/>
      <c r="N169" s="364"/>
      <c r="O169" s="364"/>
      <c r="P169" s="364"/>
      <c r="Q169" s="364"/>
      <c r="R169" s="364"/>
      <c r="S169" s="364"/>
      <c r="T169" s="364"/>
      <c r="U169" s="364"/>
      <c r="V169" s="364"/>
      <c r="W169" s="364"/>
      <c r="X169" s="364"/>
      <c r="Y169" s="364"/>
      <c r="Z169" s="364"/>
    </row>
    <row r="170">
      <c r="A170" s="367"/>
      <c r="B170" s="367"/>
      <c r="C170" s="364"/>
      <c r="D170" s="364"/>
      <c r="E170" s="364"/>
      <c r="F170" s="364"/>
      <c r="G170" s="364"/>
      <c r="H170" s="364"/>
      <c r="I170" s="364"/>
      <c r="J170" s="364"/>
      <c r="K170" s="364"/>
      <c r="L170" s="364"/>
      <c r="M170" s="364"/>
      <c r="N170" s="364"/>
      <c r="O170" s="364"/>
      <c r="P170" s="364"/>
      <c r="Q170" s="364"/>
      <c r="R170" s="364"/>
      <c r="S170" s="364"/>
      <c r="T170" s="364"/>
      <c r="U170" s="364"/>
      <c r="V170" s="364"/>
      <c r="W170" s="364"/>
      <c r="X170" s="364"/>
      <c r="Y170" s="364"/>
      <c r="Z170" s="364"/>
    </row>
    <row r="171">
      <c r="A171" s="367"/>
      <c r="B171" s="367"/>
      <c r="C171" s="364"/>
      <c r="D171" s="364"/>
      <c r="E171" s="364"/>
      <c r="F171" s="364"/>
      <c r="G171" s="364"/>
      <c r="H171" s="364"/>
      <c r="I171" s="364"/>
      <c r="J171" s="364"/>
      <c r="K171" s="364"/>
      <c r="L171" s="364"/>
      <c r="M171" s="364"/>
      <c r="N171" s="364"/>
      <c r="O171" s="364"/>
      <c r="P171" s="364"/>
      <c r="Q171" s="364"/>
      <c r="R171" s="364"/>
      <c r="S171" s="364"/>
      <c r="T171" s="364"/>
      <c r="U171" s="364"/>
      <c r="V171" s="364"/>
      <c r="W171" s="364"/>
      <c r="X171" s="364"/>
      <c r="Y171" s="364"/>
      <c r="Z171" s="364"/>
    </row>
    <row r="172">
      <c r="A172" s="367"/>
      <c r="B172" s="367"/>
      <c r="C172" s="364"/>
      <c r="D172" s="364"/>
      <c r="E172" s="364"/>
      <c r="F172" s="364"/>
      <c r="G172" s="364"/>
      <c r="H172" s="364"/>
      <c r="I172" s="364"/>
      <c r="J172" s="364"/>
      <c r="K172" s="364"/>
      <c r="L172" s="364"/>
      <c r="M172" s="364"/>
      <c r="N172" s="364"/>
      <c r="O172" s="364"/>
      <c r="P172" s="364"/>
      <c r="Q172" s="364"/>
      <c r="R172" s="364"/>
      <c r="S172" s="364"/>
      <c r="T172" s="364"/>
      <c r="U172" s="364"/>
      <c r="V172" s="364"/>
      <c r="W172" s="364"/>
      <c r="X172" s="364"/>
      <c r="Y172" s="364"/>
      <c r="Z172" s="364"/>
    </row>
    <row r="173">
      <c r="A173" s="367"/>
      <c r="B173" s="367"/>
      <c r="C173" s="364"/>
      <c r="D173" s="364"/>
      <c r="E173" s="364"/>
      <c r="F173" s="364"/>
      <c r="G173" s="364"/>
      <c r="H173" s="364"/>
      <c r="I173" s="364"/>
      <c r="J173" s="364"/>
      <c r="K173" s="364"/>
      <c r="L173" s="364"/>
      <c r="M173" s="364"/>
      <c r="N173" s="364"/>
      <c r="O173" s="364"/>
      <c r="P173" s="364"/>
      <c r="Q173" s="364"/>
      <c r="R173" s="364"/>
      <c r="S173" s="364"/>
      <c r="T173" s="364"/>
      <c r="U173" s="364"/>
      <c r="V173" s="364"/>
      <c r="W173" s="364"/>
      <c r="X173" s="364"/>
      <c r="Y173" s="364"/>
      <c r="Z173" s="364"/>
    </row>
    <row r="174">
      <c r="A174" s="367"/>
      <c r="B174" s="367"/>
      <c r="C174" s="364"/>
      <c r="D174" s="364"/>
      <c r="E174" s="364"/>
      <c r="F174" s="364"/>
      <c r="G174" s="364"/>
      <c r="H174" s="364"/>
      <c r="I174" s="364"/>
      <c r="J174" s="364"/>
      <c r="K174" s="364"/>
      <c r="L174" s="364"/>
      <c r="M174" s="364"/>
      <c r="N174" s="364"/>
      <c r="O174" s="364"/>
      <c r="P174" s="364"/>
      <c r="Q174" s="364"/>
      <c r="R174" s="364"/>
      <c r="S174" s="364"/>
      <c r="T174" s="364"/>
      <c r="U174" s="364"/>
      <c r="V174" s="364"/>
      <c r="W174" s="364"/>
      <c r="X174" s="364"/>
      <c r="Y174" s="364"/>
      <c r="Z174" s="364"/>
    </row>
    <row r="175">
      <c r="A175" s="367"/>
      <c r="B175" s="367"/>
      <c r="C175" s="364"/>
      <c r="D175" s="364"/>
      <c r="E175" s="364"/>
      <c r="F175" s="364"/>
      <c r="G175" s="364"/>
      <c r="H175" s="364"/>
      <c r="I175" s="364"/>
      <c r="J175" s="364"/>
      <c r="K175" s="364"/>
      <c r="L175" s="364"/>
      <c r="M175" s="364"/>
      <c r="N175" s="364"/>
      <c r="O175" s="364"/>
      <c r="P175" s="364"/>
      <c r="Q175" s="364"/>
      <c r="R175" s="364"/>
      <c r="S175" s="364"/>
      <c r="T175" s="364"/>
      <c r="U175" s="364"/>
      <c r="V175" s="364"/>
      <c r="W175" s="364"/>
      <c r="X175" s="364"/>
      <c r="Y175" s="364"/>
      <c r="Z175" s="364"/>
    </row>
    <row r="176">
      <c r="A176" s="367"/>
      <c r="B176" s="367"/>
      <c r="C176" s="364"/>
      <c r="D176" s="364"/>
      <c r="E176" s="364"/>
      <c r="F176" s="364"/>
      <c r="G176" s="364"/>
      <c r="H176" s="364"/>
      <c r="I176" s="364"/>
      <c r="J176" s="364"/>
      <c r="K176" s="364"/>
      <c r="L176" s="364"/>
      <c r="M176" s="364"/>
      <c r="N176" s="364"/>
      <c r="O176" s="364"/>
      <c r="P176" s="364"/>
      <c r="Q176" s="364"/>
      <c r="R176" s="364"/>
      <c r="S176" s="364"/>
      <c r="T176" s="364"/>
      <c r="U176" s="364"/>
      <c r="V176" s="364"/>
      <c r="W176" s="364"/>
      <c r="X176" s="364"/>
      <c r="Y176" s="364"/>
      <c r="Z176" s="364"/>
    </row>
    <row r="177">
      <c r="A177" s="367"/>
      <c r="B177" s="367"/>
      <c r="C177" s="364"/>
      <c r="D177" s="364"/>
      <c r="E177" s="364"/>
      <c r="F177" s="364"/>
      <c r="G177" s="364"/>
      <c r="H177" s="364"/>
      <c r="I177" s="364"/>
      <c r="J177" s="364"/>
      <c r="K177" s="364"/>
      <c r="L177" s="364"/>
      <c r="M177" s="364"/>
      <c r="N177" s="364"/>
      <c r="O177" s="364"/>
      <c r="P177" s="364"/>
      <c r="Q177" s="364"/>
      <c r="R177" s="364"/>
      <c r="S177" s="364"/>
      <c r="T177" s="364"/>
      <c r="U177" s="364"/>
      <c r="V177" s="364"/>
      <c r="W177" s="364"/>
      <c r="X177" s="364"/>
      <c r="Y177" s="364"/>
      <c r="Z177" s="364"/>
    </row>
    <row r="178">
      <c r="A178" s="367"/>
      <c r="B178" s="367"/>
      <c r="C178" s="364"/>
      <c r="D178" s="364"/>
      <c r="E178" s="364"/>
      <c r="F178" s="364"/>
      <c r="G178" s="364"/>
      <c r="H178" s="364"/>
      <c r="I178" s="364"/>
      <c r="J178" s="364"/>
      <c r="K178" s="364"/>
      <c r="L178" s="364"/>
      <c r="M178" s="364"/>
      <c r="N178" s="364"/>
      <c r="O178" s="364"/>
      <c r="P178" s="364"/>
      <c r="Q178" s="364"/>
      <c r="R178" s="364"/>
      <c r="S178" s="364"/>
      <c r="T178" s="364"/>
      <c r="U178" s="364"/>
      <c r="V178" s="364"/>
      <c r="W178" s="364"/>
      <c r="X178" s="364"/>
      <c r="Y178" s="364"/>
      <c r="Z178" s="364"/>
    </row>
    <row r="179">
      <c r="A179" s="367"/>
      <c r="B179" s="367"/>
      <c r="C179" s="364"/>
      <c r="D179" s="364"/>
      <c r="E179" s="364"/>
      <c r="F179" s="364"/>
      <c r="G179" s="364"/>
      <c r="H179" s="364"/>
      <c r="I179" s="364"/>
      <c r="J179" s="364"/>
      <c r="K179" s="364"/>
      <c r="L179" s="364"/>
      <c r="M179" s="364"/>
      <c r="N179" s="364"/>
      <c r="O179" s="364"/>
      <c r="P179" s="364"/>
      <c r="Q179" s="364"/>
      <c r="R179" s="364"/>
      <c r="S179" s="364"/>
      <c r="T179" s="364"/>
      <c r="U179" s="364"/>
      <c r="V179" s="364"/>
      <c r="W179" s="364"/>
      <c r="X179" s="364"/>
      <c r="Y179" s="364"/>
      <c r="Z179" s="364"/>
    </row>
    <row r="180">
      <c r="A180" s="367"/>
      <c r="B180" s="367"/>
      <c r="C180" s="364"/>
      <c r="D180" s="364"/>
      <c r="E180" s="364"/>
      <c r="F180" s="364"/>
      <c r="G180" s="364"/>
      <c r="H180" s="364"/>
      <c r="I180" s="364"/>
      <c r="J180" s="364"/>
      <c r="K180" s="364"/>
      <c r="L180" s="364"/>
      <c r="M180" s="364"/>
      <c r="N180" s="364"/>
      <c r="O180" s="364"/>
      <c r="P180" s="364"/>
      <c r="Q180" s="364"/>
      <c r="R180" s="364"/>
      <c r="S180" s="364"/>
      <c r="T180" s="364"/>
      <c r="U180" s="364"/>
      <c r="V180" s="364"/>
      <c r="W180" s="364"/>
      <c r="X180" s="364"/>
      <c r="Y180" s="364"/>
      <c r="Z180" s="364"/>
    </row>
    <row r="181">
      <c r="A181" s="367"/>
      <c r="B181" s="367"/>
      <c r="C181" s="364"/>
      <c r="D181" s="364"/>
      <c r="E181" s="364"/>
      <c r="F181" s="364"/>
      <c r="G181" s="364"/>
      <c r="H181" s="364"/>
      <c r="I181" s="364"/>
      <c r="J181" s="364"/>
      <c r="K181" s="364"/>
      <c r="L181" s="364"/>
      <c r="M181" s="364"/>
      <c r="N181" s="364"/>
      <c r="O181" s="364"/>
      <c r="P181" s="364"/>
      <c r="Q181" s="364"/>
      <c r="R181" s="364"/>
      <c r="S181" s="364"/>
      <c r="T181" s="364"/>
      <c r="U181" s="364"/>
      <c r="V181" s="364"/>
      <c r="W181" s="364"/>
      <c r="X181" s="364"/>
      <c r="Y181" s="364"/>
      <c r="Z181" s="364"/>
    </row>
    <row r="182">
      <c r="A182" s="367"/>
      <c r="B182" s="367"/>
      <c r="C182" s="364"/>
      <c r="D182" s="364"/>
      <c r="E182" s="364"/>
      <c r="F182" s="364"/>
      <c r="G182" s="364"/>
      <c r="H182" s="364"/>
      <c r="I182" s="364"/>
      <c r="J182" s="364"/>
      <c r="K182" s="364"/>
      <c r="L182" s="364"/>
      <c r="M182" s="364"/>
      <c r="N182" s="364"/>
      <c r="O182" s="364"/>
      <c r="P182" s="364"/>
      <c r="Q182" s="364"/>
      <c r="R182" s="364"/>
      <c r="S182" s="364"/>
      <c r="T182" s="364"/>
      <c r="U182" s="364"/>
      <c r="V182" s="364"/>
      <c r="W182" s="364"/>
      <c r="X182" s="364"/>
      <c r="Y182" s="364"/>
      <c r="Z182" s="364"/>
    </row>
    <row r="183">
      <c r="A183" s="367"/>
      <c r="B183" s="367"/>
      <c r="C183" s="364"/>
      <c r="D183" s="364"/>
      <c r="E183" s="364"/>
      <c r="F183" s="364"/>
      <c r="G183" s="364"/>
      <c r="H183" s="364"/>
      <c r="I183" s="364"/>
      <c r="J183" s="364"/>
      <c r="K183" s="364"/>
      <c r="L183" s="364"/>
      <c r="M183" s="364"/>
      <c r="N183" s="364"/>
      <c r="O183" s="364"/>
      <c r="P183" s="364"/>
      <c r="Q183" s="364"/>
      <c r="R183" s="364"/>
      <c r="S183" s="364"/>
      <c r="T183" s="364"/>
      <c r="U183" s="364"/>
      <c r="V183" s="364"/>
      <c r="W183" s="364"/>
      <c r="X183" s="364"/>
      <c r="Y183" s="364"/>
      <c r="Z183" s="364"/>
    </row>
    <row r="184">
      <c r="A184" s="367"/>
      <c r="B184" s="367"/>
      <c r="C184" s="364"/>
      <c r="D184" s="364"/>
      <c r="E184" s="364"/>
      <c r="F184" s="364"/>
      <c r="G184" s="364"/>
      <c r="H184" s="364"/>
      <c r="I184" s="364"/>
      <c r="J184" s="364"/>
      <c r="K184" s="364"/>
      <c r="L184" s="364"/>
      <c r="M184" s="364"/>
      <c r="N184" s="364"/>
      <c r="O184" s="364"/>
      <c r="P184" s="364"/>
      <c r="Q184" s="364"/>
      <c r="R184" s="364"/>
      <c r="S184" s="364"/>
      <c r="T184" s="364"/>
      <c r="U184" s="364"/>
      <c r="V184" s="364"/>
      <c r="W184" s="364"/>
      <c r="X184" s="364"/>
      <c r="Y184" s="364"/>
      <c r="Z184" s="364"/>
    </row>
    <row r="185">
      <c r="A185" s="367"/>
      <c r="B185" s="367"/>
      <c r="C185" s="364"/>
      <c r="D185" s="364"/>
      <c r="E185" s="364"/>
      <c r="F185" s="364"/>
      <c r="G185" s="364"/>
      <c r="H185" s="364"/>
      <c r="I185" s="364"/>
      <c r="J185" s="364"/>
      <c r="K185" s="364"/>
      <c r="L185" s="364"/>
      <c r="M185" s="364"/>
      <c r="N185" s="364"/>
      <c r="O185" s="364"/>
      <c r="P185" s="364"/>
      <c r="Q185" s="364"/>
      <c r="R185" s="364"/>
      <c r="S185" s="364"/>
      <c r="T185" s="364"/>
      <c r="U185" s="364"/>
      <c r="V185" s="364"/>
      <c r="W185" s="364"/>
      <c r="X185" s="364"/>
      <c r="Y185" s="364"/>
      <c r="Z185" s="364"/>
    </row>
    <row r="186">
      <c r="A186" s="367"/>
      <c r="B186" s="367"/>
      <c r="C186" s="364"/>
      <c r="D186" s="364"/>
      <c r="E186" s="364"/>
      <c r="F186" s="364"/>
      <c r="G186" s="364"/>
      <c r="H186" s="364"/>
      <c r="I186" s="364"/>
      <c r="J186" s="364"/>
      <c r="K186" s="364"/>
      <c r="L186" s="364"/>
      <c r="M186" s="364"/>
      <c r="N186" s="364"/>
      <c r="O186" s="364"/>
      <c r="P186" s="364"/>
      <c r="Q186" s="364"/>
      <c r="R186" s="364"/>
      <c r="S186" s="364"/>
      <c r="T186" s="364"/>
      <c r="U186" s="364"/>
      <c r="V186" s="364"/>
      <c r="W186" s="364"/>
      <c r="X186" s="364"/>
      <c r="Y186" s="364"/>
      <c r="Z186" s="364"/>
    </row>
    <row r="187">
      <c r="A187" s="367"/>
      <c r="B187" s="367"/>
      <c r="C187" s="364"/>
      <c r="D187" s="364"/>
      <c r="E187" s="364"/>
      <c r="F187" s="364"/>
      <c r="G187" s="364"/>
      <c r="H187" s="364"/>
      <c r="I187" s="364"/>
      <c r="J187" s="364"/>
      <c r="K187" s="364"/>
      <c r="L187" s="364"/>
      <c r="M187" s="364"/>
      <c r="N187" s="364"/>
      <c r="O187" s="364"/>
      <c r="P187" s="364"/>
      <c r="Q187" s="364"/>
      <c r="R187" s="364"/>
      <c r="S187" s="364"/>
      <c r="T187" s="364"/>
      <c r="U187" s="364"/>
      <c r="V187" s="364"/>
      <c r="W187" s="364"/>
      <c r="X187" s="364"/>
      <c r="Y187" s="364"/>
      <c r="Z187" s="364"/>
    </row>
    <row r="188">
      <c r="A188" s="367"/>
      <c r="B188" s="367"/>
      <c r="C188" s="364"/>
      <c r="D188" s="364"/>
      <c r="E188" s="364"/>
      <c r="F188" s="364"/>
      <c r="G188" s="364"/>
      <c r="H188" s="364"/>
      <c r="I188" s="364"/>
      <c r="J188" s="364"/>
      <c r="K188" s="364"/>
      <c r="L188" s="364"/>
      <c r="M188" s="364"/>
      <c r="N188" s="364"/>
      <c r="O188" s="364"/>
      <c r="P188" s="364"/>
      <c r="Q188" s="364"/>
      <c r="R188" s="364"/>
      <c r="S188" s="364"/>
      <c r="T188" s="364"/>
      <c r="U188" s="364"/>
      <c r="V188" s="364"/>
      <c r="W188" s="364"/>
      <c r="X188" s="364"/>
      <c r="Y188" s="364"/>
      <c r="Z188" s="364"/>
    </row>
    <row r="189">
      <c r="A189" s="367"/>
      <c r="B189" s="367"/>
      <c r="C189" s="364"/>
      <c r="D189" s="364"/>
      <c r="E189" s="364"/>
      <c r="F189" s="364"/>
      <c r="G189" s="364"/>
      <c r="H189" s="364"/>
      <c r="I189" s="364"/>
      <c r="J189" s="364"/>
      <c r="K189" s="364"/>
      <c r="L189" s="364"/>
      <c r="M189" s="364"/>
      <c r="N189" s="364"/>
      <c r="O189" s="364"/>
      <c r="P189" s="364"/>
      <c r="Q189" s="364"/>
      <c r="R189" s="364"/>
      <c r="S189" s="364"/>
      <c r="T189" s="364"/>
      <c r="U189" s="364"/>
      <c r="V189" s="364"/>
      <c r="W189" s="364"/>
      <c r="X189" s="364"/>
      <c r="Y189" s="364"/>
      <c r="Z189" s="364"/>
    </row>
    <row r="190">
      <c r="A190" s="367"/>
      <c r="B190" s="367"/>
      <c r="C190" s="364"/>
      <c r="D190" s="364"/>
      <c r="E190" s="364"/>
      <c r="F190" s="364"/>
      <c r="G190" s="364"/>
      <c r="H190" s="364"/>
      <c r="I190" s="364"/>
      <c r="J190" s="364"/>
      <c r="K190" s="364"/>
      <c r="L190" s="364"/>
      <c r="M190" s="364"/>
      <c r="N190" s="364"/>
      <c r="O190" s="364"/>
      <c r="P190" s="364"/>
      <c r="Q190" s="364"/>
      <c r="R190" s="364"/>
      <c r="S190" s="364"/>
      <c r="T190" s="364"/>
      <c r="U190" s="364"/>
      <c r="V190" s="364"/>
      <c r="W190" s="364"/>
      <c r="X190" s="364"/>
      <c r="Y190" s="364"/>
      <c r="Z190" s="364"/>
    </row>
    <row r="191">
      <c r="A191" s="367"/>
      <c r="B191" s="367"/>
      <c r="C191" s="364"/>
      <c r="D191" s="364"/>
      <c r="E191" s="364"/>
      <c r="F191" s="364"/>
      <c r="G191" s="364"/>
      <c r="H191" s="364"/>
      <c r="I191" s="364"/>
      <c r="J191" s="364"/>
      <c r="K191" s="364"/>
      <c r="L191" s="364"/>
      <c r="M191" s="364"/>
      <c r="N191" s="364"/>
      <c r="O191" s="364"/>
      <c r="P191" s="364"/>
      <c r="Q191" s="364"/>
      <c r="R191" s="364"/>
      <c r="S191" s="364"/>
      <c r="T191" s="364"/>
      <c r="U191" s="364"/>
      <c r="V191" s="364"/>
      <c r="W191" s="364"/>
      <c r="X191" s="364"/>
      <c r="Y191" s="364"/>
      <c r="Z191" s="364"/>
    </row>
    <row r="192">
      <c r="A192" s="367"/>
      <c r="B192" s="367"/>
      <c r="C192" s="364"/>
      <c r="D192" s="364"/>
      <c r="E192" s="364"/>
      <c r="F192" s="364"/>
      <c r="G192" s="364"/>
      <c r="H192" s="364"/>
      <c r="I192" s="364"/>
      <c r="J192" s="364"/>
      <c r="K192" s="364"/>
      <c r="L192" s="364"/>
      <c r="M192" s="364"/>
      <c r="N192" s="364"/>
      <c r="O192" s="364"/>
      <c r="P192" s="364"/>
      <c r="Q192" s="364"/>
      <c r="R192" s="364"/>
      <c r="S192" s="364"/>
      <c r="T192" s="364"/>
      <c r="U192" s="364"/>
      <c r="V192" s="364"/>
      <c r="W192" s="364"/>
      <c r="X192" s="364"/>
      <c r="Y192" s="364"/>
      <c r="Z192" s="364"/>
    </row>
    <row r="193">
      <c r="A193" s="367"/>
      <c r="B193" s="367"/>
      <c r="C193" s="364"/>
      <c r="D193" s="364"/>
      <c r="E193" s="364"/>
      <c r="F193" s="364"/>
      <c r="G193" s="364"/>
      <c r="H193" s="364"/>
      <c r="I193" s="364"/>
      <c r="J193" s="364"/>
      <c r="K193" s="364"/>
      <c r="L193" s="364"/>
      <c r="M193" s="364"/>
      <c r="N193" s="364"/>
      <c r="O193" s="364"/>
      <c r="P193" s="364"/>
      <c r="Q193" s="364"/>
      <c r="R193" s="364"/>
      <c r="S193" s="364"/>
      <c r="T193" s="364"/>
      <c r="U193" s="364"/>
      <c r="V193" s="364"/>
      <c r="W193" s="364"/>
      <c r="X193" s="364"/>
      <c r="Y193" s="364"/>
      <c r="Z193" s="364"/>
    </row>
    <row r="194">
      <c r="A194" s="367"/>
      <c r="B194" s="367"/>
      <c r="C194" s="364"/>
      <c r="D194" s="364"/>
      <c r="E194" s="364"/>
      <c r="F194" s="364"/>
      <c r="G194" s="364"/>
      <c r="H194" s="364"/>
      <c r="I194" s="364"/>
      <c r="J194" s="364"/>
      <c r="K194" s="364"/>
      <c r="L194" s="364"/>
      <c r="M194" s="364"/>
      <c r="N194" s="364"/>
      <c r="O194" s="364"/>
      <c r="P194" s="364"/>
      <c r="Q194" s="364"/>
      <c r="R194" s="364"/>
      <c r="S194" s="364"/>
      <c r="T194" s="364"/>
      <c r="U194" s="364"/>
      <c r="V194" s="364"/>
      <c r="W194" s="364"/>
      <c r="X194" s="364"/>
      <c r="Y194" s="364"/>
      <c r="Z194" s="364"/>
    </row>
    <row r="195">
      <c r="A195" s="367"/>
      <c r="B195" s="367"/>
      <c r="C195" s="364"/>
      <c r="D195" s="364"/>
      <c r="E195" s="364"/>
      <c r="F195" s="364"/>
      <c r="G195" s="364"/>
      <c r="H195" s="364"/>
      <c r="I195" s="364"/>
      <c r="J195" s="364"/>
      <c r="K195" s="364"/>
      <c r="L195" s="364"/>
      <c r="M195" s="364"/>
      <c r="N195" s="364"/>
      <c r="O195" s="364"/>
      <c r="P195" s="364"/>
      <c r="Q195" s="364"/>
      <c r="R195" s="364"/>
      <c r="S195" s="364"/>
      <c r="T195" s="364"/>
      <c r="U195" s="364"/>
      <c r="V195" s="364"/>
      <c r="W195" s="364"/>
      <c r="X195" s="364"/>
      <c r="Y195" s="364"/>
      <c r="Z195" s="364"/>
    </row>
    <row r="196">
      <c r="A196" s="367"/>
      <c r="B196" s="367"/>
      <c r="C196" s="364"/>
      <c r="D196" s="364"/>
      <c r="E196" s="364"/>
      <c r="F196" s="364"/>
      <c r="G196" s="364"/>
      <c r="H196" s="364"/>
      <c r="I196" s="364"/>
      <c r="J196" s="364"/>
      <c r="K196" s="364"/>
      <c r="L196" s="364"/>
      <c r="M196" s="364"/>
      <c r="N196" s="364"/>
      <c r="O196" s="364"/>
      <c r="P196" s="364"/>
      <c r="Q196" s="364"/>
      <c r="R196" s="364"/>
      <c r="S196" s="364"/>
      <c r="T196" s="364"/>
      <c r="U196" s="364"/>
      <c r="V196" s="364"/>
      <c r="W196" s="364"/>
      <c r="X196" s="364"/>
      <c r="Y196" s="364"/>
      <c r="Z196" s="364"/>
    </row>
    <row r="197">
      <c r="A197" s="367"/>
      <c r="B197" s="367"/>
      <c r="C197" s="364"/>
      <c r="D197" s="364"/>
      <c r="E197" s="364"/>
      <c r="F197" s="364"/>
      <c r="G197" s="364"/>
      <c r="H197" s="364"/>
      <c r="I197" s="364"/>
      <c r="J197" s="364"/>
      <c r="K197" s="364"/>
      <c r="L197" s="364"/>
      <c r="M197" s="364"/>
      <c r="N197" s="364"/>
      <c r="O197" s="364"/>
      <c r="P197" s="364"/>
      <c r="Q197" s="364"/>
      <c r="R197" s="364"/>
      <c r="S197" s="364"/>
      <c r="T197" s="364"/>
      <c r="U197" s="364"/>
      <c r="V197" s="364"/>
      <c r="W197" s="364"/>
      <c r="X197" s="364"/>
      <c r="Y197" s="364"/>
      <c r="Z197" s="364"/>
    </row>
    <row r="198">
      <c r="A198" s="367"/>
      <c r="B198" s="367"/>
      <c r="C198" s="364"/>
      <c r="D198" s="364"/>
      <c r="E198" s="364"/>
      <c r="F198" s="364"/>
      <c r="G198" s="364"/>
      <c r="H198" s="364"/>
      <c r="I198" s="364"/>
      <c r="J198" s="364"/>
      <c r="K198" s="364"/>
      <c r="L198" s="364"/>
      <c r="M198" s="364"/>
      <c r="N198" s="364"/>
      <c r="O198" s="364"/>
      <c r="P198" s="364"/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</row>
    <row r="199">
      <c r="A199" s="367"/>
      <c r="B199" s="367"/>
      <c r="C199" s="364"/>
      <c r="D199" s="364"/>
      <c r="E199" s="364"/>
      <c r="F199" s="364"/>
      <c r="G199" s="364"/>
      <c r="H199" s="364"/>
      <c r="I199" s="364"/>
      <c r="J199" s="364"/>
      <c r="K199" s="364"/>
      <c r="L199" s="364"/>
      <c r="M199" s="364"/>
      <c r="N199" s="364"/>
      <c r="O199" s="364"/>
      <c r="P199" s="364"/>
      <c r="Q199" s="364"/>
      <c r="R199" s="364"/>
      <c r="S199" s="364"/>
      <c r="T199" s="364"/>
      <c r="U199" s="364"/>
      <c r="V199" s="364"/>
      <c r="W199" s="364"/>
      <c r="X199" s="364"/>
      <c r="Y199" s="364"/>
      <c r="Z199" s="364"/>
    </row>
    <row r="200">
      <c r="A200" s="367"/>
      <c r="B200" s="367"/>
      <c r="C200" s="364"/>
      <c r="D200" s="364"/>
      <c r="E200" s="364"/>
      <c r="F200" s="364"/>
      <c r="G200" s="364"/>
      <c r="H200" s="364"/>
      <c r="I200" s="364"/>
      <c r="J200" s="364"/>
      <c r="K200" s="364"/>
      <c r="L200" s="364"/>
      <c r="M200" s="364"/>
      <c r="N200" s="364"/>
      <c r="O200" s="364"/>
      <c r="P200" s="364"/>
      <c r="Q200" s="364"/>
      <c r="R200" s="364"/>
      <c r="S200" s="364"/>
      <c r="T200" s="364"/>
      <c r="U200" s="364"/>
      <c r="V200" s="364"/>
      <c r="W200" s="364"/>
      <c r="X200" s="364"/>
      <c r="Y200" s="364"/>
      <c r="Z200" s="364"/>
    </row>
    <row r="201">
      <c r="A201" s="367"/>
      <c r="B201" s="367"/>
      <c r="C201" s="364"/>
      <c r="D201" s="364"/>
      <c r="E201" s="364"/>
      <c r="F201" s="364"/>
      <c r="G201" s="364"/>
      <c r="H201" s="364"/>
      <c r="I201" s="364"/>
      <c r="J201" s="364"/>
      <c r="K201" s="364"/>
      <c r="L201" s="364"/>
      <c r="M201" s="364"/>
      <c r="N201" s="364"/>
      <c r="O201" s="364"/>
      <c r="P201" s="364"/>
      <c r="Q201" s="364"/>
      <c r="R201" s="364"/>
      <c r="S201" s="364"/>
      <c r="T201" s="364"/>
      <c r="U201" s="364"/>
      <c r="V201" s="364"/>
      <c r="W201" s="364"/>
      <c r="X201" s="364"/>
      <c r="Y201" s="364"/>
      <c r="Z201" s="364"/>
    </row>
    <row r="202">
      <c r="A202" s="367"/>
      <c r="B202" s="367"/>
      <c r="C202" s="364"/>
      <c r="D202" s="364"/>
      <c r="E202" s="364"/>
      <c r="F202" s="364"/>
      <c r="G202" s="364"/>
      <c r="H202" s="364"/>
      <c r="I202" s="364"/>
      <c r="J202" s="364"/>
      <c r="K202" s="364"/>
      <c r="L202" s="364"/>
      <c r="M202" s="364"/>
      <c r="N202" s="364"/>
      <c r="O202" s="364"/>
      <c r="P202" s="364"/>
      <c r="Q202" s="364"/>
      <c r="R202" s="364"/>
      <c r="S202" s="364"/>
      <c r="T202" s="364"/>
      <c r="U202" s="364"/>
      <c r="V202" s="364"/>
      <c r="W202" s="364"/>
      <c r="X202" s="364"/>
      <c r="Y202" s="364"/>
      <c r="Z202" s="364"/>
    </row>
    <row r="203">
      <c r="A203" s="367"/>
      <c r="B203" s="367"/>
      <c r="C203" s="364"/>
      <c r="D203" s="364"/>
      <c r="E203" s="364"/>
      <c r="F203" s="364"/>
      <c r="G203" s="364"/>
      <c r="H203" s="364"/>
      <c r="I203" s="364"/>
      <c r="J203" s="364"/>
      <c r="K203" s="364"/>
      <c r="L203" s="364"/>
      <c r="M203" s="364"/>
      <c r="N203" s="364"/>
      <c r="O203" s="364"/>
      <c r="P203" s="364"/>
      <c r="Q203" s="364"/>
      <c r="R203" s="364"/>
      <c r="S203" s="364"/>
      <c r="T203" s="364"/>
      <c r="U203" s="364"/>
      <c r="V203" s="364"/>
      <c r="W203" s="364"/>
      <c r="X203" s="364"/>
      <c r="Y203" s="364"/>
      <c r="Z203" s="364"/>
    </row>
    <row r="204">
      <c r="A204" s="367"/>
      <c r="B204" s="367"/>
      <c r="C204" s="364"/>
      <c r="D204" s="364"/>
      <c r="E204" s="364"/>
      <c r="F204" s="364"/>
      <c r="G204" s="364"/>
      <c r="H204" s="364"/>
      <c r="I204" s="364"/>
      <c r="J204" s="364"/>
      <c r="K204" s="364"/>
      <c r="L204" s="364"/>
      <c r="M204" s="364"/>
      <c r="N204" s="364"/>
      <c r="O204" s="364"/>
      <c r="P204" s="364"/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</row>
    <row r="205">
      <c r="A205" s="367"/>
      <c r="B205" s="367"/>
      <c r="C205" s="364"/>
      <c r="D205" s="364"/>
      <c r="E205" s="364"/>
      <c r="F205" s="364"/>
      <c r="G205" s="364"/>
      <c r="H205" s="364"/>
      <c r="I205" s="364"/>
      <c r="J205" s="364"/>
      <c r="K205" s="364"/>
      <c r="L205" s="364"/>
      <c r="M205" s="364"/>
      <c r="N205" s="364"/>
      <c r="O205" s="364"/>
      <c r="P205" s="364"/>
      <c r="Q205" s="364"/>
      <c r="R205" s="364"/>
      <c r="S205" s="364"/>
      <c r="T205" s="364"/>
      <c r="U205" s="364"/>
      <c r="V205" s="364"/>
      <c r="W205" s="364"/>
      <c r="X205" s="364"/>
      <c r="Y205" s="364"/>
      <c r="Z205" s="364"/>
    </row>
    <row r="206">
      <c r="A206" s="367"/>
      <c r="B206" s="367"/>
      <c r="C206" s="364"/>
      <c r="D206" s="364"/>
      <c r="E206" s="364"/>
      <c r="F206" s="364"/>
      <c r="G206" s="364"/>
      <c r="H206" s="364"/>
      <c r="I206" s="364"/>
      <c r="J206" s="364"/>
      <c r="K206" s="364"/>
      <c r="L206" s="364"/>
      <c r="M206" s="364"/>
      <c r="N206" s="364"/>
      <c r="O206" s="364"/>
      <c r="P206" s="364"/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</row>
    <row r="207">
      <c r="A207" s="367"/>
      <c r="B207" s="367"/>
      <c r="C207" s="364"/>
      <c r="D207" s="364"/>
      <c r="E207" s="364"/>
      <c r="F207" s="364"/>
      <c r="G207" s="364"/>
      <c r="H207" s="364"/>
      <c r="I207" s="364"/>
      <c r="J207" s="364"/>
      <c r="K207" s="364"/>
      <c r="L207" s="364"/>
      <c r="M207" s="364"/>
      <c r="N207" s="364"/>
      <c r="O207" s="364"/>
      <c r="P207" s="364"/>
      <c r="Q207" s="364"/>
      <c r="R207" s="364"/>
      <c r="S207" s="364"/>
      <c r="T207" s="364"/>
      <c r="U207" s="364"/>
      <c r="V207" s="364"/>
      <c r="W207" s="364"/>
      <c r="X207" s="364"/>
      <c r="Y207" s="364"/>
      <c r="Z207" s="364"/>
    </row>
    <row r="208">
      <c r="A208" s="367"/>
      <c r="B208" s="367"/>
      <c r="C208" s="364"/>
      <c r="D208" s="364"/>
      <c r="E208" s="364"/>
      <c r="F208" s="364"/>
      <c r="G208" s="364"/>
      <c r="H208" s="364"/>
      <c r="I208" s="364"/>
      <c r="J208" s="364"/>
      <c r="K208" s="364"/>
      <c r="L208" s="364"/>
      <c r="M208" s="364"/>
      <c r="N208" s="364"/>
      <c r="O208" s="364"/>
      <c r="P208" s="364"/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</row>
    <row r="209">
      <c r="A209" s="367"/>
      <c r="B209" s="367"/>
      <c r="C209" s="364"/>
      <c r="D209" s="364"/>
      <c r="E209" s="364"/>
      <c r="F209" s="364"/>
      <c r="G209" s="364"/>
      <c r="H209" s="364"/>
      <c r="I209" s="364"/>
      <c r="J209" s="364"/>
      <c r="K209" s="364"/>
      <c r="L209" s="364"/>
      <c r="M209" s="364"/>
      <c r="N209" s="364"/>
      <c r="O209" s="364"/>
      <c r="P209" s="364"/>
      <c r="Q209" s="364"/>
      <c r="R209" s="364"/>
      <c r="S209" s="364"/>
      <c r="T209" s="364"/>
      <c r="U209" s="364"/>
      <c r="V209" s="364"/>
      <c r="W209" s="364"/>
      <c r="X209" s="364"/>
      <c r="Y209" s="364"/>
      <c r="Z209" s="364"/>
    </row>
    <row r="210">
      <c r="A210" s="367"/>
      <c r="B210" s="367"/>
      <c r="C210" s="364"/>
      <c r="D210" s="364"/>
      <c r="E210" s="364"/>
      <c r="F210" s="364"/>
      <c r="G210" s="364"/>
      <c r="H210" s="364"/>
      <c r="I210" s="364"/>
      <c r="J210" s="364"/>
      <c r="K210" s="364"/>
      <c r="L210" s="364"/>
      <c r="M210" s="364"/>
      <c r="N210" s="364"/>
      <c r="O210" s="364"/>
      <c r="P210" s="364"/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</row>
    <row r="211">
      <c r="A211" s="367"/>
      <c r="B211" s="367"/>
      <c r="C211" s="364"/>
      <c r="D211" s="364"/>
      <c r="E211" s="364"/>
      <c r="F211" s="364"/>
      <c r="G211" s="364"/>
      <c r="H211" s="364"/>
      <c r="I211" s="364"/>
      <c r="J211" s="364"/>
      <c r="K211" s="364"/>
      <c r="L211" s="364"/>
      <c r="M211" s="364"/>
      <c r="N211" s="364"/>
      <c r="O211" s="364"/>
      <c r="P211" s="364"/>
      <c r="Q211" s="364"/>
      <c r="R211" s="364"/>
      <c r="S211" s="364"/>
      <c r="T211" s="364"/>
      <c r="U211" s="364"/>
      <c r="V211" s="364"/>
      <c r="W211" s="364"/>
      <c r="X211" s="364"/>
      <c r="Y211" s="364"/>
      <c r="Z211" s="364"/>
    </row>
    <row r="212">
      <c r="A212" s="367"/>
      <c r="B212" s="367"/>
      <c r="C212" s="364"/>
      <c r="D212" s="364"/>
      <c r="E212" s="364"/>
      <c r="F212" s="364"/>
      <c r="G212" s="364"/>
      <c r="H212" s="364"/>
      <c r="I212" s="364"/>
      <c r="J212" s="364"/>
      <c r="K212" s="364"/>
      <c r="L212" s="364"/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</row>
    <row r="213">
      <c r="A213" s="367"/>
      <c r="B213" s="367"/>
      <c r="C213" s="364"/>
      <c r="D213" s="364"/>
      <c r="E213" s="364"/>
      <c r="F213" s="364"/>
      <c r="G213" s="364"/>
      <c r="H213" s="364"/>
      <c r="I213" s="364"/>
      <c r="J213" s="364"/>
      <c r="K213" s="364"/>
      <c r="L213" s="364"/>
      <c r="M213" s="364"/>
      <c r="N213" s="364"/>
      <c r="O213" s="364"/>
      <c r="P213" s="364"/>
      <c r="Q213" s="364"/>
      <c r="R213" s="364"/>
      <c r="S213" s="364"/>
      <c r="T213" s="364"/>
      <c r="U213" s="364"/>
      <c r="V213" s="364"/>
      <c r="W213" s="364"/>
      <c r="X213" s="364"/>
      <c r="Y213" s="364"/>
      <c r="Z213" s="364"/>
    </row>
    <row r="214">
      <c r="A214" s="367"/>
      <c r="B214" s="367"/>
      <c r="C214" s="364"/>
      <c r="D214" s="364"/>
      <c r="E214" s="364"/>
      <c r="F214" s="364"/>
      <c r="G214" s="364"/>
      <c r="H214" s="364"/>
      <c r="I214" s="364"/>
      <c r="J214" s="364"/>
      <c r="K214" s="364"/>
      <c r="L214" s="364"/>
      <c r="M214" s="364"/>
      <c r="N214" s="364"/>
      <c r="O214" s="364"/>
      <c r="P214" s="364"/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</row>
    <row r="215">
      <c r="A215" s="367"/>
      <c r="B215" s="367"/>
      <c r="C215" s="364"/>
      <c r="D215" s="364"/>
      <c r="E215" s="364"/>
      <c r="F215" s="364"/>
      <c r="G215" s="364"/>
      <c r="H215" s="364"/>
      <c r="I215" s="364"/>
      <c r="J215" s="364"/>
      <c r="K215" s="364"/>
      <c r="L215" s="364"/>
      <c r="M215" s="364"/>
      <c r="N215" s="364"/>
      <c r="O215" s="364"/>
      <c r="P215" s="364"/>
      <c r="Q215" s="364"/>
      <c r="R215" s="364"/>
      <c r="S215" s="364"/>
      <c r="T215" s="364"/>
      <c r="U215" s="364"/>
      <c r="V215" s="364"/>
      <c r="W215" s="364"/>
      <c r="X215" s="364"/>
      <c r="Y215" s="364"/>
      <c r="Z215" s="364"/>
    </row>
    <row r="216">
      <c r="A216" s="367"/>
      <c r="B216" s="367"/>
      <c r="C216" s="364"/>
      <c r="D216" s="364"/>
      <c r="E216" s="364"/>
      <c r="F216" s="364"/>
      <c r="G216" s="364"/>
      <c r="H216" s="364"/>
      <c r="I216" s="364"/>
      <c r="J216" s="364"/>
      <c r="K216" s="364"/>
      <c r="L216" s="364"/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</row>
    <row r="217">
      <c r="A217" s="367"/>
      <c r="B217" s="367"/>
      <c r="C217" s="364"/>
      <c r="D217" s="364"/>
      <c r="E217" s="364"/>
      <c r="F217" s="364"/>
      <c r="G217" s="364"/>
      <c r="H217" s="364"/>
      <c r="I217" s="364"/>
      <c r="J217" s="364"/>
      <c r="K217" s="364"/>
      <c r="L217" s="364"/>
      <c r="M217" s="364"/>
      <c r="N217" s="364"/>
      <c r="O217" s="364"/>
      <c r="P217" s="364"/>
      <c r="Q217" s="364"/>
      <c r="R217" s="364"/>
      <c r="S217" s="364"/>
      <c r="T217" s="364"/>
      <c r="U217" s="364"/>
      <c r="V217" s="364"/>
      <c r="W217" s="364"/>
      <c r="X217" s="364"/>
      <c r="Y217" s="364"/>
      <c r="Z217" s="364"/>
    </row>
    <row r="218">
      <c r="A218" s="367"/>
      <c r="B218" s="367"/>
      <c r="C218" s="364"/>
      <c r="D218" s="364"/>
      <c r="E218" s="364"/>
      <c r="F218" s="364"/>
      <c r="G218" s="364"/>
      <c r="H218" s="364"/>
      <c r="I218" s="364"/>
      <c r="J218" s="364"/>
      <c r="K218" s="364"/>
      <c r="L218" s="364"/>
      <c r="M218" s="364"/>
      <c r="N218" s="364"/>
      <c r="O218" s="364"/>
      <c r="P218" s="364"/>
      <c r="Q218" s="364"/>
      <c r="R218" s="364"/>
      <c r="S218" s="364"/>
      <c r="T218" s="364"/>
      <c r="U218" s="364"/>
      <c r="V218" s="364"/>
      <c r="W218" s="364"/>
      <c r="X218" s="364"/>
      <c r="Y218" s="364"/>
      <c r="Z218" s="364"/>
    </row>
    <row r="219">
      <c r="A219" s="367"/>
      <c r="B219" s="367"/>
      <c r="C219" s="364"/>
      <c r="D219" s="364"/>
      <c r="E219" s="364"/>
      <c r="F219" s="364"/>
      <c r="G219" s="364"/>
      <c r="H219" s="364"/>
      <c r="I219" s="364"/>
      <c r="J219" s="364"/>
      <c r="K219" s="364"/>
      <c r="L219" s="364"/>
      <c r="M219" s="364"/>
      <c r="N219" s="364"/>
      <c r="O219" s="364"/>
      <c r="P219" s="364"/>
      <c r="Q219" s="364"/>
      <c r="R219" s="364"/>
      <c r="S219" s="364"/>
      <c r="T219" s="364"/>
      <c r="U219" s="364"/>
      <c r="V219" s="364"/>
      <c r="W219" s="364"/>
      <c r="X219" s="364"/>
      <c r="Y219" s="364"/>
      <c r="Z219" s="364"/>
    </row>
    <row r="220">
      <c r="A220" s="367"/>
      <c r="B220" s="367"/>
      <c r="C220" s="364"/>
      <c r="D220" s="364"/>
      <c r="E220" s="364"/>
      <c r="F220" s="364"/>
      <c r="G220" s="364"/>
      <c r="H220" s="364"/>
      <c r="I220" s="364"/>
      <c r="J220" s="364"/>
      <c r="K220" s="364"/>
      <c r="L220" s="364"/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</row>
    <row r="221">
      <c r="A221" s="367"/>
      <c r="B221" s="367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  <c r="P221" s="364"/>
      <c r="Q221" s="364"/>
      <c r="R221" s="364"/>
      <c r="S221" s="364"/>
      <c r="T221" s="364"/>
      <c r="U221" s="364"/>
      <c r="V221" s="364"/>
      <c r="W221" s="364"/>
      <c r="X221" s="364"/>
      <c r="Y221" s="364"/>
      <c r="Z221" s="364"/>
    </row>
    <row r="222">
      <c r="A222" s="367"/>
      <c r="B222" s="367"/>
      <c r="C222" s="364"/>
      <c r="D222" s="364"/>
      <c r="E222" s="364"/>
      <c r="F222" s="364"/>
      <c r="G222" s="364"/>
      <c r="H222" s="364"/>
      <c r="I222" s="364"/>
      <c r="J222" s="364"/>
      <c r="K222" s="364"/>
      <c r="L222" s="364"/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</row>
    <row r="223">
      <c r="A223" s="367"/>
      <c r="B223" s="367"/>
      <c r="C223" s="364"/>
      <c r="D223" s="364"/>
      <c r="E223" s="364"/>
      <c r="F223" s="364"/>
      <c r="G223" s="364"/>
      <c r="H223" s="364"/>
      <c r="I223" s="364"/>
      <c r="J223" s="364"/>
      <c r="K223" s="364"/>
      <c r="L223" s="364"/>
      <c r="M223" s="364"/>
      <c r="N223" s="364"/>
      <c r="O223" s="364"/>
      <c r="P223" s="364"/>
      <c r="Q223" s="364"/>
      <c r="R223" s="364"/>
      <c r="S223" s="364"/>
      <c r="T223" s="364"/>
      <c r="U223" s="364"/>
      <c r="V223" s="364"/>
      <c r="W223" s="364"/>
      <c r="X223" s="364"/>
      <c r="Y223" s="364"/>
      <c r="Z223" s="364"/>
    </row>
    <row r="224">
      <c r="A224" s="367"/>
      <c r="B224" s="367"/>
      <c r="C224" s="364"/>
      <c r="D224" s="364"/>
      <c r="E224" s="364"/>
      <c r="F224" s="364"/>
      <c r="G224" s="364"/>
      <c r="H224" s="364"/>
      <c r="I224" s="364"/>
      <c r="J224" s="364"/>
      <c r="K224" s="364"/>
      <c r="L224" s="364"/>
      <c r="M224" s="364"/>
      <c r="N224" s="364"/>
      <c r="O224" s="364"/>
      <c r="P224" s="364"/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</row>
    <row r="225">
      <c r="A225" s="367"/>
      <c r="B225" s="367"/>
      <c r="C225" s="364"/>
      <c r="D225" s="364"/>
      <c r="E225" s="364"/>
      <c r="F225" s="364"/>
      <c r="G225" s="364"/>
      <c r="H225" s="364"/>
      <c r="I225" s="364"/>
      <c r="J225" s="364"/>
      <c r="K225" s="364"/>
      <c r="L225" s="364"/>
      <c r="M225" s="364"/>
      <c r="N225" s="364"/>
      <c r="O225" s="364"/>
      <c r="P225" s="364"/>
      <c r="Q225" s="364"/>
      <c r="R225" s="364"/>
      <c r="S225" s="364"/>
      <c r="T225" s="364"/>
      <c r="U225" s="364"/>
      <c r="V225" s="364"/>
      <c r="W225" s="364"/>
      <c r="X225" s="364"/>
      <c r="Y225" s="364"/>
      <c r="Z225" s="364"/>
    </row>
    <row r="226">
      <c r="A226" s="367"/>
      <c r="B226" s="367"/>
      <c r="C226" s="364"/>
      <c r="D226" s="364"/>
      <c r="E226" s="364"/>
      <c r="F226" s="364"/>
      <c r="G226" s="364"/>
      <c r="H226" s="364"/>
      <c r="I226" s="364"/>
      <c r="J226" s="364"/>
      <c r="K226" s="364"/>
      <c r="L226" s="364"/>
      <c r="M226" s="364"/>
      <c r="N226" s="364"/>
      <c r="O226" s="364"/>
      <c r="P226" s="364"/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</row>
    <row r="227">
      <c r="A227" s="367"/>
      <c r="B227" s="367"/>
      <c r="C227" s="364"/>
      <c r="D227" s="364"/>
      <c r="E227" s="364"/>
      <c r="F227" s="364"/>
      <c r="G227" s="364"/>
      <c r="H227" s="364"/>
      <c r="I227" s="364"/>
      <c r="J227" s="364"/>
      <c r="K227" s="364"/>
      <c r="L227" s="364"/>
      <c r="M227" s="364"/>
      <c r="N227" s="364"/>
      <c r="O227" s="364"/>
      <c r="P227" s="364"/>
      <c r="Q227" s="364"/>
      <c r="R227" s="364"/>
      <c r="S227" s="364"/>
      <c r="T227" s="364"/>
      <c r="U227" s="364"/>
      <c r="V227" s="364"/>
      <c r="W227" s="364"/>
      <c r="X227" s="364"/>
      <c r="Y227" s="364"/>
      <c r="Z227" s="364"/>
    </row>
    <row r="228">
      <c r="A228" s="367"/>
      <c r="B228" s="367"/>
      <c r="C228" s="364"/>
      <c r="D228" s="364"/>
      <c r="E228" s="364"/>
      <c r="F228" s="364"/>
      <c r="G228" s="364"/>
      <c r="H228" s="364"/>
      <c r="I228" s="364"/>
      <c r="J228" s="364"/>
      <c r="K228" s="364"/>
      <c r="L228" s="364"/>
      <c r="M228" s="364"/>
      <c r="N228" s="364"/>
      <c r="O228" s="364"/>
      <c r="P228" s="364"/>
      <c r="Q228" s="364"/>
      <c r="R228" s="364"/>
      <c r="S228" s="364"/>
      <c r="T228" s="364"/>
      <c r="U228" s="364"/>
      <c r="V228" s="364"/>
      <c r="W228" s="364"/>
      <c r="X228" s="364"/>
      <c r="Y228" s="364"/>
      <c r="Z228" s="364"/>
    </row>
    <row r="229">
      <c r="A229" s="367"/>
      <c r="B229" s="367"/>
      <c r="C229" s="364"/>
      <c r="D229" s="364"/>
      <c r="E229" s="364"/>
      <c r="F229" s="364"/>
      <c r="G229" s="364"/>
      <c r="H229" s="364"/>
      <c r="I229" s="364"/>
      <c r="J229" s="364"/>
      <c r="K229" s="364"/>
      <c r="L229" s="364"/>
      <c r="M229" s="364"/>
      <c r="N229" s="364"/>
      <c r="O229" s="364"/>
      <c r="P229" s="364"/>
      <c r="Q229" s="364"/>
      <c r="R229" s="364"/>
      <c r="S229" s="364"/>
      <c r="T229" s="364"/>
      <c r="U229" s="364"/>
      <c r="V229" s="364"/>
      <c r="W229" s="364"/>
      <c r="X229" s="364"/>
      <c r="Y229" s="364"/>
      <c r="Z229" s="364"/>
    </row>
    <row r="230">
      <c r="A230" s="367"/>
      <c r="B230" s="367"/>
      <c r="C230" s="364"/>
      <c r="D230" s="364"/>
      <c r="E230" s="364"/>
      <c r="F230" s="364"/>
      <c r="G230" s="364"/>
      <c r="H230" s="364"/>
      <c r="I230" s="364"/>
      <c r="J230" s="364"/>
      <c r="K230" s="364"/>
      <c r="L230" s="364"/>
      <c r="M230" s="364"/>
      <c r="N230" s="364"/>
      <c r="O230" s="364"/>
      <c r="P230" s="364"/>
      <c r="Q230" s="364"/>
      <c r="R230" s="364"/>
      <c r="S230" s="364"/>
      <c r="T230" s="364"/>
      <c r="U230" s="364"/>
      <c r="V230" s="364"/>
      <c r="W230" s="364"/>
      <c r="X230" s="364"/>
      <c r="Y230" s="364"/>
      <c r="Z230" s="364"/>
    </row>
    <row r="231">
      <c r="A231" s="367"/>
      <c r="B231" s="367"/>
      <c r="C231" s="364"/>
      <c r="D231" s="364"/>
      <c r="E231" s="364"/>
      <c r="F231" s="364"/>
      <c r="G231" s="364"/>
      <c r="H231" s="364"/>
      <c r="I231" s="364"/>
      <c r="J231" s="364"/>
      <c r="K231" s="364"/>
      <c r="L231" s="364"/>
      <c r="M231" s="364"/>
      <c r="N231" s="364"/>
      <c r="O231" s="364"/>
      <c r="P231" s="364"/>
      <c r="Q231" s="364"/>
      <c r="R231" s="364"/>
      <c r="S231" s="364"/>
      <c r="T231" s="364"/>
      <c r="U231" s="364"/>
      <c r="V231" s="364"/>
      <c r="W231" s="364"/>
      <c r="X231" s="364"/>
      <c r="Y231" s="364"/>
      <c r="Z231" s="364"/>
    </row>
    <row r="232">
      <c r="A232" s="367"/>
      <c r="B232" s="367"/>
      <c r="C232" s="364"/>
      <c r="D232" s="364"/>
      <c r="E232" s="364"/>
      <c r="F232" s="364"/>
      <c r="G232" s="364"/>
      <c r="H232" s="364"/>
      <c r="I232" s="364"/>
      <c r="J232" s="364"/>
      <c r="K232" s="364"/>
      <c r="L232" s="364"/>
      <c r="M232" s="364"/>
      <c r="N232" s="364"/>
      <c r="O232" s="364"/>
      <c r="P232" s="364"/>
      <c r="Q232" s="364"/>
      <c r="R232" s="364"/>
      <c r="S232" s="364"/>
      <c r="T232" s="364"/>
      <c r="U232" s="364"/>
      <c r="V232" s="364"/>
      <c r="W232" s="364"/>
      <c r="X232" s="364"/>
      <c r="Y232" s="364"/>
      <c r="Z232" s="364"/>
    </row>
    <row r="233">
      <c r="A233" s="367"/>
      <c r="B233" s="367"/>
      <c r="C233" s="364"/>
      <c r="D233" s="364"/>
      <c r="E233" s="364"/>
      <c r="F233" s="364"/>
      <c r="G233" s="364"/>
      <c r="H233" s="364"/>
      <c r="I233" s="364"/>
      <c r="J233" s="364"/>
      <c r="K233" s="364"/>
      <c r="L233" s="364"/>
      <c r="M233" s="364"/>
      <c r="N233" s="364"/>
      <c r="O233" s="364"/>
      <c r="P233" s="364"/>
      <c r="Q233" s="364"/>
      <c r="R233" s="364"/>
      <c r="S233" s="364"/>
      <c r="T233" s="364"/>
      <c r="U233" s="364"/>
      <c r="V233" s="364"/>
      <c r="W233" s="364"/>
      <c r="X233" s="364"/>
      <c r="Y233" s="364"/>
      <c r="Z233" s="364"/>
    </row>
    <row r="234">
      <c r="A234" s="367"/>
      <c r="B234" s="367"/>
      <c r="C234" s="364"/>
      <c r="D234" s="364"/>
      <c r="E234" s="364"/>
      <c r="F234" s="364"/>
      <c r="G234" s="364"/>
      <c r="H234" s="364"/>
      <c r="I234" s="364"/>
      <c r="J234" s="364"/>
      <c r="K234" s="364"/>
      <c r="L234" s="364"/>
      <c r="M234" s="364"/>
      <c r="N234" s="364"/>
      <c r="O234" s="364"/>
      <c r="P234" s="364"/>
      <c r="Q234" s="364"/>
      <c r="R234" s="364"/>
      <c r="S234" s="364"/>
      <c r="T234" s="364"/>
      <c r="U234" s="364"/>
      <c r="V234" s="364"/>
      <c r="W234" s="364"/>
      <c r="X234" s="364"/>
      <c r="Y234" s="364"/>
      <c r="Z234" s="364"/>
    </row>
    <row r="235">
      <c r="A235" s="367"/>
      <c r="B235" s="367"/>
      <c r="C235" s="364"/>
      <c r="D235" s="364"/>
      <c r="E235" s="364"/>
      <c r="F235" s="364"/>
      <c r="G235" s="364"/>
      <c r="H235" s="364"/>
      <c r="I235" s="364"/>
      <c r="J235" s="364"/>
      <c r="K235" s="364"/>
      <c r="L235" s="364"/>
      <c r="M235" s="364"/>
      <c r="N235" s="364"/>
      <c r="O235" s="364"/>
      <c r="P235" s="364"/>
      <c r="Q235" s="364"/>
      <c r="R235" s="364"/>
      <c r="S235" s="364"/>
      <c r="T235" s="364"/>
      <c r="U235" s="364"/>
      <c r="V235" s="364"/>
      <c r="W235" s="364"/>
      <c r="X235" s="364"/>
      <c r="Y235" s="364"/>
      <c r="Z235" s="364"/>
    </row>
    <row r="236">
      <c r="A236" s="367"/>
      <c r="B236" s="367"/>
      <c r="C236" s="364"/>
      <c r="D236" s="364"/>
      <c r="E236" s="364"/>
      <c r="F236" s="364"/>
      <c r="G236" s="364"/>
      <c r="H236" s="364"/>
      <c r="I236" s="364"/>
      <c r="J236" s="364"/>
      <c r="K236" s="364"/>
      <c r="L236" s="364"/>
      <c r="M236" s="364"/>
      <c r="N236" s="364"/>
      <c r="O236" s="364"/>
      <c r="P236" s="364"/>
      <c r="Q236" s="364"/>
      <c r="R236" s="364"/>
      <c r="S236" s="364"/>
      <c r="T236" s="364"/>
      <c r="U236" s="364"/>
      <c r="V236" s="364"/>
      <c r="W236" s="364"/>
      <c r="X236" s="364"/>
      <c r="Y236" s="364"/>
      <c r="Z236" s="364"/>
    </row>
    <row r="237">
      <c r="A237" s="367"/>
      <c r="B237" s="367"/>
      <c r="C237" s="364"/>
      <c r="D237" s="364"/>
      <c r="E237" s="364"/>
      <c r="F237" s="364"/>
      <c r="G237" s="364"/>
      <c r="H237" s="364"/>
      <c r="I237" s="364"/>
      <c r="J237" s="364"/>
      <c r="K237" s="364"/>
      <c r="L237" s="364"/>
      <c r="M237" s="364"/>
      <c r="N237" s="364"/>
      <c r="O237" s="364"/>
      <c r="P237" s="364"/>
      <c r="Q237" s="364"/>
      <c r="R237" s="364"/>
      <c r="S237" s="364"/>
      <c r="T237" s="364"/>
      <c r="U237" s="364"/>
      <c r="V237" s="364"/>
      <c r="W237" s="364"/>
      <c r="X237" s="364"/>
      <c r="Y237" s="364"/>
      <c r="Z237" s="364"/>
    </row>
    <row r="238">
      <c r="A238" s="367"/>
      <c r="B238" s="367"/>
      <c r="C238" s="364"/>
      <c r="D238" s="364"/>
      <c r="E238" s="364"/>
      <c r="F238" s="364"/>
      <c r="G238" s="364"/>
      <c r="H238" s="364"/>
      <c r="I238" s="364"/>
      <c r="J238" s="364"/>
      <c r="K238" s="364"/>
      <c r="L238" s="364"/>
      <c r="M238" s="364"/>
      <c r="N238" s="364"/>
      <c r="O238" s="364"/>
      <c r="P238" s="364"/>
      <c r="Q238" s="364"/>
      <c r="R238" s="364"/>
      <c r="S238" s="364"/>
      <c r="T238" s="364"/>
      <c r="U238" s="364"/>
      <c r="V238" s="364"/>
      <c r="W238" s="364"/>
      <c r="X238" s="364"/>
      <c r="Y238" s="364"/>
      <c r="Z238" s="364"/>
    </row>
    <row r="239">
      <c r="A239" s="367"/>
      <c r="B239" s="367"/>
      <c r="C239" s="364"/>
      <c r="D239" s="364"/>
      <c r="E239" s="364"/>
      <c r="F239" s="364"/>
      <c r="G239" s="364"/>
      <c r="H239" s="364"/>
      <c r="I239" s="364"/>
      <c r="J239" s="364"/>
      <c r="K239" s="364"/>
      <c r="L239" s="364"/>
      <c r="M239" s="364"/>
      <c r="N239" s="364"/>
      <c r="O239" s="364"/>
      <c r="P239" s="364"/>
      <c r="Q239" s="364"/>
      <c r="R239" s="364"/>
      <c r="S239" s="364"/>
      <c r="T239" s="364"/>
      <c r="U239" s="364"/>
      <c r="V239" s="364"/>
      <c r="W239" s="364"/>
      <c r="X239" s="364"/>
      <c r="Y239" s="364"/>
      <c r="Z239" s="364"/>
    </row>
    <row r="240">
      <c r="A240" s="367"/>
      <c r="B240" s="367"/>
      <c r="C240" s="364"/>
      <c r="D240" s="364"/>
      <c r="E240" s="364"/>
      <c r="F240" s="364"/>
      <c r="G240" s="364"/>
      <c r="H240" s="364"/>
      <c r="I240" s="364"/>
      <c r="J240" s="364"/>
      <c r="K240" s="364"/>
      <c r="L240" s="364"/>
      <c r="M240" s="364"/>
      <c r="N240" s="364"/>
      <c r="O240" s="364"/>
      <c r="P240" s="364"/>
      <c r="Q240" s="364"/>
      <c r="R240" s="364"/>
      <c r="S240" s="364"/>
      <c r="T240" s="364"/>
      <c r="U240" s="364"/>
      <c r="V240" s="364"/>
      <c r="W240" s="364"/>
      <c r="X240" s="364"/>
      <c r="Y240" s="364"/>
      <c r="Z240" s="364"/>
    </row>
    <row r="241">
      <c r="A241" s="367"/>
      <c r="B241" s="367"/>
      <c r="C241" s="364"/>
      <c r="D241" s="364"/>
      <c r="E241" s="364"/>
      <c r="F241" s="364"/>
      <c r="G241" s="364"/>
      <c r="H241" s="364"/>
      <c r="I241" s="364"/>
      <c r="J241" s="364"/>
      <c r="K241" s="364"/>
      <c r="L241" s="364"/>
      <c r="M241" s="364"/>
      <c r="N241" s="364"/>
      <c r="O241" s="364"/>
      <c r="P241" s="364"/>
      <c r="Q241" s="364"/>
      <c r="R241" s="364"/>
      <c r="S241" s="364"/>
      <c r="T241" s="364"/>
      <c r="U241" s="364"/>
      <c r="V241" s="364"/>
      <c r="W241" s="364"/>
      <c r="X241" s="364"/>
      <c r="Y241" s="364"/>
      <c r="Z241" s="364"/>
    </row>
    <row r="242">
      <c r="A242" s="367"/>
      <c r="B242" s="367"/>
      <c r="C242" s="364"/>
      <c r="D242" s="364"/>
      <c r="E242" s="364"/>
      <c r="F242" s="364"/>
      <c r="G242" s="364"/>
      <c r="H242" s="364"/>
      <c r="I242" s="364"/>
      <c r="J242" s="364"/>
      <c r="K242" s="364"/>
      <c r="L242" s="364"/>
      <c r="M242" s="364"/>
      <c r="N242" s="364"/>
      <c r="O242" s="364"/>
      <c r="P242" s="364"/>
      <c r="Q242" s="364"/>
      <c r="R242" s="364"/>
      <c r="S242" s="364"/>
      <c r="T242" s="364"/>
      <c r="U242" s="364"/>
      <c r="V242" s="364"/>
      <c r="W242" s="364"/>
      <c r="X242" s="364"/>
      <c r="Y242" s="364"/>
      <c r="Z242" s="364"/>
    </row>
    <row r="243">
      <c r="A243" s="367"/>
      <c r="B243" s="367"/>
      <c r="C243" s="364"/>
      <c r="D243" s="364"/>
      <c r="E243" s="364"/>
      <c r="F243" s="364"/>
      <c r="G243" s="364"/>
      <c r="H243" s="364"/>
      <c r="I243" s="364"/>
      <c r="J243" s="364"/>
      <c r="K243" s="364"/>
      <c r="L243" s="364"/>
      <c r="M243" s="364"/>
      <c r="N243" s="364"/>
      <c r="O243" s="364"/>
      <c r="P243" s="364"/>
      <c r="Q243" s="364"/>
      <c r="R243" s="364"/>
      <c r="S243" s="364"/>
      <c r="T243" s="364"/>
      <c r="U243" s="364"/>
      <c r="V243" s="364"/>
      <c r="W243" s="364"/>
      <c r="X243" s="364"/>
      <c r="Y243" s="364"/>
      <c r="Z243" s="364"/>
    </row>
    <row r="244">
      <c r="A244" s="367"/>
      <c r="B244" s="367"/>
      <c r="C244" s="364"/>
      <c r="D244" s="364"/>
      <c r="E244" s="364"/>
      <c r="F244" s="364"/>
      <c r="G244" s="364"/>
      <c r="H244" s="364"/>
      <c r="I244" s="364"/>
      <c r="J244" s="364"/>
      <c r="K244" s="364"/>
      <c r="L244" s="364"/>
      <c r="M244" s="364"/>
      <c r="N244" s="364"/>
      <c r="O244" s="364"/>
      <c r="P244" s="364"/>
      <c r="Q244" s="364"/>
      <c r="R244" s="364"/>
      <c r="S244" s="364"/>
      <c r="T244" s="364"/>
      <c r="U244" s="364"/>
      <c r="V244" s="364"/>
      <c r="W244" s="364"/>
      <c r="X244" s="364"/>
      <c r="Y244" s="364"/>
      <c r="Z244" s="364"/>
    </row>
    <row r="245">
      <c r="A245" s="367"/>
      <c r="B245" s="367"/>
      <c r="C245" s="364"/>
      <c r="D245" s="364"/>
      <c r="E245" s="364"/>
      <c r="F245" s="364"/>
      <c r="G245" s="364"/>
      <c r="H245" s="364"/>
      <c r="I245" s="364"/>
      <c r="J245" s="364"/>
      <c r="K245" s="364"/>
      <c r="L245" s="364"/>
      <c r="M245" s="364"/>
      <c r="N245" s="364"/>
      <c r="O245" s="364"/>
      <c r="P245" s="364"/>
      <c r="Q245" s="364"/>
      <c r="R245" s="364"/>
      <c r="S245" s="364"/>
      <c r="T245" s="364"/>
      <c r="U245" s="364"/>
      <c r="V245" s="364"/>
      <c r="W245" s="364"/>
      <c r="X245" s="364"/>
      <c r="Y245" s="364"/>
      <c r="Z245" s="364"/>
    </row>
    <row r="246">
      <c r="A246" s="367"/>
      <c r="B246" s="367"/>
      <c r="C246" s="364"/>
      <c r="D246" s="364"/>
      <c r="E246" s="364"/>
      <c r="F246" s="364"/>
      <c r="G246" s="364"/>
      <c r="H246" s="364"/>
      <c r="I246" s="364"/>
      <c r="J246" s="364"/>
      <c r="K246" s="364"/>
      <c r="L246" s="364"/>
      <c r="M246" s="364"/>
      <c r="N246" s="364"/>
      <c r="O246" s="364"/>
      <c r="P246" s="364"/>
      <c r="Q246" s="364"/>
      <c r="R246" s="364"/>
      <c r="S246" s="364"/>
      <c r="T246" s="364"/>
      <c r="U246" s="364"/>
      <c r="V246" s="364"/>
      <c r="W246" s="364"/>
      <c r="X246" s="364"/>
      <c r="Y246" s="364"/>
      <c r="Z246" s="364"/>
    </row>
    <row r="247">
      <c r="A247" s="367"/>
      <c r="B247" s="367"/>
      <c r="C247" s="364"/>
      <c r="D247" s="364"/>
      <c r="E247" s="364"/>
      <c r="F247" s="364"/>
      <c r="G247" s="364"/>
      <c r="H247" s="364"/>
      <c r="I247" s="364"/>
      <c r="J247" s="364"/>
      <c r="K247" s="364"/>
      <c r="L247" s="364"/>
      <c r="M247" s="364"/>
      <c r="N247" s="364"/>
      <c r="O247" s="364"/>
      <c r="P247" s="364"/>
      <c r="Q247" s="364"/>
      <c r="R247" s="364"/>
      <c r="S247" s="364"/>
      <c r="T247" s="364"/>
      <c r="U247" s="364"/>
      <c r="V247" s="364"/>
      <c r="W247" s="364"/>
      <c r="X247" s="364"/>
      <c r="Y247" s="364"/>
      <c r="Z247" s="364"/>
    </row>
    <row r="248">
      <c r="A248" s="367"/>
      <c r="B248" s="367"/>
      <c r="C248" s="364"/>
      <c r="D248" s="364"/>
      <c r="E248" s="364"/>
      <c r="F248" s="364"/>
      <c r="G248" s="364"/>
      <c r="H248" s="364"/>
      <c r="I248" s="364"/>
      <c r="J248" s="364"/>
      <c r="K248" s="364"/>
      <c r="L248" s="364"/>
      <c r="M248" s="364"/>
      <c r="N248" s="364"/>
      <c r="O248" s="364"/>
      <c r="P248" s="364"/>
      <c r="Q248" s="364"/>
      <c r="R248" s="364"/>
      <c r="S248" s="364"/>
      <c r="T248" s="364"/>
      <c r="U248" s="364"/>
      <c r="V248" s="364"/>
      <c r="W248" s="364"/>
      <c r="X248" s="364"/>
      <c r="Y248" s="364"/>
      <c r="Z248" s="364"/>
    </row>
    <row r="249">
      <c r="A249" s="367"/>
      <c r="B249" s="367"/>
      <c r="C249" s="364"/>
      <c r="D249" s="364"/>
      <c r="E249" s="364"/>
      <c r="F249" s="364"/>
      <c r="G249" s="364"/>
      <c r="H249" s="364"/>
      <c r="I249" s="364"/>
      <c r="J249" s="364"/>
      <c r="K249" s="364"/>
      <c r="L249" s="364"/>
      <c r="M249" s="364"/>
      <c r="N249" s="364"/>
      <c r="O249" s="364"/>
      <c r="P249" s="364"/>
      <c r="Q249" s="364"/>
      <c r="R249" s="364"/>
      <c r="S249" s="364"/>
      <c r="T249" s="364"/>
      <c r="U249" s="364"/>
      <c r="V249" s="364"/>
      <c r="W249" s="364"/>
      <c r="X249" s="364"/>
      <c r="Y249" s="364"/>
      <c r="Z249" s="364"/>
    </row>
    <row r="250">
      <c r="A250" s="367"/>
      <c r="B250" s="367"/>
      <c r="C250" s="364"/>
      <c r="D250" s="364"/>
      <c r="E250" s="364"/>
      <c r="F250" s="364"/>
      <c r="G250" s="364"/>
      <c r="H250" s="364"/>
      <c r="I250" s="364"/>
      <c r="J250" s="364"/>
      <c r="K250" s="364"/>
      <c r="L250" s="364"/>
      <c r="M250" s="364"/>
      <c r="N250" s="364"/>
      <c r="O250" s="364"/>
      <c r="P250" s="364"/>
      <c r="Q250" s="364"/>
      <c r="R250" s="364"/>
      <c r="S250" s="364"/>
      <c r="T250" s="364"/>
      <c r="U250" s="364"/>
      <c r="V250" s="364"/>
      <c r="W250" s="364"/>
      <c r="X250" s="364"/>
      <c r="Y250" s="364"/>
      <c r="Z250" s="364"/>
    </row>
    <row r="251">
      <c r="A251" s="367"/>
      <c r="B251" s="367"/>
      <c r="C251" s="364"/>
      <c r="D251" s="364"/>
      <c r="E251" s="364"/>
      <c r="F251" s="364"/>
      <c r="G251" s="364"/>
      <c r="H251" s="364"/>
      <c r="I251" s="364"/>
      <c r="J251" s="364"/>
      <c r="K251" s="364"/>
      <c r="L251" s="364"/>
      <c r="M251" s="364"/>
      <c r="N251" s="364"/>
      <c r="O251" s="364"/>
      <c r="P251" s="364"/>
      <c r="Q251" s="364"/>
      <c r="R251" s="364"/>
      <c r="S251" s="364"/>
      <c r="T251" s="364"/>
      <c r="U251" s="364"/>
      <c r="V251" s="364"/>
      <c r="W251" s="364"/>
      <c r="X251" s="364"/>
      <c r="Y251" s="364"/>
      <c r="Z251" s="364"/>
    </row>
    <row r="252">
      <c r="A252" s="367"/>
      <c r="B252" s="367"/>
      <c r="C252" s="364"/>
      <c r="D252" s="364"/>
      <c r="E252" s="364"/>
      <c r="F252" s="364"/>
      <c r="G252" s="364"/>
      <c r="H252" s="364"/>
      <c r="I252" s="364"/>
      <c r="J252" s="364"/>
      <c r="K252" s="364"/>
      <c r="L252" s="364"/>
      <c r="M252" s="364"/>
      <c r="N252" s="364"/>
      <c r="O252" s="364"/>
      <c r="P252" s="364"/>
      <c r="Q252" s="364"/>
      <c r="R252" s="364"/>
      <c r="S252" s="364"/>
      <c r="T252" s="364"/>
      <c r="U252" s="364"/>
      <c r="V252" s="364"/>
      <c r="W252" s="364"/>
      <c r="X252" s="364"/>
      <c r="Y252" s="364"/>
      <c r="Z252" s="364"/>
    </row>
    <row r="253">
      <c r="A253" s="367"/>
      <c r="B253" s="367"/>
      <c r="C253" s="364"/>
      <c r="D253" s="364"/>
      <c r="E253" s="364"/>
      <c r="F253" s="364"/>
      <c r="G253" s="364"/>
      <c r="H253" s="364"/>
      <c r="I253" s="364"/>
      <c r="J253" s="364"/>
      <c r="K253" s="364"/>
      <c r="L253" s="364"/>
      <c r="M253" s="364"/>
      <c r="N253" s="364"/>
      <c r="O253" s="364"/>
      <c r="P253" s="364"/>
      <c r="Q253" s="364"/>
      <c r="R253" s="364"/>
      <c r="S253" s="364"/>
      <c r="T253" s="364"/>
      <c r="U253" s="364"/>
      <c r="V253" s="364"/>
      <c r="W253" s="364"/>
      <c r="X253" s="364"/>
      <c r="Y253" s="364"/>
      <c r="Z253" s="364"/>
    </row>
    <row r="254">
      <c r="A254" s="367"/>
      <c r="B254" s="367"/>
      <c r="C254" s="364"/>
      <c r="D254" s="364"/>
      <c r="E254" s="364"/>
      <c r="F254" s="364"/>
      <c r="G254" s="364"/>
      <c r="H254" s="364"/>
      <c r="I254" s="364"/>
      <c r="J254" s="364"/>
      <c r="K254" s="364"/>
      <c r="L254" s="364"/>
      <c r="M254" s="364"/>
      <c r="N254" s="364"/>
      <c r="O254" s="364"/>
      <c r="P254" s="364"/>
      <c r="Q254" s="364"/>
      <c r="R254" s="364"/>
      <c r="S254" s="364"/>
      <c r="T254" s="364"/>
      <c r="U254" s="364"/>
      <c r="V254" s="364"/>
      <c r="W254" s="364"/>
      <c r="X254" s="364"/>
      <c r="Y254" s="364"/>
      <c r="Z254" s="364"/>
    </row>
    <row r="255">
      <c r="A255" s="367"/>
      <c r="B255" s="367"/>
      <c r="C255" s="364"/>
      <c r="D255" s="364"/>
      <c r="E255" s="364"/>
      <c r="F255" s="364"/>
      <c r="G255" s="364"/>
      <c r="H255" s="364"/>
      <c r="I255" s="364"/>
      <c r="J255" s="364"/>
      <c r="K255" s="364"/>
      <c r="L255" s="364"/>
      <c r="M255" s="364"/>
      <c r="N255" s="364"/>
      <c r="O255" s="364"/>
      <c r="P255" s="364"/>
      <c r="Q255" s="364"/>
      <c r="R255" s="364"/>
      <c r="S255" s="364"/>
      <c r="T255" s="364"/>
      <c r="U255" s="364"/>
      <c r="V255" s="364"/>
      <c r="W255" s="364"/>
      <c r="X255" s="364"/>
      <c r="Y255" s="364"/>
      <c r="Z255" s="364"/>
    </row>
    <row r="256">
      <c r="A256" s="367"/>
      <c r="B256" s="367"/>
      <c r="C256" s="364"/>
      <c r="D256" s="364"/>
      <c r="E256" s="364"/>
      <c r="F256" s="364"/>
      <c r="G256" s="364"/>
      <c r="H256" s="364"/>
      <c r="I256" s="364"/>
      <c r="J256" s="364"/>
      <c r="K256" s="364"/>
      <c r="L256" s="364"/>
      <c r="M256" s="364"/>
      <c r="N256" s="364"/>
      <c r="O256" s="364"/>
      <c r="P256" s="364"/>
      <c r="Q256" s="364"/>
      <c r="R256" s="364"/>
      <c r="S256" s="364"/>
      <c r="T256" s="364"/>
      <c r="U256" s="364"/>
      <c r="V256" s="364"/>
      <c r="W256" s="364"/>
      <c r="X256" s="364"/>
      <c r="Y256" s="364"/>
      <c r="Z256" s="364"/>
    </row>
    <row r="257">
      <c r="A257" s="367"/>
      <c r="B257" s="367"/>
      <c r="C257" s="364"/>
      <c r="D257" s="364"/>
      <c r="E257" s="364"/>
      <c r="F257" s="364"/>
      <c r="G257" s="364"/>
      <c r="H257" s="364"/>
      <c r="I257" s="364"/>
      <c r="J257" s="364"/>
      <c r="K257" s="364"/>
      <c r="L257" s="364"/>
      <c r="M257" s="364"/>
      <c r="N257" s="364"/>
      <c r="O257" s="364"/>
      <c r="P257" s="364"/>
      <c r="Q257" s="364"/>
      <c r="R257" s="364"/>
      <c r="S257" s="364"/>
      <c r="T257" s="364"/>
      <c r="U257" s="364"/>
      <c r="V257" s="364"/>
      <c r="W257" s="364"/>
      <c r="X257" s="364"/>
      <c r="Y257" s="364"/>
      <c r="Z257" s="364"/>
    </row>
    <row r="258">
      <c r="A258" s="367"/>
      <c r="B258" s="367"/>
      <c r="C258" s="364"/>
      <c r="D258" s="364"/>
      <c r="E258" s="364"/>
      <c r="F258" s="364"/>
      <c r="G258" s="364"/>
      <c r="H258" s="364"/>
      <c r="I258" s="364"/>
      <c r="J258" s="364"/>
      <c r="K258" s="364"/>
      <c r="L258" s="364"/>
      <c r="M258" s="364"/>
      <c r="N258" s="364"/>
      <c r="O258" s="364"/>
      <c r="P258" s="364"/>
      <c r="Q258" s="364"/>
      <c r="R258" s="364"/>
      <c r="S258" s="364"/>
      <c r="T258" s="364"/>
      <c r="U258" s="364"/>
      <c r="V258" s="364"/>
      <c r="W258" s="364"/>
      <c r="X258" s="364"/>
      <c r="Y258" s="364"/>
      <c r="Z258" s="364"/>
    </row>
    <row r="259">
      <c r="A259" s="367"/>
      <c r="B259" s="367"/>
      <c r="C259" s="364"/>
      <c r="D259" s="364"/>
      <c r="E259" s="364"/>
      <c r="F259" s="364"/>
      <c r="G259" s="364"/>
      <c r="H259" s="364"/>
      <c r="I259" s="364"/>
      <c r="J259" s="364"/>
      <c r="K259" s="364"/>
      <c r="L259" s="364"/>
      <c r="M259" s="364"/>
      <c r="N259" s="364"/>
      <c r="O259" s="364"/>
      <c r="P259" s="364"/>
      <c r="Q259" s="364"/>
      <c r="R259" s="364"/>
      <c r="S259" s="364"/>
      <c r="T259" s="364"/>
      <c r="U259" s="364"/>
      <c r="V259" s="364"/>
      <c r="W259" s="364"/>
      <c r="X259" s="364"/>
      <c r="Y259" s="364"/>
      <c r="Z259" s="364"/>
    </row>
    <row r="260">
      <c r="A260" s="367"/>
      <c r="B260" s="367"/>
      <c r="C260" s="364"/>
      <c r="D260" s="364"/>
      <c r="E260" s="364"/>
      <c r="F260" s="364"/>
      <c r="G260" s="364"/>
      <c r="H260" s="364"/>
      <c r="I260" s="364"/>
      <c r="J260" s="364"/>
      <c r="K260" s="364"/>
      <c r="L260" s="364"/>
      <c r="M260" s="364"/>
      <c r="N260" s="364"/>
      <c r="O260" s="364"/>
      <c r="P260" s="364"/>
      <c r="Q260" s="364"/>
      <c r="R260" s="364"/>
      <c r="S260" s="364"/>
      <c r="T260" s="364"/>
      <c r="U260" s="364"/>
      <c r="V260" s="364"/>
      <c r="W260" s="364"/>
      <c r="X260" s="364"/>
      <c r="Y260" s="364"/>
      <c r="Z260" s="364"/>
    </row>
    <row r="261">
      <c r="A261" s="367"/>
      <c r="B261" s="367"/>
      <c r="C261" s="364"/>
      <c r="D261" s="364"/>
      <c r="E261" s="364"/>
      <c r="F261" s="364"/>
      <c r="G261" s="364"/>
      <c r="H261" s="364"/>
      <c r="I261" s="364"/>
      <c r="J261" s="364"/>
      <c r="K261" s="364"/>
      <c r="L261" s="364"/>
      <c r="M261" s="364"/>
      <c r="N261" s="364"/>
      <c r="O261" s="364"/>
      <c r="P261" s="364"/>
      <c r="Q261" s="364"/>
      <c r="R261" s="364"/>
      <c r="S261" s="364"/>
      <c r="T261" s="364"/>
      <c r="U261" s="364"/>
      <c r="V261" s="364"/>
      <c r="W261" s="364"/>
      <c r="X261" s="364"/>
      <c r="Y261" s="364"/>
      <c r="Z261" s="364"/>
    </row>
    <row r="262">
      <c r="A262" s="367"/>
      <c r="B262" s="367"/>
      <c r="C262" s="364"/>
      <c r="D262" s="364"/>
      <c r="E262" s="364"/>
      <c r="F262" s="364"/>
      <c r="G262" s="364"/>
      <c r="H262" s="364"/>
      <c r="I262" s="364"/>
      <c r="J262" s="364"/>
      <c r="K262" s="364"/>
      <c r="L262" s="364"/>
      <c r="M262" s="364"/>
      <c r="N262" s="364"/>
      <c r="O262" s="364"/>
      <c r="P262" s="364"/>
      <c r="Q262" s="364"/>
      <c r="R262" s="364"/>
      <c r="S262" s="364"/>
      <c r="T262" s="364"/>
      <c r="U262" s="364"/>
      <c r="V262" s="364"/>
      <c r="W262" s="364"/>
      <c r="X262" s="364"/>
      <c r="Y262" s="364"/>
      <c r="Z262" s="364"/>
    </row>
    <row r="263">
      <c r="A263" s="367"/>
      <c r="B263" s="367"/>
      <c r="C263" s="364"/>
      <c r="D263" s="364"/>
      <c r="E263" s="364"/>
      <c r="F263" s="364"/>
      <c r="G263" s="364"/>
      <c r="H263" s="364"/>
      <c r="I263" s="364"/>
      <c r="J263" s="364"/>
      <c r="K263" s="364"/>
      <c r="L263" s="364"/>
      <c r="M263" s="364"/>
      <c r="N263" s="364"/>
      <c r="O263" s="364"/>
      <c r="P263" s="364"/>
      <c r="Q263" s="364"/>
      <c r="R263" s="364"/>
      <c r="S263" s="364"/>
      <c r="T263" s="364"/>
      <c r="U263" s="364"/>
      <c r="V263" s="364"/>
      <c r="W263" s="364"/>
      <c r="X263" s="364"/>
      <c r="Y263" s="364"/>
      <c r="Z263" s="364"/>
    </row>
    <row r="264">
      <c r="A264" s="367"/>
      <c r="B264" s="367"/>
      <c r="C264" s="364"/>
      <c r="D264" s="364"/>
      <c r="E264" s="364"/>
      <c r="F264" s="364"/>
      <c r="G264" s="364"/>
      <c r="H264" s="364"/>
      <c r="I264" s="364"/>
      <c r="J264" s="364"/>
      <c r="K264" s="364"/>
      <c r="L264" s="364"/>
      <c r="M264" s="364"/>
      <c r="N264" s="364"/>
      <c r="O264" s="364"/>
      <c r="P264" s="364"/>
      <c r="Q264" s="364"/>
      <c r="R264" s="364"/>
      <c r="S264" s="364"/>
      <c r="T264" s="364"/>
      <c r="U264" s="364"/>
      <c r="V264" s="364"/>
      <c r="W264" s="364"/>
      <c r="X264" s="364"/>
      <c r="Y264" s="364"/>
      <c r="Z264" s="364"/>
    </row>
    <row r="265">
      <c r="A265" s="367"/>
      <c r="B265" s="367"/>
      <c r="C265" s="364"/>
      <c r="D265" s="364"/>
      <c r="E265" s="364"/>
      <c r="F265" s="364"/>
      <c r="G265" s="364"/>
      <c r="H265" s="364"/>
      <c r="I265" s="364"/>
      <c r="J265" s="364"/>
      <c r="K265" s="364"/>
      <c r="L265" s="364"/>
      <c r="M265" s="364"/>
      <c r="N265" s="364"/>
      <c r="O265" s="364"/>
      <c r="P265" s="364"/>
      <c r="Q265" s="364"/>
      <c r="R265" s="364"/>
      <c r="S265" s="364"/>
      <c r="T265" s="364"/>
      <c r="U265" s="364"/>
      <c r="V265" s="364"/>
      <c r="W265" s="364"/>
      <c r="X265" s="364"/>
      <c r="Y265" s="364"/>
      <c r="Z265" s="364"/>
    </row>
    <row r="266">
      <c r="A266" s="367"/>
      <c r="B266" s="367"/>
      <c r="C266" s="364"/>
      <c r="D266" s="364"/>
      <c r="E266" s="364"/>
      <c r="F266" s="364"/>
      <c r="G266" s="364"/>
      <c r="H266" s="364"/>
      <c r="I266" s="364"/>
      <c r="J266" s="364"/>
      <c r="K266" s="364"/>
      <c r="L266" s="364"/>
      <c r="M266" s="364"/>
      <c r="N266" s="364"/>
      <c r="O266" s="364"/>
      <c r="P266" s="364"/>
      <c r="Q266" s="364"/>
      <c r="R266" s="364"/>
      <c r="S266" s="364"/>
      <c r="T266" s="364"/>
      <c r="U266" s="364"/>
      <c r="V266" s="364"/>
      <c r="W266" s="364"/>
      <c r="X266" s="364"/>
      <c r="Y266" s="364"/>
      <c r="Z266" s="364"/>
    </row>
    <row r="267">
      <c r="A267" s="367"/>
      <c r="B267" s="367"/>
      <c r="C267" s="364"/>
      <c r="D267" s="364"/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364"/>
      <c r="P267" s="364"/>
      <c r="Q267" s="364"/>
      <c r="R267" s="364"/>
      <c r="S267" s="364"/>
      <c r="T267" s="364"/>
      <c r="U267" s="364"/>
      <c r="V267" s="364"/>
      <c r="W267" s="364"/>
      <c r="X267" s="364"/>
      <c r="Y267" s="364"/>
      <c r="Z267" s="364"/>
    </row>
    <row r="268">
      <c r="A268" s="367"/>
      <c r="B268" s="367"/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</row>
    <row r="269">
      <c r="A269" s="367"/>
      <c r="B269" s="367"/>
      <c r="C269" s="364"/>
      <c r="D269" s="364"/>
      <c r="E269" s="364"/>
      <c r="F269" s="364"/>
      <c r="G269" s="364"/>
      <c r="H269" s="364"/>
      <c r="I269" s="364"/>
      <c r="J269" s="364"/>
      <c r="K269" s="364"/>
      <c r="L269" s="364"/>
      <c r="M269" s="364"/>
      <c r="N269" s="364"/>
      <c r="O269" s="364"/>
      <c r="P269" s="364"/>
      <c r="Q269" s="364"/>
      <c r="R269" s="364"/>
      <c r="S269" s="364"/>
      <c r="T269" s="364"/>
      <c r="U269" s="364"/>
      <c r="V269" s="364"/>
      <c r="W269" s="364"/>
      <c r="X269" s="364"/>
      <c r="Y269" s="364"/>
      <c r="Z269" s="364"/>
    </row>
    <row r="270">
      <c r="A270" s="367"/>
      <c r="B270" s="367"/>
      <c r="C270" s="364"/>
      <c r="D270" s="364"/>
      <c r="E270" s="364"/>
      <c r="F270" s="364"/>
      <c r="G270" s="364"/>
      <c r="H270" s="364"/>
      <c r="I270" s="364"/>
      <c r="J270" s="364"/>
      <c r="K270" s="364"/>
      <c r="L270" s="364"/>
      <c r="M270" s="364"/>
      <c r="N270" s="364"/>
      <c r="O270" s="364"/>
      <c r="P270" s="364"/>
      <c r="Q270" s="364"/>
      <c r="R270" s="364"/>
      <c r="S270" s="364"/>
      <c r="T270" s="364"/>
      <c r="U270" s="364"/>
      <c r="V270" s="364"/>
      <c r="W270" s="364"/>
      <c r="X270" s="364"/>
      <c r="Y270" s="364"/>
      <c r="Z270" s="364"/>
    </row>
    <row r="271">
      <c r="A271" s="367"/>
      <c r="B271" s="367"/>
      <c r="C271" s="364"/>
      <c r="D271" s="364"/>
      <c r="E271" s="364"/>
      <c r="F271" s="364"/>
      <c r="G271" s="364"/>
      <c r="H271" s="364"/>
      <c r="I271" s="364"/>
      <c r="J271" s="364"/>
      <c r="K271" s="364"/>
      <c r="L271" s="364"/>
      <c r="M271" s="364"/>
      <c r="N271" s="364"/>
      <c r="O271" s="364"/>
      <c r="P271" s="364"/>
      <c r="Q271" s="364"/>
      <c r="R271" s="364"/>
      <c r="S271" s="364"/>
      <c r="T271" s="364"/>
      <c r="U271" s="364"/>
      <c r="V271" s="364"/>
      <c r="W271" s="364"/>
      <c r="X271" s="364"/>
      <c r="Y271" s="364"/>
      <c r="Z271" s="364"/>
    </row>
    <row r="272">
      <c r="A272" s="367"/>
      <c r="B272" s="367"/>
      <c r="C272" s="364"/>
      <c r="D272" s="364"/>
      <c r="E272" s="364"/>
      <c r="F272" s="364"/>
      <c r="G272" s="364"/>
      <c r="H272" s="364"/>
      <c r="I272" s="364"/>
      <c r="J272" s="364"/>
      <c r="K272" s="364"/>
      <c r="L272" s="364"/>
      <c r="M272" s="364"/>
      <c r="N272" s="364"/>
      <c r="O272" s="364"/>
      <c r="P272" s="364"/>
      <c r="Q272" s="364"/>
      <c r="R272" s="364"/>
      <c r="S272" s="364"/>
      <c r="T272" s="364"/>
      <c r="U272" s="364"/>
      <c r="V272" s="364"/>
      <c r="W272" s="364"/>
      <c r="X272" s="364"/>
      <c r="Y272" s="364"/>
      <c r="Z272" s="364"/>
    </row>
    <row r="273">
      <c r="A273" s="367"/>
      <c r="B273" s="367"/>
      <c r="C273" s="364"/>
      <c r="D273" s="364"/>
      <c r="E273" s="364"/>
      <c r="F273" s="364"/>
      <c r="G273" s="364"/>
      <c r="H273" s="364"/>
      <c r="I273" s="364"/>
      <c r="J273" s="364"/>
      <c r="K273" s="364"/>
      <c r="L273" s="364"/>
      <c r="M273" s="364"/>
      <c r="N273" s="364"/>
      <c r="O273" s="364"/>
      <c r="P273" s="364"/>
      <c r="Q273" s="364"/>
      <c r="R273" s="364"/>
      <c r="S273" s="364"/>
      <c r="T273" s="364"/>
      <c r="U273" s="364"/>
      <c r="V273" s="364"/>
      <c r="W273" s="364"/>
      <c r="X273" s="364"/>
      <c r="Y273" s="364"/>
      <c r="Z273" s="364"/>
    </row>
    <row r="274">
      <c r="A274" s="367"/>
      <c r="B274" s="367"/>
      <c r="C274" s="364"/>
      <c r="D274" s="364"/>
      <c r="E274" s="364"/>
      <c r="F274" s="364"/>
      <c r="G274" s="364"/>
      <c r="H274" s="364"/>
      <c r="I274" s="364"/>
      <c r="J274" s="364"/>
      <c r="K274" s="364"/>
      <c r="L274" s="364"/>
      <c r="M274" s="364"/>
      <c r="N274" s="364"/>
      <c r="O274" s="364"/>
      <c r="P274" s="364"/>
      <c r="Q274" s="364"/>
      <c r="R274" s="364"/>
      <c r="S274" s="364"/>
      <c r="T274" s="364"/>
      <c r="U274" s="364"/>
      <c r="V274" s="364"/>
      <c r="W274" s="364"/>
      <c r="X274" s="364"/>
      <c r="Y274" s="364"/>
      <c r="Z274" s="364"/>
    </row>
    <row r="275">
      <c r="A275" s="367"/>
      <c r="B275" s="367"/>
      <c r="C275" s="364"/>
      <c r="D275" s="364"/>
      <c r="E275" s="364"/>
      <c r="F275" s="364"/>
      <c r="G275" s="364"/>
      <c r="H275" s="364"/>
      <c r="I275" s="364"/>
      <c r="J275" s="364"/>
      <c r="K275" s="364"/>
      <c r="L275" s="364"/>
      <c r="M275" s="364"/>
      <c r="N275" s="364"/>
      <c r="O275" s="364"/>
      <c r="P275" s="364"/>
      <c r="Q275" s="364"/>
      <c r="R275" s="364"/>
      <c r="S275" s="364"/>
      <c r="T275" s="364"/>
      <c r="U275" s="364"/>
      <c r="V275" s="364"/>
      <c r="W275" s="364"/>
      <c r="X275" s="364"/>
      <c r="Y275" s="364"/>
      <c r="Z275" s="364"/>
    </row>
    <row r="276">
      <c r="A276" s="367"/>
      <c r="B276" s="367"/>
      <c r="C276" s="364"/>
      <c r="D276" s="364"/>
      <c r="E276" s="364"/>
      <c r="F276" s="364"/>
      <c r="G276" s="364"/>
      <c r="H276" s="364"/>
      <c r="I276" s="364"/>
      <c r="J276" s="364"/>
      <c r="K276" s="364"/>
      <c r="L276" s="364"/>
      <c r="M276" s="364"/>
      <c r="N276" s="364"/>
      <c r="O276" s="364"/>
      <c r="P276" s="364"/>
      <c r="Q276" s="364"/>
      <c r="R276" s="364"/>
      <c r="S276" s="364"/>
      <c r="T276" s="364"/>
      <c r="U276" s="364"/>
      <c r="V276" s="364"/>
      <c r="W276" s="364"/>
      <c r="X276" s="364"/>
      <c r="Y276" s="364"/>
      <c r="Z276" s="364"/>
    </row>
    <row r="277">
      <c r="A277" s="367"/>
      <c r="B277" s="367"/>
      <c r="C277" s="364"/>
      <c r="D277" s="364"/>
      <c r="E277" s="364"/>
      <c r="F277" s="364"/>
      <c r="G277" s="364"/>
      <c r="H277" s="364"/>
      <c r="I277" s="364"/>
      <c r="J277" s="364"/>
      <c r="K277" s="364"/>
      <c r="L277" s="364"/>
      <c r="M277" s="364"/>
      <c r="N277" s="364"/>
      <c r="O277" s="364"/>
      <c r="P277" s="364"/>
      <c r="Q277" s="364"/>
      <c r="R277" s="364"/>
      <c r="S277" s="364"/>
      <c r="T277" s="364"/>
      <c r="U277" s="364"/>
      <c r="V277" s="364"/>
      <c r="W277" s="364"/>
      <c r="X277" s="364"/>
      <c r="Y277" s="364"/>
      <c r="Z277" s="364"/>
    </row>
    <row r="278">
      <c r="A278" s="367"/>
      <c r="B278" s="367"/>
      <c r="C278" s="364"/>
      <c r="D278" s="364"/>
      <c r="E278" s="364"/>
      <c r="F278" s="364"/>
      <c r="G278" s="364"/>
      <c r="H278" s="364"/>
      <c r="I278" s="364"/>
      <c r="J278" s="364"/>
      <c r="K278" s="364"/>
      <c r="L278" s="364"/>
      <c r="M278" s="364"/>
      <c r="N278" s="364"/>
      <c r="O278" s="364"/>
      <c r="P278" s="364"/>
      <c r="Q278" s="364"/>
      <c r="R278" s="364"/>
      <c r="S278" s="364"/>
      <c r="T278" s="364"/>
      <c r="U278" s="364"/>
      <c r="V278" s="364"/>
      <c r="W278" s="364"/>
      <c r="X278" s="364"/>
      <c r="Y278" s="364"/>
      <c r="Z278" s="364"/>
    </row>
    <row r="279">
      <c r="A279" s="367"/>
      <c r="B279" s="367"/>
      <c r="C279" s="364"/>
      <c r="D279" s="364"/>
      <c r="E279" s="364"/>
      <c r="F279" s="364"/>
      <c r="G279" s="364"/>
      <c r="H279" s="364"/>
      <c r="I279" s="364"/>
      <c r="J279" s="364"/>
      <c r="K279" s="364"/>
      <c r="L279" s="364"/>
      <c r="M279" s="364"/>
      <c r="N279" s="364"/>
      <c r="O279" s="364"/>
      <c r="P279" s="364"/>
      <c r="Q279" s="364"/>
      <c r="R279" s="364"/>
      <c r="S279" s="364"/>
      <c r="T279" s="364"/>
      <c r="U279" s="364"/>
      <c r="V279" s="364"/>
      <c r="W279" s="364"/>
      <c r="X279" s="364"/>
      <c r="Y279" s="364"/>
      <c r="Z279" s="364"/>
    </row>
    <row r="280">
      <c r="A280" s="367"/>
      <c r="B280" s="367"/>
      <c r="C280" s="364"/>
      <c r="D280" s="364"/>
      <c r="E280" s="364"/>
      <c r="F280" s="364"/>
      <c r="G280" s="364"/>
      <c r="H280" s="364"/>
      <c r="I280" s="364"/>
      <c r="J280" s="364"/>
      <c r="K280" s="364"/>
      <c r="L280" s="364"/>
      <c r="M280" s="364"/>
      <c r="N280" s="364"/>
      <c r="O280" s="364"/>
      <c r="P280" s="364"/>
      <c r="Q280" s="364"/>
      <c r="R280" s="364"/>
      <c r="S280" s="364"/>
      <c r="T280" s="364"/>
      <c r="U280" s="364"/>
      <c r="V280" s="364"/>
      <c r="W280" s="364"/>
      <c r="X280" s="364"/>
      <c r="Y280" s="364"/>
      <c r="Z280" s="364"/>
    </row>
    <row r="281">
      <c r="A281" s="367"/>
      <c r="B281" s="367"/>
      <c r="C281" s="364"/>
      <c r="D281" s="364"/>
      <c r="E281" s="364"/>
      <c r="F281" s="364"/>
      <c r="G281" s="364"/>
      <c r="H281" s="364"/>
      <c r="I281" s="364"/>
      <c r="J281" s="364"/>
      <c r="K281" s="364"/>
      <c r="L281" s="364"/>
      <c r="M281" s="364"/>
      <c r="N281" s="364"/>
      <c r="O281" s="364"/>
      <c r="P281" s="364"/>
      <c r="Q281" s="364"/>
      <c r="R281" s="364"/>
      <c r="S281" s="364"/>
      <c r="T281" s="364"/>
      <c r="U281" s="364"/>
      <c r="V281" s="364"/>
      <c r="W281" s="364"/>
      <c r="X281" s="364"/>
      <c r="Y281" s="364"/>
      <c r="Z281" s="364"/>
    </row>
    <row r="282">
      <c r="A282" s="367"/>
      <c r="B282" s="367"/>
      <c r="C282" s="364"/>
      <c r="D282" s="364"/>
      <c r="E282" s="364"/>
      <c r="F282" s="364"/>
      <c r="G282" s="364"/>
      <c r="H282" s="364"/>
      <c r="I282" s="364"/>
      <c r="J282" s="364"/>
      <c r="K282" s="364"/>
      <c r="L282" s="364"/>
      <c r="M282" s="364"/>
      <c r="N282" s="364"/>
      <c r="O282" s="364"/>
      <c r="P282" s="364"/>
      <c r="Q282" s="364"/>
      <c r="R282" s="364"/>
      <c r="S282" s="364"/>
      <c r="T282" s="364"/>
      <c r="U282" s="364"/>
      <c r="V282" s="364"/>
      <c r="W282" s="364"/>
      <c r="X282" s="364"/>
      <c r="Y282" s="364"/>
      <c r="Z282" s="364"/>
    </row>
    <row r="283">
      <c r="A283" s="367"/>
      <c r="B283" s="367"/>
      <c r="C283" s="364"/>
      <c r="D283" s="364"/>
      <c r="E283" s="364"/>
      <c r="F283" s="364"/>
      <c r="G283" s="364"/>
      <c r="H283" s="364"/>
      <c r="I283" s="364"/>
      <c r="J283" s="364"/>
      <c r="K283" s="364"/>
      <c r="L283" s="364"/>
      <c r="M283" s="364"/>
      <c r="N283" s="364"/>
      <c r="O283" s="364"/>
      <c r="P283" s="364"/>
      <c r="Q283" s="364"/>
      <c r="R283" s="364"/>
      <c r="S283" s="364"/>
      <c r="T283" s="364"/>
      <c r="U283" s="364"/>
      <c r="V283" s="364"/>
      <c r="W283" s="364"/>
      <c r="X283" s="364"/>
      <c r="Y283" s="364"/>
      <c r="Z283" s="364"/>
    </row>
    <row r="284">
      <c r="A284" s="367"/>
      <c r="B284" s="367"/>
      <c r="C284" s="364"/>
      <c r="D284" s="364"/>
      <c r="E284" s="364"/>
      <c r="F284" s="364"/>
      <c r="G284" s="364"/>
      <c r="H284" s="364"/>
      <c r="I284" s="364"/>
      <c r="J284" s="364"/>
      <c r="K284" s="364"/>
      <c r="L284" s="364"/>
      <c r="M284" s="364"/>
      <c r="N284" s="364"/>
      <c r="O284" s="364"/>
      <c r="P284" s="364"/>
      <c r="Q284" s="364"/>
      <c r="R284" s="364"/>
      <c r="S284" s="364"/>
      <c r="T284" s="364"/>
      <c r="U284" s="364"/>
      <c r="V284" s="364"/>
      <c r="W284" s="364"/>
      <c r="X284" s="364"/>
      <c r="Y284" s="364"/>
      <c r="Z284" s="364"/>
    </row>
    <row r="285">
      <c r="A285" s="367"/>
      <c r="B285" s="367"/>
      <c r="C285" s="364"/>
      <c r="D285" s="364"/>
      <c r="E285" s="364"/>
      <c r="F285" s="364"/>
      <c r="G285" s="364"/>
      <c r="H285" s="364"/>
      <c r="I285" s="364"/>
      <c r="J285" s="364"/>
      <c r="K285" s="364"/>
      <c r="L285" s="364"/>
      <c r="M285" s="364"/>
      <c r="N285" s="364"/>
      <c r="O285" s="364"/>
      <c r="P285" s="364"/>
      <c r="Q285" s="364"/>
      <c r="R285" s="364"/>
      <c r="S285" s="364"/>
      <c r="T285" s="364"/>
      <c r="U285" s="364"/>
      <c r="V285" s="364"/>
      <c r="W285" s="364"/>
      <c r="X285" s="364"/>
      <c r="Y285" s="364"/>
      <c r="Z285" s="364"/>
    </row>
    <row r="286">
      <c r="A286" s="367"/>
      <c r="B286" s="367"/>
      <c r="C286" s="364"/>
      <c r="D286" s="364"/>
      <c r="E286" s="364"/>
      <c r="F286" s="364"/>
      <c r="G286" s="364"/>
      <c r="H286" s="364"/>
      <c r="I286" s="364"/>
      <c r="J286" s="364"/>
      <c r="K286" s="364"/>
      <c r="L286" s="364"/>
      <c r="M286" s="364"/>
      <c r="N286" s="364"/>
      <c r="O286" s="364"/>
      <c r="P286" s="364"/>
      <c r="Q286" s="364"/>
      <c r="R286" s="364"/>
      <c r="S286" s="364"/>
      <c r="T286" s="364"/>
      <c r="U286" s="364"/>
      <c r="V286" s="364"/>
      <c r="W286" s="364"/>
      <c r="X286" s="364"/>
      <c r="Y286" s="364"/>
      <c r="Z286" s="364"/>
    </row>
    <row r="287">
      <c r="A287" s="367"/>
      <c r="B287" s="367"/>
      <c r="C287" s="364"/>
      <c r="D287" s="364"/>
      <c r="E287" s="364"/>
      <c r="F287" s="364"/>
      <c r="G287" s="364"/>
      <c r="H287" s="364"/>
      <c r="I287" s="364"/>
      <c r="J287" s="364"/>
      <c r="K287" s="364"/>
      <c r="L287" s="364"/>
      <c r="M287" s="364"/>
      <c r="N287" s="364"/>
      <c r="O287" s="364"/>
      <c r="P287" s="364"/>
      <c r="Q287" s="364"/>
      <c r="R287" s="364"/>
      <c r="S287" s="364"/>
      <c r="T287" s="364"/>
      <c r="U287" s="364"/>
      <c r="V287" s="364"/>
      <c r="W287" s="364"/>
      <c r="X287" s="364"/>
      <c r="Y287" s="364"/>
      <c r="Z287" s="364"/>
    </row>
    <row r="288">
      <c r="A288" s="367"/>
      <c r="B288" s="367"/>
      <c r="C288" s="364"/>
      <c r="D288" s="364"/>
      <c r="E288" s="364"/>
      <c r="F288" s="364"/>
      <c r="G288" s="364"/>
      <c r="H288" s="364"/>
      <c r="I288" s="364"/>
      <c r="J288" s="364"/>
      <c r="K288" s="364"/>
      <c r="L288" s="364"/>
      <c r="M288" s="364"/>
      <c r="N288" s="364"/>
      <c r="O288" s="364"/>
      <c r="P288" s="364"/>
      <c r="Q288" s="364"/>
      <c r="R288" s="364"/>
      <c r="S288" s="364"/>
      <c r="T288" s="364"/>
      <c r="U288" s="364"/>
      <c r="V288" s="364"/>
      <c r="W288" s="364"/>
      <c r="X288" s="364"/>
      <c r="Y288" s="364"/>
      <c r="Z288" s="364"/>
    </row>
    <row r="289">
      <c r="A289" s="367"/>
      <c r="B289" s="367"/>
      <c r="C289" s="364"/>
      <c r="D289" s="364"/>
      <c r="E289" s="364"/>
      <c r="F289" s="364"/>
      <c r="G289" s="364"/>
      <c r="H289" s="364"/>
      <c r="I289" s="364"/>
      <c r="J289" s="364"/>
      <c r="K289" s="364"/>
      <c r="L289" s="364"/>
      <c r="M289" s="364"/>
      <c r="N289" s="364"/>
      <c r="O289" s="364"/>
      <c r="P289" s="364"/>
      <c r="Q289" s="364"/>
      <c r="R289" s="364"/>
      <c r="S289" s="364"/>
      <c r="T289" s="364"/>
      <c r="U289" s="364"/>
      <c r="V289" s="364"/>
      <c r="W289" s="364"/>
      <c r="X289" s="364"/>
      <c r="Y289" s="364"/>
      <c r="Z289" s="364"/>
    </row>
    <row r="290">
      <c r="A290" s="367"/>
      <c r="B290" s="367"/>
      <c r="C290" s="364"/>
      <c r="D290" s="364"/>
      <c r="E290" s="364"/>
      <c r="F290" s="364"/>
      <c r="G290" s="364"/>
      <c r="H290" s="364"/>
      <c r="I290" s="364"/>
      <c r="J290" s="364"/>
      <c r="K290" s="364"/>
      <c r="L290" s="364"/>
      <c r="M290" s="364"/>
      <c r="N290" s="364"/>
      <c r="O290" s="364"/>
      <c r="P290" s="364"/>
      <c r="Q290" s="364"/>
      <c r="R290" s="364"/>
      <c r="S290" s="364"/>
      <c r="T290" s="364"/>
      <c r="U290" s="364"/>
      <c r="V290" s="364"/>
      <c r="W290" s="364"/>
      <c r="X290" s="364"/>
      <c r="Y290" s="364"/>
      <c r="Z290" s="364"/>
    </row>
    <row r="291">
      <c r="A291" s="367"/>
      <c r="B291" s="367"/>
      <c r="C291" s="364"/>
      <c r="D291" s="364"/>
      <c r="E291" s="364"/>
      <c r="F291" s="364"/>
      <c r="G291" s="364"/>
      <c r="H291" s="364"/>
      <c r="I291" s="364"/>
      <c r="J291" s="364"/>
      <c r="K291" s="364"/>
      <c r="L291" s="364"/>
      <c r="M291" s="364"/>
      <c r="N291" s="364"/>
      <c r="O291" s="364"/>
      <c r="P291" s="364"/>
      <c r="Q291" s="364"/>
      <c r="R291" s="364"/>
      <c r="S291" s="364"/>
      <c r="T291" s="364"/>
      <c r="U291" s="364"/>
      <c r="V291" s="364"/>
      <c r="W291" s="364"/>
      <c r="X291" s="364"/>
      <c r="Y291" s="364"/>
      <c r="Z291" s="364"/>
    </row>
    <row r="292">
      <c r="A292" s="367"/>
      <c r="B292" s="367"/>
      <c r="C292" s="364"/>
      <c r="D292" s="364"/>
      <c r="E292" s="364"/>
      <c r="F292" s="364"/>
      <c r="G292" s="364"/>
      <c r="H292" s="364"/>
      <c r="I292" s="364"/>
      <c r="J292" s="364"/>
      <c r="K292" s="364"/>
      <c r="L292" s="364"/>
      <c r="M292" s="364"/>
      <c r="N292" s="364"/>
      <c r="O292" s="364"/>
      <c r="P292" s="364"/>
      <c r="Q292" s="364"/>
      <c r="R292" s="364"/>
      <c r="S292" s="364"/>
      <c r="T292" s="364"/>
      <c r="U292" s="364"/>
      <c r="V292" s="364"/>
      <c r="W292" s="364"/>
      <c r="X292" s="364"/>
      <c r="Y292" s="364"/>
      <c r="Z292" s="364"/>
    </row>
    <row r="293">
      <c r="A293" s="367"/>
      <c r="B293" s="367"/>
      <c r="C293" s="364"/>
      <c r="D293" s="364"/>
      <c r="E293" s="364"/>
      <c r="F293" s="364"/>
      <c r="G293" s="364"/>
      <c r="H293" s="364"/>
      <c r="I293" s="364"/>
      <c r="J293" s="364"/>
      <c r="K293" s="364"/>
      <c r="L293" s="364"/>
      <c r="M293" s="364"/>
      <c r="N293" s="364"/>
      <c r="O293" s="364"/>
      <c r="P293" s="364"/>
      <c r="Q293" s="364"/>
      <c r="R293" s="364"/>
      <c r="S293" s="364"/>
      <c r="T293" s="364"/>
      <c r="U293" s="364"/>
      <c r="V293" s="364"/>
      <c r="W293" s="364"/>
      <c r="X293" s="364"/>
      <c r="Y293" s="364"/>
      <c r="Z293" s="364"/>
    </row>
    <row r="294">
      <c r="A294" s="367"/>
      <c r="B294" s="367"/>
      <c r="C294" s="364"/>
      <c r="D294" s="364"/>
      <c r="E294" s="364"/>
      <c r="F294" s="364"/>
      <c r="G294" s="364"/>
      <c r="H294" s="364"/>
      <c r="I294" s="364"/>
      <c r="J294" s="364"/>
      <c r="K294" s="364"/>
      <c r="L294" s="364"/>
      <c r="M294" s="364"/>
      <c r="N294" s="364"/>
      <c r="O294" s="364"/>
      <c r="P294" s="364"/>
      <c r="Q294" s="364"/>
      <c r="R294" s="364"/>
      <c r="S294" s="364"/>
      <c r="T294" s="364"/>
      <c r="U294" s="364"/>
      <c r="V294" s="364"/>
      <c r="W294" s="364"/>
      <c r="X294" s="364"/>
      <c r="Y294" s="364"/>
      <c r="Z294" s="364"/>
    </row>
    <row r="295">
      <c r="A295" s="367"/>
      <c r="B295" s="367"/>
      <c r="C295" s="364"/>
      <c r="D295" s="364"/>
      <c r="E295" s="364"/>
      <c r="F295" s="364"/>
      <c r="G295" s="364"/>
      <c r="H295" s="364"/>
      <c r="I295" s="364"/>
      <c r="J295" s="364"/>
      <c r="K295" s="364"/>
      <c r="L295" s="364"/>
      <c r="M295" s="364"/>
      <c r="N295" s="364"/>
      <c r="O295" s="364"/>
      <c r="P295" s="364"/>
      <c r="Q295" s="364"/>
      <c r="R295" s="364"/>
      <c r="S295" s="364"/>
      <c r="T295" s="364"/>
      <c r="U295" s="364"/>
      <c r="V295" s="364"/>
      <c r="W295" s="364"/>
      <c r="X295" s="364"/>
      <c r="Y295" s="364"/>
      <c r="Z295" s="364"/>
    </row>
    <row r="296">
      <c r="A296" s="367"/>
      <c r="B296" s="367"/>
      <c r="C296" s="364"/>
      <c r="D296" s="364"/>
      <c r="E296" s="364"/>
      <c r="F296" s="364"/>
      <c r="G296" s="364"/>
      <c r="H296" s="364"/>
      <c r="I296" s="364"/>
      <c r="J296" s="364"/>
      <c r="K296" s="364"/>
      <c r="L296" s="364"/>
      <c r="M296" s="364"/>
      <c r="N296" s="364"/>
      <c r="O296" s="364"/>
      <c r="P296" s="364"/>
      <c r="Q296" s="364"/>
      <c r="R296" s="364"/>
      <c r="S296" s="364"/>
      <c r="T296" s="364"/>
      <c r="U296" s="364"/>
      <c r="V296" s="364"/>
      <c r="W296" s="364"/>
      <c r="X296" s="364"/>
      <c r="Y296" s="364"/>
      <c r="Z296" s="364"/>
    </row>
    <row r="297">
      <c r="A297" s="367"/>
      <c r="B297" s="367"/>
      <c r="C297" s="364"/>
      <c r="D297" s="364"/>
      <c r="E297" s="364"/>
      <c r="F297" s="364"/>
      <c r="G297" s="364"/>
      <c r="H297" s="364"/>
      <c r="I297" s="364"/>
      <c r="J297" s="364"/>
      <c r="K297" s="364"/>
      <c r="L297" s="364"/>
      <c r="M297" s="364"/>
      <c r="N297" s="364"/>
      <c r="O297" s="364"/>
      <c r="P297" s="364"/>
      <c r="Q297" s="364"/>
      <c r="R297" s="364"/>
      <c r="S297" s="364"/>
      <c r="T297" s="364"/>
      <c r="U297" s="364"/>
      <c r="V297" s="364"/>
      <c r="W297" s="364"/>
      <c r="X297" s="364"/>
      <c r="Y297" s="364"/>
      <c r="Z297" s="364"/>
    </row>
    <row r="298">
      <c r="A298" s="367"/>
      <c r="B298" s="367"/>
      <c r="C298" s="364"/>
      <c r="D298" s="364"/>
      <c r="E298" s="364"/>
      <c r="F298" s="364"/>
      <c r="G298" s="364"/>
      <c r="H298" s="364"/>
      <c r="I298" s="364"/>
      <c r="J298" s="364"/>
      <c r="K298" s="364"/>
      <c r="L298" s="364"/>
      <c r="M298" s="364"/>
      <c r="N298" s="364"/>
      <c r="O298" s="364"/>
      <c r="P298" s="364"/>
      <c r="Q298" s="364"/>
      <c r="R298" s="364"/>
      <c r="S298" s="364"/>
      <c r="T298" s="364"/>
      <c r="U298" s="364"/>
      <c r="V298" s="364"/>
      <c r="W298" s="364"/>
      <c r="X298" s="364"/>
      <c r="Y298" s="364"/>
      <c r="Z298" s="364"/>
    </row>
    <row r="299">
      <c r="A299" s="367"/>
      <c r="B299" s="367"/>
      <c r="C299" s="364"/>
      <c r="D299" s="364"/>
      <c r="E299" s="364"/>
      <c r="F299" s="364"/>
      <c r="G299" s="364"/>
      <c r="H299" s="364"/>
      <c r="I299" s="364"/>
      <c r="J299" s="364"/>
      <c r="K299" s="364"/>
      <c r="L299" s="364"/>
      <c r="M299" s="364"/>
      <c r="N299" s="364"/>
      <c r="O299" s="364"/>
      <c r="P299" s="364"/>
      <c r="Q299" s="364"/>
      <c r="R299" s="364"/>
      <c r="S299" s="364"/>
      <c r="T299" s="364"/>
      <c r="U299" s="364"/>
      <c r="V299" s="364"/>
      <c r="W299" s="364"/>
      <c r="X299" s="364"/>
      <c r="Y299" s="364"/>
      <c r="Z299" s="364"/>
    </row>
    <row r="300">
      <c r="A300" s="367"/>
      <c r="B300" s="367"/>
      <c r="C300" s="364"/>
      <c r="D300" s="364"/>
      <c r="E300" s="364"/>
      <c r="F300" s="364"/>
      <c r="G300" s="364"/>
      <c r="H300" s="364"/>
      <c r="I300" s="364"/>
      <c r="J300" s="364"/>
      <c r="K300" s="364"/>
      <c r="L300" s="364"/>
      <c r="M300" s="364"/>
      <c r="N300" s="364"/>
      <c r="O300" s="364"/>
      <c r="P300" s="364"/>
      <c r="Q300" s="364"/>
      <c r="R300" s="364"/>
      <c r="S300" s="364"/>
      <c r="T300" s="364"/>
      <c r="U300" s="364"/>
      <c r="V300" s="364"/>
      <c r="W300" s="364"/>
      <c r="X300" s="364"/>
      <c r="Y300" s="364"/>
      <c r="Z300" s="364"/>
    </row>
    <row r="301">
      <c r="A301" s="367"/>
      <c r="B301" s="367"/>
      <c r="C301" s="364"/>
      <c r="D301" s="364"/>
      <c r="E301" s="364"/>
      <c r="F301" s="364"/>
      <c r="G301" s="364"/>
      <c r="H301" s="364"/>
      <c r="I301" s="364"/>
      <c r="J301" s="364"/>
      <c r="K301" s="364"/>
      <c r="L301" s="364"/>
      <c r="M301" s="364"/>
      <c r="N301" s="364"/>
      <c r="O301" s="364"/>
      <c r="P301" s="364"/>
      <c r="Q301" s="364"/>
      <c r="R301" s="364"/>
      <c r="S301" s="364"/>
      <c r="T301" s="364"/>
      <c r="U301" s="364"/>
      <c r="V301" s="364"/>
      <c r="W301" s="364"/>
      <c r="X301" s="364"/>
      <c r="Y301" s="364"/>
      <c r="Z301" s="364"/>
    </row>
    <row r="302">
      <c r="A302" s="367"/>
      <c r="B302" s="367"/>
      <c r="C302" s="364"/>
      <c r="D302" s="364"/>
      <c r="E302" s="364"/>
      <c r="F302" s="364"/>
      <c r="G302" s="364"/>
      <c r="H302" s="364"/>
      <c r="I302" s="364"/>
      <c r="J302" s="364"/>
      <c r="K302" s="364"/>
      <c r="L302" s="364"/>
      <c r="M302" s="364"/>
      <c r="N302" s="364"/>
      <c r="O302" s="364"/>
      <c r="P302" s="364"/>
      <c r="Q302" s="364"/>
      <c r="R302" s="364"/>
      <c r="S302" s="364"/>
      <c r="T302" s="364"/>
      <c r="U302" s="364"/>
      <c r="V302" s="364"/>
      <c r="W302" s="364"/>
      <c r="X302" s="364"/>
      <c r="Y302" s="364"/>
      <c r="Z302" s="364"/>
    </row>
    <row r="303">
      <c r="A303" s="367"/>
      <c r="B303" s="367"/>
      <c r="C303" s="364"/>
      <c r="D303" s="364"/>
      <c r="E303" s="364"/>
      <c r="F303" s="364"/>
      <c r="G303" s="364"/>
      <c r="H303" s="364"/>
      <c r="I303" s="364"/>
      <c r="J303" s="364"/>
      <c r="K303" s="364"/>
      <c r="L303" s="364"/>
      <c r="M303" s="364"/>
      <c r="N303" s="364"/>
      <c r="O303" s="364"/>
      <c r="P303" s="364"/>
      <c r="Q303" s="364"/>
      <c r="R303" s="364"/>
      <c r="S303" s="364"/>
      <c r="T303" s="364"/>
      <c r="U303" s="364"/>
      <c r="V303" s="364"/>
      <c r="W303" s="364"/>
      <c r="X303" s="364"/>
      <c r="Y303" s="364"/>
      <c r="Z303" s="364"/>
    </row>
    <row r="304">
      <c r="A304" s="367"/>
      <c r="B304" s="367"/>
      <c r="C304" s="364"/>
      <c r="D304" s="364"/>
      <c r="E304" s="364"/>
      <c r="F304" s="364"/>
      <c r="G304" s="364"/>
      <c r="H304" s="364"/>
      <c r="I304" s="364"/>
      <c r="J304" s="364"/>
      <c r="K304" s="364"/>
      <c r="L304" s="364"/>
      <c r="M304" s="364"/>
      <c r="N304" s="364"/>
      <c r="O304" s="364"/>
      <c r="P304" s="364"/>
      <c r="Q304" s="364"/>
      <c r="R304" s="364"/>
      <c r="S304" s="364"/>
      <c r="T304" s="364"/>
      <c r="U304" s="364"/>
      <c r="V304" s="364"/>
      <c r="W304" s="364"/>
      <c r="X304" s="364"/>
      <c r="Y304" s="364"/>
      <c r="Z304" s="364"/>
    </row>
    <row r="305">
      <c r="A305" s="367"/>
      <c r="B305" s="367"/>
      <c r="C305" s="364"/>
      <c r="D305" s="364"/>
      <c r="E305" s="364"/>
      <c r="F305" s="364"/>
      <c r="G305" s="364"/>
      <c r="H305" s="364"/>
      <c r="I305" s="364"/>
      <c r="J305" s="364"/>
      <c r="K305" s="364"/>
      <c r="L305" s="364"/>
      <c r="M305" s="364"/>
      <c r="N305" s="364"/>
      <c r="O305" s="364"/>
      <c r="P305" s="364"/>
      <c r="Q305" s="364"/>
      <c r="R305" s="364"/>
      <c r="S305" s="364"/>
      <c r="T305" s="364"/>
      <c r="U305" s="364"/>
      <c r="V305" s="364"/>
      <c r="W305" s="364"/>
      <c r="X305" s="364"/>
      <c r="Y305" s="364"/>
      <c r="Z305" s="364"/>
    </row>
    <row r="306">
      <c r="A306" s="367"/>
      <c r="B306" s="367"/>
      <c r="C306" s="364"/>
      <c r="D306" s="364"/>
      <c r="E306" s="364"/>
      <c r="F306" s="364"/>
      <c r="G306" s="364"/>
      <c r="H306" s="364"/>
      <c r="I306" s="364"/>
      <c r="J306" s="364"/>
      <c r="K306" s="364"/>
      <c r="L306" s="364"/>
      <c r="M306" s="364"/>
      <c r="N306" s="364"/>
      <c r="O306" s="364"/>
      <c r="P306" s="364"/>
      <c r="Q306" s="364"/>
      <c r="R306" s="364"/>
      <c r="S306" s="364"/>
      <c r="T306" s="364"/>
      <c r="U306" s="364"/>
      <c r="V306" s="364"/>
      <c r="W306" s="364"/>
      <c r="X306" s="364"/>
      <c r="Y306" s="364"/>
      <c r="Z306" s="364"/>
    </row>
    <row r="307">
      <c r="A307" s="367"/>
      <c r="B307" s="367"/>
      <c r="C307" s="364"/>
      <c r="D307" s="364"/>
      <c r="E307" s="364"/>
      <c r="F307" s="364"/>
      <c r="G307" s="364"/>
      <c r="H307" s="364"/>
      <c r="I307" s="364"/>
      <c r="J307" s="364"/>
      <c r="K307" s="364"/>
      <c r="L307" s="364"/>
      <c r="M307" s="364"/>
      <c r="N307" s="364"/>
      <c r="O307" s="364"/>
      <c r="P307" s="364"/>
      <c r="Q307" s="364"/>
      <c r="R307" s="364"/>
      <c r="S307" s="364"/>
      <c r="T307" s="364"/>
      <c r="U307" s="364"/>
      <c r="V307" s="364"/>
      <c r="W307" s="364"/>
      <c r="X307" s="364"/>
      <c r="Y307" s="364"/>
      <c r="Z307" s="364"/>
    </row>
    <row r="308">
      <c r="A308" s="367"/>
      <c r="B308" s="367"/>
      <c r="C308" s="364"/>
      <c r="D308" s="364"/>
      <c r="E308" s="364"/>
      <c r="F308" s="364"/>
      <c r="G308" s="364"/>
      <c r="H308" s="364"/>
      <c r="I308" s="364"/>
      <c r="J308" s="364"/>
      <c r="K308" s="364"/>
      <c r="L308" s="364"/>
      <c r="M308" s="364"/>
      <c r="N308" s="364"/>
      <c r="O308" s="364"/>
      <c r="P308" s="364"/>
      <c r="Q308" s="364"/>
      <c r="R308" s="364"/>
      <c r="S308" s="364"/>
      <c r="T308" s="364"/>
      <c r="U308" s="364"/>
      <c r="V308" s="364"/>
      <c r="W308" s="364"/>
      <c r="X308" s="364"/>
      <c r="Y308" s="364"/>
      <c r="Z308" s="364"/>
    </row>
    <row r="309">
      <c r="A309" s="367"/>
      <c r="B309" s="367"/>
      <c r="C309" s="364"/>
      <c r="D309" s="364"/>
      <c r="E309" s="364"/>
      <c r="F309" s="364"/>
      <c r="G309" s="364"/>
      <c r="H309" s="364"/>
      <c r="I309" s="364"/>
      <c r="J309" s="364"/>
      <c r="K309" s="364"/>
      <c r="L309" s="364"/>
      <c r="M309" s="364"/>
      <c r="N309" s="364"/>
      <c r="O309" s="364"/>
      <c r="P309" s="364"/>
      <c r="Q309" s="364"/>
      <c r="R309" s="364"/>
      <c r="S309" s="364"/>
      <c r="T309" s="364"/>
      <c r="U309" s="364"/>
      <c r="V309" s="364"/>
      <c r="W309" s="364"/>
      <c r="X309" s="364"/>
      <c r="Y309" s="364"/>
      <c r="Z309" s="364"/>
    </row>
    <row r="310">
      <c r="A310" s="367"/>
      <c r="B310" s="367"/>
      <c r="C310" s="364"/>
      <c r="D310" s="364"/>
      <c r="E310" s="364"/>
      <c r="F310" s="364"/>
      <c r="G310" s="364"/>
      <c r="H310" s="364"/>
      <c r="I310" s="364"/>
      <c r="J310" s="364"/>
      <c r="K310" s="364"/>
      <c r="L310" s="364"/>
      <c r="M310" s="364"/>
      <c r="N310" s="364"/>
      <c r="O310" s="364"/>
      <c r="P310" s="364"/>
      <c r="Q310" s="364"/>
      <c r="R310" s="364"/>
      <c r="S310" s="364"/>
      <c r="T310" s="364"/>
      <c r="U310" s="364"/>
      <c r="V310" s="364"/>
      <c r="W310" s="364"/>
      <c r="X310" s="364"/>
      <c r="Y310" s="364"/>
      <c r="Z310" s="364"/>
    </row>
    <row r="311">
      <c r="A311" s="367"/>
      <c r="B311" s="367"/>
      <c r="C311" s="364"/>
      <c r="D311" s="364"/>
      <c r="E311" s="364"/>
      <c r="F311" s="364"/>
      <c r="G311" s="364"/>
      <c r="H311" s="364"/>
      <c r="I311" s="364"/>
      <c r="J311" s="364"/>
      <c r="K311" s="364"/>
      <c r="L311" s="364"/>
      <c r="M311" s="364"/>
      <c r="N311" s="364"/>
      <c r="O311" s="364"/>
      <c r="P311" s="364"/>
      <c r="Q311" s="364"/>
      <c r="R311" s="364"/>
      <c r="S311" s="364"/>
      <c r="T311" s="364"/>
      <c r="U311" s="364"/>
      <c r="V311" s="364"/>
      <c r="W311" s="364"/>
      <c r="X311" s="364"/>
      <c r="Y311" s="364"/>
      <c r="Z311" s="364"/>
    </row>
    <row r="312">
      <c r="A312" s="367"/>
      <c r="B312" s="367"/>
      <c r="C312" s="364"/>
      <c r="D312" s="364"/>
      <c r="E312" s="364"/>
      <c r="F312" s="364"/>
      <c r="G312" s="364"/>
      <c r="H312" s="364"/>
      <c r="I312" s="364"/>
      <c r="J312" s="364"/>
      <c r="K312" s="364"/>
      <c r="L312" s="364"/>
      <c r="M312" s="364"/>
      <c r="N312" s="364"/>
      <c r="O312" s="364"/>
      <c r="P312" s="364"/>
      <c r="Q312" s="364"/>
      <c r="R312" s="364"/>
      <c r="S312" s="364"/>
      <c r="T312" s="364"/>
      <c r="U312" s="364"/>
      <c r="V312" s="364"/>
      <c r="W312" s="364"/>
      <c r="X312" s="364"/>
      <c r="Y312" s="364"/>
      <c r="Z312" s="364"/>
    </row>
    <row r="313">
      <c r="A313" s="367"/>
      <c r="B313" s="367"/>
      <c r="C313" s="364"/>
      <c r="D313" s="364"/>
      <c r="E313" s="364"/>
      <c r="F313" s="364"/>
      <c r="G313" s="364"/>
      <c r="H313" s="364"/>
      <c r="I313" s="364"/>
      <c r="J313" s="364"/>
      <c r="K313" s="364"/>
      <c r="L313" s="364"/>
      <c r="M313" s="364"/>
      <c r="N313" s="364"/>
      <c r="O313" s="364"/>
      <c r="P313" s="364"/>
      <c r="Q313" s="364"/>
      <c r="R313" s="364"/>
      <c r="S313" s="364"/>
      <c r="T313" s="364"/>
      <c r="U313" s="364"/>
      <c r="V313" s="364"/>
      <c r="W313" s="364"/>
      <c r="X313" s="364"/>
      <c r="Y313" s="364"/>
      <c r="Z313" s="364"/>
    </row>
    <row r="314">
      <c r="A314" s="367"/>
      <c r="B314" s="367"/>
      <c r="C314" s="364"/>
      <c r="D314" s="364"/>
      <c r="E314" s="364"/>
      <c r="F314" s="364"/>
      <c r="G314" s="364"/>
      <c r="H314" s="364"/>
      <c r="I314" s="364"/>
      <c r="J314" s="364"/>
      <c r="K314" s="364"/>
      <c r="L314" s="364"/>
      <c r="M314" s="364"/>
      <c r="N314" s="364"/>
      <c r="O314" s="364"/>
      <c r="P314" s="364"/>
      <c r="Q314" s="364"/>
      <c r="R314" s="364"/>
      <c r="S314" s="364"/>
      <c r="T314" s="364"/>
      <c r="U314" s="364"/>
      <c r="V314" s="364"/>
      <c r="W314" s="364"/>
      <c r="X314" s="364"/>
      <c r="Y314" s="364"/>
      <c r="Z314" s="364"/>
    </row>
    <row r="315">
      <c r="A315" s="367"/>
      <c r="B315" s="367"/>
      <c r="C315" s="364"/>
      <c r="D315" s="364"/>
      <c r="E315" s="364"/>
      <c r="F315" s="364"/>
      <c r="G315" s="364"/>
      <c r="H315" s="364"/>
      <c r="I315" s="364"/>
      <c r="J315" s="364"/>
      <c r="K315" s="364"/>
      <c r="L315" s="364"/>
      <c r="M315" s="364"/>
      <c r="N315" s="364"/>
      <c r="O315" s="364"/>
      <c r="P315" s="364"/>
      <c r="Q315" s="364"/>
      <c r="R315" s="364"/>
      <c r="S315" s="364"/>
      <c r="T315" s="364"/>
      <c r="U315" s="364"/>
      <c r="V315" s="364"/>
      <c r="W315" s="364"/>
      <c r="X315" s="364"/>
      <c r="Y315" s="364"/>
      <c r="Z315" s="364"/>
    </row>
    <row r="316">
      <c r="A316" s="367"/>
      <c r="B316" s="367"/>
      <c r="C316" s="364"/>
      <c r="D316" s="364"/>
      <c r="E316" s="364"/>
      <c r="F316" s="364"/>
      <c r="G316" s="364"/>
      <c r="H316" s="364"/>
      <c r="I316" s="364"/>
      <c r="J316" s="364"/>
      <c r="K316" s="364"/>
      <c r="L316" s="364"/>
      <c r="M316" s="364"/>
      <c r="N316" s="364"/>
      <c r="O316" s="364"/>
      <c r="P316" s="364"/>
      <c r="Q316" s="364"/>
      <c r="R316" s="364"/>
      <c r="S316" s="364"/>
      <c r="T316" s="364"/>
      <c r="U316" s="364"/>
      <c r="V316" s="364"/>
      <c r="W316" s="364"/>
      <c r="X316" s="364"/>
      <c r="Y316" s="364"/>
      <c r="Z316" s="364"/>
    </row>
    <row r="317">
      <c r="A317" s="367"/>
      <c r="B317" s="367"/>
      <c r="C317" s="364"/>
      <c r="D317" s="364"/>
      <c r="E317" s="364"/>
      <c r="F317" s="364"/>
      <c r="G317" s="364"/>
      <c r="H317" s="364"/>
      <c r="I317" s="364"/>
      <c r="J317" s="364"/>
      <c r="K317" s="364"/>
      <c r="L317" s="364"/>
      <c r="M317" s="364"/>
      <c r="N317" s="364"/>
      <c r="O317" s="364"/>
      <c r="P317" s="364"/>
      <c r="Q317" s="364"/>
      <c r="R317" s="364"/>
      <c r="S317" s="364"/>
      <c r="T317" s="364"/>
      <c r="U317" s="364"/>
      <c r="V317" s="364"/>
      <c r="W317" s="364"/>
      <c r="X317" s="364"/>
      <c r="Y317" s="364"/>
      <c r="Z317" s="364"/>
    </row>
    <row r="318">
      <c r="A318" s="367"/>
      <c r="B318" s="367"/>
      <c r="C318" s="364"/>
      <c r="D318" s="364"/>
      <c r="E318" s="364"/>
      <c r="F318" s="364"/>
      <c r="G318" s="364"/>
      <c r="H318" s="364"/>
      <c r="I318" s="364"/>
      <c r="J318" s="364"/>
      <c r="K318" s="364"/>
      <c r="L318" s="364"/>
      <c r="M318" s="364"/>
      <c r="N318" s="364"/>
      <c r="O318" s="364"/>
      <c r="P318" s="364"/>
      <c r="Q318" s="364"/>
      <c r="R318" s="364"/>
      <c r="S318" s="364"/>
      <c r="T318" s="364"/>
      <c r="U318" s="364"/>
      <c r="V318" s="364"/>
      <c r="W318" s="364"/>
      <c r="X318" s="364"/>
      <c r="Y318" s="364"/>
      <c r="Z318" s="364"/>
    </row>
    <row r="319">
      <c r="A319" s="367"/>
      <c r="B319" s="367"/>
      <c r="C319" s="364"/>
      <c r="D319" s="364"/>
      <c r="E319" s="364"/>
      <c r="F319" s="364"/>
      <c r="G319" s="364"/>
      <c r="H319" s="364"/>
      <c r="I319" s="364"/>
      <c r="J319" s="364"/>
      <c r="K319" s="364"/>
      <c r="L319" s="364"/>
      <c r="M319" s="364"/>
      <c r="N319" s="364"/>
      <c r="O319" s="364"/>
      <c r="P319" s="364"/>
      <c r="Q319" s="364"/>
      <c r="R319" s="364"/>
      <c r="S319" s="364"/>
      <c r="T319" s="364"/>
      <c r="U319" s="364"/>
      <c r="V319" s="364"/>
      <c r="W319" s="364"/>
      <c r="X319" s="364"/>
      <c r="Y319" s="364"/>
      <c r="Z319" s="364"/>
    </row>
    <row r="320">
      <c r="A320" s="367"/>
      <c r="B320" s="367"/>
      <c r="C320" s="364"/>
      <c r="D320" s="364"/>
      <c r="E320" s="364"/>
      <c r="F320" s="364"/>
      <c r="G320" s="364"/>
      <c r="H320" s="364"/>
      <c r="I320" s="364"/>
      <c r="J320" s="364"/>
      <c r="K320" s="364"/>
      <c r="L320" s="364"/>
      <c r="M320" s="364"/>
      <c r="N320" s="364"/>
      <c r="O320" s="364"/>
      <c r="P320" s="364"/>
      <c r="Q320" s="364"/>
      <c r="R320" s="364"/>
      <c r="S320" s="364"/>
      <c r="T320" s="364"/>
      <c r="U320" s="364"/>
      <c r="V320" s="364"/>
      <c r="W320" s="364"/>
      <c r="X320" s="364"/>
      <c r="Y320" s="364"/>
      <c r="Z320" s="364"/>
    </row>
    <row r="321">
      <c r="A321" s="367"/>
      <c r="B321" s="367"/>
      <c r="C321" s="364"/>
      <c r="D321" s="364"/>
      <c r="E321" s="364"/>
      <c r="F321" s="364"/>
      <c r="G321" s="364"/>
      <c r="H321" s="364"/>
      <c r="I321" s="364"/>
      <c r="J321" s="364"/>
      <c r="K321" s="364"/>
      <c r="L321" s="364"/>
      <c r="M321" s="364"/>
      <c r="N321" s="364"/>
      <c r="O321" s="364"/>
      <c r="P321" s="364"/>
      <c r="Q321" s="364"/>
      <c r="R321" s="364"/>
      <c r="S321" s="364"/>
      <c r="T321" s="364"/>
      <c r="U321" s="364"/>
      <c r="V321" s="364"/>
      <c r="W321" s="364"/>
      <c r="X321" s="364"/>
      <c r="Y321" s="364"/>
      <c r="Z321" s="364"/>
    </row>
    <row r="322">
      <c r="A322" s="367"/>
      <c r="B322" s="367"/>
      <c r="C322" s="364"/>
      <c r="D322" s="364"/>
      <c r="E322" s="364"/>
      <c r="F322" s="364"/>
      <c r="G322" s="364"/>
      <c r="H322" s="364"/>
      <c r="I322" s="364"/>
      <c r="J322" s="364"/>
      <c r="K322" s="364"/>
      <c r="L322" s="364"/>
      <c r="M322" s="364"/>
      <c r="N322" s="364"/>
      <c r="O322" s="364"/>
      <c r="P322" s="364"/>
      <c r="Q322" s="364"/>
      <c r="R322" s="364"/>
      <c r="S322" s="364"/>
      <c r="T322" s="364"/>
      <c r="U322" s="364"/>
      <c r="V322" s="364"/>
      <c r="W322" s="364"/>
      <c r="X322" s="364"/>
      <c r="Y322" s="364"/>
      <c r="Z322" s="364"/>
    </row>
    <row r="323">
      <c r="A323" s="367"/>
      <c r="B323" s="367"/>
      <c r="C323" s="364"/>
      <c r="D323" s="364"/>
      <c r="E323" s="364"/>
      <c r="F323" s="364"/>
      <c r="G323" s="364"/>
      <c r="H323" s="364"/>
      <c r="I323" s="364"/>
      <c r="J323" s="364"/>
      <c r="K323" s="364"/>
      <c r="L323" s="364"/>
      <c r="M323" s="364"/>
      <c r="N323" s="364"/>
      <c r="O323" s="364"/>
      <c r="P323" s="364"/>
      <c r="Q323" s="364"/>
      <c r="R323" s="364"/>
      <c r="S323" s="364"/>
      <c r="T323" s="364"/>
      <c r="U323" s="364"/>
      <c r="V323" s="364"/>
      <c r="W323" s="364"/>
      <c r="X323" s="364"/>
      <c r="Y323" s="364"/>
      <c r="Z323" s="364"/>
    </row>
    <row r="324">
      <c r="A324" s="367"/>
      <c r="B324" s="367"/>
      <c r="C324" s="364"/>
      <c r="D324" s="364"/>
      <c r="E324" s="364"/>
      <c r="F324" s="364"/>
      <c r="G324" s="364"/>
      <c r="H324" s="364"/>
      <c r="I324" s="364"/>
      <c r="J324" s="364"/>
      <c r="K324" s="364"/>
      <c r="L324" s="364"/>
      <c r="M324" s="364"/>
      <c r="N324" s="364"/>
      <c r="O324" s="364"/>
      <c r="P324" s="364"/>
      <c r="Q324" s="364"/>
      <c r="R324" s="364"/>
      <c r="S324" s="364"/>
      <c r="T324" s="364"/>
      <c r="U324" s="364"/>
      <c r="V324" s="364"/>
      <c r="W324" s="364"/>
      <c r="X324" s="364"/>
      <c r="Y324" s="364"/>
      <c r="Z324" s="364"/>
    </row>
    <row r="325">
      <c r="A325" s="367"/>
      <c r="B325" s="367"/>
      <c r="C325" s="364"/>
      <c r="D325" s="364"/>
      <c r="E325" s="364"/>
      <c r="F325" s="364"/>
      <c r="G325" s="364"/>
      <c r="H325" s="364"/>
      <c r="I325" s="364"/>
      <c r="J325" s="364"/>
      <c r="K325" s="364"/>
      <c r="L325" s="364"/>
      <c r="M325" s="364"/>
      <c r="N325" s="364"/>
      <c r="O325" s="364"/>
      <c r="P325" s="364"/>
      <c r="Q325" s="364"/>
      <c r="R325" s="364"/>
      <c r="S325" s="364"/>
      <c r="T325" s="364"/>
      <c r="U325" s="364"/>
      <c r="V325" s="364"/>
      <c r="W325" s="364"/>
      <c r="X325" s="364"/>
      <c r="Y325" s="364"/>
      <c r="Z325" s="364"/>
    </row>
    <row r="326">
      <c r="A326" s="367"/>
      <c r="B326" s="367"/>
      <c r="C326" s="364"/>
      <c r="D326" s="364"/>
      <c r="E326" s="364"/>
      <c r="F326" s="364"/>
      <c r="G326" s="364"/>
      <c r="H326" s="364"/>
      <c r="I326" s="364"/>
      <c r="J326" s="364"/>
      <c r="K326" s="364"/>
      <c r="L326" s="364"/>
      <c r="M326" s="364"/>
      <c r="N326" s="364"/>
      <c r="O326" s="364"/>
      <c r="P326" s="364"/>
      <c r="Q326" s="364"/>
      <c r="R326" s="364"/>
      <c r="S326" s="364"/>
      <c r="T326" s="364"/>
      <c r="U326" s="364"/>
      <c r="V326" s="364"/>
      <c r="W326" s="364"/>
      <c r="X326" s="364"/>
      <c r="Y326" s="364"/>
      <c r="Z326" s="364"/>
    </row>
    <row r="327">
      <c r="A327" s="367"/>
      <c r="B327" s="367"/>
      <c r="C327" s="364"/>
      <c r="D327" s="364"/>
      <c r="E327" s="364"/>
      <c r="F327" s="364"/>
      <c r="G327" s="364"/>
      <c r="H327" s="364"/>
      <c r="I327" s="364"/>
      <c r="J327" s="364"/>
      <c r="K327" s="364"/>
      <c r="L327" s="364"/>
      <c r="M327" s="364"/>
      <c r="N327" s="364"/>
      <c r="O327" s="364"/>
      <c r="P327" s="364"/>
      <c r="Q327" s="364"/>
      <c r="R327" s="364"/>
      <c r="S327" s="364"/>
      <c r="T327" s="364"/>
      <c r="U327" s="364"/>
      <c r="V327" s="364"/>
      <c r="W327" s="364"/>
      <c r="X327" s="364"/>
      <c r="Y327" s="364"/>
      <c r="Z327" s="364"/>
    </row>
    <row r="328">
      <c r="A328" s="367"/>
      <c r="B328" s="367"/>
      <c r="C328" s="364"/>
      <c r="D328" s="364"/>
      <c r="E328" s="364"/>
      <c r="F328" s="364"/>
      <c r="G328" s="364"/>
      <c r="H328" s="364"/>
      <c r="I328" s="364"/>
      <c r="J328" s="364"/>
      <c r="K328" s="364"/>
      <c r="L328" s="364"/>
      <c r="M328" s="364"/>
      <c r="N328" s="364"/>
      <c r="O328" s="364"/>
      <c r="P328" s="364"/>
      <c r="Q328" s="364"/>
      <c r="R328" s="364"/>
      <c r="S328" s="364"/>
      <c r="T328" s="364"/>
      <c r="U328" s="364"/>
      <c r="V328" s="364"/>
      <c r="W328" s="364"/>
      <c r="X328" s="364"/>
      <c r="Y328" s="364"/>
      <c r="Z328" s="364"/>
    </row>
    <row r="329">
      <c r="A329" s="367"/>
      <c r="B329" s="367"/>
      <c r="C329" s="364"/>
      <c r="D329" s="364"/>
      <c r="E329" s="364"/>
      <c r="F329" s="364"/>
      <c r="G329" s="364"/>
      <c r="H329" s="364"/>
      <c r="I329" s="364"/>
      <c r="J329" s="364"/>
      <c r="K329" s="364"/>
      <c r="L329" s="364"/>
      <c r="M329" s="364"/>
      <c r="N329" s="364"/>
      <c r="O329" s="364"/>
      <c r="P329" s="364"/>
      <c r="Q329" s="364"/>
      <c r="R329" s="364"/>
      <c r="S329" s="364"/>
      <c r="T329" s="364"/>
      <c r="U329" s="364"/>
      <c r="V329" s="364"/>
      <c r="W329" s="364"/>
      <c r="X329" s="364"/>
      <c r="Y329" s="364"/>
      <c r="Z329" s="364"/>
    </row>
    <row r="330">
      <c r="A330" s="367"/>
      <c r="B330" s="367"/>
      <c r="C330" s="364"/>
      <c r="D330" s="364"/>
      <c r="E330" s="364"/>
      <c r="F330" s="364"/>
      <c r="G330" s="364"/>
      <c r="H330" s="364"/>
      <c r="I330" s="364"/>
      <c r="J330" s="364"/>
      <c r="K330" s="364"/>
      <c r="L330" s="364"/>
      <c r="M330" s="364"/>
      <c r="N330" s="364"/>
      <c r="O330" s="364"/>
      <c r="P330" s="364"/>
      <c r="Q330" s="364"/>
      <c r="R330" s="364"/>
      <c r="S330" s="364"/>
      <c r="T330" s="364"/>
      <c r="U330" s="364"/>
      <c r="V330" s="364"/>
      <c r="W330" s="364"/>
      <c r="X330" s="364"/>
      <c r="Y330" s="364"/>
      <c r="Z330" s="364"/>
    </row>
    <row r="331">
      <c r="A331" s="367"/>
      <c r="B331" s="367"/>
      <c r="C331" s="364"/>
      <c r="D331" s="364"/>
      <c r="E331" s="364"/>
      <c r="F331" s="364"/>
      <c r="G331" s="364"/>
      <c r="H331" s="364"/>
      <c r="I331" s="364"/>
      <c r="J331" s="364"/>
      <c r="K331" s="364"/>
      <c r="L331" s="364"/>
      <c r="M331" s="364"/>
      <c r="N331" s="364"/>
      <c r="O331" s="364"/>
      <c r="P331" s="364"/>
      <c r="Q331" s="364"/>
      <c r="R331" s="364"/>
      <c r="S331" s="364"/>
      <c r="T331" s="364"/>
      <c r="U331" s="364"/>
      <c r="V331" s="364"/>
      <c r="W331" s="364"/>
      <c r="X331" s="364"/>
      <c r="Y331" s="364"/>
      <c r="Z331" s="364"/>
    </row>
    <row r="332">
      <c r="A332" s="367"/>
      <c r="B332" s="367"/>
      <c r="C332" s="364"/>
      <c r="D332" s="364"/>
      <c r="E332" s="364"/>
      <c r="F332" s="364"/>
      <c r="G332" s="364"/>
      <c r="H332" s="364"/>
      <c r="I332" s="364"/>
      <c r="J332" s="364"/>
      <c r="K332" s="364"/>
      <c r="L332" s="364"/>
      <c r="M332" s="364"/>
      <c r="N332" s="364"/>
      <c r="O332" s="364"/>
      <c r="P332" s="364"/>
      <c r="Q332" s="364"/>
      <c r="R332" s="364"/>
      <c r="S332" s="364"/>
      <c r="T332" s="364"/>
      <c r="U332" s="364"/>
      <c r="V332" s="364"/>
      <c r="W332" s="364"/>
      <c r="X332" s="364"/>
      <c r="Y332" s="364"/>
      <c r="Z332" s="364"/>
    </row>
    <row r="333">
      <c r="A333" s="367"/>
      <c r="B333" s="367"/>
      <c r="C333" s="364"/>
      <c r="D333" s="364"/>
      <c r="E333" s="364"/>
      <c r="F333" s="364"/>
      <c r="G333" s="364"/>
      <c r="H333" s="364"/>
      <c r="I333" s="364"/>
      <c r="J333" s="364"/>
      <c r="K333" s="364"/>
      <c r="L333" s="364"/>
      <c r="M333" s="364"/>
      <c r="N333" s="364"/>
      <c r="O333" s="364"/>
      <c r="P333" s="364"/>
      <c r="Q333" s="364"/>
      <c r="R333" s="364"/>
      <c r="S333" s="364"/>
      <c r="T333" s="364"/>
      <c r="U333" s="364"/>
      <c r="V333" s="364"/>
      <c r="W333" s="364"/>
      <c r="X333" s="364"/>
      <c r="Y333" s="364"/>
      <c r="Z333" s="364"/>
    </row>
    <row r="334">
      <c r="A334" s="367"/>
      <c r="B334" s="367"/>
      <c r="C334" s="364"/>
      <c r="D334" s="364"/>
      <c r="E334" s="364"/>
      <c r="F334" s="364"/>
      <c r="G334" s="364"/>
      <c r="H334" s="364"/>
      <c r="I334" s="364"/>
      <c r="J334" s="364"/>
      <c r="K334" s="364"/>
      <c r="L334" s="364"/>
      <c r="M334" s="364"/>
      <c r="N334" s="364"/>
      <c r="O334" s="364"/>
      <c r="P334" s="364"/>
      <c r="Q334" s="364"/>
      <c r="R334" s="364"/>
      <c r="S334" s="364"/>
      <c r="T334" s="364"/>
      <c r="U334" s="364"/>
      <c r="V334" s="364"/>
      <c r="W334" s="364"/>
      <c r="X334" s="364"/>
      <c r="Y334" s="364"/>
      <c r="Z334" s="364"/>
    </row>
    <row r="335">
      <c r="A335" s="367"/>
      <c r="B335" s="367"/>
      <c r="C335" s="364"/>
      <c r="D335" s="364"/>
      <c r="E335" s="364"/>
      <c r="F335" s="364"/>
      <c r="G335" s="364"/>
      <c r="H335" s="364"/>
      <c r="I335" s="364"/>
      <c r="J335" s="364"/>
      <c r="K335" s="364"/>
      <c r="L335" s="364"/>
      <c r="M335" s="364"/>
      <c r="N335" s="364"/>
      <c r="O335" s="364"/>
      <c r="P335" s="364"/>
      <c r="Q335" s="364"/>
      <c r="R335" s="364"/>
      <c r="S335" s="364"/>
      <c r="T335" s="364"/>
      <c r="U335" s="364"/>
      <c r="V335" s="364"/>
      <c r="W335" s="364"/>
      <c r="X335" s="364"/>
      <c r="Y335" s="364"/>
      <c r="Z335" s="364"/>
    </row>
    <row r="336">
      <c r="A336" s="367"/>
      <c r="B336" s="367"/>
      <c r="C336" s="364"/>
      <c r="D336" s="364"/>
      <c r="E336" s="364"/>
      <c r="F336" s="364"/>
      <c r="G336" s="364"/>
      <c r="H336" s="364"/>
      <c r="I336" s="364"/>
      <c r="J336" s="364"/>
      <c r="K336" s="364"/>
      <c r="L336" s="364"/>
      <c r="M336" s="364"/>
      <c r="N336" s="364"/>
      <c r="O336" s="364"/>
      <c r="P336" s="364"/>
      <c r="Q336" s="364"/>
      <c r="R336" s="364"/>
      <c r="S336" s="364"/>
      <c r="T336" s="364"/>
      <c r="U336" s="364"/>
      <c r="V336" s="364"/>
      <c r="W336" s="364"/>
      <c r="X336" s="364"/>
      <c r="Y336" s="364"/>
      <c r="Z336" s="364"/>
    </row>
    <row r="337">
      <c r="A337" s="367"/>
      <c r="B337" s="367"/>
      <c r="C337" s="364"/>
      <c r="D337" s="364"/>
      <c r="E337" s="364"/>
      <c r="F337" s="364"/>
      <c r="G337" s="364"/>
      <c r="H337" s="364"/>
      <c r="I337" s="364"/>
      <c r="J337" s="364"/>
      <c r="K337" s="364"/>
      <c r="L337" s="364"/>
      <c r="M337" s="364"/>
      <c r="N337" s="364"/>
      <c r="O337" s="364"/>
      <c r="P337" s="364"/>
      <c r="Q337" s="364"/>
      <c r="R337" s="364"/>
      <c r="S337" s="364"/>
      <c r="T337" s="364"/>
      <c r="U337" s="364"/>
      <c r="V337" s="364"/>
      <c r="W337" s="364"/>
      <c r="X337" s="364"/>
      <c r="Y337" s="364"/>
      <c r="Z337" s="364"/>
    </row>
    <row r="338">
      <c r="A338" s="367"/>
      <c r="B338" s="367"/>
      <c r="C338" s="364"/>
      <c r="D338" s="364"/>
      <c r="E338" s="364"/>
      <c r="F338" s="364"/>
      <c r="G338" s="364"/>
      <c r="H338" s="364"/>
      <c r="I338" s="364"/>
      <c r="J338" s="364"/>
      <c r="K338" s="364"/>
      <c r="L338" s="364"/>
      <c r="M338" s="364"/>
      <c r="N338" s="364"/>
      <c r="O338" s="364"/>
      <c r="P338" s="364"/>
      <c r="Q338" s="364"/>
      <c r="R338" s="364"/>
      <c r="S338" s="364"/>
      <c r="T338" s="364"/>
      <c r="U338" s="364"/>
      <c r="V338" s="364"/>
      <c r="W338" s="364"/>
      <c r="X338" s="364"/>
      <c r="Y338" s="364"/>
      <c r="Z338" s="364"/>
    </row>
    <row r="339">
      <c r="A339" s="367"/>
      <c r="B339" s="367"/>
      <c r="C339" s="364"/>
      <c r="D339" s="364"/>
      <c r="E339" s="364"/>
      <c r="F339" s="364"/>
      <c r="G339" s="364"/>
      <c r="H339" s="364"/>
      <c r="I339" s="364"/>
      <c r="J339" s="364"/>
      <c r="K339" s="364"/>
      <c r="L339" s="364"/>
      <c r="M339" s="364"/>
      <c r="N339" s="364"/>
      <c r="O339" s="364"/>
      <c r="P339" s="364"/>
      <c r="Q339" s="364"/>
      <c r="R339" s="364"/>
      <c r="S339" s="364"/>
      <c r="T339" s="364"/>
      <c r="U339" s="364"/>
      <c r="V339" s="364"/>
      <c r="W339" s="364"/>
      <c r="X339" s="364"/>
      <c r="Y339" s="364"/>
      <c r="Z339" s="364"/>
    </row>
    <row r="340">
      <c r="A340" s="367"/>
      <c r="B340" s="367"/>
      <c r="C340" s="364"/>
      <c r="D340" s="364"/>
      <c r="E340" s="364"/>
      <c r="F340" s="364"/>
      <c r="G340" s="364"/>
      <c r="H340" s="364"/>
      <c r="I340" s="364"/>
      <c r="J340" s="364"/>
      <c r="K340" s="364"/>
      <c r="L340" s="364"/>
      <c r="M340" s="364"/>
      <c r="N340" s="364"/>
      <c r="O340" s="364"/>
      <c r="P340" s="364"/>
      <c r="Q340" s="364"/>
      <c r="R340" s="364"/>
      <c r="S340" s="364"/>
      <c r="T340" s="364"/>
      <c r="U340" s="364"/>
      <c r="V340" s="364"/>
      <c r="W340" s="364"/>
      <c r="X340" s="364"/>
      <c r="Y340" s="364"/>
      <c r="Z340" s="364"/>
    </row>
    <row r="341">
      <c r="A341" s="367"/>
      <c r="B341" s="367"/>
      <c r="C341" s="364"/>
      <c r="D341" s="364"/>
      <c r="E341" s="364"/>
      <c r="F341" s="364"/>
      <c r="G341" s="364"/>
      <c r="H341" s="364"/>
      <c r="I341" s="364"/>
      <c r="J341" s="364"/>
      <c r="K341" s="364"/>
      <c r="L341" s="364"/>
      <c r="M341" s="364"/>
      <c r="N341" s="364"/>
      <c r="O341" s="364"/>
      <c r="P341" s="364"/>
      <c r="Q341" s="364"/>
      <c r="R341" s="364"/>
      <c r="S341" s="364"/>
      <c r="T341" s="364"/>
      <c r="U341" s="364"/>
      <c r="V341" s="364"/>
      <c r="W341" s="364"/>
      <c r="X341" s="364"/>
      <c r="Y341" s="364"/>
      <c r="Z341" s="364"/>
    </row>
    <row r="342">
      <c r="A342" s="367"/>
      <c r="B342" s="367"/>
      <c r="C342" s="364"/>
      <c r="D342" s="364"/>
      <c r="E342" s="364"/>
      <c r="F342" s="364"/>
      <c r="G342" s="364"/>
      <c r="H342" s="364"/>
      <c r="I342" s="364"/>
      <c r="J342" s="364"/>
      <c r="K342" s="364"/>
      <c r="L342" s="364"/>
      <c r="M342" s="364"/>
      <c r="N342" s="364"/>
      <c r="O342" s="364"/>
      <c r="P342" s="364"/>
      <c r="Q342" s="364"/>
      <c r="R342" s="364"/>
      <c r="S342" s="364"/>
      <c r="T342" s="364"/>
      <c r="U342" s="364"/>
      <c r="V342" s="364"/>
      <c r="W342" s="364"/>
      <c r="X342" s="364"/>
      <c r="Y342" s="364"/>
      <c r="Z342" s="364"/>
    </row>
    <row r="343">
      <c r="A343" s="367"/>
      <c r="B343" s="367"/>
      <c r="C343" s="364"/>
      <c r="D343" s="364"/>
      <c r="E343" s="364"/>
      <c r="F343" s="364"/>
      <c r="G343" s="364"/>
      <c r="H343" s="364"/>
      <c r="I343" s="364"/>
      <c r="J343" s="364"/>
      <c r="K343" s="364"/>
      <c r="L343" s="364"/>
      <c r="M343" s="364"/>
      <c r="N343" s="364"/>
      <c r="O343" s="364"/>
      <c r="P343" s="364"/>
      <c r="Q343" s="364"/>
      <c r="R343" s="364"/>
      <c r="S343" s="364"/>
      <c r="T343" s="364"/>
      <c r="U343" s="364"/>
      <c r="V343" s="364"/>
      <c r="W343" s="364"/>
      <c r="X343" s="364"/>
      <c r="Y343" s="364"/>
      <c r="Z343" s="364"/>
    </row>
    <row r="344">
      <c r="A344" s="367"/>
      <c r="B344" s="367"/>
      <c r="C344" s="364"/>
      <c r="D344" s="364"/>
      <c r="E344" s="364"/>
      <c r="F344" s="364"/>
      <c r="G344" s="364"/>
      <c r="H344" s="364"/>
      <c r="I344" s="364"/>
      <c r="J344" s="364"/>
      <c r="K344" s="364"/>
      <c r="L344" s="364"/>
      <c r="M344" s="364"/>
      <c r="N344" s="364"/>
      <c r="O344" s="364"/>
      <c r="P344" s="364"/>
      <c r="Q344" s="364"/>
      <c r="R344" s="364"/>
      <c r="S344" s="364"/>
      <c r="T344" s="364"/>
      <c r="U344" s="364"/>
      <c r="V344" s="364"/>
      <c r="W344" s="364"/>
      <c r="X344" s="364"/>
      <c r="Y344" s="364"/>
      <c r="Z344" s="364"/>
    </row>
    <row r="345">
      <c r="A345" s="367"/>
      <c r="B345" s="367"/>
      <c r="C345" s="364"/>
      <c r="D345" s="364"/>
      <c r="E345" s="364"/>
      <c r="F345" s="364"/>
      <c r="G345" s="364"/>
      <c r="H345" s="364"/>
      <c r="I345" s="364"/>
      <c r="J345" s="364"/>
      <c r="K345" s="364"/>
      <c r="L345" s="364"/>
      <c r="M345" s="364"/>
      <c r="N345" s="364"/>
      <c r="O345" s="364"/>
      <c r="P345" s="364"/>
      <c r="Q345" s="364"/>
      <c r="R345" s="364"/>
      <c r="S345" s="364"/>
      <c r="T345" s="364"/>
      <c r="U345" s="364"/>
      <c r="V345" s="364"/>
      <c r="W345" s="364"/>
      <c r="X345" s="364"/>
      <c r="Y345" s="364"/>
      <c r="Z345" s="364"/>
    </row>
    <row r="346">
      <c r="A346" s="367"/>
      <c r="B346" s="367"/>
      <c r="C346" s="364"/>
      <c r="D346" s="364"/>
      <c r="E346" s="364"/>
      <c r="F346" s="364"/>
      <c r="G346" s="364"/>
      <c r="H346" s="364"/>
      <c r="I346" s="364"/>
      <c r="J346" s="364"/>
      <c r="K346" s="364"/>
      <c r="L346" s="364"/>
      <c r="M346" s="364"/>
      <c r="N346" s="364"/>
      <c r="O346" s="364"/>
      <c r="P346" s="364"/>
      <c r="Q346" s="364"/>
      <c r="R346" s="364"/>
      <c r="S346" s="364"/>
      <c r="T346" s="364"/>
      <c r="U346" s="364"/>
      <c r="V346" s="364"/>
      <c r="W346" s="364"/>
      <c r="X346" s="364"/>
      <c r="Y346" s="364"/>
      <c r="Z346" s="364"/>
    </row>
    <row r="347">
      <c r="A347" s="367"/>
      <c r="B347" s="367"/>
      <c r="C347" s="364"/>
      <c r="D347" s="364"/>
      <c r="E347" s="364"/>
      <c r="F347" s="364"/>
      <c r="G347" s="364"/>
      <c r="H347" s="364"/>
      <c r="I347" s="364"/>
      <c r="J347" s="364"/>
      <c r="K347" s="364"/>
      <c r="L347" s="364"/>
      <c r="M347" s="364"/>
      <c r="N347" s="364"/>
      <c r="O347" s="364"/>
      <c r="P347" s="364"/>
      <c r="Q347" s="364"/>
      <c r="R347" s="364"/>
      <c r="S347" s="364"/>
      <c r="T347" s="364"/>
      <c r="U347" s="364"/>
      <c r="V347" s="364"/>
      <c r="W347" s="364"/>
      <c r="X347" s="364"/>
      <c r="Y347" s="364"/>
      <c r="Z347" s="364"/>
    </row>
    <row r="348">
      <c r="A348" s="367"/>
      <c r="B348" s="367"/>
      <c r="C348" s="364"/>
      <c r="D348" s="364"/>
      <c r="E348" s="364"/>
      <c r="F348" s="364"/>
      <c r="G348" s="364"/>
      <c r="H348" s="364"/>
      <c r="I348" s="364"/>
      <c r="J348" s="364"/>
      <c r="K348" s="364"/>
      <c r="L348" s="364"/>
      <c r="M348" s="364"/>
      <c r="N348" s="364"/>
      <c r="O348" s="364"/>
      <c r="P348" s="364"/>
      <c r="Q348" s="364"/>
      <c r="R348" s="364"/>
      <c r="S348" s="364"/>
      <c r="T348" s="364"/>
      <c r="U348" s="364"/>
      <c r="V348" s="364"/>
      <c r="W348" s="364"/>
      <c r="X348" s="364"/>
      <c r="Y348" s="364"/>
      <c r="Z348" s="364"/>
    </row>
    <row r="349">
      <c r="A349" s="367"/>
      <c r="B349" s="367"/>
      <c r="C349" s="364"/>
      <c r="D349" s="364"/>
      <c r="E349" s="364"/>
      <c r="F349" s="364"/>
      <c r="G349" s="364"/>
      <c r="H349" s="364"/>
      <c r="I349" s="364"/>
      <c r="J349" s="364"/>
      <c r="K349" s="364"/>
      <c r="L349" s="364"/>
      <c r="M349" s="364"/>
      <c r="N349" s="364"/>
      <c r="O349" s="364"/>
      <c r="P349" s="364"/>
      <c r="Q349" s="364"/>
      <c r="R349" s="364"/>
      <c r="S349" s="364"/>
      <c r="T349" s="364"/>
      <c r="U349" s="364"/>
      <c r="V349" s="364"/>
      <c r="W349" s="364"/>
      <c r="X349" s="364"/>
      <c r="Y349" s="364"/>
      <c r="Z349" s="364"/>
    </row>
    <row r="350">
      <c r="A350" s="367"/>
      <c r="B350" s="367"/>
      <c r="C350" s="364"/>
      <c r="D350" s="364"/>
      <c r="E350" s="364"/>
      <c r="F350" s="364"/>
      <c r="G350" s="364"/>
      <c r="H350" s="364"/>
      <c r="I350" s="364"/>
      <c r="J350" s="364"/>
      <c r="K350" s="364"/>
      <c r="L350" s="364"/>
      <c r="M350" s="364"/>
      <c r="N350" s="364"/>
      <c r="O350" s="364"/>
      <c r="P350" s="364"/>
      <c r="Q350" s="364"/>
      <c r="R350" s="364"/>
      <c r="S350" s="364"/>
      <c r="T350" s="364"/>
      <c r="U350" s="364"/>
      <c r="V350" s="364"/>
      <c r="W350" s="364"/>
      <c r="X350" s="364"/>
      <c r="Y350" s="364"/>
      <c r="Z350" s="364"/>
    </row>
    <row r="351">
      <c r="A351" s="367"/>
      <c r="B351" s="367"/>
      <c r="C351" s="364"/>
      <c r="D351" s="364"/>
      <c r="E351" s="364"/>
      <c r="F351" s="364"/>
      <c r="G351" s="364"/>
      <c r="H351" s="364"/>
      <c r="I351" s="364"/>
      <c r="J351" s="364"/>
      <c r="K351" s="364"/>
      <c r="L351" s="364"/>
      <c r="M351" s="364"/>
      <c r="N351" s="364"/>
      <c r="O351" s="364"/>
      <c r="P351" s="364"/>
      <c r="Q351" s="364"/>
      <c r="R351" s="364"/>
      <c r="S351" s="364"/>
      <c r="T351" s="364"/>
      <c r="U351" s="364"/>
      <c r="V351" s="364"/>
      <c r="W351" s="364"/>
      <c r="X351" s="364"/>
      <c r="Y351" s="364"/>
      <c r="Z351" s="364"/>
    </row>
    <row r="352">
      <c r="A352" s="367"/>
      <c r="B352" s="367"/>
      <c r="C352" s="364"/>
      <c r="D352" s="364"/>
      <c r="E352" s="364"/>
      <c r="F352" s="364"/>
      <c r="G352" s="364"/>
      <c r="H352" s="364"/>
      <c r="I352" s="364"/>
      <c r="J352" s="364"/>
      <c r="K352" s="364"/>
      <c r="L352" s="364"/>
      <c r="M352" s="364"/>
      <c r="N352" s="364"/>
      <c r="O352" s="364"/>
      <c r="P352" s="364"/>
      <c r="Q352" s="364"/>
      <c r="R352" s="364"/>
      <c r="S352" s="364"/>
      <c r="T352" s="364"/>
      <c r="U352" s="364"/>
      <c r="V352" s="364"/>
      <c r="W352" s="364"/>
      <c r="X352" s="364"/>
      <c r="Y352" s="364"/>
      <c r="Z352" s="364"/>
    </row>
    <row r="353">
      <c r="A353" s="367"/>
      <c r="B353" s="367"/>
      <c r="C353" s="364"/>
      <c r="D353" s="364"/>
      <c r="E353" s="364"/>
      <c r="F353" s="364"/>
      <c r="G353" s="364"/>
      <c r="H353" s="364"/>
      <c r="I353" s="364"/>
      <c r="J353" s="364"/>
      <c r="K353" s="364"/>
      <c r="L353" s="364"/>
      <c r="M353" s="364"/>
      <c r="N353" s="364"/>
      <c r="O353" s="364"/>
      <c r="P353" s="364"/>
      <c r="Q353" s="364"/>
      <c r="R353" s="364"/>
      <c r="S353" s="364"/>
      <c r="T353" s="364"/>
      <c r="U353" s="364"/>
      <c r="V353" s="364"/>
      <c r="W353" s="364"/>
      <c r="X353" s="364"/>
      <c r="Y353" s="364"/>
      <c r="Z353" s="364"/>
    </row>
    <row r="354">
      <c r="A354" s="367"/>
      <c r="B354" s="367"/>
      <c r="C354" s="364"/>
      <c r="D354" s="364"/>
      <c r="E354" s="364"/>
      <c r="F354" s="364"/>
      <c r="G354" s="364"/>
      <c r="H354" s="364"/>
      <c r="I354" s="364"/>
      <c r="J354" s="364"/>
      <c r="K354" s="364"/>
      <c r="L354" s="364"/>
      <c r="M354" s="364"/>
      <c r="N354" s="364"/>
      <c r="O354" s="364"/>
      <c r="P354" s="364"/>
      <c r="Q354" s="364"/>
      <c r="R354" s="364"/>
      <c r="S354" s="364"/>
      <c r="T354" s="364"/>
      <c r="U354" s="364"/>
      <c r="V354" s="364"/>
      <c r="W354" s="364"/>
      <c r="X354" s="364"/>
      <c r="Y354" s="364"/>
      <c r="Z354" s="364"/>
    </row>
    <row r="355">
      <c r="A355" s="367"/>
      <c r="B355" s="367"/>
      <c r="C355" s="364"/>
      <c r="D355" s="364"/>
      <c r="E355" s="364"/>
      <c r="F355" s="364"/>
      <c r="G355" s="364"/>
      <c r="H355" s="364"/>
      <c r="I355" s="364"/>
      <c r="J355" s="364"/>
      <c r="K355" s="364"/>
      <c r="L355" s="364"/>
      <c r="M355" s="364"/>
      <c r="N355" s="364"/>
      <c r="O355" s="364"/>
      <c r="P355" s="364"/>
      <c r="Q355" s="364"/>
      <c r="R355" s="364"/>
      <c r="S355" s="364"/>
      <c r="T355" s="364"/>
      <c r="U355" s="364"/>
      <c r="V355" s="364"/>
      <c r="W355" s="364"/>
      <c r="X355" s="364"/>
      <c r="Y355" s="364"/>
      <c r="Z355" s="364"/>
    </row>
    <row r="356">
      <c r="A356" s="367"/>
      <c r="B356" s="367"/>
      <c r="C356" s="364"/>
      <c r="D356" s="364"/>
      <c r="E356" s="364"/>
      <c r="F356" s="364"/>
      <c r="G356" s="364"/>
      <c r="H356" s="364"/>
      <c r="I356" s="364"/>
      <c r="J356" s="364"/>
      <c r="K356" s="364"/>
      <c r="L356" s="364"/>
      <c r="M356" s="364"/>
      <c r="N356" s="364"/>
      <c r="O356" s="364"/>
      <c r="P356" s="364"/>
      <c r="Q356" s="364"/>
      <c r="R356" s="364"/>
      <c r="S356" s="364"/>
      <c r="T356" s="364"/>
      <c r="U356" s="364"/>
      <c r="V356" s="364"/>
      <c r="W356" s="364"/>
      <c r="X356" s="364"/>
      <c r="Y356" s="364"/>
      <c r="Z356" s="364"/>
    </row>
    <row r="357">
      <c r="A357" s="367"/>
      <c r="B357" s="367"/>
      <c r="C357" s="364"/>
      <c r="D357" s="364"/>
      <c r="E357" s="364"/>
      <c r="F357" s="364"/>
      <c r="G357" s="364"/>
      <c r="H357" s="364"/>
      <c r="I357" s="364"/>
      <c r="J357" s="364"/>
      <c r="K357" s="364"/>
      <c r="L357" s="364"/>
      <c r="M357" s="364"/>
      <c r="N357" s="364"/>
      <c r="O357" s="364"/>
      <c r="P357" s="364"/>
      <c r="Q357" s="364"/>
      <c r="R357" s="364"/>
      <c r="S357" s="364"/>
      <c r="T357" s="364"/>
      <c r="U357" s="364"/>
      <c r="V357" s="364"/>
      <c r="W357" s="364"/>
      <c r="X357" s="364"/>
      <c r="Y357" s="364"/>
      <c r="Z357" s="364"/>
    </row>
    <row r="358">
      <c r="A358" s="367"/>
      <c r="B358" s="367"/>
      <c r="C358" s="364"/>
      <c r="D358" s="364"/>
      <c r="E358" s="364"/>
      <c r="F358" s="364"/>
      <c r="G358" s="364"/>
      <c r="H358" s="364"/>
      <c r="I358" s="364"/>
      <c r="J358" s="364"/>
      <c r="K358" s="364"/>
      <c r="L358" s="364"/>
      <c r="M358" s="364"/>
      <c r="N358" s="364"/>
      <c r="O358" s="364"/>
      <c r="P358" s="364"/>
      <c r="Q358" s="364"/>
      <c r="R358" s="364"/>
      <c r="S358" s="364"/>
      <c r="T358" s="364"/>
      <c r="U358" s="364"/>
      <c r="V358" s="364"/>
      <c r="W358" s="364"/>
      <c r="X358" s="364"/>
      <c r="Y358" s="364"/>
      <c r="Z358" s="364"/>
    </row>
    <row r="359">
      <c r="A359" s="367"/>
      <c r="B359" s="367"/>
      <c r="C359" s="364"/>
      <c r="D359" s="364"/>
      <c r="E359" s="364"/>
      <c r="F359" s="364"/>
      <c r="G359" s="364"/>
      <c r="H359" s="364"/>
      <c r="I359" s="364"/>
      <c r="J359" s="364"/>
      <c r="K359" s="364"/>
      <c r="L359" s="364"/>
      <c r="M359" s="364"/>
      <c r="N359" s="364"/>
      <c r="O359" s="364"/>
      <c r="P359" s="364"/>
      <c r="Q359" s="364"/>
      <c r="R359" s="364"/>
      <c r="S359" s="364"/>
      <c r="T359" s="364"/>
      <c r="U359" s="364"/>
      <c r="V359" s="364"/>
      <c r="W359" s="364"/>
      <c r="X359" s="364"/>
      <c r="Y359" s="364"/>
      <c r="Z359" s="364"/>
    </row>
    <row r="360">
      <c r="A360" s="367"/>
      <c r="B360" s="367"/>
      <c r="C360" s="364"/>
      <c r="D360" s="364"/>
      <c r="E360" s="364"/>
      <c r="F360" s="364"/>
      <c r="G360" s="364"/>
      <c r="H360" s="364"/>
      <c r="I360" s="364"/>
      <c r="J360" s="364"/>
      <c r="K360" s="364"/>
      <c r="L360" s="364"/>
      <c r="M360" s="364"/>
      <c r="N360" s="364"/>
      <c r="O360" s="364"/>
      <c r="P360" s="364"/>
      <c r="Q360" s="364"/>
      <c r="R360" s="364"/>
      <c r="S360" s="364"/>
      <c r="T360" s="364"/>
      <c r="U360" s="364"/>
      <c r="V360" s="364"/>
      <c r="W360" s="364"/>
      <c r="X360" s="364"/>
      <c r="Y360" s="364"/>
      <c r="Z360" s="364"/>
    </row>
    <row r="361">
      <c r="A361" s="367"/>
      <c r="B361" s="367"/>
      <c r="C361" s="364"/>
      <c r="D361" s="364"/>
      <c r="E361" s="364"/>
      <c r="F361" s="364"/>
      <c r="G361" s="364"/>
      <c r="H361" s="364"/>
      <c r="I361" s="364"/>
      <c r="J361" s="364"/>
      <c r="K361" s="364"/>
      <c r="L361" s="364"/>
      <c r="M361" s="364"/>
      <c r="N361" s="364"/>
      <c r="O361" s="364"/>
      <c r="P361" s="364"/>
      <c r="Q361" s="364"/>
      <c r="R361" s="364"/>
      <c r="S361" s="364"/>
      <c r="T361" s="364"/>
      <c r="U361" s="364"/>
      <c r="V361" s="364"/>
      <c r="W361" s="364"/>
      <c r="X361" s="364"/>
      <c r="Y361" s="364"/>
      <c r="Z361" s="364"/>
    </row>
    <row r="362">
      <c r="A362" s="367"/>
      <c r="B362" s="367"/>
      <c r="C362" s="364"/>
      <c r="D362" s="364"/>
      <c r="E362" s="364"/>
      <c r="F362" s="364"/>
      <c r="G362" s="364"/>
      <c r="H362" s="364"/>
      <c r="I362" s="364"/>
      <c r="J362" s="364"/>
      <c r="K362" s="364"/>
      <c r="L362" s="364"/>
      <c r="M362" s="364"/>
      <c r="N362" s="364"/>
      <c r="O362" s="364"/>
      <c r="P362" s="364"/>
      <c r="Q362" s="364"/>
      <c r="R362" s="364"/>
      <c r="S362" s="364"/>
      <c r="T362" s="364"/>
      <c r="U362" s="364"/>
      <c r="V362" s="364"/>
      <c r="W362" s="364"/>
      <c r="X362" s="364"/>
      <c r="Y362" s="364"/>
      <c r="Z362" s="364"/>
    </row>
    <row r="363">
      <c r="A363" s="367"/>
      <c r="B363" s="367"/>
      <c r="C363" s="364"/>
      <c r="D363" s="364"/>
      <c r="E363" s="364"/>
      <c r="F363" s="364"/>
      <c r="G363" s="364"/>
      <c r="H363" s="364"/>
      <c r="I363" s="364"/>
      <c r="J363" s="364"/>
      <c r="K363" s="364"/>
      <c r="L363" s="364"/>
      <c r="M363" s="364"/>
      <c r="N363" s="364"/>
      <c r="O363" s="364"/>
      <c r="P363" s="364"/>
      <c r="Q363" s="364"/>
      <c r="R363" s="364"/>
      <c r="S363" s="364"/>
      <c r="T363" s="364"/>
      <c r="U363" s="364"/>
      <c r="V363" s="364"/>
      <c r="W363" s="364"/>
      <c r="X363" s="364"/>
      <c r="Y363" s="364"/>
      <c r="Z363" s="364"/>
    </row>
    <row r="364">
      <c r="A364" s="367"/>
      <c r="B364" s="367"/>
      <c r="C364" s="364"/>
      <c r="D364" s="364"/>
      <c r="E364" s="364"/>
      <c r="F364" s="364"/>
      <c r="G364" s="364"/>
      <c r="H364" s="364"/>
      <c r="I364" s="364"/>
      <c r="J364" s="364"/>
      <c r="K364" s="364"/>
      <c r="L364" s="364"/>
      <c r="M364" s="364"/>
      <c r="N364" s="364"/>
      <c r="O364" s="364"/>
      <c r="P364" s="364"/>
      <c r="Q364" s="364"/>
      <c r="R364" s="364"/>
      <c r="S364" s="364"/>
      <c r="T364" s="364"/>
      <c r="U364" s="364"/>
      <c r="V364" s="364"/>
      <c r="W364" s="364"/>
      <c r="X364" s="364"/>
      <c r="Y364" s="364"/>
      <c r="Z364" s="364"/>
    </row>
    <row r="365">
      <c r="A365" s="367"/>
      <c r="B365" s="367"/>
      <c r="C365" s="364"/>
      <c r="D365" s="364"/>
      <c r="E365" s="364"/>
      <c r="F365" s="364"/>
      <c r="G365" s="364"/>
      <c r="H365" s="364"/>
      <c r="I365" s="364"/>
      <c r="J365" s="364"/>
      <c r="K365" s="364"/>
      <c r="L365" s="364"/>
      <c r="M365" s="364"/>
      <c r="N365" s="364"/>
      <c r="O365" s="364"/>
      <c r="P365" s="364"/>
      <c r="Q365" s="364"/>
      <c r="R365" s="364"/>
      <c r="S365" s="364"/>
      <c r="T365" s="364"/>
      <c r="U365" s="364"/>
      <c r="V365" s="364"/>
      <c r="W365" s="364"/>
      <c r="X365" s="364"/>
      <c r="Y365" s="364"/>
      <c r="Z365" s="364"/>
    </row>
    <row r="366">
      <c r="A366" s="367"/>
      <c r="B366" s="367"/>
      <c r="C366" s="364"/>
      <c r="D366" s="364"/>
      <c r="E366" s="364"/>
      <c r="F366" s="364"/>
      <c r="G366" s="364"/>
      <c r="H366" s="364"/>
      <c r="I366" s="364"/>
      <c r="J366" s="364"/>
      <c r="K366" s="364"/>
      <c r="L366" s="364"/>
      <c r="M366" s="364"/>
      <c r="N366" s="364"/>
      <c r="O366" s="364"/>
      <c r="P366" s="364"/>
      <c r="Q366" s="364"/>
      <c r="R366" s="364"/>
      <c r="S366" s="364"/>
      <c r="T366" s="364"/>
      <c r="U366" s="364"/>
      <c r="V366" s="364"/>
      <c r="W366" s="364"/>
      <c r="X366" s="364"/>
      <c r="Y366" s="364"/>
      <c r="Z366" s="364"/>
    </row>
    <row r="367">
      <c r="A367" s="367"/>
      <c r="B367" s="367"/>
      <c r="C367" s="364"/>
      <c r="D367" s="364"/>
      <c r="E367" s="364"/>
      <c r="F367" s="364"/>
      <c r="G367" s="364"/>
      <c r="H367" s="364"/>
      <c r="I367" s="364"/>
      <c r="J367" s="364"/>
      <c r="K367" s="364"/>
      <c r="L367" s="364"/>
      <c r="M367" s="364"/>
      <c r="N367" s="364"/>
      <c r="O367" s="364"/>
      <c r="P367" s="364"/>
      <c r="Q367" s="364"/>
      <c r="R367" s="364"/>
      <c r="S367" s="364"/>
      <c r="T367" s="364"/>
      <c r="U367" s="364"/>
      <c r="V367" s="364"/>
      <c r="W367" s="364"/>
      <c r="X367" s="364"/>
      <c r="Y367" s="364"/>
      <c r="Z367" s="364"/>
    </row>
    <row r="368">
      <c r="A368" s="367"/>
      <c r="B368" s="367"/>
      <c r="C368" s="364"/>
      <c r="D368" s="364"/>
      <c r="E368" s="364"/>
      <c r="F368" s="364"/>
      <c r="G368" s="364"/>
      <c r="H368" s="364"/>
      <c r="I368" s="364"/>
      <c r="J368" s="364"/>
      <c r="K368" s="364"/>
      <c r="L368" s="364"/>
      <c r="M368" s="364"/>
      <c r="N368" s="364"/>
      <c r="O368" s="364"/>
      <c r="P368" s="364"/>
      <c r="Q368" s="364"/>
      <c r="R368" s="364"/>
      <c r="S368" s="364"/>
      <c r="T368" s="364"/>
      <c r="U368" s="364"/>
      <c r="V368" s="364"/>
      <c r="W368" s="364"/>
      <c r="X368" s="364"/>
      <c r="Y368" s="364"/>
      <c r="Z368" s="364"/>
    </row>
    <row r="369">
      <c r="A369" s="367"/>
      <c r="B369" s="367"/>
      <c r="C369" s="364"/>
      <c r="D369" s="364"/>
      <c r="E369" s="364"/>
      <c r="F369" s="364"/>
      <c r="G369" s="364"/>
      <c r="H369" s="364"/>
      <c r="I369" s="364"/>
      <c r="J369" s="364"/>
      <c r="K369" s="364"/>
      <c r="L369" s="364"/>
      <c r="M369" s="364"/>
      <c r="N369" s="364"/>
      <c r="O369" s="364"/>
      <c r="P369" s="364"/>
      <c r="Q369" s="364"/>
      <c r="R369" s="364"/>
      <c r="S369" s="364"/>
      <c r="T369" s="364"/>
      <c r="U369" s="364"/>
      <c r="V369" s="364"/>
      <c r="W369" s="364"/>
      <c r="X369" s="364"/>
      <c r="Y369" s="364"/>
      <c r="Z369" s="364"/>
    </row>
    <row r="370">
      <c r="A370" s="367"/>
      <c r="B370" s="367"/>
      <c r="C370" s="364"/>
      <c r="D370" s="364"/>
      <c r="E370" s="364"/>
      <c r="F370" s="364"/>
      <c r="G370" s="364"/>
      <c r="H370" s="364"/>
      <c r="I370" s="364"/>
      <c r="J370" s="364"/>
      <c r="K370" s="364"/>
      <c r="L370" s="364"/>
      <c r="M370" s="364"/>
      <c r="N370" s="364"/>
      <c r="O370" s="364"/>
      <c r="P370" s="364"/>
      <c r="Q370" s="364"/>
      <c r="R370" s="364"/>
      <c r="S370" s="364"/>
      <c r="T370" s="364"/>
      <c r="U370" s="364"/>
      <c r="V370" s="364"/>
      <c r="W370" s="364"/>
      <c r="X370" s="364"/>
      <c r="Y370" s="364"/>
      <c r="Z370" s="364"/>
    </row>
    <row r="371">
      <c r="A371" s="367"/>
      <c r="B371" s="367"/>
      <c r="C371" s="364"/>
      <c r="D371" s="364"/>
      <c r="E371" s="364"/>
      <c r="F371" s="364"/>
      <c r="G371" s="364"/>
      <c r="H371" s="364"/>
      <c r="I371" s="364"/>
      <c r="J371" s="364"/>
      <c r="K371" s="364"/>
      <c r="L371" s="364"/>
      <c r="M371" s="364"/>
      <c r="N371" s="364"/>
      <c r="O371" s="364"/>
      <c r="P371" s="364"/>
      <c r="Q371" s="364"/>
      <c r="R371" s="364"/>
      <c r="S371" s="364"/>
      <c r="T371" s="364"/>
      <c r="U371" s="364"/>
      <c r="V371" s="364"/>
      <c r="W371" s="364"/>
      <c r="X371" s="364"/>
      <c r="Y371" s="364"/>
      <c r="Z371" s="364"/>
    </row>
    <row r="372">
      <c r="A372" s="367"/>
      <c r="B372" s="367"/>
      <c r="C372" s="364"/>
      <c r="D372" s="364"/>
      <c r="E372" s="364"/>
      <c r="F372" s="364"/>
      <c r="G372" s="364"/>
      <c r="H372" s="364"/>
      <c r="I372" s="364"/>
      <c r="J372" s="364"/>
      <c r="K372" s="364"/>
      <c r="L372" s="364"/>
      <c r="M372" s="364"/>
      <c r="N372" s="364"/>
      <c r="O372" s="364"/>
      <c r="P372" s="364"/>
      <c r="Q372" s="364"/>
      <c r="R372" s="364"/>
      <c r="S372" s="364"/>
      <c r="T372" s="364"/>
      <c r="U372" s="364"/>
      <c r="V372" s="364"/>
      <c r="W372" s="364"/>
      <c r="X372" s="364"/>
      <c r="Y372" s="364"/>
      <c r="Z372" s="364"/>
    </row>
    <row r="373">
      <c r="A373" s="367"/>
      <c r="B373" s="367"/>
      <c r="C373" s="364"/>
      <c r="D373" s="364"/>
      <c r="E373" s="364"/>
      <c r="F373" s="364"/>
      <c r="G373" s="364"/>
      <c r="H373" s="364"/>
      <c r="I373" s="364"/>
      <c r="J373" s="364"/>
      <c r="K373" s="364"/>
      <c r="L373" s="364"/>
      <c r="M373" s="364"/>
      <c r="N373" s="364"/>
      <c r="O373" s="364"/>
      <c r="P373" s="364"/>
      <c r="Q373" s="364"/>
      <c r="R373" s="364"/>
      <c r="S373" s="364"/>
      <c r="T373" s="364"/>
      <c r="U373" s="364"/>
      <c r="V373" s="364"/>
      <c r="W373" s="364"/>
      <c r="X373" s="364"/>
      <c r="Y373" s="364"/>
      <c r="Z373" s="364"/>
    </row>
    <row r="374">
      <c r="A374" s="367"/>
      <c r="B374" s="367"/>
      <c r="C374" s="364"/>
      <c r="D374" s="364"/>
      <c r="E374" s="364"/>
      <c r="F374" s="364"/>
      <c r="G374" s="364"/>
      <c r="H374" s="364"/>
      <c r="I374" s="364"/>
      <c r="J374" s="364"/>
      <c r="K374" s="364"/>
      <c r="L374" s="364"/>
      <c r="M374" s="364"/>
      <c r="N374" s="364"/>
      <c r="O374" s="364"/>
      <c r="P374" s="364"/>
      <c r="Q374" s="364"/>
      <c r="R374" s="364"/>
      <c r="S374" s="364"/>
      <c r="T374" s="364"/>
      <c r="U374" s="364"/>
      <c r="V374" s="364"/>
      <c r="W374" s="364"/>
      <c r="X374" s="364"/>
      <c r="Y374" s="364"/>
      <c r="Z374" s="364"/>
    </row>
    <row r="375">
      <c r="A375" s="367"/>
      <c r="B375" s="367"/>
      <c r="C375" s="364"/>
      <c r="D375" s="364"/>
      <c r="E375" s="364"/>
      <c r="F375" s="364"/>
      <c r="G375" s="364"/>
      <c r="H375" s="364"/>
      <c r="I375" s="364"/>
      <c r="J375" s="364"/>
      <c r="K375" s="364"/>
      <c r="L375" s="364"/>
      <c r="M375" s="364"/>
      <c r="N375" s="364"/>
      <c r="O375" s="364"/>
      <c r="P375" s="364"/>
      <c r="Q375" s="364"/>
      <c r="R375" s="364"/>
      <c r="S375" s="364"/>
      <c r="T375" s="364"/>
      <c r="U375" s="364"/>
      <c r="V375" s="364"/>
      <c r="W375" s="364"/>
      <c r="X375" s="364"/>
      <c r="Y375" s="364"/>
      <c r="Z375" s="364"/>
    </row>
    <row r="376">
      <c r="A376" s="367"/>
      <c r="B376" s="367"/>
      <c r="C376" s="364"/>
      <c r="D376" s="364"/>
      <c r="E376" s="364"/>
      <c r="F376" s="364"/>
      <c r="G376" s="364"/>
      <c r="H376" s="364"/>
      <c r="I376" s="364"/>
      <c r="J376" s="364"/>
      <c r="K376" s="364"/>
      <c r="L376" s="364"/>
      <c r="M376" s="364"/>
      <c r="N376" s="364"/>
      <c r="O376" s="364"/>
      <c r="P376" s="364"/>
      <c r="Q376" s="364"/>
      <c r="R376" s="364"/>
      <c r="S376" s="364"/>
      <c r="T376" s="364"/>
      <c r="U376" s="364"/>
      <c r="V376" s="364"/>
      <c r="W376" s="364"/>
      <c r="X376" s="364"/>
      <c r="Y376" s="364"/>
      <c r="Z376" s="364"/>
    </row>
    <row r="377">
      <c r="A377" s="367"/>
      <c r="B377" s="367"/>
      <c r="C377" s="364"/>
      <c r="D377" s="364"/>
      <c r="E377" s="364"/>
      <c r="F377" s="364"/>
      <c r="G377" s="364"/>
      <c r="H377" s="364"/>
      <c r="I377" s="364"/>
      <c r="J377" s="364"/>
      <c r="K377" s="364"/>
      <c r="L377" s="364"/>
      <c r="M377" s="364"/>
      <c r="N377" s="364"/>
      <c r="O377" s="364"/>
      <c r="P377" s="364"/>
      <c r="Q377" s="364"/>
      <c r="R377" s="364"/>
      <c r="S377" s="364"/>
      <c r="T377" s="364"/>
      <c r="U377" s="364"/>
      <c r="V377" s="364"/>
      <c r="W377" s="364"/>
      <c r="X377" s="364"/>
      <c r="Y377" s="364"/>
      <c r="Z377" s="364"/>
    </row>
    <row r="378">
      <c r="A378" s="367"/>
      <c r="B378" s="367"/>
      <c r="C378" s="364"/>
      <c r="D378" s="364"/>
      <c r="E378" s="364"/>
      <c r="F378" s="364"/>
      <c r="G378" s="364"/>
      <c r="H378" s="364"/>
      <c r="I378" s="364"/>
      <c r="J378" s="364"/>
      <c r="K378" s="364"/>
      <c r="L378" s="364"/>
      <c r="M378" s="364"/>
      <c r="N378" s="364"/>
      <c r="O378" s="364"/>
      <c r="P378" s="364"/>
      <c r="Q378" s="364"/>
      <c r="R378" s="364"/>
      <c r="S378" s="364"/>
      <c r="T378" s="364"/>
      <c r="U378" s="364"/>
      <c r="V378" s="364"/>
      <c r="W378" s="364"/>
      <c r="X378" s="364"/>
      <c r="Y378" s="364"/>
      <c r="Z378" s="364"/>
    </row>
    <row r="379">
      <c r="A379" s="367"/>
      <c r="B379" s="367"/>
      <c r="C379" s="364"/>
      <c r="D379" s="364"/>
      <c r="E379" s="364"/>
      <c r="F379" s="364"/>
      <c r="G379" s="364"/>
      <c r="H379" s="364"/>
      <c r="I379" s="364"/>
      <c r="J379" s="364"/>
      <c r="K379" s="364"/>
      <c r="L379" s="364"/>
      <c r="M379" s="364"/>
      <c r="N379" s="364"/>
      <c r="O379" s="364"/>
      <c r="P379" s="364"/>
      <c r="Q379" s="364"/>
      <c r="R379" s="364"/>
      <c r="S379" s="364"/>
      <c r="T379" s="364"/>
      <c r="U379" s="364"/>
      <c r="V379" s="364"/>
      <c r="W379" s="364"/>
      <c r="X379" s="364"/>
      <c r="Y379" s="364"/>
      <c r="Z379" s="364"/>
    </row>
    <row r="380">
      <c r="A380" s="367"/>
      <c r="B380" s="367"/>
      <c r="C380" s="364"/>
      <c r="D380" s="364"/>
      <c r="E380" s="364"/>
      <c r="F380" s="364"/>
      <c r="G380" s="364"/>
      <c r="H380" s="364"/>
      <c r="I380" s="364"/>
      <c r="J380" s="364"/>
      <c r="K380" s="364"/>
      <c r="L380" s="364"/>
      <c r="M380" s="364"/>
      <c r="N380" s="364"/>
      <c r="O380" s="364"/>
      <c r="P380" s="364"/>
      <c r="Q380" s="364"/>
      <c r="R380" s="364"/>
      <c r="S380" s="364"/>
      <c r="T380" s="364"/>
      <c r="U380" s="364"/>
      <c r="V380" s="364"/>
      <c r="W380" s="364"/>
      <c r="X380" s="364"/>
      <c r="Y380" s="364"/>
      <c r="Z380" s="364"/>
    </row>
    <row r="381">
      <c r="A381" s="367"/>
      <c r="B381" s="367"/>
      <c r="C381" s="364"/>
      <c r="D381" s="364"/>
      <c r="E381" s="364"/>
      <c r="F381" s="364"/>
      <c r="G381" s="364"/>
      <c r="H381" s="364"/>
      <c r="I381" s="364"/>
      <c r="J381" s="364"/>
      <c r="K381" s="364"/>
      <c r="L381" s="364"/>
      <c r="M381" s="364"/>
      <c r="N381" s="364"/>
      <c r="O381" s="364"/>
      <c r="P381" s="364"/>
      <c r="Q381" s="364"/>
      <c r="R381" s="364"/>
      <c r="S381" s="364"/>
      <c r="T381" s="364"/>
      <c r="U381" s="364"/>
      <c r="V381" s="364"/>
      <c r="W381" s="364"/>
      <c r="X381" s="364"/>
      <c r="Y381" s="364"/>
      <c r="Z381" s="364"/>
    </row>
    <row r="382">
      <c r="A382" s="367"/>
      <c r="B382" s="367"/>
      <c r="C382" s="364"/>
      <c r="D382" s="364"/>
      <c r="E382" s="364"/>
      <c r="F382" s="364"/>
      <c r="G382" s="364"/>
      <c r="H382" s="364"/>
      <c r="I382" s="364"/>
      <c r="J382" s="364"/>
      <c r="K382" s="364"/>
      <c r="L382" s="364"/>
      <c r="M382" s="364"/>
      <c r="N382" s="364"/>
      <c r="O382" s="364"/>
      <c r="P382" s="364"/>
      <c r="Q382" s="364"/>
      <c r="R382" s="364"/>
      <c r="S382" s="364"/>
      <c r="T382" s="364"/>
      <c r="U382" s="364"/>
      <c r="V382" s="364"/>
      <c r="W382" s="364"/>
      <c r="X382" s="364"/>
      <c r="Y382" s="364"/>
      <c r="Z382" s="364"/>
    </row>
    <row r="383">
      <c r="A383" s="367"/>
      <c r="B383" s="367"/>
      <c r="C383" s="364"/>
      <c r="D383" s="364"/>
      <c r="E383" s="364"/>
      <c r="F383" s="364"/>
      <c r="G383" s="364"/>
      <c r="H383" s="364"/>
      <c r="I383" s="364"/>
      <c r="J383" s="364"/>
      <c r="K383" s="364"/>
      <c r="L383" s="364"/>
      <c r="M383" s="364"/>
      <c r="N383" s="364"/>
      <c r="O383" s="364"/>
      <c r="P383" s="364"/>
      <c r="Q383" s="364"/>
      <c r="R383" s="364"/>
      <c r="S383" s="364"/>
      <c r="T383" s="364"/>
      <c r="U383" s="364"/>
      <c r="V383" s="364"/>
      <c r="W383" s="364"/>
      <c r="X383" s="364"/>
      <c r="Y383" s="364"/>
      <c r="Z383" s="364"/>
    </row>
    <row r="384">
      <c r="A384" s="367"/>
      <c r="B384" s="367"/>
      <c r="C384" s="364"/>
      <c r="D384" s="364"/>
      <c r="E384" s="364"/>
      <c r="F384" s="364"/>
      <c r="G384" s="364"/>
      <c r="H384" s="364"/>
      <c r="I384" s="364"/>
      <c r="J384" s="364"/>
      <c r="K384" s="364"/>
      <c r="L384" s="364"/>
      <c r="M384" s="364"/>
      <c r="N384" s="364"/>
      <c r="O384" s="364"/>
      <c r="P384" s="364"/>
      <c r="Q384" s="364"/>
      <c r="R384" s="364"/>
      <c r="S384" s="364"/>
      <c r="T384" s="364"/>
      <c r="U384" s="364"/>
      <c r="V384" s="364"/>
      <c r="W384" s="364"/>
      <c r="X384" s="364"/>
      <c r="Y384" s="364"/>
      <c r="Z384" s="364"/>
    </row>
    <row r="385">
      <c r="A385" s="367"/>
      <c r="B385" s="367"/>
      <c r="C385" s="364"/>
      <c r="D385" s="364"/>
      <c r="E385" s="364"/>
      <c r="F385" s="364"/>
      <c r="G385" s="364"/>
      <c r="H385" s="364"/>
      <c r="I385" s="364"/>
      <c r="J385" s="364"/>
      <c r="K385" s="364"/>
      <c r="L385" s="364"/>
      <c r="M385" s="364"/>
      <c r="N385" s="364"/>
      <c r="O385" s="364"/>
      <c r="P385" s="364"/>
      <c r="Q385" s="364"/>
      <c r="R385" s="364"/>
      <c r="S385" s="364"/>
      <c r="T385" s="364"/>
      <c r="U385" s="364"/>
      <c r="V385" s="364"/>
      <c r="W385" s="364"/>
      <c r="X385" s="364"/>
      <c r="Y385" s="364"/>
      <c r="Z385" s="364"/>
    </row>
    <row r="386">
      <c r="A386" s="367"/>
      <c r="B386" s="367"/>
      <c r="C386" s="364"/>
      <c r="D386" s="364"/>
      <c r="E386" s="364"/>
      <c r="F386" s="364"/>
      <c r="G386" s="364"/>
      <c r="H386" s="364"/>
      <c r="I386" s="364"/>
      <c r="J386" s="364"/>
      <c r="K386" s="364"/>
      <c r="L386" s="364"/>
      <c r="M386" s="364"/>
      <c r="N386" s="364"/>
      <c r="O386" s="364"/>
      <c r="P386" s="364"/>
      <c r="Q386" s="364"/>
      <c r="R386" s="364"/>
      <c r="S386" s="364"/>
      <c r="T386" s="364"/>
      <c r="U386" s="364"/>
      <c r="V386" s="364"/>
      <c r="W386" s="364"/>
      <c r="X386" s="364"/>
      <c r="Y386" s="364"/>
      <c r="Z386" s="364"/>
    </row>
    <row r="387">
      <c r="A387" s="367"/>
      <c r="B387" s="367"/>
      <c r="C387" s="364"/>
      <c r="D387" s="364"/>
      <c r="E387" s="364"/>
      <c r="F387" s="364"/>
      <c r="G387" s="364"/>
      <c r="H387" s="364"/>
      <c r="I387" s="364"/>
      <c r="J387" s="364"/>
      <c r="K387" s="364"/>
      <c r="L387" s="364"/>
      <c r="M387" s="364"/>
      <c r="N387" s="364"/>
      <c r="O387" s="364"/>
      <c r="P387" s="364"/>
      <c r="Q387" s="364"/>
      <c r="R387" s="364"/>
      <c r="S387" s="364"/>
      <c r="T387" s="364"/>
      <c r="U387" s="364"/>
      <c r="V387" s="364"/>
      <c r="W387" s="364"/>
      <c r="X387" s="364"/>
      <c r="Y387" s="364"/>
      <c r="Z387" s="364"/>
    </row>
    <row r="388">
      <c r="A388" s="367"/>
      <c r="B388" s="367"/>
      <c r="C388" s="364"/>
      <c r="D388" s="364"/>
      <c r="E388" s="364"/>
      <c r="F388" s="364"/>
      <c r="G388" s="364"/>
      <c r="H388" s="364"/>
      <c r="I388" s="364"/>
      <c r="J388" s="364"/>
      <c r="K388" s="364"/>
      <c r="L388" s="364"/>
      <c r="M388" s="364"/>
      <c r="N388" s="364"/>
      <c r="O388" s="364"/>
      <c r="P388" s="364"/>
      <c r="Q388" s="364"/>
      <c r="R388" s="364"/>
      <c r="S388" s="364"/>
      <c r="T388" s="364"/>
      <c r="U388" s="364"/>
      <c r="V388" s="364"/>
      <c r="W388" s="364"/>
      <c r="X388" s="364"/>
      <c r="Y388" s="364"/>
      <c r="Z388" s="364"/>
    </row>
    <row r="389">
      <c r="A389" s="367"/>
      <c r="B389" s="367"/>
      <c r="C389" s="364"/>
      <c r="D389" s="364"/>
      <c r="E389" s="364"/>
      <c r="F389" s="364"/>
      <c r="G389" s="364"/>
      <c r="H389" s="364"/>
      <c r="I389" s="364"/>
      <c r="J389" s="364"/>
      <c r="K389" s="364"/>
      <c r="L389" s="364"/>
      <c r="M389" s="364"/>
      <c r="N389" s="364"/>
      <c r="O389" s="364"/>
      <c r="P389" s="364"/>
      <c r="Q389" s="364"/>
      <c r="R389" s="364"/>
      <c r="S389" s="364"/>
      <c r="T389" s="364"/>
      <c r="U389" s="364"/>
      <c r="V389" s="364"/>
      <c r="W389" s="364"/>
      <c r="X389" s="364"/>
      <c r="Y389" s="364"/>
      <c r="Z389" s="364"/>
    </row>
    <row r="390">
      <c r="A390" s="367"/>
      <c r="B390" s="367"/>
      <c r="C390" s="364"/>
      <c r="D390" s="364"/>
      <c r="E390" s="364"/>
      <c r="F390" s="364"/>
      <c r="G390" s="364"/>
      <c r="H390" s="364"/>
      <c r="I390" s="364"/>
      <c r="J390" s="364"/>
      <c r="K390" s="364"/>
      <c r="L390" s="364"/>
      <c r="M390" s="364"/>
      <c r="N390" s="364"/>
      <c r="O390" s="364"/>
      <c r="P390" s="364"/>
      <c r="Q390" s="364"/>
      <c r="R390" s="364"/>
      <c r="S390" s="364"/>
      <c r="T390" s="364"/>
      <c r="U390" s="364"/>
      <c r="V390" s="364"/>
      <c r="W390" s="364"/>
      <c r="X390" s="364"/>
      <c r="Y390" s="364"/>
      <c r="Z390" s="364"/>
    </row>
    <row r="391">
      <c r="A391" s="367"/>
      <c r="B391" s="367"/>
      <c r="C391" s="364"/>
      <c r="D391" s="364"/>
      <c r="E391" s="364"/>
      <c r="F391" s="364"/>
      <c r="G391" s="364"/>
      <c r="H391" s="364"/>
      <c r="I391" s="364"/>
      <c r="J391" s="364"/>
      <c r="K391" s="364"/>
      <c r="L391" s="364"/>
      <c r="M391" s="364"/>
      <c r="N391" s="364"/>
      <c r="O391" s="364"/>
      <c r="P391" s="364"/>
      <c r="Q391" s="364"/>
      <c r="R391" s="364"/>
      <c r="S391" s="364"/>
      <c r="T391" s="364"/>
      <c r="U391" s="364"/>
      <c r="V391" s="364"/>
      <c r="W391" s="364"/>
      <c r="X391" s="364"/>
      <c r="Y391" s="364"/>
      <c r="Z391" s="364"/>
    </row>
    <row r="392">
      <c r="A392" s="367"/>
      <c r="B392" s="367"/>
      <c r="C392" s="364"/>
      <c r="D392" s="364"/>
      <c r="E392" s="364"/>
      <c r="F392" s="364"/>
      <c r="G392" s="364"/>
      <c r="H392" s="364"/>
      <c r="I392" s="364"/>
      <c r="J392" s="364"/>
      <c r="K392" s="364"/>
      <c r="L392" s="364"/>
      <c r="M392" s="364"/>
      <c r="N392" s="364"/>
      <c r="O392" s="364"/>
      <c r="P392" s="364"/>
      <c r="Q392" s="364"/>
      <c r="R392" s="364"/>
      <c r="S392" s="364"/>
      <c r="T392" s="364"/>
      <c r="U392" s="364"/>
      <c r="V392" s="364"/>
      <c r="W392" s="364"/>
      <c r="X392" s="364"/>
      <c r="Y392" s="364"/>
      <c r="Z392" s="364"/>
    </row>
    <row r="393">
      <c r="A393" s="367"/>
      <c r="B393" s="367"/>
      <c r="C393" s="364"/>
      <c r="D393" s="364"/>
      <c r="E393" s="364"/>
      <c r="F393" s="364"/>
      <c r="G393" s="364"/>
      <c r="H393" s="364"/>
      <c r="I393" s="364"/>
      <c r="J393" s="364"/>
      <c r="K393" s="364"/>
      <c r="L393" s="364"/>
      <c r="M393" s="364"/>
      <c r="N393" s="364"/>
      <c r="O393" s="364"/>
      <c r="P393" s="364"/>
      <c r="Q393" s="364"/>
      <c r="R393" s="364"/>
      <c r="S393" s="364"/>
      <c r="T393" s="364"/>
      <c r="U393" s="364"/>
      <c r="V393" s="364"/>
      <c r="W393" s="364"/>
      <c r="X393" s="364"/>
      <c r="Y393" s="364"/>
      <c r="Z393" s="364"/>
    </row>
    <row r="394">
      <c r="A394" s="367"/>
      <c r="B394" s="367"/>
      <c r="C394" s="364"/>
      <c r="D394" s="364"/>
      <c r="E394" s="364"/>
      <c r="F394" s="364"/>
      <c r="G394" s="364"/>
      <c r="H394" s="364"/>
      <c r="I394" s="364"/>
      <c r="J394" s="364"/>
      <c r="K394" s="364"/>
      <c r="L394" s="364"/>
      <c r="M394" s="364"/>
      <c r="N394" s="364"/>
      <c r="O394" s="364"/>
      <c r="P394" s="364"/>
      <c r="Q394" s="364"/>
      <c r="R394" s="364"/>
      <c r="S394" s="364"/>
      <c r="T394" s="364"/>
      <c r="U394" s="364"/>
      <c r="V394" s="364"/>
      <c r="W394" s="364"/>
      <c r="X394" s="364"/>
      <c r="Y394" s="364"/>
      <c r="Z394" s="364"/>
    </row>
    <row r="395">
      <c r="A395" s="367"/>
      <c r="B395" s="367"/>
      <c r="C395" s="364"/>
      <c r="D395" s="364"/>
      <c r="E395" s="364"/>
      <c r="F395" s="364"/>
      <c r="G395" s="364"/>
      <c r="H395" s="364"/>
      <c r="I395" s="364"/>
      <c r="J395" s="364"/>
      <c r="K395" s="364"/>
      <c r="L395" s="364"/>
      <c r="M395" s="364"/>
      <c r="N395" s="364"/>
      <c r="O395" s="364"/>
      <c r="P395" s="364"/>
      <c r="Q395" s="364"/>
      <c r="R395" s="364"/>
      <c r="S395" s="364"/>
      <c r="T395" s="364"/>
      <c r="U395" s="364"/>
      <c r="V395" s="364"/>
      <c r="W395" s="364"/>
      <c r="X395" s="364"/>
      <c r="Y395" s="364"/>
      <c r="Z395" s="364"/>
    </row>
    <row r="396">
      <c r="A396" s="367"/>
      <c r="B396" s="367"/>
      <c r="C396" s="364"/>
      <c r="D396" s="364"/>
      <c r="E396" s="364"/>
      <c r="F396" s="364"/>
      <c r="G396" s="364"/>
      <c r="H396" s="364"/>
      <c r="I396" s="364"/>
      <c r="J396" s="364"/>
      <c r="K396" s="364"/>
      <c r="L396" s="364"/>
      <c r="M396" s="364"/>
      <c r="N396" s="364"/>
      <c r="O396" s="364"/>
      <c r="P396" s="364"/>
      <c r="Q396" s="364"/>
      <c r="R396" s="364"/>
      <c r="S396" s="364"/>
      <c r="T396" s="364"/>
      <c r="U396" s="364"/>
      <c r="V396" s="364"/>
      <c r="W396" s="364"/>
      <c r="X396" s="364"/>
      <c r="Y396" s="364"/>
      <c r="Z396" s="364"/>
    </row>
    <row r="397">
      <c r="A397" s="367"/>
      <c r="B397" s="367"/>
      <c r="C397" s="364"/>
      <c r="D397" s="364"/>
      <c r="E397" s="364"/>
      <c r="F397" s="364"/>
      <c r="G397" s="364"/>
      <c r="H397" s="364"/>
      <c r="I397" s="364"/>
      <c r="J397" s="364"/>
      <c r="K397" s="364"/>
      <c r="L397" s="364"/>
      <c r="M397" s="364"/>
      <c r="N397" s="364"/>
      <c r="O397" s="364"/>
      <c r="P397" s="364"/>
      <c r="Q397" s="364"/>
      <c r="R397" s="364"/>
      <c r="S397" s="364"/>
      <c r="T397" s="364"/>
      <c r="U397" s="364"/>
      <c r="V397" s="364"/>
      <c r="W397" s="364"/>
      <c r="X397" s="364"/>
      <c r="Y397" s="364"/>
      <c r="Z397" s="364"/>
    </row>
    <row r="398">
      <c r="A398" s="367"/>
      <c r="B398" s="367"/>
      <c r="C398" s="364"/>
      <c r="D398" s="364"/>
      <c r="E398" s="364"/>
      <c r="F398" s="364"/>
      <c r="G398" s="364"/>
      <c r="H398" s="364"/>
      <c r="I398" s="364"/>
      <c r="J398" s="364"/>
      <c r="K398" s="364"/>
      <c r="L398" s="364"/>
      <c r="M398" s="364"/>
      <c r="N398" s="364"/>
      <c r="O398" s="364"/>
      <c r="P398" s="364"/>
      <c r="Q398" s="364"/>
      <c r="R398" s="364"/>
      <c r="S398" s="364"/>
      <c r="T398" s="364"/>
      <c r="U398" s="364"/>
      <c r="V398" s="364"/>
      <c r="W398" s="364"/>
      <c r="X398" s="364"/>
      <c r="Y398" s="364"/>
      <c r="Z398" s="364"/>
    </row>
    <row r="399">
      <c r="A399" s="367"/>
      <c r="B399" s="367"/>
      <c r="C399" s="364"/>
      <c r="D399" s="364"/>
      <c r="E399" s="364"/>
      <c r="F399" s="364"/>
      <c r="G399" s="364"/>
      <c r="H399" s="364"/>
      <c r="I399" s="364"/>
      <c r="J399" s="364"/>
      <c r="K399" s="364"/>
      <c r="L399" s="364"/>
      <c r="M399" s="364"/>
      <c r="N399" s="364"/>
      <c r="O399" s="364"/>
      <c r="P399" s="364"/>
      <c r="Q399" s="364"/>
      <c r="R399" s="364"/>
      <c r="S399" s="364"/>
      <c r="T399" s="364"/>
      <c r="U399" s="364"/>
      <c r="V399" s="364"/>
      <c r="W399" s="364"/>
      <c r="X399" s="364"/>
      <c r="Y399" s="364"/>
      <c r="Z399" s="364"/>
    </row>
    <row r="400">
      <c r="A400" s="367"/>
      <c r="B400" s="367"/>
      <c r="C400" s="364"/>
      <c r="D400" s="364"/>
      <c r="E400" s="364"/>
      <c r="F400" s="364"/>
      <c r="G400" s="364"/>
      <c r="H400" s="364"/>
      <c r="I400" s="364"/>
      <c r="J400" s="364"/>
      <c r="K400" s="364"/>
      <c r="L400" s="364"/>
      <c r="M400" s="364"/>
      <c r="N400" s="364"/>
      <c r="O400" s="364"/>
      <c r="P400" s="364"/>
      <c r="Q400" s="364"/>
      <c r="R400" s="364"/>
      <c r="S400" s="364"/>
      <c r="T400" s="364"/>
      <c r="U400" s="364"/>
      <c r="V400" s="364"/>
      <c r="W400" s="364"/>
      <c r="X400" s="364"/>
      <c r="Y400" s="364"/>
      <c r="Z400" s="364"/>
    </row>
    <row r="401">
      <c r="A401" s="367"/>
      <c r="B401" s="367"/>
      <c r="C401" s="364"/>
      <c r="D401" s="364"/>
      <c r="E401" s="364"/>
      <c r="F401" s="364"/>
      <c r="G401" s="364"/>
      <c r="H401" s="364"/>
      <c r="I401" s="364"/>
      <c r="J401" s="364"/>
      <c r="K401" s="364"/>
      <c r="L401" s="364"/>
      <c r="M401" s="364"/>
      <c r="N401" s="364"/>
      <c r="O401" s="364"/>
      <c r="P401" s="364"/>
      <c r="Q401" s="364"/>
      <c r="R401" s="364"/>
      <c r="S401" s="364"/>
      <c r="T401" s="364"/>
      <c r="U401" s="364"/>
      <c r="V401" s="364"/>
      <c r="W401" s="364"/>
      <c r="X401" s="364"/>
      <c r="Y401" s="364"/>
      <c r="Z401" s="364"/>
    </row>
    <row r="402">
      <c r="A402" s="367"/>
      <c r="B402" s="367"/>
      <c r="C402" s="364"/>
      <c r="D402" s="364"/>
      <c r="E402" s="364"/>
      <c r="F402" s="364"/>
      <c r="G402" s="364"/>
      <c r="H402" s="364"/>
      <c r="I402" s="364"/>
      <c r="J402" s="364"/>
      <c r="K402" s="364"/>
      <c r="L402" s="364"/>
      <c r="M402" s="364"/>
      <c r="N402" s="364"/>
      <c r="O402" s="364"/>
      <c r="P402" s="364"/>
      <c r="Q402" s="364"/>
      <c r="R402" s="364"/>
      <c r="S402" s="364"/>
      <c r="T402" s="364"/>
      <c r="U402" s="364"/>
      <c r="V402" s="364"/>
      <c r="W402" s="364"/>
      <c r="X402" s="364"/>
      <c r="Y402" s="364"/>
      <c r="Z402" s="364"/>
    </row>
    <row r="403">
      <c r="A403" s="367"/>
      <c r="B403" s="367"/>
      <c r="C403" s="364"/>
      <c r="D403" s="364"/>
      <c r="E403" s="364"/>
      <c r="F403" s="364"/>
      <c r="G403" s="364"/>
      <c r="H403" s="364"/>
      <c r="I403" s="364"/>
      <c r="J403" s="364"/>
      <c r="K403" s="364"/>
      <c r="L403" s="364"/>
      <c r="M403" s="364"/>
      <c r="N403" s="364"/>
      <c r="O403" s="364"/>
      <c r="P403" s="364"/>
      <c r="Q403" s="364"/>
      <c r="R403" s="364"/>
      <c r="S403" s="364"/>
      <c r="T403" s="364"/>
      <c r="U403" s="364"/>
      <c r="V403" s="364"/>
      <c r="W403" s="364"/>
      <c r="X403" s="364"/>
      <c r="Y403" s="364"/>
      <c r="Z403" s="364"/>
    </row>
    <row r="404">
      <c r="A404" s="367"/>
      <c r="B404" s="367"/>
      <c r="C404" s="364"/>
      <c r="D404" s="364"/>
      <c r="E404" s="364"/>
      <c r="F404" s="364"/>
      <c r="G404" s="364"/>
      <c r="H404" s="364"/>
      <c r="I404" s="364"/>
      <c r="J404" s="364"/>
      <c r="K404" s="364"/>
      <c r="L404" s="364"/>
      <c r="M404" s="364"/>
      <c r="N404" s="364"/>
      <c r="O404" s="364"/>
      <c r="P404" s="364"/>
      <c r="Q404" s="364"/>
      <c r="R404" s="364"/>
      <c r="S404" s="364"/>
      <c r="T404" s="364"/>
      <c r="U404" s="364"/>
      <c r="V404" s="364"/>
      <c r="W404" s="364"/>
      <c r="X404" s="364"/>
      <c r="Y404" s="364"/>
      <c r="Z404" s="364"/>
    </row>
    <row r="405">
      <c r="A405" s="367"/>
      <c r="B405" s="367"/>
      <c r="C405" s="364"/>
      <c r="D405" s="364"/>
      <c r="E405" s="364"/>
      <c r="F405" s="364"/>
      <c r="G405" s="364"/>
      <c r="H405" s="364"/>
      <c r="I405" s="364"/>
      <c r="J405" s="364"/>
      <c r="K405" s="364"/>
      <c r="L405" s="364"/>
      <c r="M405" s="364"/>
      <c r="N405" s="364"/>
      <c r="O405" s="364"/>
      <c r="P405" s="364"/>
      <c r="Q405" s="364"/>
      <c r="R405" s="364"/>
      <c r="S405" s="364"/>
      <c r="T405" s="364"/>
      <c r="U405" s="364"/>
      <c r="V405" s="364"/>
      <c r="W405" s="364"/>
      <c r="X405" s="364"/>
      <c r="Y405" s="364"/>
      <c r="Z405" s="364"/>
    </row>
    <row r="406">
      <c r="A406" s="367"/>
      <c r="B406" s="367"/>
      <c r="C406" s="364"/>
      <c r="D406" s="364"/>
      <c r="E406" s="364"/>
      <c r="F406" s="364"/>
      <c r="G406" s="364"/>
      <c r="H406" s="364"/>
      <c r="I406" s="364"/>
      <c r="J406" s="364"/>
      <c r="K406" s="364"/>
      <c r="L406" s="364"/>
      <c r="M406" s="364"/>
      <c r="N406" s="364"/>
      <c r="O406" s="364"/>
      <c r="P406" s="364"/>
      <c r="Q406" s="364"/>
      <c r="R406" s="364"/>
      <c r="S406" s="364"/>
      <c r="T406" s="364"/>
      <c r="U406" s="364"/>
      <c r="V406" s="364"/>
      <c r="W406" s="364"/>
      <c r="X406" s="364"/>
      <c r="Y406" s="364"/>
      <c r="Z406" s="364"/>
    </row>
    <row r="407">
      <c r="A407" s="367"/>
      <c r="B407" s="367"/>
      <c r="C407" s="364"/>
      <c r="D407" s="364"/>
      <c r="E407" s="364"/>
      <c r="F407" s="364"/>
      <c r="G407" s="364"/>
      <c r="H407" s="364"/>
      <c r="I407" s="364"/>
      <c r="J407" s="364"/>
      <c r="K407" s="364"/>
      <c r="L407" s="364"/>
      <c r="M407" s="364"/>
      <c r="N407" s="364"/>
      <c r="O407" s="364"/>
      <c r="P407" s="364"/>
      <c r="Q407" s="364"/>
      <c r="R407" s="364"/>
      <c r="S407" s="364"/>
      <c r="T407" s="364"/>
      <c r="U407" s="364"/>
      <c r="V407" s="364"/>
      <c r="W407" s="364"/>
      <c r="X407" s="364"/>
      <c r="Y407" s="364"/>
      <c r="Z407" s="364"/>
    </row>
    <row r="408">
      <c r="A408" s="367"/>
      <c r="B408" s="367"/>
      <c r="C408" s="364"/>
      <c r="D408" s="364"/>
      <c r="E408" s="364"/>
      <c r="F408" s="364"/>
      <c r="G408" s="364"/>
      <c r="H408" s="364"/>
      <c r="I408" s="364"/>
      <c r="J408" s="364"/>
      <c r="K408" s="364"/>
      <c r="L408" s="364"/>
      <c r="M408" s="364"/>
      <c r="N408" s="364"/>
      <c r="O408" s="364"/>
      <c r="P408" s="364"/>
      <c r="Q408" s="364"/>
      <c r="R408" s="364"/>
      <c r="S408" s="364"/>
      <c r="T408" s="364"/>
      <c r="U408" s="364"/>
      <c r="V408" s="364"/>
      <c r="W408" s="364"/>
      <c r="X408" s="364"/>
      <c r="Y408" s="364"/>
      <c r="Z408" s="364"/>
    </row>
    <row r="409">
      <c r="A409" s="367"/>
      <c r="B409" s="367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64"/>
      <c r="P409" s="364"/>
      <c r="Q409" s="364"/>
      <c r="R409" s="364"/>
      <c r="S409" s="364"/>
      <c r="T409" s="364"/>
      <c r="U409" s="364"/>
      <c r="V409" s="364"/>
      <c r="W409" s="364"/>
      <c r="X409" s="364"/>
      <c r="Y409" s="364"/>
      <c r="Z409" s="364"/>
    </row>
    <row r="410">
      <c r="A410" s="367"/>
      <c r="B410" s="367"/>
      <c r="C410" s="364"/>
      <c r="D410" s="364"/>
      <c r="E410" s="364"/>
      <c r="F410" s="364"/>
      <c r="G410" s="364"/>
      <c r="H410" s="364"/>
      <c r="I410" s="364"/>
      <c r="J410" s="364"/>
      <c r="K410" s="364"/>
      <c r="L410" s="364"/>
      <c r="M410" s="364"/>
      <c r="N410" s="364"/>
      <c r="O410" s="364"/>
      <c r="P410" s="364"/>
      <c r="Q410" s="364"/>
      <c r="R410" s="364"/>
      <c r="S410" s="364"/>
      <c r="T410" s="364"/>
      <c r="U410" s="364"/>
      <c r="V410" s="364"/>
      <c r="W410" s="364"/>
      <c r="X410" s="364"/>
      <c r="Y410" s="364"/>
      <c r="Z410" s="364"/>
    </row>
    <row r="411">
      <c r="A411" s="367"/>
      <c r="B411" s="367"/>
      <c r="C411" s="364"/>
      <c r="D411" s="364"/>
      <c r="E411" s="364"/>
      <c r="F411" s="364"/>
      <c r="G411" s="364"/>
      <c r="H411" s="364"/>
      <c r="I411" s="364"/>
      <c r="J411" s="364"/>
      <c r="K411" s="364"/>
      <c r="L411" s="364"/>
      <c r="M411" s="364"/>
      <c r="N411" s="364"/>
      <c r="O411" s="364"/>
      <c r="P411" s="364"/>
      <c r="Q411" s="364"/>
      <c r="R411" s="364"/>
      <c r="S411" s="364"/>
      <c r="T411" s="364"/>
      <c r="U411" s="364"/>
      <c r="V411" s="364"/>
      <c r="W411" s="364"/>
      <c r="X411" s="364"/>
      <c r="Y411" s="364"/>
      <c r="Z411" s="364"/>
    </row>
    <row r="412">
      <c r="A412" s="367"/>
      <c r="B412" s="367"/>
      <c r="C412" s="364"/>
      <c r="D412" s="364"/>
      <c r="E412" s="364"/>
      <c r="F412" s="364"/>
      <c r="G412" s="364"/>
      <c r="H412" s="364"/>
      <c r="I412" s="364"/>
      <c r="J412" s="364"/>
      <c r="K412" s="364"/>
      <c r="L412" s="364"/>
      <c r="M412" s="364"/>
      <c r="N412" s="364"/>
      <c r="O412" s="364"/>
      <c r="P412" s="364"/>
      <c r="Q412" s="364"/>
      <c r="R412" s="364"/>
      <c r="S412" s="364"/>
      <c r="T412" s="364"/>
      <c r="U412" s="364"/>
      <c r="V412" s="364"/>
      <c r="W412" s="364"/>
      <c r="X412" s="364"/>
      <c r="Y412" s="364"/>
      <c r="Z412" s="364"/>
    </row>
    <row r="413">
      <c r="A413" s="367"/>
      <c r="B413" s="367"/>
      <c r="C413" s="364"/>
      <c r="D413" s="364"/>
      <c r="E413" s="364"/>
      <c r="F413" s="364"/>
      <c r="G413" s="364"/>
      <c r="H413" s="364"/>
      <c r="I413" s="364"/>
      <c r="J413" s="364"/>
      <c r="K413" s="364"/>
      <c r="L413" s="364"/>
      <c r="M413" s="364"/>
      <c r="N413" s="364"/>
      <c r="O413" s="364"/>
      <c r="P413" s="364"/>
      <c r="Q413" s="364"/>
      <c r="R413" s="364"/>
      <c r="S413" s="364"/>
      <c r="T413" s="364"/>
      <c r="U413" s="364"/>
      <c r="V413" s="364"/>
      <c r="W413" s="364"/>
      <c r="X413" s="364"/>
      <c r="Y413" s="364"/>
      <c r="Z413" s="364"/>
    </row>
    <row r="414">
      <c r="A414" s="367"/>
      <c r="B414" s="367"/>
      <c r="C414" s="364"/>
      <c r="D414" s="364"/>
      <c r="E414" s="364"/>
      <c r="F414" s="364"/>
      <c r="G414" s="364"/>
      <c r="H414" s="364"/>
      <c r="I414" s="364"/>
      <c r="J414" s="364"/>
      <c r="K414" s="364"/>
      <c r="L414" s="364"/>
      <c r="M414" s="364"/>
      <c r="N414" s="364"/>
      <c r="O414" s="364"/>
      <c r="P414" s="364"/>
      <c r="Q414" s="364"/>
      <c r="R414" s="364"/>
      <c r="S414" s="364"/>
      <c r="T414" s="364"/>
      <c r="U414" s="364"/>
      <c r="V414" s="364"/>
      <c r="W414" s="364"/>
      <c r="X414" s="364"/>
      <c r="Y414" s="364"/>
      <c r="Z414" s="364"/>
    </row>
    <row r="415">
      <c r="A415" s="367"/>
      <c r="B415" s="367"/>
      <c r="C415" s="364"/>
      <c r="D415" s="364"/>
      <c r="E415" s="364"/>
      <c r="F415" s="364"/>
      <c r="G415" s="364"/>
      <c r="H415" s="364"/>
      <c r="I415" s="364"/>
      <c r="J415" s="364"/>
      <c r="K415" s="364"/>
      <c r="L415" s="364"/>
      <c r="M415" s="364"/>
      <c r="N415" s="364"/>
      <c r="O415" s="364"/>
      <c r="P415" s="364"/>
      <c r="Q415" s="364"/>
      <c r="R415" s="364"/>
      <c r="S415" s="364"/>
      <c r="T415" s="364"/>
      <c r="U415" s="364"/>
      <c r="V415" s="364"/>
      <c r="W415" s="364"/>
      <c r="X415" s="364"/>
      <c r="Y415" s="364"/>
      <c r="Z415" s="364"/>
    </row>
    <row r="416">
      <c r="A416" s="367"/>
      <c r="B416" s="367"/>
      <c r="C416" s="364"/>
      <c r="D416" s="364"/>
      <c r="E416" s="364"/>
      <c r="F416" s="364"/>
      <c r="G416" s="364"/>
      <c r="H416" s="364"/>
      <c r="I416" s="364"/>
      <c r="J416" s="364"/>
      <c r="K416" s="364"/>
      <c r="L416" s="364"/>
      <c r="M416" s="364"/>
      <c r="N416" s="364"/>
      <c r="O416" s="364"/>
      <c r="P416" s="364"/>
      <c r="Q416" s="364"/>
      <c r="R416" s="364"/>
      <c r="S416" s="364"/>
      <c r="T416" s="364"/>
      <c r="U416" s="364"/>
      <c r="V416" s="364"/>
      <c r="W416" s="364"/>
      <c r="X416" s="364"/>
      <c r="Y416" s="364"/>
      <c r="Z416" s="364"/>
    </row>
    <row r="417">
      <c r="A417" s="367"/>
      <c r="B417" s="367"/>
      <c r="C417" s="364"/>
      <c r="D417" s="364"/>
      <c r="E417" s="364"/>
      <c r="F417" s="364"/>
      <c r="G417" s="364"/>
      <c r="H417" s="364"/>
      <c r="I417" s="364"/>
      <c r="J417" s="364"/>
      <c r="K417" s="364"/>
      <c r="L417" s="364"/>
      <c r="M417" s="364"/>
      <c r="N417" s="364"/>
      <c r="O417" s="364"/>
      <c r="P417" s="364"/>
      <c r="Q417" s="364"/>
      <c r="R417" s="364"/>
      <c r="S417" s="364"/>
      <c r="T417" s="364"/>
      <c r="U417" s="364"/>
      <c r="V417" s="364"/>
      <c r="W417" s="364"/>
      <c r="X417" s="364"/>
      <c r="Y417" s="364"/>
      <c r="Z417" s="364"/>
    </row>
    <row r="418">
      <c r="A418" s="367"/>
      <c r="B418" s="367"/>
      <c r="C418" s="364"/>
      <c r="D418" s="364"/>
      <c r="E418" s="364"/>
      <c r="F418" s="364"/>
      <c r="G418" s="364"/>
      <c r="H418" s="364"/>
      <c r="I418" s="364"/>
      <c r="J418" s="364"/>
      <c r="K418" s="364"/>
      <c r="L418" s="364"/>
      <c r="M418" s="364"/>
      <c r="N418" s="364"/>
      <c r="O418" s="364"/>
      <c r="P418" s="364"/>
      <c r="Q418" s="364"/>
      <c r="R418" s="364"/>
      <c r="S418" s="364"/>
      <c r="T418" s="364"/>
      <c r="U418" s="364"/>
      <c r="V418" s="364"/>
      <c r="W418" s="364"/>
      <c r="X418" s="364"/>
      <c r="Y418" s="364"/>
      <c r="Z418" s="364"/>
    </row>
    <row r="419">
      <c r="A419" s="367"/>
      <c r="B419" s="367"/>
      <c r="C419" s="364"/>
      <c r="D419" s="364"/>
      <c r="E419" s="364"/>
      <c r="F419" s="364"/>
      <c r="G419" s="364"/>
      <c r="H419" s="364"/>
      <c r="I419" s="364"/>
      <c r="J419" s="364"/>
      <c r="K419" s="364"/>
      <c r="L419" s="364"/>
      <c r="M419" s="364"/>
      <c r="N419" s="364"/>
      <c r="O419" s="364"/>
      <c r="P419" s="364"/>
      <c r="Q419" s="364"/>
      <c r="R419" s="364"/>
      <c r="S419" s="364"/>
      <c r="T419" s="364"/>
      <c r="U419" s="364"/>
      <c r="V419" s="364"/>
      <c r="W419" s="364"/>
      <c r="X419" s="364"/>
      <c r="Y419" s="364"/>
      <c r="Z419" s="364"/>
    </row>
    <row r="420">
      <c r="A420" s="367"/>
      <c r="B420" s="367"/>
      <c r="C420" s="364"/>
      <c r="D420" s="364"/>
      <c r="E420" s="364"/>
      <c r="F420" s="364"/>
      <c r="G420" s="364"/>
      <c r="H420" s="364"/>
      <c r="I420" s="364"/>
      <c r="J420" s="364"/>
      <c r="K420" s="364"/>
      <c r="L420" s="364"/>
      <c r="M420" s="364"/>
      <c r="N420" s="364"/>
      <c r="O420" s="364"/>
      <c r="P420" s="364"/>
      <c r="Q420" s="364"/>
      <c r="R420" s="364"/>
      <c r="S420" s="364"/>
      <c r="T420" s="364"/>
      <c r="U420" s="364"/>
      <c r="V420" s="364"/>
      <c r="W420" s="364"/>
      <c r="X420" s="364"/>
      <c r="Y420" s="364"/>
      <c r="Z420" s="364"/>
    </row>
    <row r="421">
      <c r="A421" s="367"/>
      <c r="B421" s="367"/>
      <c r="C421" s="364"/>
      <c r="D421" s="364"/>
      <c r="E421" s="364"/>
      <c r="F421" s="364"/>
      <c r="G421" s="364"/>
      <c r="H421" s="364"/>
      <c r="I421" s="364"/>
      <c r="J421" s="364"/>
      <c r="K421" s="364"/>
      <c r="L421" s="364"/>
      <c r="M421" s="364"/>
      <c r="N421" s="364"/>
      <c r="O421" s="364"/>
      <c r="P421" s="364"/>
      <c r="Q421" s="364"/>
      <c r="R421" s="364"/>
      <c r="S421" s="364"/>
      <c r="T421" s="364"/>
      <c r="U421" s="364"/>
      <c r="V421" s="364"/>
      <c r="W421" s="364"/>
      <c r="X421" s="364"/>
      <c r="Y421" s="364"/>
      <c r="Z421" s="364"/>
    </row>
    <row r="422">
      <c r="A422" s="367"/>
      <c r="B422" s="367"/>
      <c r="C422" s="364"/>
      <c r="D422" s="364"/>
      <c r="E422" s="364"/>
      <c r="F422" s="364"/>
      <c r="G422" s="364"/>
      <c r="H422" s="364"/>
      <c r="I422" s="364"/>
      <c r="J422" s="364"/>
      <c r="K422" s="364"/>
      <c r="L422" s="364"/>
      <c r="M422" s="364"/>
      <c r="N422" s="364"/>
      <c r="O422" s="364"/>
      <c r="P422" s="364"/>
      <c r="Q422" s="364"/>
      <c r="R422" s="364"/>
      <c r="S422" s="364"/>
      <c r="T422" s="364"/>
      <c r="U422" s="364"/>
      <c r="V422" s="364"/>
      <c r="W422" s="364"/>
      <c r="X422" s="364"/>
      <c r="Y422" s="364"/>
      <c r="Z422" s="364"/>
    </row>
    <row r="423">
      <c r="A423" s="367"/>
      <c r="B423" s="367"/>
      <c r="C423" s="364"/>
      <c r="D423" s="364"/>
      <c r="E423" s="364"/>
      <c r="F423" s="364"/>
      <c r="G423" s="364"/>
      <c r="H423" s="364"/>
      <c r="I423" s="364"/>
      <c r="J423" s="364"/>
      <c r="K423" s="364"/>
      <c r="L423" s="364"/>
      <c r="M423" s="364"/>
      <c r="N423" s="364"/>
      <c r="O423" s="364"/>
      <c r="P423" s="364"/>
      <c r="Q423" s="364"/>
      <c r="R423" s="364"/>
      <c r="S423" s="364"/>
      <c r="T423" s="364"/>
      <c r="U423" s="364"/>
      <c r="V423" s="364"/>
      <c r="W423" s="364"/>
      <c r="X423" s="364"/>
      <c r="Y423" s="364"/>
      <c r="Z423" s="364"/>
    </row>
    <row r="424">
      <c r="A424" s="367"/>
      <c r="B424" s="367"/>
      <c r="C424" s="364"/>
      <c r="D424" s="364"/>
      <c r="E424" s="364"/>
      <c r="F424" s="364"/>
      <c r="G424" s="364"/>
      <c r="H424" s="364"/>
      <c r="I424" s="364"/>
      <c r="J424" s="364"/>
      <c r="K424" s="364"/>
      <c r="L424" s="364"/>
      <c r="M424" s="364"/>
      <c r="N424" s="364"/>
      <c r="O424" s="364"/>
      <c r="P424" s="364"/>
      <c r="Q424" s="364"/>
      <c r="R424" s="364"/>
      <c r="S424" s="364"/>
      <c r="T424" s="364"/>
      <c r="U424" s="364"/>
      <c r="V424" s="364"/>
      <c r="W424" s="364"/>
      <c r="X424" s="364"/>
      <c r="Y424" s="364"/>
      <c r="Z424" s="364"/>
    </row>
    <row r="425">
      <c r="A425" s="367"/>
      <c r="B425" s="367"/>
      <c r="C425" s="364"/>
      <c r="D425" s="364"/>
      <c r="E425" s="364"/>
      <c r="F425" s="364"/>
      <c r="G425" s="364"/>
      <c r="H425" s="364"/>
      <c r="I425" s="364"/>
      <c r="J425" s="364"/>
      <c r="K425" s="364"/>
      <c r="L425" s="364"/>
      <c r="M425" s="364"/>
      <c r="N425" s="364"/>
      <c r="O425" s="364"/>
      <c r="P425" s="364"/>
      <c r="Q425" s="364"/>
      <c r="R425" s="364"/>
      <c r="S425" s="364"/>
      <c r="T425" s="364"/>
      <c r="U425" s="364"/>
      <c r="V425" s="364"/>
      <c r="W425" s="364"/>
      <c r="X425" s="364"/>
      <c r="Y425" s="364"/>
      <c r="Z425" s="364"/>
    </row>
    <row r="426">
      <c r="A426" s="367"/>
      <c r="B426" s="367"/>
      <c r="C426" s="364"/>
      <c r="D426" s="364"/>
      <c r="E426" s="364"/>
      <c r="F426" s="364"/>
      <c r="G426" s="364"/>
      <c r="H426" s="364"/>
      <c r="I426" s="364"/>
      <c r="J426" s="364"/>
      <c r="K426" s="364"/>
      <c r="L426" s="364"/>
      <c r="M426" s="364"/>
      <c r="N426" s="364"/>
      <c r="O426" s="364"/>
      <c r="P426" s="364"/>
      <c r="Q426" s="364"/>
      <c r="R426" s="364"/>
      <c r="S426" s="364"/>
      <c r="T426" s="364"/>
      <c r="U426" s="364"/>
      <c r="V426" s="364"/>
      <c r="W426" s="364"/>
      <c r="X426" s="364"/>
      <c r="Y426" s="364"/>
      <c r="Z426" s="364"/>
    </row>
    <row r="427">
      <c r="A427" s="367"/>
      <c r="B427" s="367"/>
      <c r="C427" s="364"/>
      <c r="D427" s="364"/>
      <c r="E427" s="364"/>
      <c r="F427" s="364"/>
      <c r="G427" s="364"/>
      <c r="H427" s="364"/>
      <c r="I427" s="364"/>
      <c r="J427" s="364"/>
      <c r="K427" s="364"/>
      <c r="L427" s="364"/>
      <c r="M427" s="364"/>
      <c r="N427" s="364"/>
      <c r="O427" s="364"/>
      <c r="P427" s="364"/>
      <c r="Q427" s="364"/>
      <c r="R427" s="364"/>
      <c r="S427" s="364"/>
      <c r="T427" s="364"/>
      <c r="U427" s="364"/>
      <c r="V427" s="364"/>
      <c r="W427" s="364"/>
      <c r="X427" s="364"/>
      <c r="Y427" s="364"/>
      <c r="Z427" s="364"/>
    </row>
    <row r="428">
      <c r="A428" s="367"/>
      <c r="B428" s="367"/>
      <c r="C428" s="364"/>
      <c r="D428" s="364"/>
      <c r="E428" s="364"/>
      <c r="F428" s="364"/>
      <c r="G428" s="364"/>
      <c r="H428" s="364"/>
      <c r="I428" s="364"/>
      <c r="J428" s="364"/>
      <c r="K428" s="364"/>
      <c r="L428" s="364"/>
      <c r="M428" s="364"/>
      <c r="N428" s="364"/>
      <c r="O428" s="364"/>
      <c r="P428" s="364"/>
      <c r="Q428" s="364"/>
      <c r="R428" s="364"/>
      <c r="S428" s="364"/>
      <c r="T428" s="364"/>
      <c r="U428" s="364"/>
      <c r="V428" s="364"/>
      <c r="W428" s="364"/>
      <c r="X428" s="364"/>
      <c r="Y428" s="364"/>
      <c r="Z428" s="364"/>
    </row>
    <row r="429">
      <c r="A429" s="367"/>
      <c r="B429" s="367"/>
      <c r="C429" s="364"/>
      <c r="D429" s="364"/>
      <c r="E429" s="364"/>
      <c r="F429" s="364"/>
      <c r="G429" s="364"/>
      <c r="H429" s="364"/>
      <c r="I429" s="364"/>
      <c r="J429" s="364"/>
      <c r="K429" s="364"/>
      <c r="L429" s="364"/>
      <c r="M429" s="364"/>
      <c r="N429" s="364"/>
      <c r="O429" s="364"/>
      <c r="P429" s="364"/>
      <c r="Q429" s="364"/>
      <c r="R429" s="364"/>
      <c r="S429" s="364"/>
      <c r="T429" s="364"/>
      <c r="U429" s="364"/>
      <c r="V429" s="364"/>
      <c r="W429" s="364"/>
      <c r="X429" s="364"/>
      <c r="Y429" s="364"/>
      <c r="Z429" s="364"/>
    </row>
    <row r="430">
      <c r="A430" s="367"/>
      <c r="B430" s="367"/>
      <c r="C430" s="364"/>
      <c r="D430" s="364"/>
      <c r="E430" s="364"/>
      <c r="F430" s="364"/>
      <c r="G430" s="364"/>
      <c r="H430" s="364"/>
      <c r="I430" s="364"/>
      <c r="J430" s="364"/>
      <c r="K430" s="364"/>
      <c r="L430" s="364"/>
      <c r="M430" s="364"/>
      <c r="N430" s="364"/>
      <c r="O430" s="364"/>
      <c r="P430" s="364"/>
      <c r="Q430" s="364"/>
      <c r="R430" s="364"/>
      <c r="S430" s="364"/>
      <c r="T430" s="364"/>
      <c r="U430" s="364"/>
      <c r="V430" s="364"/>
      <c r="W430" s="364"/>
      <c r="X430" s="364"/>
      <c r="Y430" s="364"/>
      <c r="Z430" s="364"/>
    </row>
    <row r="431">
      <c r="A431" s="367"/>
      <c r="B431" s="367"/>
      <c r="C431" s="364"/>
      <c r="D431" s="364"/>
      <c r="E431" s="364"/>
      <c r="F431" s="364"/>
      <c r="G431" s="364"/>
      <c r="H431" s="364"/>
      <c r="I431" s="364"/>
      <c r="J431" s="364"/>
      <c r="K431" s="364"/>
      <c r="L431" s="364"/>
      <c r="M431" s="364"/>
      <c r="N431" s="364"/>
      <c r="O431" s="364"/>
      <c r="P431" s="364"/>
      <c r="Q431" s="364"/>
      <c r="R431" s="364"/>
      <c r="S431" s="364"/>
      <c r="T431" s="364"/>
      <c r="U431" s="364"/>
      <c r="V431" s="364"/>
      <c r="W431" s="364"/>
      <c r="X431" s="364"/>
      <c r="Y431" s="364"/>
      <c r="Z431" s="364"/>
    </row>
    <row r="432">
      <c r="A432" s="367"/>
      <c r="B432" s="367"/>
      <c r="C432" s="364"/>
      <c r="D432" s="364"/>
      <c r="E432" s="364"/>
      <c r="F432" s="364"/>
      <c r="G432" s="364"/>
      <c r="H432" s="364"/>
      <c r="I432" s="364"/>
      <c r="J432" s="364"/>
      <c r="K432" s="364"/>
      <c r="L432" s="364"/>
      <c r="M432" s="364"/>
      <c r="N432" s="364"/>
      <c r="O432" s="364"/>
      <c r="P432" s="364"/>
      <c r="Q432" s="364"/>
      <c r="R432" s="364"/>
      <c r="S432" s="364"/>
      <c r="T432" s="364"/>
      <c r="U432" s="364"/>
      <c r="V432" s="364"/>
      <c r="W432" s="364"/>
      <c r="X432" s="364"/>
      <c r="Y432" s="364"/>
      <c r="Z432" s="364"/>
    </row>
    <row r="433">
      <c r="A433" s="367"/>
      <c r="B433" s="367"/>
      <c r="C433" s="364"/>
      <c r="D433" s="364"/>
      <c r="E433" s="364"/>
      <c r="F433" s="364"/>
      <c r="G433" s="364"/>
      <c r="H433" s="364"/>
      <c r="I433" s="364"/>
      <c r="J433" s="364"/>
      <c r="K433" s="364"/>
      <c r="L433" s="364"/>
      <c r="M433" s="364"/>
      <c r="N433" s="364"/>
      <c r="O433" s="364"/>
      <c r="P433" s="364"/>
      <c r="Q433" s="364"/>
      <c r="R433" s="364"/>
      <c r="S433" s="364"/>
      <c r="T433" s="364"/>
      <c r="U433" s="364"/>
      <c r="V433" s="364"/>
      <c r="W433" s="364"/>
      <c r="X433" s="364"/>
      <c r="Y433" s="364"/>
      <c r="Z433" s="364"/>
    </row>
    <row r="434">
      <c r="A434" s="367"/>
      <c r="B434" s="367"/>
      <c r="C434" s="364"/>
      <c r="D434" s="364"/>
      <c r="E434" s="364"/>
      <c r="F434" s="364"/>
      <c r="G434" s="364"/>
      <c r="H434" s="364"/>
      <c r="I434" s="364"/>
      <c r="J434" s="364"/>
      <c r="K434" s="364"/>
      <c r="L434" s="364"/>
      <c r="M434" s="364"/>
      <c r="N434" s="364"/>
      <c r="O434" s="364"/>
      <c r="P434" s="364"/>
      <c r="Q434" s="364"/>
      <c r="R434" s="364"/>
      <c r="S434" s="364"/>
      <c r="T434" s="364"/>
      <c r="U434" s="364"/>
      <c r="V434" s="364"/>
      <c r="W434" s="364"/>
      <c r="X434" s="364"/>
      <c r="Y434" s="364"/>
      <c r="Z434" s="364"/>
    </row>
    <row r="435">
      <c r="A435" s="367"/>
      <c r="B435" s="367"/>
      <c r="C435" s="364"/>
      <c r="D435" s="364"/>
      <c r="E435" s="364"/>
      <c r="F435" s="364"/>
      <c r="G435" s="364"/>
      <c r="H435" s="364"/>
      <c r="I435" s="364"/>
      <c r="J435" s="364"/>
      <c r="K435" s="364"/>
      <c r="L435" s="364"/>
      <c r="M435" s="364"/>
      <c r="N435" s="364"/>
      <c r="O435" s="364"/>
      <c r="P435" s="364"/>
      <c r="Q435" s="364"/>
      <c r="R435" s="364"/>
      <c r="S435" s="364"/>
      <c r="T435" s="364"/>
      <c r="U435" s="364"/>
      <c r="V435" s="364"/>
      <c r="W435" s="364"/>
      <c r="X435" s="364"/>
      <c r="Y435" s="364"/>
      <c r="Z435" s="364"/>
    </row>
    <row r="436">
      <c r="A436" s="367"/>
      <c r="B436" s="367"/>
      <c r="C436" s="364"/>
      <c r="D436" s="364"/>
      <c r="E436" s="364"/>
      <c r="F436" s="364"/>
      <c r="G436" s="364"/>
      <c r="H436" s="364"/>
      <c r="I436" s="364"/>
      <c r="J436" s="364"/>
      <c r="K436" s="364"/>
      <c r="L436" s="364"/>
      <c r="M436" s="364"/>
      <c r="N436" s="364"/>
      <c r="O436" s="364"/>
      <c r="P436" s="364"/>
      <c r="Q436" s="364"/>
      <c r="R436" s="364"/>
      <c r="S436" s="364"/>
      <c r="T436" s="364"/>
      <c r="U436" s="364"/>
      <c r="V436" s="364"/>
      <c r="W436" s="364"/>
      <c r="X436" s="364"/>
      <c r="Y436" s="364"/>
      <c r="Z436" s="364"/>
    </row>
    <row r="437">
      <c r="A437" s="367"/>
      <c r="B437" s="367"/>
      <c r="C437" s="364"/>
      <c r="D437" s="364"/>
      <c r="E437" s="364"/>
      <c r="F437" s="364"/>
      <c r="G437" s="364"/>
      <c r="H437" s="364"/>
      <c r="I437" s="364"/>
      <c r="J437" s="364"/>
      <c r="K437" s="364"/>
      <c r="L437" s="364"/>
      <c r="M437" s="364"/>
      <c r="N437" s="364"/>
      <c r="O437" s="364"/>
      <c r="P437" s="364"/>
      <c r="Q437" s="364"/>
      <c r="R437" s="364"/>
      <c r="S437" s="364"/>
      <c r="T437" s="364"/>
      <c r="U437" s="364"/>
      <c r="V437" s="364"/>
      <c r="W437" s="364"/>
      <c r="X437" s="364"/>
      <c r="Y437" s="364"/>
      <c r="Z437" s="364"/>
    </row>
    <row r="438">
      <c r="A438" s="367"/>
      <c r="B438" s="367"/>
      <c r="C438" s="364"/>
      <c r="D438" s="364"/>
      <c r="E438" s="364"/>
      <c r="F438" s="364"/>
      <c r="G438" s="364"/>
      <c r="H438" s="364"/>
      <c r="I438" s="364"/>
      <c r="J438" s="364"/>
      <c r="K438" s="364"/>
      <c r="L438" s="364"/>
      <c r="M438" s="364"/>
      <c r="N438" s="364"/>
      <c r="O438" s="364"/>
      <c r="P438" s="364"/>
      <c r="Q438" s="364"/>
      <c r="R438" s="364"/>
      <c r="S438" s="364"/>
      <c r="T438" s="364"/>
      <c r="U438" s="364"/>
      <c r="V438" s="364"/>
      <c r="W438" s="364"/>
      <c r="X438" s="364"/>
      <c r="Y438" s="364"/>
      <c r="Z438" s="364"/>
    </row>
    <row r="439">
      <c r="A439" s="367"/>
      <c r="B439" s="367"/>
      <c r="C439" s="364"/>
      <c r="D439" s="364"/>
      <c r="E439" s="364"/>
      <c r="F439" s="364"/>
      <c r="G439" s="364"/>
      <c r="H439" s="364"/>
      <c r="I439" s="364"/>
      <c r="J439" s="364"/>
      <c r="K439" s="364"/>
      <c r="L439" s="364"/>
      <c r="M439" s="364"/>
      <c r="N439" s="364"/>
      <c r="O439" s="364"/>
      <c r="P439" s="364"/>
      <c r="Q439" s="364"/>
      <c r="R439" s="364"/>
      <c r="S439" s="364"/>
      <c r="T439" s="364"/>
      <c r="U439" s="364"/>
      <c r="V439" s="364"/>
      <c r="W439" s="364"/>
      <c r="X439" s="364"/>
      <c r="Y439" s="364"/>
      <c r="Z439" s="364"/>
    </row>
    <row r="440">
      <c r="A440" s="367"/>
      <c r="B440" s="367"/>
      <c r="C440" s="364"/>
      <c r="D440" s="364"/>
      <c r="E440" s="364"/>
      <c r="F440" s="364"/>
      <c r="G440" s="364"/>
      <c r="H440" s="364"/>
      <c r="I440" s="364"/>
      <c r="J440" s="364"/>
      <c r="K440" s="364"/>
      <c r="L440" s="364"/>
      <c r="M440" s="364"/>
      <c r="N440" s="364"/>
      <c r="O440" s="364"/>
      <c r="P440" s="364"/>
      <c r="Q440" s="364"/>
      <c r="R440" s="364"/>
      <c r="S440" s="364"/>
      <c r="T440" s="364"/>
      <c r="U440" s="364"/>
      <c r="V440" s="364"/>
      <c r="W440" s="364"/>
      <c r="X440" s="364"/>
      <c r="Y440" s="364"/>
      <c r="Z440" s="364"/>
    </row>
    <row r="441">
      <c r="A441" s="367"/>
      <c r="B441" s="367"/>
      <c r="C441" s="364"/>
      <c r="D441" s="364"/>
      <c r="E441" s="364"/>
      <c r="F441" s="364"/>
      <c r="G441" s="364"/>
      <c r="H441" s="364"/>
      <c r="I441" s="364"/>
      <c r="J441" s="364"/>
      <c r="K441" s="364"/>
      <c r="L441" s="364"/>
      <c r="M441" s="364"/>
      <c r="N441" s="364"/>
      <c r="O441" s="364"/>
      <c r="P441" s="364"/>
      <c r="Q441" s="364"/>
      <c r="R441" s="364"/>
      <c r="S441" s="364"/>
      <c r="T441" s="364"/>
      <c r="U441" s="364"/>
      <c r="V441" s="364"/>
      <c r="W441" s="364"/>
      <c r="X441" s="364"/>
      <c r="Y441" s="364"/>
      <c r="Z441" s="364"/>
    </row>
    <row r="442">
      <c r="A442" s="367"/>
      <c r="B442" s="367"/>
      <c r="C442" s="364"/>
      <c r="D442" s="364"/>
      <c r="E442" s="364"/>
      <c r="F442" s="364"/>
      <c r="G442" s="364"/>
      <c r="H442" s="364"/>
      <c r="I442" s="364"/>
      <c r="J442" s="364"/>
      <c r="K442" s="364"/>
      <c r="L442" s="364"/>
      <c r="M442" s="364"/>
      <c r="N442" s="364"/>
      <c r="O442" s="364"/>
      <c r="P442" s="364"/>
      <c r="Q442" s="364"/>
      <c r="R442" s="364"/>
      <c r="S442" s="364"/>
      <c r="T442" s="364"/>
      <c r="U442" s="364"/>
      <c r="V442" s="364"/>
      <c r="W442" s="364"/>
      <c r="X442" s="364"/>
      <c r="Y442" s="364"/>
      <c r="Z442" s="364"/>
    </row>
    <row r="443">
      <c r="A443" s="367"/>
      <c r="B443" s="367"/>
      <c r="C443" s="364"/>
      <c r="D443" s="364"/>
      <c r="E443" s="364"/>
      <c r="F443" s="364"/>
      <c r="G443" s="364"/>
      <c r="H443" s="364"/>
      <c r="I443" s="364"/>
      <c r="J443" s="364"/>
      <c r="K443" s="364"/>
      <c r="L443" s="364"/>
      <c r="M443" s="364"/>
      <c r="N443" s="364"/>
      <c r="O443" s="364"/>
      <c r="P443" s="364"/>
      <c r="Q443" s="364"/>
      <c r="R443" s="364"/>
      <c r="S443" s="364"/>
      <c r="T443" s="364"/>
      <c r="U443" s="364"/>
      <c r="V443" s="364"/>
      <c r="W443" s="364"/>
      <c r="X443" s="364"/>
      <c r="Y443" s="364"/>
      <c r="Z443" s="364"/>
    </row>
    <row r="444">
      <c r="A444" s="367"/>
      <c r="B444" s="367"/>
      <c r="C444" s="364"/>
      <c r="D444" s="364"/>
      <c r="E444" s="364"/>
      <c r="F444" s="364"/>
      <c r="G444" s="364"/>
      <c r="H444" s="364"/>
      <c r="I444" s="364"/>
      <c r="J444" s="364"/>
      <c r="K444" s="364"/>
      <c r="L444" s="364"/>
      <c r="M444" s="364"/>
      <c r="N444" s="364"/>
      <c r="O444" s="364"/>
      <c r="P444" s="364"/>
      <c r="Q444" s="364"/>
      <c r="R444" s="364"/>
      <c r="S444" s="364"/>
      <c r="T444" s="364"/>
      <c r="U444" s="364"/>
      <c r="V444" s="364"/>
      <c r="W444" s="364"/>
      <c r="X444" s="364"/>
      <c r="Y444" s="364"/>
      <c r="Z444" s="364"/>
    </row>
    <row r="445">
      <c r="A445" s="367"/>
      <c r="B445" s="367"/>
      <c r="C445" s="364"/>
      <c r="D445" s="364"/>
      <c r="E445" s="364"/>
      <c r="F445" s="364"/>
      <c r="G445" s="364"/>
      <c r="H445" s="364"/>
      <c r="I445" s="364"/>
      <c r="J445" s="364"/>
      <c r="K445" s="364"/>
      <c r="L445" s="364"/>
      <c r="M445" s="364"/>
      <c r="N445" s="364"/>
      <c r="O445" s="364"/>
      <c r="P445" s="364"/>
      <c r="Q445" s="364"/>
      <c r="R445" s="364"/>
      <c r="S445" s="364"/>
      <c r="T445" s="364"/>
      <c r="U445" s="364"/>
      <c r="V445" s="364"/>
      <c r="W445" s="364"/>
      <c r="X445" s="364"/>
      <c r="Y445" s="364"/>
      <c r="Z445" s="364"/>
    </row>
    <row r="446">
      <c r="A446" s="367"/>
      <c r="B446" s="367"/>
      <c r="C446" s="364"/>
      <c r="D446" s="364"/>
      <c r="E446" s="364"/>
      <c r="F446" s="364"/>
      <c r="G446" s="364"/>
      <c r="H446" s="364"/>
      <c r="I446" s="364"/>
      <c r="J446" s="364"/>
      <c r="K446" s="364"/>
      <c r="L446" s="364"/>
      <c r="M446" s="364"/>
      <c r="N446" s="364"/>
      <c r="O446" s="364"/>
      <c r="P446" s="364"/>
      <c r="Q446" s="364"/>
      <c r="R446" s="364"/>
      <c r="S446" s="364"/>
      <c r="T446" s="364"/>
      <c r="U446" s="364"/>
      <c r="V446" s="364"/>
      <c r="W446" s="364"/>
      <c r="X446" s="364"/>
      <c r="Y446" s="364"/>
      <c r="Z446" s="364"/>
    </row>
    <row r="447">
      <c r="A447" s="367"/>
      <c r="B447" s="367"/>
      <c r="C447" s="364"/>
      <c r="D447" s="364"/>
      <c r="E447" s="364"/>
      <c r="F447" s="364"/>
      <c r="G447" s="364"/>
      <c r="H447" s="364"/>
      <c r="I447" s="364"/>
      <c r="J447" s="364"/>
      <c r="K447" s="364"/>
      <c r="L447" s="364"/>
      <c r="M447" s="364"/>
      <c r="N447" s="364"/>
      <c r="O447" s="364"/>
      <c r="P447" s="364"/>
      <c r="Q447" s="364"/>
      <c r="R447" s="364"/>
      <c r="S447" s="364"/>
      <c r="T447" s="364"/>
      <c r="U447" s="364"/>
      <c r="V447" s="364"/>
      <c r="W447" s="364"/>
      <c r="X447" s="364"/>
      <c r="Y447" s="364"/>
      <c r="Z447" s="364"/>
    </row>
    <row r="448">
      <c r="A448" s="367"/>
      <c r="B448" s="367"/>
      <c r="C448" s="364"/>
      <c r="D448" s="364"/>
      <c r="E448" s="364"/>
      <c r="F448" s="364"/>
      <c r="G448" s="364"/>
      <c r="H448" s="364"/>
      <c r="I448" s="364"/>
      <c r="J448" s="364"/>
      <c r="K448" s="364"/>
      <c r="L448" s="364"/>
      <c r="M448" s="364"/>
      <c r="N448" s="364"/>
      <c r="O448" s="364"/>
      <c r="P448" s="364"/>
      <c r="Q448" s="364"/>
      <c r="R448" s="364"/>
      <c r="S448" s="364"/>
      <c r="T448" s="364"/>
      <c r="U448" s="364"/>
      <c r="V448" s="364"/>
      <c r="W448" s="364"/>
      <c r="X448" s="364"/>
      <c r="Y448" s="364"/>
      <c r="Z448" s="364"/>
    </row>
    <row r="449">
      <c r="A449" s="367"/>
      <c r="B449" s="367"/>
      <c r="C449" s="364"/>
      <c r="D449" s="364"/>
      <c r="E449" s="364"/>
      <c r="F449" s="364"/>
      <c r="G449" s="364"/>
      <c r="H449" s="364"/>
      <c r="I449" s="364"/>
      <c r="J449" s="364"/>
      <c r="K449" s="364"/>
      <c r="L449" s="364"/>
      <c r="M449" s="364"/>
      <c r="N449" s="364"/>
      <c r="O449" s="364"/>
      <c r="P449" s="364"/>
      <c r="Q449" s="364"/>
      <c r="R449" s="364"/>
      <c r="S449" s="364"/>
      <c r="T449" s="364"/>
      <c r="U449" s="364"/>
      <c r="V449" s="364"/>
      <c r="W449" s="364"/>
      <c r="X449" s="364"/>
      <c r="Y449" s="364"/>
      <c r="Z449" s="364"/>
    </row>
    <row r="450">
      <c r="A450" s="367"/>
      <c r="B450" s="367"/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</row>
    <row r="451">
      <c r="A451" s="367"/>
      <c r="B451" s="367"/>
      <c r="C451" s="364"/>
      <c r="D451" s="364"/>
      <c r="E451" s="364"/>
      <c r="F451" s="364"/>
      <c r="G451" s="364"/>
      <c r="H451" s="364"/>
      <c r="I451" s="364"/>
      <c r="J451" s="364"/>
      <c r="K451" s="364"/>
      <c r="L451" s="364"/>
      <c r="M451" s="364"/>
      <c r="N451" s="364"/>
      <c r="O451" s="364"/>
      <c r="P451" s="364"/>
      <c r="Q451" s="364"/>
      <c r="R451" s="364"/>
      <c r="S451" s="364"/>
      <c r="T451" s="364"/>
      <c r="U451" s="364"/>
      <c r="V451" s="364"/>
      <c r="W451" s="364"/>
      <c r="X451" s="364"/>
      <c r="Y451" s="364"/>
      <c r="Z451" s="364"/>
    </row>
    <row r="452">
      <c r="A452" s="367"/>
      <c r="B452" s="367"/>
      <c r="C452" s="364"/>
      <c r="D452" s="364"/>
      <c r="E452" s="364"/>
      <c r="F452" s="364"/>
      <c r="G452" s="364"/>
      <c r="H452" s="364"/>
      <c r="I452" s="364"/>
      <c r="J452" s="364"/>
      <c r="K452" s="364"/>
      <c r="L452" s="364"/>
      <c r="M452" s="364"/>
      <c r="N452" s="364"/>
      <c r="O452" s="364"/>
      <c r="P452" s="364"/>
      <c r="Q452" s="364"/>
      <c r="R452" s="364"/>
      <c r="S452" s="364"/>
      <c r="T452" s="364"/>
      <c r="U452" s="364"/>
      <c r="V452" s="364"/>
      <c r="W452" s="364"/>
      <c r="X452" s="364"/>
      <c r="Y452" s="364"/>
      <c r="Z452" s="364"/>
    </row>
    <row r="453">
      <c r="A453" s="367"/>
      <c r="B453" s="367"/>
      <c r="C453" s="364"/>
      <c r="D453" s="364"/>
      <c r="E453" s="364"/>
      <c r="F453" s="364"/>
      <c r="G453" s="364"/>
      <c r="H453" s="364"/>
      <c r="I453" s="364"/>
      <c r="J453" s="364"/>
      <c r="K453" s="364"/>
      <c r="L453" s="364"/>
      <c r="M453" s="364"/>
      <c r="N453" s="364"/>
      <c r="O453" s="364"/>
      <c r="P453" s="364"/>
      <c r="Q453" s="364"/>
      <c r="R453" s="364"/>
      <c r="S453" s="364"/>
      <c r="T453" s="364"/>
      <c r="U453" s="364"/>
      <c r="V453" s="364"/>
      <c r="W453" s="364"/>
      <c r="X453" s="364"/>
      <c r="Y453" s="364"/>
      <c r="Z453" s="364"/>
    </row>
    <row r="454">
      <c r="A454" s="367"/>
      <c r="B454" s="367"/>
      <c r="C454" s="364"/>
      <c r="D454" s="364"/>
      <c r="E454" s="364"/>
      <c r="F454" s="364"/>
      <c r="G454" s="364"/>
      <c r="H454" s="364"/>
      <c r="I454" s="364"/>
      <c r="J454" s="364"/>
      <c r="K454" s="364"/>
      <c r="L454" s="364"/>
      <c r="M454" s="364"/>
      <c r="N454" s="364"/>
      <c r="O454" s="364"/>
      <c r="P454" s="364"/>
      <c r="Q454" s="364"/>
      <c r="R454" s="364"/>
      <c r="S454" s="364"/>
      <c r="T454" s="364"/>
      <c r="U454" s="364"/>
      <c r="V454" s="364"/>
      <c r="W454" s="364"/>
      <c r="X454" s="364"/>
      <c r="Y454" s="364"/>
      <c r="Z454" s="364"/>
    </row>
    <row r="455">
      <c r="A455" s="367"/>
      <c r="B455" s="367"/>
      <c r="C455" s="364"/>
      <c r="D455" s="364"/>
      <c r="E455" s="364"/>
      <c r="F455" s="364"/>
      <c r="G455" s="364"/>
      <c r="H455" s="364"/>
      <c r="I455" s="364"/>
      <c r="J455" s="364"/>
      <c r="K455" s="364"/>
      <c r="L455" s="364"/>
      <c r="M455" s="364"/>
      <c r="N455" s="364"/>
      <c r="O455" s="364"/>
      <c r="P455" s="364"/>
      <c r="Q455" s="364"/>
      <c r="R455" s="364"/>
      <c r="S455" s="364"/>
      <c r="T455" s="364"/>
      <c r="U455" s="364"/>
      <c r="V455" s="364"/>
      <c r="W455" s="364"/>
      <c r="X455" s="364"/>
      <c r="Y455" s="364"/>
      <c r="Z455" s="364"/>
    </row>
    <row r="456">
      <c r="A456" s="367"/>
      <c r="B456" s="367"/>
      <c r="C456" s="364"/>
      <c r="D456" s="364"/>
      <c r="E456" s="364"/>
      <c r="F456" s="364"/>
      <c r="G456" s="364"/>
      <c r="H456" s="364"/>
      <c r="I456" s="364"/>
      <c r="J456" s="364"/>
      <c r="K456" s="364"/>
      <c r="L456" s="364"/>
      <c r="M456" s="364"/>
      <c r="N456" s="364"/>
      <c r="O456" s="364"/>
      <c r="P456" s="364"/>
      <c r="Q456" s="364"/>
      <c r="R456" s="364"/>
      <c r="S456" s="364"/>
      <c r="T456" s="364"/>
      <c r="U456" s="364"/>
      <c r="V456" s="364"/>
      <c r="W456" s="364"/>
      <c r="X456" s="364"/>
      <c r="Y456" s="364"/>
      <c r="Z456" s="364"/>
    </row>
    <row r="457">
      <c r="A457" s="367"/>
      <c r="B457" s="367"/>
      <c r="C457" s="364"/>
      <c r="D457" s="364"/>
      <c r="E457" s="364"/>
      <c r="F457" s="364"/>
      <c r="G457" s="364"/>
      <c r="H457" s="364"/>
      <c r="I457" s="364"/>
      <c r="J457" s="364"/>
      <c r="K457" s="364"/>
      <c r="L457" s="364"/>
      <c r="M457" s="364"/>
      <c r="N457" s="364"/>
      <c r="O457" s="364"/>
      <c r="P457" s="364"/>
      <c r="Q457" s="364"/>
      <c r="R457" s="364"/>
      <c r="S457" s="364"/>
      <c r="T457" s="364"/>
      <c r="U457" s="364"/>
      <c r="V457" s="364"/>
      <c r="W457" s="364"/>
      <c r="X457" s="364"/>
      <c r="Y457" s="364"/>
      <c r="Z457" s="364"/>
    </row>
    <row r="458">
      <c r="A458" s="367"/>
      <c r="B458" s="367"/>
      <c r="C458" s="364"/>
      <c r="D458" s="364"/>
      <c r="E458" s="364"/>
      <c r="F458" s="364"/>
      <c r="G458" s="364"/>
      <c r="H458" s="364"/>
      <c r="I458" s="364"/>
      <c r="J458" s="364"/>
      <c r="K458" s="364"/>
      <c r="L458" s="364"/>
      <c r="M458" s="364"/>
      <c r="N458" s="364"/>
      <c r="O458" s="364"/>
      <c r="P458" s="364"/>
      <c r="Q458" s="364"/>
      <c r="R458" s="364"/>
      <c r="S458" s="364"/>
      <c r="T458" s="364"/>
      <c r="U458" s="364"/>
      <c r="V458" s="364"/>
      <c r="W458" s="364"/>
      <c r="X458" s="364"/>
      <c r="Y458" s="364"/>
      <c r="Z458" s="364"/>
    </row>
    <row r="459">
      <c r="A459" s="367"/>
      <c r="B459" s="367"/>
      <c r="C459" s="364"/>
      <c r="D459" s="364"/>
      <c r="E459" s="364"/>
      <c r="F459" s="364"/>
      <c r="G459" s="364"/>
      <c r="H459" s="364"/>
      <c r="I459" s="364"/>
      <c r="J459" s="364"/>
      <c r="K459" s="364"/>
      <c r="L459" s="364"/>
      <c r="M459" s="364"/>
      <c r="N459" s="364"/>
      <c r="O459" s="364"/>
      <c r="P459" s="364"/>
      <c r="Q459" s="364"/>
      <c r="R459" s="364"/>
      <c r="S459" s="364"/>
      <c r="T459" s="364"/>
      <c r="U459" s="364"/>
      <c r="V459" s="364"/>
      <c r="W459" s="364"/>
      <c r="X459" s="364"/>
      <c r="Y459" s="364"/>
      <c r="Z459" s="364"/>
    </row>
    <row r="460">
      <c r="A460" s="367"/>
      <c r="B460" s="367"/>
      <c r="C460" s="364"/>
      <c r="D460" s="364"/>
      <c r="E460" s="364"/>
      <c r="F460" s="364"/>
      <c r="G460" s="364"/>
      <c r="H460" s="364"/>
      <c r="I460" s="364"/>
      <c r="J460" s="364"/>
      <c r="K460" s="364"/>
      <c r="L460" s="364"/>
      <c r="M460" s="364"/>
      <c r="N460" s="364"/>
      <c r="O460" s="364"/>
      <c r="P460" s="364"/>
      <c r="Q460" s="364"/>
      <c r="R460" s="364"/>
      <c r="S460" s="364"/>
      <c r="T460" s="364"/>
      <c r="U460" s="364"/>
      <c r="V460" s="364"/>
      <c r="W460" s="364"/>
      <c r="X460" s="364"/>
      <c r="Y460" s="364"/>
      <c r="Z460" s="364"/>
    </row>
    <row r="461">
      <c r="A461" s="367"/>
      <c r="B461" s="367"/>
      <c r="C461" s="364"/>
      <c r="D461" s="364"/>
      <c r="E461" s="364"/>
      <c r="F461" s="364"/>
      <c r="G461" s="364"/>
      <c r="H461" s="364"/>
      <c r="I461" s="364"/>
      <c r="J461" s="364"/>
      <c r="K461" s="364"/>
      <c r="L461" s="364"/>
      <c r="M461" s="364"/>
      <c r="N461" s="364"/>
      <c r="O461" s="364"/>
      <c r="P461" s="364"/>
      <c r="Q461" s="364"/>
      <c r="R461" s="364"/>
      <c r="S461" s="364"/>
      <c r="T461" s="364"/>
      <c r="U461" s="364"/>
      <c r="V461" s="364"/>
      <c r="W461" s="364"/>
      <c r="X461" s="364"/>
      <c r="Y461" s="364"/>
      <c r="Z461" s="364"/>
    </row>
    <row r="462">
      <c r="A462" s="367"/>
      <c r="B462" s="367"/>
      <c r="C462" s="364"/>
      <c r="D462" s="364"/>
      <c r="E462" s="364"/>
      <c r="F462" s="364"/>
      <c r="G462" s="364"/>
      <c r="H462" s="364"/>
      <c r="I462" s="364"/>
      <c r="J462" s="364"/>
      <c r="K462" s="364"/>
      <c r="L462" s="364"/>
      <c r="M462" s="364"/>
      <c r="N462" s="364"/>
      <c r="O462" s="364"/>
      <c r="P462" s="364"/>
      <c r="Q462" s="364"/>
      <c r="R462" s="364"/>
      <c r="S462" s="364"/>
      <c r="T462" s="364"/>
      <c r="U462" s="364"/>
      <c r="V462" s="364"/>
      <c r="W462" s="364"/>
      <c r="X462" s="364"/>
      <c r="Y462" s="364"/>
      <c r="Z462" s="364"/>
    </row>
    <row r="463">
      <c r="A463" s="367"/>
      <c r="B463" s="367"/>
      <c r="C463" s="364"/>
      <c r="D463" s="364"/>
      <c r="E463" s="364"/>
      <c r="F463" s="364"/>
      <c r="G463" s="364"/>
      <c r="H463" s="364"/>
      <c r="I463" s="364"/>
      <c r="J463" s="364"/>
      <c r="K463" s="364"/>
      <c r="L463" s="364"/>
      <c r="M463" s="364"/>
      <c r="N463" s="364"/>
      <c r="O463" s="364"/>
      <c r="P463" s="364"/>
      <c r="Q463" s="364"/>
      <c r="R463" s="364"/>
      <c r="S463" s="364"/>
      <c r="T463" s="364"/>
      <c r="U463" s="364"/>
      <c r="V463" s="364"/>
      <c r="W463" s="364"/>
      <c r="X463" s="364"/>
      <c r="Y463" s="364"/>
      <c r="Z463" s="364"/>
    </row>
    <row r="464">
      <c r="A464" s="367"/>
      <c r="B464" s="367"/>
      <c r="C464" s="364"/>
      <c r="D464" s="364"/>
      <c r="E464" s="364"/>
      <c r="F464" s="364"/>
      <c r="G464" s="364"/>
      <c r="H464" s="364"/>
      <c r="I464" s="364"/>
      <c r="J464" s="364"/>
      <c r="K464" s="364"/>
      <c r="L464" s="364"/>
      <c r="M464" s="364"/>
      <c r="N464" s="364"/>
      <c r="O464" s="364"/>
      <c r="P464" s="364"/>
      <c r="Q464" s="364"/>
      <c r="R464" s="364"/>
      <c r="S464" s="364"/>
      <c r="T464" s="364"/>
      <c r="U464" s="364"/>
      <c r="V464" s="364"/>
      <c r="W464" s="364"/>
      <c r="X464" s="364"/>
      <c r="Y464" s="364"/>
      <c r="Z464" s="364"/>
    </row>
    <row r="465">
      <c r="A465" s="367"/>
      <c r="B465" s="367"/>
      <c r="C465" s="364"/>
      <c r="D465" s="364"/>
      <c r="E465" s="364"/>
      <c r="F465" s="364"/>
      <c r="G465" s="364"/>
      <c r="H465" s="364"/>
      <c r="I465" s="364"/>
      <c r="J465" s="364"/>
      <c r="K465" s="364"/>
      <c r="L465" s="364"/>
      <c r="M465" s="364"/>
      <c r="N465" s="364"/>
      <c r="O465" s="364"/>
      <c r="P465" s="364"/>
      <c r="Q465" s="364"/>
      <c r="R465" s="364"/>
      <c r="S465" s="364"/>
      <c r="T465" s="364"/>
      <c r="U465" s="364"/>
      <c r="V465" s="364"/>
      <c r="W465" s="364"/>
      <c r="X465" s="364"/>
      <c r="Y465" s="364"/>
      <c r="Z465" s="364"/>
    </row>
    <row r="466">
      <c r="A466" s="367"/>
      <c r="B466" s="367"/>
      <c r="C466" s="364"/>
      <c r="D466" s="364"/>
      <c r="E466" s="364"/>
      <c r="F466" s="364"/>
      <c r="G466" s="364"/>
      <c r="H466" s="364"/>
      <c r="I466" s="364"/>
      <c r="J466" s="364"/>
      <c r="K466" s="364"/>
      <c r="L466" s="364"/>
      <c r="M466" s="364"/>
      <c r="N466" s="364"/>
      <c r="O466" s="364"/>
      <c r="P466" s="364"/>
      <c r="Q466" s="364"/>
      <c r="R466" s="364"/>
      <c r="S466" s="364"/>
      <c r="T466" s="364"/>
      <c r="U466" s="364"/>
      <c r="V466" s="364"/>
      <c r="W466" s="364"/>
      <c r="X466" s="364"/>
      <c r="Y466" s="364"/>
      <c r="Z466" s="364"/>
    </row>
    <row r="467">
      <c r="A467" s="367"/>
      <c r="B467" s="367"/>
      <c r="C467" s="364"/>
      <c r="D467" s="364"/>
      <c r="E467" s="364"/>
      <c r="F467" s="364"/>
      <c r="G467" s="364"/>
      <c r="H467" s="364"/>
      <c r="I467" s="364"/>
      <c r="J467" s="364"/>
      <c r="K467" s="364"/>
      <c r="L467" s="364"/>
      <c r="M467" s="364"/>
      <c r="N467" s="364"/>
      <c r="O467" s="364"/>
      <c r="P467" s="364"/>
      <c r="Q467" s="364"/>
      <c r="R467" s="364"/>
      <c r="S467" s="364"/>
      <c r="T467" s="364"/>
      <c r="U467" s="364"/>
      <c r="V467" s="364"/>
      <c r="W467" s="364"/>
      <c r="X467" s="364"/>
      <c r="Y467" s="364"/>
      <c r="Z467" s="364"/>
    </row>
    <row r="468">
      <c r="A468" s="367"/>
      <c r="B468" s="367"/>
      <c r="C468" s="364"/>
      <c r="D468" s="364"/>
      <c r="E468" s="364"/>
      <c r="F468" s="364"/>
      <c r="G468" s="364"/>
      <c r="H468" s="364"/>
      <c r="I468" s="364"/>
      <c r="J468" s="364"/>
      <c r="K468" s="364"/>
      <c r="L468" s="364"/>
      <c r="M468" s="364"/>
      <c r="N468" s="364"/>
      <c r="O468" s="364"/>
      <c r="P468" s="364"/>
      <c r="Q468" s="364"/>
      <c r="R468" s="364"/>
      <c r="S468" s="364"/>
      <c r="T468" s="364"/>
      <c r="U468" s="364"/>
      <c r="V468" s="364"/>
      <c r="W468" s="364"/>
      <c r="X468" s="364"/>
      <c r="Y468" s="364"/>
      <c r="Z468" s="364"/>
    </row>
    <row r="469">
      <c r="A469" s="367"/>
      <c r="B469" s="367"/>
      <c r="C469" s="364"/>
      <c r="D469" s="364"/>
      <c r="E469" s="364"/>
      <c r="F469" s="364"/>
      <c r="G469" s="364"/>
      <c r="H469" s="364"/>
      <c r="I469" s="364"/>
      <c r="J469" s="364"/>
      <c r="K469" s="364"/>
      <c r="L469" s="364"/>
      <c r="M469" s="364"/>
      <c r="N469" s="364"/>
      <c r="O469" s="364"/>
      <c r="P469" s="364"/>
      <c r="Q469" s="364"/>
      <c r="R469" s="364"/>
      <c r="S469" s="364"/>
      <c r="T469" s="364"/>
      <c r="U469" s="364"/>
      <c r="V469" s="364"/>
      <c r="W469" s="364"/>
      <c r="X469" s="364"/>
      <c r="Y469" s="364"/>
      <c r="Z469" s="364"/>
    </row>
    <row r="470">
      <c r="A470" s="367"/>
      <c r="B470" s="367"/>
      <c r="C470" s="364"/>
      <c r="D470" s="364"/>
      <c r="E470" s="364"/>
      <c r="F470" s="364"/>
      <c r="G470" s="364"/>
      <c r="H470" s="364"/>
      <c r="I470" s="364"/>
      <c r="J470" s="364"/>
      <c r="K470" s="364"/>
      <c r="L470" s="364"/>
      <c r="M470" s="364"/>
      <c r="N470" s="364"/>
      <c r="O470" s="364"/>
      <c r="P470" s="364"/>
      <c r="Q470" s="364"/>
      <c r="R470" s="364"/>
      <c r="S470" s="364"/>
      <c r="T470" s="364"/>
      <c r="U470" s="364"/>
      <c r="V470" s="364"/>
      <c r="W470" s="364"/>
      <c r="X470" s="364"/>
      <c r="Y470" s="364"/>
      <c r="Z470" s="364"/>
    </row>
    <row r="471">
      <c r="A471" s="367"/>
      <c r="B471" s="367"/>
      <c r="C471" s="364"/>
      <c r="D471" s="364"/>
      <c r="E471" s="364"/>
      <c r="F471" s="364"/>
      <c r="G471" s="364"/>
      <c r="H471" s="364"/>
      <c r="I471" s="364"/>
      <c r="J471" s="364"/>
      <c r="K471" s="364"/>
      <c r="L471" s="364"/>
      <c r="M471" s="364"/>
      <c r="N471" s="364"/>
      <c r="O471" s="364"/>
      <c r="P471" s="364"/>
      <c r="Q471" s="364"/>
      <c r="R471" s="364"/>
      <c r="S471" s="364"/>
      <c r="T471" s="364"/>
      <c r="U471" s="364"/>
      <c r="V471" s="364"/>
      <c r="W471" s="364"/>
      <c r="X471" s="364"/>
      <c r="Y471" s="364"/>
      <c r="Z471" s="364"/>
    </row>
    <row r="472">
      <c r="A472" s="367"/>
      <c r="B472" s="367"/>
      <c r="C472" s="364"/>
      <c r="D472" s="364"/>
      <c r="E472" s="364"/>
      <c r="F472" s="364"/>
      <c r="G472" s="364"/>
      <c r="H472" s="364"/>
      <c r="I472" s="364"/>
      <c r="J472" s="364"/>
      <c r="K472" s="364"/>
      <c r="L472" s="364"/>
      <c r="M472" s="364"/>
      <c r="N472" s="364"/>
      <c r="O472" s="364"/>
      <c r="P472" s="364"/>
      <c r="Q472" s="364"/>
      <c r="R472" s="364"/>
      <c r="S472" s="364"/>
      <c r="T472" s="364"/>
      <c r="U472" s="364"/>
      <c r="V472" s="364"/>
      <c r="W472" s="364"/>
      <c r="X472" s="364"/>
      <c r="Y472" s="364"/>
      <c r="Z472" s="364"/>
    </row>
    <row r="473">
      <c r="A473" s="367"/>
      <c r="B473" s="367"/>
      <c r="C473" s="364"/>
      <c r="D473" s="364"/>
      <c r="E473" s="364"/>
      <c r="F473" s="364"/>
      <c r="G473" s="364"/>
      <c r="H473" s="364"/>
      <c r="I473" s="364"/>
      <c r="J473" s="364"/>
      <c r="K473" s="364"/>
      <c r="L473" s="364"/>
      <c r="M473" s="364"/>
      <c r="N473" s="364"/>
      <c r="O473" s="364"/>
      <c r="P473" s="364"/>
      <c r="Q473" s="364"/>
      <c r="R473" s="364"/>
      <c r="S473" s="364"/>
      <c r="T473" s="364"/>
      <c r="U473" s="364"/>
      <c r="V473" s="364"/>
      <c r="W473" s="364"/>
      <c r="X473" s="364"/>
      <c r="Y473" s="364"/>
      <c r="Z473" s="364"/>
    </row>
    <row r="474">
      <c r="A474" s="367"/>
      <c r="B474" s="367"/>
      <c r="C474" s="364"/>
      <c r="D474" s="364"/>
      <c r="E474" s="364"/>
      <c r="F474" s="364"/>
      <c r="G474" s="364"/>
      <c r="H474" s="364"/>
      <c r="I474" s="364"/>
      <c r="J474" s="364"/>
      <c r="K474" s="364"/>
      <c r="L474" s="364"/>
      <c r="M474" s="364"/>
      <c r="N474" s="364"/>
      <c r="O474" s="364"/>
      <c r="P474" s="364"/>
      <c r="Q474" s="364"/>
      <c r="R474" s="364"/>
      <c r="S474" s="364"/>
      <c r="T474" s="364"/>
      <c r="U474" s="364"/>
      <c r="V474" s="364"/>
      <c r="W474" s="364"/>
      <c r="X474" s="364"/>
      <c r="Y474" s="364"/>
      <c r="Z474" s="364"/>
    </row>
    <row r="475">
      <c r="A475" s="367"/>
      <c r="B475" s="367"/>
      <c r="C475" s="364"/>
      <c r="D475" s="364"/>
      <c r="E475" s="364"/>
      <c r="F475" s="364"/>
      <c r="G475" s="364"/>
      <c r="H475" s="364"/>
      <c r="I475" s="364"/>
      <c r="J475" s="364"/>
      <c r="K475" s="364"/>
      <c r="L475" s="364"/>
      <c r="M475" s="364"/>
      <c r="N475" s="364"/>
      <c r="O475" s="364"/>
      <c r="P475" s="364"/>
      <c r="Q475" s="364"/>
      <c r="R475" s="364"/>
      <c r="S475" s="364"/>
      <c r="T475" s="364"/>
      <c r="U475" s="364"/>
      <c r="V475" s="364"/>
      <c r="W475" s="364"/>
      <c r="X475" s="364"/>
      <c r="Y475" s="364"/>
      <c r="Z475" s="364"/>
    </row>
    <row r="476">
      <c r="A476" s="367"/>
      <c r="B476" s="367"/>
      <c r="C476" s="364"/>
      <c r="D476" s="364"/>
      <c r="E476" s="364"/>
      <c r="F476" s="364"/>
      <c r="G476" s="364"/>
      <c r="H476" s="364"/>
      <c r="I476" s="364"/>
      <c r="J476" s="364"/>
      <c r="K476" s="364"/>
      <c r="L476" s="364"/>
      <c r="M476" s="364"/>
      <c r="N476" s="364"/>
      <c r="O476" s="364"/>
      <c r="P476" s="364"/>
      <c r="Q476" s="364"/>
      <c r="R476" s="364"/>
      <c r="S476" s="364"/>
      <c r="T476" s="364"/>
      <c r="U476" s="364"/>
      <c r="V476" s="364"/>
      <c r="W476" s="364"/>
      <c r="X476" s="364"/>
      <c r="Y476" s="364"/>
      <c r="Z476" s="364"/>
    </row>
    <row r="477">
      <c r="A477" s="367"/>
      <c r="B477" s="367"/>
      <c r="C477" s="364"/>
      <c r="D477" s="364"/>
      <c r="E477" s="364"/>
      <c r="F477" s="364"/>
      <c r="G477" s="364"/>
      <c r="H477" s="364"/>
      <c r="I477" s="364"/>
      <c r="J477" s="364"/>
      <c r="K477" s="364"/>
      <c r="L477" s="364"/>
      <c r="M477" s="364"/>
      <c r="N477" s="364"/>
      <c r="O477" s="364"/>
      <c r="P477" s="364"/>
      <c r="Q477" s="364"/>
      <c r="R477" s="364"/>
      <c r="S477" s="364"/>
      <c r="T477" s="364"/>
      <c r="U477" s="364"/>
      <c r="V477" s="364"/>
      <c r="W477" s="364"/>
      <c r="X477" s="364"/>
      <c r="Y477" s="364"/>
      <c r="Z477" s="364"/>
    </row>
    <row r="478">
      <c r="A478" s="367"/>
      <c r="B478" s="367"/>
      <c r="C478" s="364"/>
      <c r="D478" s="364"/>
      <c r="E478" s="364"/>
      <c r="F478" s="364"/>
      <c r="G478" s="364"/>
      <c r="H478" s="364"/>
      <c r="I478" s="364"/>
      <c r="J478" s="364"/>
      <c r="K478" s="364"/>
      <c r="L478" s="364"/>
      <c r="M478" s="364"/>
      <c r="N478" s="364"/>
      <c r="O478" s="364"/>
      <c r="P478" s="364"/>
      <c r="Q478" s="364"/>
      <c r="R478" s="364"/>
      <c r="S478" s="364"/>
      <c r="T478" s="364"/>
      <c r="U478" s="364"/>
      <c r="V478" s="364"/>
      <c r="W478" s="364"/>
      <c r="X478" s="364"/>
      <c r="Y478" s="364"/>
      <c r="Z478" s="364"/>
    </row>
    <row r="479">
      <c r="A479" s="367"/>
      <c r="B479" s="367"/>
      <c r="C479" s="364"/>
      <c r="D479" s="364"/>
      <c r="E479" s="364"/>
      <c r="F479" s="364"/>
      <c r="G479" s="364"/>
      <c r="H479" s="364"/>
      <c r="I479" s="364"/>
      <c r="J479" s="364"/>
      <c r="K479" s="364"/>
      <c r="L479" s="364"/>
      <c r="M479" s="364"/>
      <c r="N479" s="364"/>
      <c r="O479" s="364"/>
      <c r="P479" s="364"/>
      <c r="Q479" s="364"/>
      <c r="R479" s="364"/>
      <c r="S479" s="364"/>
      <c r="T479" s="364"/>
      <c r="U479" s="364"/>
      <c r="V479" s="364"/>
      <c r="W479" s="364"/>
      <c r="X479" s="364"/>
      <c r="Y479" s="364"/>
      <c r="Z479" s="364"/>
    </row>
    <row r="480">
      <c r="A480" s="367"/>
      <c r="B480" s="367"/>
      <c r="C480" s="364"/>
      <c r="D480" s="364"/>
      <c r="E480" s="364"/>
      <c r="F480" s="364"/>
      <c r="G480" s="364"/>
      <c r="H480" s="364"/>
      <c r="I480" s="364"/>
      <c r="J480" s="364"/>
      <c r="K480" s="364"/>
      <c r="L480" s="364"/>
      <c r="M480" s="364"/>
      <c r="N480" s="364"/>
      <c r="O480" s="364"/>
      <c r="P480" s="364"/>
      <c r="Q480" s="364"/>
      <c r="R480" s="364"/>
      <c r="S480" s="364"/>
      <c r="T480" s="364"/>
      <c r="U480" s="364"/>
      <c r="V480" s="364"/>
      <c r="W480" s="364"/>
      <c r="X480" s="364"/>
      <c r="Y480" s="364"/>
      <c r="Z480" s="364"/>
    </row>
    <row r="481">
      <c r="A481" s="367"/>
      <c r="B481" s="367"/>
      <c r="C481" s="364"/>
      <c r="D481" s="364"/>
      <c r="E481" s="364"/>
      <c r="F481" s="364"/>
      <c r="G481" s="364"/>
      <c r="H481" s="364"/>
      <c r="I481" s="364"/>
      <c r="J481" s="364"/>
      <c r="K481" s="364"/>
      <c r="L481" s="364"/>
      <c r="M481" s="364"/>
      <c r="N481" s="364"/>
      <c r="O481" s="364"/>
      <c r="P481" s="364"/>
      <c r="Q481" s="364"/>
      <c r="R481" s="364"/>
      <c r="S481" s="364"/>
      <c r="T481" s="364"/>
      <c r="U481" s="364"/>
      <c r="V481" s="364"/>
      <c r="W481" s="364"/>
      <c r="X481" s="364"/>
      <c r="Y481" s="364"/>
      <c r="Z481" s="364"/>
    </row>
    <row r="482">
      <c r="A482" s="367"/>
      <c r="B482" s="367"/>
      <c r="C482" s="364"/>
      <c r="D482" s="364"/>
      <c r="E482" s="364"/>
      <c r="F482" s="364"/>
      <c r="G482" s="364"/>
      <c r="H482" s="364"/>
      <c r="I482" s="364"/>
      <c r="J482" s="364"/>
      <c r="K482" s="364"/>
      <c r="L482" s="364"/>
      <c r="M482" s="364"/>
      <c r="N482" s="364"/>
      <c r="O482" s="364"/>
      <c r="P482" s="364"/>
      <c r="Q482" s="364"/>
      <c r="R482" s="364"/>
      <c r="S482" s="364"/>
      <c r="T482" s="364"/>
      <c r="U482" s="364"/>
      <c r="V482" s="364"/>
      <c r="W482" s="364"/>
      <c r="X482" s="364"/>
      <c r="Y482" s="364"/>
      <c r="Z482" s="364"/>
    </row>
    <row r="483">
      <c r="A483" s="367"/>
      <c r="B483" s="367"/>
      <c r="C483" s="364"/>
      <c r="D483" s="364"/>
      <c r="E483" s="364"/>
      <c r="F483" s="364"/>
      <c r="G483" s="364"/>
      <c r="H483" s="364"/>
      <c r="I483" s="364"/>
      <c r="J483" s="364"/>
      <c r="K483" s="364"/>
      <c r="L483" s="364"/>
      <c r="M483" s="364"/>
      <c r="N483" s="364"/>
      <c r="O483" s="364"/>
      <c r="P483" s="364"/>
      <c r="Q483" s="364"/>
      <c r="R483" s="364"/>
      <c r="S483" s="364"/>
      <c r="T483" s="364"/>
      <c r="U483" s="364"/>
      <c r="V483" s="364"/>
      <c r="W483" s="364"/>
      <c r="X483" s="364"/>
      <c r="Y483" s="364"/>
      <c r="Z483" s="364"/>
    </row>
    <row r="484">
      <c r="A484" s="367"/>
      <c r="B484" s="367"/>
      <c r="C484" s="364"/>
      <c r="D484" s="364"/>
      <c r="E484" s="364"/>
      <c r="F484" s="364"/>
      <c r="G484" s="364"/>
      <c r="H484" s="364"/>
      <c r="I484" s="364"/>
      <c r="J484" s="364"/>
      <c r="K484" s="364"/>
      <c r="L484" s="364"/>
      <c r="M484" s="364"/>
      <c r="N484" s="364"/>
      <c r="O484" s="364"/>
      <c r="P484" s="364"/>
      <c r="Q484" s="364"/>
      <c r="R484" s="364"/>
      <c r="S484" s="364"/>
      <c r="T484" s="364"/>
      <c r="U484" s="364"/>
      <c r="V484" s="364"/>
      <c r="W484" s="364"/>
      <c r="X484" s="364"/>
      <c r="Y484" s="364"/>
      <c r="Z484" s="364"/>
    </row>
    <row r="485">
      <c r="A485" s="367"/>
      <c r="B485" s="367"/>
      <c r="C485" s="364"/>
      <c r="D485" s="364"/>
      <c r="E485" s="364"/>
      <c r="F485" s="364"/>
      <c r="G485" s="364"/>
      <c r="H485" s="364"/>
      <c r="I485" s="364"/>
      <c r="J485" s="364"/>
      <c r="K485" s="364"/>
      <c r="L485" s="364"/>
      <c r="M485" s="364"/>
      <c r="N485" s="364"/>
      <c r="O485" s="364"/>
      <c r="P485" s="364"/>
      <c r="Q485" s="364"/>
      <c r="R485" s="364"/>
      <c r="S485" s="364"/>
      <c r="T485" s="364"/>
      <c r="U485" s="364"/>
      <c r="V485" s="364"/>
      <c r="W485" s="364"/>
      <c r="X485" s="364"/>
      <c r="Y485" s="364"/>
      <c r="Z485" s="364"/>
    </row>
    <row r="486">
      <c r="A486" s="367"/>
      <c r="B486" s="367"/>
      <c r="C486" s="364"/>
      <c r="D486" s="364"/>
      <c r="E486" s="364"/>
      <c r="F486" s="364"/>
      <c r="G486" s="364"/>
      <c r="H486" s="364"/>
      <c r="I486" s="364"/>
      <c r="J486" s="364"/>
      <c r="K486" s="364"/>
      <c r="L486" s="364"/>
      <c r="M486" s="364"/>
      <c r="N486" s="364"/>
      <c r="O486" s="364"/>
      <c r="P486" s="364"/>
      <c r="Q486" s="364"/>
      <c r="R486" s="364"/>
      <c r="S486" s="364"/>
      <c r="T486" s="364"/>
      <c r="U486" s="364"/>
      <c r="V486" s="364"/>
      <c r="W486" s="364"/>
      <c r="X486" s="364"/>
      <c r="Y486" s="364"/>
      <c r="Z486" s="364"/>
    </row>
    <row r="487">
      <c r="A487" s="367"/>
      <c r="B487" s="367"/>
      <c r="C487" s="364"/>
      <c r="D487" s="364"/>
      <c r="E487" s="364"/>
      <c r="F487" s="364"/>
      <c r="G487" s="364"/>
      <c r="H487" s="364"/>
      <c r="I487" s="364"/>
      <c r="J487" s="364"/>
      <c r="K487" s="364"/>
      <c r="L487" s="364"/>
      <c r="M487" s="364"/>
      <c r="N487" s="364"/>
      <c r="O487" s="364"/>
      <c r="P487" s="364"/>
      <c r="Q487" s="364"/>
      <c r="R487" s="364"/>
      <c r="S487" s="364"/>
      <c r="T487" s="364"/>
      <c r="U487" s="364"/>
      <c r="V487" s="364"/>
      <c r="W487" s="364"/>
      <c r="X487" s="364"/>
      <c r="Y487" s="364"/>
      <c r="Z487" s="364"/>
    </row>
    <row r="488">
      <c r="A488" s="367"/>
      <c r="B488" s="367"/>
      <c r="C488" s="364"/>
      <c r="D488" s="364"/>
      <c r="E488" s="364"/>
      <c r="F488" s="364"/>
      <c r="G488" s="364"/>
      <c r="H488" s="364"/>
      <c r="I488" s="364"/>
      <c r="J488" s="364"/>
      <c r="K488" s="364"/>
      <c r="L488" s="364"/>
      <c r="M488" s="364"/>
      <c r="N488" s="364"/>
      <c r="O488" s="364"/>
      <c r="P488" s="364"/>
      <c r="Q488" s="364"/>
      <c r="R488" s="364"/>
      <c r="S488" s="364"/>
      <c r="T488" s="364"/>
      <c r="U488" s="364"/>
      <c r="V488" s="364"/>
      <c r="W488" s="364"/>
      <c r="X488" s="364"/>
      <c r="Y488" s="364"/>
      <c r="Z488" s="364"/>
    </row>
    <row r="489">
      <c r="A489" s="367"/>
      <c r="B489" s="367"/>
      <c r="C489" s="364"/>
      <c r="D489" s="364"/>
      <c r="E489" s="364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</row>
    <row r="490">
      <c r="A490" s="367"/>
      <c r="B490" s="367"/>
      <c r="C490" s="364"/>
      <c r="D490" s="364"/>
      <c r="E490" s="364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</row>
    <row r="491">
      <c r="A491" s="367"/>
      <c r="B491" s="367"/>
      <c r="C491" s="364"/>
      <c r="D491" s="364"/>
      <c r="E491" s="364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</row>
    <row r="492">
      <c r="A492" s="367"/>
      <c r="B492" s="367"/>
      <c r="C492" s="364"/>
      <c r="D492" s="364"/>
      <c r="E492" s="364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</row>
    <row r="493">
      <c r="A493" s="367"/>
      <c r="B493" s="367"/>
      <c r="C493" s="364"/>
      <c r="D493" s="364"/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</row>
    <row r="494">
      <c r="A494" s="367"/>
      <c r="B494" s="367"/>
      <c r="C494" s="364"/>
      <c r="D494" s="364"/>
      <c r="E494" s="364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</row>
    <row r="495">
      <c r="A495" s="367"/>
      <c r="B495" s="367"/>
      <c r="C495" s="364"/>
      <c r="D495" s="364"/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</row>
    <row r="496">
      <c r="A496" s="367"/>
      <c r="B496" s="367"/>
      <c r="C496" s="364"/>
      <c r="D496" s="364"/>
      <c r="E496" s="364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</row>
    <row r="497">
      <c r="A497" s="367"/>
      <c r="B497" s="367"/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</row>
    <row r="498">
      <c r="A498" s="367"/>
      <c r="B498" s="367"/>
      <c r="C498" s="364"/>
      <c r="D498" s="364"/>
      <c r="E498" s="364"/>
      <c r="F498" s="364"/>
      <c r="G498" s="364"/>
      <c r="H498" s="364"/>
      <c r="I498" s="364"/>
      <c r="J498" s="364"/>
      <c r="K498" s="364"/>
      <c r="L498" s="364"/>
      <c r="M498" s="364"/>
      <c r="N498" s="364"/>
      <c r="O498" s="364"/>
      <c r="P498" s="364"/>
      <c r="Q498" s="364"/>
      <c r="R498" s="364"/>
      <c r="S498" s="364"/>
      <c r="T498" s="364"/>
      <c r="U498" s="364"/>
      <c r="V498" s="364"/>
      <c r="W498" s="364"/>
      <c r="X498" s="364"/>
      <c r="Y498" s="364"/>
      <c r="Z498" s="364"/>
    </row>
    <row r="499">
      <c r="A499" s="367"/>
      <c r="B499" s="367"/>
      <c r="C499" s="364"/>
      <c r="D499" s="364"/>
      <c r="E499" s="364"/>
      <c r="F499" s="364"/>
      <c r="G499" s="364"/>
      <c r="H499" s="364"/>
      <c r="I499" s="364"/>
      <c r="J499" s="364"/>
      <c r="K499" s="364"/>
      <c r="L499" s="364"/>
      <c r="M499" s="364"/>
      <c r="N499" s="364"/>
      <c r="O499" s="364"/>
      <c r="P499" s="364"/>
      <c r="Q499" s="364"/>
      <c r="R499" s="364"/>
      <c r="S499" s="364"/>
      <c r="T499" s="364"/>
      <c r="U499" s="364"/>
      <c r="V499" s="364"/>
      <c r="W499" s="364"/>
      <c r="X499" s="364"/>
      <c r="Y499" s="364"/>
      <c r="Z499" s="364"/>
    </row>
    <row r="500">
      <c r="A500" s="367"/>
      <c r="B500" s="367"/>
      <c r="C500" s="364"/>
      <c r="D500" s="364"/>
      <c r="E500" s="364"/>
      <c r="F500" s="364"/>
      <c r="G500" s="364"/>
      <c r="H500" s="364"/>
      <c r="I500" s="364"/>
      <c r="J500" s="364"/>
      <c r="K500" s="364"/>
      <c r="L500" s="364"/>
      <c r="M500" s="364"/>
      <c r="N500" s="364"/>
      <c r="O500" s="364"/>
      <c r="P500" s="364"/>
      <c r="Q500" s="364"/>
      <c r="R500" s="364"/>
      <c r="S500" s="364"/>
      <c r="T500" s="364"/>
      <c r="U500" s="364"/>
      <c r="V500" s="364"/>
      <c r="W500" s="364"/>
      <c r="X500" s="364"/>
      <c r="Y500" s="364"/>
      <c r="Z500" s="364"/>
    </row>
    <row r="501">
      <c r="A501" s="367"/>
      <c r="B501" s="367"/>
      <c r="C501" s="364"/>
      <c r="D501" s="364"/>
      <c r="E501" s="364"/>
      <c r="F501" s="364"/>
      <c r="G501" s="364"/>
      <c r="H501" s="364"/>
      <c r="I501" s="364"/>
      <c r="J501" s="364"/>
      <c r="K501" s="364"/>
      <c r="L501" s="364"/>
      <c r="M501" s="364"/>
      <c r="N501" s="364"/>
      <c r="O501" s="364"/>
      <c r="P501" s="364"/>
      <c r="Q501" s="364"/>
      <c r="R501" s="364"/>
      <c r="S501" s="364"/>
      <c r="T501" s="364"/>
      <c r="U501" s="364"/>
      <c r="V501" s="364"/>
      <c r="W501" s="364"/>
      <c r="X501" s="364"/>
      <c r="Y501" s="364"/>
      <c r="Z501" s="364"/>
    </row>
    <row r="502">
      <c r="A502" s="367"/>
      <c r="B502" s="367"/>
      <c r="C502" s="364"/>
      <c r="D502" s="364"/>
      <c r="E502" s="364"/>
      <c r="F502" s="364"/>
      <c r="G502" s="364"/>
      <c r="H502" s="364"/>
      <c r="I502" s="364"/>
      <c r="J502" s="364"/>
      <c r="K502" s="364"/>
      <c r="L502" s="364"/>
      <c r="M502" s="364"/>
      <c r="N502" s="364"/>
      <c r="O502" s="364"/>
      <c r="P502" s="364"/>
      <c r="Q502" s="364"/>
      <c r="R502" s="364"/>
      <c r="S502" s="364"/>
      <c r="T502" s="364"/>
      <c r="U502" s="364"/>
      <c r="V502" s="364"/>
      <c r="W502" s="364"/>
      <c r="X502" s="364"/>
      <c r="Y502" s="364"/>
      <c r="Z502" s="364"/>
    </row>
    <row r="503">
      <c r="A503" s="367"/>
      <c r="B503" s="367"/>
      <c r="C503" s="364"/>
      <c r="D503" s="364"/>
      <c r="E503" s="364"/>
      <c r="F503" s="364"/>
      <c r="G503" s="364"/>
      <c r="H503" s="364"/>
      <c r="I503" s="364"/>
      <c r="J503" s="364"/>
      <c r="K503" s="364"/>
      <c r="L503" s="364"/>
      <c r="M503" s="364"/>
      <c r="N503" s="364"/>
      <c r="O503" s="364"/>
      <c r="P503" s="364"/>
      <c r="Q503" s="364"/>
      <c r="R503" s="364"/>
      <c r="S503" s="364"/>
      <c r="T503" s="364"/>
      <c r="U503" s="364"/>
      <c r="V503" s="364"/>
      <c r="W503" s="364"/>
      <c r="X503" s="364"/>
      <c r="Y503" s="364"/>
      <c r="Z503" s="364"/>
    </row>
    <row r="504">
      <c r="A504" s="367"/>
      <c r="B504" s="367"/>
      <c r="C504" s="364"/>
      <c r="D504" s="364"/>
      <c r="E504" s="364"/>
      <c r="F504" s="364"/>
      <c r="G504" s="364"/>
      <c r="H504" s="364"/>
      <c r="I504" s="364"/>
      <c r="J504" s="364"/>
      <c r="K504" s="364"/>
      <c r="L504" s="364"/>
      <c r="M504" s="364"/>
      <c r="N504" s="364"/>
      <c r="O504" s="364"/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4"/>
    </row>
    <row r="505">
      <c r="A505" s="367"/>
      <c r="B505" s="367"/>
      <c r="C505" s="364"/>
      <c r="D505" s="364"/>
      <c r="E505" s="364"/>
      <c r="F505" s="364"/>
      <c r="G505" s="364"/>
      <c r="H505" s="364"/>
      <c r="I505" s="364"/>
      <c r="J505" s="364"/>
      <c r="K505" s="364"/>
      <c r="L505" s="364"/>
      <c r="M505" s="364"/>
      <c r="N505" s="364"/>
      <c r="O505" s="364"/>
      <c r="P505" s="364"/>
      <c r="Q505" s="364"/>
      <c r="R505" s="364"/>
      <c r="S505" s="364"/>
      <c r="T505" s="364"/>
      <c r="U505" s="364"/>
      <c r="V505" s="364"/>
      <c r="W505" s="364"/>
      <c r="X505" s="364"/>
      <c r="Y505" s="364"/>
      <c r="Z505" s="364"/>
    </row>
    <row r="506">
      <c r="A506" s="367"/>
      <c r="B506" s="367"/>
      <c r="C506" s="364"/>
      <c r="D506" s="364"/>
      <c r="E506" s="364"/>
      <c r="F506" s="364"/>
      <c r="G506" s="364"/>
      <c r="H506" s="364"/>
      <c r="I506" s="364"/>
      <c r="J506" s="364"/>
      <c r="K506" s="364"/>
      <c r="L506" s="364"/>
      <c r="M506" s="364"/>
      <c r="N506" s="364"/>
      <c r="O506" s="364"/>
      <c r="P506" s="364"/>
      <c r="Q506" s="364"/>
      <c r="R506" s="364"/>
      <c r="S506" s="364"/>
      <c r="T506" s="364"/>
      <c r="U506" s="364"/>
      <c r="V506" s="364"/>
      <c r="W506" s="364"/>
      <c r="X506" s="364"/>
      <c r="Y506" s="364"/>
      <c r="Z506" s="364"/>
    </row>
    <row r="507">
      <c r="A507" s="367"/>
      <c r="B507" s="367"/>
      <c r="C507" s="364"/>
      <c r="D507" s="364"/>
      <c r="E507" s="364"/>
      <c r="F507" s="364"/>
      <c r="G507" s="364"/>
      <c r="H507" s="364"/>
      <c r="I507" s="364"/>
      <c r="J507" s="364"/>
      <c r="K507" s="364"/>
      <c r="L507" s="364"/>
      <c r="M507" s="364"/>
      <c r="N507" s="364"/>
      <c r="O507" s="364"/>
      <c r="P507" s="364"/>
      <c r="Q507" s="364"/>
      <c r="R507" s="364"/>
      <c r="S507" s="364"/>
      <c r="T507" s="364"/>
      <c r="U507" s="364"/>
      <c r="V507" s="364"/>
      <c r="W507" s="364"/>
      <c r="X507" s="364"/>
      <c r="Y507" s="364"/>
      <c r="Z507" s="364"/>
    </row>
    <row r="508">
      <c r="A508" s="367"/>
      <c r="B508" s="367"/>
      <c r="C508" s="364"/>
      <c r="D508" s="364"/>
      <c r="E508" s="364"/>
      <c r="F508" s="364"/>
      <c r="G508" s="364"/>
      <c r="H508" s="364"/>
      <c r="I508" s="364"/>
      <c r="J508" s="364"/>
      <c r="K508" s="364"/>
      <c r="L508" s="364"/>
      <c r="M508" s="364"/>
      <c r="N508" s="364"/>
      <c r="O508" s="364"/>
      <c r="P508" s="364"/>
      <c r="Q508" s="364"/>
      <c r="R508" s="364"/>
      <c r="S508" s="364"/>
      <c r="T508" s="364"/>
      <c r="U508" s="364"/>
      <c r="V508" s="364"/>
      <c r="W508" s="364"/>
      <c r="X508" s="364"/>
      <c r="Y508" s="364"/>
      <c r="Z508" s="364"/>
    </row>
    <row r="509">
      <c r="A509" s="367"/>
      <c r="B509" s="367"/>
      <c r="C509" s="364"/>
      <c r="D509" s="364"/>
      <c r="E509" s="364"/>
      <c r="F509" s="364"/>
      <c r="G509" s="364"/>
      <c r="H509" s="364"/>
      <c r="I509" s="364"/>
      <c r="J509" s="364"/>
      <c r="K509" s="364"/>
      <c r="L509" s="364"/>
      <c r="M509" s="364"/>
      <c r="N509" s="364"/>
      <c r="O509" s="364"/>
      <c r="P509" s="364"/>
      <c r="Q509" s="364"/>
      <c r="R509" s="364"/>
      <c r="S509" s="364"/>
      <c r="T509" s="364"/>
      <c r="U509" s="364"/>
      <c r="V509" s="364"/>
      <c r="W509" s="364"/>
      <c r="X509" s="364"/>
      <c r="Y509" s="364"/>
      <c r="Z509" s="364"/>
    </row>
    <row r="510">
      <c r="A510" s="367"/>
      <c r="B510" s="367"/>
      <c r="C510" s="364"/>
      <c r="D510" s="364"/>
      <c r="E510" s="364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</row>
    <row r="511">
      <c r="A511" s="367"/>
      <c r="B511" s="367"/>
      <c r="C511" s="364"/>
      <c r="D511" s="364"/>
      <c r="E511" s="364"/>
      <c r="F511" s="364"/>
      <c r="G511" s="364"/>
      <c r="H511" s="364"/>
      <c r="I511" s="364"/>
      <c r="J511" s="364"/>
      <c r="K511" s="364"/>
      <c r="L511" s="364"/>
      <c r="M511" s="364"/>
      <c r="N511" s="364"/>
      <c r="O511" s="364"/>
      <c r="P511" s="364"/>
      <c r="Q511" s="364"/>
      <c r="R511" s="364"/>
      <c r="S511" s="364"/>
      <c r="T511" s="364"/>
      <c r="U511" s="364"/>
      <c r="V511" s="364"/>
      <c r="W511" s="364"/>
      <c r="X511" s="364"/>
      <c r="Y511" s="364"/>
      <c r="Z511" s="364"/>
    </row>
    <row r="512">
      <c r="A512" s="367"/>
      <c r="B512" s="367"/>
      <c r="C512" s="364"/>
      <c r="D512" s="364"/>
      <c r="E512" s="364"/>
      <c r="F512" s="364"/>
      <c r="G512" s="364"/>
      <c r="H512" s="364"/>
      <c r="I512" s="364"/>
      <c r="J512" s="364"/>
      <c r="K512" s="364"/>
      <c r="L512" s="364"/>
      <c r="M512" s="364"/>
      <c r="N512" s="364"/>
      <c r="O512" s="364"/>
      <c r="P512" s="364"/>
      <c r="Q512" s="364"/>
      <c r="R512" s="364"/>
      <c r="S512" s="364"/>
      <c r="T512" s="364"/>
      <c r="U512" s="364"/>
      <c r="V512" s="364"/>
      <c r="W512" s="364"/>
      <c r="X512" s="364"/>
      <c r="Y512" s="364"/>
      <c r="Z512" s="364"/>
    </row>
    <row r="513">
      <c r="A513" s="367"/>
      <c r="B513" s="367"/>
      <c r="C513" s="364"/>
      <c r="D513" s="364"/>
      <c r="E513" s="364"/>
      <c r="F513" s="364"/>
      <c r="G513" s="364"/>
      <c r="H513" s="364"/>
      <c r="I513" s="364"/>
      <c r="J513" s="364"/>
      <c r="K513" s="364"/>
      <c r="L513" s="364"/>
      <c r="M513" s="364"/>
      <c r="N513" s="364"/>
      <c r="O513" s="364"/>
      <c r="P513" s="364"/>
      <c r="Q513" s="364"/>
      <c r="R513" s="364"/>
      <c r="S513" s="364"/>
      <c r="T513" s="364"/>
      <c r="U513" s="364"/>
      <c r="V513" s="364"/>
      <c r="W513" s="364"/>
      <c r="X513" s="364"/>
      <c r="Y513" s="364"/>
      <c r="Z513" s="364"/>
    </row>
    <row r="514">
      <c r="A514" s="367"/>
      <c r="B514" s="367"/>
      <c r="C514" s="364"/>
      <c r="D514" s="364"/>
      <c r="E514" s="364"/>
      <c r="F514" s="364"/>
      <c r="G514" s="364"/>
      <c r="H514" s="364"/>
      <c r="I514" s="364"/>
      <c r="J514" s="364"/>
      <c r="K514" s="364"/>
      <c r="L514" s="364"/>
      <c r="M514" s="364"/>
      <c r="N514" s="364"/>
      <c r="O514" s="364"/>
      <c r="P514" s="364"/>
      <c r="Q514" s="364"/>
      <c r="R514" s="364"/>
      <c r="S514" s="364"/>
      <c r="T514" s="364"/>
      <c r="U514" s="364"/>
      <c r="V514" s="364"/>
      <c r="W514" s="364"/>
      <c r="X514" s="364"/>
      <c r="Y514" s="364"/>
      <c r="Z514" s="364"/>
    </row>
    <row r="515">
      <c r="A515" s="367"/>
      <c r="B515" s="367"/>
      <c r="C515" s="364"/>
      <c r="D515" s="364"/>
      <c r="E515" s="364"/>
      <c r="F515" s="364"/>
      <c r="G515" s="364"/>
      <c r="H515" s="364"/>
      <c r="I515" s="364"/>
      <c r="J515" s="364"/>
      <c r="K515" s="364"/>
      <c r="L515" s="364"/>
      <c r="M515" s="364"/>
      <c r="N515" s="364"/>
      <c r="O515" s="364"/>
      <c r="P515" s="364"/>
      <c r="Q515" s="364"/>
      <c r="R515" s="364"/>
      <c r="S515" s="364"/>
      <c r="T515" s="364"/>
      <c r="U515" s="364"/>
      <c r="V515" s="364"/>
      <c r="W515" s="364"/>
      <c r="X515" s="364"/>
      <c r="Y515" s="364"/>
      <c r="Z515" s="364"/>
    </row>
    <row r="516">
      <c r="A516" s="367"/>
      <c r="B516" s="367"/>
      <c r="C516" s="364"/>
      <c r="D516" s="364"/>
      <c r="E516" s="364"/>
      <c r="F516" s="364"/>
      <c r="G516" s="364"/>
      <c r="H516" s="364"/>
      <c r="I516" s="364"/>
      <c r="J516" s="364"/>
      <c r="K516" s="364"/>
      <c r="L516" s="364"/>
      <c r="M516" s="364"/>
      <c r="N516" s="364"/>
      <c r="O516" s="364"/>
      <c r="P516" s="364"/>
      <c r="Q516" s="364"/>
      <c r="R516" s="364"/>
      <c r="S516" s="364"/>
      <c r="T516" s="364"/>
      <c r="U516" s="364"/>
      <c r="V516" s="364"/>
      <c r="W516" s="364"/>
      <c r="X516" s="364"/>
      <c r="Y516" s="364"/>
      <c r="Z516" s="364"/>
    </row>
    <row r="517">
      <c r="A517" s="367"/>
      <c r="B517" s="367"/>
      <c r="C517" s="364"/>
      <c r="D517" s="364"/>
      <c r="E517" s="364"/>
      <c r="F517" s="364"/>
      <c r="G517" s="364"/>
      <c r="H517" s="364"/>
      <c r="I517" s="364"/>
      <c r="J517" s="364"/>
      <c r="K517" s="364"/>
      <c r="L517" s="364"/>
      <c r="M517" s="364"/>
      <c r="N517" s="364"/>
      <c r="O517" s="364"/>
      <c r="P517" s="364"/>
      <c r="Q517" s="364"/>
      <c r="R517" s="364"/>
      <c r="S517" s="364"/>
      <c r="T517" s="364"/>
      <c r="U517" s="364"/>
      <c r="V517" s="364"/>
      <c r="W517" s="364"/>
      <c r="X517" s="364"/>
      <c r="Y517" s="364"/>
      <c r="Z517" s="364"/>
    </row>
    <row r="518">
      <c r="A518" s="367"/>
      <c r="B518" s="367"/>
      <c r="C518" s="364"/>
      <c r="D518" s="364"/>
      <c r="E518" s="364"/>
      <c r="F518" s="364"/>
      <c r="G518" s="364"/>
      <c r="H518" s="364"/>
      <c r="I518" s="364"/>
      <c r="J518" s="364"/>
      <c r="K518" s="364"/>
      <c r="L518" s="364"/>
      <c r="M518" s="364"/>
      <c r="N518" s="364"/>
      <c r="O518" s="364"/>
      <c r="P518" s="364"/>
      <c r="Q518" s="364"/>
      <c r="R518" s="364"/>
      <c r="S518" s="364"/>
      <c r="T518" s="364"/>
      <c r="U518" s="364"/>
      <c r="V518" s="364"/>
      <c r="W518" s="364"/>
      <c r="X518" s="364"/>
      <c r="Y518" s="364"/>
      <c r="Z518" s="364"/>
    </row>
    <row r="519">
      <c r="A519" s="367"/>
      <c r="B519" s="367"/>
      <c r="C519" s="364"/>
      <c r="D519" s="364"/>
      <c r="E519" s="364"/>
      <c r="F519" s="364"/>
      <c r="G519" s="364"/>
      <c r="H519" s="364"/>
      <c r="I519" s="364"/>
      <c r="J519" s="364"/>
      <c r="K519" s="364"/>
      <c r="L519" s="364"/>
      <c r="M519" s="364"/>
      <c r="N519" s="364"/>
      <c r="O519" s="364"/>
      <c r="P519" s="364"/>
      <c r="Q519" s="364"/>
      <c r="R519" s="364"/>
      <c r="S519" s="364"/>
      <c r="T519" s="364"/>
      <c r="U519" s="364"/>
      <c r="V519" s="364"/>
      <c r="W519" s="364"/>
      <c r="X519" s="364"/>
      <c r="Y519" s="364"/>
      <c r="Z519" s="364"/>
    </row>
    <row r="520">
      <c r="A520" s="367"/>
      <c r="B520" s="367"/>
      <c r="C520" s="364"/>
      <c r="D520" s="364"/>
      <c r="E520" s="364"/>
      <c r="F520" s="364"/>
      <c r="G520" s="364"/>
      <c r="H520" s="364"/>
      <c r="I520" s="364"/>
      <c r="J520" s="364"/>
      <c r="K520" s="364"/>
      <c r="L520" s="364"/>
      <c r="M520" s="364"/>
      <c r="N520" s="364"/>
      <c r="O520" s="364"/>
      <c r="P520" s="364"/>
      <c r="Q520" s="364"/>
      <c r="R520" s="364"/>
      <c r="S520" s="364"/>
      <c r="T520" s="364"/>
      <c r="U520" s="364"/>
      <c r="V520" s="364"/>
      <c r="W520" s="364"/>
      <c r="X520" s="364"/>
      <c r="Y520" s="364"/>
      <c r="Z520" s="364"/>
    </row>
    <row r="521">
      <c r="A521" s="367"/>
      <c r="B521" s="367"/>
      <c r="C521" s="364"/>
      <c r="D521" s="364"/>
      <c r="E521" s="364"/>
      <c r="F521" s="364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4"/>
      <c r="W521" s="364"/>
      <c r="X521" s="364"/>
      <c r="Y521" s="364"/>
      <c r="Z521" s="364"/>
    </row>
    <row r="522">
      <c r="A522" s="367"/>
      <c r="B522" s="367"/>
      <c r="C522" s="364"/>
      <c r="D522" s="364"/>
      <c r="E522" s="364"/>
      <c r="F522" s="364"/>
      <c r="G522" s="364"/>
      <c r="H522" s="364"/>
      <c r="I522" s="364"/>
      <c r="J522" s="364"/>
      <c r="K522" s="364"/>
      <c r="L522" s="364"/>
      <c r="M522" s="364"/>
      <c r="N522" s="364"/>
      <c r="O522" s="364"/>
      <c r="P522" s="364"/>
      <c r="Q522" s="364"/>
      <c r="R522" s="364"/>
      <c r="S522" s="364"/>
      <c r="T522" s="364"/>
      <c r="U522" s="364"/>
      <c r="V522" s="364"/>
      <c r="W522" s="364"/>
      <c r="X522" s="364"/>
      <c r="Y522" s="364"/>
      <c r="Z522" s="364"/>
    </row>
    <row r="523">
      <c r="A523" s="367"/>
      <c r="B523" s="367"/>
      <c r="C523" s="364"/>
      <c r="D523" s="364"/>
      <c r="E523" s="364"/>
      <c r="F523" s="364"/>
      <c r="G523" s="364"/>
      <c r="H523" s="364"/>
      <c r="I523" s="364"/>
      <c r="J523" s="364"/>
      <c r="K523" s="364"/>
      <c r="L523" s="364"/>
      <c r="M523" s="364"/>
      <c r="N523" s="364"/>
      <c r="O523" s="364"/>
      <c r="P523" s="364"/>
      <c r="Q523" s="364"/>
      <c r="R523" s="364"/>
      <c r="S523" s="364"/>
      <c r="T523" s="364"/>
      <c r="U523" s="364"/>
      <c r="V523" s="364"/>
      <c r="W523" s="364"/>
      <c r="X523" s="364"/>
      <c r="Y523" s="364"/>
      <c r="Z523" s="364"/>
    </row>
    <row r="524">
      <c r="A524" s="367"/>
      <c r="B524" s="367"/>
      <c r="C524" s="364"/>
      <c r="D524" s="364"/>
      <c r="E524" s="364"/>
      <c r="F524" s="364"/>
      <c r="G524" s="364"/>
      <c r="H524" s="364"/>
      <c r="I524" s="364"/>
      <c r="J524" s="364"/>
      <c r="K524" s="364"/>
      <c r="L524" s="364"/>
      <c r="M524" s="364"/>
      <c r="N524" s="364"/>
      <c r="O524" s="364"/>
      <c r="P524" s="364"/>
      <c r="Q524" s="364"/>
      <c r="R524" s="364"/>
      <c r="S524" s="364"/>
      <c r="T524" s="364"/>
      <c r="U524" s="364"/>
      <c r="V524" s="364"/>
      <c r="W524" s="364"/>
      <c r="X524" s="364"/>
      <c r="Y524" s="364"/>
      <c r="Z524" s="364"/>
    </row>
    <row r="525">
      <c r="A525" s="367"/>
      <c r="B525" s="367"/>
      <c r="C525" s="364"/>
      <c r="D525" s="364"/>
      <c r="E525" s="364"/>
      <c r="F525" s="364"/>
      <c r="G525" s="364"/>
      <c r="H525" s="364"/>
      <c r="I525" s="364"/>
      <c r="J525" s="364"/>
      <c r="K525" s="364"/>
      <c r="L525" s="364"/>
      <c r="M525" s="364"/>
      <c r="N525" s="364"/>
      <c r="O525" s="364"/>
      <c r="P525" s="364"/>
      <c r="Q525" s="364"/>
      <c r="R525" s="364"/>
      <c r="S525" s="364"/>
      <c r="T525" s="364"/>
      <c r="U525" s="364"/>
      <c r="V525" s="364"/>
      <c r="W525" s="364"/>
      <c r="X525" s="364"/>
      <c r="Y525" s="364"/>
      <c r="Z525" s="364"/>
    </row>
    <row r="526">
      <c r="A526" s="367"/>
      <c r="B526" s="367"/>
      <c r="C526" s="364"/>
      <c r="D526" s="364"/>
      <c r="E526" s="364"/>
      <c r="F526" s="364"/>
      <c r="G526" s="364"/>
      <c r="H526" s="364"/>
      <c r="I526" s="364"/>
      <c r="J526" s="364"/>
      <c r="K526" s="364"/>
      <c r="L526" s="364"/>
      <c r="M526" s="364"/>
      <c r="N526" s="364"/>
      <c r="O526" s="364"/>
      <c r="P526" s="364"/>
      <c r="Q526" s="364"/>
      <c r="R526" s="364"/>
      <c r="S526" s="364"/>
      <c r="T526" s="364"/>
      <c r="U526" s="364"/>
      <c r="V526" s="364"/>
      <c r="W526" s="364"/>
      <c r="X526" s="364"/>
      <c r="Y526" s="364"/>
      <c r="Z526" s="364"/>
    </row>
    <row r="527">
      <c r="A527" s="367"/>
      <c r="B527" s="367"/>
      <c r="C527" s="364"/>
      <c r="D527" s="364"/>
      <c r="E527" s="364"/>
      <c r="F527" s="364"/>
      <c r="G527" s="364"/>
      <c r="H527" s="364"/>
      <c r="I527" s="364"/>
      <c r="J527" s="364"/>
      <c r="K527" s="364"/>
      <c r="L527" s="364"/>
      <c r="M527" s="364"/>
      <c r="N527" s="364"/>
      <c r="O527" s="364"/>
      <c r="P527" s="364"/>
      <c r="Q527" s="364"/>
      <c r="R527" s="364"/>
      <c r="S527" s="364"/>
      <c r="T527" s="364"/>
      <c r="U527" s="364"/>
      <c r="V527" s="364"/>
      <c r="W527" s="364"/>
      <c r="X527" s="364"/>
      <c r="Y527" s="364"/>
      <c r="Z527" s="364"/>
    </row>
    <row r="528">
      <c r="A528" s="367"/>
      <c r="B528" s="367"/>
      <c r="C528" s="364"/>
      <c r="D528" s="364"/>
      <c r="E528" s="364"/>
      <c r="F528" s="364"/>
      <c r="G528" s="364"/>
      <c r="H528" s="364"/>
      <c r="I528" s="364"/>
      <c r="J528" s="364"/>
      <c r="K528" s="364"/>
      <c r="L528" s="364"/>
      <c r="M528" s="364"/>
      <c r="N528" s="364"/>
      <c r="O528" s="364"/>
      <c r="P528" s="364"/>
      <c r="Q528" s="364"/>
      <c r="R528" s="364"/>
      <c r="S528" s="364"/>
      <c r="T528" s="364"/>
      <c r="U528" s="364"/>
      <c r="V528" s="364"/>
      <c r="W528" s="364"/>
      <c r="X528" s="364"/>
      <c r="Y528" s="364"/>
      <c r="Z528" s="364"/>
    </row>
    <row r="529">
      <c r="A529" s="367"/>
      <c r="B529" s="367"/>
      <c r="C529" s="364"/>
      <c r="D529" s="364"/>
      <c r="E529" s="364"/>
      <c r="F529" s="364"/>
      <c r="G529" s="364"/>
      <c r="H529" s="364"/>
      <c r="I529" s="364"/>
      <c r="J529" s="364"/>
      <c r="K529" s="364"/>
      <c r="L529" s="364"/>
      <c r="M529" s="364"/>
      <c r="N529" s="364"/>
      <c r="O529" s="364"/>
      <c r="P529" s="364"/>
      <c r="Q529" s="364"/>
      <c r="R529" s="364"/>
      <c r="S529" s="364"/>
      <c r="T529" s="364"/>
      <c r="U529" s="364"/>
      <c r="V529" s="364"/>
      <c r="W529" s="364"/>
      <c r="X529" s="364"/>
      <c r="Y529" s="364"/>
      <c r="Z529" s="364"/>
    </row>
    <row r="530">
      <c r="A530" s="367"/>
      <c r="B530" s="367"/>
      <c r="C530" s="364"/>
      <c r="D530" s="364"/>
      <c r="E530" s="364"/>
      <c r="F530" s="364"/>
      <c r="G530" s="364"/>
      <c r="H530" s="364"/>
      <c r="I530" s="364"/>
      <c r="J530" s="364"/>
      <c r="K530" s="364"/>
      <c r="L530" s="364"/>
      <c r="M530" s="364"/>
      <c r="N530" s="364"/>
      <c r="O530" s="364"/>
      <c r="P530" s="364"/>
      <c r="Q530" s="364"/>
      <c r="R530" s="364"/>
      <c r="S530" s="364"/>
      <c r="T530" s="364"/>
      <c r="U530" s="364"/>
      <c r="V530" s="364"/>
      <c r="W530" s="364"/>
      <c r="X530" s="364"/>
      <c r="Y530" s="364"/>
      <c r="Z530" s="364"/>
    </row>
    <row r="531">
      <c r="A531" s="367"/>
      <c r="B531" s="367"/>
      <c r="C531" s="364"/>
      <c r="D531" s="364"/>
      <c r="E531" s="364"/>
      <c r="F531" s="364"/>
      <c r="G531" s="364"/>
      <c r="H531" s="364"/>
      <c r="I531" s="364"/>
      <c r="J531" s="364"/>
      <c r="K531" s="364"/>
      <c r="L531" s="364"/>
      <c r="M531" s="364"/>
      <c r="N531" s="364"/>
      <c r="O531" s="364"/>
      <c r="P531" s="364"/>
      <c r="Q531" s="364"/>
      <c r="R531" s="364"/>
      <c r="S531" s="364"/>
      <c r="T531" s="364"/>
      <c r="U531" s="364"/>
      <c r="V531" s="364"/>
      <c r="W531" s="364"/>
      <c r="X531" s="364"/>
      <c r="Y531" s="364"/>
      <c r="Z531" s="364"/>
    </row>
    <row r="532">
      <c r="A532" s="367"/>
      <c r="B532" s="367"/>
      <c r="C532" s="364"/>
      <c r="D532" s="364"/>
      <c r="E532" s="364"/>
      <c r="F532" s="364"/>
      <c r="G532" s="364"/>
      <c r="H532" s="364"/>
      <c r="I532" s="364"/>
      <c r="J532" s="364"/>
      <c r="K532" s="364"/>
      <c r="L532" s="364"/>
      <c r="M532" s="364"/>
      <c r="N532" s="364"/>
      <c r="O532" s="364"/>
      <c r="P532" s="364"/>
      <c r="Q532" s="364"/>
      <c r="R532" s="364"/>
      <c r="S532" s="364"/>
      <c r="T532" s="364"/>
      <c r="U532" s="364"/>
      <c r="V532" s="364"/>
      <c r="W532" s="364"/>
      <c r="X532" s="364"/>
      <c r="Y532" s="364"/>
      <c r="Z532" s="364"/>
    </row>
    <row r="533">
      <c r="A533" s="367"/>
      <c r="B533" s="367"/>
      <c r="C533" s="364"/>
      <c r="D533" s="364"/>
      <c r="E533" s="364"/>
      <c r="F533" s="364"/>
      <c r="G533" s="364"/>
      <c r="H533" s="364"/>
      <c r="I533" s="364"/>
      <c r="J533" s="364"/>
      <c r="K533" s="364"/>
      <c r="L533" s="364"/>
      <c r="M533" s="364"/>
      <c r="N533" s="364"/>
      <c r="O533" s="364"/>
      <c r="P533" s="364"/>
      <c r="Q533" s="364"/>
      <c r="R533" s="364"/>
      <c r="S533" s="364"/>
      <c r="T533" s="364"/>
      <c r="U533" s="364"/>
      <c r="V533" s="364"/>
      <c r="W533" s="364"/>
      <c r="X533" s="364"/>
      <c r="Y533" s="364"/>
      <c r="Z533" s="364"/>
    </row>
    <row r="534">
      <c r="A534" s="367"/>
      <c r="B534" s="367"/>
      <c r="C534" s="364"/>
      <c r="D534" s="364"/>
      <c r="E534" s="364"/>
      <c r="F534" s="364"/>
      <c r="G534" s="364"/>
      <c r="H534" s="364"/>
      <c r="I534" s="364"/>
      <c r="J534" s="364"/>
      <c r="K534" s="364"/>
      <c r="L534" s="364"/>
      <c r="M534" s="364"/>
      <c r="N534" s="364"/>
      <c r="O534" s="364"/>
      <c r="P534" s="364"/>
      <c r="Q534" s="364"/>
      <c r="R534" s="364"/>
      <c r="S534" s="364"/>
      <c r="T534" s="364"/>
      <c r="U534" s="364"/>
      <c r="V534" s="364"/>
      <c r="W534" s="364"/>
      <c r="X534" s="364"/>
      <c r="Y534" s="364"/>
      <c r="Z534" s="364"/>
    </row>
    <row r="535">
      <c r="A535" s="367"/>
      <c r="B535" s="367"/>
      <c r="C535" s="364"/>
      <c r="D535" s="364"/>
      <c r="E535" s="364"/>
      <c r="F535" s="364"/>
      <c r="G535" s="364"/>
      <c r="H535" s="364"/>
      <c r="I535" s="364"/>
      <c r="J535" s="364"/>
      <c r="K535" s="364"/>
      <c r="L535" s="364"/>
      <c r="M535" s="364"/>
      <c r="N535" s="364"/>
      <c r="O535" s="364"/>
      <c r="P535" s="364"/>
      <c r="Q535" s="364"/>
      <c r="R535" s="364"/>
      <c r="S535" s="364"/>
      <c r="T535" s="364"/>
      <c r="U535" s="364"/>
      <c r="V535" s="364"/>
      <c r="W535" s="364"/>
      <c r="X535" s="364"/>
      <c r="Y535" s="364"/>
      <c r="Z535" s="364"/>
    </row>
    <row r="536">
      <c r="A536" s="367"/>
      <c r="B536" s="367"/>
      <c r="C536" s="364"/>
      <c r="D536" s="364"/>
      <c r="E536" s="364"/>
      <c r="F536" s="364"/>
      <c r="G536" s="364"/>
      <c r="H536" s="364"/>
      <c r="I536" s="364"/>
      <c r="J536" s="364"/>
      <c r="K536" s="364"/>
      <c r="L536" s="364"/>
      <c r="M536" s="364"/>
      <c r="N536" s="364"/>
      <c r="O536" s="364"/>
      <c r="P536" s="364"/>
      <c r="Q536" s="364"/>
      <c r="R536" s="364"/>
      <c r="S536" s="364"/>
      <c r="T536" s="364"/>
      <c r="U536" s="364"/>
      <c r="V536" s="364"/>
      <c r="W536" s="364"/>
      <c r="X536" s="364"/>
      <c r="Y536" s="364"/>
      <c r="Z536" s="364"/>
    </row>
    <row r="537">
      <c r="A537" s="367"/>
      <c r="B537" s="367"/>
      <c r="C537" s="364"/>
      <c r="D537" s="364"/>
      <c r="E537" s="364"/>
      <c r="F537" s="364"/>
      <c r="G537" s="364"/>
      <c r="H537" s="364"/>
      <c r="I537" s="364"/>
      <c r="J537" s="364"/>
      <c r="K537" s="364"/>
      <c r="L537" s="364"/>
      <c r="M537" s="364"/>
      <c r="N537" s="364"/>
      <c r="O537" s="364"/>
      <c r="P537" s="364"/>
      <c r="Q537" s="364"/>
      <c r="R537" s="364"/>
      <c r="S537" s="364"/>
      <c r="T537" s="364"/>
      <c r="U537" s="364"/>
      <c r="V537" s="364"/>
      <c r="W537" s="364"/>
      <c r="X537" s="364"/>
      <c r="Y537" s="364"/>
      <c r="Z537" s="364"/>
    </row>
    <row r="538">
      <c r="A538" s="367"/>
      <c r="B538" s="367"/>
      <c r="C538" s="364"/>
      <c r="D538" s="364"/>
      <c r="E538" s="364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</row>
    <row r="539">
      <c r="A539" s="367"/>
      <c r="B539" s="367"/>
      <c r="C539" s="364"/>
      <c r="D539" s="364"/>
      <c r="E539" s="364"/>
      <c r="F539" s="364"/>
      <c r="G539" s="364"/>
      <c r="H539" s="364"/>
      <c r="I539" s="364"/>
      <c r="J539" s="364"/>
      <c r="K539" s="364"/>
      <c r="L539" s="364"/>
      <c r="M539" s="364"/>
      <c r="N539" s="364"/>
      <c r="O539" s="364"/>
      <c r="P539" s="364"/>
      <c r="Q539" s="364"/>
      <c r="R539" s="364"/>
      <c r="S539" s="364"/>
      <c r="T539" s="364"/>
      <c r="U539" s="364"/>
      <c r="V539" s="364"/>
      <c r="W539" s="364"/>
      <c r="X539" s="364"/>
      <c r="Y539" s="364"/>
      <c r="Z539" s="364"/>
    </row>
    <row r="540">
      <c r="A540" s="367"/>
      <c r="B540" s="367"/>
      <c r="C540" s="364"/>
      <c r="D540" s="364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  <c r="S540" s="364"/>
      <c r="T540" s="364"/>
      <c r="U540" s="364"/>
      <c r="V540" s="364"/>
      <c r="W540" s="364"/>
      <c r="X540" s="364"/>
      <c r="Y540" s="364"/>
      <c r="Z540" s="364"/>
    </row>
    <row r="541">
      <c r="A541" s="367"/>
      <c r="B541" s="367"/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</row>
    <row r="542">
      <c r="A542" s="367"/>
      <c r="B542" s="367"/>
      <c r="C542" s="364"/>
      <c r="D542" s="364"/>
      <c r="E542" s="364"/>
      <c r="F542" s="364"/>
      <c r="G542" s="364"/>
      <c r="H542" s="364"/>
      <c r="I542" s="364"/>
      <c r="J542" s="364"/>
      <c r="K542" s="364"/>
      <c r="L542" s="364"/>
      <c r="M542" s="364"/>
      <c r="N542" s="364"/>
      <c r="O542" s="364"/>
      <c r="P542" s="364"/>
      <c r="Q542" s="364"/>
      <c r="R542" s="364"/>
      <c r="S542" s="364"/>
      <c r="T542" s="364"/>
      <c r="U542" s="364"/>
      <c r="V542" s="364"/>
      <c r="W542" s="364"/>
      <c r="X542" s="364"/>
      <c r="Y542" s="364"/>
      <c r="Z542" s="364"/>
    </row>
    <row r="543">
      <c r="A543" s="367"/>
      <c r="B543" s="367"/>
      <c r="C543" s="364"/>
      <c r="D543" s="364"/>
      <c r="E543" s="364"/>
      <c r="F543" s="364"/>
      <c r="G543" s="364"/>
      <c r="H543" s="364"/>
      <c r="I543" s="364"/>
      <c r="J543" s="364"/>
      <c r="K543" s="364"/>
      <c r="L543" s="364"/>
      <c r="M543" s="364"/>
      <c r="N543" s="364"/>
      <c r="O543" s="364"/>
      <c r="P543" s="364"/>
      <c r="Q543" s="364"/>
      <c r="R543" s="364"/>
      <c r="S543" s="364"/>
      <c r="T543" s="364"/>
      <c r="U543" s="364"/>
      <c r="V543" s="364"/>
      <c r="W543" s="364"/>
      <c r="X543" s="364"/>
      <c r="Y543" s="364"/>
      <c r="Z543" s="364"/>
    </row>
    <row r="544">
      <c r="A544" s="367"/>
      <c r="B544" s="367"/>
      <c r="C544" s="364"/>
      <c r="D544" s="364"/>
      <c r="E544" s="364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Z544" s="364"/>
    </row>
    <row r="545">
      <c r="A545" s="367"/>
      <c r="B545" s="367"/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Z545" s="364"/>
    </row>
    <row r="546">
      <c r="A546" s="367"/>
      <c r="B546" s="367"/>
      <c r="C546" s="364"/>
      <c r="D546" s="364"/>
      <c r="E546" s="364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Z546" s="364"/>
    </row>
    <row r="547">
      <c r="A547" s="367"/>
      <c r="B547" s="367"/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Z547" s="364"/>
    </row>
    <row r="548">
      <c r="A548" s="367"/>
      <c r="B548" s="367"/>
      <c r="C548" s="364"/>
      <c r="D548" s="364"/>
      <c r="E548" s="364"/>
      <c r="F548" s="364"/>
      <c r="G548" s="364"/>
      <c r="H548" s="364"/>
      <c r="I548" s="364"/>
      <c r="J548" s="364"/>
      <c r="K548" s="364"/>
      <c r="L548" s="364"/>
      <c r="M548" s="364"/>
      <c r="N548" s="364"/>
      <c r="O548" s="364"/>
      <c r="P548" s="364"/>
      <c r="Q548" s="364"/>
      <c r="R548" s="364"/>
      <c r="S548" s="364"/>
      <c r="T548" s="364"/>
      <c r="U548" s="364"/>
      <c r="V548" s="364"/>
      <c r="W548" s="364"/>
      <c r="X548" s="364"/>
      <c r="Y548" s="364"/>
      <c r="Z548" s="364"/>
    </row>
    <row r="549">
      <c r="A549" s="367"/>
      <c r="B549" s="367"/>
      <c r="C549" s="364"/>
      <c r="D549" s="364"/>
      <c r="E549" s="364"/>
      <c r="F549" s="364"/>
      <c r="G549" s="364"/>
      <c r="H549" s="364"/>
      <c r="I549" s="364"/>
      <c r="J549" s="364"/>
      <c r="K549" s="364"/>
      <c r="L549" s="364"/>
      <c r="M549" s="364"/>
      <c r="N549" s="364"/>
      <c r="O549" s="364"/>
      <c r="P549" s="364"/>
      <c r="Q549" s="364"/>
      <c r="R549" s="364"/>
      <c r="S549" s="364"/>
      <c r="T549" s="364"/>
      <c r="U549" s="364"/>
      <c r="V549" s="364"/>
      <c r="W549" s="364"/>
      <c r="X549" s="364"/>
      <c r="Y549" s="364"/>
      <c r="Z549" s="364"/>
    </row>
    <row r="550">
      <c r="A550" s="367"/>
      <c r="B550" s="367"/>
      <c r="C550" s="364"/>
      <c r="D550" s="364"/>
      <c r="E550" s="364"/>
      <c r="F550" s="364"/>
      <c r="G550" s="364"/>
      <c r="H550" s="364"/>
      <c r="I550" s="364"/>
      <c r="J550" s="364"/>
      <c r="K550" s="364"/>
      <c r="L550" s="364"/>
      <c r="M550" s="364"/>
      <c r="N550" s="364"/>
      <c r="O550" s="364"/>
      <c r="P550" s="364"/>
      <c r="Q550" s="364"/>
      <c r="R550" s="364"/>
      <c r="S550" s="364"/>
      <c r="T550" s="364"/>
      <c r="U550" s="364"/>
      <c r="V550" s="364"/>
      <c r="W550" s="364"/>
      <c r="X550" s="364"/>
      <c r="Y550" s="364"/>
      <c r="Z550" s="364"/>
    </row>
    <row r="551">
      <c r="A551" s="367"/>
      <c r="B551" s="367"/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</row>
    <row r="552">
      <c r="A552" s="367"/>
      <c r="B552" s="367"/>
      <c r="C552" s="364"/>
      <c r="D552" s="364"/>
      <c r="E552" s="364"/>
      <c r="F552" s="364"/>
      <c r="G552" s="364"/>
      <c r="H552" s="364"/>
      <c r="I552" s="364"/>
      <c r="J552" s="364"/>
      <c r="K552" s="364"/>
      <c r="L552" s="364"/>
      <c r="M552" s="364"/>
      <c r="N552" s="364"/>
      <c r="O552" s="364"/>
      <c r="P552" s="364"/>
      <c r="Q552" s="364"/>
      <c r="R552" s="364"/>
      <c r="S552" s="364"/>
      <c r="T552" s="364"/>
      <c r="U552" s="364"/>
      <c r="V552" s="364"/>
      <c r="W552" s="364"/>
      <c r="X552" s="364"/>
      <c r="Y552" s="364"/>
      <c r="Z552" s="364"/>
    </row>
    <row r="553">
      <c r="A553" s="367"/>
      <c r="B553" s="367"/>
      <c r="C553" s="364"/>
      <c r="D553" s="364"/>
      <c r="E553" s="364"/>
      <c r="F553" s="364"/>
      <c r="G553" s="364"/>
      <c r="H553" s="364"/>
      <c r="I553" s="364"/>
      <c r="J553" s="364"/>
      <c r="K553" s="364"/>
      <c r="L553" s="364"/>
      <c r="M553" s="364"/>
      <c r="N553" s="364"/>
      <c r="O553" s="364"/>
      <c r="P553" s="364"/>
      <c r="Q553" s="364"/>
      <c r="R553" s="364"/>
      <c r="S553" s="364"/>
      <c r="T553" s="364"/>
      <c r="U553" s="364"/>
      <c r="V553" s="364"/>
      <c r="W553" s="364"/>
      <c r="X553" s="364"/>
      <c r="Y553" s="364"/>
      <c r="Z553" s="364"/>
    </row>
    <row r="554">
      <c r="A554" s="367"/>
      <c r="B554" s="367"/>
      <c r="C554" s="364"/>
      <c r="D554" s="364"/>
      <c r="E554" s="364"/>
      <c r="F554" s="364"/>
      <c r="G554" s="364"/>
      <c r="H554" s="364"/>
      <c r="I554" s="364"/>
      <c r="J554" s="364"/>
      <c r="K554" s="364"/>
      <c r="L554" s="364"/>
      <c r="M554" s="364"/>
      <c r="N554" s="364"/>
      <c r="O554" s="364"/>
      <c r="P554" s="364"/>
      <c r="Q554" s="364"/>
      <c r="R554" s="364"/>
      <c r="S554" s="364"/>
      <c r="T554" s="364"/>
      <c r="U554" s="364"/>
      <c r="V554" s="364"/>
      <c r="W554" s="364"/>
      <c r="X554" s="364"/>
      <c r="Y554" s="364"/>
      <c r="Z554" s="364"/>
    </row>
    <row r="555">
      <c r="A555" s="367"/>
      <c r="B555" s="367"/>
      <c r="C555" s="364"/>
      <c r="D555" s="364"/>
      <c r="E555" s="364"/>
      <c r="F555" s="364"/>
      <c r="G555" s="364"/>
      <c r="H555" s="364"/>
      <c r="I555" s="364"/>
      <c r="J555" s="364"/>
      <c r="K555" s="364"/>
      <c r="L555" s="364"/>
      <c r="M555" s="364"/>
      <c r="N555" s="364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</row>
    <row r="556">
      <c r="A556" s="367"/>
      <c r="B556" s="367"/>
      <c r="C556" s="364"/>
      <c r="D556" s="364"/>
      <c r="E556" s="364"/>
      <c r="F556" s="364"/>
      <c r="G556" s="364"/>
      <c r="H556" s="364"/>
      <c r="I556" s="364"/>
      <c r="J556" s="364"/>
      <c r="K556" s="364"/>
      <c r="L556" s="364"/>
      <c r="M556" s="364"/>
      <c r="N556" s="364"/>
      <c r="O556" s="364"/>
      <c r="P556" s="364"/>
      <c r="Q556" s="364"/>
      <c r="R556" s="364"/>
      <c r="S556" s="364"/>
      <c r="T556" s="364"/>
      <c r="U556" s="364"/>
      <c r="V556" s="364"/>
      <c r="W556" s="364"/>
      <c r="X556" s="364"/>
      <c r="Y556" s="364"/>
      <c r="Z556" s="364"/>
    </row>
    <row r="557">
      <c r="A557" s="367"/>
      <c r="B557" s="367"/>
      <c r="C557" s="364"/>
      <c r="D557" s="364"/>
      <c r="E557" s="364"/>
      <c r="F557" s="364"/>
      <c r="G557" s="364"/>
      <c r="H557" s="364"/>
      <c r="I557" s="364"/>
      <c r="J557" s="364"/>
      <c r="K557" s="364"/>
      <c r="L557" s="364"/>
      <c r="M557" s="364"/>
      <c r="N557" s="364"/>
      <c r="O557" s="364"/>
      <c r="P557" s="364"/>
      <c r="Q557" s="364"/>
      <c r="R557" s="364"/>
      <c r="S557" s="364"/>
      <c r="T557" s="364"/>
      <c r="U557" s="364"/>
      <c r="V557" s="364"/>
      <c r="W557" s="364"/>
      <c r="X557" s="364"/>
      <c r="Y557" s="364"/>
      <c r="Z557" s="364"/>
    </row>
    <row r="558">
      <c r="A558" s="367"/>
      <c r="B558" s="367"/>
      <c r="C558" s="364"/>
      <c r="D558" s="364"/>
      <c r="E558" s="364"/>
      <c r="F558" s="364"/>
      <c r="G558" s="364"/>
      <c r="H558" s="364"/>
      <c r="I558" s="364"/>
      <c r="J558" s="364"/>
      <c r="K558" s="364"/>
      <c r="L558" s="364"/>
      <c r="M558" s="364"/>
      <c r="N558" s="364"/>
      <c r="O558" s="364"/>
      <c r="P558" s="364"/>
      <c r="Q558" s="364"/>
      <c r="R558" s="364"/>
      <c r="S558" s="364"/>
      <c r="T558" s="364"/>
      <c r="U558" s="364"/>
      <c r="V558" s="364"/>
      <c r="W558" s="364"/>
      <c r="X558" s="364"/>
      <c r="Y558" s="364"/>
      <c r="Z558" s="364"/>
    </row>
    <row r="559">
      <c r="A559" s="367"/>
      <c r="B559" s="367"/>
      <c r="C559" s="364"/>
      <c r="D559" s="364"/>
      <c r="E559" s="364"/>
      <c r="F559" s="364"/>
      <c r="G559" s="364"/>
      <c r="H559" s="364"/>
      <c r="I559" s="364"/>
      <c r="J559" s="364"/>
      <c r="K559" s="364"/>
      <c r="L559" s="364"/>
      <c r="M559" s="364"/>
      <c r="N559" s="364"/>
      <c r="O559" s="364"/>
      <c r="P559" s="364"/>
      <c r="Q559" s="364"/>
      <c r="R559" s="364"/>
      <c r="S559" s="364"/>
      <c r="T559" s="364"/>
      <c r="U559" s="364"/>
      <c r="V559" s="364"/>
      <c r="W559" s="364"/>
      <c r="X559" s="364"/>
      <c r="Y559" s="364"/>
      <c r="Z559" s="364"/>
    </row>
    <row r="560">
      <c r="A560" s="367"/>
      <c r="B560" s="367"/>
      <c r="C560" s="364"/>
      <c r="D560" s="364"/>
      <c r="E560" s="364"/>
      <c r="F560" s="364"/>
      <c r="G560" s="364"/>
      <c r="H560" s="364"/>
      <c r="I560" s="364"/>
      <c r="J560" s="364"/>
      <c r="K560" s="364"/>
      <c r="L560" s="364"/>
      <c r="M560" s="364"/>
      <c r="N560" s="364"/>
      <c r="O560" s="364"/>
      <c r="P560" s="364"/>
      <c r="Q560" s="364"/>
      <c r="R560" s="364"/>
      <c r="S560" s="364"/>
      <c r="T560" s="364"/>
      <c r="U560" s="364"/>
      <c r="V560" s="364"/>
      <c r="W560" s="364"/>
      <c r="X560" s="364"/>
      <c r="Y560" s="364"/>
      <c r="Z560" s="364"/>
    </row>
    <row r="561">
      <c r="A561" s="367"/>
      <c r="B561" s="367"/>
      <c r="C561" s="364"/>
      <c r="D561" s="364"/>
      <c r="E561" s="364"/>
      <c r="F561" s="364"/>
      <c r="G561" s="364"/>
      <c r="H561" s="364"/>
      <c r="I561" s="364"/>
      <c r="J561" s="364"/>
      <c r="K561" s="364"/>
      <c r="L561" s="364"/>
      <c r="M561" s="364"/>
      <c r="N561" s="364"/>
      <c r="O561" s="364"/>
      <c r="P561" s="364"/>
      <c r="Q561" s="364"/>
      <c r="R561" s="364"/>
      <c r="S561" s="364"/>
      <c r="T561" s="364"/>
      <c r="U561" s="364"/>
      <c r="V561" s="364"/>
      <c r="W561" s="364"/>
      <c r="X561" s="364"/>
      <c r="Y561" s="364"/>
      <c r="Z561" s="364"/>
    </row>
    <row r="562">
      <c r="A562" s="367"/>
      <c r="B562" s="367"/>
      <c r="C562" s="364"/>
      <c r="D562" s="364"/>
      <c r="E562" s="364"/>
      <c r="F562" s="364"/>
      <c r="G562" s="364"/>
      <c r="H562" s="364"/>
      <c r="I562" s="364"/>
      <c r="J562" s="364"/>
      <c r="K562" s="364"/>
      <c r="L562" s="364"/>
      <c r="M562" s="364"/>
      <c r="N562" s="364"/>
      <c r="O562" s="364"/>
      <c r="P562" s="364"/>
      <c r="Q562" s="364"/>
      <c r="R562" s="364"/>
      <c r="S562" s="364"/>
      <c r="T562" s="364"/>
      <c r="U562" s="364"/>
      <c r="V562" s="364"/>
      <c r="W562" s="364"/>
      <c r="X562" s="364"/>
      <c r="Y562" s="364"/>
      <c r="Z562" s="364"/>
    </row>
    <row r="563">
      <c r="A563" s="367"/>
      <c r="B563" s="367"/>
      <c r="C563" s="364"/>
      <c r="D563" s="364"/>
      <c r="E563" s="364"/>
      <c r="F563" s="364"/>
      <c r="G563" s="364"/>
      <c r="H563" s="364"/>
      <c r="I563" s="364"/>
      <c r="J563" s="364"/>
      <c r="K563" s="364"/>
      <c r="L563" s="364"/>
      <c r="M563" s="364"/>
      <c r="N563" s="364"/>
      <c r="O563" s="364"/>
      <c r="P563" s="364"/>
      <c r="Q563" s="364"/>
      <c r="R563" s="364"/>
      <c r="S563" s="364"/>
      <c r="T563" s="364"/>
      <c r="U563" s="364"/>
      <c r="V563" s="364"/>
      <c r="W563" s="364"/>
      <c r="X563" s="364"/>
      <c r="Y563" s="364"/>
      <c r="Z563" s="364"/>
    </row>
    <row r="564">
      <c r="A564" s="367"/>
      <c r="B564" s="367"/>
      <c r="C564" s="364"/>
      <c r="D564" s="364"/>
      <c r="E564" s="364"/>
      <c r="F564" s="364"/>
      <c r="G564" s="364"/>
      <c r="H564" s="364"/>
      <c r="I564" s="364"/>
      <c r="J564" s="364"/>
      <c r="K564" s="364"/>
      <c r="L564" s="364"/>
      <c r="M564" s="364"/>
      <c r="N564" s="364"/>
      <c r="O564" s="364"/>
      <c r="P564" s="364"/>
      <c r="Q564" s="364"/>
      <c r="R564" s="364"/>
      <c r="S564" s="364"/>
      <c r="T564" s="364"/>
      <c r="U564" s="364"/>
      <c r="V564" s="364"/>
      <c r="W564" s="364"/>
      <c r="X564" s="364"/>
      <c r="Y564" s="364"/>
      <c r="Z564" s="364"/>
    </row>
    <row r="565">
      <c r="A565" s="367"/>
      <c r="B565" s="367"/>
      <c r="C565" s="364"/>
      <c r="D565" s="364"/>
      <c r="E565" s="364"/>
      <c r="F565" s="364"/>
      <c r="G565" s="364"/>
      <c r="H565" s="364"/>
      <c r="I565" s="364"/>
      <c r="J565" s="364"/>
      <c r="K565" s="364"/>
      <c r="L565" s="364"/>
      <c r="M565" s="364"/>
      <c r="N565" s="364"/>
      <c r="O565" s="364"/>
      <c r="P565" s="364"/>
      <c r="Q565" s="364"/>
      <c r="R565" s="364"/>
      <c r="S565" s="364"/>
      <c r="T565" s="364"/>
      <c r="U565" s="364"/>
      <c r="V565" s="364"/>
      <c r="W565" s="364"/>
      <c r="X565" s="364"/>
      <c r="Y565" s="364"/>
      <c r="Z565" s="364"/>
    </row>
    <row r="566">
      <c r="A566" s="367"/>
      <c r="B566" s="367"/>
      <c r="C566" s="364"/>
      <c r="D566" s="364"/>
      <c r="E566" s="364"/>
      <c r="F566" s="364"/>
      <c r="G566" s="364"/>
      <c r="H566" s="364"/>
      <c r="I566" s="364"/>
      <c r="J566" s="364"/>
      <c r="K566" s="364"/>
      <c r="L566" s="364"/>
      <c r="M566" s="364"/>
      <c r="N566" s="364"/>
      <c r="O566" s="364"/>
      <c r="P566" s="364"/>
      <c r="Q566" s="364"/>
      <c r="R566" s="364"/>
      <c r="S566" s="364"/>
      <c r="T566" s="364"/>
      <c r="U566" s="364"/>
      <c r="V566" s="364"/>
      <c r="W566" s="364"/>
      <c r="X566" s="364"/>
      <c r="Y566" s="364"/>
      <c r="Z566" s="364"/>
    </row>
    <row r="567">
      <c r="A567" s="367"/>
      <c r="B567" s="367"/>
      <c r="C567" s="364"/>
      <c r="D567" s="364"/>
      <c r="E567" s="364"/>
      <c r="F567" s="364"/>
      <c r="G567" s="364"/>
      <c r="H567" s="364"/>
      <c r="I567" s="364"/>
      <c r="J567" s="364"/>
      <c r="K567" s="364"/>
      <c r="L567" s="364"/>
      <c r="M567" s="364"/>
      <c r="N567" s="364"/>
      <c r="O567" s="364"/>
      <c r="P567" s="364"/>
      <c r="Q567" s="364"/>
      <c r="R567" s="364"/>
      <c r="S567" s="364"/>
      <c r="T567" s="364"/>
      <c r="U567" s="364"/>
      <c r="V567" s="364"/>
      <c r="W567" s="364"/>
      <c r="X567" s="364"/>
      <c r="Y567" s="364"/>
      <c r="Z567" s="364"/>
    </row>
    <row r="568">
      <c r="A568" s="367"/>
      <c r="B568" s="367"/>
      <c r="C568" s="364"/>
      <c r="D568" s="364"/>
      <c r="E568" s="364"/>
      <c r="F568" s="364"/>
      <c r="G568" s="364"/>
      <c r="H568" s="364"/>
      <c r="I568" s="364"/>
      <c r="J568" s="364"/>
      <c r="K568" s="364"/>
      <c r="L568" s="364"/>
      <c r="M568" s="364"/>
      <c r="N568" s="364"/>
      <c r="O568" s="364"/>
      <c r="P568" s="364"/>
      <c r="Q568" s="364"/>
      <c r="R568" s="364"/>
      <c r="S568" s="364"/>
      <c r="T568" s="364"/>
      <c r="U568" s="364"/>
      <c r="V568" s="364"/>
      <c r="W568" s="364"/>
      <c r="X568" s="364"/>
      <c r="Y568" s="364"/>
      <c r="Z568" s="364"/>
    </row>
    <row r="569">
      <c r="A569" s="367"/>
      <c r="B569" s="367"/>
      <c r="C569" s="364"/>
      <c r="D569" s="364"/>
      <c r="E569" s="364"/>
      <c r="F569" s="364"/>
      <c r="G569" s="364"/>
      <c r="H569" s="364"/>
      <c r="I569" s="364"/>
      <c r="J569" s="364"/>
      <c r="K569" s="364"/>
      <c r="L569" s="364"/>
      <c r="M569" s="364"/>
      <c r="N569" s="364"/>
      <c r="O569" s="364"/>
      <c r="P569" s="364"/>
      <c r="Q569" s="364"/>
      <c r="R569" s="364"/>
      <c r="S569" s="364"/>
      <c r="T569" s="364"/>
      <c r="U569" s="364"/>
      <c r="V569" s="364"/>
      <c r="W569" s="364"/>
      <c r="X569" s="364"/>
      <c r="Y569" s="364"/>
      <c r="Z569" s="364"/>
    </row>
    <row r="570">
      <c r="A570" s="367"/>
      <c r="B570" s="367"/>
      <c r="C570" s="364"/>
      <c r="D570" s="364"/>
      <c r="E570" s="364"/>
      <c r="F570" s="364"/>
      <c r="G570" s="364"/>
      <c r="H570" s="364"/>
      <c r="I570" s="364"/>
      <c r="J570" s="364"/>
      <c r="K570" s="364"/>
      <c r="L570" s="364"/>
      <c r="M570" s="364"/>
      <c r="N570" s="364"/>
      <c r="O570" s="364"/>
      <c r="P570" s="364"/>
      <c r="Q570" s="364"/>
      <c r="R570" s="364"/>
      <c r="S570" s="364"/>
      <c r="T570" s="364"/>
      <c r="U570" s="364"/>
      <c r="V570" s="364"/>
      <c r="W570" s="364"/>
      <c r="X570" s="364"/>
      <c r="Y570" s="364"/>
      <c r="Z570" s="364"/>
    </row>
    <row r="571">
      <c r="A571" s="367"/>
      <c r="B571" s="367"/>
      <c r="C571" s="364"/>
      <c r="D571" s="364"/>
      <c r="E571" s="364"/>
      <c r="F571" s="364"/>
      <c r="G571" s="364"/>
      <c r="H571" s="364"/>
      <c r="I571" s="364"/>
      <c r="J571" s="364"/>
      <c r="K571" s="364"/>
      <c r="L571" s="364"/>
      <c r="M571" s="364"/>
      <c r="N571" s="364"/>
      <c r="O571" s="364"/>
      <c r="P571" s="364"/>
      <c r="Q571" s="364"/>
      <c r="R571" s="364"/>
      <c r="S571" s="364"/>
      <c r="T571" s="364"/>
      <c r="U571" s="364"/>
      <c r="V571" s="364"/>
      <c r="W571" s="364"/>
      <c r="X571" s="364"/>
      <c r="Y571" s="364"/>
      <c r="Z571" s="364"/>
    </row>
    <row r="572">
      <c r="A572" s="367"/>
      <c r="B572" s="367"/>
      <c r="C572" s="364"/>
      <c r="D572" s="364"/>
      <c r="E572" s="364"/>
      <c r="F572" s="364"/>
      <c r="G572" s="364"/>
      <c r="H572" s="364"/>
      <c r="I572" s="364"/>
      <c r="J572" s="364"/>
      <c r="K572" s="364"/>
      <c r="L572" s="364"/>
      <c r="M572" s="364"/>
      <c r="N572" s="364"/>
      <c r="O572" s="364"/>
      <c r="P572" s="364"/>
      <c r="Q572" s="364"/>
      <c r="R572" s="364"/>
      <c r="S572" s="364"/>
      <c r="T572" s="364"/>
      <c r="U572" s="364"/>
      <c r="V572" s="364"/>
      <c r="W572" s="364"/>
      <c r="X572" s="364"/>
      <c r="Y572" s="364"/>
      <c r="Z572" s="364"/>
    </row>
    <row r="573">
      <c r="A573" s="367"/>
      <c r="B573" s="367"/>
      <c r="C573" s="364"/>
      <c r="D573" s="364"/>
      <c r="E573" s="364"/>
      <c r="F573" s="364"/>
      <c r="G573" s="364"/>
      <c r="H573" s="364"/>
      <c r="I573" s="364"/>
      <c r="J573" s="364"/>
      <c r="K573" s="364"/>
      <c r="L573" s="364"/>
      <c r="M573" s="364"/>
      <c r="N573" s="364"/>
      <c r="O573" s="364"/>
      <c r="P573" s="364"/>
      <c r="Q573" s="364"/>
      <c r="R573" s="364"/>
      <c r="S573" s="364"/>
      <c r="T573" s="364"/>
      <c r="U573" s="364"/>
      <c r="V573" s="364"/>
      <c r="W573" s="364"/>
      <c r="X573" s="364"/>
      <c r="Y573" s="364"/>
      <c r="Z573" s="364"/>
    </row>
    <row r="574">
      <c r="A574" s="367"/>
      <c r="B574" s="367"/>
      <c r="C574" s="364"/>
      <c r="D574" s="364"/>
      <c r="E574" s="364"/>
      <c r="F574" s="364"/>
      <c r="G574" s="364"/>
      <c r="H574" s="364"/>
      <c r="I574" s="364"/>
      <c r="J574" s="364"/>
      <c r="K574" s="364"/>
      <c r="L574" s="364"/>
      <c r="M574" s="364"/>
      <c r="N574" s="364"/>
      <c r="O574" s="364"/>
      <c r="P574" s="364"/>
      <c r="Q574" s="364"/>
      <c r="R574" s="364"/>
      <c r="S574" s="364"/>
      <c r="T574" s="364"/>
      <c r="U574" s="364"/>
      <c r="V574" s="364"/>
      <c r="W574" s="364"/>
      <c r="X574" s="364"/>
      <c r="Y574" s="364"/>
      <c r="Z574" s="364"/>
    </row>
    <row r="575">
      <c r="A575" s="367"/>
      <c r="B575" s="367"/>
      <c r="C575" s="364"/>
      <c r="D575" s="364"/>
      <c r="E575" s="364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</row>
    <row r="576">
      <c r="A576" s="367"/>
      <c r="B576" s="367"/>
      <c r="C576" s="364"/>
      <c r="D576" s="364"/>
      <c r="E576" s="364"/>
      <c r="F576" s="364"/>
      <c r="G576" s="364"/>
      <c r="H576" s="364"/>
      <c r="I576" s="364"/>
      <c r="J576" s="364"/>
      <c r="K576" s="364"/>
      <c r="L576" s="364"/>
      <c r="M576" s="364"/>
      <c r="N576" s="364"/>
      <c r="O576" s="364"/>
      <c r="P576" s="364"/>
      <c r="Q576" s="364"/>
      <c r="R576" s="364"/>
      <c r="S576" s="364"/>
      <c r="T576" s="364"/>
      <c r="U576" s="364"/>
      <c r="V576" s="364"/>
      <c r="W576" s="364"/>
      <c r="X576" s="364"/>
      <c r="Y576" s="364"/>
      <c r="Z576" s="364"/>
    </row>
    <row r="577">
      <c r="A577" s="367"/>
      <c r="B577" s="367"/>
      <c r="C577" s="364"/>
      <c r="D577" s="364"/>
      <c r="E577" s="364"/>
      <c r="F577" s="364"/>
      <c r="G577" s="364"/>
      <c r="H577" s="364"/>
      <c r="I577" s="364"/>
      <c r="J577" s="364"/>
      <c r="K577" s="364"/>
      <c r="L577" s="364"/>
      <c r="M577" s="364"/>
      <c r="N577" s="364"/>
      <c r="O577" s="364"/>
      <c r="P577" s="364"/>
      <c r="Q577" s="364"/>
      <c r="R577" s="364"/>
      <c r="S577" s="364"/>
      <c r="T577" s="364"/>
      <c r="U577" s="364"/>
      <c r="V577" s="364"/>
      <c r="W577" s="364"/>
      <c r="X577" s="364"/>
      <c r="Y577" s="364"/>
      <c r="Z577" s="364"/>
    </row>
    <row r="578">
      <c r="A578" s="367"/>
      <c r="B578" s="367"/>
      <c r="C578" s="364"/>
      <c r="D578" s="364"/>
      <c r="E578" s="364"/>
      <c r="F578" s="364"/>
      <c r="G578" s="364"/>
      <c r="H578" s="364"/>
      <c r="I578" s="364"/>
      <c r="J578" s="364"/>
      <c r="K578" s="364"/>
      <c r="L578" s="364"/>
      <c r="M578" s="364"/>
      <c r="N578" s="364"/>
      <c r="O578" s="364"/>
      <c r="P578" s="364"/>
      <c r="Q578" s="364"/>
      <c r="R578" s="364"/>
      <c r="S578" s="364"/>
      <c r="T578" s="364"/>
      <c r="U578" s="364"/>
      <c r="V578" s="364"/>
      <c r="W578" s="364"/>
      <c r="X578" s="364"/>
      <c r="Y578" s="364"/>
      <c r="Z578" s="364"/>
    </row>
    <row r="579">
      <c r="A579" s="367"/>
      <c r="B579" s="367"/>
      <c r="C579" s="364"/>
      <c r="D579" s="364"/>
      <c r="E579" s="364"/>
      <c r="F579" s="364"/>
      <c r="G579" s="364"/>
      <c r="H579" s="364"/>
      <c r="I579" s="364"/>
      <c r="J579" s="364"/>
      <c r="K579" s="364"/>
      <c r="L579" s="364"/>
      <c r="M579" s="364"/>
      <c r="N579" s="364"/>
      <c r="O579" s="364"/>
      <c r="P579" s="364"/>
      <c r="Q579" s="364"/>
      <c r="R579" s="364"/>
      <c r="S579" s="364"/>
      <c r="T579" s="364"/>
      <c r="U579" s="364"/>
      <c r="V579" s="364"/>
      <c r="W579" s="364"/>
      <c r="X579" s="364"/>
      <c r="Y579" s="364"/>
      <c r="Z579" s="364"/>
    </row>
    <row r="580">
      <c r="A580" s="367"/>
      <c r="B580" s="367"/>
      <c r="C580" s="364"/>
      <c r="D580" s="364"/>
      <c r="E580" s="364"/>
      <c r="F580" s="364"/>
      <c r="G580" s="364"/>
      <c r="H580" s="364"/>
      <c r="I580" s="364"/>
      <c r="J580" s="364"/>
      <c r="K580" s="364"/>
      <c r="L580" s="364"/>
      <c r="M580" s="364"/>
      <c r="N580" s="364"/>
      <c r="O580" s="364"/>
      <c r="P580" s="364"/>
      <c r="Q580" s="364"/>
      <c r="R580" s="364"/>
      <c r="S580" s="364"/>
      <c r="T580" s="364"/>
      <c r="U580" s="364"/>
      <c r="V580" s="364"/>
      <c r="W580" s="364"/>
      <c r="X580" s="364"/>
      <c r="Y580" s="364"/>
      <c r="Z580" s="364"/>
    </row>
    <row r="581">
      <c r="A581" s="367"/>
      <c r="B581" s="367"/>
      <c r="C581" s="364"/>
      <c r="D581" s="364"/>
      <c r="E581" s="364"/>
      <c r="F581" s="364"/>
      <c r="G581" s="364"/>
      <c r="H581" s="364"/>
      <c r="I581" s="364"/>
      <c r="J581" s="364"/>
      <c r="K581" s="364"/>
      <c r="L581" s="364"/>
      <c r="M581" s="364"/>
      <c r="N581" s="364"/>
      <c r="O581" s="364"/>
      <c r="P581" s="364"/>
      <c r="Q581" s="364"/>
      <c r="R581" s="364"/>
      <c r="S581" s="364"/>
      <c r="T581" s="364"/>
      <c r="U581" s="364"/>
      <c r="V581" s="364"/>
      <c r="W581" s="364"/>
      <c r="X581" s="364"/>
      <c r="Y581" s="364"/>
      <c r="Z581" s="364"/>
    </row>
    <row r="582">
      <c r="A582" s="367"/>
      <c r="B582" s="367"/>
      <c r="C582" s="364"/>
      <c r="D582" s="364"/>
      <c r="E582" s="364"/>
      <c r="F582" s="364"/>
      <c r="G582" s="364"/>
      <c r="H582" s="364"/>
      <c r="I582" s="364"/>
      <c r="J582" s="364"/>
      <c r="K582" s="364"/>
      <c r="L582" s="364"/>
      <c r="M582" s="364"/>
      <c r="N582" s="364"/>
      <c r="O582" s="364"/>
      <c r="P582" s="364"/>
      <c r="Q582" s="364"/>
      <c r="R582" s="364"/>
      <c r="S582" s="364"/>
      <c r="T582" s="364"/>
      <c r="U582" s="364"/>
      <c r="V582" s="364"/>
      <c r="W582" s="364"/>
      <c r="X582" s="364"/>
      <c r="Y582" s="364"/>
      <c r="Z582" s="364"/>
    </row>
    <row r="583">
      <c r="A583" s="367"/>
      <c r="B583" s="367"/>
      <c r="C583" s="364"/>
      <c r="D583" s="364"/>
      <c r="E583" s="364"/>
      <c r="F583" s="364"/>
      <c r="G583" s="364"/>
      <c r="H583" s="364"/>
      <c r="I583" s="364"/>
      <c r="J583" s="364"/>
      <c r="K583" s="364"/>
      <c r="L583" s="364"/>
      <c r="M583" s="364"/>
      <c r="N583" s="364"/>
      <c r="O583" s="364"/>
      <c r="P583" s="364"/>
      <c r="Q583" s="364"/>
      <c r="R583" s="364"/>
      <c r="S583" s="364"/>
      <c r="T583" s="364"/>
      <c r="U583" s="364"/>
      <c r="V583" s="364"/>
      <c r="W583" s="364"/>
      <c r="X583" s="364"/>
      <c r="Y583" s="364"/>
      <c r="Z583" s="364"/>
    </row>
    <row r="584">
      <c r="A584" s="367"/>
      <c r="B584" s="367"/>
      <c r="C584" s="364"/>
      <c r="D584" s="364"/>
      <c r="E584" s="364"/>
      <c r="F584" s="364"/>
      <c r="G584" s="364"/>
      <c r="H584" s="364"/>
      <c r="I584" s="364"/>
      <c r="J584" s="364"/>
      <c r="K584" s="364"/>
      <c r="L584" s="364"/>
      <c r="M584" s="364"/>
      <c r="N584" s="364"/>
      <c r="O584" s="364"/>
      <c r="P584" s="364"/>
      <c r="Q584" s="364"/>
      <c r="R584" s="364"/>
      <c r="S584" s="364"/>
      <c r="T584" s="364"/>
      <c r="U584" s="364"/>
      <c r="V584" s="364"/>
      <c r="W584" s="364"/>
      <c r="X584" s="364"/>
      <c r="Y584" s="364"/>
      <c r="Z584" s="364"/>
    </row>
    <row r="585">
      <c r="A585" s="367"/>
      <c r="B585" s="367"/>
      <c r="C585" s="364"/>
      <c r="D585" s="364"/>
      <c r="E585" s="364"/>
      <c r="F585" s="364"/>
      <c r="G585" s="364"/>
      <c r="H585" s="364"/>
      <c r="I585" s="364"/>
      <c r="J585" s="364"/>
      <c r="K585" s="364"/>
      <c r="L585" s="364"/>
      <c r="M585" s="364"/>
      <c r="N585" s="364"/>
      <c r="O585" s="364"/>
      <c r="P585" s="364"/>
      <c r="Q585" s="364"/>
      <c r="R585" s="364"/>
      <c r="S585" s="364"/>
      <c r="T585" s="364"/>
      <c r="U585" s="364"/>
      <c r="V585" s="364"/>
      <c r="W585" s="364"/>
      <c r="X585" s="364"/>
      <c r="Y585" s="364"/>
      <c r="Z585" s="364"/>
    </row>
    <row r="586">
      <c r="A586" s="367"/>
      <c r="B586" s="367"/>
      <c r="C586" s="364"/>
      <c r="D586" s="364"/>
      <c r="E586" s="364"/>
      <c r="F586" s="364"/>
      <c r="G586" s="364"/>
      <c r="H586" s="364"/>
      <c r="I586" s="364"/>
      <c r="J586" s="364"/>
      <c r="K586" s="364"/>
      <c r="L586" s="364"/>
      <c r="M586" s="364"/>
      <c r="N586" s="364"/>
      <c r="O586" s="364"/>
      <c r="P586" s="364"/>
      <c r="Q586" s="364"/>
      <c r="R586" s="364"/>
      <c r="S586" s="364"/>
      <c r="T586" s="364"/>
      <c r="U586" s="364"/>
      <c r="V586" s="364"/>
      <c r="W586" s="364"/>
      <c r="X586" s="364"/>
      <c r="Y586" s="364"/>
      <c r="Z586" s="364"/>
    </row>
    <row r="587">
      <c r="A587" s="367"/>
      <c r="B587" s="367"/>
      <c r="C587" s="364"/>
      <c r="D587" s="364"/>
      <c r="E587" s="364"/>
      <c r="F587" s="364"/>
      <c r="G587" s="364"/>
      <c r="H587" s="364"/>
      <c r="I587" s="364"/>
      <c r="J587" s="364"/>
      <c r="K587" s="364"/>
      <c r="L587" s="364"/>
      <c r="M587" s="364"/>
      <c r="N587" s="364"/>
      <c r="O587" s="364"/>
      <c r="P587" s="364"/>
      <c r="Q587" s="364"/>
      <c r="R587" s="364"/>
      <c r="S587" s="364"/>
      <c r="T587" s="364"/>
      <c r="U587" s="364"/>
      <c r="V587" s="364"/>
      <c r="W587" s="364"/>
      <c r="X587" s="364"/>
      <c r="Y587" s="364"/>
      <c r="Z587" s="364"/>
    </row>
    <row r="588">
      <c r="A588" s="367"/>
      <c r="B588" s="367"/>
      <c r="C588" s="364"/>
      <c r="D588" s="364"/>
      <c r="E588" s="364"/>
      <c r="F588" s="364"/>
      <c r="G588" s="364"/>
      <c r="H588" s="364"/>
      <c r="I588" s="364"/>
      <c r="J588" s="364"/>
      <c r="K588" s="364"/>
      <c r="L588" s="364"/>
      <c r="M588" s="364"/>
      <c r="N588" s="364"/>
      <c r="O588" s="364"/>
      <c r="P588" s="364"/>
      <c r="Q588" s="364"/>
      <c r="R588" s="364"/>
      <c r="S588" s="364"/>
      <c r="T588" s="364"/>
      <c r="U588" s="364"/>
      <c r="V588" s="364"/>
      <c r="W588" s="364"/>
      <c r="X588" s="364"/>
      <c r="Y588" s="364"/>
      <c r="Z588" s="364"/>
    </row>
    <row r="589">
      <c r="A589" s="367"/>
      <c r="B589" s="367"/>
      <c r="C589" s="364"/>
      <c r="D589" s="364"/>
      <c r="E589" s="364"/>
      <c r="F589" s="364"/>
      <c r="G589" s="364"/>
      <c r="H589" s="364"/>
      <c r="I589" s="364"/>
      <c r="J589" s="364"/>
      <c r="K589" s="364"/>
      <c r="L589" s="364"/>
      <c r="M589" s="364"/>
      <c r="N589" s="364"/>
      <c r="O589" s="364"/>
      <c r="P589" s="364"/>
      <c r="Q589" s="364"/>
      <c r="R589" s="364"/>
      <c r="S589" s="364"/>
      <c r="T589" s="364"/>
      <c r="U589" s="364"/>
      <c r="V589" s="364"/>
      <c r="W589" s="364"/>
      <c r="X589" s="364"/>
      <c r="Y589" s="364"/>
      <c r="Z589" s="364"/>
    </row>
    <row r="590">
      <c r="A590" s="367"/>
      <c r="B590" s="367"/>
      <c r="C590" s="364"/>
      <c r="D590" s="364"/>
      <c r="E590" s="364"/>
      <c r="F590" s="364"/>
      <c r="G590" s="364"/>
      <c r="H590" s="364"/>
      <c r="I590" s="364"/>
      <c r="J590" s="364"/>
      <c r="K590" s="364"/>
      <c r="L590" s="364"/>
      <c r="M590" s="364"/>
      <c r="N590" s="364"/>
      <c r="O590" s="364"/>
      <c r="P590" s="364"/>
      <c r="Q590" s="364"/>
      <c r="R590" s="364"/>
      <c r="S590" s="364"/>
      <c r="T590" s="364"/>
      <c r="U590" s="364"/>
      <c r="V590" s="364"/>
      <c r="W590" s="364"/>
      <c r="X590" s="364"/>
      <c r="Y590" s="364"/>
      <c r="Z590" s="364"/>
    </row>
    <row r="591">
      <c r="A591" s="367"/>
      <c r="B591" s="367"/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364"/>
      <c r="P591" s="364"/>
      <c r="Q591" s="364"/>
      <c r="R591" s="364"/>
      <c r="S591" s="364"/>
      <c r="T591" s="364"/>
      <c r="U591" s="364"/>
      <c r="V591" s="364"/>
      <c r="W591" s="364"/>
      <c r="X591" s="364"/>
      <c r="Y591" s="364"/>
      <c r="Z591" s="364"/>
    </row>
    <row r="592">
      <c r="A592" s="367"/>
      <c r="B592" s="367"/>
      <c r="C592" s="364"/>
      <c r="D592" s="364"/>
      <c r="E592" s="364"/>
      <c r="F592" s="364"/>
      <c r="G592" s="364"/>
      <c r="H592" s="364"/>
      <c r="I592" s="364"/>
      <c r="J592" s="364"/>
      <c r="K592" s="364"/>
      <c r="L592" s="364"/>
      <c r="M592" s="364"/>
      <c r="N592" s="364"/>
      <c r="O592" s="364"/>
      <c r="P592" s="364"/>
      <c r="Q592" s="364"/>
      <c r="R592" s="364"/>
      <c r="S592" s="364"/>
      <c r="T592" s="364"/>
      <c r="U592" s="364"/>
      <c r="V592" s="364"/>
      <c r="W592" s="364"/>
      <c r="X592" s="364"/>
      <c r="Y592" s="364"/>
      <c r="Z592" s="364"/>
    </row>
    <row r="593">
      <c r="A593" s="367"/>
      <c r="B593" s="367"/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</row>
    <row r="594">
      <c r="A594" s="367"/>
      <c r="B594" s="367"/>
      <c r="C594" s="364"/>
      <c r="D594" s="364"/>
      <c r="E594" s="364"/>
      <c r="F594" s="364"/>
      <c r="G594" s="364"/>
      <c r="H594" s="364"/>
      <c r="I594" s="364"/>
      <c r="J594" s="364"/>
      <c r="K594" s="364"/>
      <c r="L594" s="364"/>
      <c r="M594" s="364"/>
      <c r="N594" s="364"/>
      <c r="O594" s="364"/>
      <c r="P594" s="364"/>
      <c r="Q594" s="364"/>
      <c r="R594" s="364"/>
      <c r="S594" s="364"/>
      <c r="T594" s="364"/>
      <c r="U594" s="364"/>
      <c r="V594" s="364"/>
      <c r="W594" s="364"/>
      <c r="X594" s="364"/>
      <c r="Y594" s="364"/>
      <c r="Z594" s="364"/>
    </row>
    <row r="595">
      <c r="A595" s="367"/>
      <c r="B595" s="367"/>
      <c r="C595" s="364"/>
      <c r="D595" s="364"/>
      <c r="E595" s="364"/>
      <c r="F595" s="364"/>
      <c r="G595" s="364"/>
      <c r="H595" s="364"/>
      <c r="I595" s="364"/>
      <c r="J595" s="364"/>
      <c r="K595" s="364"/>
      <c r="L595" s="364"/>
      <c r="M595" s="364"/>
      <c r="N595" s="364"/>
      <c r="O595" s="364"/>
      <c r="P595" s="364"/>
      <c r="Q595" s="364"/>
      <c r="R595" s="364"/>
      <c r="S595" s="364"/>
      <c r="T595" s="364"/>
      <c r="U595" s="364"/>
      <c r="V595" s="364"/>
      <c r="W595" s="364"/>
      <c r="X595" s="364"/>
      <c r="Y595" s="364"/>
      <c r="Z595" s="364"/>
    </row>
    <row r="596">
      <c r="A596" s="367"/>
      <c r="B596" s="367"/>
      <c r="C596" s="364"/>
      <c r="D596" s="364"/>
      <c r="E596" s="364"/>
      <c r="F596" s="364"/>
      <c r="G596" s="364"/>
      <c r="H596" s="364"/>
      <c r="I596" s="364"/>
      <c r="J596" s="364"/>
      <c r="K596" s="364"/>
      <c r="L596" s="364"/>
      <c r="M596" s="364"/>
      <c r="N596" s="364"/>
      <c r="O596" s="364"/>
      <c r="P596" s="364"/>
      <c r="Q596" s="364"/>
      <c r="R596" s="364"/>
      <c r="S596" s="364"/>
      <c r="T596" s="364"/>
      <c r="U596" s="364"/>
      <c r="V596" s="364"/>
      <c r="W596" s="364"/>
      <c r="X596" s="364"/>
      <c r="Y596" s="364"/>
      <c r="Z596" s="364"/>
    </row>
    <row r="597">
      <c r="A597" s="367"/>
      <c r="B597" s="367"/>
      <c r="C597" s="364"/>
      <c r="D597" s="364"/>
      <c r="E597" s="364"/>
      <c r="F597" s="364"/>
      <c r="G597" s="364"/>
      <c r="H597" s="364"/>
      <c r="I597" s="364"/>
      <c r="J597" s="364"/>
      <c r="K597" s="364"/>
      <c r="L597" s="364"/>
      <c r="M597" s="364"/>
      <c r="N597" s="364"/>
      <c r="O597" s="364"/>
      <c r="P597" s="364"/>
      <c r="Q597" s="364"/>
      <c r="R597" s="364"/>
      <c r="S597" s="364"/>
      <c r="T597" s="364"/>
      <c r="U597" s="364"/>
      <c r="V597" s="364"/>
      <c r="W597" s="364"/>
      <c r="X597" s="364"/>
      <c r="Y597" s="364"/>
      <c r="Z597" s="364"/>
    </row>
    <row r="598">
      <c r="A598" s="367"/>
      <c r="B598" s="367"/>
      <c r="C598" s="364"/>
      <c r="D598" s="364"/>
      <c r="E598" s="364"/>
      <c r="F598" s="364"/>
      <c r="G598" s="364"/>
      <c r="H598" s="364"/>
      <c r="I598" s="364"/>
      <c r="J598" s="364"/>
      <c r="K598" s="364"/>
      <c r="L598" s="364"/>
      <c r="M598" s="364"/>
      <c r="N598" s="364"/>
      <c r="O598" s="364"/>
      <c r="P598" s="364"/>
      <c r="Q598" s="364"/>
      <c r="R598" s="364"/>
      <c r="S598" s="364"/>
      <c r="T598" s="364"/>
      <c r="U598" s="364"/>
      <c r="V598" s="364"/>
      <c r="W598" s="364"/>
      <c r="X598" s="364"/>
      <c r="Y598" s="364"/>
      <c r="Z598" s="364"/>
    </row>
    <row r="599">
      <c r="A599" s="367"/>
      <c r="B599" s="367"/>
      <c r="C599" s="364"/>
      <c r="D599" s="364"/>
      <c r="E599" s="364"/>
      <c r="F599" s="364"/>
      <c r="G599" s="364"/>
      <c r="H599" s="364"/>
      <c r="I599" s="364"/>
      <c r="J599" s="364"/>
      <c r="K599" s="364"/>
      <c r="L599" s="364"/>
      <c r="M599" s="364"/>
      <c r="N599" s="364"/>
      <c r="O599" s="364"/>
      <c r="P599" s="364"/>
      <c r="Q599" s="364"/>
      <c r="R599" s="364"/>
      <c r="S599" s="364"/>
      <c r="T599" s="364"/>
      <c r="U599" s="364"/>
      <c r="V599" s="364"/>
      <c r="W599" s="364"/>
      <c r="X599" s="364"/>
      <c r="Y599" s="364"/>
      <c r="Z599" s="364"/>
    </row>
    <row r="600">
      <c r="A600" s="367"/>
      <c r="B600" s="367"/>
      <c r="C600" s="364"/>
      <c r="D600" s="364"/>
      <c r="E600" s="364"/>
      <c r="F600" s="364"/>
      <c r="G600" s="364"/>
      <c r="H600" s="364"/>
      <c r="I600" s="364"/>
      <c r="J600" s="364"/>
      <c r="K600" s="364"/>
      <c r="L600" s="364"/>
      <c r="M600" s="364"/>
      <c r="N600" s="364"/>
      <c r="O600" s="364"/>
      <c r="P600" s="364"/>
      <c r="Q600" s="364"/>
      <c r="R600" s="364"/>
      <c r="S600" s="364"/>
      <c r="T600" s="364"/>
      <c r="U600" s="364"/>
      <c r="V600" s="364"/>
      <c r="W600" s="364"/>
      <c r="X600" s="364"/>
      <c r="Y600" s="364"/>
      <c r="Z600" s="364"/>
    </row>
    <row r="601">
      <c r="A601" s="367"/>
      <c r="B601" s="367"/>
      <c r="C601" s="364"/>
      <c r="D601" s="364"/>
      <c r="E601" s="364"/>
      <c r="F601" s="364"/>
      <c r="G601" s="364"/>
      <c r="H601" s="364"/>
      <c r="I601" s="364"/>
      <c r="J601" s="364"/>
      <c r="K601" s="364"/>
      <c r="L601" s="364"/>
      <c r="M601" s="364"/>
      <c r="N601" s="364"/>
      <c r="O601" s="364"/>
      <c r="P601" s="364"/>
      <c r="Q601" s="364"/>
      <c r="R601" s="364"/>
      <c r="S601" s="364"/>
      <c r="T601" s="364"/>
      <c r="U601" s="364"/>
      <c r="V601" s="364"/>
      <c r="W601" s="364"/>
      <c r="X601" s="364"/>
      <c r="Y601" s="364"/>
      <c r="Z601" s="364"/>
    </row>
    <row r="602">
      <c r="A602" s="367"/>
      <c r="B602" s="367"/>
      <c r="C602" s="364"/>
      <c r="D602" s="364"/>
      <c r="E602" s="364"/>
      <c r="F602" s="364"/>
      <c r="G602" s="364"/>
      <c r="H602" s="364"/>
      <c r="I602" s="364"/>
      <c r="J602" s="364"/>
      <c r="K602" s="364"/>
      <c r="L602" s="364"/>
      <c r="M602" s="364"/>
      <c r="N602" s="364"/>
      <c r="O602" s="364"/>
      <c r="P602" s="364"/>
      <c r="Q602" s="364"/>
      <c r="R602" s="364"/>
      <c r="S602" s="364"/>
      <c r="T602" s="364"/>
      <c r="U602" s="364"/>
      <c r="V602" s="364"/>
      <c r="W602" s="364"/>
      <c r="X602" s="364"/>
      <c r="Y602" s="364"/>
      <c r="Z602" s="364"/>
    </row>
    <row r="603">
      <c r="A603" s="367"/>
      <c r="B603" s="367"/>
      <c r="C603" s="364"/>
      <c r="D603" s="364"/>
      <c r="E603" s="364"/>
      <c r="F603" s="364"/>
      <c r="G603" s="364"/>
      <c r="H603" s="364"/>
      <c r="I603" s="364"/>
      <c r="J603" s="364"/>
      <c r="K603" s="364"/>
      <c r="L603" s="364"/>
      <c r="M603" s="364"/>
      <c r="N603" s="364"/>
      <c r="O603" s="364"/>
      <c r="P603" s="364"/>
      <c r="Q603" s="364"/>
      <c r="R603" s="364"/>
      <c r="S603" s="364"/>
      <c r="T603" s="364"/>
      <c r="U603" s="364"/>
      <c r="V603" s="364"/>
      <c r="W603" s="364"/>
      <c r="X603" s="364"/>
      <c r="Y603" s="364"/>
      <c r="Z603" s="364"/>
    </row>
    <row r="604">
      <c r="A604" s="367"/>
      <c r="B604" s="367"/>
      <c r="C604" s="364"/>
      <c r="D604" s="364"/>
      <c r="E604" s="364"/>
      <c r="F604" s="364"/>
      <c r="G604" s="364"/>
      <c r="H604" s="364"/>
      <c r="I604" s="364"/>
      <c r="J604" s="364"/>
      <c r="K604" s="364"/>
      <c r="L604" s="364"/>
      <c r="M604" s="364"/>
      <c r="N604" s="364"/>
      <c r="O604" s="364"/>
      <c r="P604" s="364"/>
      <c r="Q604" s="364"/>
      <c r="R604" s="364"/>
      <c r="S604" s="364"/>
      <c r="T604" s="364"/>
      <c r="U604" s="364"/>
      <c r="V604" s="364"/>
      <c r="W604" s="364"/>
      <c r="X604" s="364"/>
      <c r="Y604" s="364"/>
      <c r="Z604" s="364"/>
    </row>
    <row r="605">
      <c r="A605" s="367"/>
      <c r="B605" s="367"/>
      <c r="C605" s="364"/>
      <c r="D605" s="364"/>
      <c r="E605" s="364"/>
      <c r="F605" s="364"/>
      <c r="G605" s="364"/>
      <c r="H605" s="364"/>
      <c r="I605" s="364"/>
      <c r="J605" s="364"/>
      <c r="K605" s="364"/>
      <c r="L605" s="364"/>
      <c r="M605" s="364"/>
      <c r="N605" s="364"/>
      <c r="O605" s="364"/>
      <c r="P605" s="364"/>
      <c r="Q605" s="364"/>
      <c r="R605" s="364"/>
      <c r="S605" s="364"/>
      <c r="T605" s="364"/>
      <c r="U605" s="364"/>
      <c r="V605" s="364"/>
      <c r="W605" s="364"/>
      <c r="X605" s="364"/>
      <c r="Y605" s="364"/>
      <c r="Z605" s="364"/>
    </row>
    <row r="606">
      <c r="A606" s="367"/>
      <c r="B606" s="367"/>
      <c r="C606" s="364"/>
      <c r="D606" s="364"/>
      <c r="E606" s="364"/>
      <c r="F606" s="364"/>
      <c r="G606" s="364"/>
      <c r="H606" s="364"/>
      <c r="I606" s="364"/>
      <c r="J606" s="364"/>
      <c r="K606" s="364"/>
      <c r="L606" s="364"/>
      <c r="M606" s="364"/>
      <c r="N606" s="364"/>
      <c r="O606" s="364"/>
      <c r="P606" s="364"/>
      <c r="Q606" s="364"/>
      <c r="R606" s="364"/>
      <c r="S606" s="364"/>
      <c r="T606" s="364"/>
      <c r="U606" s="364"/>
      <c r="V606" s="364"/>
      <c r="W606" s="364"/>
      <c r="X606" s="364"/>
      <c r="Y606" s="364"/>
      <c r="Z606" s="364"/>
    </row>
    <row r="607">
      <c r="A607" s="367"/>
      <c r="B607" s="367"/>
      <c r="C607" s="364"/>
      <c r="D607" s="364"/>
      <c r="E607" s="364"/>
      <c r="F607" s="364"/>
      <c r="G607" s="364"/>
      <c r="H607" s="364"/>
      <c r="I607" s="364"/>
      <c r="J607" s="364"/>
      <c r="K607" s="364"/>
      <c r="L607" s="364"/>
      <c r="M607" s="364"/>
      <c r="N607" s="364"/>
      <c r="O607" s="364"/>
      <c r="P607" s="364"/>
      <c r="Q607" s="364"/>
      <c r="R607" s="364"/>
      <c r="S607" s="364"/>
      <c r="T607" s="364"/>
      <c r="U607" s="364"/>
      <c r="V607" s="364"/>
      <c r="W607" s="364"/>
      <c r="X607" s="364"/>
      <c r="Y607" s="364"/>
      <c r="Z607" s="364"/>
    </row>
    <row r="608">
      <c r="A608" s="367"/>
      <c r="B608" s="367"/>
      <c r="C608" s="364"/>
      <c r="D608" s="364"/>
      <c r="E608" s="364"/>
      <c r="F608" s="364"/>
      <c r="G608" s="364"/>
      <c r="H608" s="364"/>
      <c r="I608" s="364"/>
      <c r="J608" s="364"/>
      <c r="K608" s="364"/>
      <c r="L608" s="364"/>
      <c r="M608" s="364"/>
      <c r="N608" s="364"/>
      <c r="O608" s="364"/>
      <c r="P608" s="364"/>
      <c r="Q608" s="364"/>
      <c r="R608" s="364"/>
      <c r="S608" s="364"/>
      <c r="T608" s="364"/>
      <c r="U608" s="364"/>
      <c r="V608" s="364"/>
      <c r="W608" s="364"/>
      <c r="X608" s="364"/>
      <c r="Y608" s="364"/>
      <c r="Z608" s="364"/>
    </row>
    <row r="609">
      <c r="A609" s="367"/>
      <c r="B609" s="367"/>
      <c r="C609" s="364"/>
      <c r="D609" s="364"/>
      <c r="E609" s="364"/>
      <c r="F609" s="364"/>
      <c r="G609" s="364"/>
      <c r="H609" s="364"/>
      <c r="I609" s="364"/>
      <c r="J609" s="364"/>
      <c r="K609" s="364"/>
      <c r="L609" s="364"/>
      <c r="M609" s="364"/>
      <c r="N609" s="364"/>
      <c r="O609" s="364"/>
      <c r="P609" s="364"/>
      <c r="Q609" s="364"/>
      <c r="R609" s="364"/>
      <c r="S609" s="364"/>
      <c r="T609" s="364"/>
      <c r="U609" s="364"/>
      <c r="V609" s="364"/>
      <c r="W609" s="364"/>
      <c r="X609" s="364"/>
      <c r="Y609" s="364"/>
      <c r="Z609" s="364"/>
    </row>
    <row r="610">
      <c r="A610" s="367"/>
      <c r="B610" s="367"/>
      <c r="C610" s="364"/>
      <c r="D610" s="364"/>
      <c r="E610" s="364"/>
      <c r="F610" s="364"/>
      <c r="G610" s="364"/>
      <c r="H610" s="364"/>
      <c r="I610" s="364"/>
      <c r="J610" s="364"/>
      <c r="K610" s="364"/>
      <c r="L610" s="364"/>
      <c r="M610" s="364"/>
      <c r="N610" s="364"/>
      <c r="O610" s="364"/>
      <c r="P610" s="364"/>
      <c r="Q610" s="364"/>
      <c r="R610" s="364"/>
      <c r="S610" s="364"/>
      <c r="T610" s="364"/>
      <c r="U610" s="364"/>
      <c r="V610" s="364"/>
      <c r="W610" s="364"/>
      <c r="X610" s="364"/>
      <c r="Y610" s="364"/>
      <c r="Z610" s="364"/>
    </row>
    <row r="611">
      <c r="A611" s="367"/>
      <c r="B611" s="367"/>
      <c r="C611" s="364"/>
      <c r="D611" s="364"/>
      <c r="E611" s="364"/>
      <c r="F611" s="364"/>
      <c r="G611" s="364"/>
      <c r="H611" s="364"/>
      <c r="I611" s="364"/>
      <c r="J611" s="364"/>
      <c r="K611" s="364"/>
      <c r="L611" s="364"/>
      <c r="M611" s="364"/>
      <c r="N611" s="364"/>
      <c r="O611" s="364"/>
      <c r="P611" s="364"/>
      <c r="Q611" s="364"/>
      <c r="R611" s="364"/>
      <c r="S611" s="364"/>
      <c r="T611" s="364"/>
      <c r="U611" s="364"/>
      <c r="V611" s="364"/>
      <c r="W611" s="364"/>
      <c r="X611" s="364"/>
      <c r="Y611" s="364"/>
      <c r="Z611" s="364"/>
    </row>
    <row r="612">
      <c r="A612" s="367"/>
      <c r="B612" s="367"/>
      <c r="C612" s="364"/>
      <c r="D612" s="364"/>
      <c r="E612" s="364"/>
      <c r="F612" s="364"/>
      <c r="G612" s="364"/>
      <c r="H612" s="364"/>
      <c r="I612" s="364"/>
      <c r="J612" s="364"/>
      <c r="K612" s="364"/>
      <c r="L612" s="364"/>
      <c r="M612" s="364"/>
      <c r="N612" s="364"/>
      <c r="O612" s="364"/>
      <c r="P612" s="364"/>
      <c r="Q612" s="364"/>
      <c r="R612" s="364"/>
      <c r="S612" s="364"/>
      <c r="T612" s="364"/>
      <c r="U612" s="364"/>
      <c r="V612" s="364"/>
      <c r="W612" s="364"/>
      <c r="X612" s="364"/>
      <c r="Y612" s="364"/>
      <c r="Z612" s="364"/>
    </row>
    <row r="613">
      <c r="A613" s="367"/>
      <c r="B613" s="367"/>
      <c r="C613" s="364"/>
      <c r="D613" s="364"/>
      <c r="E613" s="364"/>
      <c r="F613" s="364"/>
      <c r="G613" s="364"/>
      <c r="H613" s="364"/>
      <c r="I613" s="364"/>
      <c r="J613" s="364"/>
      <c r="K613" s="364"/>
      <c r="L613" s="364"/>
      <c r="M613" s="364"/>
      <c r="N613" s="364"/>
      <c r="O613" s="364"/>
      <c r="P613" s="364"/>
      <c r="Q613" s="364"/>
      <c r="R613" s="364"/>
      <c r="S613" s="364"/>
      <c r="T613" s="364"/>
      <c r="U613" s="364"/>
      <c r="V613" s="364"/>
      <c r="W613" s="364"/>
      <c r="X613" s="364"/>
      <c r="Y613" s="364"/>
      <c r="Z613" s="364"/>
    </row>
    <row r="614">
      <c r="A614" s="367"/>
      <c r="B614" s="367"/>
      <c r="C614" s="364"/>
      <c r="D614" s="364"/>
      <c r="E614" s="364"/>
      <c r="F614" s="364"/>
      <c r="G614" s="364"/>
      <c r="H614" s="364"/>
      <c r="I614" s="364"/>
      <c r="J614" s="364"/>
      <c r="K614" s="364"/>
      <c r="L614" s="364"/>
      <c r="M614" s="364"/>
      <c r="N614" s="364"/>
      <c r="O614" s="364"/>
      <c r="P614" s="364"/>
      <c r="Q614" s="364"/>
      <c r="R614" s="364"/>
      <c r="S614" s="364"/>
      <c r="T614" s="364"/>
      <c r="U614" s="364"/>
      <c r="V614" s="364"/>
      <c r="W614" s="364"/>
      <c r="X614" s="364"/>
      <c r="Y614" s="364"/>
      <c r="Z614" s="364"/>
    </row>
    <row r="615">
      <c r="A615" s="367"/>
      <c r="B615" s="367"/>
      <c r="C615" s="364"/>
      <c r="D615" s="364"/>
      <c r="E615" s="364"/>
      <c r="F615" s="364"/>
      <c r="G615" s="364"/>
      <c r="H615" s="364"/>
      <c r="I615" s="364"/>
      <c r="J615" s="364"/>
      <c r="K615" s="364"/>
      <c r="L615" s="364"/>
      <c r="M615" s="364"/>
      <c r="N615" s="364"/>
      <c r="O615" s="364"/>
      <c r="P615" s="364"/>
      <c r="Q615" s="364"/>
      <c r="R615" s="364"/>
      <c r="S615" s="364"/>
      <c r="T615" s="364"/>
      <c r="U615" s="364"/>
      <c r="V615" s="364"/>
      <c r="W615" s="364"/>
      <c r="X615" s="364"/>
      <c r="Y615" s="364"/>
      <c r="Z615" s="364"/>
    </row>
    <row r="616">
      <c r="A616" s="367"/>
      <c r="B616" s="367"/>
      <c r="C616" s="364"/>
      <c r="D616" s="364"/>
      <c r="E616" s="364"/>
      <c r="F616" s="364"/>
      <c r="G616" s="364"/>
      <c r="H616" s="364"/>
      <c r="I616" s="364"/>
      <c r="J616" s="364"/>
      <c r="K616" s="364"/>
      <c r="L616" s="364"/>
      <c r="M616" s="364"/>
      <c r="N616" s="364"/>
      <c r="O616" s="364"/>
      <c r="P616" s="364"/>
      <c r="Q616" s="364"/>
      <c r="R616" s="364"/>
      <c r="S616" s="364"/>
      <c r="T616" s="364"/>
      <c r="U616" s="364"/>
      <c r="V616" s="364"/>
      <c r="W616" s="364"/>
      <c r="X616" s="364"/>
      <c r="Y616" s="364"/>
      <c r="Z616" s="364"/>
    </row>
    <row r="617">
      <c r="A617" s="367"/>
      <c r="B617" s="367"/>
      <c r="C617" s="364"/>
      <c r="D617" s="364"/>
      <c r="E617" s="364"/>
      <c r="F617" s="364"/>
      <c r="G617" s="364"/>
      <c r="H617" s="364"/>
      <c r="I617" s="364"/>
      <c r="J617" s="364"/>
      <c r="K617" s="364"/>
      <c r="L617" s="364"/>
      <c r="M617" s="364"/>
      <c r="N617" s="364"/>
      <c r="O617" s="364"/>
      <c r="P617" s="364"/>
      <c r="Q617" s="364"/>
      <c r="R617" s="364"/>
      <c r="S617" s="364"/>
      <c r="T617" s="364"/>
      <c r="U617" s="364"/>
      <c r="V617" s="364"/>
      <c r="W617" s="364"/>
      <c r="X617" s="364"/>
      <c r="Y617" s="364"/>
      <c r="Z617" s="364"/>
    </row>
    <row r="618">
      <c r="A618" s="367"/>
      <c r="B618" s="367"/>
      <c r="C618" s="364"/>
      <c r="D618" s="364"/>
      <c r="E618" s="364"/>
      <c r="F618" s="364"/>
      <c r="G618" s="364"/>
      <c r="H618" s="364"/>
      <c r="I618" s="364"/>
      <c r="J618" s="364"/>
      <c r="K618" s="364"/>
      <c r="L618" s="364"/>
      <c r="M618" s="364"/>
      <c r="N618" s="364"/>
      <c r="O618" s="364"/>
      <c r="P618" s="364"/>
      <c r="Q618" s="364"/>
      <c r="R618" s="364"/>
      <c r="S618" s="364"/>
      <c r="T618" s="364"/>
      <c r="U618" s="364"/>
      <c r="V618" s="364"/>
      <c r="W618" s="364"/>
      <c r="X618" s="364"/>
      <c r="Y618" s="364"/>
      <c r="Z618" s="364"/>
    </row>
    <row r="619">
      <c r="A619" s="367"/>
      <c r="B619" s="367"/>
      <c r="C619" s="364"/>
      <c r="D619" s="364"/>
      <c r="E619" s="364"/>
      <c r="F619" s="364"/>
      <c r="G619" s="364"/>
      <c r="H619" s="364"/>
      <c r="I619" s="364"/>
      <c r="J619" s="364"/>
      <c r="K619" s="364"/>
      <c r="L619" s="364"/>
      <c r="M619" s="364"/>
      <c r="N619" s="364"/>
      <c r="O619" s="364"/>
      <c r="P619" s="364"/>
      <c r="Q619" s="364"/>
      <c r="R619" s="364"/>
      <c r="S619" s="364"/>
      <c r="T619" s="364"/>
      <c r="U619" s="364"/>
      <c r="V619" s="364"/>
      <c r="W619" s="364"/>
      <c r="X619" s="364"/>
      <c r="Y619" s="364"/>
      <c r="Z619" s="364"/>
    </row>
    <row r="620">
      <c r="A620" s="367"/>
      <c r="B620" s="367"/>
      <c r="C620" s="364"/>
      <c r="D620" s="364"/>
      <c r="E620" s="364"/>
      <c r="F620" s="364"/>
      <c r="G620" s="364"/>
      <c r="H620" s="364"/>
      <c r="I620" s="364"/>
      <c r="J620" s="364"/>
      <c r="K620" s="364"/>
      <c r="L620" s="364"/>
      <c r="M620" s="364"/>
      <c r="N620" s="364"/>
      <c r="O620" s="364"/>
      <c r="P620" s="364"/>
      <c r="Q620" s="364"/>
      <c r="R620" s="364"/>
      <c r="S620" s="364"/>
      <c r="T620" s="364"/>
      <c r="U620" s="364"/>
      <c r="V620" s="364"/>
      <c r="W620" s="364"/>
      <c r="X620" s="364"/>
      <c r="Y620" s="364"/>
      <c r="Z620" s="364"/>
    </row>
    <row r="621">
      <c r="A621" s="367"/>
      <c r="B621" s="367"/>
      <c r="C621" s="364"/>
      <c r="D621" s="364"/>
      <c r="E621" s="364"/>
      <c r="F621" s="364"/>
      <c r="G621" s="364"/>
      <c r="H621" s="364"/>
      <c r="I621" s="364"/>
      <c r="J621" s="364"/>
      <c r="K621" s="364"/>
      <c r="L621" s="364"/>
      <c r="M621" s="364"/>
      <c r="N621" s="364"/>
      <c r="O621" s="364"/>
      <c r="P621" s="364"/>
      <c r="Q621" s="364"/>
      <c r="R621" s="364"/>
      <c r="S621" s="364"/>
      <c r="T621" s="364"/>
      <c r="U621" s="364"/>
      <c r="V621" s="364"/>
      <c r="W621" s="364"/>
      <c r="X621" s="364"/>
      <c r="Y621" s="364"/>
      <c r="Z621" s="364"/>
    </row>
    <row r="622">
      <c r="A622" s="367"/>
      <c r="B622" s="367"/>
      <c r="C622" s="364"/>
      <c r="D622" s="364"/>
      <c r="E622" s="364"/>
      <c r="F622" s="364"/>
      <c r="G622" s="364"/>
      <c r="H622" s="364"/>
      <c r="I622" s="364"/>
      <c r="J622" s="364"/>
      <c r="K622" s="364"/>
      <c r="L622" s="364"/>
      <c r="M622" s="364"/>
      <c r="N622" s="364"/>
      <c r="O622" s="364"/>
      <c r="P622" s="364"/>
      <c r="Q622" s="364"/>
      <c r="R622" s="364"/>
      <c r="S622" s="364"/>
      <c r="T622" s="364"/>
      <c r="U622" s="364"/>
      <c r="V622" s="364"/>
      <c r="W622" s="364"/>
      <c r="X622" s="364"/>
      <c r="Y622" s="364"/>
      <c r="Z622" s="364"/>
    </row>
    <row r="623">
      <c r="A623" s="367"/>
      <c r="B623" s="367"/>
      <c r="C623" s="364"/>
      <c r="D623" s="364"/>
      <c r="E623" s="364"/>
      <c r="F623" s="364"/>
      <c r="G623" s="364"/>
      <c r="H623" s="364"/>
      <c r="I623" s="364"/>
      <c r="J623" s="364"/>
      <c r="K623" s="364"/>
      <c r="L623" s="364"/>
      <c r="M623" s="364"/>
      <c r="N623" s="364"/>
      <c r="O623" s="364"/>
      <c r="P623" s="364"/>
      <c r="Q623" s="364"/>
      <c r="R623" s="364"/>
      <c r="S623" s="364"/>
      <c r="T623" s="364"/>
      <c r="U623" s="364"/>
      <c r="V623" s="364"/>
      <c r="W623" s="364"/>
      <c r="X623" s="364"/>
      <c r="Y623" s="364"/>
      <c r="Z623" s="364"/>
    </row>
    <row r="624">
      <c r="A624" s="367"/>
      <c r="B624" s="367"/>
      <c r="C624" s="364"/>
      <c r="D624" s="364"/>
      <c r="E624" s="364"/>
      <c r="F624" s="364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4"/>
      <c r="W624" s="364"/>
      <c r="X624" s="364"/>
      <c r="Y624" s="364"/>
      <c r="Z624" s="364"/>
    </row>
    <row r="625">
      <c r="A625" s="367"/>
      <c r="B625" s="367"/>
      <c r="C625" s="364"/>
      <c r="D625" s="364"/>
      <c r="E625" s="364"/>
      <c r="F625" s="364"/>
      <c r="G625" s="364"/>
      <c r="H625" s="364"/>
      <c r="I625" s="364"/>
      <c r="J625" s="364"/>
      <c r="K625" s="364"/>
      <c r="L625" s="364"/>
      <c r="M625" s="364"/>
      <c r="N625" s="364"/>
      <c r="O625" s="364"/>
      <c r="P625" s="364"/>
      <c r="Q625" s="364"/>
      <c r="R625" s="364"/>
      <c r="S625" s="364"/>
      <c r="T625" s="364"/>
      <c r="U625" s="364"/>
      <c r="V625" s="364"/>
      <c r="W625" s="364"/>
      <c r="X625" s="364"/>
      <c r="Y625" s="364"/>
      <c r="Z625" s="364"/>
    </row>
    <row r="626">
      <c r="A626" s="367"/>
      <c r="B626" s="367"/>
      <c r="C626" s="364"/>
      <c r="D626" s="364"/>
      <c r="E626" s="364"/>
      <c r="F626" s="364"/>
      <c r="G626" s="364"/>
      <c r="H626" s="364"/>
      <c r="I626" s="364"/>
      <c r="J626" s="364"/>
      <c r="K626" s="364"/>
      <c r="L626" s="364"/>
      <c r="M626" s="364"/>
      <c r="N626" s="364"/>
      <c r="O626" s="364"/>
      <c r="P626" s="364"/>
      <c r="Q626" s="364"/>
      <c r="R626" s="364"/>
      <c r="S626" s="364"/>
      <c r="T626" s="364"/>
      <c r="U626" s="364"/>
      <c r="V626" s="364"/>
      <c r="W626" s="364"/>
      <c r="X626" s="364"/>
      <c r="Y626" s="364"/>
      <c r="Z626" s="364"/>
    </row>
    <row r="627">
      <c r="A627" s="367"/>
      <c r="B627" s="367"/>
      <c r="C627" s="364"/>
      <c r="D627" s="364"/>
      <c r="E627" s="364"/>
      <c r="F627" s="364"/>
      <c r="G627" s="364"/>
      <c r="H627" s="364"/>
      <c r="I627" s="364"/>
      <c r="J627" s="364"/>
      <c r="K627" s="364"/>
      <c r="L627" s="364"/>
      <c r="M627" s="364"/>
      <c r="N627" s="364"/>
      <c r="O627" s="364"/>
      <c r="P627" s="364"/>
      <c r="Q627" s="364"/>
      <c r="R627" s="364"/>
      <c r="S627" s="364"/>
      <c r="T627" s="364"/>
      <c r="U627" s="364"/>
      <c r="V627" s="364"/>
      <c r="W627" s="364"/>
      <c r="X627" s="364"/>
      <c r="Y627" s="364"/>
      <c r="Z627" s="364"/>
    </row>
    <row r="628">
      <c r="A628" s="367"/>
      <c r="B628" s="367"/>
      <c r="C628" s="364"/>
      <c r="D628" s="364"/>
      <c r="E628" s="364"/>
      <c r="F628" s="364"/>
      <c r="G628" s="364"/>
      <c r="H628" s="364"/>
      <c r="I628" s="364"/>
      <c r="J628" s="364"/>
      <c r="K628" s="364"/>
      <c r="L628" s="364"/>
      <c r="M628" s="364"/>
      <c r="N628" s="364"/>
      <c r="O628" s="364"/>
      <c r="P628" s="364"/>
      <c r="Q628" s="364"/>
      <c r="R628" s="364"/>
      <c r="S628" s="364"/>
      <c r="T628" s="364"/>
      <c r="U628" s="364"/>
      <c r="V628" s="364"/>
      <c r="W628" s="364"/>
      <c r="X628" s="364"/>
      <c r="Y628" s="364"/>
      <c r="Z628" s="364"/>
    </row>
    <row r="629">
      <c r="A629" s="367"/>
      <c r="B629" s="367"/>
      <c r="C629" s="364"/>
      <c r="D629" s="364"/>
      <c r="E629" s="364"/>
      <c r="F629" s="364"/>
      <c r="G629" s="364"/>
      <c r="H629" s="364"/>
      <c r="I629" s="364"/>
      <c r="J629" s="364"/>
      <c r="K629" s="364"/>
      <c r="L629" s="364"/>
      <c r="M629" s="364"/>
      <c r="N629" s="364"/>
      <c r="O629" s="364"/>
      <c r="P629" s="364"/>
      <c r="Q629" s="364"/>
      <c r="R629" s="364"/>
      <c r="S629" s="364"/>
      <c r="T629" s="364"/>
      <c r="U629" s="364"/>
      <c r="V629" s="364"/>
      <c r="W629" s="364"/>
      <c r="X629" s="364"/>
      <c r="Y629" s="364"/>
      <c r="Z629" s="364"/>
    </row>
    <row r="630">
      <c r="A630" s="367"/>
      <c r="B630" s="367"/>
      <c r="C630" s="364"/>
      <c r="D630" s="364"/>
      <c r="E630" s="364"/>
      <c r="F630" s="364"/>
      <c r="G630" s="364"/>
      <c r="H630" s="364"/>
      <c r="I630" s="364"/>
      <c r="J630" s="364"/>
      <c r="K630" s="364"/>
      <c r="L630" s="364"/>
      <c r="M630" s="364"/>
      <c r="N630" s="364"/>
      <c r="O630" s="364"/>
      <c r="P630" s="364"/>
      <c r="Q630" s="364"/>
      <c r="R630" s="364"/>
      <c r="S630" s="364"/>
      <c r="T630" s="364"/>
      <c r="U630" s="364"/>
      <c r="V630" s="364"/>
      <c r="W630" s="364"/>
      <c r="X630" s="364"/>
      <c r="Y630" s="364"/>
      <c r="Z630" s="364"/>
    </row>
    <row r="631">
      <c r="A631" s="367"/>
      <c r="B631" s="367"/>
      <c r="C631" s="364"/>
      <c r="D631" s="364"/>
      <c r="E631" s="364"/>
      <c r="F631" s="364"/>
      <c r="G631" s="364"/>
      <c r="H631" s="364"/>
      <c r="I631" s="364"/>
      <c r="J631" s="364"/>
      <c r="K631" s="364"/>
      <c r="L631" s="364"/>
      <c r="M631" s="364"/>
      <c r="N631" s="364"/>
      <c r="O631" s="364"/>
      <c r="P631" s="364"/>
      <c r="Q631" s="364"/>
      <c r="R631" s="364"/>
      <c r="S631" s="364"/>
      <c r="T631" s="364"/>
      <c r="U631" s="364"/>
      <c r="V631" s="364"/>
      <c r="W631" s="364"/>
      <c r="X631" s="364"/>
      <c r="Y631" s="364"/>
      <c r="Z631" s="364"/>
    </row>
    <row r="632">
      <c r="A632" s="367"/>
      <c r="B632" s="367"/>
      <c r="C632" s="364"/>
      <c r="D632" s="364"/>
      <c r="E632" s="364"/>
      <c r="F632" s="364"/>
      <c r="G632" s="364"/>
      <c r="H632" s="364"/>
      <c r="I632" s="364"/>
      <c r="J632" s="364"/>
      <c r="K632" s="364"/>
      <c r="L632" s="364"/>
      <c r="M632" s="364"/>
      <c r="N632" s="364"/>
      <c r="O632" s="364"/>
      <c r="P632" s="364"/>
      <c r="Q632" s="364"/>
      <c r="R632" s="364"/>
      <c r="S632" s="364"/>
      <c r="T632" s="364"/>
      <c r="U632" s="364"/>
      <c r="V632" s="364"/>
      <c r="W632" s="364"/>
      <c r="X632" s="364"/>
      <c r="Y632" s="364"/>
      <c r="Z632" s="364"/>
    </row>
    <row r="633">
      <c r="A633" s="367"/>
      <c r="B633" s="367"/>
      <c r="C633" s="364"/>
      <c r="D633" s="364"/>
      <c r="E633" s="364"/>
      <c r="F633" s="364"/>
      <c r="G633" s="364"/>
      <c r="H633" s="364"/>
      <c r="I633" s="364"/>
      <c r="J633" s="364"/>
      <c r="K633" s="364"/>
      <c r="L633" s="364"/>
      <c r="M633" s="364"/>
      <c r="N633" s="364"/>
      <c r="O633" s="364"/>
      <c r="P633" s="364"/>
      <c r="Q633" s="364"/>
      <c r="R633" s="364"/>
      <c r="S633" s="364"/>
      <c r="T633" s="364"/>
      <c r="U633" s="364"/>
      <c r="V633" s="364"/>
      <c r="W633" s="364"/>
      <c r="X633" s="364"/>
      <c r="Y633" s="364"/>
      <c r="Z633" s="364"/>
    </row>
    <row r="634">
      <c r="A634" s="367"/>
      <c r="B634" s="367"/>
      <c r="C634" s="364"/>
      <c r="D634" s="364"/>
      <c r="E634" s="364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</row>
    <row r="635">
      <c r="A635" s="367"/>
      <c r="B635" s="367"/>
      <c r="C635" s="364"/>
      <c r="D635" s="364"/>
      <c r="E635" s="364"/>
      <c r="F635" s="364"/>
      <c r="G635" s="364"/>
      <c r="H635" s="364"/>
      <c r="I635" s="364"/>
      <c r="J635" s="364"/>
      <c r="K635" s="364"/>
      <c r="L635" s="364"/>
      <c r="M635" s="364"/>
      <c r="N635" s="364"/>
      <c r="O635" s="364"/>
      <c r="P635" s="364"/>
      <c r="Q635" s="364"/>
      <c r="R635" s="364"/>
      <c r="S635" s="364"/>
      <c r="T635" s="364"/>
      <c r="U635" s="364"/>
      <c r="V635" s="364"/>
      <c r="W635" s="364"/>
      <c r="X635" s="364"/>
      <c r="Y635" s="364"/>
      <c r="Z635" s="364"/>
    </row>
    <row r="636">
      <c r="A636" s="367"/>
      <c r="B636" s="367"/>
      <c r="C636" s="364"/>
      <c r="D636" s="364"/>
      <c r="E636" s="364"/>
      <c r="F636" s="364"/>
      <c r="G636" s="364"/>
      <c r="H636" s="364"/>
      <c r="I636" s="364"/>
      <c r="J636" s="364"/>
      <c r="K636" s="364"/>
      <c r="L636" s="364"/>
      <c r="M636" s="364"/>
      <c r="N636" s="364"/>
      <c r="O636" s="364"/>
      <c r="P636" s="364"/>
      <c r="Q636" s="364"/>
      <c r="R636" s="364"/>
      <c r="S636" s="364"/>
      <c r="T636" s="364"/>
      <c r="U636" s="364"/>
      <c r="V636" s="364"/>
      <c r="W636" s="364"/>
      <c r="X636" s="364"/>
      <c r="Y636" s="364"/>
      <c r="Z636" s="364"/>
    </row>
    <row r="637">
      <c r="A637" s="367"/>
      <c r="B637" s="367"/>
      <c r="C637" s="364"/>
      <c r="D637" s="364"/>
      <c r="E637" s="364"/>
      <c r="F637" s="364"/>
      <c r="G637" s="364"/>
      <c r="H637" s="364"/>
      <c r="I637" s="364"/>
      <c r="J637" s="364"/>
      <c r="K637" s="364"/>
      <c r="L637" s="364"/>
      <c r="M637" s="364"/>
      <c r="N637" s="364"/>
      <c r="O637" s="364"/>
      <c r="P637" s="364"/>
      <c r="Q637" s="364"/>
      <c r="R637" s="364"/>
      <c r="S637" s="364"/>
      <c r="T637" s="364"/>
      <c r="U637" s="364"/>
      <c r="V637" s="364"/>
      <c r="W637" s="364"/>
      <c r="X637" s="364"/>
      <c r="Y637" s="364"/>
      <c r="Z637" s="364"/>
    </row>
    <row r="638">
      <c r="A638" s="367"/>
      <c r="B638" s="367"/>
      <c r="C638" s="364"/>
      <c r="D638" s="364"/>
      <c r="E638" s="364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</row>
    <row r="639">
      <c r="A639" s="367"/>
      <c r="B639" s="367"/>
      <c r="C639" s="364"/>
      <c r="D639" s="364"/>
      <c r="E639" s="364"/>
      <c r="F639" s="364"/>
      <c r="G639" s="364"/>
      <c r="H639" s="364"/>
      <c r="I639" s="364"/>
      <c r="J639" s="364"/>
      <c r="K639" s="364"/>
      <c r="L639" s="364"/>
      <c r="M639" s="364"/>
      <c r="N639" s="364"/>
      <c r="O639" s="364"/>
      <c r="P639" s="364"/>
      <c r="Q639" s="364"/>
      <c r="R639" s="364"/>
      <c r="S639" s="364"/>
      <c r="T639" s="364"/>
      <c r="U639" s="364"/>
      <c r="V639" s="364"/>
      <c r="W639" s="364"/>
      <c r="X639" s="364"/>
      <c r="Y639" s="364"/>
      <c r="Z639" s="364"/>
    </row>
    <row r="640">
      <c r="A640" s="367"/>
      <c r="B640" s="367"/>
      <c r="C640" s="364"/>
      <c r="D640" s="364"/>
      <c r="E640" s="364"/>
      <c r="F640" s="364"/>
      <c r="G640" s="364"/>
      <c r="H640" s="364"/>
      <c r="I640" s="364"/>
      <c r="J640" s="364"/>
      <c r="K640" s="364"/>
      <c r="L640" s="364"/>
      <c r="M640" s="364"/>
      <c r="N640" s="364"/>
      <c r="O640" s="364"/>
      <c r="P640" s="364"/>
      <c r="Q640" s="364"/>
      <c r="R640" s="364"/>
      <c r="S640" s="364"/>
      <c r="T640" s="364"/>
      <c r="U640" s="364"/>
      <c r="V640" s="364"/>
      <c r="W640" s="364"/>
      <c r="X640" s="364"/>
      <c r="Y640" s="364"/>
      <c r="Z640" s="364"/>
    </row>
    <row r="641">
      <c r="A641" s="367"/>
      <c r="B641" s="367"/>
      <c r="C641" s="364"/>
      <c r="D641" s="364"/>
      <c r="E641" s="364"/>
      <c r="F641" s="364"/>
      <c r="G641" s="364"/>
      <c r="H641" s="364"/>
      <c r="I641" s="364"/>
      <c r="J641" s="364"/>
      <c r="K641" s="364"/>
      <c r="L641" s="364"/>
      <c r="M641" s="364"/>
      <c r="N641" s="364"/>
      <c r="O641" s="364"/>
      <c r="P641" s="364"/>
      <c r="Q641" s="364"/>
      <c r="R641" s="364"/>
      <c r="S641" s="364"/>
      <c r="T641" s="364"/>
      <c r="U641" s="364"/>
      <c r="V641" s="364"/>
      <c r="W641" s="364"/>
      <c r="X641" s="364"/>
      <c r="Y641" s="364"/>
      <c r="Z641" s="364"/>
    </row>
    <row r="642">
      <c r="A642" s="367"/>
      <c r="B642" s="367"/>
      <c r="C642" s="364"/>
      <c r="D642" s="364"/>
      <c r="E642" s="364"/>
      <c r="F642" s="364"/>
      <c r="G642" s="364"/>
      <c r="H642" s="364"/>
      <c r="I642" s="364"/>
      <c r="J642" s="364"/>
      <c r="K642" s="364"/>
      <c r="L642" s="364"/>
      <c r="M642" s="364"/>
      <c r="N642" s="364"/>
      <c r="O642" s="364"/>
      <c r="P642" s="364"/>
      <c r="Q642" s="364"/>
      <c r="R642" s="364"/>
      <c r="S642" s="364"/>
      <c r="T642" s="364"/>
      <c r="U642" s="364"/>
      <c r="V642" s="364"/>
      <c r="W642" s="364"/>
      <c r="X642" s="364"/>
      <c r="Y642" s="364"/>
      <c r="Z642" s="364"/>
    </row>
    <row r="643">
      <c r="A643" s="367"/>
      <c r="B643" s="367"/>
      <c r="C643" s="364"/>
      <c r="D643" s="364"/>
      <c r="E643" s="364"/>
      <c r="F643" s="364"/>
      <c r="G643" s="364"/>
      <c r="H643" s="364"/>
      <c r="I643" s="364"/>
      <c r="J643" s="364"/>
      <c r="K643" s="364"/>
      <c r="L643" s="364"/>
      <c r="M643" s="364"/>
      <c r="N643" s="364"/>
      <c r="O643" s="364"/>
      <c r="P643" s="364"/>
      <c r="Q643" s="364"/>
      <c r="R643" s="364"/>
      <c r="S643" s="364"/>
      <c r="T643" s="364"/>
      <c r="U643" s="364"/>
      <c r="V643" s="364"/>
      <c r="W643" s="364"/>
      <c r="X643" s="364"/>
      <c r="Y643" s="364"/>
      <c r="Z643" s="364"/>
    </row>
    <row r="644">
      <c r="A644" s="367"/>
      <c r="B644" s="367"/>
      <c r="C644" s="364"/>
      <c r="D644" s="364"/>
      <c r="E644" s="364"/>
      <c r="F644" s="364"/>
      <c r="G644" s="364"/>
      <c r="H644" s="364"/>
      <c r="I644" s="364"/>
      <c r="J644" s="364"/>
      <c r="K644" s="364"/>
      <c r="L644" s="364"/>
      <c r="M644" s="364"/>
      <c r="N644" s="364"/>
      <c r="O644" s="364"/>
      <c r="P644" s="364"/>
      <c r="Q644" s="364"/>
      <c r="R644" s="364"/>
      <c r="S644" s="364"/>
      <c r="T644" s="364"/>
      <c r="U644" s="364"/>
      <c r="V644" s="364"/>
      <c r="W644" s="364"/>
      <c r="X644" s="364"/>
      <c r="Y644" s="364"/>
      <c r="Z644" s="364"/>
    </row>
    <row r="645">
      <c r="A645" s="367"/>
      <c r="B645" s="367"/>
      <c r="C645" s="364"/>
      <c r="D645" s="364"/>
      <c r="E645" s="364"/>
      <c r="F645" s="364"/>
      <c r="G645" s="364"/>
      <c r="H645" s="364"/>
      <c r="I645" s="364"/>
      <c r="J645" s="364"/>
      <c r="K645" s="364"/>
      <c r="L645" s="364"/>
      <c r="M645" s="364"/>
      <c r="N645" s="364"/>
      <c r="O645" s="364"/>
      <c r="P645" s="364"/>
      <c r="Q645" s="364"/>
      <c r="R645" s="364"/>
      <c r="S645" s="364"/>
      <c r="T645" s="364"/>
      <c r="U645" s="364"/>
      <c r="V645" s="364"/>
      <c r="W645" s="364"/>
      <c r="X645" s="364"/>
      <c r="Y645" s="364"/>
      <c r="Z645" s="364"/>
    </row>
    <row r="646">
      <c r="A646" s="367"/>
      <c r="B646" s="367"/>
      <c r="C646" s="364"/>
      <c r="D646" s="364"/>
      <c r="E646" s="364"/>
      <c r="F646" s="364"/>
      <c r="G646" s="364"/>
      <c r="H646" s="364"/>
      <c r="I646" s="364"/>
      <c r="J646" s="364"/>
      <c r="K646" s="364"/>
      <c r="L646" s="364"/>
      <c r="M646" s="364"/>
      <c r="N646" s="364"/>
      <c r="O646" s="364"/>
      <c r="P646" s="364"/>
      <c r="Q646" s="364"/>
      <c r="R646" s="364"/>
      <c r="S646" s="364"/>
      <c r="T646" s="364"/>
      <c r="U646" s="364"/>
      <c r="V646" s="364"/>
      <c r="W646" s="364"/>
      <c r="X646" s="364"/>
      <c r="Y646" s="364"/>
      <c r="Z646" s="364"/>
    </row>
    <row r="647">
      <c r="A647" s="367"/>
      <c r="B647" s="367"/>
      <c r="C647" s="364"/>
      <c r="D647" s="364"/>
      <c r="E647" s="364"/>
      <c r="F647" s="364"/>
      <c r="G647" s="364"/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</row>
    <row r="648">
      <c r="A648" s="367"/>
      <c r="B648" s="367"/>
      <c r="C648" s="364"/>
      <c r="D648" s="364"/>
      <c r="E648" s="364"/>
      <c r="F648" s="364"/>
      <c r="G648" s="364"/>
      <c r="H648" s="364"/>
      <c r="I648" s="364"/>
      <c r="J648" s="364"/>
      <c r="K648" s="364"/>
      <c r="L648" s="364"/>
      <c r="M648" s="364"/>
      <c r="N648" s="364"/>
      <c r="O648" s="364"/>
      <c r="P648" s="364"/>
      <c r="Q648" s="364"/>
      <c r="R648" s="364"/>
      <c r="S648" s="364"/>
      <c r="T648" s="364"/>
      <c r="U648" s="364"/>
      <c r="V648" s="364"/>
      <c r="W648" s="364"/>
      <c r="X648" s="364"/>
      <c r="Y648" s="364"/>
      <c r="Z648" s="364"/>
    </row>
    <row r="649">
      <c r="A649" s="367"/>
      <c r="B649" s="367"/>
      <c r="C649" s="364"/>
      <c r="D649" s="364"/>
      <c r="E649" s="364"/>
      <c r="F649" s="364"/>
      <c r="G649" s="364"/>
      <c r="H649" s="364"/>
      <c r="I649" s="364"/>
      <c r="J649" s="364"/>
      <c r="K649" s="364"/>
      <c r="L649" s="364"/>
      <c r="M649" s="364"/>
      <c r="N649" s="364"/>
      <c r="O649" s="364"/>
      <c r="P649" s="364"/>
      <c r="Q649" s="364"/>
      <c r="R649" s="364"/>
      <c r="S649" s="364"/>
      <c r="T649" s="364"/>
      <c r="U649" s="364"/>
      <c r="V649" s="364"/>
      <c r="W649" s="364"/>
      <c r="X649" s="364"/>
      <c r="Y649" s="364"/>
      <c r="Z649" s="364"/>
    </row>
    <row r="650">
      <c r="A650" s="367"/>
      <c r="B650" s="367"/>
      <c r="C650" s="364"/>
      <c r="D650" s="364"/>
      <c r="E650" s="364"/>
      <c r="F650" s="364"/>
      <c r="G650" s="364"/>
      <c r="H650" s="364"/>
      <c r="I650" s="364"/>
      <c r="J650" s="364"/>
      <c r="K650" s="364"/>
      <c r="L650" s="364"/>
      <c r="M650" s="364"/>
      <c r="N650" s="364"/>
      <c r="O650" s="364"/>
      <c r="P650" s="364"/>
      <c r="Q650" s="364"/>
      <c r="R650" s="364"/>
      <c r="S650" s="364"/>
      <c r="T650" s="364"/>
      <c r="U650" s="364"/>
      <c r="V650" s="364"/>
      <c r="W650" s="364"/>
      <c r="X650" s="364"/>
      <c r="Y650" s="364"/>
      <c r="Z650" s="364"/>
    </row>
    <row r="651">
      <c r="A651" s="367"/>
      <c r="B651" s="367"/>
      <c r="C651" s="364"/>
      <c r="D651" s="364"/>
      <c r="E651" s="364"/>
      <c r="F651" s="364"/>
      <c r="G651" s="364"/>
      <c r="H651" s="364"/>
      <c r="I651" s="364"/>
      <c r="J651" s="364"/>
      <c r="K651" s="364"/>
      <c r="L651" s="364"/>
      <c r="M651" s="364"/>
      <c r="N651" s="364"/>
      <c r="O651" s="364"/>
      <c r="P651" s="364"/>
      <c r="Q651" s="364"/>
      <c r="R651" s="364"/>
      <c r="S651" s="364"/>
      <c r="T651" s="364"/>
      <c r="U651" s="364"/>
      <c r="V651" s="364"/>
      <c r="W651" s="364"/>
      <c r="X651" s="364"/>
      <c r="Y651" s="364"/>
      <c r="Z651" s="364"/>
    </row>
    <row r="652">
      <c r="A652" s="367"/>
      <c r="B652" s="367"/>
      <c r="C652" s="364"/>
      <c r="D652" s="364"/>
      <c r="E652" s="364"/>
      <c r="F652" s="364"/>
      <c r="G652" s="364"/>
      <c r="H652" s="364"/>
      <c r="I652" s="364"/>
      <c r="J652" s="364"/>
      <c r="K652" s="364"/>
      <c r="L652" s="364"/>
      <c r="M652" s="364"/>
      <c r="N652" s="364"/>
      <c r="O652" s="364"/>
      <c r="P652" s="364"/>
      <c r="Q652" s="364"/>
      <c r="R652" s="364"/>
      <c r="S652" s="364"/>
      <c r="T652" s="364"/>
      <c r="U652" s="364"/>
      <c r="V652" s="364"/>
      <c r="W652" s="364"/>
      <c r="X652" s="364"/>
      <c r="Y652" s="364"/>
      <c r="Z652" s="364"/>
    </row>
    <row r="653">
      <c r="A653" s="367"/>
      <c r="B653" s="367"/>
      <c r="C653" s="364"/>
      <c r="D653" s="364"/>
      <c r="E653" s="364"/>
      <c r="F653" s="364"/>
      <c r="G653" s="364"/>
      <c r="H653" s="364"/>
      <c r="I653" s="364"/>
      <c r="J653" s="364"/>
      <c r="K653" s="364"/>
      <c r="L653" s="364"/>
      <c r="M653" s="364"/>
      <c r="N653" s="364"/>
      <c r="O653" s="364"/>
      <c r="P653" s="364"/>
      <c r="Q653" s="364"/>
      <c r="R653" s="364"/>
      <c r="S653" s="364"/>
      <c r="T653" s="364"/>
      <c r="U653" s="364"/>
      <c r="V653" s="364"/>
      <c r="W653" s="364"/>
      <c r="X653" s="364"/>
      <c r="Y653" s="364"/>
      <c r="Z653" s="364"/>
    </row>
    <row r="654">
      <c r="A654" s="367"/>
      <c r="B654" s="367"/>
      <c r="C654" s="364"/>
      <c r="D654" s="364"/>
      <c r="E654" s="364"/>
      <c r="F654" s="364"/>
      <c r="G654" s="364"/>
      <c r="H654" s="364"/>
      <c r="I654" s="364"/>
      <c r="J654" s="364"/>
      <c r="K654" s="364"/>
      <c r="L654" s="364"/>
      <c r="M654" s="364"/>
      <c r="N654" s="364"/>
      <c r="O654" s="364"/>
      <c r="P654" s="364"/>
      <c r="Q654" s="364"/>
      <c r="R654" s="364"/>
      <c r="S654" s="364"/>
      <c r="T654" s="364"/>
      <c r="U654" s="364"/>
      <c r="V654" s="364"/>
      <c r="W654" s="364"/>
      <c r="X654" s="364"/>
      <c r="Y654" s="364"/>
      <c r="Z654" s="364"/>
    </row>
    <row r="655">
      <c r="A655" s="367"/>
      <c r="B655" s="367"/>
      <c r="C655" s="364"/>
      <c r="D655" s="364"/>
      <c r="E655" s="364"/>
      <c r="F655" s="364"/>
      <c r="G655" s="364"/>
      <c r="H655" s="364"/>
      <c r="I655" s="364"/>
      <c r="J655" s="364"/>
      <c r="K655" s="364"/>
      <c r="L655" s="364"/>
      <c r="M655" s="364"/>
      <c r="N655" s="364"/>
      <c r="O655" s="364"/>
      <c r="P655" s="364"/>
      <c r="Q655" s="364"/>
      <c r="R655" s="364"/>
      <c r="S655" s="364"/>
      <c r="T655" s="364"/>
      <c r="U655" s="364"/>
      <c r="V655" s="364"/>
      <c r="W655" s="364"/>
      <c r="X655" s="364"/>
      <c r="Y655" s="364"/>
      <c r="Z655" s="364"/>
    </row>
    <row r="656">
      <c r="A656" s="367"/>
      <c r="B656" s="367"/>
      <c r="C656" s="364"/>
      <c r="D656" s="364"/>
      <c r="E656" s="364"/>
      <c r="F656" s="364"/>
      <c r="G656" s="364"/>
      <c r="H656" s="364"/>
      <c r="I656" s="364"/>
      <c r="J656" s="364"/>
      <c r="K656" s="364"/>
      <c r="L656" s="364"/>
      <c r="M656" s="364"/>
      <c r="N656" s="364"/>
      <c r="O656" s="364"/>
      <c r="P656" s="364"/>
      <c r="Q656" s="364"/>
      <c r="R656" s="364"/>
      <c r="S656" s="364"/>
      <c r="T656" s="364"/>
      <c r="U656" s="364"/>
      <c r="V656" s="364"/>
      <c r="W656" s="364"/>
      <c r="X656" s="364"/>
      <c r="Y656" s="364"/>
      <c r="Z656" s="364"/>
    </row>
    <row r="657">
      <c r="A657" s="367"/>
      <c r="B657" s="367"/>
      <c r="C657" s="364"/>
      <c r="D657" s="364"/>
      <c r="E657" s="364"/>
      <c r="F657" s="364"/>
      <c r="G657" s="364"/>
      <c r="H657" s="364"/>
      <c r="I657" s="364"/>
      <c r="J657" s="364"/>
      <c r="K657" s="364"/>
      <c r="L657" s="364"/>
      <c r="M657" s="364"/>
      <c r="N657" s="364"/>
      <c r="O657" s="364"/>
      <c r="P657" s="364"/>
      <c r="Q657" s="364"/>
      <c r="R657" s="364"/>
      <c r="S657" s="364"/>
      <c r="T657" s="364"/>
      <c r="U657" s="364"/>
      <c r="V657" s="364"/>
      <c r="W657" s="364"/>
      <c r="X657" s="364"/>
      <c r="Y657" s="364"/>
      <c r="Z657" s="364"/>
    </row>
    <row r="658">
      <c r="A658" s="367"/>
      <c r="B658" s="367"/>
      <c r="C658" s="364"/>
      <c r="D658" s="364"/>
      <c r="E658" s="364"/>
      <c r="F658" s="364"/>
      <c r="G658" s="364"/>
      <c r="H658" s="364"/>
      <c r="I658" s="364"/>
      <c r="J658" s="364"/>
      <c r="K658" s="364"/>
      <c r="L658" s="364"/>
      <c r="M658" s="364"/>
      <c r="N658" s="364"/>
      <c r="O658" s="364"/>
      <c r="P658" s="364"/>
      <c r="Q658" s="364"/>
      <c r="R658" s="364"/>
      <c r="S658" s="364"/>
      <c r="T658" s="364"/>
      <c r="U658" s="364"/>
      <c r="V658" s="364"/>
      <c r="W658" s="364"/>
      <c r="X658" s="364"/>
      <c r="Y658" s="364"/>
      <c r="Z658" s="364"/>
    </row>
    <row r="659">
      <c r="A659" s="367"/>
      <c r="B659" s="367"/>
      <c r="C659" s="364"/>
      <c r="D659" s="364"/>
      <c r="E659" s="364"/>
      <c r="F659" s="364"/>
      <c r="G659" s="364"/>
      <c r="H659" s="364"/>
      <c r="I659" s="364"/>
      <c r="J659" s="364"/>
      <c r="K659" s="364"/>
      <c r="L659" s="364"/>
      <c r="M659" s="364"/>
      <c r="N659" s="364"/>
      <c r="O659" s="364"/>
      <c r="P659" s="364"/>
      <c r="Q659" s="364"/>
      <c r="R659" s="364"/>
      <c r="S659" s="364"/>
      <c r="T659" s="364"/>
      <c r="U659" s="364"/>
      <c r="V659" s="364"/>
      <c r="W659" s="364"/>
      <c r="X659" s="364"/>
      <c r="Y659" s="364"/>
      <c r="Z659" s="364"/>
    </row>
    <row r="660">
      <c r="A660" s="367"/>
      <c r="B660" s="367"/>
      <c r="C660" s="364"/>
      <c r="D660" s="364"/>
      <c r="E660" s="364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364"/>
      <c r="T660" s="364"/>
      <c r="U660" s="364"/>
      <c r="V660" s="364"/>
      <c r="W660" s="364"/>
      <c r="X660" s="364"/>
      <c r="Y660" s="364"/>
      <c r="Z660" s="364"/>
    </row>
    <row r="661">
      <c r="A661" s="367"/>
      <c r="B661" s="367"/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364"/>
      <c r="T661" s="364"/>
      <c r="U661" s="364"/>
      <c r="V661" s="364"/>
      <c r="W661" s="364"/>
      <c r="X661" s="364"/>
      <c r="Y661" s="364"/>
      <c r="Z661" s="364"/>
    </row>
    <row r="662">
      <c r="A662" s="367"/>
      <c r="B662" s="367"/>
      <c r="C662" s="364"/>
      <c r="D662" s="364"/>
      <c r="E662" s="364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364"/>
      <c r="T662" s="364"/>
      <c r="U662" s="364"/>
      <c r="V662" s="364"/>
      <c r="W662" s="364"/>
      <c r="X662" s="364"/>
      <c r="Y662" s="364"/>
      <c r="Z662" s="364"/>
    </row>
    <row r="663">
      <c r="A663" s="367"/>
      <c r="B663" s="367"/>
      <c r="C663" s="364"/>
      <c r="D663" s="364"/>
      <c r="E663" s="364"/>
      <c r="F663" s="364"/>
      <c r="G663" s="364"/>
      <c r="H663" s="364"/>
      <c r="I663" s="364"/>
      <c r="J663" s="364"/>
      <c r="K663" s="364"/>
      <c r="L663" s="364"/>
      <c r="M663" s="364"/>
      <c r="N663" s="364"/>
      <c r="O663" s="364"/>
      <c r="P663" s="364"/>
      <c r="Q663" s="364"/>
      <c r="R663" s="364"/>
      <c r="S663" s="364"/>
      <c r="T663" s="364"/>
      <c r="U663" s="364"/>
      <c r="V663" s="364"/>
      <c r="W663" s="364"/>
      <c r="X663" s="364"/>
      <c r="Y663" s="364"/>
      <c r="Z663" s="364"/>
    </row>
    <row r="664">
      <c r="A664" s="367"/>
      <c r="B664" s="367"/>
      <c r="C664" s="364"/>
      <c r="D664" s="364"/>
      <c r="E664" s="364"/>
      <c r="F664" s="364"/>
      <c r="G664" s="364"/>
      <c r="H664" s="364"/>
      <c r="I664" s="364"/>
      <c r="J664" s="364"/>
      <c r="K664" s="364"/>
      <c r="L664" s="364"/>
      <c r="M664" s="364"/>
      <c r="N664" s="364"/>
      <c r="O664" s="364"/>
      <c r="P664" s="364"/>
      <c r="Q664" s="364"/>
      <c r="R664" s="364"/>
      <c r="S664" s="364"/>
      <c r="T664" s="364"/>
      <c r="U664" s="364"/>
      <c r="V664" s="364"/>
      <c r="W664" s="364"/>
      <c r="X664" s="364"/>
      <c r="Y664" s="364"/>
      <c r="Z664" s="364"/>
    </row>
    <row r="665">
      <c r="A665" s="367"/>
      <c r="B665" s="367"/>
      <c r="C665" s="364"/>
      <c r="D665" s="364"/>
      <c r="E665" s="364"/>
      <c r="F665" s="364"/>
      <c r="G665" s="364"/>
      <c r="H665" s="364"/>
      <c r="I665" s="364"/>
      <c r="J665" s="364"/>
      <c r="K665" s="364"/>
      <c r="L665" s="364"/>
      <c r="M665" s="364"/>
      <c r="N665" s="364"/>
      <c r="O665" s="364"/>
      <c r="P665" s="364"/>
      <c r="Q665" s="364"/>
      <c r="R665" s="364"/>
      <c r="S665" s="364"/>
      <c r="T665" s="364"/>
      <c r="U665" s="364"/>
      <c r="V665" s="364"/>
      <c r="W665" s="364"/>
      <c r="X665" s="364"/>
      <c r="Y665" s="364"/>
      <c r="Z665" s="364"/>
    </row>
    <row r="666">
      <c r="A666" s="367"/>
      <c r="B666" s="367"/>
      <c r="C666" s="364"/>
      <c r="D666" s="364"/>
      <c r="E666" s="364"/>
      <c r="F666" s="364"/>
      <c r="G666" s="364"/>
      <c r="H666" s="364"/>
      <c r="I666" s="364"/>
      <c r="J666" s="364"/>
      <c r="K666" s="364"/>
      <c r="L666" s="364"/>
      <c r="M666" s="364"/>
      <c r="N666" s="364"/>
      <c r="O666" s="364"/>
      <c r="P666" s="364"/>
      <c r="Q666" s="364"/>
      <c r="R666" s="364"/>
      <c r="S666" s="364"/>
      <c r="T666" s="364"/>
      <c r="U666" s="364"/>
      <c r="V666" s="364"/>
      <c r="W666" s="364"/>
      <c r="X666" s="364"/>
      <c r="Y666" s="364"/>
      <c r="Z666" s="364"/>
    </row>
    <row r="667">
      <c r="A667" s="367"/>
      <c r="B667" s="367"/>
      <c r="C667" s="364"/>
      <c r="D667" s="364"/>
      <c r="E667" s="364"/>
      <c r="F667" s="364"/>
      <c r="G667" s="364"/>
      <c r="H667" s="364"/>
      <c r="I667" s="364"/>
      <c r="J667" s="364"/>
      <c r="K667" s="364"/>
      <c r="L667" s="364"/>
      <c r="M667" s="364"/>
      <c r="N667" s="364"/>
      <c r="O667" s="364"/>
      <c r="P667" s="364"/>
      <c r="Q667" s="364"/>
      <c r="R667" s="364"/>
      <c r="S667" s="364"/>
      <c r="T667" s="364"/>
      <c r="U667" s="364"/>
      <c r="V667" s="364"/>
      <c r="W667" s="364"/>
      <c r="X667" s="364"/>
      <c r="Y667" s="364"/>
      <c r="Z667" s="364"/>
    </row>
    <row r="668">
      <c r="A668" s="367"/>
      <c r="B668" s="367"/>
      <c r="C668" s="364"/>
      <c r="D668" s="364"/>
      <c r="E668" s="364"/>
      <c r="F668" s="364"/>
      <c r="G668" s="364"/>
      <c r="H668" s="364"/>
      <c r="I668" s="364"/>
      <c r="J668" s="364"/>
      <c r="K668" s="364"/>
      <c r="L668" s="364"/>
      <c r="M668" s="364"/>
      <c r="N668" s="364"/>
      <c r="O668" s="364"/>
      <c r="P668" s="364"/>
      <c r="Q668" s="364"/>
      <c r="R668" s="364"/>
      <c r="S668" s="364"/>
      <c r="T668" s="364"/>
      <c r="U668" s="364"/>
      <c r="V668" s="364"/>
      <c r="W668" s="364"/>
      <c r="X668" s="364"/>
      <c r="Y668" s="364"/>
      <c r="Z668" s="364"/>
    </row>
    <row r="669">
      <c r="A669" s="367"/>
      <c r="B669" s="367"/>
      <c r="C669" s="364"/>
      <c r="D669" s="364"/>
      <c r="E669" s="364"/>
      <c r="F669" s="364"/>
      <c r="G669" s="364"/>
      <c r="H669" s="364"/>
      <c r="I669" s="364"/>
      <c r="J669" s="364"/>
      <c r="K669" s="364"/>
      <c r="L669" s="364"/>
      <c r="M669" s="364"/>
      <c r="N669" s="364"/>
      <c r="O669" s="364"/>
      <c r="P669" s="364"/>
      <c r="Q669" s="364"/>
      <c r="R669" s="364"/>
      <c r="S669" s="364"/>
      <c r="T669" s="364"/>
      <c r="U669" s="364"/>
      <c r="V669" s="364"/>
      <c r="W669" s="364"/>
      <c r="X669" s="364"/>
      <c r="Y669" s="364"/>
      <c r="Z669" s="364"/>
    </row>
    <row r="670">
      <c r="A670" s="367"/>
      <c r="B670" s="367"/>
      <c r="C670" s="364"/>
      <c r="D670" s="364"/>
      <c r="E670" s="364"/>
      <c r="F670" s="364"/>
      <c r="G670" s="364"/>
      <c r="H670" s="364"/>
      <c r="I670" s="364"/>
      <c r="J670" s="364"/>
      <c r="K670" s="364"/>
      <c r="L670" s="364"/>
      <c r="M670" s="364"/>
      <c r="N670" s="364"/>
      <c r="O670" s="364"/>
      <c r="P670" s="364"/>
      <c r="Q670" s="364"/>
      <c r="R670" s="364"/>
      <c r="S670" s="364"/>
      <c r="T670" s="364"/>
      <c r="U670" s="364"/>
      <c r="V670" s="364"/>
      <c r="W670" s="364"/>
      <c r="X670" s="364"/>
      <c r="Y670" s="364"/>
      <c r="Z670" s="364"/>
    </row>
    <row r="671">
      <c r="A671" s="367"/>
      <c r="B671" s="367"/>
      <c r="C671" s="364"/>
      <c r="D671" s="364"/>
      <c r="E671" s="364"/>
      <c r="F671" s="364"/>
      <c r="G671" s="364"/>
      <c r="H671" s="364"/>
      <c r="I671" s="364"/>
      <c r="J671" s="364"/>
      <c r="K671" s="364"/>
      <c r="L671" s="364"/>
      <c r="M671" s="364"/>
      <c r="N671" s="364"/>
      <c r="O671" s="364"/>
      <c r="P671" s="364"/>
      <c r="Q671" s="364"/>
      <c r="R671" s="364"/>
      <c r="S671" s="364"/>
      <c r="T671" s="364"/>
      <c r="U671" s="364"/>
      <c r="V671" s="364"/>
      <c r="W671" s="364"/>
      <c r="X671" s="364"/>
      <c r="Y671" s="364"/>
      <c r="Z671" s="364"/>
    </row>
    <row r="672">
      <c r="A672" s="367"/>
      <c r="B672" s="367"/>
      <c r="C672" s="364"/>
      <c r="D672" s="364"/>
      <c r="E672" s="364"/>
      <c r="F672" s="364"/>
      <c r="G672" s="364"/>
      <c r="H672" s="364"/>
      <c r="I672" s="364"/>
      <c r="J672" s="364"/>
      <c r="K672" s="364"/>
      <c r="L672" s="364"/>
      <c r="M672" s="364"/>
      <c r="N672" s="364"/>
      <c r="O672" s="364"/>
      <c r="P672" s="364"/>
      <c r="Q672" s="364"/>
      <c r="R672" s="364"/>
      <c r="S672" s="364"/>
      <c r="T672" s="364"/>
      <c r="U672" s="364"/>
      <c r="V672" s="364"/>
      <c r="W672" s="364"/>
      <c r="X672" s="364"/>
      <c r="Y672" s="364"/>
      <c r="Z672" s="364"/>
    </row>
    <row r="673">
      <c r="A673" s="367"/>
      <c r="B673" s="367"/>
      <c r="C673" s="364"/>
      <c r="D673" s="364"/>
      <c r="E673" s="364"/>
      <c r="F673" s="364"/>
      <c r="G673" s="364"/>
      <c r="H673" s="364"/>
      <c r="I673" s="364"/>
      <c r="J673" s="364"/>
      <c r="K673" s="364"/>
      <c r="L673" s="364"/>
      <c r="M673" s="364"/>
      <c r="N673" s="364"/>
      <c r="O673" s="364"/>
      <c r="P673" s="364"/>
      <c r="Q673" s="364"/>
      <c r="R673" s="364"/>
      <c r="S673" s="364"/>
      <c r="T673" s="364"/>
      <c r="U673" s="364"/>
      <c r="V673" s="364"/>
      <c r="W673" s="364"/>
      <c r="X673" s="364"/>
      <c r="Y673" s="364"/>
      <c r="Z673" s="364"/>
    </row>
    <row r="674">
      <c r="A674" s="367"/>
      <c r="B674" s="367"/>
      <c r="C674" s="364"/>
      <c r="D674" s="364"/>
      <c r="E674" s="364"/>
      <c r="F674" s="364"/>
      <c r="G674" s="364"/>
      <c r="H674" s="364"/>
      <c r="I674" s="364"/>
      <c r="J674" s="364"/>
      <c r="K674" s="364"/>
      <c r="L674" s="364"/>
      <c r="M674" s="364"/>
      <c r="N674" s="364"/>
      <c r="O674" s="364"/>
      <c r="P674" s="364"/>
      <c r="Q674" s="364"/>
      <c r="R674" s="364"/>
      <c r="S674" s="364"/>
      <c r="T674" s="364"/>
      <c r="U674" s="364"/>
      <c r="V674" s="364"/>
      <c r="W674" s="364"/>
      <c r="X674" s="364"/>
      <c r="Y674" s="364"/>
      <c r="Z674" s="364"/>
    </row>
    <row r="675">
      <c r="A675" s="367"/>
      <c r="B675" s="367"/>
      <c r="C675" s="364"/>
      <c r="D675" s="364"/>
      <c r="E675" s="364"/>
      <c r="F675" s="364"/>
      <c r="G675" s="364"/>
      <c r="H675" s="364"/>
      <c r="I675" s="364"/>
      <c r="J675" s="364"/>
      <c r="K675" s="364"/>
      <c r="L675" s="364"/>
      <c r="M675" s="364"/>
      <c r="N675" s="364"/>
      <c r="O675" s="364"/>
      <c r="P675" s="364"/>
      <c r="Q675" s="364"/>
      <c r="R675" s="364"/>
      <c r="S675" s="364"/>
      <c r="T675" s="364"/>
      <c r="U675" s="364"/>
      <c r="V675" s="364"/>
      <c r="W675" s="364"/>
      <c r="X675" s="364"/>
      <c r="Y675" s="364"/>
      <c r="Z675" s="364"/>
    </row>
    <row r="676">
      <c r="A676" s="367"/>
      <c r="B676" s="367"/>
      <c r="C676" s="364"/>
      <c r="D676" s="364"/>
      <c r="E676" s="364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</row>
    <row r="677">
      <c r="A677" s="367"/>
      <c r="B677" s="367"/>
      <c r="C677" s="364"/>
      <c r="D677" s="364"/>
      <c r="E677" s="364"/>
      <c r="F677" s="364"/>
      <c r="G677" s="364"/>
      <c r="H677" s="364"/>
      <c r="I677" s="364"/>
      <c r="J677" s="364"/>
      <c r="K677" s="364"/>
      <c r="L677" s="364"/>
      <c r="M677" s="364"/>
      <c r="N677" s="364"/>
      <c r="O677" s="364"/>
      <c r="P677" s="364"/>
      <c r="Q677" s="364"/>
      <c r="R677" s="364"/>
      <c r="S677" s="364"/>
      <c r="T677" s="364"/>
      <c r="U677" s="364"/>
      <c r="V677" s="364"/>
      <c r="W677" s="364"/>
      <c r="X677" s="364"/>
      <c r="Y677" s="364"/>
      <c r="Z677" s="364"/>
    </row>
    <row r="678">
      <c r="A678" s="367"/>
      <c r="B678" s="367"/>
      <c r="C678" s="364"/>
      <c r="D678" s="364"/>
      <c r="E678" s="364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</row>
    <row r="679">
      <c r="A679" s="367"/>
      <c r="B679" s="367"/>
      <c r="C679" s="364"/>
      <c r="D679" s="364"/>
      <c r="E679" s="364"/>
      <c r="F679" s="364"/>
      <c r="G679" s="364"/>
      <c r="H679" s="364"/>
      <c r="I679" s="364"/>
      <c r="J679" s="364"/>
      <c r="K679" s="364"/>
      <c r="L679" s="364"/>
      <c r="M679" s="364"/>
      <c r="N679" s="364"/>
      <c r="O679" s="364"/>
      <c r="P679" s="364"/>
      <c r="Q679" s="364"/>
      <c r="R679" s="364"/>
      <c r="S679" s="364"/>
      <c r="T679" s="364"/>
      <c r="U679" s="364"/>
      <c r="V679" s="364"/>
      <c r="W679" s="364"/>
      <c r="X679" s="364"/>
      <c r="Y679" s="364"/>
      <c r="Z679" s="364"/>
    </row>
    <row r="680">
      <c r="A680" s="367"/>
      <c r="B680" s="367"/>
      <c r="C680" s="364"/>
      <c r="D680" s="364"/>
      <c r="E680" s="364"/>
      <c r="F680" s="364"/>
      <c r="G680" s="364"/>
      <c r="H680" s="364"/>
      <c r="I680" s="364"/>
      <c r="J680" s="364"/>
      <c r="K680" s="364"/>
      <c r="L680" s="364"/>
      <c r="M680" s="364"/>
      <c r="N680" s="364"/>
      <c r="O680" s="364"/>
      <c r="P680" s="364"/>
      <c r="Q680" s="364"/>
      <c r="R680" s="364"/>
      <c r="S680" s="364"/>
      <c r="T680" s="364"/>
      <c r="U680" s="364"/>
      <c r="V680" s="364"/>
      <c r="W680" s="364"/>
      <c r="X680" s="364"/>
      <c r="Y680" s="364"/>
      <c r="Z680" s="364"/>
    </row>
    <row r="681">
      <c r="A681" s="367"/>
      <c r="B681" s="367"/>
      <c r="C681" s="364"/>
      <c r="D681" s="364"/>
      <c r="E681" s="364"/>
      <c r="F681" s="364"/>
      <c r="G681" s="364"/>
      <c r="H681" s="364"/>
      <c r="I681" s="364"/>
      <c r="J681" s="364"/>
      <c r="K681" s="364"/>
      <c r="L681" s="364"/>
      <c r="M681" s="364"/>
      <c r="N681" s="364"/>
      <c r="O681" s="364"/>
      <c r="P681" s="364"/>
      <c r="Q681" s="364"/>
      <c r="R681" s="364"/>
      <c r="S681" s="364"/>
      <c r="T681" s="364"/>
      <c r="U681" s="364"/>
      <c r="V681" s="364"/>
      <c r="W681" s="364"/>
      <c r="X681" s="364"/>
      <c r="Y681" s="364"/>
      <c r="Z681" s="364"/>
    </row>
    <row r="682">
      <c r="A682" s="367"/>
      <c r="B682" s="367"/>
      <c r="C682" s="364"/>
      <c r="D682" s="364"/>
      <c r="E682" s="364"/>
      <c r="F682" s="364"/>
      <c r="G682" s="364"/>
      <c r="H682" s="364"/>
      <c r="I682" s="364"/>
      <c r="J682" s="364"/>
      <c r="K682" s="364"/>
      <c r="L682" s="364"/>
      <c r="M682" s="364"/>
      <c r="N682" s="364"/>
      <c r="O682" s="364"/>
      <c r="P682" s="364"/>
      <c r="Q682" s="364"/>
      <c r="R682" s="364"/>
      <c r="S682" s="364"/>
      <c r="T682" s="364"/>
      <c r="U682" s="364"/>
      <c r="V682" s="364"/>
      <c r="W682" s="364"/>
      <c r="X682" s="364"/>
      <c r="Y682" s="364"/>
      <c r="Z682" s="364"/>
    </row>
    <row r="683">
      <c r="A683" s="367"/>
      <c r="B683" s="367"/>
      <c r="C683" s="364"/>
      <c r="D683" s="364"/>
      <c r="E683" s="364"/>
      <c r="F683" s="364"/>
      <c r="G683" s="364"/>
      <c r="H683" s="364"/>
      <c r="I683" s="364"/>
      <c r="J683" s="364"/>
      <c r="K683" s="364"/>
      <c r="L683" s="364"/>
      <c r="M683" s="364"/>
      <c r="N683" s="364"/>
      <c r="O683" s="364"/>
      <c r="P683" s="364"/>
      <c r="Q683" s="364"/>
      <c r="R683" s="364"/>
      <c r="S683" s="364"/>
      <c r="T683" s="364"/>
      <c r="U683" s="364"/>
      <c r="V683" s="364"/>
      <c r="W683" s="364"/>
      <c r="X683" s="364"/>
      <c r="Y683" s="364"/>
      <c r="Z683" s="364"/>
    </row>
    <row r="684">
      <c r="A684" s="367"/>
      <c r="B684" s="367"/>
      <c r="C684" s="364"/>
      <c r="D684" s="364"/>
      <c r="E684" s="364"/>
      <c r="F684" s="364"/>
      <c r="G684" s="364"/>
      <c r="H684" s="364"/>
      <c r="I684" s="364"/>
      <c r="J684" s="364"/>
      <c r="K684" s="364"/>
      <c r="L684" s="364"/>
      <c r="M684" s="364"/>
      <c r="N684" s="364"/>
      <c r="O684" s="364"/>
      <c r="P684" s="364"/>
      <c r="Q684" s="364"/>
      <c r="R684" s="364"/>
      <c r="S684" s="364"/>
      <c r="T684" s="364"/>
      <c r="U684" s="364"/>
      <c r="V684" s="364"/>
      <c r="W684" s="364"/>
      <c r="X684" s="364"/>
      <c r="Y684" s="364"/>
      <c r="Z684" s="364"/>
    </row>
    <row r="685">
      <c r="A685" s="367"/>
      <c r="B685" s="367"/>
      <c r="C685" s="364"/>
      <c r="D685" s="364"/>
      <c r="E685" s="364"/>
      <c r="F685" s="364"/>
      <c r="G685" s="364"/>
      <c r="H685" s="364"/>
      <c r="I685" s="364"/>
      <c r="J685" s="364"/>
      <c r="K685" s="364"/>
      <c r="L685" s="364"/>
      <c r="M685" s="364"/>
      <c r="N685" s="364"/>
      <c r="O685" s="364"/>
      <c r="P685" s="364"/>
      <c r="Q685" s="364"/>
      <c r="R685" s="364"/>
      <c r="S685" s="364"/>
      <c r="T685" s="364"/>
      <c r="U685" s="364"/>
      <c r="V685" s="364"/>
      <c r="W685" s="364"/>
      <c r="X685" s="364"/>
      <c r="Y685" s="364"/>
      <c r="Z685" s="364"/>
    </row>
    <row r="686">
      <c r="A686" s="367"/>
      <c r="B686" s="367"/>
      <c r="C686" s="364"/>
      <c r="D686" s="364"/>
      <c r="E686" s="364"/>
      <c r="F686" s="364"/>
      <c r="G686" s="364"/>
      <c r="H686" s="364"/>
      <c r="I686" s="364"/>
      <c r="J686" s="364"/>
      <c r="K686" s="364"/>
      <c r="L686" s="364"/>
      <c r="M686" s="364"/>
      <c r="N686" s="364"/>
      <c r="O686" s="364"/>
      <c r="P686" s="364"/>
      <c r="Q686" s="364"/>
      <c r="R686" s="364"/>
      <c r="S686" s="364"/>
      <c r="T686" s="364"/>
      <c r="U686" s="364"/>
      <c r="V686" s="364"/>
      <c r="W686" s="364"/>
      <c r="X686" s="364"/>
      <c r="Y686" s="364"/>
      <c r="Z686" s="364"/>
    </row>
    <row r="687">
      <c r="A687" s="367"/>
      <c r="B687" s="367"/>
      <c r="C687" s="364"/>
      <c r="D687" s="364"/>
      <c r="E687" s="364"/>
      <c r="F687" s="364"/>
      <c r="G687" s="364"/>
      <c r="H687" s="364"/>
      <c r="I687" s="364"/>
      <c r="J687" s="364"/>
      <c r="K687" s="364"/>
      <c r="L687" s="364"/>
      <c r="M687" s="364"/>
      <c r="N687" s="364"/>
      <c r="O687" s="364"/>
      <c r="P687" s="364"/>
      <c r="Q687" s="364"/>
      <c r="R687" s="364"/>
      <c r="S687" s="364"/>
      <c r="T687" s="364"/>
      <c r="U687" s="364"/>
      <c r="V687" s="364"/>
      <c r="W687" s="364"/>
      <c r="X687" s="364"/>
      <c r="Y687" s="364"/>
      <c r="Z687" s="364"/>
    </row>
    <row r="688">
      <c r="A688" s="367"/>
      <c r="B688" s="367"/>
      <c r="C688" s="364"/>
      <c r="D688" s="364"/>
      <c r="E688" s="364"/>
      <c r="F688" s="364"/>
      <c r="G688" s="364"/>
      <c r="H688" s="364"/>
      <c r="I688" s="364"/>
      <c r="J688" s="364"/>
      <c r="K688" s="364"/>
      <c r="L688" s="364"/>
      <c r="M688" s="364"/>
      <c r="N688" s="364"/>
      <c r="O688" s="364"/>
      <c r="P688" s="364"/>
      <c r="Q688" s="364"/>
      <c r="R688" s="364"/>
      <c r="S688" s="364"/>
      <c r="T688" s="364"/>
      <c r="U688" s="364"/>
      <c r="V688" s="364"/>
      <c r="W688" s="364"/>
      <c r="X688" s="364"/>
      <c r="Y688" s="364"/>
      <c r="Z688" s="364"/>
    </row>
    <row r="689">
      <c r="A689" s="367"/>
      <c r="B689" s="367"/>
      <c r="C689" s="364"/>
      <c r="D689" s="364"/>
      <c r="E689" s="364"/>
      <c r="F689" s="364"/>
      <c r="G689" s="364"/>
      <c r="H689" s="364"/>
      <c r="I689" s="364"/>
      <c r="J689" s="364"/>
      <c r="K689" s="364"/>
      <c r="L689" s="364"/>
      <c r="M689" s="364"/>
      <c r="N689" s="364"/>
      <c r="O689" s="364"/>
      <c r="P689" s="364"/>
      <c r="Q689" s="364"/>
      <c r="R689" s="364"/>
      <c r="S689" s="364"/>
      <c r="T689" s="364"/>
      <c r="U689" s="364"/>
      <c r="V689" s="364"/>
      <c r="W689" s="364"/>
      <c r="X689" s="364"/>
      <c r="Y689" s="364"/>
      <c r="Z689" s="364"/>
    </row>
    <row r="690">
      <c r="A690" s="367"/>
      <c r="B690" s="367"/>
      <c r="C690" s="364"/>
      <c r="D690" s="364"/>
      <c r="E690" s="364"/>
      <c r="F690" s="364"/>
      <c r="G690" s="364"/>
      <c r="H690" s="364"/>
      <c r="I690" s="364"/>
      <c r="J690" s="364"/>
      <c r="K690" s="364"/>
      <c r="L690" s="364"/>
      <c r="M690" s="364"/>
      <c r="N690" s="364"/>
      <c r="O690" s="364"/>
      <c r="P690" s="364"/>
      <c r="Q690" s="364"/>
      <c r="R690" s="364"/>
      <c r="S690" s="364"/>
      <c r="T690" s="364"/>
      <c r="U690" s="364"/>
      <c r="V690" s="364"/>
      <c r="W690" s="364"/>
      <c r="X690" s="364"/>
      <c r="Y690" s="364"/>
      <c r="Z690" s="364"/>
    </row>
    <row r="691">
      <c r="A691" s="367"/>
      <c r="B691" s="367"/>
      <c r="C691" s="364"/>
      <c r="D691" s="364"/>
      <c r="E691" s="364"/>
      <c r="F691" s="364"/>
      <c r="G691" s="364"/>
      <c r="H691" s="364"/>
      <c r="I691" s="364"/>
      <c r="J691" s="364"/>
      <c r="K691" s="364"/>
      <c r="L691" s="364"/>
      <c r="M691" s="364"/>
      <c r="N691" s="364"/>
      <c r="O691" s="364"/>
      <c r="P691" s="364"/>
      <c r="Q691" s="364"/>
      <c r="R691" s="364"/>
      <c r="S691" s="364"/>
      <c r="T691" s="364"/>
      <c r="U691" s="364"/>
      <c r="V691" s="364"/>
      <c r="W691" s="364"/>
      <c r="X691" s="364"/>
      <c r="Y691" s="364"/>
      <c r="Z691" s="364"/>
    </row>
    <row r="692">
      <c r="A692" s="367"/>
      <c r="B692" s="367"/>
      <c r="C692" s="364"/>
      <c r="D692" s="364"/>
      <c r="E692" s="364"/>
      <c r="F692" s="364"/>
      <c r="G692" s="364"/>
      <c r="H692" s="364"/>
      <c r="I692" s="364"/>
      <c r="J692" s="364"/>
      <c r="K692" s="364"/>
      <c r="L692" s="364"/>
      <c r="M692" s="364"/>
      <c r="N692" s="364"/>
      <c r="O692" s="364"/>
      <c r="P692" s="364"/>
      <c r="Q692" s="364"/>
      <c r="R692" s="364"/>
      <c r="S692" s="364"/>
      <c r="T692" s="364"/>
      <c r="U692" s="364"/>
      <c r="V692" s="364"/>
      <c r="W692" s="364"/>
      <c r="X692" s="364"/>
      <c r="Y692" s="364"/>
      <c r="Z692" s="364"/>
    </row>
    <row r="693">
      <c r="A693" s="367"/>
      <c r="B693" s="367"/>
      <c r="C693" s="364"/>
      <c r="D693" s="364"/>
      <c r="E693" s="364"/>
      <c r="F693" s="364"/>
      <c r="G693" s="364"/>
      <c r="H693" s="364"/>
      <c r="I693" s="364"/>
      <c r="J693" s="364"/>
      <c r="K693" s="364"/>
      <c r="L693" s="364"/>
      <c r="M693" s="364"/>
      <c r="N693" s="364"/>
      <c r="O693" s="364"/>
      <c r="P693" s="364"/>
      <c r="Q693" s="364"/>
      <c r="R693" s="364"/>
      <c r="S693" s="364"/>
      <c r="T693" s="364"/>
      <c r="U693" s="364"/>
      <c r="V693" s="364"/>
      <c r="W693" s="364"/>
      <c r="X693" s="364"/>
      <c r="Y693" s="364"/>
      <c r="Z693" s="364"/>
    </row>
    <row r="694">
      <c r="A694" s="367"/>
      <c r="B694" s="367"/>
      <c r="C694" s="364"/>
      <c r="D694" s="364"/>
      <c r="E694" s="364"/>
      <c r="F694" s="364"/>
      <c r="G694" s="364"/>
      <c r="H694" s="364"/>
      <c r="I694" s="364"/>
      <c r="J694" s="364"/>
      <c r="K694" s="364"/>
      <c r="L694" s="364"/>
      <c r="M694" s="364"/>
      <c r="N694" s="364"/>
      <c r="O694" s="364"/>
      <c r="P694" s="364"/>
      <c r="Q694" s="364"/>
      <c r="R694" s="364"/>
      <c r="S694" s="364"/>
      <c r="T694" s="364"/>
      <c r="U694" s="364"/>
      <c r="V694" s="364"/>
      <c r="W694" s="364"/>
      <c r="X694" s="364"/>
      <c r="Y694" s="364"/>
      <c r="Z694" s="364"/>
    </row>
    <row r="695">
      <c r="A695" s="367"/>
      <c r="B695" s="367"/>
      <c r="C695" s="364"/>
      <c r="D695" s="364"/>
      <c r="E695" s="364"/>
      <c r="F695" s="364"/>
      <c r="G695" s="364"/>
      <c r="H695" s="364"/>
      <c r="I695" s="364"/>
      <c r="J695" s="364"/>
      <c r="K695" s="364"/>
      <c r="L695" s="364"/>
      <c r="M695" s="364"/>
      <c r="N695" s="364"/>
      <c r="O695" s="364"/>
      <c r="P695" s="364"/>
      <c r="Q695" s="364"/>
      <c r="R695" s="364"/>
      <c r="S695" s="364"/>
      <c r="T695" s="364"/>
      <c r="U695" s="364"/>
      <c r="V695" s="364"/>
      <c r="W695" s="364"/>
      <c r="X695" s="364"/>
      <c r="Y695" s="364"/>
      <c r="Z695" s="364"/>
    </row>
    <row r="696">
      <c r="A696" s="367"/>
      <c r="B696" s="367"/>
      <c r="C696" s="364"/>
      <c r="D696" s="364"/>
      <c r="E696" s="364"/>
      <c r="F696" s="364"/>
      <c r="G696" s="364"/>
      <c r="H696" s="364"/>
      <c r="I696" s="364"/>
      <c r="J696" s="364"/>
      <c r="K696" s="364"/>
      <c r="L696" s="364"/>
      <c r="M696" s="364"/>
      <c r="N696" s="364"/>
      <c r="O696" s="364"/>
      <c r="P696" s="364"/>
      <c r="Q696" s="364"/>
      <c r="R696" s="364"/>
      <c r="S696" s="364"/>
      <c r="T696" s="364"/>
      <c r="U696" s="364"/>
      <c r="V696" s="364"/>
      <c r="W696" s="364"/>
      <c r="X696" s="364"/>
      <c r="Y696" s="364"/>
      <c r="Z696" s="364"/>
    </row>
    <row r="697">
      <c r="A697" s="367"/>
      <c r="B697" s="367"/>
      <c r="C697" s="364"/>
      <c r="D697" s="364"/>
      <c r="E697" s="364"/>
      <c r="F697" s="364"/>
      <c r="G697" s="364"/>
      <c r="H697" s="364"/>
      <c r="I697" s="364"/>
      <c r="J697" s="364"/>
      <c r="K697" s="364"/>
      <c r="L697" s="364"/>
      <c r="M697" s="364"/>
      <c r="N697" s="364"/>
      <c r="O697" s="364"/>
      <c r="P697" s="364"/>
      <c r="Q697" s="364"/>
      <c r="R697" s="364"/>
      <c r="S697" s="364"/>
      <c r="T697" s="364"/>
      <c r="U697" s="364"/>
      <c r="V697" s="364"/>
      <c r="W697" s="364"/>
      <c r="X697" s="364"/>
      <c r="Y697" s="364"/>
      <c r="Z697" s="364"/>
    </row>
    <row r="698">
      <c r="A698" s="367"/>
      <c r="B698" s="367"/>
      <c r="C698" s="364"/>
      <c r="D698" s="364"/>
      <c r="E698" s="364"/>
      <c r="F698" s="364"/>
      <c r="G698" s="364"/>
      <c r="H698" s="364"/>
      <c r="I698" s="364"/>
      <c r="J698" s="364"/>
      <c r="K698" s="364"/>
      <c r="L698" s="364"/>
      <c r="M698" s="364"/>
      <c r="N698" s="364"/>
      <c r="O698" s="364"/>
      <c r="P698" s="364"/>
      <c r="Q698" s="364"/>
      <c r="R698" s="364"/>
      <c r="S698" s="364"/>
      <c r="T698" s="364"/>
      <c r="U698" s="364"/>
      <c r="V698" s="364"/>
      <c r="W698" s="364"/>
      <c r="X698" s="364"/>
      <c r="Y698" s="364"/>
      <c r="Z698" s="364"/>
    </row>
    <row r="699">
      <c r="A699" s="367"/>
      <c r="B699" s="367"/>
      <c r="C699" s="364"/>
      <c r="D699" s="364"/>
      <c r="E699" s="364"/>
      <c r="F699" s="364"/>
      <c r="G699" s="364"/>
      <c r="H699" s="364"/>
      <c r="I699" s="364"/>
      <c r="J699" s="364"/>
      <c r="K699" s="364"/>
      <c r="L699" s="364"/>
      <c r="M699" s="364"/>
      <c r="N699" s="364"/>
      <c r="O699" s="364"/>
      <c r="P699" s="364"/>
      <c r="Q699" s="364"/>
      <c r="R699" s="364"/>
      <c r="S699" s="364"/>
      <c r="T699" s="364"/>
      <c r="U699" s="364"/>
      <c r="V699" s="364"/>
      <c r="W699" s="364"/>
      <c r="X699" s="364"/>
      <c r="Y699" s="364"/>
      <c r="Z699" s="364"/>
    </row>
    <row r="700">
      <c r="A700" s="367"/>
      <c r="B700" s="367"/>
      <c r="C700" s="364"/>
      <c r="D700" s="364"/>
      <c r="E700" s="364"/>
      <c r="F700" s="364"/>
      <c r="G700" s="364"/>
      <c r="H700" s="364"/>
      <c r="I700" s="364"/>
      <c r="J700" s="364"/>
      <c r="K700" s="364"/>
      <c r="L700" s="364"/>
      <c r="M700" s="364"/>
      <c r="N700" s="364"/>
      <c r="O700" s="364"/>
      <c r="P700" s="364"/>
      <c r="Q700" s="364"/>
      <c r="R700" s="364"/>
      <c r="S700" s="364"/>
      <c r="T700" s="364"/>
      <c r="U700" s="364"/>
      <c r="V700" s="364"/>
      <c r="W700" s="364"/>
      <c r="X700" s="364"/>
      <c r="Y700" s="364"/>
      <c r="Z700" s="364"/>
    </row>
    <row r="701">
      <c r="A701" s="367"/>
      <c r="B701" s="367"/>
      <c r="C701" s="364"/>
      <c r="D701" s="364"/>
      <c r="E701" s="364"/>
      <c r="F701" s="364"/>
      <c r="G701" s="364"/>
      <c r="H701" s="364"/>
      <c r="I701" s="364"/>
      <c r="J701" s="364"/>
      <c r="K701" s="364"/>
      <c r="L701" s="364"/>
      <c r="M701" s="364"/>
      <c r="N701" s="364"/>
      <c r="O701" s="364"/>
      <c r="P701" s="364"/>
      <c r="Q701" s="364"/>
      <c r="R701" s="364"/>
      <c r="S701" s="364"/>
      <c r="T701" s="364"/>
      <c r="U701" s="364"/>
      <c r="V701" s="364"/>
      <c r="W701" s="364"/>
      <c r="X701" s="364"/>
      <c r="Y701" s="364"/>
      <c r="Z701" s="364"/>
    </row>
    <row r="702">
      <c r="A702" s="367"/>
      <c r="B702" s="367"/>
      <c r="C702" s="364"/>
      <c r="D702" s="364"/>
      <c r="E702" s="364"/>
      <c r="F702" s="364"/>
      <c r="G702" s="364"/>
      <c r="H702" s="364"/>
      <c r="I702" s="364"/>
      <c r="J702" s="364"/>
      <c r="K702" s="364"/>
      <c r="L702" s="364"/>
      <c r="M702" s="364"/>
      <c r="N702" s="364"/>
      <c r="O702" s="364"/>
      <c r="P702" s="364"/>
      <c r="Q702" s="364"/>
      <c r="R702" s="364"/>
      <c r="S702" s="364"/>
      <c r="T702" s="364"/>
      <c r="U702" s="364"/>
      <c r="V702" s="364"/>
      <c r="W702" s="364"/>
      <c r="X702" s="364"/>
      <c r="Y702" s="364"/>
      <c r="Z702" s="364"/>
    </row>
    <row r="703">
      <c r="A703" s="367"/>
      <c r="B703" s="367"/>
      <c r="C703" s="364"/>
      <c r="D703" s="364"/>
      <c r="E703" s="364"/>
      <c r="F703" s="364"/>
      <c r="G703" s="364"/>
      <c r="H703" s="364"/>
      <c r="I703" s="364"/>
      <c r="J703" s="364"/>
      <c r="K703" s="364"/>
      <c r="L703" s="364"/>
      <c r="M703" s="364"/>
      <c r="N703" s="364"/>
      <c r="O703" s="364"/>
      <c r="P703" s="364"/>
      <c r="Q703" s="364"/>
      <c r="R703" s="364"/>
      <c r="S703" s="364"/>
      <c r="T703" s="364"/>
      <c r="U703" s="364"/>
      <c r="V703" s="364"/>
      <c r="W703" s="364"/>
      <c r="X703" s="364"/>
      <c r="Y703" s="364"/>
      <c r="Z703" s="364"/>
    </row>
    <row r="704">
      <c r="A704" s="367"/>
      <c r="B704" s="367"/>
      <c r="C704" s="364"/>
      <c r="D704" s="364"/>
      <c r="E704" s="364"/>
      <c r="F704" s="364"/>
      <c r="G704" s="364"/>
      <c r="H704" s="364"/>
      <c r="I704" s="364"/>
      <c r="J704" s="364"/>
      <c r="K704" s="364"/>
      <c r="L704" s="364"/>
      <c r="M704" s="364"/>
      <c r="N704" s="364"/>
      <c r="O704" s="364"/>
      <c r="P704" s="364"/>
      <c r="Q704" s="364"/>
      <c r="R704" s="364"/>
      <c r="S704" s="364"/>
      <c r="T704" s="364"/>
      <c r="U704" s="364"/>
      <c r="V704" s="364"/>
      <c r="W704" s="364"/>
      <c r="X704" s="364"/>
      <c r="Y704" s="364"/>
      <c r="Z704" s="364"/>
    </row>
    <row r="705">
      <c r="A705" s="367"/>
      <c r="B705" s="367"/>
      <c r="C705" s="364"/>
      <c r="D705" s="364"/>
      <c r="E705" s="364"/>
      <c r="F705" s="364"/>
      <c r="G705" s="364"/>
      <c r="H705" s="364"/>
      <c r="I705" s="364"/>
      <c r="J705" s="364"/>
      <c r="K705" s="364"/>
      <c r="L705" s="364"/>
      <c r="M705" s="364"/>
      <c r="N705" s="364"/>
      <c r="O705" s="364"/>
      <c r="P705" s="364"/>
      <c r="Q705" s="364"/>
      <c r="R705" s="364"/>
      <c r="S705" s="364"/>
      <c r="T705" s="364"/>
      <c r="U705" s="364"/>
      <c r="V705" s="364"/>
      <c r="W705" s="364"/>
      <c r="X705" s="364"/>
      <c r="Y705" s="364"/>
      <c r="Z705" s="364"/>
    </row>
    <row r="706">
      <c r="A706" s="367"/>
      <c r="B706" s="367"/>
      <c r="C706" s="364"/>
      <c r="D706" s="364"/>
      <c r="E706" s="364"/>
      <c r="F706" s="364"/>
      <c r="G706" s="364"/>
      <c r="H706" s="364"/>
      <c r="I706" s="364"/>
      <c r="J706" s="364"/>
      <c r="K706" s="364"/>
      <c r="L706" s="364"/>
      <c r="M706" s="364"/>
      <c r="N706" s="364"/>
      <c r="O706" s="364"/>
      <c r="P706" s="364"/>
      <c r="Q706" s="364"/>
      <c r="R706" s="364"/>
      <c r="S706" s="364"/>
      <c r="T706" s="364"/>
      <c r="U706" s="364"/>
      <c r="V706" s="364"/>
      <c r="W706" s="364"/>
      <c r="X706" s="364"/>
      <c r="Y706" s="364"/>
      <c r="Z706" s="364"/>
    </row>
    <row r="707">
      <c r="A707" s="367"/>
      <c r="B707" s="367"/>
      <c r="C707" s="364"/>
      <c r="D707" s="364"/>
      <c r="E707" s="364"/>
      <c r="F707" s="364"/>
      <c r="G707" s="364"/>
      <c r="H707" s="364"/>
      <c r="I707" s="364"/>
      <c r="J707" s="364"/>
      <c r="K707" s="364"/>
      <c r="L707" s="364"/>
      <c r="M707" s="364"/>
      <c r="N707" s="364"/>
      <c r="O707" s="364"/>
      <c r="P707" s="364"/>
      <c r="Q707" s="364"/>
      <c r="R707" s="364"/>
      <c r="S707" s="364"/>
      <c r="T707" s="364"/>
      <c r="U707" s="364"/>
      <c r="V707" s="364"/>
      <c r="W707" s="364"/>
      <c r="X707" s="364"/>
      <c r="Y707" s="364"/>
      <c r="Z707" s="364"/>
    </row>
    <row r="708">
      <c r="A708" s="367"/>
      <c r="B708" s="367"/>
      <c r="C708" s="364"/>
      <c r="D708" s="364"/>
      <c r="E708" s="364"/>
      <c r="F708" s="364"/>
      <c r="G708" s="364"/>
      <c r="H708" s="364"/>
      <c r="I708" s="364"/>
      <c r="J708" s="364"/>
      <c r="K708" s="364"/>
      <c r="L708" s="364"/>
      <c r="M708" s="364"/>
      <c r="N708" s="364"/>
      <c r="O708" s="364"/>
      <c r="P708" s="364"/>
      <c r="Q708" s="364"/>
      <c r="R708" s="364"/>
      <c r="S708" s="364"/>
      <c r="T708" s="364"/>
      <c r="U708" s="364"/>
      <c r="V708" s="364"/>
      <c r="W708" s="364"/>
      <c r="X708" s="364"/>
      <c r="Y708" s="364"/>
      <c r="Z708" s="364"/>
    </row>
    <row r="709">
      <c r="A709" s="367"/>
      <c r="B709" s="367"/>
      <c r="C709" s="364"/>
      <c r="D709" s="364"/>
      <c r="E709" s="364"/>
      <c r="F709" s="364"/>
      <c r="G709" s="364"/>
      <c r="H709" s="364"/>
      <c r="I709" s="364"/>
      <c r="J709" s="364"/>
      <c r="K709" s="364"/>
      <c r="L709" s="364"/>
      <c r="M709" s="364"/>
      <c r="N709" s="364"/>
      <c r="O709" s="364"/>
      <c r="P709" s="364"/>
      <c r="Q709" s="364"/>
      <c r="R709" s="364"/>
      <c r="S709" s="364"/>
      <c r="T709" s="364"/>
      <c r="U709" s="364"/>
      <c r="V709" s="364"/>
      <c r="W709" s="364"/>
      <c r="X709" s="364"/>
      <c r="Y709" s="364"/>
      <c r="Z709" s="364"/>
    </row>
    <row r="710">
      <c r="A710" s="367"/>
      <c r="B710" s="367"/>
      <c r="C710" s="364"/>
      <c r="D710" s="364"/>
      <c r="E710" s="364"/>
      <c r="F710" s="364"/>
      <c r="G710" s="364"/>
      <c r="H710" s="364"/>
      <c r="I710" s="364"/>
      <c r="J710" s="364"/>
      <c r="K710" s="364"/>
      <c r="L710" s="364"/>
      <c r="M710" s="364"/>
      <c r="N710" s="364"/>
      <c r="O710" s="364"/>
      <c r="P710" s="364"/>
      <c r="Q710" s="364"/>
      <c r="R710" s="364"/>
      <c r="S710" s="364"/>
      <c r="T710" s="364"/>
      <c r="U710" s="364"/>
      <c r="V710" s="364"/>
      <c r="W710" s="364"/>
      <c r="X710" s="364"/>
      <c r="Y710" s="364"/>
      <c r="Z710" s="364"/>
    </row>
    <row r="711">
      <c r="A711" s="367"/>
      <c r="B711" s="367"/>
      <c r="C711" s="364"/>
      <c r="D711" s="364"/>
      <c r="E711" s="364"/>
      <c r="F711" s="364"/>
      <c r="G711" s="364"/>
      <c r="H711" s="364"/>
      <c r="I711" s="364"/>
      <c r="J711" s="364"/>
      <c r="K711" s="364"/>
      <c r="L711" s="364"/>
      <c r="M711" s="364"/>
      <c r="N711" s="364"/>
      <c r="O711" s="364"/>
      <c r="P711" s="364"/>
      <c r="Q711" s="364"/>
      <c r="R711" s="364"/>
      <c r="S711" s="364"/>
      <c r="T711" s="364"/>
      <c r="U711" s="364"/>
      <c r="V711" s="364"/>
      <c r="W711" s="364"/>
      <c r="X711" s="364"/>
      <c r="Y711" s="364"/>
      <c r="Z711" s="364"/>
    </row>
    <row r="712">
      <c r="A712" s="367"/>
      <c r="B712" s="367"/>
      <c r="C712" s="364"/>
      <c r="D712" s="364"/>
      <c r="E712" s="364"/>
      <c r="F712" s="364"/>
      <c r="G712" s="364"/>
      <c r="H712" s="364"/>
      <c r="I712" s="364"/>
      <c r="J712" s="364"/>
      <c r="K712" s="364"/>
      <c r="L712" s="364"/>
      <c r="M712" s="364"/>
      <c r="N712" s="364"/>
      <c r="O712" s="364"/>
      <c r="P712" s="364"/>
      <c r="Q712" s="364"/>
      <c r="R712" s="364"/>
      <c r="S712" s="364"/>
      <c r="T712" s="364"/>
      <c r="U712" s="364"/>
      <c r="V712" s="364"/>
      <c r="W712" s="364"/>
      <c r="X712" s="364"/>
      <c r="Y712" s="364"/>
      <c r="Z712" s="364"/>
    </row>
    <row r="713">
      <c r="A713" s="367"/>
      <c r="B713" s="367"/>
      <c r="C713" s="364"/>
      <c r="D713" s="364"/>
      <c r="E713" s="364"/>
      <c r="F713" s="364"/>
      <c r="G713" s="364"/>
      <c r="H713" s="364"/>
      <c r="I713" s="364"/>
      <c r="J713" s="364"/>
      <c r="K713" s="364"/>
      <c r="L713" s="364"/>
      <c r="M713" s="364"/>
      <c r="N713" s="364"/>
      <c r="O713" s="364"/>
      <c r="P713" s="364"/>
      <c r="Q713" s="364"/>
      <c r="R713" s="364"/>
      <c r="S713" s="364"/>
      <c r="T713" s="364"/>
      <c r="U713" s="364"/>
      <c r="V713" s="364"/>
      <c r="W713" s="364"/>
      <c r="X713" s="364"/>
      <c r="Y713" s="364"/>
      <c r="Z713" s="364"/>
    </row>
    <row r="714">
      <c r="A714" s="367"/>
      <c r="B714" s="367"/>
      <c r="C714" s="364"/>
      <c r="D714" s="364"/>
      <c r="E714" s="364"/>
      <c r="F714" s="364"/>
      <c r="G714" s="364"/>
      <c r="H714" s="364"/>
      <c r="I714" s="364"/>
      <c r="J714" s="364"/>
      <c r="K714" s="364"/>
      <c r="L714" s="364"/>
      <c r="M714" s="364"/>
      <c r="N714" s="364"/>
      <c r="O714" s="364"/>
      <c r="P714" s="364"/>
      <c r="Q714" s="364"/>
      <c r="R714" s="364"/>
      <c r="S714" s="364"/>
      <c r="T714" s="364"/>
      <c r="U714" s="364"/>
      <c r="V714" s="364"/>
      <c r="W714" s="364"/>
      <c r="X714" s="364"/>
      <c r="Y714" s="364"/>
      <c r="Z714" s="364"/>
    </row>
    <row r="715">
      <c r="A715" s="367"/>
      <c r="B715" s="367"/>
      <c r="C715" s="364"/>
      <c r="D715" s="364"/>
      <c r="E715" s="364"/>
      <c r="F715" s="364"/>
      <c r="G715" s="364"/>
      <c r="H715" s="364"/>
      <c r="I715" s="364"/>
      <c r="J715" s="364"/>
      <c r="K715" s="364"/>
      <c r="L715" s="364"/>
      <c r="M715" s="364"/>
      <c r="N715" s="364"/>
      <c r="O715" s="364"/>
      <c r="P715" s="364"/>
      <c r="Q715" s="364"/>
      <c r="R715" s="364"/>
      <c r="S715" s="364"/>
      <c r="T715" s="364"/>
      <c r="U715" s="364"/>
      <c r="V715" s="364"/>
      <c r="W715" s="364"/>
      <c r="X715" s="364"/>
      <c r="Y715" s="364"/>
      <c r="Z715" s="364"/>
    </row>
    <row r="716">
      <c r="A716" s="367"/>
      <c r="B716" s="367"/>
      <c r="C716" s="364"/>
      <c r="D716" s="364"/>
      <c r="E716" s="364"/>
      <c r="F716" s="364"/>
      <c r="G716" s="364"/>
      <c r="H716" s="364"/>
      <c r="I716" s="364"/>
      <c r="J716" s="364"/>
      <c r="K716" s="364"/>
      <c r="L716" s="364"/>
      <c r="M716" s="364"/>
      <c r="N716" s="364"/>
      <c r="O716" s="364"/>
      <c r="P716" s="364"/>
      <c r="Q716" s="364"/>
      <c r="R716" s="364"/>
      <c r="S716" s="364"/>
      <c r="T716" s="364"/>
      <c r="U716" s="364"/>
      <c r="V716" s="364"/>
      <c r="W716" s="364"/>
      <c r="X716" s="364"/>
      <c r="Y716" s="364"/>
      <c r="Z716" s="364"/>
    </row>
    <row r="717">
      <c r="A717" s="367"/>
      <c r="B717" s="367"/>
      <c r="C717" s="364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4"/>
    </row>
    <row r="718">
      <c r="A718" s="367"/>
      <c r="B718" s="367"/>
      <c r="C718" s="364"/>
      <c r="D718" s="364"/>
      <c r="E718" s="364"/>
      <c r="F718" s="364"/>
      <c r="G718" s="364"/>
      <c r="H718" s="364"/>
      <c r="I718" s="364"/>
      <c r="J718" s="364"/>
      <c r="K718" s="364"/>
      <c r="L718" s="364"/>
      <c r="M718" s="364"/>
      <c r="N718" s="364"/>
      <c r="O718" s="364"/>
      <c r="P718" s="364"/>
      <c r="Q718" s="364"/>
      <c r="R718" s="364"/>
      <c r="S718" s="364"/>
      <c r="T718" s="364"/>
      <c r="U718" s="364"/>
      <c r="V718" s="364"/>
      <c r="W718" s="364"/>
      <c r="X718" s="364"/>
      <c r="Y718" s="364"/>
      <c r="Z718" s="364"/>
    </row>
    <row r="719">
      <c r="A719" s="367"/>
      <c r="B719" s="367"/>
      <c r="C719" s="364"/>
      <c r="D719" s="364"/>
      <c r="E719" s="364"/>
      <c r="F719" s="364"/>
      <c r="G719" s="364"/>
      <c r="H719" s="364"/>
      <c r="I719" s="364"/>
      <c r="J719" s="364"/>
      <c r="K719" s="364"/>
      <c r="L719" s="364"/>
      <c r="M719" s="364"/>
      <c r="N719" s="364"/>
      <c r="O719" s="364"/>
      <c r="P719" s="364"/>
      <c r="Q719" s="364"/>
      <c r="R719" s="364"/>
      <c r="S719" s="364"/>
      <c r="T719" s="364"/>
      <c r="U719" s="364"/>
      <c r="V719" s="364"/>
      <c r="W719" s="364"/>
      <c r="X719" s="364"/>
      <c r="Y719" s="364"/>
      <c r="Z719" s="364"/>
    </row>
    <row r="720">
      <c r="A720" s="367"/>
      <c r="B720" s="367"/>
      <c r="C720" s="364"/>
      <c r="D720" s="364"/>
      <c r="E720" s="364"/>
      <c r="F720" s="364"/>
      <c r="G720" s="364"/>
      <c r="H720" s="364"/>
      <c r="I720" s="364"/>
      <c r="J720" s="364"/>
      <c r="K720" s="364"/>
      <c r="L720" s="364"/>
      <c r="M720" s="364"/>
      <c r="N720" s="364"/>
      <c r="O720" s="364"/>
      <c r="P720" s="364"/>
      <c r="Q720" s="364"/>
      <c r="R720" s="364"/>
      <c r="S720" s="364"/>
      <c r="T720" s="364"/>
      <c r="U720" s="364"/>
      <c r="V720" s="364"/>
      <c r="W720" s="364"/>
      <c r="X720" s="364"/>
      <c r="Y720" s="364"/>
      <c r="Z720" s="364"/>
    </row>
    <row r="721">
      <c r="A721" s="367"/>
      <c r="B721" s="367"/>
      <c r="C721" s="364"/>
      <c r="D721" s="364"/>
      <c r="E721" s="364"/>
      <c r="F721" s="364"/>
      <c r="G721" s="364"/>
      <c r="H721" s="364"/>
      <c r="I721" s="364"/>
      <c r="J721" s="364"/>
      <c r="K721" s="364"/>
      <c r="L721" s="364"/>
      <c r="M721" s="364"/>
      <c r="N721" s="364"/>
      <c r="O721" s="364"/>
      <c r="P721" s="364"/>
      <c r="Q721" s="364"/>
      <c r="R721" s="364"/>
      <c r="S721" s="364"/>
      <c r="T721" s="364"/>
      <c r="U721" s="364"/>
      <c r="V721" s="364"/>
      <c r="W721" s="364"/>
      <c r="X721" s="364"/>
      <c r="Y721" s="364"/>
      <c r="Z721" s="364"/>
    </row>
    <row r="722">
      <c r="A722" s="367"/>
      <c r="B722" s="367"/>
      <c r="C722" s="364"/>
      <c r="D722" s="364"/>
      <c r="E722" s="364"/>
      <c r="F722" s="364"/>
      <c r="G722" s="364"/>
      <c r="H722" s="364"/>
      <c r="I722" s="364"/>
      <c r="J722" s="364"/>
      <c r="K722" s="364"/>
      <c r="L722" s="364"/>
      <c r="M722" s="364"/>
      <c r="N722" s="364"/>
      <c r="O722" s="364"/>
      <c r="P722" s="364"/>
      <c r="Q722" s="364"/>
      <c r="R722" s="364"/>
      <c r="S722" s="364"/>
      <c r="T722" s="364"/>
      <c r="U722" s="364"/>
      <c r="V722" s="364"/>
      <c r="W722" s="364"/>
      <c r="X722" s="364"/>
      <c r="Y722" s="364"/>
      <c r="Z722" s="364"/>
    </row>
    <row r="723">
      <c r="A723" s="367"/>
      <c r="B723" s="367"/>
      <c r="C723" s="364"/>
      <c r="D723" s="364"/>
      <c r="E723" s="364"/>
      <c r="F723" s="364"/>
      <c r="G723" s="364"/>
      <c r="H723" s="364"/>
      <c r="I723" s="364"/>
      <c r="J723" s="364"/>
      <c r="K723" s="364"/>
      <c r="L723" s="364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4"/>
    </row>
    <row r="724">
      <c r="A724" s="367"/>
      <c r="B724" s="367"/>
      <c r="C724" s="364"/>
      <c r="D724" s="364"/>
      <c r="E724" s="364"/>
      <c r="F724" s="364"/>
      <c r="G724" s="364"/>
      <c r="H724" s="364"/>
      <c r="I724" s="364"/>
      <c r="J724" s="364"/>
      <c r="K724" s="364"/>
      <c r="L724" s="364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4"/>
    </row>
    <row r="725">
      <c r="A725" s="367"/>
      <c r="B725" s="367"/>
      <c r="C725" s="364"/>
      <c r="D725" s="364"/>
      <c r="E725" s="364"/>
      <c r="F725" s="364"/>
      <c r="G725" s="364"/>
      <c r="H725" s="364"/>
      <c r="I725" s="364"/>
      <c r="J725" s="364"/>
      <c r="K725" s="364"/>
      <c r="L725" s="364"/>
      <c r="M725" s="364"/>
      <c r="N725" s="364"/>
      <c r="O725" s="364"/>
      <c r="P725" s="364"/>
      <c r="Q725" s="364"/>
      <c r="R725" s="364"/>
      <c r="S725" s="364"/>
      <c r="T725" s="364"/>
      <c r="U725" s="364"/>
      <c r="V725" s="364"/>
      <c r="W725" s="364"/>
      <c r="X725" s="364"/>
      <c r="Y725" s="364"/>
      <c r="Z725" s="364"/>
    </row>
    <row r="726">
      <c r="A726" s="367"/>
      <c r="B726" s="367"/>
      <c r="C726" s="364"/>
      <c r="D726" s="364"/>
      <c r="E726" s="364"/>
      <c r="F726" s="364"/>
      <c r="G726" s="364"/>
      <c r="H726" s="364"/>
      <c r="I726" s="364"/>
      <c r="J726" s="364"/>
      <c r="K726" s="364"/>
      <c r="L726" s="364"/>
      <c r="M726" s="364"/>
      <c r="N726" s="364"/>
      <c r="O726" s="364"/>
      <c r="P726" s="364"/>
      <c r="Q726" s="364"/>
      <c r="R726" s="364"/>
      <c r="S726" s="364"/>
      <c r="T726" s="364"/>
      <c r="U726" s="364"/>
      <c r="V726" s="364"/>
      <c r="W726" s="364"/>
      <c r="X726" s="364"/>
      <c r="Y726" s="364"/>
      <c r="Z726" s="364"/>
    </row>
    <row r="727">
      <c r="A727" s="367"/>
      <c r="B727" s="367"/>
      <c r="C727" s="364"/>
      <c r="D727" s="364"/>
      <c r="E727" s="364"/>
      <c r="F727" s="364"/>
      <c r="G727" s="364"/>
      <c r="H727" s="364"/>
      <c r="I727" s="364"/>
      <c r="J727" s="364"/>
      <c r="K727" s="364"/>
      <c r="L727" s="364"/>
      <c r="M727" s="364"/>
      <c r="N727" s="364"/>
      <c r="O727" s="364"/>
      <c r="P727" s="364"/>
      <c r="Q727" s="364"/>
      <c r="R727" s="364"/>
      <c r="S727" s="364"/>
      <c r="T727" s="364"/>
      <c r="U727" s="364"/>
      <c r="V727" s="364"/>
      <c r="W727" s="364"/>
      <c r="X727" s="364"/>
      <c r="Y727" s="364"/>
      <c r="Z727" s="364"/>
    </row>
    <row r="728">
      <c r="A728" s="367"/>
      <c r="B728" s="367"/>
      <c r="C728" s="364"/>
      <c r="D728" s="364"/>
      <c r="E728" s="364"/>
      <c r="F728" s="364"/>
      <c r="G728" s="364"/>
      <c r="H728" s="364"/>
      <c r="I728" s="364"/>
      <c r="J728" s="364"/>
      <c r="K728" s="364"/>
      <c r="L728" s="364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4"/>
    </row>
    <row r="729">
      <c r="A729" s="367"/>
      <c r="B729" s="367"/>
      <c r="C729" s="364"/>
      <c r="D729" s="364"/>
      <c r="E729" s="364"/>
      <c r="F729" s="364"/>
      <c r="G729" s="364"/>
      <c r="H729" s="364"/>
      <c r="I729" s="364"/>
      <c r="J729" s="364"/>
      <c r="K729" s="364"/>
      <c r="L729" s="364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4"/>
    </row>
    <row r="730">
      <c r="A730" s="367"/>
      <c r="B730" s="367"/>
      <c r="C730" s="364"/>
      <c r="D730" s="364"/>
      <c r="E730" s="364"/>
      <c r="F730" s="364"/>
      <c r="G730" s="364"/>
      <c r="H730" s="364"/>
      <c r="I730" s="364"/>
      <c r="J730" s="364"/>
      <c r="K730" s="364"/>
      <c r="L730" s="364"/>
      <c r="M730" s="364"/>
      <c r="N730" s="364"/>
      <c r="O730" s="364"/>
      <c r="P730" s="364"/>
      <c r="Q730" s="364"/>
      <c r="R730" s="364"/>
      <c r="S730" s="364"/>
      <c r="T730" s="364"/>
      <c r="U730" s="364"/>
      <c r="V730" s="364"/>
      <c r="W730" s="364"/>
      <c r="X730" s="364"/>
      <c r="Y730" s="364"/>
      <c r="Z730" s="364"/>
    </row>
    <row r="731">
      <c r="A731" s="367"/>
      <c r="B731" s="367"/>
      <c r="C731" s="364"/>
      <c r="D731" s="364"/>
      <c r="E731" s="364"/>
      <c r="F731" s="364"/>
      <c r="G731" s="364"/>
      <c r="H731" s="364"/>
      <c r="I731" s="364"/>
      <c r="J731" s="364"/>
      <c r="K731" s="364"/>
      <c r="L731" s="364"/>
      <c r="M731" s="364"/>
      <c r="N731" s="364"/>
      <c r="O731" s="364"/>
      <c r="P731" s="364"/>
      <c r="Q731" s="364"/>
      <c r="R731" s="364"/>
      <c r="S731" s="364"/>
      <c r="T731" s="364"/>
      <c r="U731" s="364"/>
      <c r="V731" s="364"/>
      <c r="W731" s="364"/>
      <c r="X731" s="364"/>
      <c r="Y731" s="364"/>
      <c r="Z731" s="364"/>
    </row>
    <row r="732">
      <c r="A732" s="367"/>
      <c r="B732" s="367"/>
      <c r="C732" s="364"/>
      <c r="D732" s="364"/>
      <c r="E732" s="364"/>
      <c r="F732" s="364"/>
      <c r="G732" s="364"/>
      <c r="H732" s="364"/>
      <c r="I732" s="364"/>
      <c r="J732" s="364"/>
      <c r="K732" s="364"/>
      <c r="L732" s="364"/>
      <c r="M732" s="364"/>
      <c r="N732" s="364"/>
      <c r="O732" s="364"/>
      <c r="P732" s="364"/>
      <c r="Q732" s="364"/>
      <c r="R732" s="364"/>
      <c r="S732" s="364"/>
      <c r="T732" s="364"/>
      <c r="U732" s="364"/>
      <c r="V732" s="364"/>
      <c r="W732" s="364"/>
      <c r="X732" s="364"/>
      <c r="Y732" s="364"/>
      <c r="Z732" s="364"/>
    </row>
    <row r="733">
      <c r="A733" s="367"/>
      <c r="B733" s="367"/>
      <c r="C733" s="364"/>
      <c r="D733" s="364"/>
      <c r="E733" s="364"/>
      <c r="F733" s="364"/>
      <c r="G733" s="364"/>
      <c r="H733" s="364"/>
      <c r="I733" s="364"/>
      <c r="J733" s="364"/>
      <c r="K733" s="364"/>
      <c r="L733" s="364"/>
      <c r="M733" s="364"/>
      <c r="N733" s="364"/>
      <c r="O733" s="364"/>
      <c r="P733" s="364"/>
      <c r="Q733" s="364"/>
      <c r="R733" s="364"/>
      <c r="S733" s="364"/>
      <c r="T733" s="364"/>
      <c r="U733" s="364"/>
      <c r="V733" s="364"/>
      <c r="W733" s="364"/>
      <c r="X733" s="364"/>
      <c r="Y733" s="364"/>
      <c r="Z733" s="364"/>
    </row>
    <row r="734">
      <c r="A734" s="367"/>
      <c r="B734" s="367"/>
      <c r="C734" s="364"/>
      <c r="D734" s="364"/>
      <c r="E734" s="364"/>
      <c r="F734" s="364"/>
      <c r="G734" s="364"/>
      <c r="H734" s="364"/>
      <c r="I734" s="364"/>
      <c r="J734" s="364"/>
      <c r="K734" s="364"/>
      <c r="L734" s="364"/>
      <c r="M734" s="364"/>
      <c r="N734" s="364"/>
      <c r="O734" s="364"/>
      <c r="P734" s="364"/>
      <c r="Q734" s="364"/>
      <c r="R734" s="364"/>
      <c r="S734" s="364"/>
      <c r="T734" s="364"/>
      <c r="U734" s="364"/>
      <c r="V734" s="364"/>
      <c r="W734" s="364"/>
      <c r="X734" s="364"/>
      <c r="Y734" s="364"/>
      <c r="Z734" s="364"/>
    </row>
    <row r="735">
      <c r="A735" s="367"/>
      <c r="B735" s="367"/>
      <c r="C735" s="364"/>
      <c r="D735" s="364"/>
      <c r="E735" s="364"/>
      <c r="F735" s="364"/>
      <c r="G735" s="364"/>
      <c r="H735" s="364"/>
      <c r="I735" s="364"/>
      <c r="J735" s="364"/>
      <c r="K735" s="364"/>
      <c r="L735" s="364"/>
      <c r="M735" s="364"/>
      <c r="N735" s="364"/>
      <c r="O735" s="364"/>
      <c r="P735" s="364"/>
      <c r="Q735" s="364"/>
      <c r="R735" s="364"/>
      <c r="S735" s="364"/>
      <c r="T735" s="364"/>
      <c r="U735" s="364"/>
      <c r="V735" s="364"/>
      <c r="W735" s="364"/>
      <c r="X735" s="364"/>
      <c r="Y735" s="364"/>
      <c r="Z735" s="364"/>
    </row>
    <row r="736">
      <c r="A736" s="367"/>
      <c r="B736" s="367"/>
      <c r="C736" s="364"/>
      <c r="D736" s="364"/>
      <c r="E736" s="364"/>
      <c r="F736" s="364"/>
      <c r="G736" s="364"/>
      <c r="H736" s="364"/>
      <c r="I736" s="364"/>
      <c r="J736" s="364"/>
      <c r="K736" s="364"/>
      <c r="L736" s="364"/>
      <c r="M736" s="364"/>
      <c r="N736" s="364"/>
      <c r="O736" s="364"/>
      <c r="P736" s="364"/>
      <c r="Q736" s="364"/>
      <c r="R736" s="364"/>
      <c r="S736" s="364"/>
      <c r="T736" s="364"/>
      <c r="U736" s="364"/>
      <c r="V736" s="364"/>
      <c r="W736" s="364"/>
      <c r="X736" s="364"/>
      <c r="Y736" s="364"/>
      <c r="Z736" s="364"/>
    </row>
    <row r="737">
      <c r="A737" s="367"/>
      <c r="B737" s="367"/>
      <c r="C737" s="364"/>
      <c r="D737" s="364"/>
      <c r="E737" s="364"/>
      <c r="F737" s="364"/>
      <c r="G737" s="364"/>
      <c r="H737" s="364"/>
      <c r="I737" s="364"/>
      <c r="J737" s="364"/>
      <c r="K737" s="364"/>
      <c r="L737" s="364"/>
      <c r="M737" s="364"/>
      <c r="N737" s="364"/>
      <c r="O737" s="364"/>
      <c r="P737" s="364"/>
      <c r="Q737" s="364"/>
      <c r="R737" s="364"/>
      <c r="S737" s="364"/>
      <c r="T737" s="364"/>
      <c r="U737" s="364"/>
      <c r="V737" s="364"/>
      <c r="W737" s="364"/>
      <c r="X737" s="364"/>
      <c r="Y737" s="364"/>
      <c r="Z737" s="364"/>
    </row>
    <row r="738">
      <c r="A738" s="367"/>
      <c r="B738" s="367"/>
      <c r="C738" s="364"/>
      <c r="D738" s="364"/>
      <c r="E738" s="364"/>
      <c r="F738" s="364"/>
      <c r="G738" s="364"/>
      <c r="H738" s="364"/>
      <c r="I738" s="364"/>
      <c r="J738" s="364"/>
      <c r="K738" s="364"/>
      <c r="L738" s="364"/>
      <c r="M738" s="364"/>
      <c r="N738" s="364"/>
      <c r="O738" s="364"/>
      <c r="P738" s="364"/>
      <c r="Q738" s="364"/>
      <c r="R738" s="364"/>
      <c r="S738" s="364"/>
      <c r="T738" s="364"/>
      <c r="U738" s="364"/>
      <c r="V738" s="364"/>
      <c r="W738" s="364"/>
      <c r="X738" s="364"/>
      <c r="Y738" s="364"/>
      <c r="Z738" s="364"/>
    </row>
    <row r="739">
      <c r="A739" s="367"/>
      <c r="B739" s="367"/>
      <c r="C739" s="364"/>
      <c r="D739" s="364"/>
      <c r="E739" s="364"/>
      <c r="F739" s="364"/>
      <c r="G739" s="364"/>
      <c r="H739" s="364"/>
      <c r="I739" s="364"/>
      <c r="J739" s="364"/>
      <c r="K739" s="364"/>
      <c r="L739" s="364"/>
      <c r="M739" s="364"/>
      <c r="N739" s="364"/>
      <c r="O739" s="364"/>
      <c r="P739" s="364"/>
      <c r="Q739" s="364"/>
      <c r="R739" s="364"/>
      <c r="S739" s="364"/>
      <c r="T739" s="364"/>
      <c r="U739" s="364"/>
      <c r="V739" s="364"/>
      <c r="W739" s="364"/>
      <c r="X739" s="364"/>
      <c r="Y739" s="364"/>
      <c r="Z739" s="364"/>
    </row>
    <row r="740">
      <c r="A740" s="367"/>
      <c r="B740" s="367"/>
      <c r="C740" s="364"/>
      <c r="D740" s="364"/>
      <c r="E740" s="364"/>
      <c r="F740" s="364"/>
      <c r="G740" s="364"/>
      <c r="H740" s="364"/>
      <c r="I740" s="364"/>
      <c r="J740" s="364"/>
      <c r="K740" s="364"/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4"/>
    </row>
    <row r="741">
      <c r="A741" s="367"/>
      <c r="B741" s="367"/>
      <c r="C741" s="364"/>
      <c r="D741" s="364"/>
      <c r="E741" s="364"/>
      <c r="F741" s="364"/>
      <c r="G741" s="364"/>
      <c r="H741" s="364"/>
      <c r="I741" s="364"/>
      <c r="J741" s="364"/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  <c r="V741" s="364"/>
      <c r="W741" s="364"/>
      <c r="X741" s="364"/>
      <c r="Y741" s="364"/>
      <c r="Z741" s="364"/>
    </row>
    <row r="742">
      <c r="A742" s="367"/>
      <c r="B742" s="367"/>
      <c r="C742" s="364"/>
      <c r="D742" s="364"/>
      <c r="E742" s="364"/>
      <c r="F742" s="364"/>
      <c r="G742" s="364"/>
      <c r="H742" s="364"/>
      <c r="I742" s="364"/>
      <c r="J742" s="364"/>
      <c r="K742" s="364"/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  <c r="V742" s="364"/>
      <c r="W742" s="364"/>
      <c r="X742" s="364"/>
      <c r="Y742" s="364"/>
      <c r="Z742" s="364"/>
    </row>
    <row r="743">
      <c r="A743" s="367"/>
      <c r="B743" s="367"/>
      <c r="C743" s="364"/>
      <c r="D743" s="364"/>
      <c r="E743" s="364"/>
      <c r="F743" s="364"/>
      <c r="G743" s="364"/>
      <c r="H743" s="364"/>
      <c r="I743" s="364"/>
      <c r="J743" s="364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  <c r="V743" s="364"/>
      <c r="W743" s="364"/>
      <c r="X743" s="364"/>
      <c r="Y743" s="364"/>
      <c r="Z743" s="364"/>
    </row>
    <row r="744">
      <c r="A744" s="367"/>
      <c r="B744" s="367"/>
      <c r="C744" s="364"/>
      <c r="D744" s="364"/>
      <c r="E744" s="364"/>
      <c r="F744" s="364"/>
      <c r="G744" s="364"/>
      <c r="H744" s="364"/>
      <c r="I744" s="364"/>
      <c r="J744" s="364"/>
      <c r="K744" s="364"/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  <c r="V744" s="364"/>
      <c r="W744" s="364"/>
      <c r="X744" s="364"/>
      <c r="Y744" s="364"/>
      <c r="Z744" s="364"/>
    </row>
    <row r="745">
      <c r="A745" s="367"/>
      <c r="B745" s="367"/>
      <c r="C745" s="364"/>
      <c r="D745" s="364"/>
      <c r="E745" s="364"/>
      <c r="F745" s="364"/>
      <c r="G745" s="364"/>
      <c r="H745" s="364"/>
      <c r="I745" s="364"/>
      <c r="J745" s="364"/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  <c r="V745" s="364"/>
      <c r="W745" s="364"/>
      <c r="X745" s="364"/>
      <c r="Y745" s="364"/>
      <c r="Z745" s="364"/>
    </row>
    <row r="746">
      <c r="A746" s="367"/>
      <c r="B746" s="367"/>
      <c r="C746" s="364"/>
      <c r="D746" s="364"/>
      <c r="E746" s="364"/>
      <c r="F746" s="364"/>
      <c r="G746" s="364"/>
      <c r="H746" s="364"/>
      <c r="I746" s="364"/>
      <c r="J746" s="364"/>
      <c r="K746" s="364"/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  <c r="V746" s="364"/>
      <c r="W746" s="364"/>
      <c r="X746" s="364"/>
      <c r="Y746" s="364"/>
      <c r="Z746" s="364"/>
    </row>
    <row r="747">
      <c r="A747" s="367"/>
      <c r="B747" s="367"/>
      <c r="C747" s="364"/>
      <c r="D747" s="364"/>
      <c r="E747" s="364"/>
      <c r="F747" s="364"/>
      <c r="G747" s="364"/>
      <c r="H747" s="364"/>
      <c r="I747" s="364"/>
      <c r="J747" s="364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4"/>
    </row>
    <row r="748">
      <c r="A748" s="367"/>
      <c r="B748" s="367"/>
      <c r="C748" s="364"/>
      <c r="D748" s="364"/>
      <c r="E748" s="364"/>
      <c r="F748" s="364"/>
      <c r="G748" s="364"/>
      <c r="H748" s="364"/>
      <c r="I748" s="364"/>
      <c r="J748" s="364"/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4"/>
    </row>
    <row r="749">
      <c r="A749" s="367"/>
      <c r="B749" s="367"/>
      <c r="C749" s="364"/>
      <c r="D749" s="364"/>
      <c r="E749" s="364"/>
      <c r="F749" s="364"/>
      <c r="G749" s="364"/>
      <c r="H749" s="364"/>
      <c r="I749" s="364"/>
      <c r="J749" s="364"/>
      <c r="K749" s="364"/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  <c r="V749" s="364"/>
      <c r="W749" s="364"/>
      <c r="X749" s="364"/>
      <c r="Y749" s="364"/>
      <c r="Z749" s="364"/>
    </row>
    <row r="750">
      <c r="A750" s="367"/>
      <c r="B750" s="367"/>
      <c r="C750" s="364"/>
      <c r="D750" s="364"/>
      <c r="E750" s="364"/>
      <c r="F750" s="364"/>
      <c r="G750" s="364"/>
      <c r="H750" s="364"/>
      <c r="I750" s="364"/>
      <c r="J750" s="364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  <c r="V750" s="364"/>
      <c r="W750" s="364"/>
      <c r="X750" s="364"/>
      <c r="Y750" s="364"/>
      <c r="Z750" s="364"/>
    </row>
    <row r="751">
      <c r="A751" s="367"/>
      <c r="B751" s="367"/>
      <c r="C751" s="364"/>
      <c r="D751" s="364"/>
      <c r="E751" s="364"/>
      <c r="F751" s="364"/>
      <c r="G751" s="364"/>
      <c r="H751" s="364"/>
      <c r="I751" s="364"/>
      <c r="J751" s="364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  <c r="V751" s="364"/>
      <c r="W751" s="364"/>
      <c r="X751" s="364"/>
      <c r="Y751" s="364"/>
      <c r="Z751" s="364"/>
    </row>
    <row r="752">
      <c r="A752" s="367"/>
      <c r="B752" s="367"/>
      <c r="C752" s="364"/>
      <c r="D752" s="364"/>
      <c r="E752" s="364"/>
      <c r="F752" s="364"/>
      <c r="G752" s="364"/>
      <c r="H752" s="364"/>
      <c r="I752" s="364"/>
      <c r="J752" s="364"/>
      <c r="K752" s="364"/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4"/>
    </row>
    <row r="753">
      <c r="A753" s="367"/>
      <c r="B753" s="367"/>
      <c r="C753" s="364"/>
      <c r="D753" s="364"/>
      <c r="E753" s="364"/>
      <c r="F753" s="364"/>
      <c r="G753" s="364"/>
      <c r="H753" s="364"/>
      <c r="I753" s="364"/>
      <c r="J753" s="364"/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4"/>
    </row>
    <row r="754">
      <c r="A754" s="367"/>
      <c r="B754" s="367"/>
      <c r="C754" s="364"/>
      <c r="D754" s="364"/>
      <c r="E754" s="364"/>
      <c r="F754" s="364"/>
      <c r="G754" s="364"/>
      <c r="H754" s="364"/>
      <c r="I754" s="364"/>
      <c r="J754" s="364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  <c r="V754" s="364"/>
      <c r="W754" s="364"/>
      <c r="X754" s="364"/>
      <c r="Y754" s="364"/>
      <c r="Z754" s="364"/>
    </row>
    <row r="755">
      <c r="A755" s="367"/>
      <c r="B755" s="367"/>
      <c r="C755" s="364"/>
      <c r="D755" s="364"/>
      <c r="E755" s="364"/>
      <c r="F755" s="364"/>
      <c r="G755" s="364"/>
      <c r="H755" s="364"/>
      <c r="I755" s="364"/>
      <c r="J755" s="364"/>
      <c r="K755" s="364"/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  <c r="V755" s="364"/>
      <c r="W755" s="364"/>
      <c r="X755" s="364"/>
      <c r="Y755" s="364"/>
      <c r="Z755" s="364"/>
    </row>
    <row r="756">
      <c r="A756" s="367"/>
      <c r="B756" s="367"/>
      <c r="C756" s="364"/>
      <c r="D756" s="364"/>
      <c r="E756" s="364"/>
      <c r="F756" s="364"/>
      <c r="G756" s="364"/>
      <c r="H756" s="364"/>
      <c r="I756" s="364"/>
      <c r="J756" s="364"/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  <c r="V756" s="364"/>
      <c r="W756" s="364"/>
      <c r="X756" s="364"/>
      <c r="Y756" s="364"/>
      <c r="Z756" s="364"/>
    </row>
    <row r="757">
      <c r="A757" s="367"/>
      <c r="B757" s="367"/>
      <c r="C757" s="364"/>
      <c r="D757" s="364"/>
      <c r="E757" s="364"/>
      <c r="F757" s="364"/>
      <c r="G757" s="364"/>
      <c r="H757" s="364"/>
      <c r="I757" s="364"/>
      <c r="J757" s="364"/>
      <c r="K757" s="364"/>
      <c r="L757" s="364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4"/>
    </row>
    <row r="758">
      <c r="A758" s="367"/>
      <c r="B758" s="367"/>
      <c r="C758" s="364"/>
      <c r="D758" s="364"/>
      <c r="E758" s="364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</row>
    <row r="759">
      <c r="A759" s="367"/>
      <c r="B759" s="367"/>
      <c r="C759" s="364"/>
      <c r="D759" s="364"/>
      <c r="E759" s="364"/>
      <c r="F759" s="364"/>
      <c r="G759" s="364"/>
      <c r="H759" s="364"/>
      <c r="I759" s="364"/>
      <c r="J759" s="364"/>
      <c r="K759" s="364"/>
      <c r="L759" s="364"/>
      <c r="M759" s="364"/>
      <c r="N759" s="364"/>
      <c r="O759" s="364"/>
      <c r="P759" s="364"/>
      <c r="Q759" s="364"/>
      <c r="R759" s="364"/>
      <c r="S759" s="364"/>
      <c r="T759" s="364"/>
      <c r="U759" s="364"/>
      <c r="V759" s="364"/>
      <c r="W759" s="364"/>
      <c r="X759" s="364"/>
      <c r="Y759" s="364"/>
      <c r="Z759" s="364"/>
    </row>
    <row r="760">
      <c r="A760" s="367"/>
      <c r="B760" s="367"/>
      <c r="C760" s="364"/>
      <c r="D760" s="364"/>
      <c r="E760" s="364"/>
      <c r="F760" s="364"/>
      <c r="G760" s="364"/>
      <c r="H760" s="364"/>
      <c r="I760" s="364"/>
      <c r="J760" s="364"/>
      <c r="K760" s="364"/>
      <c r="L760" s="364"/>
      <c r="M760" s="364"/>
      <c r="N760" s="364"/>
      <c r="O760" s="364"/>
      <c r="P760" s="364"/>
      <c r="Q760" s="364"/>
      <c r="R760" s="364"/>
      <c r="S760" s="364"/>
      <c r="T760" s="364"/>
      <c r="U760" s="364"/>
      <c r="V760" s="364"/>
      <c r="W760" s="364"/>
      <c r="X760" s="364"/>
      <c r="Y760" s="364"/>
      <c r="Z760" s="364"/>
    </row>
    <row r="761">
      <c r="A761" s="367"/>
      <c r="B761" s="367"/>
      <c r="C761" s="364"/>
      <c r="D761" s="364"/>
      <c r="E761" s="364"/>
      <c r="F761" s="364"/>
      <c r="G761" s="364"/>
      <c r="H761" s="364"/>
      <c r="I761" s="364"/>
      <c r="J761" s="364"/>
      <c r="K761" s="364"/>
      <c r="L761" s="364"/>
      <c r="M761" s="364"/>
      <c r="N761" s="364"/>
      <c r="O761" s="364"/>
      <c r="P761" s="364"/>
      <c r="Q761" s="364"/>
      <c r="R761" s="364"/>
      <c r="S761" s="364"/>
      <c r="T761" s="364"/>
      <c r="U761" s="364"/>
      <c r="V761" s="364"/>
      <c r="W761" s="364"/>
      <c r="X761" s="364"/>
      <c r="Y761" s="364"/>
      <c r="Z761" s="364"/>
    </row>
    <row r="762">
      <c r="A762" s="367"/>
      <c r="B762" s="367"/>
      <c r="C762" s="364"/>
      <c r="D762" s="364"/>
      <c r="E762" s="364"/>
      <c r="F762" s="364"/>
      <c r="G762" s="364"/>
      <c r="H762" s="364"/>
      <c r="I762" s="364"/>
      <c r="J762" s="364"/>
      <c r="K762" s="364"/>
      <c r="L762" s="364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4"/>
    </row>
    <row r="763">
      <c r="A763" s="367"/>
      <c r="B763" s="367"/>
      <c r="C763" s="364"/>
      <c r="D763" s="364"/>
      <c r="E763" s="364"/>
      <c r="F763" s="364"/>
      <c r="G763" s="364"/>
      <c r="H763" s="364"/>
      <c r="I763" s="364"/>
      <c r="J763" s="364"/>
      <c r="K763" s="364"/>
      <c r="L763" s="364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4"/>
    </row>
    <row r="764">
      <c r="A764" s="367"/>
      <c r="B764" s="367"/>
      <c r="C764" s="364"/>
      <c r="D764" s="364"/>
      <c r="E764" s="364"/>
      <c r="F764" s="364"/>
      <c r="G764" s="364"/>
      <c r="H764" s="364"/>
      <c r="I764" s="364"/>
      <c r="J764" s="364"/>
      <c r="K764" s="364"/>
      <c r="L764" s="364"/>
      <c r="M764" s="364"/>
      <c r="N764" s="364"/>
      <c r="O764" s="364"/>
      <c r="P764" s="364"/>
      <c r="Q764" s="364"/>
      <c r="R764" s="364"/>
      <c r="S764" s="364"/>
      <c r="T764" s="364"/>
      <c r="U764" s="364"/>
      <c r="V764" s="364"/>
      <c r="W764" s="364"/>
      <c r="X764" s="364"/>
      <c r="Y764" s="364"/>
      <c r="Z764" s="364"/>
    </row>
    <row r="765">
      <c r="A765" s="367"/>
      <c r="B765" s="367"/>
      <c r="C765" s="364"/>
      <c r="D765" s="364"/>
      <c r="E765" s="364"/>
      <c r="F765" s="364"/>
      <c r="G765" s="364"/>
      <c r="H765" s="364"/>
      <c r="I765" s="364"/>
      <c r="J765" s="364"/>
      <c r="K765" s="364"/>
      <c r="L765" s="364"/>
      <c r="M765" s="364"/>
      <c r="N765" s="364"/>
      <c r="O765" s="364"/>
      <c r="P765" s="364"/>
      <c r="Q765" s="364"/>
      <c r="R765" s="364"/>
      <c r="S765" s="364"/>
      <c r="T765" s="364"/>
      <c r="U765" s="364"/>
      <c r="V765" s="364"/>
      <c r="W765" s="364"/>
      <c r="X765" s="364"/>
      <c r="Y765" s="364"/>
      <c r="Z765" s="364"/>
    </row>
    <row r="766">
      <c r="A766" s="367"/>
      <c r="B766" s="367"/>
      <c r="C766" s="364"/>
      <c r="D766" s="364"/>
      <c r="E766" s="364"/>
      <c r="F766" s="364"/>
      <c r="G766" s="364"/>
      <c r="H766" s="364"/>
      <c r="I766" s="364"/>
      <c r="J766" s="364"/>
      <c r="K766" s="364"/>
      <c r="L766" s="364"/>
      <c r="M766" s="364"/>
      <c r="N766" s="364"/>
      <c r="O766" s="364"/>
      <c r="P766" s="364"/>
      <c r="Q766" s="364"/>
      <c r="R766" s="364"/>
      <c r="S766" s="364"/>
      <c r="T766" s="364"/>
      <c r="U766" s="364"/>
      <c r="V766" s="364"/>
      <c r="W766" s="364"/>
      <c r="X766" s="364"/>
      <c r="Y766" s="364"/>
      <c r="Z766" s="364"/>
    </row>
    <row r="767">
      <c r="A767" s="367"/>
      <c r="B767" s="367"/>
      <c r="C767" s="364"/>
      <c r="D767" s="364"/>
      <c r="E767" s="364"/>
      <c r="F767" s="364"/>
      <c r="G767" s="364"/>
      <c r="H767" s="364"/>
      <c r="I767" s="364"/>
      <c r="J767" s="364"/>
      <c r="K767" s="364"/>
      <c r="L767" s="364"/>
      <c r="M767" s="364"/>
      <c r="N767" s="364"/>
      <c r="O767" s="364"/>
      <c r="P767" s="364"/>
      <c r="Q767" s="364"/>
      <c r="R767" s="364"/>
      <c r="S767" s="364"/>
      <c r="T767" s="364"/>
      <c r="U767" s="364"/>
      <c r="V767" s="364"/>
      <c r="W767" s="364"/>
      <c r="X767" s="364"/>
      <c r="Y767" s="364"/>
      <c r="Z767" s="364"/>
    </row>
    <row r="768">
      <c r="A768" s="367"/>
      <c r="B768" s="367"/>
      <c r="C768" s="364"/>
      <c r="D768" s="364"/>
      <c r="E768" s="364"/>
      <c r="F768" s="364"/>
      <c r="G768" s="364"/>
      <c r="H768" s="364"/>
      <c r="I768" s="364"/>
      <c r="J768" s="364"/>
      <c r="K768" s="364"/>
      <c r="L768" s="364"/>
      <c r="M768" s="364"/>
      <c r="N768" s="364"/>
      <c r="O768" s="364"/>
      <c r="P768" s="364"/>
      <c r="Q768" s="364"/>
      <c r="R768" s="364"/>
      <c r="S768" s="364"/>
      <c r="T768" s="364"/>
      <c r="U768" s="364"/>
      <c r="V768" s="364"/>
      <c r="W768" s="364"/>
      <c r="X768" s="364"/>
      <c r="Y768" s="364"/>
      <c r="Z768" s="364"/>
    </row>
    <row r="769">
      <c r="A769" s="367"/>
      <c r="B769" s="367"/>
      <c r="C769" s="364"/>
      <c r="D769" s="364"/>
      <c r="E769" s="364"/>
      <c r="F769" s="364"/>
      <c r="G769" s="364"/>
      <c r="H769" s="364"/>
      <c r="I769" s="364"/>
      <c r="J769" s="364"/>
      <c r="K769" s="364"/>
      <c r="L769" s="364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4"/>
    </row>
    <row r="770">
      <c r="A770" s="367"/>
      <c r="B770" s="367"/>
      <c r="C770" s="364"/>
      <c r="D770" s="364"/>
      <c r="E770" s="364"/>
      <c r="F770" s="364"/>
      <c r="G770" s="364"/>
      <c r="H770" s="364"/>
      <c r="I770" s="364"/>
      <c r="J770" s="364"/>
      <c r="K770" s="364"/>
      <c r="L770" s="364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</row>
    <row r="771">
      <c r="A771" s="367"/>
      <c r="B771" s="367"/>
      <c r="C771" s="364"/>
      <c r="D771" s="364"/>
      <c r="E771" s="364"/>
      <c r="F771" s="364"/>
      <c r="G771" s="364"/>
      <c r="H771" s="364"/>
      <c r="I771" s="364"/>
      <c r="J771" s="364"/>
      <c r="K771" s="364"/>
      <c r="L771" s="364"/>
      <c r="M771" s="364"/>
      <c r="N771" s="364"/>
      <c r="O771" s="364"/>
      <c r="P771" s="364"/>
      <c r="Q771" s="364"/>
      <c r="R771" s="364"/>
      <c r="S771" s="364"/>
      <c r="T771" s="364"/>
      <c r="U771" s="364"/>
      <c r="V771" s="364"/>
      <c r="W771" s="364"/>
      <c r="X771" s="364"/>
      <c r="Y771" s="364"/>
      <c r="Z771" s="364"/>
    </row>
    <row r="772">
      <c r="A772" s="367"/>
      <c r="B772" s="367"/>
      <c r="C772" s="364"/>
      <c r="D772" s="364"/>
      <c r="E772" s="364"/>
      <c r="F772" s="364"/>
      <c r="G772" s="364"/>
      <c r="H772" s="364"/>
      <c r="I772" s="364"/>
      <c r="J772" s="364"/>
      <c r="K772" s="364"/>
      <c r="L772" s="364"/>
      <c r="M772" s="364"/>
      <c r="N772" s="364"/>
      <c r="O772" s="364"/>
      <c r="P772" s="364"/>
      <c r="Q772" s="364"/>
      <c r="R772" s="364"/>
      <c r="S772" s="364"/>
      <c r="T772" s="364"/>
      <c r="U772" s="364"/>
      <c r="V772" s="364"/>
      <c r="W772" s="364"/>
      <c r="X772" s="364"/>
      <c r="Y772" s="364"/>
      <c r="Z772" s="364"/>
    </row>
    <row r="773">
      <c r="A773" s="367"/>
      <c r="B773" s="367"/>
      <c r="C773" s="364"/>
      <c r="D773" s="364"/>
      <c r="E773" s="364"/>
      <c r="F773" s="364"/>
      <c r="G773" s="364"/>
      <c r="H773" s="364"/>
      <c r="I773" s="364"/>
      <c r="J773" s="364"/>
      <c r="K773" s="364"/>
      <c r="L773" s="364"/>
      <c r="M773" s="364"/>
      <c r="N773" s="364"/>
      <c r="O773" s="364"/>
      <c r="P773" s="364"/>
      <c r="Q773" s="364"/>
      <c r="R773" s="364"/>
      <c r="S773" s="364"/>
      <c r="T773" s="364"/>
      <c r="U773" s="364"/>
      <c r="V773" s="364"/>
      <c r="W773" s="364"/>
      <c r="X773" s="364"/>
      <c r="Y773" s="364"/>
      <c r="Z773" s="364"/>
    </row>
    <row r="774">
      <c r="A774" s="367"/>
      <c r="B774" s="367"/>
      <c r="C774" s="364"/>
      <c r="D774" s="364"/>
      <c r="E774" s="364"/>
      <c r="F774" s="364"/>
      <c r="G774" s="364"/>
      <c r="H774" s="364"/>
      <c r="I774" s="364"/>
      <c r="J774" s="364"/>
      <c r="K774" s="364"/>
      <c r="L774" s="364"/>
      <c r="M774" s="364"/>
      <c r="N774" s="364"/>
      <c r="O774" s="364"/>
      <c r="P774" s="364"/>
      <c r="Q774" s="364"/>
      <c r="R774" s="364"/>
      <c r="S774" s="364"/>
      <c r="T774" s="364"/>
      <c r="U774" s="364"/>
      <c r="V774" s="364"/>
      <c r="W774" s="364"/>
      <c r="X774" s="364"/>
      <c r="Y774" s="364"/>
      <c r="Z774" s="364"/>
    </row>
    <row r="775">
      <c r="A775" s="367"/>
      <c r="B775" s="367"/>
      <c r="C775" s="364"/>
      <c r="D775" s="364"/>
      <c r="E775" s="364"/>
      <c r="F775" s="364"/>
      <c r="G775" s="364"/>
      <c r="H775" s="364"/>
      <c r="I775" s="364"/>
      <c r="J775" s="364"/>
      <c r="K775" s="364"/>
      <c r="L775" s="364"/>
      <c r="M775" s="364"/>
      <c r="N775" s="364"/>
      <c r="O775" s="364"/>
      <c r="P775" s="364"/>
      <c r="Q775" s="364"/>
      <c r="R775" s="364"/>
      <c r="S775" s="364"/>
      <c r="T775" s="364"/>
      <c r="U775" s="364"/>
      <c r="V775" s="364"/>
      <c r="W775" s="364"/>
      <c r="X775" s="364"/>
      <c r="Y775" s="364"/>
      <c r="Z775" s="364"/>
    </row>
    <row r="776">
      <c r="A776" s="367"/>
      <c r="B776" s="367"/>
      <c r="C776" s="364"/>
      <c r="D776" s="364"/>
      <c r="E776" s="364"/>
      <c r="F776" s="364"/>
      <c r="G776" s="364"/>
      <c r="H776" s="364"/>
      <c r="I776" s="364"/>
      <c r="J776" s="364"/>
      <c r="K776" s="364"/>
      <c r="L776" s="364"/>
      <c r="M776" s="364"/>
      <c r="N776" s="364"/>
      <c r="O776" s="364"/>
      <c r="P776" s="364"/>
      <c r="Q776" s="364"/>
      <c r="R776" s="364"/>
      <c r="S776" s="364"/>
      <c r="T776" s="364"/>
      <c r="U776" s="364"/>
      <c r="V776" s="364"/>
      <c r="W776" s="364"/>
      <c r="X776" s="364"/>
      <c r="Y776" s="364"/>
      <c r="Z776" s="364"/>
    </row>
    <row r="777">
      <c r="A777" s="367"/>
      <c r="B777" s="367"/>
      <c r="C777" s="364"/>
      <c r="D777" s="364"/>
      <c r="E777" s="364"/>
      <c r="F777" s="364"/>
      <c r="G777" s="364"/>
      <c r="H777" s="364"/>
      <c r="I777" s="364"/>
      <c r="J777" s="364"/>
      <c r="K777" s="364"/>
      <c r="L777" s="364"/>
      <c r="M777" s="364"/>
      <c r="N777" s="364"/>
      <c r="O777" s="364"/>
      <c r="P777" s="364"/>
      <c r="Q777" s="364"/>
      <c r="R777" s="364"/>
      <c r="S777" s="364"/>
      <c r="T777" s="364"/>
      <c r="U777" s="364"/>
      <c r="V777" s="364"/>
      <c r="W777" s="364"/>
      <c r="X777" s="364"/>
      <c r="Y777" s="364"/>
      <c r="Z777" s="364"/>
    </row>
    <row r="778">
      <c r="A778" s="367"/>
      <c r="B778" s="367"/>
      <c r="C778" s="364"/>
      <c r="D778" s="364"/>
      <c r="E778" s="364"/>
      <c r="F778" s="364"/>
      <c r="G778" s="364"/>
      <c r="H778" s="364"/>
      <c r="I778" s="364"/>
      <c r="J778" s="364"/>
      <c r="K778" s="364"/>
      <c r="L778" s="364"/>
      <c r="M778" s="364"/>
      <c r="N778" s="364"/>
      <c r="O778" s="364"/>
      <c r="P778" s="364"/>
      <c r="Q778" s="364"/>
      <c r="R778" s="364"/>
      <c r="S778" s="364"/>
      <c r="T778" s="364"/>
      <c r="U778" s="364"/>
      <c r="V778" s="364"/>
      <c r="W778" s="364"/>
      <c r="X778" s="364"/>
      <c r="Y778" s="364"/>
      <c r="Z778" s="364"/>
    </row>
    <row r="779">
      <c r="A779" s="367"/>
      <c r="B779" s="367"/>
      <c r="C779" s="364"/>
      <c r="D779" s="364"/>
      <c r="E779" s="364"/>
      <c r="F779" s="364"/>
      <c r="G779" s="364"/>
      <c r="H779" s="364"/>
      <c r="I779" s="364"/>
      <c r="J779" s="364"/>
      <c r="K779" s="364"/>
      <c r="L779" s="364"/>
      <c r="M779" s="364"/>
      <c r="N779" s="364"/>
      <c r="O779" s="364"/>
      <c r="P779" s="364"/>
      <c r="Q779" s="364"/>
      <c r="R779" s="364"/>
      <c r="S779" s="364"/>
      <c r="T779" s="364"/>
      <c r="U779" s="364"/>
      <c r="V779" s="364"/>
      <c r="W779" s="364"/>
      <c r="X779" s="364"/>
      <c r="Y779" s="364"/>
      <c r="Z779" s="364"/>
    </row>
    <row r="780">
      <c r="A780" s="367"/>
      <c r="B780" s="367"/>
      <c r="C780" s="364"/>
      <c r="D780" s="364"/>
      <c r="E780" s="364"/>
      <c r="F780" s="364"/>
      <c r="G780" s="364"/>
      <c r="H780" s="364"/>
      <c r="I780" s="364"/>
      <c r="J780" s="364"/>
      <c r="K780" s="364"/>
      <c r="L780" s="364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4"/>
    </row>
    <row r="781">
      <c r="A781" s="367"/>
      <c r="B781" s="367"/>
      <c r="C781" s="364"/>
      <c r="D781" s="364"/>
      <c r="E781" s="364"/>
      <c r="F781" s="364"/>
      <c r="G781" s="364"/>
      <c r="H781" s="364"/>
      <c r="I781" s="364"/>
      <c r="J781" s="364"/>
      <c r="K781" s="364"/>
      <c r="L781" s="364"/>
      <c r="M781" s="364"/>
      <c r="N781" s="364"/>
      <c r="O781" s="364"/>
      <c r="P781" s="364"/>
      <c r="Q781" s="364"/>
      <c r="R781" s="364"/>
      <c r="S781" s="364"/>
      <c r="T781" s="364"/>
      <c r="U781" s="364"/>
      <c r="V781" s="364"/>
      <c r="W781" s="364"/>
      <c r="X781" s="364"/>
      <c r="Y781" s="364"/>
      <c r="Z781" s="364"/>
    </row>
    <row r="782">
      <c r="A782" s="367"/>
      <c r="B782" s="367"/>
      <c r="C782" s="364"/>
      <c r="D782" s="364"/>
      <c r="E782" s="364"/>
      <c r="F782" s="364"/>
      <c r="G782" s="364"/>
      <c r="H782" s="364"/>
      <c r="I782" s="364"/>
      <c r="J782" s="364"/>
      <c r="K782" s="364"/>
      <c r="L782" s="364"/>
      <c r="M782" s="364"/>
      <c r="N782" s="364"/>
      <c r="O782" s="364"/>
      <c r="P782" s="364"/>
      <c r="Q782" s="364"/>
      <c r="R782" s="364"/>
      <c r="S782" s="364"/>
      <c r="T782" s="364"/>
      <c r="U782" s="364"/>
      <c r="V782" s="364"/>
      <c r="W782" s="364"/>
      <c r="X782" s="364"/>
      <c r="Y782" s="364"/>
      <c r="Z782" s="364"/>
    </row>
    <row r="783">
      <c r="A783" s="367"/>
      <c r="B783" s="367"/>
      <c r="C783" s="364"/>
      <c r="D783" s="364"/>
      <c r="E783" s="364"/>
      <c r="F783" s="364"/>
      <c r="G783" s="364"/>
      <c r="H783" s="364"/>
      <c r="I783" s="364"/>
      <c r="J783" s="364"/>
      <c r="K783" s="364"/>
      <c r="L783" s="364"/>
      <c r="M783" s="364"/>
      <c r="N783" s="364"/>
      <c r="O783" s="364"/>
      <c r="P783" s="364"/>
      <c r="Q783" s="364"/>
      <c r="R783" s="364"/>
      <c r="S783" s="364"/>
      <c r="T783" s="364"/>
      <c r="U783" s="364"/>
      <c r="V783" s="364"/>
      <c r="W783" s="364"/>
      <c r="X783" s="364"/>
      <c r="Y783" s="364"/>
      <c r="Z783" s="364"/>
    </row>
    <row r="784">
      <c r="A784" s="367"/>
      <c r="B784" s="367"/>
      <c r="C784" s="364"/>
      <c r="D784" s="364"/>
      <c r="E784" s="364"/>
      <c r="F784" s="364"/>
      <c r="G784" s="364"/>
      <c r="H784" s="364"/>
      <c r="I784" s="364"/>
      <c r="J784" s="364"/>
      <c r="K784" s="364"/>
      <c r="L784" s="364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4"/>
    </row>
    <row r="785">
      <c r="A785" s="367"/>
      <c r="B785" s="367"/>
      <c r="C785" s="364"/>
      <c r="D785" s="364"/>
      <c r="E785" s="364"/>
      <c r="F785" s="364"/>
      <c r="G785" s="364"/>
      <c r="H785" s="364"/>
      <c r="I785" s="364"/>
      <c r="J785" s="364"/>
      <c r="K785" s="364"/>
      <c r="L785" s="364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4"/>
    </row>
    <row r="786">
      <c r="A786" s="367"/>
      <c r="B786" s="367"/>
      <c r="C786" s="364"/>
      <c r="D786" s="364"/>
      <c r="E786" s="364"/>
      <c r="F786" s="364"/>
      <c r="G786" s="364"/>
      <c r="H786" s="364"/>
      <c r="I786" s="364"/>
      <c r="J786" s="364"/>
      <c r="K786" s="364"/>
      <c r="L786" s="364"/>
      <c r="M786" s="364"/>
      <c r="N786" s="364"/>
      <c r="O786" s="364"/>
      <c r="P786" s="364"/>
      <c r="Q786" s="364"/>
      <c r="R786" s="364"/>
      <c r="S786" s="364"/>
      <c r="T786" s="364"/>
      <c r="U786" s="364"/>
      <c r="V786" s="364"/>
      <c r="W786" s="364"/>
      <c r="X786" s="364"/>
      <c r="Y786" s="364"/>
      <c r="Z786" s="364"/>
    </row>
    <row r="787">
      <c r="A787" s="367"/>
      <c r="B787" s="367"/>
      <c r="C787" s="364"/>
      <c r="D787" s="364"/>
      <c r="E787" s="364"/>
      <c r="F787" s="364"/>
      <c r="G787" s="364"/>
      <c r="H787" s="364"/>
      <c r="I787" s="364"/>
      <c r="J787" s="364"/>
      <c r="K787" s="364"/>
      <c r="L787" s="364"/>
      <c r="M787" s="364"/>
      <c r="N787" s="364"/>
      <c r="O787" s="364"/>
      <c r="P787" s="364"/>
      <c r="Q787" s="364"/>
      <c r="R787" s="364"/>
      <c r="S787" s="364"/>
      <c r="T787" s="364"/>
      <c r="U787" s="364"/>
      <c r="V787" s="364"/>
      <c r="W787" s="364"/>
      <c r="X787" s="364"/>
      <c r="Y787" s="364"/>
      <c r="Z787" s="364"/>
    </row>
    <row r="788">
      <c r="A788" s="367"/>
      <c r="B788" s="367"/>
      <c r="C788" s="364"/>
      <c r="D788" s="364"/>
      <c r="E788" s="364"/>
      <c r="F788" s="364"/>
      <c r="G788" s="364"/>
      <c r="H788" s="364"/>
      <c r="I788" s="364"/>
      <c r="J788" s="364"/>
      <c r="K788" s="364"/>
      <c r="L788" s="364"/>
      <c r="M788" s="364"/>
      <c r="N788" s="364"/>
      <c r="O788" s="364"/>
      <c r="P788" s="364"/>
      <c r="Q788" s="364"/>
      <c r="R788" s="364"/>
      <c r="S788" s="364"/>
      <c r="T788" s="364"/>
      <c r="U788" s="364"/>
      <c r="V788" s="364"/>
      <c r="W788" s="364"/>
      <c r="X788" s="364"/>
      <c r="Y788" s="364"/>
      <c r="Z788" s="364"/>
    </row>
    <row r="789">
      <c r="A789" s="367"/>
      <c r="B789" s="367"/>
      <c r="C789" s="364"/>
      <c r="D789" s="364"/>
      <c r="E789" s="364"/>
      <c r="F789" s="364"/>
      <c r="G789" s="364"/>
      <c r="H789" s="364"/>
      <c r="I789" s="364"/>
      <c r="J789" s="364"/>
      <c r="K789" s="364"/>
      <c r="L789" s="364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4"/>
    </row>
    <row r="790">
      <c r="A790" s="367"/>
      <c r="B790" s="367"/>
      <c r="C790" s="364"/>
      <c r="D790" s="364"/>
      <c r="E790" s="364"/>
      <c r="F790" s="364"/>
      <c r="G790" s="364"/>
      <c r="H790" s="364"/>
      <c r="I790" s="364"/>
      <c r="J790" s="364"/>
      <c r="K790" s="364"/>
      <c r="L790" s="364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4"/>
    </row>
    <row r="791">
      <c r="A791" s="367"/>
      <c r="B791" s="367"/>
      <c r="C791" s="364"/>
      <c r="D791" s="364"/>
      <c r="E791" s="364"/>
      <c r="F791" s="364"/>
      <c r="G791" s="364"/>
      <c r="H791" s="364"/>
      <c r="I791" s="364"/>
      <c r="J791" s="364"/>
      <c r="K791" s="364"/>
      <c r="L791" s="364"/>
      <c r="M791" s="364"/>
      <c r="N791" s="364"/>
      <c r="O791" s="364"/>
      <c r="P791" s="364"/>
      <c r="Q791" s="364"/>
      <c r="R791" s="364"/>
      <c r="S791" s="364"/>
      <c r="T791" s="364"/>
      <c r="U791" s="364"/>
      <c r="V791" s="364"/>
      <c r="W791" s="364"/>
      <c r="X791" s="364"/>
      <c r="Y791" s="364"/>
      <c r="Z791" s="364"/>
    </row>
    <row r="792">
      <c r="A792" s="367"/>
      <c r="B792" s="367"/>
      <c r="C792" s="364"/>
      <c r="D792" s="364"/>
      <c r="E792" s="364"/>
      <c r="F792" s="364"/>
      <c r="G792" s="364"/>
      <c r="H792" s="364"/>
      <c r="I792" s="364"/>
      <c r="J792" s="364"/>
      <c r="K792" s="364"/>
      <c r="L792" s="364"/>
      <c r="M792" s="364"/>
      <c r="N792" s="364"/>
      <c r="O792" s="364"/>
      <c r="P792" s="364"/>
      <c r="Q792" s="364"/>
      <c r="R792" s="364"/>
      <c r="S792" s="364"/>
      <c r="T792" s="364"/>
      <c r="U792" s="364"/>
      <c r="V792" s="364"/>
      <c r="W792" s="364"/>
      <c r="X792" s="364"/>
      <c r="Y792" s="364"/>
      <c r="Z792" s="364"/>
    </row>
    <row r="793">
      <c r="A793" s="367"/>
      <c r="B793" s="367"/>
      <c r="C793" s="364"/>
      <c r="D793" s="364"/>
      <c r="E793" s="364"/>
      <c r="F793" s="364"/>
      <c r="G793" s="364"/>
      <c r="H793" s="364"/>
      <c r="I793" s="364"/>
      <c r="J793" s="364"/>
      <c r="K793" s="364"/>
      <c r="L793" s="364"/>
      <c r="M793" s="364"/>
      <c r="N793" s="364"/>
      <c r="O793" s="364"/>
      <c r="P793" s="364"/>
      <c r="Q793" s="364"/>
      <c r="R793" s="364"/>
      <c r="S793" s="364"/>
      <c r="T793" s="364"/>
      <c r="U793" s="364"/>
      <c r="V793" s="364"/>
      <c r="W793" s="364"/>
      <c r="X793" s="364"/>
      <c r="Y793" s="364"/>
      <c r="Z793" s="364"/>
    </row>
    <row r="794">
      <c r="A794" s="367"/>
      <c r="B794" s="367"/>
      <c r="C794" s="364"/>
      <c r="D794" s="364"/>
      <c r="E794" s="364"/>
      <c r="F794" s="364"/>
      <c r="G794" s="364"/>
      <c r="H794" s="364"/>
      <c r="I794" s="364"/>
      <c r="J794" s="364"/>
      <c r="K794" s="364"/>
      <c r="L794" s="364"/>
      <c r="M794" s="364"/>
      <c r="N794" s="364"/>
      <c r="O794" s="364"/>
      <c r="P794" s="364"/>
      <c r="Q794" s="364"/>
      <c r="R794" s="364"/>
      <c r="S794" s="364"/>
      <c r="T794" s="364"/>
      <c r="U794" s="364"/>
      <c r="V794" s="364"/>
      <c r="W794" s="364"/>
      <c r="X794" s="364"/>
      <c r="Y794" s="364"/>
      <c r="Z794" s="364"/>
    </row>
    <row r="795">
      <c r="A795" s="367"/>
      <c r="B795" s="367"/>
      <c r="C795" s="364"/>
      <c r="D795" s="364"/>
      <c r="E795" s="364"/>
      <c r="F795" s="364"/>
      <c r="G795" s="364"/>
      <c r="H795" s="364"/>
      <c r="I795" s="364"/>
      <c r="J795" s="364"/>
      <c r="K795" s="364"/>
      <c r="L795" s="364"/>
      <c r="M795" s="364"/>
      <c r="N795" s="364"/>
      <c r="O795" s="364"/>
      <c r="P795" s="364"/>
      <c r="Q795" s="364"/>
      <c r="R795" s="364"/>
      <c r="S795" s="364"/>
      <c r="T795" s="364"/>
      <c r="U795" s="364"/>
      <c r="V795" s="364"/>
      <c r="W795" s="364"/>
      <c r="X795" s="364"/>
      <c r="Y795" s="364"/>
      <c r="Z795" s="364"/>
    </row>
    <row r="796">
      <c r="A796" s="367"/>
      <c r="B796" s="367"/>
      <c r="C796" s="364"/>
      <c r="D796" s="364"/>
      <c r="E796" s="364"/>
      <c r="F796" s="364"/>
      <c r="G796" s="364"/>
      <c r="H796" s="364"/>
      <c r="I796" s="364"/>
      <c r="J796" s="364"/>
      <c r="K796" s="364"/>
      <c r="L796" s="364"/>
      <c r="M796" s="364"/>
      <c r="N796" s="364"/>
      <c r="O796" s="364"/>
      <c r="P796" s="364"/>
      <c r="Q796" s="364"/>
      <c r="R796" s="364"/>
      <c r="S796" s="364"/>
      <c r="T796" s="364"/>
      <c r="U796" s="364"/>
      <c r="V796" s="364"/>
      <c r="W796" s="364"/>
      <c r="X796" s="364"/>
      <c r="Y796" s="364"/>
      <c r="Z796" s="364"/>
    </row>
    <row r="797">
      <c r="A797" s="367"/>
      <c r="B797" s="367"/>
      <c r="C797" s="364"/>
      <c r="D797" s="364"/>
      <c r="E797" s="364"/>
      <c r="F797" s="364"/>
      <c r="G797" s="364"/>
      <c r="H797" s="364"/>
      <c r="I797" s="364"/>
      <c r="J797" s="364"/>
      <c r="K797" s="364"/>
      <c r="L797" s="364"/>
      <c r="M797" s="364"/>
      <c r="N797" s="364"/>
      <c r="O797" s="364"/>
      <c r="P797" s="364"/>
      <c r="Q797" s="364"/>
      <c r="R797" s="364"/>
      <c r="S797" s="364"/>
      <c r="T797" s="364"/>
      <c r="U797" s="364"/>
      <c r="V797" s="364"/>
      <c r="W797" s="364"/>
      <c r="X797" s="364"/>
      <c r="Y797" s="364"/>
      <c r="Z797" s="364"/>
    </row>
    <row r="798">
      <c r="A798" s="367"/>
      <c r="B798" s="367"/>
      <c r="C798" s="364"/>
      <c r="D798" s="364"/>
      <c r="E798" s="364"/>
      <c r="F798" s="364"/>
      <c r="G798" s="364"/>
      <c r="H798" s="364"/>
      <c r="I798" s="364"/>
      <c r="J798" s="364"/>
      <c r="K798" s="364"/>
      <c r="L798" s="364"/>
      <c r="M798" s="364"/>
      <c r="N798" s="364"/>
      <c r="O798" s="364"/>
      <c r="P798" s="364"/>
      <c r="Q798" s="364"/>
      <c r="R798" s="364"/>
      <c r="S798" s="364"/>
      <c r="T798" s="364"/>
      <c r="U798" s="364"/>
      <c r="V798" s="364"/>
      <c r="W798" s="364"/>
      <c r="X798" s="364"/>
      <c r="Y798" s="364"/>
      <c r="Z798" s="364"/>
    </row>
    <row r="799">
      <c r="A799" s="367"/>
      <c r="B799" s="367"/>
      <c r="C799" s="364"/>
      <c r="D799" s="364"/>
      <c r="E799" s="364"/>
      <c r="F799" s="364"/>
      <c r="G799" s="364"/>
      <c r="H799" s="364"/>
      <c r="I799" s="364"/>
      <c r="J799" s="364"/>
      <c r="K799" s="364"/>
      <c r="L799" s="364"/>
      <c r="M799" s="364"/>
      <c r="N799" s="364"/>
      <c r="O799" s="364"/>
      <c r="P799" s="364"/>
      <c r="Q799" s="364"/>
      <c r="R799" s="364"/>
      <c r="S799" s="364"/>
      <c r="T799" s="364"/>
      <c r="U799" s="364"/>
      <c r="V799" s="364"/>
      <c r="W799" s="364"/>
      <c r="X799" s="364"/>
      <c r="Y799" s="364"/>
      <c r="Z799" s="364"/>
    </row>
    <row r="800">
      <c r="A800" s="367"/>
      <c r="B800" s="367"/>
      <c r="C800" s="364"/>
      <c r="D800" s="364"/>
      <c r="E800" s="364"/>
      <c r="F800" s="364"/>
      <c r="G800" s="364"/>
      <c r="H800" s="364"/>
      <c r="I800" s="364"/>
      <c r="J800" s="364"/>
      <c r="K800" s="364"/>
      <c r="L800" s="364"/>
      <c r="M800" s="364"/>
      <c r="N800" s="364"/>
      <c r="O800" s="364"/>
      <c r="P800" s="364"/>
      <c r="Q800" s="364"/>
      <c r="R800" s="364"/>
      <c r="S800" s="364"/>
      <c r="T800" s="364"/>
      <c r="U800" s="364"/>
      <c r="V800" s="364"/>
      <c r="W800" s="364"/>
      <c r="X800" s="364"/>
      <c r="Y800" s="364"/>
      <c r="Z800" s="364"/>
    </row>
    <row r="801">
      <c r="A801" s="367"/>
      <c r="B801" s="367"/>
      <c r="C801" s="364"/>
      <c r="D801" s="364"/>
      <c r="E801" s="364"/>
      <c r="F801" s="364"/>
      <c r="G801" s="364"/>
      <c r="H801" s="364"/>
      <c r="I801" s="364"/>
      <c r="J801" s="364"/>
      <c r="K801" s="364"/>
      <c r="L801" s="364"/>
      <c r="M801" s="364"/>
      <c r="N801" s="364"/>
      <c r="O801" s="364"/>
      <c r="P801" s="364"/>
      <c r="Q801" s="364"/>
      <c r="R801" s="364"/>
      <c r="S801" s="364"/>
      <c r="T801" s="364"/>
      <c r="U801" s="364"/>
      <c r="V801" s="364"/>
      <c r="W801" s="364"/>
      <c r="X801" s="364"/>
      <c r="Y801" s="364"/>
      <c r="Z801" s="364"/>
    </row>
    <row r="802">
      <c r="A802" s="367"/>
      <c r="B802" s="367"/>
      <c r="C802" s="364"/>
      <c r="D802" s="364"/>
      <c r="E802" s="364"/>
      <c r="F802" s="364"/>
      <c r="G802" s="364"/>
      <c r="H802" s="364"/>
      <c r="I802" s="364"/>
      <c r="J802" s="364"/>
      <c r="K802" s="364"/>
      <c r="L802" s="364"/>
      <c r="M802" s="364"/>
      <c r="N802" s="364"/>
      <c r="O802" s="364"/>
      <c r="P802" s="364"/>
      <c r="Q802" s="364"/>
      <c r="R802" s="364"/>
      <c r="S802" s="364"/>
      <c r="T802" s="364"/>
      <c r="U802" s="364"/>
      <c r="V802" s="364"/>
      <c r="W802" s="364"/>
      <c r="X802" s="364"/>
      <c r="Y802" s="364"/>
      <c r="Z802" s="364"/>
    </row>
    <row r="803">
      <c r="A803" s="367"/>
      <c r="B803" s="367"/>
      <c r="C803" s="364"/>
      <c r="D803" s="364"/>
      <c r="E803" s="364"/>
      <c r="F803" s="364"/>
      <c r="G803" s="364"/>
      <c r="H803" s="364"/>
      <c r="I803" s="364"/>
      <c r="J803" s="364"/>
      <c r="K803" s="364"/>
      <c r="L803" s="364"/>
      <c r="M803" s="364"/>
      <c r="N803" s="364"/>
      <c r="O803" s="364"/>
      <c r="P803" s="364"/>
      <c r="Q803" s="364"/>
      <c r="R803" s="364"/>
      <c r="S803" s="364"/>
      <c r="T803" s="364"/>
      <c r="U803" s="364"/>
      <c r="V803" s="364"/>
      <c r="W803" s="364"/>
      <c r="X803" s="364"/>
      <c r="Y803" s="364"/>
      <c r="Z803" s="364"/>
    </row>
    <row r="804">
      <c r="A804" s="367"/>
      <c r="B804" s="367"/>
      <c r="C804" s="364"/>
      <c r="D804" s="364"/>
      <c r="E804" s="364"/>
      <c r="F804" s="364"/>
      <c r="G804" s="364"/>
      <c r="H804" s="364"/>
      <c r="I804" s="364"/>
      <c r="J804" s="364"/>
      <c r="K804" s="364"/>
      <c r="L804" s="364"/>
      <c r="M804" s="364"/>
      <c r="N804" s="364"/>
      <c r="O804" s="364"/>
      <c r="P804" s="364"/>
      <c r="Q804" s="364"/>
      <c r="R804" s="364"/>
      <c r="S804" s="364"/>
      <c r="T804" s="364"/>
      <c r="U804" s="364"/>
      <c r="V804" s="364"/>
      <c r="W804" s="364"/>
      <c r="X804" s="364"/>
      <c r="Y804" s="364"/>
      <c r="Z804" s="364"/>
    </row>
    <row r="805">
      <c r="A805" s="367"/>
      <c r="B805" s="367"/>
      <c r="C805" s="364"/>
      <c r="D805" s="364"/>
      <c r="E805" s="364"/>
      <c r="F805" s="364"/>
      <c r="G805" s="364"/>
      <c r="H805" s="364"/>
      <c r="I805" s="364"/>
      <c r="J805" s="364"/>
      <c r="K805" s="364"/>
      <c r="L805" s="364"/>
      <c r="M805" s="364"/>
      <c r="N805" s="364"/>
      <c r="O805" s="364"/>
      <c r="P805" s="364"/>
      <c r="Q805" s="364"/>
      <c r="R805" s="364"/>
      <c r="S805" s="364"/>
      <c r="T805" s="364"/>
      <c r="U805" s="364"/>
      <c r="V805" s="364"/>
      <c r="W805" s="364"/>
      <c r="X805" s="364"/>
      <c r="Y805" s="364"/>
      <c r="Z805" s="364"/>
    </row>
    <row r="806">
      <c r="A806" s="367"/>
      <c r="B806" s="367"/>
      <c r="C806" s="364"/>
      <c r="D806" s="364"/>
      <c r="E806" s="364"/>
      <c r="F806" s="364"/>
      <c r="G806" s="364"/>
      <c r="H806" s="364"/>
      <c r="I806" s="364"/>
      <c r="J806" s="364"/>
      <c r="K806" s="364"/>
      <c r="L806" s="364"/>
      <c r="M806" s="364"/>
      <c r="N806" s="364"/>
      <c r="O806" s="364"/>
      <c r="P806" s="364"/>
      <c r="Q806" s="364"/>
      <c r="R806" s="364"/>
      <c r="S806" s="364"/>
      <c r="T806" s="364"/>
      <c r="U806" s="364"/>
      <c r="V806" s="364"/>
      <c r="W806" s="364"/>
      <c r="X806" s="364"/>
      <c r="Y806" s="364"/>
      <c r="Z806" s="364"/>
    </row>
    <row r="807">
      <c r="A807" s="367"/>
      <c r="B807" s="367"/>
      <c r="C807" s="364"/>
      <c r="D807" s="364"/>
      <c r="E807" s="364"/>
      <c r="F807" s="364"/>
      <c r="G807" s="364"/>
      <c r="H807" s="364"/>
      <c r="I807" s="364"/>
      <c r="J807" s="364"/>
      <c r="K807" s="364"/>
      <c r="L807" s="364"/>
      <c r="M807" s="364"/>
      <c r="N807" s="364"/>
      <c r="O807" s="364"/>
      <c r="P807" s="364"/>
      <c r="Q807" s="364"/>
      <c r="R807" s="364"/>
      <c r="S807" s="364"/>
      <c r="T807" s="364"/>
      <c r="U807" s="364"/>
      <c r="V807" s="364"/>
      <c r="W807" s="364"/>
      <c r="X807" s="364"/>
      <c r="Y807" s="364"/>
      <c r="Z807" s="364"/>
    </row>
    <row r="808">
      <c r="A808" s="367"/>
      <c r="B808" s="367"/>
      <c r="C808" s="364"/>
      <c r="D808" s="364"/>
      <c r="E808" s="364"/>
      <c r="F808" s="364"/>
      <c r="G808" s="364"/>
      <c r="H808" s="364"/>
      <c r="I808" s="364"/>
      <c r="J808" s="364"/>
      <c r="K808" s="364"/>
      <c r="L808" s="364"/>
      <c r="M808" s="364"/>
      <c r="N808" s="364"/>
      <c r="O808" s="364"/>
      <c r="P808" s="364"/>
      <c r="Q808" s="364"/>
      <c r="R808" s="364"/>
      <c r="S808" s="364"/>
      <c r="T808" s="364"/>
      <c r="U808" s="364"/>
      <c r="V808" s="364"/>
      <c r="W808" s="364"/>
      <c r="X808" s="364"/>
      <c r="Y808" s="364"/>
      <c r="Z808" s="364"/>
    </row>
    <row r="809">
      <c r="A809" s="367"/>
      <c r="B809" s="367"/>
      <c r="C809" s="364"/>
      <c r="D809" s="364"/>
      <c r="E809" s="364"/>
      <c r="F809" s="364"/>
      <c r="G809" s="364"/>
      <c r="H809" s="364"/>
      <c r="I809" s="364"/>
      <c r="J809" s="364"/>
      <c r="K809" s="364"/>
      <c r="L809" s="364"/>
      <c r="M809" s="364"/>
      <c r="N809" s="364"/>
      <c r="O809" s="364"/>
      <c r="P809" s="364"/>
      <c r="Q809" s="364"/>
      <c r="R809" s="364"/>
      <c r="S809" s="364"/>
      <c r="T809" s="364"/>
      <c r="U809" s="364"/>
      <c r="V809" s="364"/>
      <c r="W809" s="364"/>
      <c r="X809" s="364"/>
      <c r="Y809" s="364"/>
      <c r="Z809" s="364"/>
    </row>
    <row r="810">
      <c r="A810" s="367"/>
      <c r="B810" s="367"/>
      <c r="C810" s="364"/>
      <c r="D810" s="364"/>
      <c r="E810" s="364"/>
      <c r="F810" s="364"/>
      <c r="G810" s="364"/>
      <c r="H810" s="364"/>
      <c r="I810" s="364"/>
      <c r="J810" s="364"/>
      <c r="K810" s="364"/>
      <c r="L810" s="364"/>
      <c r="M810" s="364"/>
      <c r="N810" s="364"/>
      <c r="O810" s="364"/>
      <c r="P810" s="364"/>
      <c r="Q810" s="364"/>
      <c r="R810" s="364"/>
      <c r="S810" s="364"/>
      <c r="T810" s="364"/>
      <c r="U810" s="364"/>
      <c r="V810" s="364"/>
      <c r="W810" s="364"/>
      <c r="X810" s="364"/>
      <c r="Y810" s="364"/>
      <c r="Z810" s="364"/>
    </row>
    <row r="811">
      <c r="A811" s="367"/>
      <c r="B811" s="367"/>
      <c r="C811" s="364"/>
      <c r="D811" s="364"/>
      <c r="E811" s="364"/>
      <c r="F811" s="364"/>
      <c r="G811" s="364"/>
      <c r="H811" s="364"/>
      <c r="I811" s="364"/>
      <c r="J811" s="364"/>
      <c r="K811" s="364"/>
      <c r="L811" s="364"/>
      <c r="M811" s="364"/>
      <c r="N811" s="364"/>
      <c r="O811" s="364"/>
      <c r="P811" s="364"/>
      <c r="Q811" s="364"/>
      <c r="R811" s="364"/>
      <c r="S811" s="364"/>
      <c r="T811" s="364"/>
      <c r="U811" s="364"/>
      <c r="V811" s="364"/>
      <c r="W811" s="364"/>
      <c r="X811" s="364"/>
      <c r="Y811" s="364"/>
      <c r="Z811" s="364"/>
    </row>
    <row r="812">
      <c r="A812" s="367"/>
      <c r="B812" s="367"/>
      <c r="C812" s="364"/>
      <c r="D812" s="364"/>
      <c r="E812" s="364"/>
      <c r="F812" s="364"/>
      <c r="G812" s="364"/>
      <c r="H812" s="364"/>
      <c r="I812" s="364"/>
      <c r="J812" s="364"/>
      <c r="K812" s="364"/>
      <c r="L812" s="364"/>
      <c r="M812" s="364"/>
      <c r="N812" s="364"/>
      <c r="O812" s="364"/>
      <c r="P812" s="364"/>
      <c r="Q812" s="364"/>
      <c r="R812" s="364"/>
      <c r="S812" s="364"/>
      <c r="T812" s="364"/>
      <c r="U812" s="364"/>
      <c r="V812" s="364"/>
      <c r="W812" s="364"/>
      <c r="X812" s="364"/>
      <c r="Y812" s="364"/>
      <c r="Z812" s="364"/>
    </row>
    <row r="813">
      <c r="A813" s="367"/>
      <c r="B813" s="367"/>
      <c r="C813" s="364"/>
      <c r="D813" s="364"/>
      <c r="E813" s="364"/>
      <c r="F813" s="364"/>
      <c r="G813" s="364"/>
      <c r="H813" s="364"/>
      <c r="I813" s="364"/>
      <c r="J813" s="364"/>
      <c r="K813" s="364"/>
      <c r="L813" s="364"/>
      <c r="M813" s="364"/>
      <c r="N813" s="364"/>
      <c r="O813" s="364"/>
      <c r="P813" s="364"/>
      <c r="Q813" s="364"/>
      <c r="R813" s="364"/>
      <c r="S813" s="364"/>
      <c r="T813" s="364"/>
      <c r="U813" s="364"/>
      <c r="V813" s="364"/>
      <c r="W813" s="364"/>
      <c r="X813" s="364"/>
      <c r="Y813" s="364"/>
      <c r="Z813" s="364"/>
    </row>
    <row r="814">
      <c r="A814" s="367"/>
      <c r="B814" s="367"/>
      <c r="C814" s="364"/>
      <c r="D814" s="364"/>
      <c r="E814" s="364"/>
      <c r="F814" s="364"/>
      <c r="G814" s="364"/>
      <c r="H814" s="364"/>
      <c r="I814" s="364"/>
      <c r="J814" s="364"/>
      <c r="K814" s="364"/>
      <c r="L814" s="364"/>
      <c r="M814" s="364"/>
      <c r="N814" s="364"/>
      <c r="O814" s="364"/>
      <c r="P814" s="364"/>
      <c r="Q814" s="364"/>
      <c r="R814" s="364"/>
      <c r="S814" s="364"/>
      <c r="T814" s="364"/>
      <c r="U814" s="364"/>
      <c r="V814" s="364"/>
      <c r="W814" s="364"/>
      <c r="X814" s="364"/>
      <c r="Y814" s="364"/>
      <c r="Z814" s="364"/>
    </row>
    <row r="815">
      <c r="A815" s="367"/>
      <c r="B815" s="367"/>
      <c r="C815" s="364"/>
      <c r="D815" s="364"/>
      <c r="E815" s="364"/>
      <c r="F815" s="364"/>
      <c r="G815" s="364"/>
      <c r="H815" s="364"/>
      <c r="I815" s="364"/>
      <c r="J815" s="364"/>
      <c r="K815" s="364"/>
      <c r="L815" s="364"/>
      <c r="M815" s="364"/>
      <c r="N815" s="364"/>
      <c r="O815" s="364"/>
      <c r="P815" s="364"/>
      <c r="Q815" s="364"/>
      <c r="R815" s="364"/>
      <c r="S815" s="364"/>
      <c r="T815" s="364"/>
      <c r="U815" s="364"/>
      <c r="V815" s="364"/>
      <c r="W815" s="364"/>
      <c r="X815" s="364"/>
      <c r="Y815" s="364"/>
      <c r="Z815" s="364"/>
    </row>
    <row r="816">
      <c r="A816" s="367"/>
      <c r="B816" s="367"/>
      <c r="C816" s="364"/>
      <c r="D816" s="364"/>
      <c r="E816" s="364"/>
      <c r="F816" s="364"/>
      <c r="G816" s="364"/>
      <c r="H816" s="364"/>
      <c r="I816" s="364"/>
      <c r="J816" s="364"/>
      <c r="K816" s="364"/>
      <c r="L816" s="364"/>
      <c r="M816" s="364"/>
      <c r="N816" s="364"/>
      <c r="O816" s="364"/>
      <c r="P816" s="364"/>
      <c r="Q816" s="364"/>
      <c r="R816" s="364"/>
      <c r="S816" s="364"/>
      <c r="T816" s="364"/>
      <c r="U816" s="364"/>
      <c r="V816" s="364"/>
      <c r="W816" s="364"/>
      <c r="X816" s="364"/>
      <c r="Y816" s="364"/>
      <c r="Z816" s="364"/>
    </row>
    <row r="817">
      <c r="A817" s="367"/>
      <c r="B817" s="367"/>
      <c r="C817" s="364"/>
      <c r="D817" s="364"/>
      <c r="E817" s="364"/>
      <c r="F817" s="364"/>
      <c r="G817" s="364"/>
      <c r="H817" s="364"/>
      <c r="I817" s="364"/>
      <c r="J817" s="364"/>
      <c r="K817" s="364"/>
      <c r="L817" s="364"/>
      <c r="M817" s="364"/>
      <c r="N817" s="364"/>
      <c r="O817" s="364"/>
      <c r="P817" s="364"/>
      <c r="Q817" s="364"/>
      <c r="R817" s="364"/>
      <c r="S817" s="364"/>
      <c r="T817" s="364"/>
      <c r="U817" s="364"/>
      <c r="V817" s="364"/>
      <c r="W817" s="364"/>
      <c r="X817" s="364"/>
      <c r="Y817" s="364"/>
      <c r="Z817" s="364"/>
    </row>
    <row r="818">
      <c r="A818" s="367"/>
      <c r="B818" s="367"/>
      <c r="C818" s="364"/>
      <c r="D818" s="364"/>
      <c r="E818" s="364"/>
      <c r="F818" s="364"/>
      <c r="G818" s="364"/>
      <c r="H818" s="364"/>
      <c r="I818" s="364"/>
      <c r="J818" s="364"/>
      <c r="K818" s="364"/>
      <c r="L818" s="364"/>
      <c r="M818" s="364"/>
      <c r="N818" s="364"/>
      <c r="O818" s="364"/>
      <c r="P818" s="364"/>
      <c r="Q818" s="364"/>
      <c r="R818" s="364"/>
      <c r="S818" s="364"/>
      <c r="T818" s="364"/>
      <c r="U818" s="364"/>
      <c r="V818" s="364"/>
      <c r="W818" s="364"/>
      <c r="X818" s="364"/>
      <c r="Y818" s="364"/>
      <c r="Z818" s="364"/>
    </row>
    <row r="819">
      <c r="A819" s="367"/>
      <c r="B819" s="367"/>
      <c r="C819" s="364"/>
      <c r="D819" s="364"/>
      <c r="E819" s="364"/>
      <c r="F819" s="364"/>
      <c r="G819" s="364"/>
      <c r="H819" s="364"/>
      <c r="I819" s="364"/>
      <c r="J819" s="364"/>
      <c r="K819" s="364"/>
      <c r="L819" s="364"/>
      <c r="M819" s="364"/>
      <c r="N819" s="364"/>
      <c r="O819" s="364"/>
      <c r="P819" s="364"/>
      <c r="Q819" s="364"/>
      <c r="R819" s="364"/>
      <c r="S819" s="364"/>
      <c r="T819" s="364"/>
      <c r="U819" s="364"/>
      <c r="V819" s="364"/>
      <c r="W819" s="364"/>
      <c r="X819" s="364"/>
      <c r="Y819" s="364"/>
      <c r="Z819" s="364"/>
    </row>
    <row r="820">
      <c r="A820" s="367"/>
      <c r="B820" s="367"/>
      <c r="C820" s="364"/>
      <c r="D820" s="364"/>
      <c r="E820" s="364"/>
      <c r="F820" s="364"/>
      <c r="G820" s="364"/>
      <c r="H820" s="364"/>
      <c r="I820" s="364"/>
      <c r="J820" s="364"/>
      <c r="K820" s="364"/>
      <c r="L820" s="364"/>
      <c r="M820" s="364"/>
      <c r="N820" s="364"/>
      <c r="O820" s="364"/>
      <c r="P820" s="364"/>
      <c r="Q820" s="364"/>
      <c r="R820" s="364"/>
      <c r="S820" s="364"/>
      <c r="T820" s="364"/>
      <c r="U820" s="364"/>
      <c r="V820" s="364"/>
      <c r="W820" s="364"/>
      <c r="X820" s="364"/>
      <c r="Y820" s="364"/>
      <c r="Z820" s="364"/>
    </row>
    <row r="821">
      <c r="A821" s="367"/>
      <c r="B821" s="367"/>
      <c r="C821" s="364"/>
      <c r="D821" s="364"/>
      <c r="E821" s="364"/>
      <c r="F821" s="364"/>
      <c r="G821" s="364"/>
      <c r="H821" s="364"/>
      <c r="I821" s="364"/>
      <c r="J821" s="364"/>
      <c r="K821" s="364"/>
      <c r="L821" s="364"/>
      <c r="M821" s="364"/>
      <c r="N821" s="364"/>
      <c r="O821" s="364"/>
      <c r="P821" s="364"/>
      <c r="Q821" s="364"/>
      <c r="R821" s="364"/>
      <c r="S821" s="364"/>
      <c r="T821" s="364"/>
      <c r="U821" s="364"/>
      <c r="V821" s="364"/>
      <c r="W821" s="364"/>
      <c r="X821" s="364"/>
      <c r="Y821" s="364"/>
      <c r="Z821" s="364"/>
    </row>
    <row r="822">
      <c r="A822" s="367"/>
      <c r="B822" s="367"/>
      <c r="C822" s="364"/>
      <c r="D822" s="364"/>
      <c r="E822" s="364"/>
      <c r="F822" s="364"/>
      <c r="G822" s="364"/>
      <c r="H822" s="364"/>
      <c r="I822" s="364"/>
      <c r="J822" s="364"/>
      <c r="K822" s="364"/>
      <c r="L822" s="364"/>
      <c r="M822" s="364"/>
      <c r="N822" s="364"/>
      <c r="O822" s="364"/>
      <c r="P822" s="364"/>
      <c r="Q822" s="364"/>
      <c r="R822" s="364"/>
      <c r="S822" s="364"/>
      <c r="T822" s="364"/>
      <c r="U822" s="364"/>
      <c r="V822" s="364"/>
      <c r="W822" s="364"/>
      <c r="X822" s="364"/>
      <c r="Y822" s="364"/>
      <c r="Z822" s="364"/>
    </row>
    <row r="823">
      <c r="A823" s="367"/>
      <c r="B823" s="367"/>
      <c r="C823" s="364"/>
      <c r="D823" s="364"/>
      <c r="E823" s="364"/>
      <c r="F823" s="364"/>
      <c r="G823" s="364"/>
      <c r="H823" s="364"/>
      <c r="I823" s="364"/>
      <c r="J823" s="364"/>
      <c r="K823" s="364"/>
      <c r="L823" s="364"/>
      <c r="M823" s="364"/>
      <c r="N823" s="364"/>
      <c r="O823" s="364"/>
      <c r="P823" s="364"/>
      <c r="Q823" s="364"/>
      <c r="R823" s="364"/>
      <c r="S823" s="364"/>
      <c r="T823" s="364"/>
      <c r="U823" s="364"/>
      <c r="V823" s="364"/>
      <c r="W823" s="364"/>
      <c r="X823" s="364"/>
      <c r="Y823" s="364"/>
      <c r="Z823" s="364"/>
    </row>
    <row r="824">
      <c r="A824" s="367"/>
      <c r="B824" s="367"/>
      <c r="C824" s="364"/>
      <c r="D824" s="364"/>
      <c r="E824" s="364"/>
      <c r="F824" s="364"/>
      <c r="G824" s="364"/>
      <c r="H824" s="364"/>
      <c r="I824" s="364"/>
      <c r="J824" s="364"/>
      <c r="K824" s="364"/>
      <c r="L824" s="364"/>
      <c r="M824" s="364"/>
      <c r="N824" s="364"/>
      <c r="O824" s="364"/>
      <c r="P824" s="364"/>
      <c r="Q824" s="364"/>
      <c r="R824" s="364"/>
      <c r="S824" s="364"/>
      <c r="T824" s="364"/>
      <c r="U824" s="364"/>
      <c r="V824" s="364"/>
      <c r="W824" s="364"/>
      <c r="X824" s="364"/>
      <c r="Y824" s="364"/>
      <c r="Z824" s="364"/>
    </row>
    <row r="825">
      <c r="A825" s="367"/>
      <c r="B825" s="367"/>
      <c r="C825" s="364"/>
      <c r="D825" s="364"/>
      <c r="E825" s="364"/>
      <c r="F825" s="364"/>
      <c r="G825" s="364"/>
      <c r="H825" s="364"/>
      <c r="I825" s="364"/>
      <c r="J825" s="364"/>
      <c r="K825" s="364"/>
      <c r="L825" s="364"/>
      <c r="M825" s="364"/>
      <c r="N825" s="364"/>
      <c r="O825" s="364"/>
      <c r="P825" s="364"/>
      <c r="Q825" s="364"/>
      <c r="R825" s="364"/>
      <c r="S825" s="364"/>
      <c r="T825" s="364"/>
      <c r="U825" s="364"/>
      <c r="V825" s="364"/>
      <c r="W825" s="364"/>
      <c r="X825" s="364"/>
      <c r="Y825" s="364"/>
      <c r="Z825" s="364"/>
    </row>
    <row r="826">
      <c r="A826" s="367"/>
      <c r="B826" s="367"/>
      <c r="C826" s="364"/>
      <c r="D826" s="364"/>
      <c r="E826" s="364"/>
      <c r="F826" s="364"/>
      <c r="G826" s="364"/>
      <c r="H826" s="364"/>
      <c r="I826" s="364"/>
      <c r="J826" s="364"/>
      <c r="K826" s="364"/>
      <c r="L826" s="364"/>
      <c r="M826" s="364"/>
      <c r="N826" s="364"/>
      <c r="O826" s="364"/>
      <c r="P826" s="364"/>
      <c r="Q826" s="364"/>
      <c r="R826" s="364"/>
      <c r="S826" s="364"/>
      <c r="T826" s="364"/>
      <c r="U826" s="364"/>
      <c r="V826" s="364"/>
      <c r="W826" s="364"/>
      <c r="X826" s="364"/>
      <c r="Y826" s="364"/>
      <c r="Z826" s="364"/>
    </row>
    <row r="827">
      <c r="A827" s="367"/>
      <c r="B827" s="367"/>
      <c r="C827" s="364"/>
      <c r="D827" s="364"/>
      <c r="E827" s="364"/>
      <c r="F827" s="364"/>
      <c r="G827" s="364"/>
      <c r="H827" s="364"/>
      <c r="I827" s="364"/>
      <c r="J827" s="364"/>
      <c r="K827" s="364"/>
      <c r="L827" s="364"/>
      <c r="M827" s="364"/>
      <c r="N827" s="364"/>
      <c r="O827" s="364"/>
      <c r="P827" s="364"/>
      <c r="Q827" s="364"/>
      <c r="R827" s="364"/>
      <c r="S827" s="364"/>
      <c r="T827" s="364"/>
      <c r="U827" s="364"/>
      <c r="V827" s="364"/>
      <c r="W827" s="364"/>
      <c r="X827" s="364"/>
      <c r="Y827" s="364"/>
      <c r="Z827" s="364"/>
    </row>
    <row r="828">
      <c r="A828" s="367"/>
      <c r="B828" s="367"/>
      <c r="C828" s="364"/>
      <c r="D828" s="364"/>
      <c r="E828" s="364"/>
      <c r="F828" s="364"/>
      <c r="G828" s="364"/>
      <c r="H828" s="364"/>
      <c r="I828" s="364"/>
      <c r="J828" s="364"/>
      <c r="K828" s="364"/>
      <c r="L828" s="364"/>
      <c r="M828" s="364"/>
      <c r="N828" s="364"/>
      <c r="O828" s="364"/>
      <c r="P828" s="364"/>
      <c r="Q828" s="364"/>
      <c r="R828" s="364"/>
      <c r="S828" s="364"/>
      <c r="T828" s="364"/>
      <c r="U828" s="364"/>
      <c r="V828" s="364"/>
      <c r="W828" s="364"/>
      <c r="X828" s="364"/>
      <c r="Y828" s="364"/>
      <c r="Z828" s="364"/>
    </row>
    <row r="829">
      <c r="A829" s="367"/>
      <c r="B829" s="367"/>
      <c r="C829" s="364"/>
      <c r="D829" s="364"/>
      <c r="E829" s="364"/>
      <c r="F829" s="364"/>
      <c r="G829" s="364"/>
      <c r="H829" s="364"/>
      <c r="I829" s="364"/>
      <c r="J829" s="364"/>
      <c r="K829" s="364"/>
      <c r="L829" s="364"/>
      <c r="M829" s="364"/>
      <c r="N829" s="364"/>
      <c r="O829" s="364"/>
      <c r="P829" s="364"/>
      <c r="Q829" s="364"/>
      <c r="R829" s="364"/>
      <c r="S829" s="364"/>
      <c r="T829" s="364"/>
      <c r="U829" s="364"/>
      <c r="V829" s="364"/>
      <c r="W829" s="364"/>
      <c r="X829" s="364"/>
      <c r="Y829" s="364"/>
      <c r="Z829" s="364"/>
    </row>
    <row r="830">
      <c r="A830" s="367"/>
      <c r="B830" s="367"/>
      <c r="C830" s="364"/>
      <c r="D830" s="364"/>
      <c r="E830" s="364"/>
      <c r="F830" s="364"/>
      <c r="G830" s="364"/>
      <c r="H830" s="364"/>
      <c r="I830" s="364"/>
      <c r="J830" s="364"/>
      <c r="K830" s="364"/>
      <c r="L830" s="364"/>
      <c r="M830" s="364"/>
      <c r="N830" s="364"/>
      <c r="O830" s="364"/>
      <c r="P830" s="364"/>
      <c r="Q830" s="364"/>
      <c r="R830" s="364"/>
      <c r="S830" s="364"/>
      <c r="T830" s="364"/>
      <c r="U830" s="364"/>
      <c r="V830" s="364"/>
      <c r="W830" s="364"/>
      <c r="X830" s="364"/>
      <c r="Y830" s="364"/>
      <c r="Z830" s="364"/>
    </row>
    <row r="831">
      <c r="A831" s="367"/>
      <c r="B831" s="367"/>
      <c r="C831" s="364"/>
      <c r="D831" s="364"/>
      <c r="E831" s="364"/>
      <c r="F831" s="364"/>
      <c r="G831" s="364"/>
      <c r="H831" s="364"/>
      <c r="I831" s="364"/>
      <c r="J831" s="364"/>
      <c r="K831" s="364"/>
      <c r="L831" s="364"/>
      <c r="M831" s="364"/>
      <c r="N831" s="364"/>
      <c r="O831" s="364"/>
      <c r="P831" s="364"/>
      <c r="Q831" s="364"/>
      <c r="R831" s="364"/>
      <c r="S831" s="364"/>
      <c r="T831" s="364"/>
      <c r="U831" s="364"/>
      <c r="V831" s="364"/>
      <c r="W831" s="364"/>
      <c r="X831" s="364"/>
      <c r="Y831" s="364"/>
      <c r="Z831" s="364"/>
    </row>
    <row r="832">
      <c r="A832" s="367"/>
      <c r="B832" s="367"/>
      <c r="C832" s="364"/>
      <c r="D832" s="364"/>
      <c r="E832" s="364"/>
      <c r="F832" s="364"/>
      <c r="G832" s="364"/>
      <c r="H832" s="364"/>
      <c r="I832" s="364"/>
      <c r="J832" s="364"/>
      <c r="K832" s="364"/>
      <c r="L832" s="364"/>
      <c r="M832" s="364"/>
      <c r="N832" s="364"/>
      <c r="O832" s="364"/>
      <c r="P832" s="364"/>
      <c r="Q832" s="364"/>
      <c r="R832" s="364"/>
      <c r="S832" s="364"/>
      <c r="T832" s="364"/>
      <c r="U832" s="364"/>
      <c r="V832" s="364"/>
      <c r="W832" s="364"/>
      <c r="X832" s="364"/>
      <c r="Y832" s="364"/>
      <c r="Z832" s="364"/>
    </row>
    <row r="833">
      <c r="A833" s="367"/>
      <c r="B833" s="367"/>
      <c r="C833" s="364"/>
      <c r="D833" s="364"/>
      <c r="E833" s="364"/>
      <c r="F833" s="364"/>
      <c r="G833" s="364"/>
      <c r="H833" s="364"/>
      <c r="I833" s="364"/>
      <c r="J833" s="364"/>
      <c r="K833" s="364"/>
      <c r="L833" s="364"/>
      <c r="M833" s="364"/>
      <c r="N833" s="364"/>
      <c r="O833" s="364"/>
      <c r="P833" s="364"/>
      <c r="Q833" s="364"/>
      <c r="R833" s="364"/>
      <c r="S833" s="364"/>
      <c r="T833" s="364"/>
      <c r="U833" s="364"/>
      <c r="V833" s="364"/>
      <c r="W833" s="364"/>
      <c r="X833" s="364"/>
      <c r="Y833" s="364"/>
      <c r="Z833" s="364"/>
    </row>
    <row r="834">
      <c r="A834" s="367"/>
      <c r="B834" s="367"/>
      <c r="C834" s="364"/>
      <c r="D834" s="364"/>
      <c r="E834" s="364"/>
      <c r="F834" s="364"/>
      <c r="G834" s="364"/>
      <c r="H834" s="364"/>
      <c r="I834" s="364"/>
      <c r="J834" s="364"/>
      <c r="K834" s="364"/>
      <c r="L834" s="364"/>
      <c r="M834" s="364"/>
      <c r="N834" s="364"/>
      <c r="O834" s="364"/>
      <c r="P834" s="364"/>
      <c r="Q834" s="364"/>
      <c r="R834" s="364"/>
      <c r="S834" s="364"/>
      <c r="T834" s="364"/>
      <c r="U834" s="364"/>
      <c r="V834" s="364"/>
      <c r="W834" s="364"/>
      <c r="X834" s="364"/>
      <c r="Y834" s="364"/>
      <c r="Z834" s="364"/>
    </row>
    <row r="835">
      <c r="A835" s="367"/>
      <c r="B835" s="367"/>
      <c r="C835" s="364"/>
      <c r="D835" s="364"/>
      <c r="E835" s="364"/>
      <c r="F835" s="364"/>
      <c r="G835" s="364"/>
      <c r="H835" s="364"/>
      <c r="I835" s="364"/>
      <c r="J835" s="364"/>
      <c r="K835" s="364"/>
      <c r="L835" s="364"/>
      <c r="M835" s="364"/>
      <c r="N835" s="364"/>
      <c r="O835" s="364"/>
      <c r="P835" s="364"/>
      <c r="Q835" s="364"/>
      <c r="R835" s="364"/>
      <c r="S835" s="364"/>
      <c r="T835" s="364"/>
      <c r="U835" s="364"/>
      <c r="V835" s="364"/>
      <c r="W835" s="364"/>
      <c r="X835" s="364"/>
      <c r="Y835" s="364"/>
      <c r="Z835" s="364"/>
    </row>
    <row r="836">
      <c r="A836" s="367"/>
      <c r="B836" s="367"/>
      <c r="C836" s="364"/>
      <c r="D836" s="364"/>
      <c r="E836" s="364"/>
      <c r="F836" s="364"/>
      <c r="G836" s="364"/>
      <c r="H836" s="364"/>
      <c r="I836" s="364"/>
      <c r="J836" s="364"/>
      <c r="K836" s="364"/>
      <c r="L836" s="364"/>
      <c r="M836" s="364"/>
      <c r="N836" s="364"/>
      <c r="O836" s="364"/>
      <c r="P836" s="364"/>
      <c r="Q836" s="364"/>
      <c r="R836" s="364"/>
      <c r="S836" s="364"/>
      <c r="T836" s="364"/>
      <c r="U836" s="364"/>
      <c r="V836" s="364"/>
      <c r="W836" s="364"/>
      <c r="X836" s="364"/>
      <c r="Y836" s="364"/>
      <c r="Z836" s="364"/>
    </row>
    <row r="837">
      <c r="A837" s="367"/>
      <c r="B837" s="367"/>
      <c r="C837" s="364"/>
      <c r="D837" s="364"/>
      <c r="E837" s="364"/>
      <c r="F837" s="364"/>
      <c r="G837" s="364"/>
      <c r="H837" s="364"/>
      <c r="I837" s="364"/>
      <c r="J837" s="364"/>
      <c r="K837" s="364"/>
      <c r="L837" s="364"/>
      <c r="M837" s="364"/>
      <c r="N837" s="364"/>
      <c r="O837" s="364"/>
      <c r="P837" s="364"/>
      <c r="Q837" s="364"/>
      <c r="R837" s="364"/>
      <c r="S837" s="364"/>
      <c r="T837" s="364"/>
      <c r="U837" s="364"/>
      <c r="V837" s="364"/>
      <c r="W837" s="364"/>
      <c r="X837" s="364"/>
      <c r="Y837" s="364"/>
      <c r="Z837" s="364"/>
    </row>
    <row r="838">
      <c r="A838" s="367"/>
      <c r="B838" s="367"/>
      <c r="C838" s="364"/>
      <c r="D838" s="364"/>
      <c r="E838" s="364"/>
      <c r="F838" s="364"/>
      <c r="G838" s="364"/>
      <c r="H838" s="364"/>
      <c r="I838" s="364"/>
      <c r="J838" s="364"/>
      <c r="K838" s="364"/>
      <c r="L838" s="364"/>
      <c r="M838" s="364"/>
      <c r="N838" s="364"/>
      <c r="O838" s="364"/>
      <c r="P838" s="364"/>
      <c r="Q838" s="364"/>
      <c r="R838" s="364"/>
      <c r="S838" s="364"/>
      <c r="T838" s="364"/>
      <c r="U838" s="364"/>
      <c r="V838" s="364"/>
      <c r="W838" s="364"/>
      <c r="X838" s="364"/>
      <c r="Y838" s="364"/>
      <c r="Z838" s="364"/>
    </row>
    <row r="839">
      <c r="A839" s="367"/>
      <c r="B839" s="367"/>
      <c r="C839" s="364"/>
      <c r="D839" s="364"/>
      <c r="E839" s="364"/>
      <c r="F839" s="364"/>
      <c r="G839" s="364"/>
      <c r="H839" s="364"/>
      <c r="I839" s="364"/>
      <c r="J839" s="364"/>
      <c r="K839" s="364"/>
      <c r="L839" s="364"/>
      <c r="M839" s="364"/>
      <c r="N839" s="364"/>
      <c r="O839" s="364"/>
      <c r="P839" s="364"/>
      <c r="Q839" s="364"/>
      <c r="R839" s="364"/>
      <c r="S839" s="364"/>
      <c r="T839" s="364"/>
      <c r="U839" s="364"/>
      <c r="V839" s="364"/>
      <c r="W839" s="364"/>
      <c r="X839" s="364"/>
      <c r="Y839" s="364"/>
      <c r="Z839" s="364"/>
    </row>
    <row r="840">
      <c r="A840" s="367"/>
      <c r="B840" s="367"/>
      <c r="C840" s="364"/>
      <c r="D840" s="364"/>
      <c r="E840" s="364"/>
      <c r="F840" s="364"/>
      <c r="G840" s="364"/>
      <c r="H840" s="364"/>
      <c r="I840" s="364"/>
      <c r="J840" s="364"/>
      <c r="K840" s="364"/>
      <c r="L840" s="364"/>
      <c r="M840" s="364"/>
      <c r="N840" s="364"/>
      <c r="O840" s="364"/>
      <c r="P840" s="364"/>
      <c r="Q840" s="364"/>
      <c r="R840" s="364"/>
      <c r="S840" s="364"/>
      <c r="T840" s="364"/>
      <c r="U840" s="364"/>
      <c r="V840" s="364"/>
      <c r="W840" s="364"/>
      <c r="X840" s="364"/>
      <c r="Y840" s="364"/>
      <c r="Z840" s="364"/>
    </row>
    <row r="841">
      <c r="A841" s="367"/>
      <c r="B841" s="367"/>
      <c r="C841" s="364"/>
      <c r="D841" s="364"/>
      <c r="E841" s="364"/>
      <c r="F841" s="364"/>
      <c r="G841" s="364"/>
      <c r="H841" s="364"/>
      <c r="I841" s="364"/>
      <c r="J841" s="364"/>
      <c r="K841" s="364"/>
      <c r="L841" s="364"/>
      <c r="M841" s="364"/>
      <c r="N841" s="364"/>
      <c r="O841" s="364"/>
      <c r="P841" s="364"/>
      <c r="Q841" s="364"/>
      <c r="R841" s="364"/>
      <c r="S841" s="364"/>
      <c r="T841" s="364"/>
      <c r="U841" s="364"/>
      <c r="V841" s="364"/>
      <c r="W841" s="364"/>
      <c r="X841" s="364"/>
      <c r="Y841" s="364"/>
      <c r="Z841" s="364"/>
    </row>
    <row r="842">
      <c r="A842" s="367"/>
      <c r="B842" s="367"/>
      <c r="C842" s="364"/>
      <c r="D842" s="364"/>
      <c r="E842" s="364"/>
      <c r="F842" s="364"/>
      <c r="G842" s="364"/>
      <c r="H842" s="364"/>
      <c r="I842" s="364"/>
      <c r="J842" s="364"/>
      <c r="K842" s="364"/>
      <c r="L842" s="364"/>
      <c r="M842" s="364"/>
      <c r="N842" s="364"/>
      <c r="O842" s="364"/>
      <c r="P842" s="364"/>
      <c r="Q842" s="364"/>
      <c r="R842" s="364"/>
      <c r="S842" s="364"/>
      <c r="T842" s="364"/>
      <c r="U842" s="364"/>
      <c r="V842" s="364"/>
      <c r="W842" s="364"/>
      <c r="X842" s="364"/>
      <c r="Y842" s="364"/>
      <c r="Z842" s="364"/>
    </row>
    <row r="843">
      <c r="A843" s="367"/>
      <c r="B843" s="367"/>
      <c r="C843" s="364"/>
      <c r="D843" s="364"/>
      <c r="E843" s="364"/>
      <c r="F843" s="364"/>
      <c r="G843" s="364"/>
      <c r="H843" s="364"/>
      <c r="I843" s="364"/>
      <c r="J843" s="364"/>
      <c r="K843" s="364"/>
      <c r="L843" s="364"/>
      <c r="M843" s="364"/>
      <c r="N843" s="364"/>
      <c r="O843" s="364"/>
      <c r="P843" s="364"/>
      <c r="Q843" s="364"/>
      <c r="R843" s="364"/>
      <c r="S843" s="364"/>
      <c r="T843" s="364"/>
      <c r="U843" s="364"/>
      <c r="V843" s="364"/>
      <c r="W843" s="364"/>
      <c r="X843" s="364"/>
      <c r="Y843" s="364"/>
      <c r="Z843" s="364"/>
    </row>
    <row r="844">
      <c r="A844" s="367"/>
      <c r="B844" s="367"/>
      <c r="C844" s="364"/>
      <c r="D844" s="364"/>
      <c r="E844" s="364"/>
      <c r="F844" s="364"/>
      <c r="G844" s="364"/>
      <c r="H844" s="364"/>
      <c r="I844" s="364"/>
      <c r="J844" s="364"/>
      <c r="K844" s="364"/>
      <c r="L844" s="364"/>
      <c r="M844" s="364"/>
      <c r="N844" s="364"/>
      <c r="O844" s="364"/>
      <c r="P844" s="364"/>
      <c r="Q844" s="364"/>
      <c r="R844" s="364"/>
      <c r="S844" s="364"/>
      <c r="T844" s="364"/>
      <c r="U844" s="364"/>
      <c r="V844" s="364"/>
      <c r="W844" s="364"/>
      <c r="X844" s="364"/>
      <c r="Y844" s="364"/>
      <c r="Z844" s="364"/>
    </row>
    <row r="845">
      <c r="A845" s="367"/>
      <c r="B845" s="367"/>
      <c r="C845" s="364"/>
      <c r="D845" s="364"/>
      <c r="E845" s="364"/>
      <c r="F845" s="364"/>
      <c r="G845" s="364"/>
      <c r="H845" s="364"/>
      <c r="I845" s="364"/>
      <c r="J845" s="364"/>
      <c r="K845" s="364"/>
      <c r="L845" s="364"/>
      <c r="M845" s="364"/>
      <c r="N845" s="364"/>
      <c r="O845" s="364"/>
      <c r="P845" s="364"/>
      <c r="Q845" s="364"/>
      <c r="R845" s="364"/>
      <c r="S845" s="364"/>
      <c r="T845" s="364"/>
      <c r="U845" s="364"/>
      <c r="V845" s="364"/>
      <c r="W845" s="364"/>
      <c r="X845" s="364"/>
      <c r="Y845" s="364"/>
      <c r="Z845" s="364"/>
    </row>
    <row r="846">
      <c r="A846" s="367"/>
      <c r="B846" s="367"/>
      <c r="C846" s="364"/>
      <c r="D846" s="364"/>
      <c r="E846" s="364"/>
      <c r="F846" s="364"/>
      <c r="G846" s="364"/>
      <c r="H846" s="364"/>
      <c r="I846" s="364"/>
      <c r="J846" s="364"/>
      <c r="K846" s="364"/>
      <c r="L846" s="364"/>
      <c r="M846" s="364"/>
      <c r="N846" s="364"/>
      <c r="O846" s="364"/>
      <c r="P846" s="364"/>
      <c r="Q846" s="364"/>
      <c r="R846" s="364"/>
      <c r="S846" s="364"/>
      <c r="T846" s="364"/>
      <c r="U846" s="364"/>
      <c r="V846" s="364"/>
      <c r="W846" s="364"/>
      <c r="X846" s="364"/>
      <c r="Y846" s="364"/>
      <c r="Z846" s="364"/>
    </row>
    <row r="847">
      <c r="A847" s="367"/>
      <c r="B847" s="367"/>
      <c r="C847" s="364"/>
      <c r="D847" s="364"/>
      <c r="E847" s="364"/>
      <c r="F847" s="364"/>
      <c r="G847" s="364"/>
      <c r="H847" s="364"/>
      <c r="I847" s="364"/>
      <c r="J847" s="364"/>
      <c r="K847" s="364"/>
      <c r="L847" s="364"/>
      <c r="M847" s="364"/>
      <c r="N847" s="364"/>
      <c r="O847" s="364"/>
      <c r="P847" s="364"/>
      <c r="Q847" s="364"/>
      <c r="R847" s="364"/>
      <c r="S847" s="364"/>
      <c r="T847" s="364"/>
      <c r="U847" s="364"/>
      <c r="V847" s="364"/>
      <c r="W847" s="364"/>
      <c r="X847" s="364"/>
      <c r="Y847" s="364"/>
      <c r="Z847" s="364"/>
    </row>
    <row r="848">
      <c r="A848" s="367"/>
      <c r="B848" s="367"/>
      <c r="C848" s="364"/>
      <c r="D848" s="364"/>
      <c r="E848" s="364"/>
      <c r="F848" s="364"/>
      <c r="G848" s="364"/>
      <c r="H848" s="364"/>
      <c r="I848" s="364"/>
      <c r="J848" s="364"/>
      <c r="K848" s="364"/>
      <c r="L848" s="364"/>
      <c r="M848" s="364"/>
      <c r="N848" s="364"/>
      <c r="O848" s="364"/>
      <c r="P848" s="364"/>
      <c r="Q848" s="364"/>
      <c r="R848" s="364"/>
      <c r="S848" s="364"/>
      <c r="T848" s="364"/>
      <c r="U848" s="364"/>
      <c r="V848" s="364"/>
      <c r="W848" s="364"/>
      <c r="X848" s="364"/>
      <c r="Y848" s="364"/>
      <c r="Z848" s="364"/>
    </row>
    <row r="849">
      <c r="A849" s="367"/>
      <c r="B849" s="367"/>
      <c r="C849" s="364"/>
      <c r="D849" s="364"/>
      <c r="E849" s="364"/>
      <c r="F849" s="364"/>
      <c r="G849" s="364"/>
      <c r="H849" s="364"/>
      <c r="I849" s="364"/>
      <c r="J849" s="364"/>
      <c r="K849" s="364"/>
      <c r="L849" s="364"/>
      <c r="M849" s="364"/>
      <c r="N849" s="364"/>
      <c r="O849" s="364"/>
      <c r="P849" s="364"/>
      <c r="Q849" s="364"/>
      <c r="R849" s="364"/>
      <c r="S849" s="364"/>
      <c r="T849" s="364"/>
      <c r="U849" s="364"/>
      <c r="V849" s="364"/>
      <c r="W849" s="364"/>
      <c r="X849" s="364"/>
      <c r="Y849" s="364"/>
      <c r="Z849" s="364"/>
    </row>
    <row r="850">
      <c r="A850" s="367"/>
      <c r="B850" s="367"/>
      <c r="C850" s="364"/>
      <c r="D850" s="364"/>
      <c r="E850" s="364"/>
      <c r="F850" s="364"/>
      <c r="G850" s="364"/>
      <c r="H850" s="364"/>
      <c r="I850" s="364"/>
      <c r="J850" s="364"/>
      <c r="K850" s="364"/>
      <c r="L850" s="364"/>
      <c r="M850" s="364"/>
      <c r="N850" s="364"/>
      <c r="O850" s="364"/>
      <c r="P850" s="364"/>
      <c r="Q850" s="364"/>
      <c r="R850" s="364"/>
      <c r="S850" s="364"/>
      <c r="T850" s="364"/>
      <c r="U850" s="364"/>
      <c r="V850" s="364"/>
      <c r="W850" s="364"/>
      <c r="X850" s="364"/>
      <c r="Y850" s="364"/>
      <c r="Z850" s="364"/>
    </row>
    <row r="851">
      <c r="A851" s="367"/>
      <c r="B851" s="367"/>
      <c r="C851" s="364"/>
      <c r="D851" s="364"/>
      <c r="E851" s="364"/>
      <c r="F851" s="364"/>
      <c r="G851" s="364"/>
      <c r="H851" s="364"/>
      <c r="I851" s="364"/>
      <c r="J851" s="364"/>
      <c r="K851" s="364"/>
      <c r="L851" s="364"/>
      <c r="M851" s="364"/>
      <c r="N851" s="364"/>
      <c r="O851" s="364"/>
      <c r="P851" s="364"/>
      <c r="Q851" s="364"/>
      <c r="R851" s="364"/>
      <c r="S851" s="364"/>
      <c r="T851" s="364"/>
      <c r="U851" s="364"/>
      <c r="V851" s="364"/>
      <c r="W851" s="364"/>
      <c r="X851" s="364"/>
      <c r="Y851" s="364"/>
      <c r="Z851" s="364"/>
    </row>
    <row r="852">
      <c r="A852" s="367"/>
      <c r="B852" s="367"/>
      <c r="C852" s="364"/>
      <c r="D852" s="364"/>
      <c r="E852" s="364"/>
      <c r="F852" s="364"/>
      <c r="G852" s="364"/>
      <c r="H852" s="364"/>
      <c r="I852" s="364"/>
      <c r="J852" s="364"/>
      <c r="K852" s="364"/>
      <c r="L852" s="364"/>
      <c r="M852" s="364"/>
      <c r="N852" s="364"/>
      <c r="O852" s="364"/>
      <c r="P852" s="364"/>
      <c r="Q852" s="364"/>
      <c r="R852" s="364"/>
      <c r="S852" s="364"/>
      <c r="T852" s="364"/>
      <c r="U852" s="364"/>
      <c r="V852" s="364"/>
      <c r="W852" s="364"/>
      <c r="X852" s="364"/>
      <c r="Y852" s="364"/>
      <c r="Z852" s="364"/>
    </row>
    <row r="853">
      <c r="A853" s="367"/>
      <c r="B853" s="367"/>
      <c r="C853" s="364"/>
      <c r="D853" s="364"/>
      <c r="E853" s="364"/>
      <c r="F853" s="364"/>
      <c r="G853" s="364"/>
      <c r="H853" s="364"/>
      <c r="I853" s="364"/>
      <c r="J853" s="364"/>
      <c r="K853" s="364"/>
      <c r="L853" s="364"/>
      <c r="M853" s="364"/>
      <c r="N853" s="364"/>
      <c r="O853" s="364"/>
      <c r="P853" s="364"/>
      <c r="Q853" s="364"/>
      <c r="R853" s="364"/>
      <c r="S853" s="364"/>
      <c r="T853" s="364"/>
      <c r="U853" s="364"/>
      <c r="V853" s="364"/>
      <c r="W853" s="364"/>
      <c r="X853" s="364"/>
      <c r="Y853" s="364"/>
      <c r="Z853" s="364"/>
    </row>
    <row r="854">
      <c r="A854" s="367"/>
      <c r="B854" s="367"/>
      <c r="C854" s="364"/>
      <c r="D854" s="364"/>
      <c r="E854" s="364"/>
      <c r="F854" s="364"/>
      <c r="G854" s="364"/>
      <c r="H854" s="364"/>
      <c r="I854" s="364"/>
      <c r="J854" s="364"/>
      <c r="K854" s="364"/>
      <c r="L854" s="364"/>
      <c r="M854" s="364"/>
      <c r="N854" s="364"/>
      <c r="O854" s="364"/>
      <c r="P854" s="364"/>
      <c r="Q854" s="364"/>
      <c r="R854" s="364"/>
      <c r="S854" s="364"/>
      <c r="T854" s="364"/>
      <c r="U854" s="364"/>
      <c r="V854" s="364"/>
      <c r="W854" s="364"/>
      <c r="X854" s="364"/>
      <c r="Y854" s="364"/>
      <c r="Z854" s="364"/>
    </row>
    <row r="855">
      <c r="A855" s="367"/>
      <c r="B855" s="367"/>
      <c r="C855" s="364"/>
      <c r="D855" s="364"/>
      <c r="E855" s="364"/>
      <c r="F855" s="364"/>
      <c r="G855" s="364"/>
      <c r="H855" s="364"/>
      <c r="I855" s="364"/>
      <c r="J855" s="364"/>
      <c r="K855" s="364"/>
      <c r="L855" s="364"/>
      <c r="M855" s="364"/>
      <c r="N855" s="364"/>
      <c r="O855" s="364"/>
      <c r="P855" s="364"/>
      <c r="Q855" s="364"/>
      <c r="R855" s="364"/>
      <c r="S855" s="364"/>
      <c r="T855" s="364"/>
      <c r="U855" s="364"/>
      <c r="V855" s="364"/>
      <c r="W855" s="364"/>
      <c r="X855" s="364"/>
      <c r="Y855" s="364"/>
      <c r="Z855" s="364"/>
    </row>
    <row r="856">
      <c r="A856" s="367"/>
      <c r="B856" s="367"/>
      <c r="C856" s="364"/>
      <c r="D856" s="364"/>
      <c r="E856" s="364"/>
      <c r="F856" s="364"/>
      <c r="G856" s="364"/>
      <c r="H856" s="364"/>
      <c r="I856" s="364"/>
      <c r="J856" s="364"/>
      <c r="K856" s="364"/>
      <c r="L856" s="364"/>
      <c r="M856" s="364"/>
      <c r="N856" s="364"/>
      <c r="O856" s="364"/>
      <c r="P856" s="364"/>
      <c r="Q856" s="364"/>
      <c r="R856" s="364"/>
      <c r="S856" s="364"/>
      <c r="T856" s="364"/>
      <c r="U856" s="364"/>
      <c r="V856" s="364"/>
      <c r="W856" s="364"/>
      <c r="X856" s="364"/>
      <c r="Y856" s="364"/>
      <c r="Z856" s="364"/>
    </row>
    <row r="857">
      <c r="A857" s="367"/>
      <c r="B857" s="367"/>
      <c r="C857" s="364"/>
      <c r="D857" s="364"/>
      <c r="E857" s="364"/>
      <c r="F857" s="364"/>
      <c r="G857" s="364"/>
      <c r="H857" s="364"/>
      <c r="I857" s="364"/>
      <c r="J857" s="364"/>
      <c r="K857" s="364"/>
      <c r="L857" s="364"/>
      <c r="M857" s="364"/>
      <c r="N857" s="364"/>
      <c r="O857" s="364"/>
      <c r="P857" s="364"/>
      <c r="Q857" s="364"/>
      <c r="R857" s="364"/>
      <c r="S857" s="364"/>
      <c r="T857" s="364"/>
      <c r="U857" s="364"/>
      <c r="V857" s="364"/>
      <c r="W857" s="364"/>
      <c r="X857" s="364"/>
      <c r="Y857" s="364"/>
      <c r="Z857" s="364"/>
    </row>
    <row r="858">
      <c r="A858" s="367"/>
      <c r="B858" s="367"/>
      <c r="C858" s="364"/>
      <c r="D858" s="364"/>
      <c r="E858" s="364"/>
      <c r="F858" s="364"/>
      <c r="G858" s="364"/>
      <c r="H858" s="364"/>
      <c r="I858" s="364"/>
      <c r="J858" s="364"/>
      <c r="K858" s="364"/>
      <c r="L858" s="364"/>
      <c r="M858" s="364"/>
      <c r="N858" s="364"/>
      <c r="O858" s="364"/>
      <c r="P858" s="364"/>
      <c r="Q858" s="364"/>
      <c r="R858" s="364"/>
      <c r="S858" s="364"/>
      <c r="T858" s="364"/>
      <c r="U858" s="364"/>
      <c r="V858" s="364"/>
      <c r="W858" s="364"/>
      <c r="X858" s="364"/>
      <c r="Y858" s="364"/>
      <c r="Z858" s="364"/>
    </row>
    <row r="859">
      <c r="A859" s="367"/>
      <c r="B859" s="367"/>
      <c r="C859" s="364"/>
      <c r="D859" s="364"/>
      <c r="E859" s="364"/>
      <c r="F859" s="364"/>
      <c r="G859" s="364"/>
      <c r="H859" s="364"/>
      <c r="I859" s="364"/>
      <c r="J859" s="364"/>
      <c r="K859" s="364"/>
      <c r="L859" s="364"/>
      <c r="M859" s="364"/>
      <c r="N859" s="364"/>
      <c r="O859" s="364"/>
      <c r="P859" s="364"/>
      <c r="Q859" s="364"/>
      <c r="R859" s="364"/>
      <c r="S859" s="364"/>
      <c r="T859" s="364"/>
      <c r="U859" s="364"/>
      <c r="V859" s="364"/>
      <c r="W859" s="364"/>
      <c r="X859" s="364"/>
      <c r="Y859" s="364"/>
      <c r="Z859" s="364"/>
    </row>
    <row r="860">
      <c r="A860" s="367"/>
      <c r="B860" s="367"/>
      <c r="C860" s="364"/>
      <c r="D860" s="364"/>
      <c r="E860" s="364"/>
      <c r="F860" s="364"/>
      <c r="G860" s="364"/>
      <c r="H860" s="364"/>
      <c r="I860" s="364"/>
      <c r="J860" s="364"/>
      <c r="K860" s="364"/>
      <c r="L860" s="364"/>
      <c r="M860" s="364"/>
      <c r="N860" s="364"/>
      <c r="O860" s="364"/>
      <c r="P860" s="364"/>
      <c r="Q860" s="364"/>
      <c r="R860" s="364"/>
      <c r="S860" s="364"/>
      <c r="T860" s="364"/>
      <c r="U860" s="364"/>
      <c r="V860" s="364"/>
      <c r="W860" s="364"/>
      <c r="X860" s="364"/>
      <c r="Y860" s="364"/>
      <c r="Z860" s="364"/>
    </row>
    <row r="861">
      <c r="A861" s="367"/>
      <c r="B861" s="367"/>
      <c r="C861" s="364"/>
      <c r="D861" s="364"/>
      <c r="E861" s="364"/>
      <c r="F861" s="364"/>
      <c r="G861" s="364"/>
      <c r="H861" s="364"/>
      <c r="I861" s="364"/>
      <c r="J861" s="364"/>
      <c r="K861" s="364"/>
      <c r="L861" s="364"/>
      <c r="M861" s="364"/>
      <c r="N861" s="364"/>
      <c r="O861" s="364"/>
      <c r="P861" s="364"/>
      <c r="Q861" s="364"/>
      <c r="R861" s="364"/>
      <c r="S861" s="364"/>
      <c r="T861" s="364"/>
      <c r="U861" s="364"/>
      <c r="V861" s="364"/>
      <c r="W861" s="364"/>
      <c r="X861" s="364"/>
      <c r="Y861" s="364"/>
      <c r="Z861" s="364"/>
    </row>
    <row r="862">
      <c r="A862" s="367"/>
      <c r="B862" s="367"/>
      <c r="C862" s="364"/>
      <c r="D862" s="364"/>
      <c r="E862" s="364"/>
      <c r="F862" s="364"/>
      <c r="G862" s="364"/>
      <c r="H862" s="364"/>
      <c r="I862" s="364"/>
      <c r="J862" s="364"/>
      <c r="K862" s="364"/>
      <c r="L862" s="364"/>
      <c r="M862" s="364"/>
      <c r="N862" s="364"/>
      <c r="O862" s="364"/>
      <c r="P862" s="364"/>
      <c r="Q862" s="364"/>
      <c r="R862" s="364"/>
      <c r="S862" s="364"/>
      <c r="T862" s="364"/>
      <c r="U862" s="364"/>
      <c r="V862" s="364"/>
      <c r="W862" s="364"/>
      <c r="X862" s="364"/>
      <c r="Y862" s="364"/>
      <c r="Z862" s="364"/>
    </row>
    <row r="863">
      <c r="A863" s="367"/>
      <c r="B863" s="367"/>
      <c r="C863" s="364"/>
      <c r="D863" s="364"/>
      <c r="E863" s="364"/>
      <c r="F863" s="364"/>
      <c r="G863" s="364"/>
      <c r="H863" s="364"/>
      <c r="I863" s="364"/>
      <c r="J863" s="364"/>
      <c r="K863" s="364"/>
      <c r="L863" s="364"/>
      <c r="M863" s="364"/>
      <c r="N863" s="364"/>
      <c r="O863" s="364"/>
      <c r="P863" s="364"/>
      <c r="Q863" s="364"/>
      <c r="R863" s="364"/>
      <c r="S863" s="364"/>
      <c r="T863" s="364"/>
      <c r="U863" s="364"/>
      <c r="V863" s="364"/>
      <c r="W863" s="364"/>
      <c r="X863" s="364"/>
      <c r="Y863" s="364"/>
      <c r="Z863" s="364"/>
    </row>
    <row r="864">
      <c r="A864" s="367"/>
      <c r="B864" s="367"/>
      <c r="C864" s="364"/>
      <c r="D864" s="364"/>
      <c r="E864" s="364"/>
      <c r="F864" s="364"/>
      <c r="G864" s="364"/>
      <c r="H864" s="364"/>
      <c r="I864" s="364"/>
      <c r="J864" s="364"/>
      <c r="K864" s="364"/>
      <c r="L864" s="364"/>
      <c r="M864" s="364"/>
      <c r="N864" s="364"/>
      <c r="O864" s="364"/>
      <c r="P864" s="364"/>
      <c r="Q864" s="364"/>
      <c r="R864" s="364"/>
      <c r="S864" s="364"/>
      <c r="T864" s="364"/>
      <c r="U864" s="364"/>
      <c r="V864" s="364"/>
      <c r="W864" s="364"/>
      <c r="X864" s="364"/>
      <c r="Y864" s="364"/>
      <c r="Z864" s="364"/>
    </row>
    <row r="865">
      <c r="A865" s="367"/>
      <c r="B865" s="367"/>
      <c r="C865" s="364"/>
      <c r="D865" s="364"/>
      <c r="E865" s="364"/>
      <c r="F865" s="364"/>
      <c r="G865" s="364"/>
      <c r="H865" s="364"/>
      <c r="I865" s="364"/>
      <c r="J865" s="364"/>
      <c r="K865" s="364"/>
      <c r="L865" s="364"/>
      <c r="M865" s="364"/>
      <c r="N865" s="364"/>
      <c r="O865" s="364"/>
      <c r="P865" s="364"/>
      <c r="Q865" s="364"/>
      <c r="R865" s="364"/>
      <c r="S865" s="364"/>
      <c r="T865" s="364"/>
      <c r="U865" s="364"/>
      <c r="V865" s="364"/>
      <c r="W865" s="364"/>
      <c r="X865" s="364"/>
      <c r="Y865" s="364"/>
      <c r="Z865" s="364"/>
    </row>
    <row r="866">
      <c r="A866" s="367"/>
      <c r="B866" s="367"/>
      <c r="C866" s="364"/>
      <c r="D866" s="364"/>
      <c r="E866" s="364"/>
      <c r="F866" s="364"/>
      <c r="G866" s="364"/>
      <c r="H866" s="364"/>
      <c r="I866" s="364"/>
      <c r="J866" s="364"/>
      <c r="K866" s="364"/>
      <c r="L866" s="364"/>
      <c r="M866" s="364"/>
      <c r="N866" s="364"/>
      <c r="O866" s="364"/>
      <c r="P866" s="364"/>
      <c r="Q866" s="364"/>
      <c r="R866" s="364"/>
      <c r="S866" s="364"/>
      <c r="T866" s="364"/>
      <c r="U866" s="364"/>
      <c r="V866" s="364"/>
      <c r="W866" s="364"/>
      <c r="X866" s="364"/>
      <c r="Y866" s="364"/>
      <c r="Z866" s="364"/>
    </row>
    <row r="867">
      <c r="A867" s="367"/>
      <c r="B867" s="367"/>
      <c r="C867" s="364"/>
      <c r="D867" s="364"/>
      <c r="E867" s="364"/>
      <c r="F867" s="364"/>
      <c r="G867" s="364"/>
      <c r="H867" s="364"/>
      <c r="I867" s="364"/>
      <c r="J867" s="364"/>
      <c r="K867" s="364"/>
      <c r="L867" s="364"/>
      <c r="M867" s="364"/>
      <c r="N867" s="364"/>
      <c r="O867" s="364"/>
      <c r="P867" s="364"/>
      <c r="Q867" s="364"/>
      <c r="R867" s="364"/>
      <c r="S867" s="364"/>
      <c r="T867" s="364"/>
      <c r="U867" s="364"/>
      <c r="V867" s="364"/>
      <c r="W867" s="364"/>
      <c r="X867" s="364"/>
      <c r="Y867" s="364"/>
      <c r="Z867" s="364"/>
    </row>
    <row r="868">
      <c r="A868" s="367"/>
      <c r="B868" s="367"/>
      <c r="C868" s="364"/>
      <c r="D868" s="364"/>
      <c r="E868" s="364"/>
      <c r="F868" s="364"/>
      <c r="G868" s="364"/>
      <c r="H868" s="364"/>
      <c r="I868" s="364"/>
      <c r="J868" s="364"/>
      <c r="K868" s="364"/>
      <c r="L868" s="364"/>
      <c r="M868" s="364"/>
      <c r="N868" s="364"/>
      <c r="O868" s="364"/>
      <c r="P868" s="364"/>
      <c r="Q868" s="364"/>
      <c r="R868" s="364"/>
      <c r="S868" s="364"/>
      <c r="T868" s="364"/>
      <c r="U868" s="364"/>
      <c r="V868" s="364"/>
      <c r="W868" s="364"/>
      <c r="X868" s="364"/>
      <c r="Y868" s="364"/>
      <c r="Z868" s="364"/>
    </row>
    <row r="869">
      <c r="A869" s="367"/>
      <c r="B869" s="367"/>
      <c r="C869" s="364"/>
      <c r="D869" s="364"/>
      <c r="E869" s="364"/>
      <c r="F869" s="364"/>
      <c r="G869" s="364"/>
      <c r="H869" s="364"/>
      <c r="I869" s="364"/>
      <c r="J869" s="364"/>
      <c r="K869" s="364"/>
      <c r="L869" s="364"/>
      <c r="M869" s="364"/>
      <c r="N869" s="364"/>
      <c r="O869" s="364"/>
      <c r="P869" s="364"/>
      <c r="Q869" s="364"/>
      <c r="R869" s="364"/>
      <c r="S869" s="364"/>
      <c r="T869" s="364"/>
      <c r="U869" s="364"/>
      <c r="V869" s="364"/>
      <c r="W869" s="364"/>
      <c r="X869" s="364"/>
      <c r="Y869" s="364"/>
      <c r="Z869" s="364"/>
    </row>
    <row r="870">
      <c r="A870" s="367"/>
      <c r="B870" s="367"/>
      <c r="C870" s="364"/>
      <c r="D870" s="364"/>
      <c r="E870" s="364"/>
      <c r="F870" s="364"/>
      <c r="G870" s="364"/>
      <c r="H870" s="364"/>
      <c r="I870" s="364"/>
      <c r="J870" s="364"/>
      <c r="K870" s="364"/>
      <c r="L870" s="364"/>
      <c r="M870" s="364"/>
      <c r="N870" s="364"/>
      <c r="O870" s="364"/>
      <c r="P870" s="364"/>
      <c r="Q870" s="364"/>
      <c r="R870" s="364"/>
      <c r="S870" s="364"/>
      <c r="T870" s="364"/>
      <c r="U870" s="364"/>
      <c r="V870" s="364"/>
      <c r="W870" s="364"/>
      <c r="X870" s="364"/>
      <c r="Y870" s="364"/>
      <c r="Z870" s="364"/>
    </row>
    <row r="871">
      <c r="A871" s="367"/>
      <c r="B871" s="367"/>
      <c r="C871" s="364"/>
      <c r="D871" s="364"/>
      <c r="E871" s="364"/>
      <c r="F871" s="364"/>
      <c r="G871" s="364"/>
      <c r="H871" s="364"/>
      <c r="I871" s="364"/>
      <c r="J871" s="364"/>
      <c r="K871" s="364"/>
      <c r="L871" s="364"/>
      <c r="M871" s="364"/>
      <c r="N871" s="364"/>
      <c r="O871" s="364"/>
      <c r="P871" s="364"/>
      <c r="Q871" s="364"/>
      <c r="R871" s="364"/>
      <c r="S871" s="364"/>
      <c r="T871" s="364"/>
      <c r="U871" s="364"/>
      <c r="V871" s="364"/>
      <c r="W871" s="364"/>
      <c r="X871" s="364"/>
      <c r="Y871" s="364"/>
      <c r="Z871" s="364"/>
    </row>
    <row r="872">
      <c r="A872" s="367"/>
      <c r="B872" s="367"/>
      <c r="C872" s="364"/>
      <c r="D872" s="364"/>
      <c r="E872" s="364"/>
      <c r="F872" s="364"/>
      <c r="G872" s="364"/>
      <c r="H872" s="364"/>
      <c r="I872" s="364"/>
      <c r="J872" s="364"/>
      <c r="K872" s="364"/>
      <c r="L872" s="364"/>
      <c r="M872" s="364"/>
      <c r="N872" s="364"/>
      <c r="O872" s="364"/>
      <c r="P872" s="364"/>
      <c r="Q872" s="364"/>
      <c r="R872" s="364"/>
      <c r="S872" s="364"/>
      <c r="T872" s="364"/>
      <c r="U872" s="364"/>
      <c r="V872" s="364"/>
      <c r="W872" s="364"/>
      <c r="X872" s="364"/>
      <c r="Y872" s="364"/>
      <c r="Z872" s="364"/>
    </row>
    <row r="873">
      <c r="A873" s="367"/>
      <c r="B873" s="367"/>
      <c r="C873" s="364"/>
      <c r="D873" s="364"/>
      <c r="E873" s="364"/>
      <c r="F873" s="364"/>
      <c r="G873" s="364"/>
      <c r="H873" s="364"/>
      <c r="I873" s="364"/>
      <c r="J873" s="364"/>
      <c r="K873" s="364"/>
      <c r="L873" s="364"/>
      <c r="M873" s="364"/>
      <c r="N873" s="364"/>
      <c r="O873" s="364"/>
      <c r="P873" s="364"/>
      <c r="Q873" s="364"/>
      <c r="R873" s="364"/>
      <c r="S873" s="364"/>
      <c r="T873" s="364"/>
      <c r="U873" s="364"/>
      <c r="V873" s="364"/>
      <c r="W873" s="364"/>
      <c r="X873" s="364"/>
      <c r="Y873" s="364"/>
      <c r="Z873" s="364"/>
    </row>
    <row r="874">
      <c r="A874" s="367"/>
      <c r="B874" s="367"/>
      <c r="C874" s="364"/>
      <c r="D874" s="364"/>
      <c r="E874" s="364"/>
      <c r="F874" s="364"/>
      <c r="G874" s="364"/>
      <c r="H874" s="364"/>
      <c r="I874" s="364"/>
      <c r="J874" s="364"/>
      <c r="K874" s="364"/>
      <c r="L874" s="364"/>
      <c r="M874" s="364"/>
      <c r="N874" s="364"/>
      <c r="O874" s="364"/>
      <c r="P874" s="364"/>
      <c r="Q874" s="364"/>
      <c r="R874" s="364"/>
      <c r="S874" s="364"/>
      <c r="T874" s="364"/>
      <c r="U874" s="364"/>
      <c r="V874" s="364"/>
      <c r="W874" s="364"/>
      <c r="X874" s="364"/>
      <c r="Y874" s="364"/>
      <c r="Z874" s="364"/>
    </row>
    <row r="875">
      <c r="A875" s="367"/>
      <c r="B875" s="367"/>
      <c r="C875" s="364"/>
      <c r="D875" s="364"/>
      <c r="E875" s="364"/>
      <c r="F875" s="364"/>
      <c r="G875" s="364"/>
      <c r="H875" s="364"/>
      <c r="I875" s="364"/>
      <c r="J875" s="364"/>
      <c r="K875" s="364"/>
      <c r="L875" s="364"/>
      <c r="M875" s="364"/>
      <c r="N875" s="364"/>
      <c r="O875" s="364"/>
      <c r="P875" s="364"/>
      <c r="Q875" s="364"/>
      <c r="R875" s="364"/>
      <c r="S875" s="364"/>
      <c r="T875" s="364"/>
      <c r="U875" s="364"/>
      <c r="V875" s="364"/>
      <c r="W875" s="364"/>
      <c r="X875" s="364"/>
      <c r="Y875" s="364"/>
      <c r="Z875" s="364"/>
    </row>
    <row r="876">
      <c r="A876" s="367"/>
      <c r="B876" s="367"/>
      <c r="C876" s="364"/>
      <c r="D876" s="364"/>
      <c r="E876" s="364"/>
      <c r="F876" s="364"/>
      <c r="G876" s="364"/>
      <c r="H876" s="364"/>
      <c r="I876" s="364"/>
      <c r="J876" s="364"/>
      <c r="K876" s="364"/>
      <c r="L876" s="364"/>
      <c r="M876" s="364"/>
      <c r="N876" s="364"/>
      <c r="O876" s="364"/>
      <c r="P876" s="364"/>
      <c r="Q876" s="364"/>
      <c r="R876" s="364"/>
      <c r="S876" s="364"/>
      <c r="T876" s="364"/>
      <c r="U876" s="364"/>
      <c r="V876" s="364"/>
      <c r="W876" s="364"/>
      <c r="X876" s="364"/>
      <c r="Y876" s="364"/>
      <c r="Z876" s="364"/>
    </row>
    <row r="877">
      <c r="A877" s="367"/>
      <c r="B877" s="367"/>
      <c r="C877" s="364"/>
      <c r="D877" s="364"/>
      <c r="E877" s="364"/>
      <c r="F877" s="364"/>
      <c r="G877" s="364"/>
      <c r="H877" s="364"/>
      <c r="I877" s="364"/>
      <c r="J877" s="364"/>
      <c r="K877" s="364"/>
      <c r="L877" s="364"/>
      <c r="M877" s="364"/>
      <c r="N877" s="364"/>
      <c r="O877" s="364"/>
      <c r="P877" s="364"/>
      <c r="Q877" s="364"/>
      <c r="R877" s="364"/>
      <c r="S877" s="364"/>
      <c r="T877" s="364"/>
      <c r="U877" s="364"/>
      <c r="V877" s="364"/>
      <c r="W877" s="364"/>
      <c r="X877" s="364"/>
      <c r="Y877" s="364"/>
      <c r="Z877" s="364"/>
    </row>
    <row r="878">
      <c r="A878" s="367"/>
      <c r="B878" s="367"/>
      <c r="C878" s="364"/>
      <c r="D878" s="364"/>
      <c r="E878" s="364"/>
      <c r="F878" s="364"/>
      <c r="G878" s="364"/>
      <c r="H878" s="364"/>
      <c r="I878" s="364"/>
      <c r="J878" s="364"/>
      <c r="K878" s="364"/>
      <c r="L878" s="364"/>
      <c r="M878" s="364"/>
      <c r="N878" s="364"/>
      <c r="O878" s="364"/>
      <c r="P878" s="364"/>
      <c r="Q878" s="364"/>
      <c r="R878" s="364"/>
      <c r="S878" s="364"/>
      <c r="T878" s="364"/>
      <c r="U878" s="364"/>
      <c r="V878" s="364"/>
      <c r="W878" s="364"/>
      <c r="X878" s="364"/>
      <c r="Y878" s="364"/>
      <c r="Z878" s="364"/>
    </row>
    <row r="879">
      <c r="A879" s="367"/>
      <c r="B879" s="367"/>
      <c r="C879" s="364"/>
      <c r="D879" s="364"/>
      <c r="E879" s="364"/>
      <c r="F879" s="364"/>
      <c r="G879" s="364"/>
      <c r="H879" s="364"/>
      <c r="I879" s="364"/>
      <c r="J879" s="364"/>
      <c r="K879" s="364"/>
      <c r="L879" s="364"/>
      <c r="M879" s="364"/>
      <c r="N879" s="364"/>
      <c r="O879" s="364"/>
      <c r="P879" s="364"/>
      <c r="Q879" s="364"/>
      <c r="R879" s="364"/>
      <c r="S879" s="364"/>
      <c r="T879" s="364"/>
      <c r="U879" s="364"/>
      <c r="V879" s="364"/>
      <c r="W879" s="364"/>
      <c r="X879" s="364"/>
      <c r="Y879" s="364"/>
      <c r="Z879" s="364"/>
    </row>
    <row r="880">
      <c r="A880" s="367"/>
      <c r="B880" s="367"/>
      <c r="C880" s="364"/>
      <c r="D880" s="364"/>
      <c r="E880" s="364"/>
      <c r="F880" s="364"/>
      <c r="G880" s="364"/>
      <c r="H880" s="364"/>
      <c r="I880" s="364"/>
      <c r="J880" s="364"/>
      <c r="K880" s="364"/>
      <c r="L880" s="364"/>
      <c r="M880" s="364"/>
      <c r="N880" s="364"/>
      <c r="O880" s="364"/>
      <c r="P880" s="364"/>
      <c r="Q880" s="364"/>
      <c r="R880" s="364"/>
      <c r="S880" s="364"/>
      <c r="T880" s="364"/>
      <c r="U880" s="364"/>
      <c r="V880" s="364"/>
      <c r="W880" s="364"/>
      <c r="X880" s="364"/>
      <c r="Y880" s="364"/>
      <c r="Z880" s="364"/>
    </row>
    <row r="881">
      <c r="A881" s="367"/>
      <c r="B881" s="367"/>
      <c r="C881" s="364"/>
      <c r="D881" s="364"/>
      <c r="E881" s="364"/>
      <c r="F881" s="364"/>
      <c r="G881" s="364"/>
      <c r="H881" s="364"/>
      <c r="I881" s="364"/>
      <c r="J881" s="364"/>
      <c r="K881" s="364"/>
      <c r="L881" s="364"/>
      <c r="M881" s="364"/>
      <c r="N881" s="364"/>
      <c r="O881" s="364"/>
      <c r="P881" s="364"/>
      <c r="Q881" s="364"/>
      <c r="R881" s="364"/>
      <c r="S881" s="364"/>
      <c r="T881" s="364"/>
      <c r="U881" s="364"/>
      <c r="V881" s="364"/>
      <c r="W881" s="364"/>
      <c r="X881" s="364"/>
      <c r="Y881" s="364"/>
      <c r="Z881" s="364"/>
    </row>
    <row r="882">
      <c r="A882" s="367"/>
      <c r="B882" s="367"/>
      <c r="C882" s="364"/>
      <c r="D882" s="364"/>
      <c r="E882" s="364"/>
      <c r="F882" s="364"/>
      <c r="G882" s="364"/>
      <c r="H882" s="364"/>
      <c r="I882" s="364"/>
      <c r="J882" s="364"/>
      <c r="K882" s="364"/>
      <c r="L882" s="364"/>
      <c r="M882" s="364"/>
      <c r="N882" s="364"/>
      <c r="O882" s="364"/>
      <c r="P882" s="364"/>
      <c r="Q882" s="364"/>
      <c r="R882" s="364"/>
      <c r="S882" s="364"/>
      <c r="T882" s="364"/>
      <c r="U882" s="364"/>
      <c r="V882" s="364"/>
      <c r="W882" s="364"/>
      <c r="X882" s="364"/>
      <c r="Y882" s="364"/>
      <c r="Z882" s="364"/>
    </row>
    <row r="883">
      <c r="A883" s="367"/>
      <c r="B883" s="367"/>
      <c r="C883" s="364"/>
      <c r="D883" s="364"/>
      <c r="E883" s="364"/>
      <c r="F883" s="364"/>
      <c r="G883" s="364"/>
      <c r="H883" s="364"/>
      <c r="I883" s="364"/>
      <c r="J883" s="364"/>
      <c r="K883" s="364"/>
      <c r="L883" s="364"/>
      <c r="M883" s="364"/>
      <c r="N883" s="364"/>
      <c r="O883" s="364"/>
      <c r="P883" s="364"/>
      <c r="Q883" s="364"/>
      <c r="R883" s="364"/>
      <c r="S883" s="364"/>
      <c r="T883" s="364"/>
      <c r="U883" s="364"/>
      <c r="V883" s="364"/>
      <c r="W883" s="364"/>
      <c r="X883" s="364"/>
      <c r="Y883" s="364"/>
      <c r="Z883" s="364"/>
    </row>
    <row r="884">
      <c r="A884" s="367"/>
      <c r="B884" s="367"/>
      <c r="C884" s="364"/>
      <c r="D884" s="364"/>
      <c r="E884" s="364"/>
      <c r="F884" s="364"/>
      <c r="G884" s="364"/>
      <c r="H884" s="364"/>
      <c r="I884" s="364"/>
      <c r="J884" s="364"/>
      <c r="K884" s="364"/>
      <c r="L884" s="364"/>
      <c r="M884" s="364"/>
      <c r="N884" s="364"/>
      <c r="O884" s="364"/>
      <c r="P884" s="364"/>
      <c r="Q884" s="364"/>
      <c r="R884" s="364"/>
      <c r="S884" s="364"/>
      <c r="T884" s="364"/>
      <c r="U884" s="364"/>
      <c r="V884" s="364"/>
      <c r="W884" s="364"/>
      <c r="X884" s="364"/>
      <c r="Y884" s="364"/>
      <c r="Z884" s="364"/>
    </row>
    <row r="885">
      <c r="A885" s="367"/>
      <c r="B885" s="367"/>
      <c r="C885" s="364"/>
      <c r="D885" s="364"/>
      <c r="E885" s="364"/>
      <c r="F885" s="364"/>
      <c r="G885" s="364"/>
      <c r="H885" s="364"/>
      <c r="I885" s="364"/>
      <c r="J885" s="364"/>
      <c r="K885" s="364"/>
      <c r="L885" s="364"/>
      <c r="M885" s="364"/>
      <c r="N885" s="364"/>
      <c r="O885" s="364"/>
      <c r="P885" s="364"/>
      <c r="Q885" s="364"/>
      <c r="R885" s="364"/>
      <c r="S885" s="364"/>
      <c r="T885" s="364"/>
      <c r="U885" s="364"/>
      <c r="V885" s="364"/>
      <c r="W885" s="364"/>
      <c r="X885" s="364"/>
      <c r="Y885" s="364"/>
      <c r="Z885" s="364"/>
    </row>
    <row r="886">
      <c r="A886" s="367"/>
      <c r="B886" s="367"/>
      <c r="C886" s="364"/>
      <c r="D886" s="364"/>
      <c r="E886" s="364"/>
      <c r="F886" s="364"/>
      <c r="G886" s="364"/>
      <c r="H886" s="364"/>
      <c r="I886" s="364"/>
      <c r="J886" s="364"/>
      <c r="K886" s="364"/>
      <c r="L886" s="364"/>
      <c r="M886" s="364"/>
      <c r="N886" s="364"/>
      <c r="O886" s="364"/>
      <c r="P886" s="364"/>
      <c r="Q886" s="364"/>
      <c r="R886" s="364"/>
      <c r="S886" s="364"/>
      <c r="T886" s="364"/>
      <c r="U886" s="364"/>
      <c r="V886" s="364"/>
      <c r="W886" s="364"/>
      <c r="X886" s="364"/>
      <c r="Y886" s="364"/>
      <c r="Z886" s="364"/>
    </row>
    <row r="887">
      <c r="A887" s="367"/>
      <c r="B887" s="367"/>
      <c r="C887" s="364"/>
      <c r="D887" s="364"/>
      <c r="E887" s="364"/>
      <c r="F887" s="364"/>
      <c r="G887" s="364"/>
      <c r="H887" s="364"/>
      <c r="I887" s="364"/>
      <c r="J887" s="364"/>
      <c r="K887" s="364"/>
      <c r="L887" s="364"/>
      <c r="M887" s="364"/>
      <c r="N887" s="364"/>
      <c r="O887" s="364"/>
      <c r="P887" s="364"/>
      <c r="Q887" s="364"/>
      <c r="R887" s="364"/>
      <c r="S887" s="364"/>
      <c r="T887" s="364"/>
      <c r="U887" s="364"/>
      <c r="V887" s="364"/>
      <c r="W887" s="364"/>
      <c r="X887" s="364"/>
      <c r="Y887" s="364"/>
      <c r="Z887" s="364"/>
    </row>
    <row r="888">
      <c r="A888" s="367"/>
      <c r="B888" s="367"/>
      <c r="C888" s="364"/>
      <c r="D888" s="364"/>
      <c r="E888" s="364"/>
      <c r="F888" s="364"/>
      <c r="G888" s="364"/>
      <c r="H888" s="364"/>
      <c r="I888" s="364"/>
      <c r="J888" s="364"/>
      <c r="K888" s="364"/>
      <c r="L888" s="364"/>
      <c r="M888" s="364"/>
      <c r="N888" s="364"/>
      <c r="O888" s="364"/>
      <c r="P888" s="364"/>
      <c r="Q888" s="364"/>
      <c r="R888" s="364"/>
      <c r="S888" s="364"/>
      <c r="T888" s="364"/>
      <c r="U888" s="364"/>
      <c r="V888" s="364"/>
      <c r="W888" s="364"/>
      <c r="X888" s="364"/>
      <c r="Y888" s="364"/>
      <c r="Z888" s="364"/>
    </row>
    <row r="889">
      <c r="A889" s="367"/>
      <c r="B889" s="367"/>
      <c r="C889" s="364"/>
      <c r="D889" s="364"/>
      <c r="E889" s="364"/>
      <c r="F889" s="364"/>
      <c r="G889" s="364"/>
      <c r="H889" s="364"/>
      <c r="I889" s="364"/>
      <c r="J889" s="364"/>
      <c r="K889" s="364"/>
      <c r="L889" s="364"/>
      <c r="M889" s="364"/>
      <c r="N889" s="364"/>
      <c r="O889" s="364"/>
      <c r="P889" s="364"/>
      <c r="Q889" s="364"/>
      <c r="R889" s="364"/>
      <c r="S889" s="364"/>
      <c r="T889" s="364"/>
      <c r="U889" s="364"/>
      <c r="V889" s="364"/>
      <c r="W889" s="364"/>
      <c r="X889" s="364"/>
      <c r="Y889" s="364"/>
      <c r="Z889" s="364"/>
    </row>
    <row r="890">
      <c r="A890" s="367"/>
      <c r="B890" s="367"/>
      <c r="C890" s="364"/>
      <c r="D890" s="364"/>
      <c r="E890" s="364"/>
      <c r="F890" s="364"/>
      <c r="G890" s="364"/>
      <c r="H890" s="364"/>
      <c r="I890" s="364"/>
      <c r="J890" s="364"/>
      <c r="K890" s="364"/>
      <c r="L890" s="364"/>
      <c r="M890" s="364"/>
      <c r="N890" s="364"/>
      <c r="O890" s="364"/>
      <c r="P890" s="364"/>
      <c r="Q890" s="364"/>
      <c r="R890" s="364"/>
      <c r="S890" s="364"/>
      <c r="T890" s="364"/>
      <c r="U890" s="364"/>
      <c r="V890" s="364"/>
      <c r="W890" s="364"/>
      <c r="X890" s="364"/>
      <c r="Y890" s="364"/>
      <c r="Z890" s="364"/>
    </row>
    <row r="891">
      <c r="A891" s="367"/>
      <c r="B891" s="367"/>
      <c r="C891" s="364"/>
      <c r="D891" s="364"/>
      <c r="E891" s="364"/>
      <c r="F891" s="364"/>
      <c r="G891" s="364"/>
      <c r="H891" s="364"/>
      <c r="I891" s="364"/>
      <c r="J891" s="364"/>
      <c r="K891" s="364"/>
      <c r="L891" s="364"/>
      <c r="M891" s="364"/>
      <c r="N891" s="364"/>
      <c r="O891" s="364"/>
      <c r="P891" s="364"/>
      <c r="Q891" s="364"/>
      <c r="R891" s="364"/>
      <c r="S891" s="364"/>
      <c r="T891" s="364"/>
      <c r="U891" s="364"/>
      <c r="V891" s="364"/>
      <c r="W891" s="364"/>
      <c r="X891" s="364"/>
      <c r="Y891" s="364"/>
      <c r="Z891" s="364"/>
    </row>
    <row r="892">
      <c r="A892" s="367"/>
      <c r="B892" s="367"/>
      <c r="C892" s="364"/>
      <c r="D892" s="364"/>
      <c r="E892" s="364"/>
      <c r="F892" s="364"/>
      <c r="G892" s="364"/>
      <c r="H892" s="364"/>
      <c r="I892" s="364"/>
      <c r="J892" s="364"/>
      <c r="K892" s="364"/>
      <c r="L892" s="364"/>
      <c r="M892" s="364"/>
      <c r="N892" s="364"/>
      <c r="O892" s="364"/>
      <c r="P892" s="364"/>
      <c r="Q892" s="364"/>
      <c r="R892" s="364"/>
      <c r="S892" s="364"/>
      <c r="T892" s="364"/>
      <c r="U892" s="364"/>
      <c r="V892" s="364"/>
      <c r="W892" s="364"/>
      <c r="X892" s="364"/>
      <c r="Y892" s="364"/>
      <c r="Z892" s="364"/>
    </row>
    <row r="893">
      <c r="A893" s="367"/>
      <c r="B893" s="367"/>
      <c r="C893" s="364"/>
      <c r="D893" s="364"/>
      <c r="E893" s="364"/>
      <c r="F893" s="364"/>
      <c r="G893" s="364"/>
      <c r="H893" s="364"/>
      <c r="I893" s="364"/>
      <c r="J893" s="364"/>
      <c r="K893" s="364"/>
      <c r="L893" s="364"/>
      <c r="M893" s="364"/>
      <c r="N893" s="364"/>
      <c r="O893" s="364"/>
      <c r="P893" s="364"/>
      <c r="Q893" s="364"/>
      <c r="R893" s="364"/>
      <c r="S893" s="364"/>
      <c r="T893" s="364"/>
      <c r="U893" s="364"/>
      <c r="V893" s="364"/>
      <c r="W893" s="364"/>
      <c r="X893" s="364"/>
      <c r="Y893" s="364"/>
      <c r="Z893" s="364"/>
    </row>
    <row r="894">
      <c r="A894" s="367"/>
      <c r="B894" s="367"/>
      <c r="C894" s="364"/>
      <c r="D894" s="364"/>
      <c r="E894" s="364"/>
      <c r="F894" s="364"/>
      <c r="G894" s="364"/>
      <c r="H894" s="364"/>
      <c r="I894" s="364"/>
      <c r="J894" s="364"/>
      <c r="K894" s="364"/>
      <c r="L894" s="364"/>
      <c r="M894" s="364"/>
      <c r="N894" s="364"/>
      <c r="O894" s="364"/>
      <c r="P894" s="364"/>
      <c r="Q894" s="364"/>
      <c r="R894" s="364"/>
      <c r="S894" s="364"/>
      <c r="T894" s="364"/>
      <c r="U894" s="364"/>
      <c r="V894" s="364"/>
      <c r="W894" s="364"/>
      <c r="X894" s="364"/>
      <c r="Y894" s="364"/>
      <c r="Z894" s="364"/>
    </row>
    <row r="895">
      <c r="A895" s="367"/>
      <c r="B895" s="367"/>
      <c r="C895" s="364"/>
      <c r="D895" s="364"/>
      <c r="E895" s="364"/>
      <c r="F895" s="364"/>
      <c r="G895" s="364"/>
      <c r="H895" s="364"/>
      <c r="I895" s="364"/>
      <c r="J895" s="364"/>
      <c r="K895" s="364"/>
      <c r="L895" s="364"/>
      <c r="M895" s="364"/>
      <c r="N895" s="364"/>
      <c r="O895" s="364"/>
      <c r="P895" s="364"/>
      <c r="Q895" s="364"/>
      <c r="R895" s="364"/>
      <c r="S895" s="364"/>
      <c r="T895" s="364"/>
      <c r="U895" s="364"/>
      <c r="V895" s="364"/>
      <c r="W895" s="364"/>
      <c r="X895" s="364"/>
      <c r="Y895" s="364"/>
      <c r="Z895" s="364"/>
    </row>
    <row r="896">
      <c r="A896" s="367"/>
      <c r="B896" s="367"/>
      <c r="C896" s="364"/>
      <c r="D896" s="364"/>
      <c r="E896" s="364"/>
      <c r="F896" s="364"/>
      <c r="G896" s="364"/>
      <c r="H896" s="364"/>
      <c r="I896" s="364"/>
      <c r="J896" s="364"/>
      <c r="K896" s="364"/>
      <c r="L896" s="364"/>
      <c r="M896" s="364"/>
      <c r="N896" s="364"/>
      <c r="O896" s="364"/>
      <c r="P896" s="364"/>
      <c r="Q896" s="364"/>
      <c r="R896" s="364"/>
      <c r="S896" s="364"/>
      <c r="T896" s="364"/>
      <c r="U896" s="364"/>
      <c r="V896" s="364"/>
      <c r="W896" s="364"/>
      <c r="X896" s="364"/>
      <c r="Y896" s="364"/>
      <c r="Z896" s="364"/>
    </row>
    <row r="897">
      <c r="A897" s="367"/>
      <c r="B897" s="367"/>
      <c r="C897" s="364"/>
      <c r="D897" s="364"/>
      <c r="E897" s="364"/>
      <c r="F897" s="364"/>
      <c r="G897" s="364"/>
      <c r="H897" s="364"/>
      <c r="I897" s="364"/>
      <c r="J897" s="364"/>
      <c r="K897" s="364"/>
      <c r="L897" s="364"/>
      <c r="M897" s="364"/>
      <c r="N897" s="364"/>
      <c r="O897" s="364"/>
      <c r="P897" s="364"/>
      <c r="Q897" s="364"/>
      <c r="R897" s="364"/>
      <c r="S897" s="364"/>
      <c r="T897" s="364"/>
      <c r="U897" s="364"/>
      <c r="V897" s="364"/>
      <c r="W897" s="364"/>
      <c r="X897" s="364"/>
      <c r="Y897" s="364"/>
      <c r="Z897" s="364"/>
    </row>
    <row r="898">
      <c r="A898" s="367"/>
      <c r="B898" s="367"/>
      <c r="C898" s="364"/>
      <c r="D898" s="364"/>
      <c r="E898" s="364"/>
      <c r="F898" s="364"/>
      <c r="G898" s="364"/>
      <c r="H898" s="364"/>
      <c r="I898" s="364"/>
      <c r="J898" s="364"/>
      <c r="K898" s="364"/>
      <c r="L898" s="364"/>
      <c r="M898" s="364"/>
      <c r="N898" s="364"/>
      <c r="O898" s="364"/>
      <c r="P898" s="364"/>
      <c r="Q898" s="364"/>
      <c r="R898" s="364"/>
      <c r="S898" s="364"/>
      <c r="T898" s="364"/>
      <c r="U898" s="364"/>
      <c r="V898" s="364"/>
      <c r="W898" s="364"/>
      <c r="X898" s="364"/>
      <c r="Y898" s="364"/>
      <c r="Z898" s="364"/>
    </row>
    <row r="899">
      <c r="A899" s="367"/>
      <c r="B899" s="367"/>
      <c r="C899" s="364"/>
      <c r="D899" s="364"/>
      <c r="E899" s="364"/>
      <c r="F899" s="364"/>
      <c r="G899" s="364"/>
      <c r="H899" s="364"/>
      <c r="I899" s="364"/>
      <c r="J899" s="364"/>
      <c r="K899" s="364"/>
      <c r="L899" s="364"/>
      <c r="M899" s="364"/>
      <c r="N899" s="364"/>
      <c r="O899" s="364"/>
      <c r="P899" s="364"/>
      <c r="Q899" s="364"/>
      <c r="R899" s="364"/>
      <c r="S899" s="364"/>
      <c r="T899" s="364"/>
      <c r="U899" s="364"/>
      <c r="V899" s="364"/>
      <c r="W899" s="364"/>
      <c r="X899" s="364"/>
      <c r="Y899" s="364"/>
      <c r="Z899" s="364"/>
    </row>
    <row r="900">
      <c r="A900" s="367"/>
      <c r="B900" s="367"/>
      <c r="C900" s="364"/>
      <c r="D900" s="364"/>
      <c r="E900" s="364"/>
      <c r="F900" s="364"/>
      <c r="G900" s="364"/>
      <c r="H900" s="364"/>
      <c r="I900" s="364"/>
      <c r="J900" s="364"/>
      <c r="K900" s="364"/>
      <c r="L900" s="364"/>
      <c r="M900" s="364"/>
      <c r="N900" s="364"/>
      <c r="O900" s="364"/>
      <c r="P900" s="364"/>
      <c r="Q900" s="364"/>
      <c r="R900" s="364"/>
      <c r="S900" s="364"/>
      <c r="T900" s="364"/>
      <c r="U900" s="364"/>
      <c r="V900" s="364"/>
      <c r="W900" s="364"/>
      <c r="X900" s="364"/>
      <c r="Y900" s="364"/>
      <c r="Z900" s="364"/>
    </row>
    <row r="901">
      <c r="A901" s="367"/>
      <c r="B901" s="367"/>
      <c r="C901" s="364"/>
      <c r="D901" s="364"/>
      <c r="E901" s="364"/>
      <c r="F901" s="364"/>
      <c r="G901" s="364"/>
      <c r="H901" s="364"/>
      <c r="I901" s="364"/>
      <c r="J901" s="364"/>
      <c r="K901" s="364"/>
      <c r="L901" s="364"/>
      <c r="M901" s="364"/>
      <c r="N901" s="364"/>
      <c r="O901" s="364"/>
      <c r="P901" s="364"/>
      <c r="Q901" s="364"/>
      <c r="R901" s="364"/>
      <c r="S901" s="364"/>
      <c r="T901" s="364"/>
      <c r="U901" s="364"/>
      <c r="V901" s="364"/>
      <c r="W901" s="364"/>
      <c r="X901" s="364"/>
      <c r="Y901" s="364"/>
      <c r="Z901" s="364"/>
    </row>
    <row r="902">
      <c r="A902" s="367"/>
      <c r="B902" s="367"/>
      <c r="C902" s="364"/>
      <c r="D902" s="364"/>
      <c r="E902" s="364"/>
      <c r="F902" s="364"/>
      <c r="G902" s="364"/>
      <c r="H902" s="364"/>
      <c r="I902" s="364"/>
      <c r="J902" s="364"/>
      <c r="K902" s="364"/>
      <c r="L902" s="364"/>
      <c r="M902" s="364"/>
      <c r="N902" s="364"/>
      <c r="O902" s="364"/>
      <c r="P902" s="364"/>
      <c r="Q902" s="364"/>
      <c r="R902" s="364"/>
      <c r="S902" s="364"/>
      <c r="T902" s="364"/>
      <c r="U902" s="364"/>
      <c r="V902" s="364"/>
      <c r="W902" s="364"/>
      <c r="X902" s="364"/>
      <c r="Y902" s="364"/>
      <c r="Z902" s="364"/>
    </row>
    <row r="903">
      <c r="A903" s="367"/>
      <c r="B903" s="367"/>
      <c r="C903" s="364"/>
      <c r="D903" s="364"/>
      <c r="E903" s="364"/>
      <c r="F903" s="364"/>
      <c r="G903" s="364"/>
      <c r="H903" s="364"/>
      <c r="I903" s="364"/>
      <c r="J903" s="364"/>
      <c r="K903" s="364"/>
      <c r="L903" s="364"/>
      <c r="M903" s="364"/>
      <c r="N903" s="364"/>
      <c r="O903" s="364"/>
      <c r="P903" s="364"/>
      <c r="Q903" s="364"/>
      <c r="R903" s="364"/>
      <c r="S903" s="364"/>
      <c r="T903" s="364"/>
      <c r="U903" s="364"/>
      <c r="V903" s="364"/>
      <c r="W903" s="364"/>
      <c r="X903" s="364"/>
      <c r="Y903" s="364"/>
      <c r="Z903" s="364"/>
    </row>
    <row r="904">
      <c r="A904" s="367"/>
      <c r="B904" s="367"/>
      <c r="C904" s="364"/>
      <c r="D904" s="364"/>
      <c r="E904" s="364"/>
      <c r="F904" s="364"/>
      <c r="G904" s="364"/>
      <c r="H904" s="364"/>
      <c r="I904" s="364"/>
      <c r="J904" s="364"/>
      <c r="K904" s="364"/>
      <c r="L904" s="364"/>
      <c r="M904" s="364"/>
      <c r="N904" s="364"/>
      <c r="O904" s="364"/>
      <c r="P904" s="364"/>
      <c r="Q904" s="364"/>
      <c r="R904" s="364"/>
      <c r="S904" s="364"/>
      <c r="T904" s="364"/>
      <c r="U904" s="364"/>
      <c r="V904" s="364"/>
      <c r="W904" s="364"/>
      <c r="X904" s="364"/>
      <c r="Y904" s="364"/>
      <c r="Z904" s="364"/>
    </row>
    <row r="905">
      <c r="A905" s="367"/>
      <c r="B905" s="367"/>
      <c r="C905" s="364"/>
      <c r="D905" s="364"/>
      <c r="E905" s="364"/>
      <c r="F905" s="364"/>
      <c r="G905" s="364"/>
      <c r="H905" s="364"/>
      <c r="I905" s="364"/>
      <c r="J905" s="364"/>
      <c r="K905" s="364"/>
      <c r="L905" s="364"/>
      <c r="M905" s="364"/>
      <c r="N905" s="364"/>
      <c r="O905" s="364"/>
      <c r="P905" s="364"/>
      <c r="Q905" s="364"/>
      <c r="R905" s="364"/>
      <c r="S905" s="364"/>
      <c r="T905" s="364"/>
      <c r="U905" s="364"/>
      <c r="V905" s="364"/>
      <c r="W905" s="364"/>
      <c r="X905" s="364"/>
      <c r="Y905" s="364"/>
      <c r="Z905" s="364"/>
    </row>
    <row r="906">
      <c r="A906" s="367"/>
      <c r="B906" s="367"/>
      <c r="C906" s="364"/>
      <c r="D906" s="364"/>
      <c r="E906" s="364"/>
      <c r="F906" s="364"/>
      <c r="G906" s="364"/>
      <c r="H906" s="364"/>
      <c r="I906" s="364"/>
      <c r="J906" s="364"/>
      <c r="K906" s="364"/>
      <c r="L906" s="364"/>
      <c r="M906" s="364"/>
      <c r="N906" s="364"/>
      <c r="O906" s="364"/>
      <c r="P906" s="364"/>
      <c r="Q906" s="364"/>
      <c r="R906" s="364"/>
      <c r="S906" s="364"/>
      <c r="T906" s="364"/>
      <c r="U906" s="364"/>
      <c r="V906" s="364"/>
      <c r="W906" s="364"/>
      <c r="X906" s="364"/>
      <c r="Y906" s="364"/>
      <c r="Z906" s="364"/>
    </row>
    <row r="907">
      <c r="A907" s="367"/>
      <c r="B907" s="367"/>
      <c r="C907" s="364"/>
      <c r="D907" s="364"/>
      <c r="E907" s="364"/>
      <c r="F907" s="364"/>
      <c r="G907" s="364"/>
      <c r="H907" s="364"/>
      <c r="I907" s="364"/>
      <c r="J907" s="364"/>
      <c r="K907" s="364"/>
      <c r="L907" s="364"/>
      <c r="M907" s="364"/>
      <c r="N907" s="364"/>
      <c r="O907" s="364"/>
      <c r="P907" s="364"/>
      <c r="Q907" s="364"/>
      <c r="R907" s="364"/>
      <c r="S907" s="364"/>
      <c r="T907" s="364"/>
      <c r="U907" s="364"/>
      <c r="V907" s="364"/>
      <c r="W907" s="364"/>
      <c r="X907" s="364"/>
      <c r="Y907" s="364"/>
      <c r="Z907" s="364"/>
    </row>
    <row r="908">
      <c r="A908" s="367"/>
      <c r="B908" s="367"/>
      <c r="C908" s="364"/>
      <c r="D908" s="364"/>
      <c r="E908" s="364"/>
      <c r="F908" s="364"/>
      <c r="G908" s="364"/>
      <c r="H908" s="364"/>
      <c r="I908" s="364"/>
      <c r="J908" s="364"/>
      <c r="K908" s="364"/>
      <c r="L908" s="364"/>
      <c r="M908" s="364"/>
      <c r="N908" s="364"/>
      <c r="O908" s="364"/>
      <c r="P908" s="364"/>
      <c r="Q908" s="364"/>
      <c r="R908" s="364"/>
      <c r="S908" s="364"/>
      <c r="T908" s="364"/>
      <c r="U908" s="364"/>
      <c r="V908" s="364"/>
      <c r="W908" s="364"/>
      <c r="X908" s="364"/>
      <c r="Y908" s="364"/>
      <c r="Z908" s="364"/>
    </row>
    <row r="909">
      <c r="A909" s="367"/>
      <c r="B909" s="367"/>
      <c r="C909" s="364"/>
      <c r="D909" s="364"/>
      <c r="E909" s="364"/>
      <c r="F909" s="364"/>
      <c r="G909" s="364"/>
      <c r="H909" s="364"/>
      <c r="I909" s="364"/>
      <c r="J909" s="364"/>
      <c r="K909" s="364"/>
      <c r="L909" s="364"/>
      <c r="M909" s="364"/>
      <c r="N909" s="364"/>
      <c r="O909" s="364"/>
      <c r="P909" s="364"/>
      <c r="Q909" s="364"/>
      <c r="R909" s="364"/>
      <c r="S909" s="364"/>
      <c r="T909" s="364"/>
      <c r="U909" s="364"/>
      <c r="V909" s="364"/>
      <c r="W909" s="364"/>
      <c r="X909" s="364"/>
      <c r="Y909" s="364"/>
      <c r="Z909" s="364"/>
    </row>
    <row r="910">
      <c r="A910" s="367"/>
      <c r="B910" s="367"/>
      <c r="C910" s="364"/>
      <c r="D910" s="364"/>
      <c r="E910" s="364"/>
      <c r="F910" s="364"/>
      <c r="G910" s="364"/>
      <c r="H910" s="364"/>
      <c r="I910" s="364"/>
      <c r="J910" s="364"/>
      <c r="K910" s="364"/>
      <c r="L910" s="364"/>
      <c r="M910" s="364"/>
      <c r="N910" s="364"/>
      <c r="O910" s="364"/>
      <c r="P910" s="364"/>
      <c r="Q910" s="364"/>
      <c r="R910" s="364"/>
      <c r="S910" s="364"/>
      <c r="T910" s="364"/>
      <c r="U910" s="364"/>
      <c r="V910" s="364"/>
      <c r="W910" s="364"/>
      <c r="X910" s="364"/>
      <c r="Y910" s="364"/>
      <c r="Z910" s="364"/>
    </row>
    <row r="911">
      <c r="A911" s="367"/>
      <c r="B911" s="367"/>
      <c r="C911" s="364"/>
      <c r="D911" s="364"/>
      <c r="E911" s="364"/>
      <c r="F911" s="364"/>
      <c r="G911" s="364"/>
      <c r="H911" s="364"/>
      <c r="I911" s="364"/>
      <c r="J911" s="364"/>
      <c r="K911" s="364"/>
      <c r="L911" s="364"/>
      <c r="M911" s="364"/>
      <c r="N911" s="364"/>
      <c r="O911" s="364"/>
      <c r="P911" s="364"/>
      <c r="Q911" s="364"/>
      <c r="R911" s="364"/>
      <c r="S911" s="364"/>
      <c r="T911" s="364"/>
      <c r="U911" s="364"/>
      <c r="V911" s="364"/>
      <c r="W911" s="364"/>
      <c r="X911" s="364"/>
      <c r="Y911" s="364"/>
      <c r="Z911" s="364"/>
    </row>
    <row r="912">
      <c r="A912" s="367"/>
      <c r="B912" s="367"/>
      <c r="C912" s="364"/>
      <c r="D912" s="364"/>
      <c r="E912" s="364"/>
      <c r="F912" s="364"/>
      <c r="G912" s="364"/>
      <c r="H912" s="364"/>
      <c r="I912" s="364"/>
      <c r="J912" s="364"/>
      <c r="K912" s="364"/>
      <c r="L912" s="364"/>
      <c r="M912" s="364"/>
      <c r="N912" s="364"/>
      <c r="O912" s="364"/>
      <c r="P912" s="364"/>
      <c r="Q912" s="364"/>
      <c r="R912" s="364"/>
      <c r="S912" s="364"/>
      <c r="T912" s="364"/>
      <c r="U912" s="364"/>
      <c r="V912" s="364"/>
      <c r="W912" s="364"/>
      <c r="X912" s="364"/>
      <c r="Y912" s="364"/>
      <c r="Z912" s="364"/>
    </row>
    <row r="913">
      <c r="A913" s="367"/>
      <c r="B913" s="367"/>
      <c r="C913" s="364"/>
      <c r="D913" s="364"/>
      <c r="E913" s="364"/>
      <c r="F913" s="364"/>
      <c r="G913" s="364"/>
      <c r="H913" s="364"/>
      <c r="I913" s="364"/>
      <c r="J913" s="364"/>
      <c r="K913" s="364"/>
      <c r="L913" s="364"/>
      <c r="M913" s="364"/>
      <c r="N913" s="364"/>
      <c r="O913" s="364"/>
      <c r="P913" s="364"/>
      <c r="Q913" s="364"/>
      <c r="R913" s="364"/>
      <c r="S913" s="364"/>
      <c r="T913" s="364"/>
      <c r="U913" s="364"/>
      <c r="V913" s="364"/>
      <c r="W913" s="364"/>
      <c r="X913" s="364"/>
      <c r="Y913" s="364"/>
      <c r="Z913" s="364"/>
    </row>
    <row r="914">
      <c r="A914" s="367"/>
      <c r="B914" s="367"/>
      <c r="C914" s="364"/>
      <c r="D914" s="364"/>
      <c r="E914" s="364"/>
      <c r="F914" s="364"/>
      <c r="G914" s="364"/>
      <c r="H914" s="364"/>
      <c r="I914" s="364"/>
      <c r="J914" s="364"/>
      <c r="K914" s="364"/>
      <c r="L914" s="364"/>
      <c r="M914" s="364"/>
      <c r="N914" s="364"/>
      <c r="O914" s="364"/>
      <c r="P914" s="364"/>
      <c r="Q914" s="364"/>
      <c r="R914" s="364"/>
      <c r="S914" s="364"/>
      <c r="T914" s="364"/>
      <c r="U914" s="364"/>
      <c r="V914" s="364"/>
      <c r="W914" s="364"/>
      <c r="X914" s="364"/>
      <c r="Y914" s="364"/>
      <c r="Z914" s="364"/>
    </row>
    <row r="915">
      <c r="A915" s="367"/>
      <c r="B915" s="367"/>
      <c r="C915" s="364"/>
      <c r="D915" s="364"/>
      <c r="E915" s="364"/>
      <c r="F915" s="364"/>
      <c r="G915" s="364"/>
      <c r="H915" s="364"/>
      <c r="I915" s="364"/>
      <c r="J915" s="364"/>
      <c r="K915" s="364"/>
      <c r="L915" s="364"/>
      <c r="M915" s="364"/>
      <c r="N915" s="364"/>
      <c r="O915" s="364"/>
      <c r="P915" s="364"/>
      <c r="Q915" s="364"/>
      <c r="R915" s="364"/>
      <c r="S915" s="364"/>
      <c r="T915" s="364"/>
      <c r="U915" s="364"/>
      <c r="V915" s="364"/>
      <c r="W915" s="364"/>
      <c r="X915" s="364"/>
      <c r="Y915" s="364"/>
      <c r="Z915" s="364"/>
    </row>
    <row r="916">
      <c r="A916" s="367"/>
      <c r="B916" s="367"/>
      <c r="C916" s="364"/>
      <c r="D916" s="364"/>
      <c r="E916" s="364"/>
      <c r="F916" s="364"/>
      <c r="G916" s="364"/>
      <c r="H916" s="364"/>
      <c r="I916" s="364"/>
      <c r="J916" s="364"/>
      <c r="K916" s="364"/>
      <c r="L916" s="364"/>
      <c r="M916" s="364"/>
      <c r="N916" s="364"/>
      <c r="O916" s="364"/>
      <c r="P916" s="364"/>
      <c r="Q916" s="364"/>
      <c r="R916" s="364"/>
      <c r="S916" s="364"/>
      <c r="T916" s="364"/>
      <c r="U916" s="364"/>
      <c r="V916" s="364"/>
      <c r="W916" s="364"/>
      <c r="X916" s="364"/>
      <c r="Y916" s="364"/>
      <c r="Z916" s="364"/>
    </row>
    <row r="917">
      <c r="A917" s="367"/>
      <c r="B917" s="367"/>
      <c r="C917" s="364"/>
      <c r="D917" s="364"/>
      <c r="E917" s="364"/>
      <c r="F917" s="364"/>
      <c r="G917" s="364"/>
      <c r="H917" s="364"/>
      <c r="I917" s="364"/>
      <c r="J917" s="364"/>
      <c r="K917" s="364"/>
      <c r="L917" s="364"/>
      <c r="M917" s="364"/>
      <c r="N917" s="364"/>
      <c r="O917" s="364"/>
      <c r="P917" s="364"/>
      <c r="Q917" s="364"/>
      <c r="R917" s="364"/>
      <c r="S917" s="364"/>
      <c r="T917" s="364"/>
      <c r="U917" s="364"/>
      <c r="V917" s="364"/>
      <c r="W917" s="364"/>
      <c r="X917" s="364"/>
      <c r="Y917" s="364"/>
      <c r="Z917" s="364"/>
    </row>
    <row r="918">
      <c r="A918" s="367"/>
      <c r="B918" s="367"/>
      <c r="C918" s="364"/>
      <c r="D918" s="364"/>
      <c r="E918" s="364"/>
      <c r="F918" s="364"/>
      <c r="G918" s="364"/>
      <c r="H918" s="364"/>
      <c r="I918" s="364"/>
      <c r="J918" s="364"/>
      <c r="K918" s="364"/>
      <c r="L918" s="364"/>
      <c r="M918" s="364"/>
      <c r="N918" s="364"/>
      <c r="O918" s="364"/>
      <c r="P918" s="364"/>
      <c r="Q918" s="364"/>
      <c r="R918" s="364"/>
      <c r="S918" s="364"/>
      <c r="T918" s="364"/>
      <c r="U918" s="364"/>
      <c r="V918" s="364"/>
      <c r="W918" s="364"/>
      <c r="X918" s="364"/>
      <c r="Y918" s="364"/>
      <c r="Z918" s="364"/>
    </row>
    <row r="919">
      <c r="A919" s="367"/>
      <c r="B919" s="367"/>
      <c r="C919" s="364"/>
      <c r="D919" s="364"/>
      <c r="E919" s="364"/>
      <c r="F919" s="364"/>
      <c r="G919" s="364"/>
      <c r="H919" s="364"/>
      <c r="I919" s="364"/>
      <c r="J919" s="364"/>
      <c r="K919" s="364"/>
      <c r="L919" s="364"/>
      <c r="M919" s="364"/>
      <c r="N919" s="364"/>
      <c r="O919" s="364"/>
      <c r="P919" s="364"/>
      <c r="Q919" s="364"/>
      <c r="R919" s="364"/>
      <c r="S919" s="364"/>
      <c r="T919" s="364"/>
      <c r="U919" s="364"/>
      <c r="V919" s="364"/>
      <c r="W919" s="364"/>
      <c r="X919" s="364"/>
      <c r="Y919" s="364"/>
      <c r="Z919" s="364"/>
    </row>
    <row r="920">
      <c r="A920" s="367"/>
      <c r="B920" s="367"/>
      <c r="C920" s="364"/>
      <c r="D920" s="364"/>
      <c r="E920" s="364"/>
      <c r="F920" s="364"/>
      <c r="G920" s="364"/>
      <c r="H920" s="364"/>
      <c r="I920" s="364"/>
      <c r="J920" s="364"/>
      <c r="K920" s="364"/>
      <c r="L920" s="364"/>
      <c r="M920" s="364"/>
      <c r="N920" s="364"/>
      <c r="O920" s="364"/>
      <c r="P920" s="364"/>
      <c r="Q920" s="364"/>
      <c r="R920" s="364"/>
      <c r="S920" s="364"/>
      <c r="T920" s="364"/>
      <c r="U920" s="364"/>
      <c r="V920" s="364"/>
      <c r="W920" s="364"/>
      <c r="X920" s="364"/>
      <c r="Y920" s="364"/>
      <c r="Z920" s="364"/>
    </row>
    <row r="921">
      <c r="A921" s="367"/>
      <c r="B921" s="367"/>
      <c r="C921" s="364"/>
      <c r="D921" s="364"/>
      <c r="E921" s="364"/>
      <c r="F921" s="364"/>
      <c r="G921" s="364"/>
      <c r="H921" s="364"/>
      <c r="I921" s="364"/>
      <c r="J921" s="364"/>
      <c r="K921" s="364"/>
      <c r="L921" s="364"/>
      <c r="M921" s="364"/>
      <c r="N921" s="364"/>
      <c r="O921" s="364"/>
      <c r="P921" s="364"/>
      <c r="Q921" s="364"/>
      <c r="R921" s="364"/>
      <c r="S921" s="364"/>
      <c r="T921" s="364"/>
      <c r="U921" s="364"/>
      <c r="V921" s="364"/>
      <c r="W921" s="364"/>
      <c r="X921" s="364"/>
      <c r="Y921" s="364"/>
      <c r="Z921" s="364"/>
    </row>
    <row r="922">
      <c r="A922" s="367"/>
      <c r="B922" s="367"/>
      <c r="C922" s="364"/>
      <c r="D922" s="364"/>
      <c r="E922" s="364"/>
      <c r="F922" s="364"/>
      <c r="G922" s="364"/>
      <c r="H922" s="364"/>
      <c r="I922" s="364"/>
      <c r="J922" s="364"/>
      <c r="K922" s="364"/>
      <c r="L922" s="364"/>
      <c r="M922" s="364"/>
      <c r="N922" s="364"/>
      <c r="O922" s="364"/>
      <c r="P922" s="364"/>
      <c r="Q922" s="364"/>
      <c r="R922" s="364"/>
      <c r="S922" s="364"/>
      <c r="T922" s="364"/>
      <c r="U922" s="364"/>
      <c r="V922" s="364"/>
      <c r="W922" s="364"/>
      <c r="X922" s="364"/>
      <c r="Y922" s="364"/>
      <c r="Z922" s="364"/>
    </row>
    <row r="923">
      <c r="A923" s="367"/>
      <c r="B923" s="367"/>
      <c r="C923" s="364"/>
      <c r="D923" s="364"/>
      <c r="E923" s="364"/>
      <c r="F923" s="364"/>
      <c r="G923" s="364"/>
      <c r="H923" s="364"/>
      <c r="I923" s="364"/>
      <c r="J923" s="364"/>
      <c r="K923" s="364"/>
      <c r="L923" s="364"/>
      <c r="M923" s="364"/>
      <c r="N923" s="364"/>
      <c r="O923" s="364"/>
      <c r="P923" s="364"/>
      <c r="Q923" s="364"/>
      <c r="R923" s="364"/>
      <c r="S923" s="364"/>
      <c r="T923" s="364"/>
      <c r="U923" s="364"/>
      <c r="V923" s="364"/>
      <c r="W923" s="364"/>
      <c r="X923" s="364"/>
      <c r="Y923" s="364"/>
      <c r="Z923" s="364"/>
    </row>
    <row r="924">
      <c r="A924" s="367"/>
      <c r="B924" s="367"/>
      <c r="C924" s="364"/>
      <c r="D924" s="364"/>
      <c r="E924" s="364"/>
      <c r="F924" s="364"/>
      <c r="G924" s="364"/>
      <c r="H924" s="364"/>
      <c r="I924" s="364"/>
      <c r="J924" s="364"/>
      <c r="K924" s="364"/>
      <c r="L924" s="364"/>
      <c r="M924" s="364"/>
      <c r="N924" s="364"/>
      <c r="O924" s="364"/>
      <c r="P924" s="364"/>
      <c r="Q924" s="364"/>
      <c r="R924" s="364"/>
      <c r="S924" s="364"/>
      <c r="T924" s="364"/>
      <c r="U924" s="364"/>
      <c r="V924" s="364"/>
      <c r="W924" s="364"/>
      <c r="X924" s="364"/>
      <c r="Y924" s="364"/>
      <c r="Z924" s="364"/>
    </row>
    <row r="925">
      <c r="A925" s="367"/>
      <c r="B925" s="367"/>
      <c r="C925" s="364"/>
      <c r="D925" s="364"/>
      <c r="E925" s="364"/>
      <c r="F925" s="364"/>
      <c r="G925" s="364"/>
      <c r="H925" s="364"/>
      <c r="I925" s="364"/>
      <c r="J925" s="364"/>
      <c r="K925" s="364"/>
      <c r="L925" s="364"/>
      <c r="M925" s="364"/>
      <c r="N925" s="364"/>
      <c r="O925" s="364"/>
      <c r="P925" s="364"/>
      <c r="Q925" s="364"/>
      <c r="R925" s="364"/>
      <c r="S925" s="364"/>
      <c r="T925" s="364"/>
      <c r="U925" s="364"/>
      <c r="V925" s="364"/>
      <c r="W925" s="364"/>
      <c r="X925" s="364"/>
      <c r="Y925" s="364"/>
      <c r="Z925" s="364"/>
    </row>
    <row r="926">
      <c r="A926" s="367"/>
      <c r="B926" s="367"/>
      <c r="C926" s="364"/>
      <c r="D926" s="364"/>
      <c r="E926" s="364"/>
      <c r="F926" s="364"/>
      <c r="G926" s="364"/>
      <c r="H926" s="364"/>
      <c r="I926" s="364"/>
      <c r="J926" s="364"/>
      <c r="K926" s="364"/>
      <c r="L926" s="364"/>
      <c r="M926" s="364"/>
      <c r="N926" s="364"/>
      <c r="O926" s="364"/>
      <c r="P926" s="364"/>
      <c r="Q926" s="364"/>
      <c r="R926" s="364"/>
      <c r="S926" s="364"/>
      <c r="T926" s="364"/>
      <c r="U926" s="364"/>
      <c r="V926" s="364"/>
      <c r="W926" s="364"/>
      <c r="X926" s="364"/>
      <c r="Y926" s="364"/>
      <c r="Z926" s="364"/>
    </row>
    <row r="927">
      <c r="A927" s="367"/>
      <c r="B927" s="367"/>
      <c r="C927" s="364"/>
      <c r="D927" s="364"/>
      <c r="E927" s="364"/>
      <c r="F927" s="364"/>
      <c r="G927" s="364"/>
      <c r="H927" s="364"/>
      <c r="I927" s="364"/>
      <c r="J927" s="364"/>
      <c r="K927" s="364"/>
      <c r="L927" s="364"/>
      <c r="M927" s="364"/>
      <c r="N927" s="364"/>
      <c r="O927" s="364"/>
      <c r="P927" s="364"/>
      <c r="Q927" s="364"/>
      <c r="R927" s="364"/>
      <c r="S927" s="364"/>
      <c r="T927" s="364"/>
      <c r="U927" s="364"/>
      <c r="V927" s="364"/>
      <c r="W927" s="364"/>
      <c r="X927" s="364"/>
      <c r="Y927" s="364"/>
      <c r="Z927" s="364"/>
    </row>
    <row r="928">
      <c r="A928" s="367"/>
      <c r="B928" s="367"/>
      <c r="C928" s="364"/>
      <c r="D928" s="364"/>
      <c r="E928" s="364"/>
      <c r="F928" s="364"/>
      <c r="G928" s="364"/>
      <c r="H928" s="364"/>
      <c r="I928" s="364"/>
      <c r="J928" s="364"/>
      <c r="K928" s="364"/>
      <c r="L928" s="364"/>
      <c r="M928" s="364"/>
      <c r="N928" s="364"/>
      <c r="O928" s="364"/>
      <c r="P928" s="364"/>
      <c r="Q928" s="364"/>
      <c r="R928" s="364"/>
      <c r="S928" s="364"/>
      <c r="T928" s="364"/>
      <c r="U928" s="364"/>
      <c r="V928" s="364"/>
      <c r="W928" s="364"/>
      <c r="X928" s="364"/>
      <c r="Y928" s="364"/>
      <c r="Z928" s="364"/>
    </row>
    <row r="929">
      <c r="A929" s="367"/>
      <c r="B929" s="367"/>
      <c r="C929" s="364"/>
      <c r="D929" s="364"/>
      <c r="E929" s="364"/>
      <c r="F929" s="364"/>
      <c r="G929" s="364"/>
      <c r="H929" s="364"/>
      <c r="I929" s="364"/>
      <c r="J929" s="364"/>
      <c r="K929" s="364"/>
      <c r="L929" s="364"/>
      <c r="M929" s="364"/>
      <c r="N929" s="364"/>
      <c r="O929" s="364"/>
      <c r="P929" s="364"/>
      <c r="Q929" s="364"/>
      <c r="R929" s="364"/>
      <c r="S929" s="364"/>
      <c r="T929" s="364"/>
      <c r="U929" s="364"/>
      <c r="V929" s="364"/>
      <c r="W929" s="364"/>
      <c r="X929" s="364"/>
      <c r="Y929" s="364"/>
      <c r="Z929" s="364"/>
    </row>
    <row r="930">
      <c r="A930" s="367"/>
      <c r="B930" s="367"/>
      <c r="C930" s="364"/>
      <c r="D930" s="364"/>
      <c r="E930" s="364"/>
      <c r="F930" s="364"/>
      <c r="G930" s="364"/>
      <c r="H930" s="364"/>
      <c r="I930" s="364"/>
      <c r="J930" s="364"/>
      <c r="K930" s="364"/>
      <c r="L930" s="364"/>
      <c r="M930" s="364"/>
      <c r="N930" s="364"/>
      <c r="O930" s="364"/>
      <c r="P930" s="364"/>
      <c r="Q930" s="364"/>
      <c r="R930" s="364"/>
      <c r="S930" s="364"/>
      <c r="T930" s="364"/>
      <c r="U930" s="364"/>
      <c r="V930" s="364"/>
      <c r="W930" s="364"/>
      <c r="X930" s="364"/>
      <c r="Y930" s="364"/>
      <c r="Z930" s="364"/>
    </row>
    <row r="931">
      <c r="A931" s="367"/>
      <c r="B931" s="367"/>
      <c r="C931" s="364"/>
      <c r="D931" s="364"/>
      <c r="E931" s="364"/>
      <c r="F931" s="364"/>
      <c r="G931" s="364"/>
      <c r="H931" s="364"/>
      <c r="I931" s="364"/>
      <c r="J931" s="364"/>
      <c r="K931" s="364"/>
      <c r="L931" s="364"/>
      <c r="M931" s="364"/>
      <c r="N931" s="364"/>
      <c r="O931" s="364"/>
      <c r="P931" s="364"/>
      <c r="Q931" s="364"/>
      <c r="R931" s="364"/>
      <c r="S931" s="364"/>
      <c r="T931" s="364"/>
      <c r="U931" s="364"/>
      <c r="V931" s="364"/>
      <c r="W931" s="364"/>
      <c r="X931" s="364"/>
      <c r="Y931" s="364"/>
      <c r="Z931" s="364"/>
    </row>
    <row r="932">
      <c r="A932" s="367"/>
      <c r="B932" s="367"/>
      <c r="C932" s="364"/>
      <c r="D932" s="364"/>
      <c r="E932" s="364"/>
      <c r="F932" s="364"/>
      <c r="G932" s="364"/>
      <c r="H932" s="364"/>
      <c r="I932" s="364"/>
      <c r="J932" s="364"/>
      <c r="K932" s="364"/>
      <c r="L932" s="364"/>
      <c r="M932" s="364"/>
      <c r="N932" s="364"/>
      <c r="O932" s="364"/>
      <c r="P932" s="364"/>
      <c r="Q932" s="364"/>
      <c r="R932" s="364"/>
      <c r="S932" s="364"/>
      <c r="T932" s="364"/>
      <c r="U932" s="364"/>
      <c r="V932" s="364"/>
      <c r="W932" s="364"/>
      <c r="X932" s="364"/>
      <c r="Y932" s="364"/>
      <c r="Z932" s="364"/>
    </row>
    <row r="933">
      <c r="A933" s="367"/>
      <c r="B933" s="367"/>
      <c r="C933" s="364"/>
      <c r="D933" s="364"/>
      <c r="E933" s="364"/>
      <c r="F933" s="364"/>
      <c r="G933" s="364"/>
      <c r="H933" s="364"/>
      <c r="I933" s="364"/>
      <c r="J933" s="364"/>
      <c r="K933" s="364"/>
      <c r="L933" s="364"/>
      <c r="M933" s="364"/>
      <c r="N933" s="364"/>
      <c r="O933" s="364"/>
      <c r="P933" s="364"/>
      <c r="Q933" s="364"/>
      <c r="R933" s="364"/>
      <c r="S933" s="364"/>
      <c r="T933" s="364"/>
      <c r="U933" s="364"/>
      <c r="V933" s="364"/>
      <c r="W933" s="364"/>
      <c r="X933" s="364"/>
      <c r="Y933" s="364"/>
      <c r="Z933" s="364"/>
    </row>
    <row r="934">
      <c r="A934" s="367"/>
      <c r="B934" s="367"/>
      <c r="C934" s="364"/>
      <c r="D934" s="364"/>
      <c r="E934" s="364"/>
      <c r="F934" s="364"/>
      <c r="G934" s="364"/>
      <c r="H934" s="364"/>
      <c r="I934" s="364"/>
      <c r="J934" s="364"/>
      <c r="K934" s="364"/>
      <c r="L934" s="364"/>
      <c r="M934" s="364"/>
      <c r="N934" s="364"/>
      <c r="O934" s="364"/>
      <c r="P934" s="364"/>
      <c r="Q934" s="364"/>
      <c r="R934" s="364"/>
      <c r="S934" s="364"/>
      <c r="T934" s="364"/>
      <c r="U934" s="364"/>
      <c r="V934" s="364"/>
      <c r="W934" s="364"/>
      <c r="X934" s="364"/>
      <c r="Y934" s="364"/>
      <c r="Z934" s="364"/>
    </row>
    <row r="935">
      <c r="A935" s="367"/>
      <c r="B935" s="367"/>
      <c r="C935" s="364"/>
      <c r="D935" s="364"/>
      <c r="E935" s="364"/>
      <c r="F935" s="364"/>
      <c r="G935" s="364"/>
      <c r="H935" s="364"/>
      <c r="I935" s="364"/>
      <c r="J935" s="364"/>
      <c r="K935" s="364"/>
      <c r="L935" s="364"/>
      <c r="M935" s="364"/>
      <c r="N935" s="364"/>
      <c r="O935" s="364"/>
      <c r="P935" s="364"/>
      <c r="Q935" s="364"/>
      <c r="R935" s="364"/>
      <c r="S935" s="364"/>
      <c r="T935" s="364"/>
      <c r="U935" s="364"/>
      <c r="V935" s="364"/>
      <c r="W935" s="364"/>
      <c r="X935" s="364"/>
      <c r="Y935" s="364"/>
      <c r="Z935" s="364"/>
    </row>
    <row r="936">
      <c r="A936" s="367"/>
      <c r="B936" s="367"/>
      <c r="C936" s="364"/>
      <c r="D936" s="364"/>
      <c r="E936" s="364"/>
      <c r="F936" s="364"/>
      <c r="G936" s="364"/>
      <c r="H936" s="364"/>
      <c r="I936" s="364"/>
      <c r="J936" s="364"/>
      <c r="K936" s="364"/>
      <c r="L936" s="364"/>
      <c r="M936" s="364"/>
      <c r="N936" s="364"/>
      <c r="O936" s="364"/>
      <c r="P936" s="364"/>
      <c r="Q936" s="364"/>
      <c r="R936" s="364"/>
      <c r="S936" s="364"/>
      <c r="T936" s="364"/>
      <c r="U936" s="364"/>
      <c r="V936" s="364"/>
      <c r="W936" s="364"/>
      <c r="X936" s="364"/>
      <c r="Y936" s="364"/>
      <c r="Z936" s="364"/>
    </row>
    <row r="937">
      <c r="A937" s="367"/>
      <c r="B937" s="367"/>
      <c r="C937" s="364"/>
      <c r="D937" s="364"/>
      <c r="E937" s="364"/>
      <c r="F937" s="364"/>
      <c r="G937" s="364"/>
      <c r="H937" s="364"/>
      <c r="I937" s="364"/>
      <c r="J937" s="364"/>
      <c r="K937" s="364"/>
      <c r="L937" s="364"/>
      <c r="M937" s="364"/>
      <c r="N937" s="364"/>
      <c r="O937" s="364"/>
      <c r="P937" s="364"/>
      <c r="Q937" s="364"/>
      <c r="R937" s="364"/>
      <c r="S937" s="364"/>
      <c r="T937" s="364"/>
      <c r="U937" s="364"/>
      <c r="V937" s="364"/>
      <c r="W937" s="364"/>
      <c r="X937" s="364"/>
      <c r="Y937" s="364"/>
      <c r="Z937" s="364"/>
    </row>
    <row r="938">
      <c r="A938" s="367"/>
      <c r="B938" s="367"/>
      <c r="C938" s="364"/>
      <c r="D938" s="364"/>
      <c r="E938" s="364"/>
      <c r="F938" s="364"/>
      <c r="G938" s="364"/>
      <c r="H938" s="364"/>
      <c r="I938" s="364"/>
      <c r="J938" s="364"/>
      <c r="K938" s="364"/>
      <c r="L938" s="364"/>
      <c r="M938" s="364"/>
      <c r="N938" s="364"/>
      <c r="O938" s="364"/>
      <c r="P938" s="364"/>
      <c r="Q938" s="364"/>
      <c r="R938" s="364"/>
      <c r="S938" s="364"/>
      <c r="T938" s="364"/>
      <c r="U938" s="364"/>
      <c r="V938" s="364"/>
      <c r="W938" s="364"/>
      <c r="X938" s="364"/>
      <c r="Y938" s="364"/>
      <c r="Z938" s="364"/>
    </row>
    <row r="939">
      <c r="A939" s="367"/>
      <c r="B939" s="367"/>
      <c r="C939" s="364"/>
      <c r="D939" s="364"/>
      <c r="E939" s="364"/>
      <c r="F939" s="364"/>
      <c r="G939" s="364"/>
      <c r="H939" s="364"/>
      <c r="I939" s="364"/>
      <c r="J939" s="364"/>
      <c r="K939" s="364"/>
      <c r="L939" s="364"/>
      <c r="M939" s="364"/>
      <c r="N939" s="364"/>
      <c r="O939" s="364"/>
      <c r="P939" s="364"/>
      <c r="Q939" s="364"/>
      <c r="R939" s="364"/>
      <c r="S939" s="364"/>
      <c r="T939" s="364"/>
      <c r="U939" s="364"/>
      <c r="V939" s="364"/>
      <c r="W939" s="364"/>
      <c r="X939" s="364"/>
      <c r="Y939" s="364"/>
      <c r="Z939" s="364"/>
    </row>
    <row r="940">
      <c r="A940" s="367"/>
      <c r="B940" s="367"/>
      <c r="C940" s="364"/>
      <c r="D940" s="364"/>
      <c r="E940" s="364"/>
      <c r="F940" s="364"/>
      <c r="G940" s="364"/>
      <c r="H940" s="364"/>
      <c r="I940" s="364"/>
      <c r="J940" s="364"/>
      <c r="K940" s="364"/>
      <c r="L940" s="364"/>
      <c r="M940" s="364"/>
      <c r="N940" s="364"/>
      <c r="O940" s="364"/>
      <c r="P940" s="364"/>
      <c r="Q940" s="364"/>
      <c r="R940" s="364"/>
      <c r="S940" s="364"/>
      <c r="T940" s="364"/>
      <c r="U940" s="364"/>
      <c r="V940" s="364"/>
      <c r="W940" s="364"/>
      <c r="X940" s="364"/>
      <c r="Y940" s="364"/>
      <c r="Z940" s="364"/>
    </row>
    <row r="941">
      <c r="A941" s="367"/>
      <c r="B941" s="367"/>
      <c r="C941" s="364"/>
      <c r="D941" s="364"/>
      <c r="E941" s="364"/>
      <c r="F941" s="364"/>
      <c r="G941" s="364"/>
      <c r="H941" s="364"/>
      <c r="I941" s="364"/>
      <c r="J941" s="364"/>
      <c r="K941" s="364"/>
      <c r="L941" s="364"/>
      <c r="M941" s="364"/>
      <c r="N941" s="364"/>
      <c r="O941" s="364"/>
      <c r="P941" s="364"/>
      <c r="Q941" s="364"/>
      <c r="R941" s="364"/>
      <c r="S941" s="364"/>
      <c r="T941" s="364"/>
      <c r="U941" s="364"/>
      <c r="V941" s="364"/>
      <c r="W941" s="364"/>
      <c r="X941" s="364"/>
      <c r="Y941" s="364"/>
      <c r="Z941" s="364"/>
    </row>
    <row r="942">
      <c r="A942" s="367"/>
      <c r="B942" s="367"/>
      <c r="C942" s="364"/>
      <c r="D942" s="364"/>
      <c r="E942" s="364"/>
      <c r="F942" s="364"/>
      <c r="G942" s="364"/>
      <c r="H942" s="364"/>
      <c r="I942" s="364"/>
      <c r="J942" s="364"/>
      <c r="K942" s="364"/>
      <c r="L942" s="364"/>
      <c r="M942" s="364"/>
      <c r="N942" s="364"/>
      <c r="O942" s="364"/>
      <c r="P942" s="364"/>
      <c r="Q942" s="364"/>
      <c r="R942" s="364"/>
      <c r="S942" s="364"/>
      <c r="T942" s="364"/>
      <c r="U942" s="364"/>
      <c r="V942" s="364"/>
      <c r="W942" s="364"/>
      <c r="X942" s="364"/>
      <c r="Y942" s="364"/>
      <c r="Z942" s="364"/>
    </row>
    <row r="943">
      <c r="A943" s="367"/>
      <c r="B943" s="367"/>
      <c r="C943" s="364"/>
      <c r="D943" s="364"/>
      <c r="E943" s="364"/>
      <c r="F943" s="364"/>
      <c r="G943" s="364"/>
      <c r="H943" s="364"/>
      <c r="I943" s="364"/>
      <c r="J943" s="364"/>
      <c r="K943" s="364"/>
      <c r="L943" s="364"/>
      <c r="M943" s="364"/>
      <c r="N943" s="364"/>
      <c r="O943" s="364"/>
      <c r="P943" s="364"/>
      <c r="Q943" s="364"/>
      <c r="R943" s="364"/>
      <c r="S943" s="364"/>
      <c r="T943" s="364"/>
      <c r="U943" s="364"/>
      <c r="V943" s="364"/>
      <c r="W943" s="364"/>
      <c r="X943" s="364"/>
      <c r="Y943" s="364"/>
      <c r="Z943" s="364"/>
    </row>
    <row r="944">
      <c r="A944" s="367"/>
      <c r="B944" s="367"/>
      <c r="C944" s="364"/>
      <c r="D944" s="364"/>
      <c r="E944" s="364"/>
      <c r="F944" s="364"/>
      <c r="G944" s="364"/>
      <c r="H944" s="364"/>
      <c r="I944" s="364"/>
      <c r="J944" s="364"/>
      <c r="K944" s="364"/>
      <c r="L944" s="364"/>
      <c r="M944" s="364"/>
      <c r="N944" s="364"/>
      <c r="O944" s="364"/>
      <c r="P944" s="364"/>
      <c r="Q944" s="364"/>
      <c r="R944" s="364"/>
      <c r="S944" s="364"/>
      <c r="T944" s="364"/>
      <c r="U944" s="364"/>
      <c r="V944" s="364"/>
      <c r="W944" s="364"/>
      <c r="X944" s="364"/>
      <c r="Y944" s="364"/>
      <c r="Z944" s="364"/>
    </row>
    <row r="945">
      <c r="A945" s="367"/>
      <c r="B945" s="367"/>
      <c r="C945" s="364"/>
      <c r="D945" s="364"/>
      <c r="E945" s="364"/>
      <c r="F945" s="364"/>
      <c r="G945" s="364"/>
      <c r="H945" s="364"/>
      <c r="I945" s="364"/>
      <c r="J945" s="364"/>
      <c r="K945" s="364"/>
      <c r="L945" s="364"/>
      <c r="M945" s="364"/>
      <c r="N945" s="364"/>
      <c r="O945" s="364"/>
      <c r="P945" s="364"/>
      <c r="Q945" s="364"/>
      <c r="R945" s="364"/>
      <c r="S945" s="364"/>
      <c r="T945" s="364"/>
      <c r="U945" s="364"/>
      <c r="V945" s="364"/>
      <c r="W945" s="364"/>
      <c r="X945" s="364"/>
      <c r="Y945" s="364"/>
      <c r="Z945" s="364"/>
    </row>
    <row r="946">
      <c r="A946" s="367"/>
      <c r="B946" s="367"/>
      <c r="C946" s="364"/>
      <c r="D946" s="364"/>
      <c r="E946" s="364"/>
      <c r="F946" s="364"/>
      <c r="G946" s="364"/>
      <c r="H946" s="364"/>
      <c r="I946" s="364"/>
      <c r="J946" s="364"/>
      <c r="K946" s="364"/>
      <c r="L946" s="364"/>
      <c r="M946" s="364"/>
      <c r="N946" s="364"/>
      <c r="O946" s="364"/>
      <c r="P946" s="364"/>
      <c r="Q946" s="364"/>
      <c r="R946" s="364"/>
      <c r="S946" s="364"/>
      <c r="T946" s="364"/>
      <c r="U946" s="364"/>
      <c r="V946" s="364"/>
      <c r="W946" s="364"/>
      <c r="X946" s="364"/>
      <c r="Y946" s="364"/>
      <c r="Z946" s="364"/>
    </row>
    <row r="947">
      <c r="A947" s="367"/>
      <c r="B947" s="367"/>
      <c r="C947" s="364"/>
      <c r="D947" s="364"/>
      <c r="E947" s="364"/>
      <c r="F947" s="364"/>
      <c r="G947" s="364"/>
      <c r="H947" s="364"/>
      <c r="I947" s="364"/>
      <c r="J947" s="364"/>
      <c r="K947" s="364"/>
      <c r="L947" s="364"/>
      <c r="M947" s="364"/>
      <c r="N947" s="364"/>
      <c r="O947" s="364"/>
      <c r="P947" s="364"/>
      <c r="Q947" s="364"/>
      <c r="R947" s="364"/>
      <c r="S947" s="364"/>
      <c r="T947" s="364"/>
      <c r="U947" s="364"/>
      <c r="V947" s="364"/>
      <c r="W947" s="364"/>
      <c r="X947" s="364"/>
      <c r="Y947" s="364"/>
      <c r="Z947" s="364"/>
    </row>
    <row r="948">
      <c r="A948" s="367"/>
      <c r="B948" s="367"/>
      <c r="C948" s="364"/>
      <c r="D948" s="364"/>
      <c r="E948" s="364"/>
      <c r="F948" s="364"/>
      <c r="G948" s="364"/>
      <c r="H948" s="364"/>
      <c r="I948" s="364"/>
      <c r="J948" s="364"/>
      <c r="K948" s="364"/>
      <c r="L948" s="364"/>
      <c r="M948" s="364"/>
      <c r="N948" s="364"/>
      <c r="O948" s="364"/>
      <c r="P948" s="364"/>
      <c r="Q948" s="364"/>
      <c r="R948" s="364"/>
      <c r="S948" s="364"/>
      <c r="T948" s="364"/>
      <c r="U948" s="364"/>
      <c r="V948" s="364"/>
      <c r="W948" s="364"/>
      <c r="X948" s="364"/>
      <c r="Y948" s="364"/>
      <c r="Z948" s="364"/>
    </row>
    <row r="949">
      <c r="A949" s="367"/>
      <c r="B949" s="367"/>
      <c r="C949" s="364"/>
      <c r="D949" s="364"/>
      <c r="E949" s="364"/>
      <c r="F949" s="364"/>
      <c r="G949" s="364"/>
      <c r="H949" s="364"/>
      <c r="I949" s="364"/>
      <c r="J949" s="364"/>
      <c r="K949" s="364"/>
      <c r="L949" s="364"/>
      <c r="M949" s="364"/>
      <c r="N949" s="364"/>
      <c r="O949" s="364"/>
      <c r="P949" s="364"/>
      <c r="Q949" s="364"/>
      <c r="R949" s="364"/>
      <c r="S949" s="364"/>
      <c r="T949" s="364"/>
      <c r="U949" s="364"/>
      <c r="V949" s="364"/>
      <c r="W949" s="364"/>
      <c r="X949" s="364"/>
      <c r="Y949" s="364"/>
      <c r="Z949" s="364"/>
    </row>
    <row r="950">
      <c r="A950" s="367"/>
      <c r="B950" s="367"/>
      <c r="C950" s="364"/>
      <c r="D950" s="364"/>
      <c r="E950" s="364"/>
      <c r="F950" s="364"/>
      <c r="G950" s="364"/>
      <c r="H950" s="364"/>
      <c r="I950" s="364"/>
      <c r="J950" s="364"/>
      <c r="K950" s="364"/>
      <c r="L950" s="364"/>
      <c r="M950" s="364"/>
      <c r="N950" s="364"/>
      <c r="O950" s="364"/>
      <c r="P950" s="364"/>
      <c r="Q950" s="364"/>
      <c r="R950" s="364"/>
      <c r="S950" s="364"/>
      <c r="T950" s="364"/>
      <c r="U950" s="364"/>
      <c r="V950" s="364"/>
      <c r="W950" s="364"/>
      <c r="X950" s="364"/>
      <c r="Y950" s="364"/>
      <c r="Z950" s="364"/>
    </row>
    <row r="951">
      <c r="A951" s="367"/>
      <c r="B951" s="367"/>
      <c r="C951" s="364"/>
      <c r="D951" s="364"/>
      <c r="E951" s="364"/>
      <c r="F951" s="364"/>
      <c r="G951" s="364"/>
      <c r="H951" s="364"/>
      <c r="I951" s="364"/>
      <c r="J951" s="364"/>
      <c r="K951" s="364"/>
      <c r="L951" s="364"/>
      <c r="M951" s="364"/>
      <c r="N951" s="364"/>
      <c r="O951" s="364"/>
      <c r="P951" s="364"/>
      <c r="Q951" s="364"/>
      <c r="R951" s="364"/>
      <c r="S951" s="364"/>
      <c r="T951" s="364"/>
      <c r="U951" s="364"/>
      <c r="V951" s="364"/>
      <c r="W951" s="364"/>
      <c r="X951" s="364"/>
      <c r="Y951" s="364"/>
      <c r="Z951" s="364"/>
    </row>
    <row r="952">
      <c r="A952" s="367"/>
      <c r="B952" s="367"/>
      <c r="C952" s="364"/>
      <c r="D952" s="364"/>
      <c r="E952" s="364"/>
      <c r="F952" s="364"/>
      <c r="G952" s="364"/>
      <c r="H952" s="364"/>
      <c r="I952" s="364"/>
      <c r="J952" s="364"/>
      <c r="K952" s="364"/>
      <c r="L952" s="364"/>
      <c r="M952" s="364"/>
      <c r="N952" s="364"/>
      <c r="O952" s="364"/>
      <c r="P952" s="364"/>
      <c r="Q952" s="364"/>
      <c r="R952" s="364"/>
      <c r="S952" s="364"/>
      <c r="T952" s="364"/>
      <c r="U952" s="364"/>
      <c r="V952" s="364"/>
      <c r="W952" s="364"/>
      <c r="X952" s="364"/>
      <c r="Y952" s="364"/>
      <c r="Z952" s="364"/>
    </row>
    <row r="953">
      <c r="A953" s="367"/>
      <c r="B953" s="367"/>
      <c r="C953" s="364"/>
      <c r="D953" s="364"/>
      <c r="E953" s="364"/>
      <c r="F953" s="364"/>
      <c r="G953" s="364"/>
      <c r="H953" s="364"/>
      <c r="I953" s="364"/>
      <c r="J953" s="364"/>
      <c r="K953" s="364"/>
      <c r="L953" s="364"/>
      <c r="M953" s="364"/>
      <c r="N953" s="364"/>
      <c r="O953" s="364"/>
      <c r="P953" s="364"/>
      <c r="Q953" s="364"/>
      <c r="R953" s="364"/>
      <c r="S953" s="364"/>
      <c r="T953" s="364"/>
      <c r="U953" s="364"/>
      <c r="V953" s="364"/>
      <c r="W953" s="364"/>
      <c r="X953" s="364"/>
      <c r="Y953" s="364"/>
      <c r="Z953" s="364"/>
    </row>
    <row r="954">
      <c r="A954" s="367"/>
      <c r="B954" s="367"/>
      <c r="C954" s="364"/>
      <c r="D954" s="364"/>
      <c r="E954" s="364"/>
      <c r="F954" s="364"/>
      <c r="G954" s="364"/>
      <c r="H954" s="364"/>
      <c r="I954" s="364"/>
      <c r="J954" s="364"/>
      <c r="K954" s="364"/>
      <c r="L954" s="364"/>
      <c r="M954" s="364"/>
      <c r="N954" s="364"/>
      <c r="O954" s="364"/>
      <c r="P954" s="364"/>
      <c r="Q954" s="364"/>
      <c r="R954" s="364"/>
      <c r="S954" s="364"/>
      <c r="T954" s="364"/>
      <c r="U954" s="364"/>
      <c r="V954" s="364"/>
      <c r="W954" s="364"/>
      <c r="X954" s="364"/>
      <c r="Y954" s="364"/>
      <c r="Z954" s="364"/>
    </row>
    <row r="955">
      <c r="A955" s="367"/>
      <c r="B955" s="367"/>
      <c r="C955" s="364"/>
      <c r="D955" s="364"/>
      <c r="E955" s="364"/>
      <c r="F955" s="364"/>
      <c r="G955" s="364"/>
      <c r="H955" s="364"/>
      <c r="I955" s="364"/>
      <c r="J955" s="364"/>
      <c r="K955" s="364"/>
      <c r="L955" s="364"/>
      <c r="M955" s="364"/>
      <c r="N955" s="364"/>
      <c r="O955" s="364"/>
      <c r="P955" s="364"/>
      <c r="Q955" s="364"/>
      <c r="R955" s="364"/>
      <c r="S955" s="364"/>
      <c r="T955" s="364"/>
      <c r="U955" s="364"/>
      <c r="V955" s="364"/>
      <c r="W955" s="364"/>
      <c r="X955" s="364"/>
      <c r="Y955" s="364"/>
      <c r="Z955" s="364"/>
    </row>
    <row r="956">
      <c r="A956" s="367"/>
      <c r="B956" s="367"/>
      <c r="C956" s="364"/>
      <c r="D956" s="364"/>
      <c r="E956" s="364"/>
      <c r="F956" s="364"/>
      <c r="G956" s="364"/>
      <c r="H956" s="364"/>
      <c r="I956" s="364"/>
      <c r="J956" s="364"/>
      <c r="K956" s="364"/>
      <c r="L956" s="364"/>
      <c r="M956" s="364"/>
      <c r="N956" s="364"/>
      <c r="O956" s="364"/>
      <c r="P956" s="364"/>
      <c r="Q956" s="364"/>
      <c r="R956" s="364"/>
      <c r="S956" s="364"/>
      <c r="T956" s="364"/>
      <c r="U956" s="364"/>
      <c r="V956" s="364"/>
      <c r="W956" s="364"/>
      <c r="X956" s="364"/>
      <c r="Y956" s="364"/>
      <c r="Z956" s="364"/>
    </row>
    <row r="957">
      <c r="A957" s="367"/>
      <c r="B957" s="367"/>
      <c r="C957" s="364"/>
      <c r="D957" s="364"/>
      <c r="E957" s="364"/>
      <c r="F957" s="364"/>
      <c r="G957" s="364"/>
      <c r="H957" s="364"/>
      <c r="I957" s="364"/>
      <c r="J957" s="364"/>
      <c r="K957" s="364"/>
      <c r="L957" s="364"/>
      <c r="M957" s="364"/>
      <c r="N957" s="364"/>
      <c r="O957" s="364"/>
      <c r="P957" s="364"/>
      <c r="Q957" s="364"/>
      <c r="R957" s="364"/>
      <c r="S957" s="364"/>
      <c r="T957" s="364"/>
      <c r="U957" s="364"/>
      <c r="V957" s="364"/>
      <c r="W957" s="364"/>
      <c r="X957" s="364"/>
      <c r="Y957" s="364"/>
      <c r="Z957" s="364"/>
    </row>
    <row r="958">
      <c r="A958" s="367"/>
      <c r="B958" s="367"/>
      <c r="C958" s="364"/>
      <c r="D958" s="364"/>
      <c r="E958" s="364"/>
      <c r="F958" s="364"/>
      <c r="G958" s="364"/>
      <c r="H958" s="364"/>
      <c r="I958" s="364"/>
      <c r="J958" s="364"/>
      <c r="K958" s="364"/>
      <c r="L958" s="364"/>
      <c r="M958" s="364"/>
      <c r="N958" s="364"/>
      <c r="O958" s="364"/>
      <c r="P958" s="364"/>
      <c r="Q958" s="364"/>
      <c r="R958" s="364"/>
      <c r="S958" s="364"/>
      <c r="T958" s="364"/>
      <c r="U958" s="364"/>
      <c r="V958" s="364"/>
      <c r="W958" s="364"/>
      <c r="X958" s="364"/>
      <c r="Y958" s="364"/>
      <c r="Z958" s="364"/>
    </row>
    <row r="959">
      <c r="A959" s="367"/>
      <c r="B959" s="367"/>
      <c r="C959" s="364"/>
      <c r="D959" s="364"/>
      <c r="E959" s="364"/>
      <c r="F959" s="364"/>
      <c r="G959" s="364"/>
      <c r="H959" s="364"/>
      <c r="I959" s="364"/>
      <c r="J959" s="364"/>
      <c r="K959" s="364"/>
      <c r="L959" s="364"/>
      <c r="M959" s="364"/>
      <c r="N959" s="364"/>
      <c r="O959" s="364"/>
      <c r="P959" s="364"/>
      <c r="Q959" s="364"/>
      <c r="R959" s="364"/>
      <c r="S959" s="364"/>
      <c r="T959" s="364"/>
      <c r="U959" s="364"/>
      <c r="V959" s="364"/>
      <c r="W959" s="364"/>
      <c r="X959" s="364"/>
      <c r="Y959" s="364"/>
      <c r="Z959" s="364"/>
    </row>
    <row r="960">
      <c r="A960" s="367"/>
      <c r="B960" s="367"/>
      <c r="C960" s="364"/>
      <c r="D960" s="364"/>
      <c r="E960" s="364"/>
      <c r="F960" s="364"/>
      <c r="G960" s="364"/>
      <c r="H960" s="364"/>
      <c r="I960" s="364"/>
      <c r="J960" s="364"/>
      <c r="K960" s="364"/>
      <c r="L960" s="364"/>
      <c r="M960" s="364"/>
      <c r="N960" s="364"/>
      <c r="O960" s="364"/>
      <c r="P960" s="364"/>
      <c r="Q960" s="364"/>
      <c r="R960" s="364"/>
      <c r="S960" s="364"/>
      <c r="T960" s="364"/>
      <c r="U960" s="364"/>
      <c r="V960" s="364"/>
      <c r="W960" s="364"/>
      <c r="X960" s="364"/>
      <c r="Y960" s="364"/>
      <c r="Z960" s="364"/>
    </row>
    <row r="961">
      <c r="A961" s="367"/>
      <c r="B961" s="367"/>
      <c r="C961" s="364"/>
      <c r="D961" s="364"/>
      <c r="E961" s="364"/>
      <c r="F961" s="364"/>
      <c r="G961" s="364"/>
      <c r="H961" s="364"/>
      <c r="I961" s="364"/>
      <c r="J961" s="364"/>
      <c r="K961" s="364"/>
      <c r="L961" s="364"/>
      <c r="M961" s="364"/>
      <c r="N961" s="364"/>
      <c r="O961" s="364"/>
      <c r="P961" s="364"/>
      <c r="Q961" s="364"/>
      <c r="R961" s="364"/>
      <c r="S961" s="364"/>
      <c r="T961" s="364"/>
      <c r="U961" s="364"/>
      <c r="V961" s="364"/>
      <c r="W961" s="364"/>
      <c r="X961" s="364"/>
      <c r="Y961" s="364"/>
      <c r="Z961" s="364"/>
    </row>
    <row r="962">
      <c r="A962" s="367"/>
      <c r="B962" s="367"/>
      <c r="C962" s="364"/>
      <c r="D962" s="364"/>
      <c r="E962" s="364"/>
      <c r="F962" s="364"/>
      <c r="G962" s="364"/>
      <c r="H962" s="364"/>
      <c r="I962" s="364"/>
      <c r="J962" s="364"/>
      <c r="K962" s="364"/>
      <c r="L962" s="364"/>
      <c r="M962" s="364"/>
      <c r="N962" s="364"/>
      <c r="O962" s="364"/>
      <c r="P962" s="364"/>
      <c r="Q962" s="364"/>
      <c r="R962" s="364"/>
      <c r="S962" s="364"/>
      <c r="T962" s="364"/>
      <c r="U962" s="364"/>
      <c r="V962" s="364"/>
      <c r="W962" s="364"/>
      <c r="X962" s="364"/>
      <c r="Y962" s="364"/>
      <c r="Z962" s="364"/>
    </row>
    <row r="963">
      <c r="A963" s="367"/>
      <c r="B963" s="367"/>
      <c r="C963" s="364"/>
      <c r="D963" s="364"/>
      <c r="E963" s="364"/>
      <c r="F963" s="364"/>
      <c r="G963" s="364"/>
      <c r="H963" s="364"/>
      <c r="I963" s="364"/>
      <c r="J963" s="364"/>
      <c r="K963" s="364"/>
      <c r="L963" s="364"/>
      <c r="M963" s="364"/>
      <c r="N963" s="364"/>
      <c r="O963" s="364"/>
      <c r="P963" s="364"/>
      <c r="Q963" s="364"/>
      <c r="R963" s="364"/>
      <c r="S963" s="364"/>
      <c r="T963" s="364"/>
      <c r="U963" s="364"/>
      <c r="V963" s="364"/>
      <c r="W963" s="364"/>
      <c r="X963" s="364"/>
      <c r="Y963" s="364"/>
      <c r="Z963" s="364"/>
    </row>
    <row r="964">
      <c r="A964" s="367"/>
      <c r="B964" s="367"/>
      <c r="C964" s="364"/>
      <c r="D964" s="364"/>
      <c r="E964" s="364"/>
      <c r="F964" s="364"/>
      <c r="G964" s="364"/>
      <c r="H964" s="364"/>
      <c r="I964" s="364"/>
      <c r="J964" s="364"/>
      <c r="K964" s="364"/>
      <c r="L964" s="364"/>
      <c r="M964" s="364"/>
      <c r="N964" s="364"/>
      <c r="O964" s="364"/>
      <c r="P964" s="364"/>
      <c r="Q964" s="364"/>
      <c r="R964" s="364"/>
      <c r="S964" s="364"/>
      <c r="T964" s="364"/>
      <c r="U964" s="364"/>
      <c r="V964" s="364"/>
      <c r="W964" s="364"/>
      <c r="X964" s="364"/>
      <c r="Y964" s="364"/>
      <c r="Z964" s="364"/>
    </row>
    <row r="965">
      <c r="A965" s="367"/>
      <c r="B965" s="367"/>
      <c r="C965" s="364"/>
      <c r="D965" s="364"/>
      <c r="E965" s="364"/>
      <c r="F965" s="364"/>
      <c r="G965" s="364"/>
      <c r="H965" s="364"/>
      <c r="I965" s="364"/>
      <c r="J965" s="364"/>
      <c r="K965" s="364"/>
      <c r="L965" s="364"/>
      <c r="M965" s="364"/>
      <c r="N965" s="364"/>
      <c r="O965" s="364"/>
      <c r="P965" s="364"/>
      <c r="Q965" s="364"/>
      <c r="R965" s="364"/>
      <c r="S965" s="364"/>
      <c r="T965" s="364"/>
      <c r="U965" s="364"/>
      <c r="V965" s="364"/>
      <c r="W965" s="364"/>
      <c r="X965" s="364"/>
      <c r="Y965" s="364"/>
      <c r="Z965" s="364"/>
    </row>
    <row r="966">
      <c r="A966" s="367"/>
      <c r="B966" s="367"/>
      <c r="C966" s="364"/>
      <c r="D966" s="364"/>
      <c r="E966" s="364"/>
      <c r="F966" s="364"/>
      <c r="G966" s="364"/>
      <c r="H966" s="364"/>
      <c r="I966" s="364"/>
      <c r="J966" s="364"/>
      <c r="K966" s="364"/>
      <c r="L966" s="364"/>
      <c r="M966" s="364"/>
      <c r="N966" s="364"/>
      <c r="O966" s="364"/>
      <c r="P966" s="364"/>
      <c r="Q966" s="364"/>
      <c r="R966" s="364"/>
      <c r="S966" s="364"/>
      <c r="T966" s="364"/>
      <c r="U966" s="364"/>
      <c r="V966" s="364"/>
      <c r="W966" s="364"/>
      <c r="X966" s="364"/>
      <c r="Y966" s="364"/>
      <c r="Z966" s="364"/>
    </row>
    <row r="967">
      <c r="A967" s="367"/>
      <c r="B967" s="367"/>
      <c r="C967" s="364"/>
      <c r="D967" s="364"/>
      <c r="E967" s="364"/>
      <c r="F967" s="364"/>
      <c r="G967" s="364"/>
      <c r="H967" s="364"/>
      <c r="I967" s="364"/>
      <c r="J967" s="364"/>
      <c r="K967" s="364"/>
      <c r="L967" s="364"/>
      <c r="M967" s="364"/>
      <c r="N967" s="364"/>
      <c r="O967" s="364"/>
      <c r="P967" s="364"/>
      <c r="Q967" s="364"/>
      <c r="R967" s="364"/>
      <c r="S967" s="364"/>
      <c r="T967" s="364"/>
      <c r="U967" s="364"/>
      <c r="V967" s="364"/>
      <c r="W967" s="364"/>
      <c r="X967" s="364"/>
      <c r="Y967" s="364"/>
      <c r="Z967" s="364"/>
    </row>
    <row r="968">
      <c r="A968" s="367"/>
      <c r="B968" s="367"/>
      <c r="C968" s="364"/>
      <c r="D968" s="364"/>
      <c r="E968" s="364"/>
      <c r="F968" s="364"/>
      <c r="G968" s="364"/>
      <c r="H968" s="364"/>
      <c r="I968" s="364"/>
      <c r="J968" s="364"/>
      <c r="K968" s="364"/>
      <c r="L968" s="364"/>
      <c r="M968" s="364"/>
      <c r="N968" s="364"/>
      <c r="O968" s="364"/>
      <c r="P968" s="364"/>
      <c r="Q968" s="364"/>
      <c r="R968" s="364"/>
      <c r="S968" s="364"/>
      <c r="T968" s="364"/>
      <c r="U968" s="364"/>
      <c r="V968" s="364"/>
      <c r="W968" s="364"/>
      <c r="X968" s="364"/>
      <c r="Y968" s="364"/>
      <c r="Z968" s="364"/>
    </row>
    <row r="969">
      <c r="A969" s="367"/>
      <c r="B969" s="367"/>
      <c r="C969" s="364"/>
      <c r="D969" s="364"/>
      <c r="E969" s="364"/>
      <c r="F969" s="364"/>
      <c r="G969" s="364"/>
      <c r="H969" s="364"/>
      <c r="I969" s="364"/>
      <c r="J969" s="364"/>
      <c r="K969" s="364"/>
      <c r="L969" s="364"/>
      <c r="M969" s="364"/>
      <c r="N969" s="364"/>
      <c r="O969" s="364"/>
      <c r="P969" s="364"/>
      <c r="Q969" s="364"/>
      <c r="R969" s="364"/>
      <c r="S969" s="364"/>
      <c r="T969" s="364"/>
      <c r="U969" s="364"/>
      <c r="V969" s="364"/>
      <c r="W969" s="364"/>
      <c r="X969" s="364"/>
      <c r="Y969" s="364"/>
      <c r="Z969" s="364"/>
    </row>
    <row r="970">
      <c r="A970" s="367"/>
      <c r="B970" s="367"/>
      <c r="C970" s="364"/>
      <c r="D970" s="364"/>
      <c r="E970" s="364"/>
      <c r="F970" s="364"/>
      <c r="G970" s="364"/>
      <c r="H970" s="364"/>
      <c r="I970" s="364"/>
      <c r="J970" s="364"/>
      <c r="K970" s="364"/>
      <c r="L970" s="364"/>
      <c r="M970" s="364"/>
      <c r="N970" s="364"/>
      <c r="O970" s="364"/>
      <c r="P970" s="364"/>
      <c r="Q970" s="364"/>
      <c r="R970" s="364"/>
      <c r="S970" s="364"/>
      <c r="T970" s="364"/>
      <c r="U970" s="364"/>
      <c r="V970" s="364"/>
      <c r="W970" s="364"/>
      <c r="X970" s="364"/>
      <c r="Y970" s="364"/>
      <c r="Z970" s="364"/>
    </row>
    <row r="971">
      <c r="A971" s="367"/>
      <c r="B971" s="367"/>
      <c r="C971" s="364"/>
      <c r="D971" s="364"/>
      <c r="E971" s="364"/>
      <c r="F971" s="364"/>
      <c r="G971" s="364"/>
      <c r="H971" s="364"/>
      <c r="I971" s="364"/>
      <c r="J971" s="364"/>
      <c r="K971" s="364"/>
      <c r="L971" s="364"/>
      <c r="M971" s="364"/>
      <c r="N971" s="364"/>
      <c r="O971" s="364"/>
      <c r="P971" s="364"/>
      <c r="Q971" s="364"/>
      <c r="R971" s="364"/>
      <c r="S971" s="364"/>
      <c r="T971" s="364"/>
      <c r="U971" s="364"/>
      <c r="V971" s="364"/>
      <c r="W971" s="364"/>
      <c r="X971" s="364"/>
      <c r="Y971" s="364"/>
      <c r="Z971" s="364"/>
    </row>
    <row r="972">
      <c r="A972" s="367"/>
      <c r="B972" s="367"/>
      <c r="C972" s="364"/>
      <c r="D972" s="364"/>
      <c r="E972" s="364"/>
      <c r="F972" s="364"/>
      <c r="G972" s="364"/>
      <c r="H972" s="364"/>
      <c r="I972" s="364"/>
      <c r="J972" s="364"/>
      <c r="K972" s="364"/>
      <c r="L972" s="364"/>
      <c r="M972" s="364"/>
      <c r="N972" s="364"/>
      <c r="O972" s="364"/>
      <c r="P972" s="364"/>
      <c r="Q972" s="364"/>
      <c r="R972" s="364"/>
      <c r="S972" s="364"/>
      <c r="T972" s="364"/>
      <c r="U972" s="364"/>
      <c r="V972" s="364"/>
      <c r="W972" s="364"/>
      <c r="X972" s="364"/>
      <c r="Y972" s="364"/>
      <c r="Z972" s="364"/>
    </row>
    <row r="973">
      <c r="A973" s="367"/>
      <c r="B973" s="367"/>
      <c r="C973" s="364"/>
      <c r="D973" s="364"/>
      <c r="E973" s="364"/>
      <c r="F973" s="364"/>
      <c r="G973" s="364"/>
      <c r="H973" s="364"/>
      <c r="I973" s="364"/>
      <c r="J973" s="364"/>
      <c r="K973" s="364"/>
      <c r="L973" s="364"/>
      <c r="M973" s="364"/>
      <c r="N973" s="364"/>
      <c r="O973" s="364"/>
      <c r="P973" s="364"/>
      <c r="Q973" s="364"/>
      <c r="R973" s="364"/>
      <c r="S973" s="364"/>
      <c r="T973" s="364"/>
      <c r="U973" s="364"/>
      <c r="V973" s="364"/>
      <c r="W973" s="364"/>
      <c r="X973" s="364"/>
      <c r="Y973" s="364"/>
      <c r="Z973" s="364"/>
    </row>
    <row r="974">
      <c r="A974" s="367"/>
      <c r="B974" s="367"/>
      <c r="C974" s="364"/>
      <c r="D974" s="364"/>
      <c r="E974" s="364"/>
      <c r="F974" s="364"/>
      <c r="G974" s="364"/>
      <c r="H974" s="364"/>
      <c r="I974" s="364"/>
      <c r="J974" s="364"/>
      <c r="K974" s="364"/>
      <c r="L974" s="364"/>
      <c r="M974" s="364"/>
      <c r="N974" s="364"/>
      <c r="O974" s="364"/>
      <c r="P974" s="364"/>
      <c r="Q974" s="364"/>
      <c r="R974" s="364"/>
      <c r="S974" s="364"/>
      <c r="T974" s="364"/>
      <c r="U974" s="364"/>
      <c r="V974" s="364"/>
      <c r="W974" s="364"/>
      <c r="X974" s="364"/>
      <c r="Y974" s="364"/>
      <c r="Z974" s="364"/>
    </row>
    <row r="975">
      <c r="A975" s="367"/>
      <c r="B975" s="367"/>
      <c r="C975" s="364"/>
      <c r="D975" s="364"/>
      <c r="E975" s="364"/>
      <c r="F975" s="364"/>
      <c r="G975" s="364"/>
      <c r="H975" s="364"/>
      <c r="I975" s="364"/>
      <c r="J975" s="364"/>
      <c r="K975" s="364"/>
      <c r="L975" s="364"/>
      <c r="M975" s="364"/>
      <c r="N975" s="364"/>
      <c r="O975" s="364"/>
      <c r="P975" s="364"/>
      <c r="Q975" s="364"/>
      <c r="R975" s="364"/>
      <c r="S975" s="364"/>
      <c r="T975" s="364"/>
      <c r="U975" s="364"/>
      <c r="V975" s="364"/>
      <c r="W975" s="364"/>
      <c r="X975" s="364"/>
      <c r="Y975" s="364"/>
      <c r="Z975" s="364"/>
    </row>
    <row r="976">
      <c r="A976" s="367"/>
      <c r="B976" s="367"/>
      <c r="C976" s="364"/>
      <c r="D976" s="364"/>
      <c r="E976" s="364"/>
      <c r="F976" s="364"/>
      <c r="G976" s="364"/>
      <c r="H976" s="364"/>
      <c r="I976" s="364"/>
      <c r="J976" s="364"/>
      <c r="K976" s="364"/>
      <c r="L976" s="364"/>
      <c r="M976" s="364"/>
      <c r="N976" s="364"/>
      <c r="O976" s="364"/>
      <c r="P976" s="364"/>
      <c r="Q976" s="364"/>
      <c r="R976" s="364"/>
      <c r="S976" s="364"/>
      <c r="T976" s="364"/>
      <c r="U976" s="364"/>
      <c r="V976" s="364"/>
      <c r="W976" s="364"/>
      <c r="X976" s="364"/>
      <c r="Y976" s="364"/>
      <c r="Z976" s="364"/>
    </row>
    <row r="977">
      <c r="A977" s="367"/>
      <c r="B977" s="367"/>
      <c r="C977" s="364"/>
      <c r="D977" s="364"/>
      <c r="E977" s="364"/>
      <c r="F977" s="364"/>
      <c r="G977" s="364"/>
      <c r="H977" s="364"/>
      <c r="I977" s="364"/>
      <c r="J977" s="364"/>
      <c r="K977" s="364"/>
      <c r="L977" s="364"/>
      <c r="M977" s="364"/>
      <c r="N977" s="364"/>
      <c r="O977" s="364"/>
      <c r="P977" s="364"/>
      <c r="Q977" s="364"/>
      <c r="R977" s="364"/>
      <c r="S977" s="364"/>
      <c r="T977" s="364"/>
      <c r="U977" s="364"/>
      <c r="V977" s="364"/>
      <c r="W977" s="364"/>
      <c r="X977" s="364"/>
      <c r="Y977" s="364"/>
      <c r="Z977" s="364"/>
    </row>
    <row r="978">
      <c r="A978" s="367"/>
      <c r="B978" s="367"/>
      <c r="C978" s="364"/>
      <c r="D978" s="364"/>
      <c r="E978" s="364"/>
      <c r="F978" s="364"/>
      <c r="G978" s="364"/>
      <c r="H978" s="364"/>
      <c r="I978" s="364"/>
      <c r="J978" s="364"/>
      <c r="K978" s="364"/>
      <c r="L978" s="364"/>
      <c r="M978" s="364"/>
      <c r="N978" s="364"/>
      <c r="O978" s="364"/>
      <c r="P978" s="364"/>
      <c r="Q978" s="364"/>
      <c r="R978" s="364"/>
      <c r="S978" s="364"/>
      <c r="T978" s="364"/>
      <c r="U978" s="364"/>
      <c r="V978" s="364"/>
      <c r="W978" s="364"/>
      <c r="X978" s="364"/>
      <c r="Y978" s="364"/>
      <c r="Z978" s="364"/>
    </row>
    <row r="979">
      <c r="A979" s="367"/>
      <c r="B979" s="367"/>
      <c r="C979" s="364"/>
      <c r="D979" s="364"/>
      <c r="E979" s="364"/>
      <c r="F979" s="364"/>
      <c r="G979" s="364"/>
      <c r="H979" s="364"/>
      <c r="I979" s="364"/>
      <c r="J979" s="364"/>
      <c r="K979" s="364"/>
      <c r="L979" s="364"/>
      <c r="M979" s="364"/>
      <c r="N979" s="364"/>
      <c r="O979" s="364"/>
      <c r="P979" s="364"/>
      <c r="Q979" s="364"/>
      <c r="R979" s="364"/>
      <c r="S979" s="364"/>
      <c r="T979" s="364"/>
      <c r="U979" s="364"/>
      <c r="V979" s="364"/>
      <c r="W979" s="364"/>
      <c r="X979" s="364"/>
      <c r="Y979" s="364"/>
      <c r="Z979" s="364"/>
    </row>
    <row r="980">
      <c r="A980" s="367"/>
      <c r="B980" s="367"/>
      <c r="C980" s="364"/>
      <c r="D980" s="364"/>
      <c r="E980" s="364"/>
      <c r="F980" s="364"/>
      <c r="G980" s="364"/>
      <c r="H980" s="364"/>
      <c r="I980" s="364"/>
      <c r="J980" s="364"/>
      <c r="K980" s="364"/>
      <c r="L980" s="364"/>
      <c r="M980" s="364"/>
      <c r="N980" s="364"/>
      <c r="O980" s="364"/>
      <c r="P980" s="364"/>
      <c r="Q980" s="364"/>
      <c r="R980" s="364"/>
      <c r="S980" s="364"/>
      <c r="T980" s="364"/>
      <c r="U980" s="364"/>
      <c r="V980" s="364"/>
      <c r="W980" s="364"/>
      <c r="X980" s="364"/>
      <c r="Y980" s="364"/>
      <c r="Z980" s="364"/>
    </row>
    <row r="981">
      <c r="A981" s="367"/>
      <c r="B981" s="367"/>
      <c r="C981" s="364"/>
      <c r="D981" s="364"/>
      <c r="E981" s="364"/>
      <c r="F981" s="364"/>
      <c r="G981" s="364"/>
      <c r="H981" s="364"/>
      <c r="I981" s="364"/>
      <c r="J981" s="364"/>
      <c r="K981" s="364"/>
      <c r="L981" s="364"/>
      <c r="M981" s="364"/>
      <c r="N981" s="364"/>
      <c r="O981" s="364"/>
      <c r="P981" s="364"/>
      <c r="Q981" s="364"/>
      <c r="R981" s="364"/>
      <c r="S981" s="364"/>
      <c r="T981" s="364"/>
      <c r="U981" s="364"/>
      <c r="V981" s="364"/>
      <c r="W981" s="364"/>
      <c r="X981" s="364"/>
      <c r="Y981" s="364"/>
      <c r="Z981" s="364"/>
    </row>
    <row r="982">
      <c r="A982" s="367"/>
      <c r="B982" s="367"/>
      <c r="C982" s="364"/>
      <c r="D982" s="364"/>
      <c r="E982" s="364"/>
      <c r="F982" s="364"/>
      <c r="G982" s="364"/>
      <c r="H982" s="364"/>
      <c r="I982" s="364"/>
      <c r="J982" s="364"/>
      <c r="K982" s="364"/>
      <c r="L982" s="364"/>
      <c r="M982" s="364"/>
      <c r="N982" s="364"/>
      <c r="O982" s="364"/>
      <c r="P982" s="364"/>
      <c r="Q982" s="364"/>
      <c r="R982" s="364"/>
      <c r="S982" s="364"/>
      <c r="T982" s="364"/>
      <c r="U982" s="364"/>
      <c r="V982" s="364"/>
      <c r="W982" s="364"/>
      <c r="X982" s="364"/>
      <c r="Y982" s="364"/>
      <c r="Z982" s="364"/>
    </row>
    <row r="983">
      <c r="A983" s="367"/>
      <c r="B983" s="367"/>
      <c r="C983" s="364"/>
      <c r="D983" s="364"/>
      <c r="E983" s="364"/>
      <c r="F983" s="364"/>
      <c r="G983" s="364"/>
      <c r="H983" s="364"/>
      <c r="I983" s="364"/>
      <c r="J983" s="364"/>
      <c r="K983" s="364"/>
      <c r="L983" s="364"/>
      <c r="M983" s="364"/>
      <c r="N983" s="364"/>
      <c r="O983" s="364"/>
      <c r="P983" s="364"/>
      <c r="Q983" s="364"/>
      <c r="R983" s="364"/>
      <c r="S983" s="364"/>
      <c r="T983" s="364"/>
      <c r="U983" s="364"/>
      <c r="V983" s="364"/>
      <c r="W983" s="364"/>
      <c r="X983" s="364"/>
      <c r="Y983" s="364"/>
      <c r="Z983" s="364"/>
    </row>
    <row r="984">
      <c r="A984" s="367"/>
      <c r="B984" s="367"/>
      <c r="C984" s="364"/>
      <c r="D984" s="364"/>
      <c r="E984" s="364"/>
      <c r="F984" s="364"/>
      <c r="G984" s="364"/>
      <c r="H984" s="364"/>
      <c r="I984" s="364"/>
      <c r="J984" s="364"/>
      <c r="K984" s="364"/>
      <c r="L984" s="364"/>
      <c r="M984" s="364"/>
      <c r="N984" s="364"/>
      <c r="O984" s="364"/>
      <c r="P984" s="364"/>
      <c r="Q984" s="364"/>
      <c r="R984" s="364"/>
      <c r="S984" s="364"/>
      <c r="T984" s="364"/>
      <c r="U984" s="364"/>
      <c r="V984" s="364"/>
      <c r="W984" s="364"/>
      <c r="X984" s="364"/>
      <c r="Y984" s="364"/>
      <c r="Z984" s="364"/>
    </row>
    <row r="985">
      <c r="A985" s="367"/>
      <c r="B985" s="367"/>
      <c r="C985" s="364"/>
      <c r="D985" s="364"/>
      <c r="E985" s="364"/>
      <c r="F985" s="364"/>
      <c r="G985" s="364"/>
      <c r="H985" s="364"/>
      <c r="I985" s="364"/>
      <c r="J985" s="364"/>
      <c r="K985" s="364"/>
      <c r="L985" s="364"/>
      <c r="M985" s="364"/>
      <c r="N985" s="364"/>
      <c r="O985" s="364"/>
      <c r="P985" s="364"/>
      <c r="Q985" s="364"/>
      <c r="R985" s="364"/>
      <c r="S985" s="364"/>
      <c r="T985" s="364"/>
      <c r="U985" s="364"/>
      <c r="V985" s="364"/>
      <c r="W985" s="364"/>
      <c r="X985" s="364"/>
      <c r="Y985" s="364"/>
      <c r="Z985" s="364"/>
    </row>
    <row r="986">
      <c r="A986" s="367"/>
      <c r="B986" s="367"/>
      <c r="C986" s="364"/>
      <c r="D986" s="364"/>
      <c r="E986" s="364"/>
      <c r="F986" s="364"/>
      <c r="G986" s="364"/>
      <c r="H986" s="364"/>
      <c r="I986" s="364"/>
      <c r="J986" s="364"/>
      <c r="K986" s="364"/>
      <c r="L986" s="364"/>
      <c r="M986" s="364"/>
      <c r="N986" s="364"/>
      <c r="O986" s="364"/>
      <c r="P986" s="364"/>
      <c r="Q986" s="364"/>
      <c r="R986" s="364"/>
      <c r="S986" s="364"/>
      <c r="T986" s="364"/>
      <c r="U986" s="364"/>
      <c r="V986" s="364"/>
      <c r="W986" s="364"/>
      <c r="X986" s="364"/>
      <c r="Y986" s="364"/>
      <c r="Z986" s="364"/>
    </row>
    <row r="987">
      <c r="A987" s="367"/>
      <c r="B987" s="367"/>
      <c r="C987" s="364"/>
      <c r="D987" s="364"/>
      <c r="E987" s="364"/>
      <c r="F987" s="364"/>
      <c r="G987" s="364"/>
      <c r="H987" s="364"/>
      <c r="I987" s="364"/>
      <c r="J987" s="364"/>
      <c r="K987" s="364"/>
      <c r="L987" s="364"/>
      <c r="M987" s="364"/>
      <c r="N987" s="364"/>
      <c r="O987" s="364"/>
      <c r="P987" s="364"/>
      <c r="Q987" s="364"/>
      <c r="R987" s="364"/>
      <c r="S987" s="364"/>
      <c r="T987" s="364"/>
      <c r="U987" s="364"/>
      <c r="V987" s="364"/>
      <c r="W987" s="364"/>
      <c r="X987" s="364"/>
      <c r="Y987" s="364"/>
      <c r="Z987" s="364"/>
    </row>
    <row r="988">
      <c r="A988" s="367"/>
      <c r="B988" s="367"/>
      <c r="C988" s="364"/>
      <c r="D988" s="364"/>
      <c r="E988" s="364"/>
      <c r="F988" s="364"/>
      <c r="G988" s="364"/>
      <c r="H988" s="364"/>
      <c r="I988" s="364"/>
      <c r="J988" s="364"/>
      <c r="K988" s="364"/>
      <c r="L988" s="364"/>
      <c r="M988" s="364"/>
      <c r="N988" s="364"/>
      <c r="O988" s="364"/>
      <c r="P988" s="364"/>
      <c r="Q988" s="364"/>
      <c r="R988" s="364"/>
      <c r="S988" s="364"/>
      <c r="T988" s="364"/>
      <c r="U988" s="364"/>
      <c r="V988" s="364"/>
      <c r="W988" s="364"/>
      <c r="X988" s="364"/>
      <c r="Y988" s="364"/>
      <c r="Z988" s="364"/>
    </row>
    <row r="989">
      <c r="A989" s="367"/>
      <c r="B989" s="367"/>
      <c r="C989" s="364"/>
      <c r="D989" s="364"/>
      <c r="E989" s="364"/>
      <c r="F989" s="364"/>
      <c r="G989" s="364"/>
      <c r="H989" s="364"/>
      <c r="I989" s="364"/>
      <c r="J989" s="364"/>
      <c r="K989" s="364"/>
      <c r="L989" s="364"/>
      <c r="M989" s="364"/>
      <c r="N989" s="364"/>
      <c r="O989" s="364"/>
      <c r="P989" s="364"/>
      <c r="Q989" s="364"/>
      <c r="R989" s="364"/>
      <c r="S989" s="364"/>
      <c r="T989" s="364"/>
      <c r="U989" s="364"/>
      <c r="V989" s="364"/>
      <c r="W989" s="364"/>
      <c r="X989" s="364"/>
      <c r="Y989" s="364"/>
      <c r="Z989" s="364"/>
    </row>
    <row r="990">
      <c r="A990" s="367"/>
      <c r="B990" s="367"/>
      <c r="C990" s="364"/>
      <c r="D990" s="364"/>
      <c r="E990" s="364"/>
      <c r="F990" s="364"/>
      <c r="G990" s="364"/>
      <c r="H990" s="364"/>
      <c r="I990" s="364"/>
      <c r="J990" s="364"/>
      <c r="K990" s="364"/>
      <c r="L990" s="364"/>
      <c r="M990" s="364"/>
      <c r="N990" s="364"/>
      <c r="O990" s="364"/>
      <c r="P990" s="364"/>
      <c r="Q990" s="364"/>
      <c r="R990" s="364"/>
      <c r="S990" s="364"/>
      <c r="T990" s="364"/>
      <c r="U990" s="364"/>
      <c r="V990" s="364"/>
      <c r="W990" s="364"/>
      <c r="X990" s="364"/>
      <c r="Y990" s="364"/>
      <c r="Z990" s="364"/>
    </row>
    <row r="991">
      <c r="A991" s="367"/>
      <c r="B991" s="367"/>
      <c r="C991" s="364"/>
      <c r="D991" s="364"/>
      <c r="E991" s="364"/>
      <c r="F991" s="364"/>
      <c r="G991" s="364"/>
      <c r="H991" s="364"/>
      <c r="I991" s="364"/>
      <c r="J991" s="364"/>
      <c r="K991" s="364"/>
      <c r="L991" s="364"/>
      <c r="M991" s="364"/>
      <c r="N991" s="364"/>
      <c r="O991" s="364"/>
      <c r="P991" s="364"/>
      <c r="Q991" s="364"/>
      <c r="R991" s="364"/>
      <c r="S991" s="364"/>
      <c r="T991" s="364"/>
      <c r="U991" s="364"/>
      <c r="V991" s="364"/>
      <c r="W991" s="364"/>
      <c r="X991" s="364"/>
      <c r="Y991" s="364"/>
      <c r="Z991" s="364"/>
    </row>
    <row r="992">
      <c r="A992" s="367"/>
      <c r="B992" s="367"/>
      <c r="C992" s="364"/>
      <c r="D992" s="364"/>
      <c r="E992" s="364"/>
      <c r="F992" s="364"/>
      <c r="G992" s="364"/>
      <c r="H992" s="364"/>
      <c r="I992" s="364"/>
      <c r="J992" s="364"/>
      <c r="K992" s="364"/>
      <c r="L992" s="364"/>
      <c r="M992" s="364"/>
      <c r="N992" s="364"/>
      <c r="O992" s="364"/>
      <c r="P992" s="364"/>
      <c r="Q992" s="364"/>
      <c r="R992" s="364"/>
      <c r="S992" s="364"/>
      <c r="T992" s="364"/>
      <c r="U992" s="364"/>
      <c r="V992" s="364"/>
      <c r="W992" s="364"/>
      <c r="X992" s="364"/>
      <c r="Y992" s="364"/>
      <c r="Z992" s="364"/>
    </row>
    <row r="993">
      <c r="A993" s="367"/>
      <c r="B993" s="367"/>
      <c r="C993" s="364"/>
      <c r="D993" s="364"/>
      <c r="E993" s="364"/>
      <c r="F993" s="364"/>
      <c r="G993" s="364"/>
      <c r="H993" s="364"/>
      <c r="I993" s="364"/>
      <c r="J993" s="364"/>
      <c r="K993" s="364"/>
      <c r="L993" s="364"/>
      <c r="M993" s="364"/>
      <c r="N993" s="364"/>
      <c r="O993" s="364"/>
      <c r="P993" s="364"/>
      <c r="Q993" s="364"/>
      <c r="R993" s="364"/>
      <c r="S993" s="364"/>
      <c r="T993" s="364"/>
      <c r="U993" s="364"/>
      <c r="V993" s="364"/>
      <c r="W993" s="364"/>
      <c r="X993" s="364"/>
      <c r="Y993" s="364"/>
      <c r="Z993" s="364"/>
    </row>
    <row r="994">
      <c r="A994" s="367"/>
      <c r="B994" s="367"/>
      <c r="C994" s="364"/>
      <c r="D994" s="364"/>
      <c r="E994" s="364"/>
      <c r="F994" s="364"/>
      <c r="G994" s="364"/>
      <c r="H994" s="364"/>
      <c r="I994" s="364"/>
      <c r="J994" s="364"/>
      <c r="K994" s="364"/>
      <c r="L994" s="364"/>
      <c r="M994" s="364"/>
      <c r="N994" s="364"/>
      <c r="O994" s="364"/>
      <c r="P994" s="364"/>
      <c r="Q994" s="364"/>
      <c r="R994" s="364"/>
      <c r="S994" s="364"/>
      <c r="T994" s="364"/>
      <c r="U994" s="364"/>
      <c r="V994" s="364"/>
      <c r="W994" s="364"/>
      <c r="X994" s="364"/>
      <c r="Y994" s="364"/>
      <c r="Z994" s="364"/>
    </row>
    <row r="995">
      <c r="A995" s="367"/>
      <c r="B995" s="367"/>
      <c r="C995" s="364"/>
      <c r="D995" s="364"/>
      <c r="E995" s="364"/>
      <c r="F995" s="364"/>
      <c r="G995" s="364"/>
      <c r="H995" s="364"/>
      <c r="I995" s="364"/>
      <c r="J995" s="364"/>
      <c r="K995" s="364"/>
      <c r="L995" s="364"/>
      <c r="M995" s="364"/>
      <c r="N995" s="364"/>
      <c r="O995" s="364"/>
      <c r="P995" s="364"/>
      <c r="Q995" s="364"/>
      <c r="R995" s="364"/>
      <c r="S995" s="364"/>
      <c r="T995" s="364"/>
      <c r="U995" s="364"/>
      <c r="V995" s="364"/>
      <c r="W995" s="364"/>
      <c r="X995" s="364"/>
      <c r="Y995" s="364"/>
      <c r="Z995" s="364"/>
    </row>
    <row r="996">
      <c r="A996" s="367"/>
      <c r="B996" s="367"/>
      <c r="C996" s="364"/>
      <c r="D996" s="364"/>
      <c r="E996" s="364"/>
      <c r="F996" s="364"/>
      <c r="G996" s="364"/>
      <c r="H996" s="364"/>
      <c r="I996" s="364"/>
      <c r="J996" s="364"/>
      <c r="K996" s="364"/>
      <c r="L996" s="364"/>
      <c r="M996" s="364"/>
      <c r="N996" s="364"/>
      <c r="O996" s="364"/>
      <c r="P996" s="364"/>
      <c r="Q996" s="364"/>
      <c r="R996" s="364"/>
      <c r="S996" s="364"/>
      <c r="T996" s="364"/>
      <c r="U996" s="364"/>
      <c r="V996" s="364"/>
      <c r="W996" s="364"/>
      <c r="X996" s="364"/>
      <c r="Y996" s="364"/>
      <c r="Z996" s="364"/>
    </row>
    <row r="997">
      <c r="A997" s="367"/>
      <c r="B997" s="367"/>
      <c r="C997" s="364"/>
      <c r="D997" s="364"/>
      <c r="E997" s="364"/>
      <c r="F997" s="364"/>
      <c r="G997" s="364"/>
      <c r="H997" s="364"/>
      <c r="I997" s="364"/>
      <c r="J997" s="364"/>
      <c r="K997" s="364"/>
      <c r="L997" s="364"/>
      <c r="M997" s="364"/>
      <c r="N997" s="364"/>
      <c r="O997" s="364"/>
      <c r="P997" s="364"/>
      <c r="Q997" s="364"/>
      <c r="R997" s="364"/>
      <c r="S997" s="364"/>
      <c r="T997" s="364"/>
      <c r="U997" s="364"/>
      <c r="V997" s="364"/>
      <c r="W997" s="364"/>
      <c r="X997" s="364"/>
      <c r="Y997" s="364"/>
      <c r="Z997" s="364"/>
    </row>
    <row r="998">
      <c r="A998" s="367"/>
      <c r="B998" s="367"/>
      <c r="C998" s="364"/>
      <c r="D998" s="364"/>
      <c r="E998" s="364"/>
      <c r="F998" s="364"/>
      <c r="G998" s="364"/>
      <c r="H998" s="364"/>
      <c r="I998" s="364"/>
      <c r="J998" s="364"/>
      <c r="K998" s="364"/>
      <c r="L998" s="364"/>
      <c r="M998" s="364"/>
      <c r="N998" s="364"/>
      <c r="O998" s="364"/>
      <c r="P998" s="364"/>
      <c r="Q998" s="364"/>
      <c r="R998" s="364"/>
      <c r="S998" s="364"/>
      <c r="T998" s="364"/>
      <c r="U998" s="364"/>
      <c r="V998" s="364"/>
      <c r="W998" s="364"/>
      <c r="X998" s="364"/>
      <c r="Y998" s="364"/>
      <c r="Z998" s="364"/>
    </row>
    <row r="999">
      <c r="A999" s="367"/>
      <c r="B999" s="367"/>
      <c r="C999" s="364"/>
      <c r="D999" s="364"/>
      <c r="E999" s="364"/>
      <c r="F999" s="364"/>
      <c r="G999" s="364"/>
      <c r="H999" s="364"/>
      <c r="I999" s="364"/>
      <c r="J999" s="364"/>
      <c r="K999" s="364"/>
      <c r="L999" s="364"/>
      <c r="M999" s="364"/>
      <c r="N999" s="364"/>
      <c r="O999" s="364"/>
      <c r="P999" s="364"/>
      <c r="Q999" s="364"/>
      <c r="R999" s="364"/>
      <c r="S999" s="364"/>
      <c r="T999" s="364"/>
      <c r="U999" s="364"/>
      <c r="V999" s="364"/>
      <c r="W999" s="364"/>
      <c r="X999" s="364"/>
      <c r="Y999" s="364"/>
      <c r="Z999" s="364"/>
    </row>
    <row r="1000">
      <c r="A1000" s="367"/>
      <c r="B1000" s="367"/>
      <c r="C1000" s="364"/>
      <c r="D1000" s="364"/>
      <c r="E1000" s="364"/>
      <c r="F1000" s="364"/>
      <c r="G1000" s="364"/>
      <c r="H1000" s="364"/>
      <c r="I1000" s="364"/>
      <c r="J1000" s="364"/>
      <c r="K1000" s="364"/>
      <c r="L1000" s="364"/>
      <c r="M1000" s="364"/>
      <c r="N1000" s="364"/>
      <c r="O1000" s="364"/>
      <c r="P1000" s="364"/>
      <c r="Q1000" s="364"/>
      <c r="R1000" s="364"/>
      <c r="S1000" s="364"/>
      <c r="T1000" s="364"/>
      <c r="U1000" s="364"/>
      <c r="V1000" s="364"/>
      <c r="W1000" s="364"/>
      <c r="X1000" s="364"/>
      <c r="Y1000" s="364"/>
      <c r="Z1000" s="364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  <pageSetUpPr fitToPage="1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8.0"/>
    <col customWidth="1" min="2" max="2" width="32.75"/>
    <col customWidth="1" min="3" max="3" width="12.0"/>
    <col customWidth="1" min="4" max="5" width="10.88"/>
    <col customWidth="1" min="6" max="6" width="12.25"/>
    <col customWidth="1" min="7" max="8" width="15.0"/>
    <col customWidth="1" min="9" max="9" width="31.0"/>
    <col customWidth="1" min="10" max="10" width="12.88"/>
    <col customWidth="1" min="11" max="11" width="41.5"/>
  </cols>
  <sheetData>
    <row r="1" ht="31.5" customHeight="1">
      <c r="A1" s="300" t="str">
        <f>IFERROR(__xludf.DUMMYFUNCTION("QUERY('Base de Dados'!A1:BZ543, ""select A, C, K, O, V, AT, X, BX where V &lt;&gt; '' and J = 'SETIC' and A &gt; 1000 and R = '1 - Selecionado' order by V"",1)"),"Id")</f>
        <v>Id</v>
      </c>
      <c r="B1" s="369" t="str">
        <f>IFERROR(__xludf.DUMMYFUNCTION("""COMPUTED_VALUE"""),"Descrição")</f>
        <v>Descrição</v>
      </c>
      <c r="C1" s="301" t="str">
        <f>IFERROR(__xludf.DUMMYFUNCTION("""COMPUTED_VALUE"""),"Despesa")</f>
        <v>Despesa</v>
      </c>
      <c r="D1" s="302" t="str">
        <f>IFERROR(__xludf.DUMMYFUNCTION("""COMPUTED_VALUE"""),"Reduzido Previsto")</f>
        <v>Reduzido Previsto</v>
      </c>
      <c r="E1" s="302" t="str">
        <f>IFERROR(__xludf.DUMMYFUNCTION("""COMPUTED_VALUE"""),"DOD")</f>
        <v>DOD</v>
      </c>
      <c r="F1" s="307" t="str">
        <f>IFERROR(__xludf.DUMMYFUNCTION("""COMPUTED_VALUE"""),"Valor Projetado")</f>
        <v>Valor Projetado</v>
      </c>
      <c r="G1" s="304" t="str">
        <f>IFERROR(__xludf.DUMMYFUNCTION("""COMPUTED_VALUE"""),"Área de TIC")</f>
        <v>Área de TIC</v>
      </c>
      <c r="H1" s="304" t="str">
        <f>IFERROR(__xludf.DUMMYFUNCTION("""COMPUTED_VALUE"""),"teste_5")</f>
        <v>teste_5</v>
      </c>
      <c r="I1" s="357" t="s">
        <v>735</v>
      </c>
      <c r="J1" s="357" t="s">
        <v>736</v>
      </c>
      <c r="K1" s="357" t="s">
        <v>737</v>
      </c>
    </row>
    <row r="2">
      <c r="A2" s="311">
        <f>IFERROR(__xludf.DUMMYFUNCTION("""COMPUTED_VALUE"""),15166.0)</f>
        <v>15166</v>
      </c>
      <c r="B2" s="370" t="str">
        <f>IFERROR(__xludf.DUMMYFUNCTION("""COMPUTED_VALUE"""),"ADOBE LICENÇAS - Manutenção da LICENÇA DE SOFTWARE PACOTE ADOBE - EJUD e SECOM (para 3 anos)")</f>
        <v>ADOBE LICENÇAS - Manutenção da LICENÇA DE SOFTWARE PACOTE ADOBE - EJUD e SECOM (para 3 anos)</v>
      </c>
      <c r="C2" s="312" t="str">
        <f>IFERROR(__xludf.DUMMYFUNCTION("""COMPUTED_VALUE"""),"GND3")</f>
        <v>GND3</v>
      </c>
      <c r="D2" s="371">
        <f>IFERROR(__xludf.DUMMYFUNCTION("""COMPUTED_VALUE"""),168105.0)</f>
        <v>168105</v>
      </c>
      <c r="E2" s="313" t="str">
        <f>IFERROR(__xludf.DUMMYFUNCTION("""COMPUTED_VALUE"""),"10620/2020")</f>
        <v>10620/2020</v>
      </c>
      <c r="F2" s="318">
        <f>IFERROR(__xludf.DUMMYFUNCTION("""COMPUTED_VALUE"""),59760.0)</f>
        <v>59760</v>
      </c>
      <c r="G2" s="315" t="str">
        <f>IFERROR(__xludf.DUMMYFUNCTION("""COMPUTED_VALUE"""),"SESUP")</f>
        <v>SESUP</v>
      </c>
      <c r="H2" s="315"/>
      <c r="I2" s="315" t="str">
        <f t="array" ref="I2:I543">if(H2:H543="OK","SELECIONOU,","SELECIONOU, em caso de futura disponibilidade orçamentária,")</f>
        <v>SELECIONOU, em caso de futura disponibilidade orçamentária,</v>
      </c>
      <c r="J2" s="362"/>
      <c r="K2" s="362"/>
    </row>
    <row r="3">
      <c r="A3" s="311">
        <f>IFERROR(__xludf.DUMMYFUNCTION("""COMPUTED_VALUE"""),15329.0)</f>
        <v>15329</v>
      </c>
      <c r="B3" s="370" t="str">
        <f>IFERROR(__xludf.DUMMYFUNCTION("""COMPUTED_VALUE"""),"DRUPAL SUPORTE - Suporte técnico para o portal de internet e intranet do TRT12, em tecnologia DRUPAL 8")</f>
        <v>DRUPAL SUPORTE - Suporte técnico para o portal de internet e intranet do TRT12, em tecnologia DRUPAL 8</v>
      </c>
      <c r="C3" s="312" t="str">
        <f>IFERROR(__xludf.DUMMYFUNCTION("""COMPUTED_VALUE"""),"GND3")</f>
        <v>GND3</v>
      </c>
      <c r="D3" s="371">
        <f>IFERROR(__xludf.DUMMYFUNCTION("""COMPUTED_VALUE"""),168105.0)</f>
        <v>168105</v>
      </c>
      <c r="E3" s="313" t="str">
        <f>IFERROR(__xludf.DUMMYFUNCTION("""COMPUTED_VALUE"""),"12196/2021")</f>
        <v>12196/2021</v>
      </c>
      <c r="F3" s="318">
        <f>IFERROR(__xludf.DUMMYFUNCTION("""COMPUTED_VALUE"""),76800.0)</f>
        <v>76800</v>
      </c>
      <c r="G3" s="315" t="str">
        <f>IFERROR(__xludf.DUMMYFUNCTION("""COMPUTED_VALUE"""),"SEDES")</f>
        <v>SEDES</v>
      </c>
      <c r="H3" s="315"/>
      <c r="I3" s="315" t="s">
        <v>738</v>
      </c>
      <c r="J3" s="362"/>
      <c r="K3" s="362"/>
    </row>
    <row r="4">
      <c r="A4" s="311">
        <f>IFERROR(__xludf.DUMMYFUNCTION("""COMPUTED_VALUE"""),15387.0)</f>
        <v>15387</v>
      </c>
      <c r="B4" s="370" t="str">
        <f>IFERROR(__xludf.DUMMYFUNCTION("""COMPUTED_VALUE"""),"VMWARE LICENÇA - Licença perpétua do VS7-EPL-C com suporte e subscrição Basic por 5 anos (item 2 do DOD)")</f>
        <v>VMWARE LICENÇA - Licença perpétua do VS7-EPL-C com suporte e subscrição Basic por 5 anos (item 2 do DOD)</v>
      </c>
      <c r="C4" s="312" t="str">
        <f>IFERROR(__xludf.DUMMYFUNCTION("""COMPUTED_VALUE"""),"GND4")</f>
        <v>GND4</v>
      </c>
      <c r="D4" s="371">
        <f>IFERROR(__xludf.DUMMYFUNCTION("""COMPUTED_VALUE"""),168107.0)</f>
        <v>168107</v>
      </c>
      <c r="E4" s="313" t="str">
        <f>IFERROR(__xludf.DUMMYFUNCTION("""COMPUTED_VALUE"""),"12634/2021")</f>
        <v>12634/2021</v>
      </c>
      <c r="F4" s="318">
        <f>IFERROR(__xludf.DUMMYFUNCTION("""COMPUTED_VALUE"""),395000.0)</f>
        <v>395000</v>
      </c>
      <c r="G4" s="315" t="str">
        <f>IFERROR(__xludf.DUMMYFUNCTION("""COMPUTED_VALUE"""),"SEINFRA")</f>
        <v>SEINFRA</v>
      </c>
      <c r="H4" s="315"/>
      <c r="I4" s="315" t="s">
        <v>738</v>
      </c>
      <c r="J4" s="362"/>
      <c r="K4" s="315"/>
    </row>
    <row r="5">
      <c r="A5" s="311">
        <f>IFERROR(__xludf.DUMMYFUNCTION("""COMPUTED_VALUE"""),15388.0)</f>
        <v>15388</v>
      </c>
      <c r="B5" s="370" t="str">
        <f>IFERROR(__xludf.DUMMYFUNCTION("""COMPUTED_VALUE"""),"VMWARE SUPORTE - Suporte e Subscrição Production e Basic, para o VMware vCenter Server 7 Standard for vSphere 7, por 5 anos (itens 1 e 3 do DOD)")</f>
        <v>VMWARE SUPORTE - Suporte e Subscrição Production e Basic, para o VMware vCenter Server 7 Standard for vSphere 7, por 5 anos (itens 1 e 3 do DOD)</v>
      </c>
      <c r="C5" s="312" t="str">
        <f>IFERROR(__xludf.DUMMYFUNCTION("""COMPUTED_VALUE"""),"GND3")</f>
        <v>GND3</v>
      </c>
      <c r="D5" s="371">
        <f>IFERROR(__xludf.DUMMYFUNCTION("""COMPUTED_VALUE"""),168107.0)</f>
        <v>168107</v>
      </c>
      <c r="E5" s="313" t="str">
        <f>IFERROR(__xludf.DUMMYFUNCTION("""COMPUTED_VALUE"""),"12634/2021")</f>
        <v>12634/2021</v>
      </c>
      <c r="F5" s="318">
        <f>IFERROR(__xludf.DUMMYFUNCTION("""COMPUTED_VALUE"""),352160.0)</f>
        <v>352160</v>
      </c>
      <c r="G5" s="315" t="str">
        <f>IFERROR(__xludf.DUMMYFUNCTION("""COMPUTED_VALUE"""),"SEINFRA")</f>
        <v>SEINFRA</v>
      </c>
      <c r="H5" s="315"/>
      <c r="I5" s="315" t="s">
        <v>738</v>
      </c>
      <c r="J5" s="362"/>
      <c r="K5" s="315"/>
    </row>
    <row r="6">
      <c r="A6" s="311">
        <f>IFERROR(__xludf.DUMMYFUNCTION("""COMPUTED_VALUE"""),15066.0)</f>
        <v>15066</v>
      </c>
      <c r="B6" s="370" t="str">
        <f>IFERROR(__xludf.DUMMYFUNCTION("""COMPUTED_VALUE"""),"INTERNET MOVEL - Contratação de linhas de internet móvel. O quantitativo atual é de 151 e deve ser confirmado pelos estudos da contração (Ato CSJT 43/2013).")</f>
        <v>INTERNET MOVEL - Contratação de linhas de internet móvel. O quantitativo atual é de 151 e deve ser confirmado pelos estudos da contração (Ato CSJT 43/2013).</v>
      </c>
      <c r="C6" s="312" t="str">
        <f>IFERROR(__xludf.DUMMYFUNCTION("""COMPUTED_VALUE"""),"GND3")</f>
        <v>GND3</v>
      </c>
      <c r="D6" s="371">
        <f>IFERROR(__xludf.DUMMYFUNCTION("""COMPUTED_VALUE"""),168105.0)</f>
        <v>168105</v>
      </c>
      <c r="E6" s="313" t="str">
        <f>IFERROR(__xludf.DUMMYFUNCTION("""COMPUTED_VALUE"""),"1287/2021")</f>
        <v>1287/2021</v>
      </c>
      <c r="F6" s="318">
        <f>IFERROR(__xludf.DUMMYFUNCTION("""COMPUTED_VALUE"""),41494.8)</f>
        <v>41494.8</v>
      </c>
      <c r="G6" s="315" t="str">
        <f>IFERROR(__xludf.DUMMYFUNCTION("""COMPUTED_VALUE"""),"SESUP")</f>
        <v>SESUP</v>
      </c>
      <c r="H6" s="315"/>
      <c r="I6" s="315" t="s">
        <v>738</v>
      </c>
      <c r="J6" s="362"/>
      <c r="K6" s="315"/>
    </row>
    <row r="7">
      <c r="A7" s="311">
        <f>IFERROR(__xludf.DUMMYFUNCTION("""COMPUTED_VALUE"""),15060.0)</f>
        <v>15060</v>
      </c>
      <c r="B7" s="370" t="str">
        <f>IFERROR(__xludf.DUMMYFUNCTION("""COMPUTED_VALUE"""),"CENTRAL DE SERVIÇOS - Contratação de serviços de suporte de TIC em 1º e 2º níveis - 2019, para fornecimento de técnicos terceirizados para atendimento aos chamados de TIC, no Estado.")</f>
        <v>CENTRAL DE SERVIÇOS - Contratação de serviços de suporte de TIC em 1º e 2º níveis - 2019, para fornecimento de técnicos terceirizados para atendimento aos chamados de TIC, no Estado.</v>
      </c>
      <c r="C7" s="312" t="str">
        <f>IFERROR(__xludf.DUMMYFUNCTION("""COMPUTED_VALUE"""),"GND3")</f>
        <v>GND3</v>
      </c>
      <c r="D7" s="371">
        <f>IFERROR(__xludf.DUMMYFUNCTION("""COMPUTED_VALUE"""),168105.0)</f>
        <v>168105</v>
      </c>
      <c r="E7" s="313" t="str">
        <f>IFERROR(__xludf.DUMMYFUNCTION("""COMPUTED_VALUE"""),"1293/2021")</f>
        <v>1293/2021</v>
      </c>
      <c r="F7" s="318">
        <f>IFERROR(__xludf.DUMMYFUNCTION("""COMPUTED_VALUE"""),891880.8)</f>
        <v>891880.8</v>
      </c>
      <c r="G7" s="315" t="str">
        <f>IFERROR(__xludf.DUMMYFUNCTION("""COMPUTED_VALUE"""),"SESUP")</f>
        <v>SESUP</v>
      </c>
      <c r="H7" s="315"/>
      <c r="I7" s="315" t="s">
        <v>738</v>
      </c>
      <c r="J7" s="362"/>
      <c r="K7" s="362"/>
    </row>
    <row r="8">
      <c r="A8" s="311">
        <f>IFERROR(__xludf.DUMMYFUNCTION("""COMPUTED_VALUE"""),15389.0)</f>
        <v>15389</v>
      </c>
      <c r="B8" s="370" t="str">
        <f>IFERROR(__xludf.DUMMYFUNCTION("""COMPUTED_VALUE"""),"ASSYST - Contratação de suporte e atualização de licenças da solução de gerenciamento de serviços e registro de chamadas de TIC (2022)")</f>
        <v>ASSYST - Contratação de suporte e atualização de licenças da solução de gerenciamento de serviços e registro de chamadas de TIC (2022)</v>
      </c>
      <c r="C8" s="312" t="str">
        <f>IFERROR(__xludf.DUMMYFUNCTION("""COMPUTED_VALUE"""),"GND3")</f>
        <v>GND3</v>
      </c>
      <c r="D8" s="371">
        <f>IFERROR(__xludf.DUMMYFUNCTION("""COMPUTED_VALUE"""),168107.0)</f>
        <v>168107</v>
      </c>
      <c r="E8" s="313" t="str">
        <f>IFERROR(__xludf.DUMMYFUNCTION("""COMPUTED_VALUE"""),"1353/2022")</f>
        <v>1353/2022</v>
      </c>
      <c r="F8" s="318">
        <f>IFERROR(__xludf.DUMMYFUNCTION("""COMPUTED_VALUE"""),48752.125)</f>
        <v>48752.125</v>
      </c>
      <c r="G8" s="315" t="str">
        <f>IFERROR(__xludf.DUMMYFUNCTION("""COMPUTED_VALUE"""),"SESUP")</f>
        <v>SESUP</v>
      </c>
      <c r="H8" s="315"/>
      <c r="I8" s="315" t="s">
        <v>738</v>
      </c>
      <c r="J8" s="362"/>
      <c r="K8" s="362"/>
    </row>
    <row r="9">
      <c r="A9" s="311">
        <f>IFERROR(__xludf.DUMMYFUNCTION("""COMPUTED_VALUE"""),15369.0)</f>
        <v>15369</v>
      </c>
      <c r="B9" s="370" t="str">
        <f>IFERROR(__xludf.DUMMYFUNCTION("""COMPUTED_VALUE"""),"INTERNET LINK 3 - Contratação de acesso corporativo à internet (substitui LINK 1)")</f>
        <v>INTERNET LINK 3 - Contratação de acesso corporativo à internet (substitui LINK 1)</v>
      </c>
      <c r="C9" s="312" t="str">
        <f>IFERROR(__xludf.DUMMYFUNCTION("""COMPUTED_VALUE"""),"GND3")</f>
        <v>GND3</v>
      </c>
      <c r="D9" s="371">
        <f>IFERROR(__xludf.DUMMYFUNCTION("""COMPUTED_VALUE"""),168105.0)</f>
        <v>168105</v>
      </c>
      <c r="E9" s="324" t="str">
        <f>IFERROR(__xludf.DUMMYFUNCTION("""COMPUTED_VALUE"""),"1358/2022")</f>
        <v>1358/2022</v>
      </c>
      <c r="F9" s="318">
        <f>IFERROR(__xludf.DUMMYFUNCTION("""COMPUTED_VALUE"""),10450.0)</f>
        <v>10450</v>
      </c>
      <c r="G9" s="315" t="str">
        <f>IFERROR(__xludf.DUMMYFUNCTION("""COMPUTED_VALUE"""),"SEINFRA")</f>
        <v>SEINFRA</v>
      </c>
      <c r="H9" s="315"/>
      <c r="I9" s="315" t="s">
        <v>738</v>
      </c>
      <c r="J9" s="362"/>
      <c r="K9" s="315"/>
    </row>
    <row r="10">
      <c r="A10" s="311">
        <f>IFERROR(__xludf.DUMMYFUNCTION("""COMPUTED_VALUE"""),15353.0)</f>
        <v>15353</v>
      </c>
      <c r="B10" s="370" t="str">
        <f>IFERROR(__xludf.DUMMYFUNCTION("""COMPUTED_VALUE"""),"AUDIÊNCIAS ZOOM - Viabilizar a continuidade de audiências, sessões e reuniões por meio de videoconferências (Zoom)")</f>
        <v>AUDIÊNCIAS ZOOM - Viabilizar a continuidade de audiências, sessões e reuniões por meio de videoconferências (Zoom)</v>
      </c>
      <c r="C10" s="312" t="str">
        <f>IFERROR(__xludf.DUMMYFUNCTION("""COMPUTED_VALUE"""),"GND3")</f>
        <v>GND3</v>
      </c>
      <c r="D10" s="371">
        <f>IFERROR(__xludf.DUMMYFUNCTION("""COMPUTED_VALUE"""),168107.0)</f>
        <v>168107</v>
      </c>
      <c r="E10" s="313" t="str">
        <f>IFERROR(__xludf.DUMMYFUNCTION("""COMPUTED_VALUE"""),"150/2022")</f>
        <v>150/2022</v>
      </c>
      <c r="F10" s="318">
        <f>IFERROR(__xludf.DUMMYFUNCTION("""COMPUTED_VALUE"""),55999.92)</f>
        <v>55999.92</v>
      </c>
      <c r="G10" s="315" t="str">
        <f>IFERROR(__xludf.DUMMYFUNCTION("""COMPUTED_VALUE"""),"SEINFRA")</f>
        <v>SEINFRA</v>
      </c>
      <c r="H10" s="315"/>
      <c r="I10" s="315" t="s">
        <v>738</v>
      </c>
      <c r="J10" s="362"/>
      <c r="K10" s="362"/>
    </row>
    <row r="11">
      <c r="A11" s="311">
        <f>IFERROR(__xludf.DUMMYFUNCTION("""COMPUTED_VALUE"""),15254.0)</f>
        <v>15254</v>
      </c>
      <c r="B11" s="370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(CERTISIGN).")</f>
        <v>CERTIFICADOS PJ - Aquisição Certificados Digitais SSL (PJe, domínio trt12.jus.br e siscondj), obrigatório para estabelecer autenticação de confiança entre sistemas de informação. Exigido pela instituição bancária (CERTISIGN).</v>
      </c>
      <c r="C11" s="312" t="str">
        <f>IFERROR(__xludf.DUMMYFUNCTION("""COMPUTED_VALUE"""),"GND3")</f>
        <v>GND3</v>
      </c>
      <c r="D11" s="371">
        <f>IFERROR(__xludf.DUMMYFUNCTION("""COMPUTED_VALUE"""),168105.0)</f>
        <v>168105</v>
      </c>
      <c r="E11" s="313" t="str">
        <f>IFERROR(__xludf.DUMMYFUNCTION("""COMPUTED_VALUE"""),"1891/2022")</f>
        <v>1891/2022</v>
      </c>
      <c r="F11" s="318">
        <f>IFERROR(__xludf.DUMMYFUNCTION("""COMPUTED_VALUE"""),1890.0)</f>
        <v>1890</v>
      </c>
      <c r="G11" s="315" t="str">
        <f>IFERROR(__xludf.DUMMYFUNCTION("""COMPUTED_VALUE"""),"SEINFRA")</f>
        <v>SEINFRA</v>
      </c>
      <c r="H11" s="315"/>
      <c r="I11" s="315" t="s">
        <v>738</v>
      </c>
      <c r="J11" s="362"/>
      <c r="K11" s="362"/>
    </row>
    <row r="12">
      <c r="A12" s="311">
        <f>IFERROR(__xludf.DUMMYFUNCTION("""COMPUTED_VALUE"""),15896.0)</f>
        <v>15896</v>
      </c>
      <c r="B12" s="370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(HZ PORTAIS).")</f>
        <v>CERTIFICADOS PJ - Aquisição Certificados Digitais SSL (PJe, domínio trt12.jus.br e siscondj), obrigatório para estabelecer autenticação de confiança entre sistemas de informação. Exigido pela instituição bancária (HZ PORTAIS).</v>
      </c>
      <c r="C12" s="312" t="str">
        <f>IFERROR(__xludf.DUMMYFUNCTION("""COMPUTED_VALUE"""),"GND3")</f>
        <v>GND3</v>
      </c>
      <c r="D12" s="371">
        <f>IFERROR(__xludf.DUMMYFUNCTION("""COMPUTED_VALUE"""),168105.0)</f>
        <v>168105</v>
      </c>
      <c r="E12" s="313" t="str">
        <f>IFERROR(__xludf.DUMMYFUNCTION("""COMPUTED_VALUE"""),"1891/2022")</f>
        <v>1891/2022</v>
      </c>
      <c r="F12" s="318">
        <f>IFERROR(__xludf.DUMMYFUNCTION("""COMPUTED_VALUE"""),1265.4)</f>
        <v>1265.4</v>
      </c>
      <c r="G12" s="315" t="str">
        <f>IFERROR(__xludf.DUMMYFUNCTION("""COMPUTED_VALUE"""),"SEINFRA")</f>
        <v>SEINFRA</v>
      </c>
      <c r="H12" s="315"/>
      <c r="I12" s="315" t="s">
        <v>738</v>
      </c>
      <c r="J12" s="362"/>
      <c r="K12" s="362"/>
    </row>
    <row r="13">
      <c r="A13" s="311">
        <f>IFERROR(__xludf.DUMMYFUNCTION("""COMPUTED_VALUE"""),15306.0)</f>
        <v>15306</v>
      </c>
      <c r="B13" s="370" t="str">
        <f>IFERROR(__xludf.DUMMYFUNCTION("""COMPUTED_VALUE"""),"AUTOCAD LICENÇAS - Contratação/prorrogação de licanças de Autodesk AutoCAD Revit Suite")</f>
        <v>AUTOCAD LICENÇAS - Contratação/prorrogação de licanças de Autodesk AutoCAD Revit Suite</v>
      </c>
      <c r="C13" s="312" t="str">
        <f>IFERROR(__xludf.DUMMYFUNCTION("""COMPUTED_VALUE"""),"GND3")</f>
        <v>GND3</v>
      </c>
      <c r="D13" s="371">
        <f>IFERROR(__xludf.DUMMYFUNCTION("""COMPUTED_VALUE"""),168105.0)</f>
        <v>168105</v>
      </c>
      <c r="E13" s="313" t="str">
        <f>IFERROR(__xludf.DUMMYFUNCTION("""COMPUTED_VALUE"""),"1964/2022")</f>
        <v>1964/2022</v>
      </c>
      <c r="F13" s="318">
        <f>IFERROR(__xludf.DUMMYFUNCTION("""COMPUTED_VALUE"""),68648.0)</f>
        <v>68648</v>
      </c>
      <c r="G13" s="315" t="str">
        <f>IFERROR(__xludf.DUMMYFUNCTION("""COMPUTED_VALUE"""),"SESUP")</f>
        <v>SESUP</v>
      </c>
      <c r="H13" s="315"/>
      <c r="I13" s="315" t="s">
        <v>738</v>
      </c>
      <c r="J13" s="362"/>
      <c r="K13" s="362"/>
    </row>
    <row r="14">
      <c r="A14" s="311">
        <f>IFERROR(__xludf.DUMMYFUNCTION("""COMPUTED_VALUE"""),15384.0)</f>
        <v>15384</v>
      </c>
      <c r="B14" s="370" t="str">
        <f>IFERROR(__xludf.DUMMYFUNCTION("""COMPUTED_VALUE"""),"SALA COFRE 2022 - Contratação de manutenção de sala cofre, que abriga o Datacenter principal, onde são armazenados todos os dados e os equipamentos de processamento de dados corporativos. ")</f>
        <v>SALA COFRE 2022 - Contratação de manutenção de sala cofre, que abriga o Datacenter principal, onde são armazenados todos os dados e os equipamentos de processamento de dados corporativos. </v>
      </c>
      <c r="C14" s="312" t="str">
        <f>IFERROR(__xludf.DUMMYFUNCTION("""COMPUTED_VALUE"""),"GND3")</f>
        <v>GND3</v>
      </c>
      <c r="D14" s="371">
        <f>IFERROR(__xludf.DUMMYFUNCTION("""COMPUTED_VALUE"""),168107.0)</f>
        <v>168107</v>
      </c>
      <c r="E14" s="313" t="str">
        <f>IFERROR(__xludf.DUMMYFUNCTION("""COMPUTED_VALUE"""),"2207/2022")</f>
        <v>2207/2022</v>
      </c>
      <c r="F14" s="318">
        <f>IFERROR(__xludf.DUMMYFUNCTION("""COMPUTED_VALUE"""),68091.65333333332)</f>
        <v>68091.65333</v>
      </c>
      <c r="G14" s="315" t="str">
        <f>IFERROR(__xludf.DUMMYFUNCTION("""COMPUTED_VALUE"""),"SEINFRA")</f>
        <v>SEINFRA</v>
      </c>
      <c r="H14" s="315"/>
      <c r="I14" s="315" t="s">
        <v>738</v>
      </c>
      <c r="J14" s="362"/>
      <c r="K14" s="315"/>
    </row>
    <row r="15">
      <c r="A15" s="311">
        <f>IFERROR(__xludf.DUMMYFUNCTION("""COMPUTED_VALUE"""),15307.0)</f>
        <v>15307</v>
      </c>
      <c r="B15" s="370" t="str">
        <f>IFERROR(__xludf.DUMMYFUNCTION("""COMPUTED_VALUE"""),"SKETCHUP PRO - Licença SketchUp Pro - Trimble (12 meses)")</f>
        <v>SKETCHUP PRO - Licença SketchUp Pro - Trimble (12 meses)</v>
      </c>
      <c r="C15" s="312" t="str">
        <f>IFERROR(__xludf.DUMMYFUNCTION("""COMPUTED_VALUE"""),"GND3")</f>
        <v>GND3</v>
      </c>
      <c r="D15" s="371">
        <f>IFERROR(__xludf.DUMMYFUNCTION("""COMPUTED_VALUE"""),168105.0)</f>
        <v>168105</v>
      </c>
      <c r="E15" s="313" t="str">
        <f>IFERROR(__xludf.DUMMYFUNCTION("""COMPUTED_VALUE"""),"2265/2022")</f>
        <v>2265/2022</v>
      </c>
      <c r="F15" s="318">
        <f>IFERROR(__xludf.DUMMYFUNCTION("""COMPUTED_VALUE"""),1881.0)</f>
        <v>1881</v>
      </c>
      <c r="G15" s="315" t="str">
        <f>IFERROR(__xludf.DUMMYFUNCTION("""COMPUTED_VALUE"""),"SESUP")</f>
        <v>SESUP</v>
      </c>
      <c r="H15" s="315"/>
      <c r="I15" s="315" t="s">
        <v>738</v>
      </c>
      <c r="J15" s="362"/>
      <c r="K15" s="315"/>
    </row>
    <row r="16">
      <c r="A16" s="311">
        <f>IFERROR(__xludf.DUMMYFUNCTION("""COMPUTED_VALUE"""),15371.0)</f>
        <v>15371</v>
      </c>
      <c r="B16" s="370" t="str">
        <f>IFERROR(__xludf.DUMMYFUNCTION("""COMPUTED_VALUE"""),"PRODENT - Contratação de suporte e atualização para licenças de software odontológico")</f>
        <v>PRODENT - Contratação de suporte e atualização para licenças de software odontológico</v>
      </c>
      <c r="C16" s="312" t="str">
        <f>IFERROR(__xludf.DUMMYFUNCTION("""COMPUTED_VALUE"""),"GND3")</f>
        <v>GND3</v>
      </c>
      <c r="D16" s="371">
        <f>IFERROR(__xludf.DUMMYFUNCTION("""COMPUTED_VALUE"""),168105.0)</f>
        <v>168105</v>
      </c>
      <c r="E16" s="313" t="str">
        <f>IFERROR(__xludf.DUMMYFUNCTION("""COMPUTED_VALUE"""),"2407/2022")</f>
        <v>2407/2022</v>
      </c>
      <c r="F16" s="318">
        <f>IFERROR(__xludf.DUMMYFUNCTION("""COMPUTED_VALUE"""),2992.44)</f>
        <v>2992.44</v>
      </c>
      <c r="G16" s="315" t="str">
        <f>IFERROR(__xludf.DUMMYFUNCTION("""COMPUTED_VALUE"""),"SESUP")</f>
        <v>SESUP</v>
      </c>
      <c r="H16" s="315"/>
      <c r="I16" s="315" t="s">
        <v>738</v>
      </c>
      <c r="J16" s="362"/>
      <c r="K16" s="315"/>
    </row>
    <row r="17">
      <c r="A17" s="311">
        <f>IFERROR(__xludf.DUMMYFUNCTION("""COMPUTED_VALUE"""),15897.0)</f>
        <v>15897</v>
      </c>
      <c r="B17" s="370" t="str">
        <f>IFERROR(__xludf.DUMMYFUNCTION("""COMPUTED_VALUE"""),"SIABI MEMORIAL - Licenças e serviços de suporte técnico e manutenção para o SIABI (Sistema de software
Automação de Bibliotecas, Arquivos, museus e Memoriais) com direito a versões
atualizadas.")</f>
        <v>SIABI MEMORIAL - Licenças e serviços de suporte técnico e manutenção para o SIABI (Sistema de software
Automação de Bibliotecas, Arquivos, museus e Memoriais) com direito a versões
atualizadas.</v>
      </c>
      <c r="C17" s="312" t="str">
        <f>IFERROR(__xludf.DUMMYFUNCTION("""COMPUTED_VALUE"""),"GND3")</f>
        <v>GND3</v>
      </c>
      <c r="D17" s="371">
        <f>IFERROR(__xludf.DUMMYFUNCTION("""COMPUTED_VALUE"""),168105.0)</f>
        <v>168105</v>
      </c>
      <c r="E17" s="313" t="str">
        <f>IFERROR(__xludf.DUMMYFUNCTION("""COMPUTED_VALUE"""),"2754/2022")</f>
        <v>2754/2022</v>
      </c>
      <c r="F17" s="318">
        <f>IFERROR(__xludf.DUMMYFUNCTION("""COMPUTED_VALUE"""),15571.36)</f>
        <v>15571.36</v>
      </c>
      <c r="G17" s="315" t="str">
        <f>IFERROR(__xludf.DUMMYFUNCTION("""COMPUTED_VALUE"""),"SESUP")</f>
        <v>SESUP</v>
      </c>
      <c r="H17" s="315"/>
      <c r="I17" s="315" t="s">
        <v>738</v>
      </c>
      <c r="J17" s="362"/>
      <c r="K17" s="315"/>
    </row>
    <row r="18">
      <c r="A18" s="311">
        <f>IFERROR(__xludf.DUMMYFUNCTION("""COMPUTED_VALUE"""),15898.0)</f>
        <v>15898</v>
      </c>
      <c r="B18" s="370" t="str">
        <f>IFERROR(__xludf.DUMMYFUNCTION("""COMPUTED_VALUE"""),"NOBREAK EQUIPAMENTOS - Fornecimento de energia elétrica estabilizada e ininterrupta ao data center principal (equipamentos de 40 e 80 kVA)")</f>
        <v>NOBREAK EQUIPAMENTOS - Fornecimento de energia elétrica estabilizada e ininterrupta ao data center principal (equipamentos de 40 e 80 kVA)</v>
      </c>
      <c r="C18" s="312" t="str">
        <f>IFERROR(__xludf.DUMMYFUNCTION("""COMPUTED_VALUE"""),"GND4")</f>
        <v>GND4</v>
      </c>
      <c r="D18" s="371">
        <f>IFERROR(__xludf.DUMMYFUNCTION("""COMPUTED_VALUE"""),168105.0)</f>
        <v>168105</v>
      </c>
      <c r="E18" s="313" t="str">
        <f>IFERROR(__xludf.DUMMYFUNCTION("""COMPUTED_VALUE"""),"2760/2022")</f>
        <v>2760/2022</v>
      </c>
      <c r="F18" s="318">
        <f>IFERROR(__xludf.DUMMYFUNCTION("""COMPUTED_VALUE"""),533000.0)</f>
        <v>533000</v>
      </c>
      <c r="G18" s="315" t="str">
        <f>IFERROR(__xludf.DUMMYFUNCTION("""COMPUTED_VALUE"""),"SESUP")</f>
        <v>SESUP</v>
      </c>
      <c r="H18" s="315"/>
      <c r="I18" s="315" t="s">
        <v>738</v>
      </c>
      <c r="J18" s="362"/>
      <c r="K18" s="315"/>
    </row>
    <row r="19">
      <c r="A19" s="311">
        <f>IFERROR(__xludf.DUMMYFUNCTION("""COMPUTED_VALUE"""),15315.0)</f>
        <v>15315</v>
      </c>
      <c r="B19" s="370" t="str">
        <f>IFERROR(__xludf.DUMMYFUNCTION("""COMPUTED_VALUE"""),"CERTIFICADOS PF - Aquisição de certificados digitais (tokens) para pessoa física, para todo o Estado")</f>
        <v>CERTIFICADOS PF - Aquisição de certificados digitais (tokens) para pessoa física, para todo o Estado</v>
      </c>
      <c r="C19" s="312" t="str">
        <f>IFERROR(__xludf.DUMMYFUNCTION("""COMPUTED_VALUE"""),"GND3")</f>
        <v>GND3</v>
      </c>
      <c r="D19" s="371">
        <f>IFERROR(__xludf.DUMMYFUNCTION("""COMPUTED_VALUE"""),168105.0)</f>
        <v>168105</v>
      </c>
      <c r="E19" s="313" t="str">
        <f>IFERROR(__xludf.DUMMYFUNCTION("""COMPUTED_VALUE"""),"2836/2022")</f>
        <v>2836/2022</v>
      </c>
      <c r="F19" s="318">
        <f>IFERROR(__xludf.DUMMYFUNCTION("""COMPUTED_VALUE"""),42020.0)</f>
        <v>42020</v>
      </c>
      <c r="G19" s="315" t="str">
        <f>IFERROR(__xludf.DUMMYFUNCTION("""COMPUTED_VALUE"""),"SETIC")</f>
        <v>SETIC</v>
      </c>
      <c r="H19" s="315"/>
      <c r="I19" s="315" t="s">
        <v>738</v>
      </c>
      <c r="J19" s="362"/>
      <c r="K19" s="315"/>
    </row>
    <row r="20">
      <c r="A20" s="311">
        <f>IFERROR(__xludf.DUMMYFUNCTION("""COMPUTED_VALUE"""),15357.0)</f>
        <v>15357</v>
      </c>
      <c r="B20" s="370" t="str">
        <f>IFERROR(__xludf.DUMMYFUNCTION("""COMPUTED_VALUE"""),"NOBREAKS SUVT 2022 - Suporte e manutenção dos nobreaks SUVT 40kVA do Datacenter e dos foros da Capital, de São José e da sede (substitui o 15019; há indicativo preliminar de que a aquisição de novos equipamentos pode ser mais vantajosa, o que será definid"&amp;"o pelo planejamento da contratação)")</f>
        <v>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C20" s="312" t="str">
        <f>IFERROR(__xludf.DUMMYFUNCTION("""COMPUTED_VALUE"""),"GND3")</f>
        <v>GND3</v>
      </c>
      <c r="D20" s="371">
        <f>IFERROR(__xludf.DUMMYFUNCTION("""COMPUTED_VALUE"""),168105.0)</f>
        <v>168105</v>
      </c>
      <c r="E20" s="313" t="str">
        <f>IFERROR(__xludf.DUMMYFUNCTION("""COMPUTED_VALUE"""),"3551/2021")</f>
        <v>3551/2021</v>
      </c>
      <c r="F20" s="318">
        <f>IFERROR(__xludf.DUMMYFUNCTION("""COMPUTED_VALUE"""),65100.0)</f>
        <v>65100</v>
      </c>
      <c r="G20" s="315" t="str">
        <f>IFERROR(__xludf.DUMMYFUNCTION("""COMPUTED_VALUE"""),"SESUP")</f>
        <v>SESUP</v>
      </c>
      <c r="H20" s="315"/>
      <c r="I20" s="315" t="s">
        <v>738</v>
      </c>
      <c r="J20" s="362"/>
      <c r="K20" s="315"/>
    </row>
    <row r="21">
      <c r="A21" s="311">
        <f>IFERROR(__xludf.DUMMYFUNCTION("""COMPUTED_VALUE"""),15376.0)</f>
        <v>15376</v>
      </c>
      <c r="B21" s="370" t="str">
        <f>IFERROR(__xludf.DUMMYFUNCTION("""COMPUTED_VALUE"""),"NOBREAKS EQUIPAMENTOS - Aquisição de equipamentos de 8 e 10 kVA")</f>
        <v>NOBREAKS EQUIPAMENTOS - Aquisição de equipamentos de 8 e 10 kVA</v>
      </c>
      <c r="C21" s="312" t="str">
        <f>IFERROR(__xludf.DUMMYFUNCTION("""COMPUTED_VALUE"""),"GND4")</f>
        <v>GND4</v>
      </c>
      <c r="D21" s="371">
        <f>IFERROR(__xludf.DUMMYFUNCTION("""COMPUTED_VALUE"""),168105.0)</f>
        <v>168105</v>
      </c>
      <c r="E21" s="313" t="str">
        <f>IFERROR(__xludf.DUMMYFUNCTION("""COMPUTED_VALUE"""),"3569/2021")</f>
        <v>3569/2021</v>
      </c>
      <c r="F21" s="318">
        <f>IFERROR(__xludf.DUMMYFUNCTION("""COMPUTED_VALUE"""),868538.56)</f>
        <v>868538.56</v>
      </c>
      <c r="G21" s="315" t="str">
        <f>IFERROR(__xludf.DUMMYFUNCTION("""COMPUTED_VALUE"""),"SESUP")</f>
        <v>SESUP</v>
      </c>
      <c r="H21" s="315"/>
      <c r="I21" s="315" t="s">
        <v>738</v>
      </c>
      <c r="J21" s="362"/>
      <c r="K21" s="315"/>
    </row>
    <row r="22">
      <c r="A22" s="311">
        <f>IFERROR(__xludf.DUMMYFUNCTION("""COMPUTED_VALUE"""),15314.0)</f>
        <v>15314</v>
      </c>
      <c r="B22" s="370" t="str">
        <f>IFERROR(__xludf.DUMMYFUNCTION("""COMPUTED_VALUE"""),"NOBREAKS SYMMETRA - Suporte e manutenção de nobreaks do datacenter - SYMMETRA")</f>
        <v>NOBREAKS SYMMETRA - Suporte e manutenção de nobreaks do datacenter - SYMMETRA</v>
      </c>
      <c r="C22" s="312" t="str">
        <f>IFERROR(__xludf.DUMMYFUNCTION("""COMPUTED_VALUE"""),"GND3")</f>
        <v>GND3</v>
      </c>
      <c r="D22" s="371">
        <f>IFERROR(__xludf.DUMMYFUNCTION("""COMPUTED_VALUE"""),168105.0)</f>
        <v>168105</v>
      </c>
      <c r="E22" s="313" t="str">
        <f>IFERROR(__xludf.DUMMYFUNCTION("""COMPUTED_VALUE"""),"3731/2021")</f>
        <v>3731/2021</v>
      </c>
      <c r="F22" s="318">
        <f>IFERROR(__xludf.DUMMYFUNCTION("""COMPUTED_VALUE"""),8886.37)</f>
        <v>8886.37</v>
      </c>
      <c r="G22" s="315" t="str">
        <f>IFERROR(__xludf.DUMMYFUNCTION("""COMPUTED_VALUE"""),"SESUP")</f>
        <v>SESUP</v>
      </c>
      <c r="H22" s="315"/>
      <c r="I22" s="315" t="s">
        <v>738</v>
      </c>
      <c r="J22" s="362"/>
      <c r="K22" s="315"/>
    </row>
    <row r="23">
      <c r="A23" s="311">
        <f>IFERROR(__xludf.DUMMYFUNCTION("""COMPUTED_VALUE"""),15360.0)</f>
        <v>15360</v>
      </c>
      <c r="B23" s="370" t="str">
        <f>IFERROR(__xludf.DUMMYFUNCTION("""COMPUTED_VALUE"""),"SIABI - Contratação de suporte técnico e atualização de licenças do software de gerenciamento de bibliotecas")</f>
        <v>SIABI - Contratação de suporte técnico e atualização de licenças do software de gerenciamento de bibliotecas</v>
      </c>
      <c r="C23" s="312" t="str">
        <f>IFERROR(__xludf.DUMMYFUNCTION("""COMPUTED_VALUE"""),"GND3")</f>
        <v>GND3</v>
      </c>
      <c r="D23" s="371">
        <f>IFERROR(__xludf.DUMMYFUNCTION("""COMPUTED_VALUE"""),168105.0)</f>
        <v>168105</v>
      </c>
      <c r="E23" s="313" t="str">
        <f>IFERROR(__xludf.DUMMYFUNCTION("""COMPUTED_VALUE"""),"532/2022")</f>
        <v>532/2022</v>
      </c>
      <c r="F23" s="318">
        <f>IFERROR(__xludf.DUMMYFUNCTION("""COMPUTED_VALUE"""),7626.48)</f>
        <v>7626.48</v>
      </c>
      <c r="G23" s="315" t="str">
        <f>IFERROR(__xludf.DUMMYFUNCTION("""COMPUTED_VALUE"""),"SESUP")</f>
        <v>SESUP</v>
      </c>
      <c r="H23" s="315"/>
      <c r="I23" s="315" t="s">
        <v>738</v>
      </c>
      <c r="J23" s="362"/>
      <c r="K23" s="315"/>
    </row>
    <row r="24">
      <c r="A24" s="311">
        <f>IFERROR(__xludf.DUMMYFUNCTION("""COMPUTED_VALUE"""),15304.0)</f>
        <v>15304</v>
      </c>
      <c r="B24" s="370" t="str">
        <f>IFERROR(__xludf.DUMMYFUNCTION("""COMPUTED_VALUE"""),"BACKUP EQUIPAMENTOS - Aquisição de um novo equipamento para atualizar o sistema de backup do datacenter auxiliar.")</f>
        <v>BACKUP EQUIPAMENTOS - Aquisição de um novo equipamento para atualizar o sistema de backup do datacenter auxiliar.</v>
      </c>
      <c r="C24" s="312" t="str">
        <f>IFERROR(__xludf.DUMMYFUNCTION("""COMPUTED_VALUE"""),"GND4")</f>
        <v>GND4</v>
      </c>
      <c r="D24" s="371">
        <f>IFERROR(__xludf.DUMMYFUNCTION("""COMPUTED_VALUE"""),168105.0)</f>
        <v>168105</v>
      </c>
      <c r="E24" s="313" t="str">
        <f>IFERROR(__xludf.DUMMYFUNCTION("""COMPUTED_VALUE"""),"8147/2021")</f>
        <v>8147/2021</v>
      </c>
      <c r="F24" s="318">
        <f>IFERROR(__xludf.DUMMYFUNCTION("""COMPUTED_VALUE"""),433000.0)</f>
        <v>433000</v>
      </c>
      <c r="G24" s="315" t="str">
        <f>IFERROR(__xludf.DUMMYFUNCTION("""COMPUTED_VALUE"""),"SEINFRA")</f>
        <v>SEINFRA</v>
      </c>
      <c r="H24" s="315"/>
      <c r="I24" s="315" t="s">
        <v>738</v>
      </c>
      <c r="J24" s="362"/>
      <c r="K24" s="315"/>
    </row>
    <row r="25">
      <c r="A25" s="311">
        <f>IFERROR(__xludf.DUMMYFUNCTION("""COMPUTED_VALUE"""),15311.0)</f>
        <v>15311</v>
      </c>
      <c r="B25" s="370" t="str">
        <f>IFERROR(__xludf.DUMMYFUNCTION("""COMPUTED_VALUE"""),"BACKUP FITAS - Aquisição de fitas com capacidade de 12TB (272 unidades) e de limpeza (20 unidades).")</f>
        <v>BACKUP FITAS - Aquisição de fitas com capacidade de 12TB (272 unidades) e de limpeza (20 unidades).</v>
      </c>
      <c r="C25" s="312" t="str">
        <f>IFERROR(__xludf.DUMMYFUNCTION("""COMPUTED_VALUE"""),"GND3")</f>
        <v>GND3</v>
      </c>
      <c r="D25" s="371">
        <f>IFERROR(__xludf.DUMMYFUNCTION("""COMPUTED_VALUE"""),168107.0)</f>
        <v>168107</v>
      </c>
      <c r="E25" s="313" t="str">
        <f>IFERROR(__xludf.DUMMYFUNCTION("""COMPUTED_VALUE"""),"8147/2021")</f>
        <v>8147/2021</v>
      </c>
      <c r="F25" s="318">
        <f>IFERROR(__xludf.DUMMYFUNCTION("""COMPUTED_VALUE"""),262444.0)</f>
        <v>262444</v>
      </c>
      <c r="G25" s="315" t="str">
        <f>IFERROR(__xludf.DUMMYFUNCTION("""COMPUTED_VALUE"""),"SEINFRA")</f>
        <v>SEINFRA</v>
      </c>
      <c r="H25" s="315"/>
      <c r="I25" s="315" t="s">
        <v>738</v>
      </c>
      <c r="J25" s="362"/>
      <c r="K25" s="315"/>
    </row>
    <row r="26">
      <c r="A26" s="311">
        <f>IFERROR(__xludf.DUMMYFUNCTION("""COMPUTED_VALUE"""),15374.0)</f>
        <v>15374</v>
      </c>
      <c r="B26" s="370" t="str">
        <f>IFERROR(__xludf.DUMMYFUNCTION("""COMPUTED_VALUE"""),"VIDEOCONFERÊNCIAS EQUIPAMENTOS - Aquisição de câmeras com microfone")</f>
        <v>VIDEOCONFERÊNCIAS EQUIPAMENTOS - Aquisição de câmeras com microfone</v>
      </c>
      <c r="C26" s="312" t="str">
        <f>IFERROR(__xludf.DUMMYFUNCTION("""COMPUTED_VALUE"""),"GND3")</f>
        <v>GND3</v>
      </c>
      <c r="D26" s="371">
        <f>IFERROR(__xludf.DUMMYFUNCTION("""COMPUTED_VALUE"""),168105.0)</f>
        <v>168105</v>
      </c>
      <c r="E26" s="313" t="str">
        <f>IFERROR(__xludf.DUMMYFUNCTION("""COMPUTED_VALUE"""),"8623/2021")</f>
        <v>8623/2021</v>
      </c>
      <c r="F26" s="318">
        <f>IFERROR(__xludf.DUMMYFUNCTION("""COMPUTED_VALUE"""),136300.0)</f>
        <v>136300</v>
      </c>
      <c r="G26" s="315" t="str">
        <f>IFERROR(__xludf.DUMMYFUNCTION("""COMPUTED_VALUE"""),"SESUP")</f>
        <v>SESUP</v>
      </c>
      <c r="H26" s="315"/>
      <c r="I26" s="315" t="s">
        <v>738</v>
      </c>
      <c r="J26" s="362"/>
      <c r="K26" s="315"/>
    </row>
    <row r="27">
      <c r="A27" s="311">
        <f>IFERROR(__xludf.DUMMYFUNCTION("""COMPUTED_VALUE"""),15327.0)</f>
        <v>15327</v>
      </c>
      <c r="B27" s="370" t="str">
        <f>IFERROR(__xludf.DUMMYFUNCTION("""COMPUTED_VALUE"""),"SWITCHES EQUIPAMENTOS - Ampliação da capacidade da rede SAN, que conecta os equipamentos servidores e sistema de backup às unidades de armazenamento.")</f>
        <v>SWITCHES EQUIPAMENTOS - Ampliação da capacidade da rede SAN, que conecta os equipamentos servidores e sistema de backup às unidades de armazenamento.</v>
      </c>
      <c r="C27" s="312" t="str">
        <f>IFERROR(__xludf.DUMMYFUNCTION("""COMPUTED_VALUE"""),"GND4")</f>
        <v>GND4</v>
      </c>
      <c r="D27" s="371">
        <f>IFERROR(__xludf.DUMMYFUNCTION("""COMPUTED_VALUE"""),168105.0)</f>
        <v>168105</v>
      </c>
      <c r="E27" s="313" t="str">
        <f>IFERROR(__xludf.DUMMYFUNCTION("""COMPUTED_VALUE"""),"9109/2021")</f>
        <v>9109/2021</v>
      </c>
      <c r="F27" s="318">
        <f>IFERROR(__xludf.DUMMYFUNCTION("""COMPUTED_VALUE"""),360000.0)</f>
        <v>360000</v>
      </c>
      <c r="G27" s="315" t="str">
        <f>IFERROR(__xludf.DUMMYFUNCTION("""COMPUTED_VALUE"""),"SEINFRA")</f>
        <v>SEINFRA</v>
      </c>
      <c r="H27" s="315"/>
      <c r="I27" s="315" t="s">
        <v>738</v>
      </c>
      <c r="J27" s="362"/>
      <c r="K27" s="315"/>
    </row>
    <row r="28">
      <c r="A28" s="311">
        <f>IFERROR(__xludf.DUMMYFUNCTION("""COMPUTED_VALUE"""),15361.0)</f>
        <v>15361</v>
      </c>
      <c r="B28" s="370" t="str">
        <f>IFERROR(__xludf.DUMMYFUNCTION("""COMPUTED_VALUE"""),"MICROCOMPUTADORES - Aquisição de microcomputadores modelo mini desktop tipo 2 com wi-fi")</f>
        <v>MICROCOMPUTADORES - Aquisição de microcomputadores modelo mini desktop tipo 2 com wi-fi</v>
      </c>
      <c r="C28" s="312" t="str">
        <f>IFERROR(__xludf.DUMMYFUNCTION("""COMPUTED_VALUE"""),"GND4")</f>
        <v>GND4</v>
      </c>
      <c r="D28" s="371">
        <f>IFERROR(__xludf.DUMMYFUNCTION("""COMPUTED_VALUE"""),168105.0)</f>
        <v>168105</v>
      </c>
      <c r="E28" s="313" t="str">
        <f>IFERROR(__xludf.DUMMYFUNCTION("""COMPUTED_VALUE"""),"9944/2021")</f>
        <v>9944/2021</v>
      </c>
      <c r="F28" s="318">
        <f>IFERROR(__xludf.DUMMYFUNCTION("""COMPUTED_VALUE"""),3037300.0)</f>
        <v>3037300</v>
      </c>
      <c r="G28" s="315" t="str">
        <f>IFERROR(__xludf.DUMMYFUNCTION("""COMPUTED_VALUE"""),"SESUP")</f>
        <v>SESUP</v>
      </c>
      <c r="H28" s="315"/>
      <c r="I28" s="315" t="s">
        <v>738</v>
      </c>
      <c r="J28" s="362"/>
      <c r="K28" s="315"/>
    </row>
    <row r="29">
      <c r="A29" s="311"/>
      <c r="B29" s="370"/>
      <c r="C29" s="312"/>
      <c r="D29" s="313"/>
      <c r="E29" s="313"/>
      <c r="F29" s="318"/>
      <c r="G29" s="315"/>
      <c r="H29" s="315"/>
      <c r="I29" s="315" t="s">
        <v>738</v>
      </c>
      <c r="J29" s="362"/>
      <c r="K29" s="315"/>
    </row>
    <row r="30">
      <c r="A30" s="311"/>
      <c r="B30" s="370"/>
      <c r="C30" s="312"/>
      <c r="D30" s="313"/>
      <c r="E30" s="313"/>
      <c r="F30" s="318"/>
      <c r="G30" s="315"/>
      <c r="H30" s="315"/>
      <c r="I30" s="315" t="s">
        <v>738</v>
      </c>
      <c r="J30" s="362"/>
      <c r="K30" s="315"/>
    </row>
    <row r="31">
      <c r="A31" s="311"/>
      <c r="B31" s="370"/>
      <c r="C31" s="312"/>
      <c r="D31" s="313"/>
      <c r="E31" s="313"/>
      <c r="F31" s="318"/>
      <c r="G31" s="315"/>
      <c r="H31" s="315"/>
      <c r="I31" s="315" t="s">
        <v>738</v>
      </c>
      <c r="J31" s="362"/>
      <c r="K31" s="362"/>
    </row>
    <row r="32">
      <c r="A32" s="291"/>
      <c r="B32" s="372"/>
      <c r="C32" s="181"/>
      <c r="D32" s="292"/>
      <c r="E32" s="292"/>
      <c r="F32" s="297"/>
      <c r="G32" s="294"/>
      <c r="H32" s="294"/>
      <c r="I32" s="294" t="s">
        <v>738</v>
      </c>
      <c r="J32" s="373"/>
      <c r="K32" s="373"/>
    </row>
    <row r="33">
      <c r="A33" s="291"/>
      <c r="B33" s="372"/>
      <c r="C33" s="181"/>
      <c r="D33" s="292"/>
      <c r="E33" s="292"/>
      <c r="F33" s="297"/>
      <c r="G33" s="294"/>
      <c r="H33" s="294"/>
      <c r="I33" s="294" t="s">
        <v>738</v>
      </c>
      <c r="J33" s="373"/>
      <c r="K33" s="373"/>
    </row>
    <row r="34">
      <c r="A34" s="291"/>
      <c r="B34" s="372"/>
      <c r="C34" s="181"/>
      <c r="D34" s="292"/>
      <c r="E34" s="292"/>
      <c r="F34" s="297"/>
      <c r="G34" s="294"/>
      <c r="H34" s="294"/>
      <c r="I34" s="294" t="s">
        <v>738</v>
      </c>
      <c r="J34" s="373"/>
      <c r="K34" s="373"/>
    </row>
    <row r="35">
      <c r="A35" s="291"/>
      <c r="B35" s="372"/>
      <c r="C35" s="181"/>
      <c r="D35" s="292"/>
      <c r="E35" s="292"/>
      <c r="F35" s="297"/>
      <c r="G35" s="294"/>
      <c r="H35" s="294"/>
      <c r="I35" s="294" t="s">
        <v>738</v>
      </c>
      <c r="J35" s="373"/>
      <c r="K35" s="373"/>
    </row>
    <row r="36">
      <c r="A36" s="291"/>
      <c r="B36" s="372"/>
      <c r="C36" s="181"/>
      <c r="D36" s="292"/>
      <c r="E36" s="292"/>
      <c r="F36" s="297"/>
      <c r="G36" s="294"/>
      <c r="H36" s="294"/>
      <c r="I36" s="294" t="s">
        <v>738</v>
      </c>
      <c r="J36" s="373"/>
      <c r="K36" s="373"/>
    </row>
    <row r="37">
      <c r="A37" s="291"/>
      <c r="B37" s="372"/>
      <c r="C37" s="181"/>
      <c r="D37" s="292"/>
      <c r="E37" s="292"/>
      <c r="F37" s="297"/>
      <c r="G37" s="294"/>
      <c r="H37" s="294"/>
      <c r="I37" s="294" t="s">
        <v>738</v>
      </c>
      <c r="J37" s="373"/>
      <c r="K37" s="373"/>
    </row>
    <row r="38">
      <c r="A38" s="291"/>
      <c r="B38" s="372"/>
      <c r="C38" s="181"/>
      <c r="D38" s="292"/>
      <c r="E38" s="292"/>
      <c r="F38" s="297"/>
      <c r="G38" s="294"/>
      <c r="H38" s="294"/>
      <c r="I38" s="294" t="s">
        <v>738</v>
      </c>
      <c r="J38" s="373"/>
      <c r="K38" s="373"/>
    </row>
    <row r="39">
      <c r="A39" s="291"/>
      <c r="B39" s="372"/>
      <c r="C39" s="181"/>
      <c r="D39" s="292"/>
      <c r="E39" s="292"/>
      <c r="F39" s="297"/>
      <c r="G39" s="294"/>
      <c r="H39" s="294"/>
      <c r="I39" s="294" t="s">
        <v>738</v>
      </c>
      <c r="J39" s="373"/>
      <c r="K39" s="373"/>
    </row>
    <row r="40">
      <c r="A40" s="291"/>
      <c r="B40" s="372"/>
      <c r="C40" s="181"/>
      <c r="D40" s="292"/>
      <c r="E40" s="292"/>
      <c r="F40" s="297"/>
      <c r="G40" s="294"/>
      <c r="H40" s="294"/>
      <c r="I40" s="294" t="s">
        <v>738</v>
      </c>
      <c r="J40" s="373"/>
      <c r="K40" s="373"/>
    </row>
    <row r="41">
      <c r="A41" s="291"/>
      <c r="B41" s="372"/>
      <c r="C41" s="181"/>
      <c r="D41" s="292"/>
      <c r="E41" s="292"/>
      <c r="F41" s="297"/>
      <c r="G41" s="294"/>
      <c r="H41" s="294"/>
      <c r="I41" s="294" t="s">
        <v>738</v>
      </c>
      <c r="J41" s="373"/>
      <c r="K41" s="373"/>
    </row>
    <row r="42">
      <c r="A42" s="291"/>
      <c r="B42" s="372"/>
      <c r="C42" s="181"/>
      <c r="D42" s="292"/>
      <c r="E42" s="292"/>
      <c r="F42" s="297"/>
      <c r="G42" s="294"/>
      <c r="H42" s="294"/>
      <c r="I42" s="294" t="s">
        <v>738</v>
      </c>
      <c r="J42" s="373"/>
      <c r="K42" s="373"/>
    </row>
    <row r="43">
      <c r="A43" s="291"/>
      <c r="B43" s="372"/>
      <c r="C43" s="181"/>
      <c r="D43" s="292"/>
      <c r="E43" s="292"/>
      <c r="F43" s="297"/>
      <c r="G43" s="294"/>
      <c r="H43" s="294"/>
      <c r="I43" s="294" t="s">
        <v>738</v>
      </c>
      <c r="J43" s="373"/>
      <c r="K43" s="373"/>
    </row>
    <row r="44">
      <c r="A44" s="291"/>
      <c r="B44" s="372"/>
      <c r="C44" s="181"/>
      <c r="D44" s="292"/>
      <c r="E44" s="292"/>
      <c r="F44" s="297"/>
      <c r="G44" s="294"/>
      <c r="H44" s="294"/>
      <c r="I44" s="294" t="s">
        <v>738</v>
      </c>
      <c r="J44" s="373"/>
      <c r="K44" s="373"/>
    </row>
    <row r="45">
      <c r="A45" s="291"/>
      <c r="B45" s="372"/>
      <c r="C45" s="181"/>
      <c r="D45" s="292"/>
      <c r="E45" s="292"/>
      <c r="F45" s="297"/>
      <c r="G45" s="294"/>
      <c r="H45" s="294"/>
      <c r="I45" s="294" t="s">
        <v>738</v>
      </c>
      <c r="J45" s="373"/>
      <c r="K45" s="373"/>
    </row>
    <row r="46">
      <c r="A46" s="291"/>
      <c r="B46" s="372"/>
      <c r="C46" s="181"/>
      <c r="D46" s="292"/>
      <c r="E46" s="292"/>
      <c r="F46" s="297"/>
      <c r="G46" s="294"/>
      <c r="H46" s="294"/>
      <c r="I46" s="294" t="s">
        <v>738</v>
      </c>
      <c r="J46" s="373"/>
      <c r="K46" s="373"/>
    </row>
    <row r="47">
      <c r="A47" s="291"/>
      <c r="B47" s="372"/>
      <c r="C47" s="181"/>
      <c r="D47" s="292"/>
      <c r="E47" s="292"/>
      <c r="F47" s="297"/>
      <c r="G47" s="294"/>
      <c r="H47" s="294"/>
      <c r="I47" s="294" t="s">
        <v>738</v>
      </c>
      <c r="J47" s="373"/>
      <c r="K47" s="373"/>
    </row>
    <row r="48">
      <c r="A48" s="291"/>
      <c r="B48" s="372"/>
      <c r="C48" s="181"/>
      <c r="D48" s="292"/>
      <c r="E48" s="292"/>
      <c r="F48" s="297"/>
      <c r="G48" s="294"/>
      <c r="H48" s="294"/>
      <c r="I48" s="294" t="s">
        <v>738</v>
      </c>
      <c r="J48" s="373"/>
      <c r="K48" s="373"/>
    </row>
    <row r="49">
      <c r="A49" s="291"/>
      <c r="B49" s="372"/>
      <c r="C49" s="181"/>
      <c r="D49" s="292"/>
      <c r="E49" s="292"/>
      <c r="F49" s="297"/>
      <c r="G49" s="294"/>
      <c r="H49" s="294"/>
      <c r="I49" s="294" t="s">
        <v>738</v>
      </c>
      <c r="J49" s="373"/>
      <c r="K49" s="373"/>
    </row>
    <row r="50">
      <c r="A50" s="291"/>
      <c r="B50" s="372"/>
      <c r="C50" s="181"/>
      <c r="D50" s="292"/>
      <c r="E50" s="292"/>
      <c r="F50" s="297"/>
      <c r="G50" s="294"/>
      <c r="H50" s="294"/>
      <c r="I50" s="294" t="s">
        <v>738</v>
      </c>
      <c r="J50" s="373"/>
      <c r="K50" s="373"/>
    </row>
    <row r="51">
      <c r="A51" s="291"/>
      <c r="B51" s="372"/>
      <c r="C51" s="181"/>
      <c r="D51" s="292"/>
      <c r="E51" s="292"/>
      <c r="F51" s="297"/>
      <c r="G51" s="294"/>
      <c r="H51" s="294"/>
      <c r="I51" s="294" t="s">
        <v>738</v>
      </c>
      <c r="J51" s="373"/>
      <c r="K51" s="373"/>
    </row>
    <row r="52">
      <c r="A52" s="291"/>
      <c r="B52" s="372"/>
      <c r="C52" s="181"/>
      <c r="D52" s="292"/>
      <c r="E52" s="292"/>
      <c r="F52" s="297"/>
      <c r="G52" s="294"/>
      <c r="H52" s="294"/>
      <c r="I52" s="294" t="s">
        <v>738</v>
      </c>
      <c r="J52" s="373"/>
      <c r="K52" s="373"/>
    </row>
    <row r="53">
      <c r="A53" s="291"/>
      <c r="B53" s="372"/>
      <c r="C53" s="181"/>
      <c r="D53" s="292"/>
      <c r="E53" s="292"/>
      <c r="F53" s="297"/>
      <c r="G53" s="294"/>
      <c r="H53" s="294"/>
      <c r="I53" s="294" t="s">
        <v>738</v>
      </c>
      <c r="J53" s="373"/>
      <c r="K53" s="373"/>
    </row>
    <row r="54">
      <c r="A54" s="291"/>
      <c r="B54" s="372"/>
      <c r="C54" s="181"/>
      <c r="D54" s="292"/>
      <c r="E54" s="292"/>
      <c r="F54" s="297"/>
      <c r="G54" s="294"/>
      <c r="H54" s="294"/>
      <c r="I54" s="294" t="s">
        <v>738</v>
      </c>
      <c r="J54" s="373"/>
      <c r="K54" s="373"/>
    </row>
    <row r="55">
      <c r="A55" s="291"/>
      <c r="B55" s="372"/>
      <c r="C55" s="181"/>
      <c r="D55" s="292"/>
      <c r="E55" s="292"/>
      <c r="F55" s="297"/>
      <c r="G55" s="294"/>
      <c r="H55" s="294"/>
      <c r="I55" s="294" t="s">
        <v>738</v>
      </c>
      <c r="J55" s="373"/>
      <c r="K55" s="373"/>
    </row>
    <row r="56">
      <c r="A56" s="291"/>
      <c r="B56" s="372"/>
      <c r="C56" s="181"/>
      <c r="D56" s="292"/>
      <c r="E56" s="292"/>
      <c r="F56" s="297"/>
      <c r="G56" s="294"/>
      <c r="H56" s="294"/>
      <c r="I56" s="294" t="s">
        <v>738</v>
      </c>
      <c r="J56" s="373"/>
      <c r="K56" s="373"/>
    </row>
    <row r="57">
      <c r="A57" s="291"/>
      <c r="B57" s="372"/>
      <c r="C57" s="181"/>
      <c r="D57" s="292"/>
      <c r="E57" s="292"/>
      <c r="F57" s="297"/>
      <c r="G57" s="294"/>
      <c r="H57" s="294"/>
      <c r="I57" s="294" t="s">
        <v>738</v>
      </c>
      <c r="J57" s="373"/>
      <c r="K57" s="373"/>
    </row>
    <row r="58">
      <c r="A58" s="291"/>
      <c r="B58" s="372"/>
      <c r="C58" s="181"/>
      <c r="D58" s="292"/>
      <c r="E58" s="292"/>
      <c r="F58" s="297"/>
      <c r="G58" s="294"/>
      <c r="H58" s="294"/>
      <c r="I58" s="294" t="s">
        <v>738</v>
      </c>
      <c r="J58" s="373"/>
      <c r="K58" s="373"/>
    </row>
    <row r="59">
      <c r="A59" s="291"/>
      <c r="B59" s="372"/>
      <c r="C59" s="181"/>
      <c r="D59" s="292"/>
      <c r="E59" s="292"/>
      <c r="F59" s="297"/>
      <c r="G59" s="294"/>
      <c r="H59" s="294"/>
      <c r="I59" s="294" t="s">
        <v>738</v>
      </c>
      <c r="J59" s="373"/>
      <c r="K59" s="373"/>
    </row>
    <row r="60">
      <c r="A60" s="291"/>
      <c r="B60" s="372"/>
      <c r="C60" s="181"/>
      <c r="D60" s="292"/>
      <c r="E60" s="292"/>
      <c r="F60" s="297"/>
      <c r="G60" s="294"/>
      <c r="H60" s="294"/>
      <c r="I60" s="294" t="s">
        <v>738</v>
      </c>
      <c r="J60" s="373"/>
      <c r="K60" s="373"/>
    </row>
    <row r="61">
      <c r="A61" s="291"/>
      <c r="B61" s="372"/>
      <c r="C61" s="181"/>
      <c r="D61" s="292"/>
      <c r="E61" s="292"/>
      <c r="F61" s="297"/>
      <c r="G61" s="294"/>
      <c r="H61" s="294"/>
      <c r="I61" s="294" t="s">
        <v>738</v>
      </c>
      <c r="J61" s="373"/>
      <c r="K61" s="373"/>
    </row>
    <row r="62">
      <c r="A62" s="291"/>
      <c r="B62" s="372"/>
      <c r="C62" s="181"/>
      <c r="D62" s="292"/>
      <c r="E62" s="292"/>
      <c r="F62" s="297"/>
      <c r="G62" s="294"/>
      <c r="H62" s="294"/>
      <c r="I62" s="294" t="s">
        <v>738</v>
      </c>
      <c r="J62" s="373"/>
      <c r="K62" s="373"/>
    </row>
    <row r="63">
      <c r="A63" s="291"/>
      <c r="B63" s="372"/>
      <c r="C63" s="181"/>
      <c r="D63" s="292"/>
      <c r="E63" s="292"/>
      <c r="F63" s="297"/>
      <c r="G63" s="294"/>
      <c r="H63" s="294"/>
      <c r="I63" s="294" t="s">
        <v>738</v>
      </c>
      <c r="J63" s="373"/>
      <c r="K63" s="373"/>
    </row>
    <row r="64">
      <c r="A64" s="291"/>
      <c r="B64" s="372"/>
      <c r="C64" s="181"/>
      <c r="D64" s="292"/>
      <c r="E64" s="292"/>
      <c r="F64" s="297"/>
      <c r="G64" s="294"/>
      <c r="H64" s="294"/>
      <c r="I64" s="294" t="s">
        <v>738</v>
      </c>
      <c r="J64" s="373"/>
      <c r="K64" s="373"/>
    </row>
    <row r="65">
      <c r="A65" s="291"/>
      <c r="B65" s="372"/>
      <c r="C65" s="181"/>
      <c r="D65" s="292"/>
      <c r="E65" s="292"/>
      <c r="F65" s="297"/>
      <c r="G65" s="294"/>
      <c r="H65" s="294"/>
      <c r="I65" s="294" t="s">
        <v>738</v>
      </c>
      <c r="J65" s="373"/>
      <c r="K65" s="373"/>
    </row>
    <row r="66">
      <c r="A66" s="291"/>
      <c r="B66" s="372"/>
      <c r="C66" s="181"/>
      <c r="D66" s="292"/>
      <c r="E66" s="292"/>
      <c r="F66" s="297"/>
      <c r="G66" s="294"/>
      <c r="H66" s="294"/>
      <c r="I66" s="294" t="s">
        <v>738</v>
      </c>
      <c r="J66" s="373"/>
      <c r="K66" s="373"/>
    </row>
    <row r="67">
      <c r="A67" s="291"/>
      <c r="B67" s="372"/>
      <c r="C67" s="181"/>
      <c r="D67" s="292"/>
      <c r="E67" s="292"/>
      <c r="F67" s="297"/>
      <c r="G67" s="294"/>
      <c r="H67" s="294"/>
      <c r="I67" s="294" t="s">
        <v>738</v>
      </c>
      <c r="J67" s="373"/>
      <c r="K67" s="373"/>
    </row>
    <row r="68">
      <c r="A68" s="291"/>
      <c r="B68" s="372"/>
      <c r="C68" s="181"/>
      <c r="D68" s="292"/>
      <c r="E68" s="292"/>
      <c r="F68" s="297"/>
      <c r="G68" s="294"/>
      <c r="H68" s="294"/>
      <c r="I68" s="294" t="s">
        <v>738</v>
      </c>
      <c r="J68" s="373"/>
      <c r="K68" s="373"/>
    </row>
    <row r="69">
      <c r="A69" s="291"/>
      <c r="B69" s="372"/>
      <c r="C69" s="181"/>
      <c r="D69" s="292"/>
      <c r="E69" s="292"/>
      <c r="F69" s="297"/>
      <c r="G69" s="294"/>
      <c r="H69" s="294"/>
      <c r="I69" s="294" t="s">
        <v>738</v>
      </c>
      <c r="J69" s="373"/>
      <c r="K69" s="373"/>
    </row>
    <row r="70">
      <c r="A70" s="291"/>
      <c r="B70" s="372"/>
      <c r="C70" s="181"/>
      <c r="D70" s="292"/>
      <c r="E70" s="292"/>
      <c r="F70" s="297"/>
      <c r="G70" s="294"/>
      <c r="H70" s="294"/>
      <c r="I70" s="294" t="s">
        <v>738</v>
      </c>
      <c r="J70" s="373"/>
      <c r="K70" s="373"/>
    </row>
    <row r="71">
      <c r="A71" s="291"/>
      <c r="B71" s="372"/>
      <c r="C71" s="181"/>
      <c r="D71" s="292"/>
      <c r="E71" s="292"/>
      <c r="F71" s="297"/>
      <c r="G71" s="294"/>
      <c r="H71" s="294"/>
      <c r="I71" s="294" t="s">
        <v>738</v>
      </c>
      <c r="J71" s="373"/>
      <c r="K71" s="373"/>
    </row>
    <row r="72">
      <c r="A72" s="291"/>
      <c r="B72" s="372"/>
      <c r="C72" s="181"/>
      <c r="D72" s="292"/>
      <c r="E72" s="292"/>
      <c r="F72" s="297"/>
      <c r="G72" s="294"/>
      <c r="H72" s="294"/>
      <c r="I72" s="294" t="s">
        <v>738</v>
      </c>
      <c r="J72" s="373"/>
      <c r="K72" s="373"/>
    </row>
    <row r="73">
      <c r="A73" s="291"/>
      <c r="B73" s="372"/>
      <c r="C73" s="181"/>
      <c r="D73" s="292"/>
      <c r="E73" s="292"/>
      <c r="F73" s="297"/>
      <c r="G73" s="294"/>
      <c r="H73" s="294"/>
      <c r="I73" s="294" t="s">
        <v>738</v>
      </c>
      <c r="J73" s="373"/>
      <c r="K73" s="373"/>
    </row>
    <row r="74">
      <c r="A74" s="291"/>
      <c r="B74" s="372"/>
      <c r="C74" s="181"/>
      <c r="D74" s="292"/>
      <c r="E74" s="292"/>
      <c r="F74" s="297"/>
      <c r="G74" s="294"/>
      <c r="H74" s="294"/>
      <c r="I74" s="294" t="s">
        <v>738</v>
      </c>
      <c r="J74" s="373"/>
      <c r="K74" s="373"/>
    </row>
    <row r="75">
      <c r="A75" s="291"/>
      <c r="B75" s="372"/>
      <c r="C75" s="181"/>
      <c r="D75" s="292"/>
      <c r="E75" s="292"/>
      <c r="F75" s="297"/>
      <c r="G75" s="294"/>
      <c r="H75" s="294"/>
      <c r="I75" s="294" t="s">
        <v>738</v>
      </c>
      <c r="J75" s="373"/>
      <c r="K75" s="373"/>
    </row>
    <row r="76">
      <c r="A76" s="291"/>
      <c r="B76" s="372"/>
      <c r="C76" s="181"/>
      <c r="D76" s="292"/>
      <c r="E76" s="292"/>
      <c r="F76" s="297"/>
      <c r="G76" s="294"/>
      <c r="H76" s="294"/>
      <c r="I76" s="294" t="s">
        <v>738</v>
      </c>
      <c r="J76" s="373"/>
      <c r="K76" s="373"/>
    </row>
    <row r="77">
      <c r="A77" s="291"/>
      <c r="B77" s="372"/>
      <c r="C77" s="181"/>
      <c r="D77" s="292"/>
      <c r="E77" s="292"/>
      <c r="F77" s="297"/>
      <c r="G77" s="294"/>
      <c r="H77" s="294"/>
      <c r="I77" s="294" t="s">
        <v>738</v>
      </c>
      <c r="J77" s="373"/>
      <c r="K77" s="373"/>
    </row>
    <row r="78">
      <c r="A78" s="291"/>
      <c r="B78" s="372"/>
      <c r="C78" s="181"/>
      <c r="D78" s="292"/>
      <c r="E78" s="292"/>
      <c r="F78" s="297"/>
      <c r="G78" s="294"/>
      <c r="H78" s="294"/>
      <c r="I78" s="294" t="s">
        <v>738</v>
      </c>
      <c r="J78" s="373"/>
      <c r="K78" s="373"/>
    </row>
    <row r="79">
      <c r="A79" s="291"/>
      <c r="B79" s="372"/>
      <c r="C79" s="181"/>
      <c r="D79" s="292"/>
      <c r="E79" s="292"/>
      <c r="F79" s="297"/>
      <c r="G79" s="294"/>
      <c r="H79" s="294"/>
      <c r="I79" s="294" t="s">
        <v>738</v>
      </c>
      <c r="J79" s="373"/>
      <c r="K79" s="373"/>
    </row>
    <row r="80">
      <c r="A80" s="291"/>
      <c r="B80" s="372"/>
      <c r="C80" s="181"/>
      <c r="D80" s="292"/>
      <c r="E80" s="292"/>
      <c r="F80" s="297"/>
      <c r="G80" s="294"/>
      <c r="H80" s="294"/>
      <c r="I80" s="294" t="s">
        <v>738</v>
      </c>
      <c r="J80" s="373"/>
      <c r="K80" s="373"/>
    </row>
    <row r="81">
      <c r="A81" s="291"/>
      <c r="B81" s="372"/>
      <c r="C81" s="181"/>
      <c r="D81" s="292"/>
      <c r="E81" s="292"/>
      <c r="F81" s="297"/>
      <c r="G81" s="294"/>
      <c r="H81" s="294"/>
      <c r="I81" s="294" t="s">
        <v>738</v>
      </c>
      <c r="J81" s="373"/>
      <c r="K81" s="373"/>
    </row>
    <row r="82">
      <c r="A82" s="291"/>
      <c r="B82" s="372"/>
      <c r="C82" s="181"/>
      <c r="D82" s="292"/>
      <c r="E82" s="292"/>
      <c r="F82" s="297"/>
      <c r="G82" s="294"/>
      <c r="H82" s="294"/>
      <c r="I82" s="294" t="s">
        <v>738</v>
      </c>
      <c r="J82" s="373"/>
      <c r="K82" s="373"/>
    </row>
    <row r="83">
      <c r="A83" s="291"/>
      <c r="B83" s="372"/>
      <c r="C83" s="181"/>
      <c r="D83" s="292"/>
      <c r="E83" s="292"/>
      <c r="F83" s="297"/>
      <c r="G83" s="294"/>
      <c r="H83" s="294"/>
      <c r="I83" s="294" t="s">
        <v>738</v>
      </c>
      <c r="J83" s="373"/>
      <c r="K83" s="373"/>
    </row>
    <row r="84">
      <c r="A84" s="291"/>
      <c r="B84" s="372"/>
      <c r="C84" s="181"/>
      <c r="D84" s="292"/>
      <c r="E84" s="292"/>
      <c r="F84" s="297"/>
      <c r="G84" s="294"/>
      <c r="H84" s="294"/>
      <c r="I84" s="294" t="s">
        <v>738</v>
      </c>
      <c r="J84" s="373"/>
      <c r="K84" s="373"/>
    </row>
    <row r="85">
      <c r="A85" s="291"/>
      <c r="B85" s="372"/>
      <c r="C85" s="181"/>
      <c r="D85" s="292"/>
      <c r="E85" s="292"/>
      <c r="F85" s="297"/>
      <c r="G85" s="294"/>
      <c r="H85" s="294"/>
      <c r="I85" s="294" t="s">
        <v>738</v>
      </c>
      <c r="J85" s="373"/>
      <c r="K85" s="373"/>
    </row>
    <row r="86">
      <c r="A86" s="291"/>
      <c r="B86" s="372"/>
      <c r="C86" s="181"/>
      <c r="D86" s="292"/>
      <c r="E86" s="292"/>
      <c r="F86" s="297"/>
      <c r="G86" s="294"/>
      <c r="H86" s="294"/>
      <c r="I86" s="294" t="s">
        <v>738</v>
      </c>
      <c r="J86" s="373"/>
      <c r="K86" s="373"/>
    </row>
    <row r="87">
      <c r="A87" s="291"/>
      <c r="B87" s="372"/>
      <c r="C87" s="181"/>
      <c r="D87" s="292"/>
      <c r="E87" s="292"/>
      <c r="F87" s="297"/>
      <c r="G87" s="294"/>
      <c r="H87" s="294"/>
      <c r="I87" s="294" t="s">
        <v>738</v>
      </c>
      <c r="J87" s="373"/>
      <c r="K87" s="373"/>
    </row>
    <row r="88">
      <c r="A88" s="291"/>
      <c r="B88" s="372"/>
      <c r="C88" s="181"/>
      <c r="D88" s="292"/>
      <c r="E88" s="292"/>
      <c r="F88" s="297"/>
      <c r="G88" s="294"/>
      <c r="H88" s="294"/>
      <c r="I88" s="294" t="s">
        <v>738</v>
      </c>
      <c r="J88" s="373"/>
      <c r="K88" s="373"/>
    </row>
    <row r="89">
      <c r="A89" s="291"/>
      <c r="B89" s="372"/>
      <c r="C89" s="181"/>
      <c r="D89" s="292"/>
      <c r="E89" s="292"/>
      <c r="F89" s="297"/>
      <c r="G89" s="294"/>
      <c r="H89" s="294"/>
      <c r="I89" s="294" t="s">
        <v>738</v>
      </c>
      <c r="J89" s="373"/>
      <c r="K89" s="373"/>
    </row>
    <row r="90">
      <c r="A90" s="291"/>
      <c r="B90" s="372"/>
      <c r="C90" s="181"/>
      <c r="D90" s="292"/>
      <c r="E90" s="292"/>
      <c r="F90" s="297"/>
      <c r="G90" s="294"/>
      <c r="H90" s="294"/>
      <c r="I90" s="294" t="s">
        <v>738</v>
      </c>
      <c r="J90" s="373"/>
      <c r="K90" s="373"/>
    </row>
    <row r="91">
      <c r="A91" s="291"/>
      <c r="B91" s="372"/>
      <c r="C91" s="181"/>
      <c r="D91" s="292"/>
      <c r="E91" s="292"/>
      <c r="F91" s="297"/>
      <c r="G91" s="294"/>
      <c r="H91" s="294"/>
      <c r="I91" s="294" t="s">
        <v>738</v>
      </c>
      <c r="J91" s="373"/>
      <c r="K91" s="373"/>
    </row>
    <row r="92">
      <c r="A92" s="291"/>
      <c r="B92" s="372"/>
      <c r="C92" s="181"/>
      <c r="D92" s="292"/>
      <c r="E92" s="292"/>
      <c r="F92" s="297"/>
      <c r="G92" s="294"/>
      <c r="H92" s="294"/>
      <c r="I92" s="294" t="s">
        <v>738</v>
      </c>
      <c r="J92" s="373"/>
      <c r="K92" s="373"/>
    </row>
    <row r="93">
      <c r="A93" s="291"/>
      <c r="B93" s="372"/>
      <c r="C93" s="181"/>
      <c r="D93" s="292"/>
      <c r="E93" s="292"/>
      <c r="F93" s="297"/>
      <c r="G93" s="294"/>
      <c r="H93" s="294"/>
      <c r="I93" s="294" t="s">
        <v>738</v>
      </c>
      <c r="J93" s="373"/>
      <c r="K93" s="373"/>
    </row>
    <row r="94">
      <c r="A94" s="291"/>
      <c r="B94" s="372"/>
      <c r="C94" s="181"/>
      <c r="D94" s="292"/>
      <c r="E94" s="292"/>
      <c r="F94" s="297"/>
      <c r="G94" s="294"/>
      <c r="H94" s="294"/>
      <c r="I94" s="294" t="s">
        <v>738</v>
      </c>
      <c r="J94" s="373"/>
      <c r="K94" s="373"/>
    </row>
    <row r="95">
      <c r="A95" s="291"/>
      <c r="B95" s="372"/>
      <c r="C95" s="181"/>
      <c r="D95" s="292"/>
      <c r="E95" s="292"/>
      <c r="F95" s="297"/>
      <c r="G95" s="294"/>
      <c r="H95" s="294"/>
      <c r="I95" s="294" t="s">
        <v>738</v>
      </c>
      <c r="J95" s="373"/>
      <c r="K95" s="373"/>
    </row>
    <row r="96">
      <c r="A96" s="291"/>
      <c r="B96" s="372"/>
      <c r="C96" s="181"/>
      <c r="D96" s="292"/>
      <c r="E96" s="292"/>
      <c r="F96" s="297"/>
      <c r="G96" s="294"/>
      <c r="H96" s="294"/>
      <c r="I96" s="294" t="s">
        <v>738</v>
      </c>
      <c r="J96" s="373"/>
      <c r="K96" s="373"/>
    </row>
    <row r="97">
      <c r="A97" s="291"/>
      <c r="B97" s="372"/>
      <c r="C97" s="181"/>
      <c r="D97" s="292"/>
      <c r="E97" s="292"/>
      <c r="F97" s="297"/>
      <c r="G97" s="294"/>
      <c r="H97" s="294"/>
      <c r="I97" s="294" t="s">
        <v>738</v>
      </c>
      <c r="J97" s="373"/>
      <c r="K97" s="373"/>
    </row>
    <row r="98">
      <c r="A98" s="291"/>
      <c r="B98" s="372"/>
      <c r="C98" s="181"/>
      <c r="D98" s="292"/>
      <c r="E98" s="292"/>
      <c r="F98" s="297"/>
      <c r="G98" s="294"/>
      <c r="H98" s="294"/>
      <c r="I98" s="294" t="s">
        <v>738</v>
      </c>
      <c r="J98" s="373"/>
      <c r="K98" s="373"/>
    </row>
    <row r="99">
      <c r="A99" s="291"/>
      <c r="B99" s="372"/>
      <c r="C99" s="181"/>
      <c r="D99" s="292"/>
      <c r="E99" s="292"/>
      <c r="F99" s="297"/>
      <c r="G99" s="294"/>
      <c r="H99" s="294"/>
      <c r="I99" s="294" t="s">
        <v>738</v>
      </c>
      <c r="J99" s="373"/>
      <c r="K99" s="373"/>
    </row>
    <row r="100">
      <c r="A100" s="291"/>
      <c r="B100" s="372"/>
      <c r="C100" s="181"/>
      <c r="D100" s="292"/>
      <c r="E100" s="292"/>
      <c r="F100" s="297"/>
      <c r="G100" s="294"/>
      <c r="H100" s="294"/>
      <c r="I100" s="294" t="s">
        <v>738</v>
      </c>
      <c r="J100" s="373"/>
      <c r="K100" s="373"/>
    </row>
    <row r="101">
      <c r="A101" s="291"/>
      <c r="B101" s="372"/>
      <c r="C101" s="181"/>
      <c r="D101" s="292"/>
      <c r="E101" s="292"/>
      <c r="F101" s="297"/>
      <c r="G101" s="294"/>
      <c r="H101" s="294"/>
      <c r="I101" s="294" t="s">
        <v>738</v>
      </c>
      <c r="J101" s="373"/>
      <c r="K101" s="373"/>
    </row>
    <row r="102">
      <c r="A102" s="291"/>
      <c r="B102" s="372"/>
      <c r="C102" s="181"/>
      <c r="D102" s="292"/>
      <c r="E102" s="292"/>
      <c r="F102" s="297"/>
      <c r="G102" s="294"/>
      <c r="H102" s="294"/>
      <c r="I102" s="294" t="s">
        <v>738</v>
      </c>
      <c r="J102" s="373"/>
      <c r="K102" s="373"/>
    </row>
    <row r="103">
      <c r="A103" s="291"/>
      <c r="B103" s="372"/>
      <c r="C103" s="181"/>
      <c r="D103" s="292"/>
      <c r="E103" s="292"/>
      <c r="F103" s="297"/>
      <c r="G103" s="294"/>
      <c r="H103" s="294"/>
      <c r="I103" s="294" t="s">
        <v>738</v>
      </c>
      <c r="J103" s="373"/>
      <c r="K103" s="373"/>
    </row>
    <row r="104">
      <c r="A104" s="291"/>
      <c r="B104" s="372"/>
      <c r="C104" s="181"/>
      <c r="D104" s="292"/>
      <c r="E104" s="292"/>
      <c r="F104" s="297"/>
      <c r="G104" s="294"/>
      <c r="H104" s="294"/>
      <c r="I104" s="294" t="s">
        <v>738</v>
      </c>
      <c r="J104" s="373"/>
      <c r="K104" s="373"/>
    </row>
    <row r="105">
      <c r="A105" s="291"/>
      <c r="B105" s="372"/>
      <c r="C105" s="181"/>
      <c r="D105" s="292"/>
      <c r="E105" s="292"/>
      <c r="F105" s="297"/>
      <c r="G105" s="294"/>
      <c r="H105" s="294"/>
      <c r="I105" s="294" t="s">
        <v>738</v>
      </c>
      <c r="J105" s="373"/>
      <c r="K105" s="373"/>
    </row>
    <row r="106">
      <c r="A106" s="291"/>
      <c r="B106" s="372"/>
      <c r="C106" s="181"/>
      <c r="D106" s="292"/>
      <c r="E106" s="292"/>
      <c r="F106" s="297"/>
      <c r="G106" s="294"/>
      <c r="H106" s="294"/>
      <c r="I106" s="294" t="s">
        <v>738</v>
      </c>
      <c r="J106" s="373"/>
      <c r="K106" s="373"/>
    </row>
    <row r="107">
      <c r="A107" s="291"/>
      <c r="B107" s="372"/>
      <c r="C107" s="181"/>
      <c r="D107" s="292"/>
      <c r="E107" s="292"/>
      <c r="F107" s="297"/>
      <c r="G107" s="294"/>
      <c r="H107" s="294"/>
      <c r="I107" s="294" t="s">
        <v>738</v>
      </c>
      <c r="J107" s="373"/>
      <c r="K107" s="373"/>
    </row>
    <row r="108">
      <c r="A108" s="291"/>
      <c r="B108" s="372"/>
      <c r="C108" s="181"/>
      <c r="D108" s="292"/>
      <c r="E108" s="292"/>
      <c r="F108" s="297"/>
      <c r="G108" s="294"/>
      <c r="H108" s="294"/>
      <c r="I108" s="294" t="s">
        <v>738</v>
      </c>
      <c r="J108" s="373"/>
      <c r="K108" s="373"/>
    </row>
    <row r="109">
      <c r="A109" s="291"/>
      <c r="B109" s="372"/>
      <c r="C109" s="181"/>
      <c r="D109" s="292"/>
      <c r="E109" s="292"/>
      <c r="F109" s="297"/>
      <c r="G109" s="294"/>
      <c r="H109" s="294"/>
      <c r="I109" s="294" t="s">
        <v>738</v>
      </c>
      <c r="J109" s="373"/>
      <c r="K109" s="373"/>
    </row>
    <row r="110">
      <c r="A110" s="291"/>
      <c r="B110" s="372"/>
      <c r="C110" s="181"/>
      <c r="D110" s="292"/>
      <c r="E110" s="292"/>
      <c r="F110" s="297"/>
      <c r="G110" s="294"/>
      <c r="H110" s="294"/>
      <c r="I110" s="294" t="s">
        <v>738</v>
      </c>
      <c r="J110" s="373"/>
      <c r="K110" s="373"/>
    </row>
    <row r="111">
      <c r="A111" s="291"/>
      <c r="B111" s="372"/>
      <c r="C111" s="181"/>
      <c r="D111" s="292"/>
      <c r="E111" s="292"/>
      <c r="F111" s="297"/>
      <c r="G111" s="294"/>
      <c r="H111" s="294"/>
      <c r="I111" s="294" t="s">
        <v>738</v>
      </c>
      <c r="J111" s="373"/>
      <c r="K111" s="373"/>
    </row>
    <row r="112">
      <c r="A112" s="291"/>
      <c r="B112" s="372"/>
      <c r="C112" s="181"/>
      <c r="D112" s="292"/>
      <c r="E112" s="292"/>
      <c r="F112" s="297"/>
      <c r="G112" s="294"/>
      <c r="H112" s="294"/>
      <c r="I112" s="294" t="s">
        <v>738</v>
      </c>
      <c r="J112" s="373"/>
      <c r="K112" s="373"/>
    </row>
    <row r="113">
      <c r="A113" s="291"/>
      <c r="B113" s="372"/>
      <c r="C113" s="181"/>
      <c r="D113" s="292"/>
      <c r="E113" s="292"/>
      <c r="F113" s="297"/>
      <c r="G113" s="294"/>
      <c r="H113" s="294"/>
      <c r="I113" s="294" t="s">
        <v>738</v>
      </c>
      <c r="J113" s="373"/>
      <c r="K113" s="373"/>
    </row>
    <row r="114">
      <c r="A114" s="291"/>
      <c r="B114" s="372"/>
      <c r="C114" s="181"/>
      <c r="D114" s="292"/>
      <c r="E114" s="292"/>
      <c r="F114" s="297"/>
      <c r="G114" s="294"/>
      <c r="H114" s="294"/>
      <c r="I114" s="294" t="s">
        <v>738</v>
      </c>
      <c r="J114" s="373"/>
      <c r="K114" s="373"/>
    </row>
    <row r="115">
      <c r="A115" s="291"/>
      <c r="B115" s="372"/>
      <c r="C115" s="181"/>
      <c r="D115" s="292"/>
      <c r="E115" s="292"/>
      <c r="F115" s="297"/>
      <c r="G115" s="294"/>
      <c r="H115" s="294"/>
      <c r="I115" s="294" t="s">
        <v>738</v>
      </c>
      <c r="J115" s="373"/>
      <c r="K115" s="373"/>
    </row>
    <row r="116">
      <c r="A116" s="291"/>
      <c r="B116" s="372"/>
      <c r="C116" s="181"/>
      <c r="D116" s="292"/>
      <c r="E116" s="292"/>
      <c r="F116" s="297"/>
      <c r="G116" s="294"/>
      <c r="H116" s="294"/>
      <c r="I116" s="294" t="s">
        <v>738</v>
      </c>
      <c r="J116" s="373"/>
      <c r="K116" s="373"/>
    </row>
    <row r="117">
      <c r="A117" s="291"/>
      <c r="B117" s="372"/>
      <c r="C117" s="181"/>
      <c r="D117" s="292"/>
      <c r="E117" s="292"/>
      <c r="F117" s="297"/>
      <c r="G117" s="294"/>
      <c r="H117" s="294"/>
      <c r="I117" s="294" t="s">
        <v>738</v>
      </c>
      <c r="J117" s="373"/>
      <c r="K117" s="373"/>
    </row>
    <row r="118">
      <c r="A118" s="291"/>
      <c r="B118" s="372"/>
      <c r="C118" s="181"/>
      <c r="D118" s="292"/>
      <c r="E118" s="292"/>
      <c r="F118" s="297"/>
      <c r="G118" s="294"/>
      <c r="H118" s="294"/>
      <c r="I118" s="294" t="s">
        <v>738</v>
      </c>
      <c r="J118" s="373"/>
      <c r="K118" s="373"/>
    </row>
    <row r="119">
      <c r="A119" s="291"/>
      <c r="B119" s="372"/>
      <c r="C119" s="181"/>
      <c r="D119" s="292"/>
      <c r="E119" s="292"/>
      <c r="F119" s="297"/>
      <c r="G119" s="294"/>
      <c r="H119" s="294"/>
      <c r="I119" s="294" t="s">
        <v>738</v>
      </c>
      <c r="J119" s="373"/>
      <c r="K119" s="373"/>
    </row>
    <row r="120">
      <c r="A120" s="291"/>
      <c r="B120" s="372"/>
      <c r="C120" s="181"/>
      <c r="D120" s="292"/>
      <c r="E120" s="292"/>
      <c r="F120" s="297"/>
      <c r="G120" s="294"/>
      <c r="H120" s="294"/>
      <c r="I120" s="294" t="s">
        <v>738</v>
      </c>
      <c r="J120" s="373"/>
      <c r="K120" s="373"/>
    </row>
    <row r="121">
      <c r="A121" s="291"/>
      <c r="B121" s="372"/>
      <c r="C121" s="181"/>
      <c r="D121" s="292"/>
      <c r="E121" s="292"/>
      <c r="F121" s="297"/>
      <c r="G121" s="294"/>
      <c r="H121" s="294"/>
      <c r="I121" s="294" t="s">
        <v>738</v>
      </c>
      <c r="J121" s="373"/>
      <c r="K121" s="373"/>
    </row>
    <row r="122">
      <c r="A122" s="291"/>
      <c r="B122" s="372"/>
      <c r="C122" s="181"/>
      <c r="D122" s="292"/>
      <c r="E122" s="292"/>
      <c r="F122" s="297"/>
      <c r="G122" s="294"/>
      <c r="H122" s="294"/>
      <c r="I122" s="294" t="s">
        <v>738</v>
      </c>
      <c r="J122" s="373"/>
      <c r="K122" s="373"/>
    </row>
    <row r="123">
      <c r="A123" s="291"/>
      <c r="B123" s="372"/>
      <c r="C123" s="181"/>
      <c r="D123" s="292"/>
      <c r="E123" s="292"/>
      <c r="F123" s="297"/>
      <c r="G123" s="294"/>
      <c r="H123" s="294"/>
      <c r="I123" s="294" t="s">
        <v>738</v>
      </c>
      <c r="J123" s="373"/>
      <c r="K123" s="373"/>
    </row>
    <row r="124">
      <c r="A124" s="291"/>
      <c r="B124" s="372"/>
      <c r="C124" s="181"/>
      <c r="D124" s="292"/>
      <c r="E124" s="292"/>
      <c r="F124" s="297"/>
      <c r="G124" s="294"/>
      <c r="H124" s="294"/>
      <c r="I124" s="294" t="s">
        <v>738</v>
      </c>
      <c r="J124" s="373"/>
      <c r="K124" s="373"/>
    </row>
    <row r="125">
      <c r="A125" s="291"/>
      <c r="B125" s="372"/>
      <c r="C125" s="181"/>
      <c r="D125" s="292"/>
      <c r="E125" s="292"/>
      <c r="F125" s="297"/>
      <c r="G125" s="294"/>
      <c r="H125" s="294"/>
      <c r="I125" s="294" t="s">
        <v>738</v>
      </c>
      <c r="J125" s="373"/>
      <c r="K125" s="373"/>
    </row>
    <row r="126">
      <c r="A126" s="291"/>
      <c r="B126" s="372"/>
      <c r="C126" s="181"/>
      <c r="D126" s="292"/>
      <c r="E126" s="292"/>
      <c r="F126" s="297"/>
      <c r="G126" s="294"/>
      <c r="H126" s="294"/>
      <c r="I126" s="294" t="s">
        <v>738</v>
      </c>
      <c r="J126" s="373"/>
      <c r="K126" s="373"/>
    </row>
    <row r="127">
      <c r="A127" s="291"/>
      <c r="B127" s="372"/>
      <c r="C127" s="181"/>
      <c r="D127" s="292"/>
      <c r="E127" s="292"/>
      <c r="F127" s="297"/>
      <c r="G127" s="294"/>
      <c r="H127" s="294"/>
      <c r="I127" s="294" t="s">
        <v>738</v>
      </c>
      <c r="J127" s="373"/>
      <c r="K127" s="373"/>
    </row>
    <row r="128">
      <c r="A128" s="291"/>
      <c r="B128" s="372"/>
      <c r="C128" s="181"/>
      <c r="D128" s="292"/>
      <c r="E128" s="292"/>
      <c r="F128" s="297"/>
      <c r="G128" s="294"/>
      <c r="H128" s="294"/>
      <c r="I128" s="294" t="s">
        <v>738</v>
      </c>
      <c r="J128" s="373"/>
      <c r="K128" s="373"/>
    </row>
    <row r="129">
      <c r="A129" s="291"/>
      <c r="B129" s="372"/>
      <c r="C129" s="181"/>
      <c r="D129" s="292"/>
      <c r="E129" s="292"/>
      <c r="F129" s="297"/>
      <c r="G129" s="294"/>
      <c r="H129" s="294"/>
      <c r="I129" s="294" t="s">
        <v>738</v>
      </c>
      <c r="J129" s="373"/>
      <c r="K129" s="373"/>
    </row>
    <row r="130">
      <c r="A130" s="291"/>
      <c r="B130" s="372"/>
      <c r="C130" s="181"/>
      <c r="D130" s="292"/>
      <c r="E130" s="292"/>
      <c r="F130" s="297"/>
      <c r="G130" s="294"/>
      <c r="H130" s="294"/>
      <c r="I130" s="294" t="s">
        <v>738</v>
      </c>
      <c r="J130" s="373"/>
      <c r="K130" s="373"/>
    </row>
    <row r="131">
      <c r="A131" s="291"/>
      <c r="B131" s="372"/>
      <c r="C131" s="181"/>
      <c r="D131" s="292"/>
      <c r="E131" s="292"/>
      <c r="F131" s="297"/>
      <c r="G131" s="294"/>
      <c r="H131" s="294"/>
      <c r="I131" s="294" t="s">
        <v>738</v>
      </c>
      <c r="J131" s="373"/>
      <c r="K131" s="373"/>
    </row>
    <row r="132">
      <c r="A132" s="291"/>
      <c r="B132" s="372"/>
      <c r="C132" s="181"/>
      <c r="D132" s="292"/>
      <c r="E132" s="292"/>
      <c r="F132" s="297"/>
      <c r="G132" s="294"/>
      <c r="H132" s="294"/>
      <c r="I132" s="294" t="s">
        <v>738</v>
      </c>
      <c r="J132" s="373"/>
      <c r="K132" s="373"/>
    </row>
    <row r="133">
      <c r="A133" s="291"/>
      <c r="B133" s="372"/>
      <c r="C133" s="181"/>
      <c r="D133" s="292"/>
      <c r="E133" s="292"/>
      <c r="F133" s="297"/>
      <c r="G133" s="294"/>
      <c r="H133" s="294"/>
      <c r="I133" s="294" t="s">
        <v>738</v>
      </c>
      <c r="J133" s="373"/>
      <c r="K133" s="373"/>
    </row>
    <row r="134">
      <c r="A134" s="291"/>
      <c r="B134" s="372"/>
      <c r="C134" s="181"/>
      <c r="D134" s="292"/>
      <c r="E134" s="292"/>
      <c r="F134" s="297"/>
      <c r="G134" s="294"/>
      <c r="H134" s="294"/>
      <c r="I134" s="294" t="s">
        <v>738</v>
      </c>
      <c r="J134" s="373"/>
      <c r="K134" s="373"/>
    </row>
    <row r="135">
      <c r="A135" s="291"/>
      <c r="B135" s="372"/>
      <c r="C135" s="181"/>
      <c r="D135" s="292"/>
      <c r="E135" s="292"/>
      <c r="F135" s="297"/>
      <c r="G135" s="294"/>
      <c r="H135" s="294"/>
      <c r="I135" s="294" t="s">
        <v>738</v>
      </c>
      <c r="J135" s="373"/>
      <c r="K135" s="373"/>
    </row>
    <row r="136">
      <c r="A136" s="291"/>
      <c r="B136" s="372"/>
      <c r="C136" s="181"/>
      <c r="D136" s="292"/>
      <c r="E136" s="292"/>
      <c r="F136" s="297"/>
      <c r="G136" s="294"/>
      <c r="H136" s="294"/>
      <c r="I136" s="294" t="s">
        <v>738</v>
      </c>
      <c r="J136" s="373"/>
      <c r="K136" s="373"/>
    </row>
    <row r="137">
      <c r="A137" s="291"/>
      <c r="B137" s="372"/>
      <c r="C137" s="181"/>
      <c r="D137" s="292"/>
      <c r="E137" s="292"/>
      <c r="F137" s="297"/>
      <c r="G137" s="294"/>
      <c r="H137" s="294"/>
      <c r="I137" s="294" t="s">
        <v>738</v>
      </c>
      <c r="J137" s="373"/>
      <c r="K137" s="373"/>
    </row>
    <row r="138">
      <c r="A138" s="291"/>
      <c r="B138" s="372"/>
      <c r="C138" s="181"/>
      <c r="D138" s="292"/>
      <c r="E138" s="292"/>
      <c r="F138" s="297"/>
      <c r="G138" s="294"/>
      <c r="H138" s="294"/>
      <c r="I138" s="294" t="s">
        <v>738</v>
      </c>
      <c r="J138" s="373"/>
      <c r="K138" s="373"/>
    </row>
    <row r="139">
      <c r="A139" s="291"/>
      <c r="B139" s="372"/>
      <c r="C139" s="181"/>
      <c r="D139" s="292"/>
      <c r="E139" s="292"/>
      <c r="F139" s="297"/>
      <c r="G139" s="294"/>
      <c r="H139" s="294"/>
      <c r="I139" s="294" t="s">
        <v>738</v>
      </c>
      <c r="J139" s="373"/>
      <c r="K139" s="373"/>
    </row>
    <row r="140">
      <c r="A140" s="291"/>
      <c r="B140" s="372"/>
      <c r="C140" s="181"/>
      <c r="D140" s="292"/>
      <c r="E140" s="292"/>
      <c r="F140" s="297"/>
      <c r="G140" s="294"/>
      <c r="H140" s="294"/>
      <c r="I140" s="294" t="s">
        <v>738</v>
      </c>
      <c r="J140" s="373"/>
      <c r="K140" s="373"/>
    </row>
    <row r="141">
      <c r="A141" s="291"/>
      <c r="B141" s="372"/>
      <c r="C141" s="181"/>
      <c r="D141" s="292"/>
      <c r="E141" s="292"/>
      <c r="F141" s="297"/>
      <c r="G141" s="294"/>
      <c r="H141" s="294"/>
      <c r="I141" s="294" t="s">
        <v>738</v>
      </c>
      <c r="J141" s="373"/>
      <c r="K141" s="373"/>
    </row>
    <row r="142">
      <c r="A142" s="291"/>
      <c r="B142" s="372"/>
      <c r="C142" s="181"/>
      <c r="D142" s="292"/>
      <c r="E142" s="292"/>
      <c r="F142" s="297"/>
      <c r="G142" s="294"/>
      <c r="H142" s="294"/>
      <c r="I142" s="294" t="s">
        <v>738</v>
      </c>
      <c r="J142" s="373"/>
      <c r="K142" s="373"/>
    </row>
    <row r="143">
      <c r="A143" s="291"/>
      <c r="B143" s="372"/>
      <c r="C143" s="181"/>
      <c r="D143" s="292"/>
      <c r="E143" s="292"/>
      <c r="F143" s="297"/>
      <c r="G143" s="294"/>
      <c r="H143" s="294"/>
      <c r="I143" s="294" t="s">
        <v>738</v>
      </c>
      <c r="J143" s="373"/>
      <c r="K143" s="373"/>
    </row>
    <row r="144">
      <c r="A144" s="291"/>
      <c r="B144" s="372"/>
      <c r="C144" s="181"/>
      <c r="D144" s="292"/>
      <c r="E144" s="292"/>
      <c r="F144" s="297"/>
      <c r="G144" s="294"/>
      <c r="H144" s="294"/>
      <c r="I144" s="294" t="s">
        <v>738</v>
      </c>
      <c r="J144" s="373"/>
      <c r="K144" s="373"/>
    </row>
    <row r="145">
      <c r="A145" s="291"/>
      <c r="B145" s="372"/>
      <c r="C145" s="181"/>
      <c r="D145" s="292"/>
      <c r="E145" s="292"/>
      <c r="F145" s="297"/>
      <c r="G145" s="294"/>
      <c r="H145" s="294"/>
      <c r="I145" s="294" t="s">
        <v>738</v>
      </c>
      <c r="J145" s="373"/>
      <c r="K145" s="373"/>
    </row>
    <row r="146">
      <c r="A146" s="291"/>
      <c r="B146" s="372"/>
      <c r="C146" s="181"/>
      <c r="D146" s="292"/>
      <c r="E146" s="292"/>
      <c r="F146" s="297"/>
      <c r="G146" s="294"/>
      <c r="H146" s="294"/>
      <c r="I146" s="294" t="s">
        <v>738</v>
      </c>
      <c r="J146" s="373"/>
      <c r="K146" s="373"/>
    </row>
    <row r="147">
      <c r="A147" s="291"/>
      <c r="B147" s="372"/>
      <c r="C147" s="181"/>
      <c r="D147" s="292"/>
      <c r="E147" s="292"/>
      <c r="F147" s="297"/>
      <c r="G147" s="294"/>
      <c r="H147" s="294"/>
      <c r="I147" s="294" t="s">
        <v>738</v>
      </c>
      <c r="J147" s="373"/>
      <c r="K147" s="373"/>
    </row>
    <row r="148">
      <c r="A148" s="291"/>
      <c r="B148" s="372"/>
      <c r="C148" s="181"/>
      <c r="D148" s="292"/>
      <c r="E148" s="292"/>
      <c r="F148" s="297"/>
      <c r="G148" s="294"/>
      <c r="H148" s="294"/>
      <c r="I148" s="294" t="s">
        <v>738</v>
      </c>
      <c r="J148" s="373"/>
      <c r="K148" s="373"/>
    </row>
    <row r="149">
      <c r="A149" s="291"/>
      <c r="B149" s="372"/>
      <c r="C149" s="181"/>
      <c r="D149" s="292"/>
      <c r="E149" s="292"/>
      <c r="F149" s="297"/>
      <c r="G149" s="294"/>
      <c r="H149" s="294"/>
      <c r="I149" s="294" t="s">
        <v>738</v>
      </c>
      <c r="J149" s="373"/>
      <c r="K149" s="373"/>
    </row>
    <row r="150">
      <c r="A150" s="291"/>
      <c r="B150" s="372"/>
      <c r="C150" s="181"/>
      <c r="D150" s="292"/>
      <c r="E150" s="292"/>
      <c r="F150" s="297"/>
      <c r="G150" s="294"/>
      <c r="H150" s="294"/>
      <c r="I150" s="294" t="s">
        <v>738</v>
      </c>
      <c r="J150" s="373"/>
      <c r="K150" s="373"/>
    </row>
    <row r="151">
      <c r="A151" s="291"/>
      <c r="B151" s="372"/>
      <c r="C151" s="181"/>
      <c r="D151" s="292"/>
      <c r="E151" s="292"/>
      <c r="F151" s="297"/>
      <c r="G151" s="294"/>
      <c r="H151" s="294"/>
      <c r="I151" s="294" t="s">
        <v>738</v>
      </c>
      <c r="J151" s="373"/>
      <c r="K151" s="373"/>
    </row>
    <row r="152">
      <c r="A152" s="291"/>
      <c r="B152" s="372"/>
      <c r="C152" s="181"/>
      <c r="D152" s="292"/>
      <c r="E152" s="292"/>
      <c r="F152" s="297"/>
      <c r="G152" s="294"/>
      <c r="H152" s="294"/>
      <c r="I152" s="294" t="s">
        <v>738</v>
      </c>
      <c r="J152" s="373"/>
      <c r="K152" s="373"/>
    </row>
    <row r="153">
      <c r="A153" s="291"/>
      <c r="B153" s="372"/>
      <c r="C153" s="181"/>
      <c r="D153" s="292"/>
      <c r="E153" s="292"/>
      <c r="F153" s="297"/>
      <c r="G153" s="294"/>
      <c r="H153" s="294"/>
      <c r="I153" s="294" t="s">
        <v>738</v>
      </c>
      <c r="J153" s="373"/>
      <c r="K153" s="373"/>
    </row>
    <row r="154">
      <c r="A154" s="291"/>
      <c r="B154" s="372"/>
      <c r="C154" s="181"/>
      <c r="D154" s="292"/>
      <c r="E154" s="292"/>
      <c r="F154" s="297"/>
      <c r="G154" s="294"/>
      <c r="H154" s="294"/>
      <c r="I154" s="294" t="s">
        <v>738</v>
      </c>
      <c r="J154" s="373"/>
      <c r="K154" s="373"/>
    </row>
    <row r="155">
      <c r="A155" s="291"/>
      <c r="B155" s="372"/>
      <c r="C155" s="181"/>
      <c r="D155" s="292"/>
      <c r="E155" s="292"/>
      <c r="F155" s="297"/>
      <c r="G155" s="294"/>
      <c r="H155" s="294"/>
      <c r="I155" s="294" t="s">
        <v>738</v>
      </c>
      <c r="J155" s="373"/>
      <c r="K155" s="373"/>
    </row>
    <row r="156">
      <c r="A156" s="291"/>
      <c r="B156" s="372"/>
      <c r="C156" s="181"/>
      <c r="D156" s="292"/>
      <c r="E156" s="292"/>
      <c r="F156" s="297"/>
      <c r="G156" s="294"/>
      <c r="H156" s="294"/>
      <c r="I156" s="294" t="s">
        <v>738</v>
      </c>
      <c r="J156" s="373"/>
      <c r="K156" s="373"/>
    </row>
    <row r="157">
      <c r="A157" s="291"/>
      <c r="B157" s="372"/>
      <c r="C157" s="181"/>
      <c r="D157" s="292"/>
      <c r="E157" s="292"/>
      <c r="F157" s="297"/>
      <c r="G157" s="294"/>
      <c r="H157" s="294"/>
      <c r="I157" s="294" t="s">
        <v>738</v>
      </c>
      <c r="J157" s="373"/>
      <c r="K157" s="373"/>
    </row>
    <row r="158">
      <c r="A158" s="291"/>
      <c r="B158" s="372"/>
      <c r="C158" s="181"/>
      <c r="D158" s="292"/>
      <c r="E158" s="292"/>
      <c r="F158" s="297"/>
      <c r="G158" s="294"/>
      <c r="H158" s="294"/>
      <c r="I158" s="294" t="s">
        <v>738</v>
      </c>
      <c r="J158" s="373"/>
      <c r="K158" s="373"/>
    </row>
    <row r="159">
      <c r="A159" s="291"/>
      <c r="B159" s="372"/>
      <c r="C159" s="181"/>
      <c r="D159" s="292"/>
      <c r="E159" s="292"/>
      <c r="F159" s="297"/>
      <c r="G159" s="294"/>
      <c r="H159" s="294"/>
      <c r="I159" s="294" t="s">
        <v>738</v>
      </c>
      <c r="J159" s="373"/>
      <c r="K159" s="373"/>
    </row>
    <row r="160">
      <c r="A160" s="291"/>
      <c r="B160" s="372"/>
      <c r="C160" s="181"/>
      <c r="D160" s="292"/>
      <c r="E160" s="292"/>
      <c r="F160" s="297"/>
      <c r="G160" s="294"/>
      <c r="H160" s="294"/>
      <c r="I160" s="294" t="s">
        <v>738</v>
      </c>
      <c r="J160" s="373"/>
      <c r="K160" s="373"/>
    </row>
    <row r="161">
      <c r="A161" s="291"/>
      <c r="B161" s="372"/>
      <c r="C161" s="181"/>
      <c r="D161" s="292"/>
      <c r="E161" s="292"/>
      <c r="F161" s="297"/>
      <c r="G161" s="294"/>
      <c r="H161" s="294"/>
      <c r="I161" s="294" t="s">
        <v>738</v>
      </c>
      <c r="J161" s="373"/>
      <c r="K161" s="373"/>
    </row>
    <row r="162">
      <c r="A162" s="291"/>
      <c r="B162" s="372"/>
      <c r="C162" s="181"/>
      <c r="D162" s="292"/>
      <c r="E162" s="292"/>
      <c r="F162" s="297"/>
      <c r="G162" s="294"/>
      <c r="H162" s="294"/>
      <c r="I162" s="294" t="s">
        <v>738</v>
      </c>
      <c r="J162" s="373"/>
      <c r="K162" s="373"/>
    </row>
    <row r="163">
      <c r="A163" s="291"/>
      <c r="B163" s="372"/>
      <c r="C163" s="181"/>
      <c r="D163" s="292"/>
      <c r="E163" s="292"/>
      <c r="F163" s="297"/>
      <c r="G163" s="294"/>
      <c r="H163" s="294"/>
      <c r="I163" s="294" t="s">
        <v>738</v>
      </c>
      <c r="J163" s="373"/>
      <c r="K163" s="373"/>
    </row>
    <row r="164">
      <c r="A164" s="291"/>
      <c r="B164" s="372"/>
      <c r="C164" s="181"/>
      <c r="D164" s="292"/>
      <c r="E164" s="292"/>
      <c r="F164" s="297"/>
      <c r="G164" s="294"/>
      <c r="H164" s="294"/>
      <c r="I164" s="294" t="s">
        <v>738</v>
      </c>
      <c r="J164" s="373"/>
      <c r="K164" s="373"/>
    </row>
    <row r="165">
      <c r="A165" s="291"/>
      <c r="B165" s="372"/>
      <c r="C165" s="181"/>
      <c r="D165" s="292"/>
      <c r="E165" s="292"/>
      <c r="F165" s="297"/>
      <c r="G165" s="294"/>
      <c r="H165" s="294"/>
      <c r="I165" s="294" t="s">
        <v>738</v>
      </c>
      <c r="J165" s="373"/>
      <c r="K165" s="373"/>
    </row>
    <row r="166">
      <c r="A166" s="291"/>
      <c r="B166" s="372"/>
      <c r="C166" s="181"/>
      <c r="D166" s="292"/>
      <c r="E166" s="292"/>
      <c r="F166" s="297"/>
      <c r="G166" s="294"/>
      <c r="H166" s="294"/>
      <c r="I166" s="294" t="s">
        <v>738</v>
      </c>
      <c r="J166" s="373"/>
      <c r="K166" s="373"/>
    </row>
    <row r="167">
      <c r="A167" s="291"/>
      <c r="B167" s="372"/>
      <c r="C167" s="181"/>
      <c r="D167" s="292"/>
      <c r="E167" s="292"/>
      <c r="F167" s="297"/>
      <c r="G167" s="294"/>
      <c r="H167" s="294"/>
      <c r="I167" s="294" t="s">
        <v>738</v>
      </c>
      <c r="J167" s="373"/>
      <c r="K167" s="373"/>
    </row>
    <row r="168">
      <c r="A168" s="291"/>
      <c r="B168" s="372"/>
      <c r="C168" s="181"/>
      <c r="D168" s="292"/>
      <c r="E168" s="292"/>
      <c r="F168" s="297"/>
      <c r="G168" s="294"/>
      <c r="H168" s="294"/>
      <c r="I168" s="294" t="s">
        <v>738</v>
      </c>
      <c r="J168" s="373"/>
      <c r="K168" s="373"/>
    </row>
    <row r="169">
      <c r="A169" s="291"/>
      <c r="B169" s="372"/>
      <c r="C169" s="181"/>
      <c r="D169" s="292"/>
      <c r="E169" s="292"/>
      <c r="F169" s="297"/>
      <c r="G169" s="294"/>
      <c r="H169" s="294"/>
      <c r="I169" s="294" t="s">
        <v>738</v>
      </c>
      <c r="J169" s="373"/>
      <c r="K169" s="373"/>
    </row>
    <row r="170">
      <c r="A170" s="291"/>
      <c r="B170" s="372"/>
      <c r="C170" s="181"/>
      <c r="D170" s="292"/>
      <c r="E170" s="292"/>
      <c r="F170" s="297"/>
      <c r="G170" s="294"/>
      <c r="H170" s="294"/>
      <c r="I170" s="294" t="s">
        <v>738</v>
      </c>
      <c r="J170" s="373"/>
      <c r="K170" s="373"/>
    </row>
    <row r="171">
      <c r="A171" s="291"/>
      <c r="B171" s="372"/>
      <c r="C171" s="181"/>
      <c r="D171" s="292"/>
      <c r="E171" s="292"/>
      <c r="F171" s="297"/>
      <c r="G171" s="294"/>
      <c r="H171" s="294"/>
      <c r="I171" s="294" t="s">
        <v>738</v>
      </c>
      <c r="J171" s="373"/>
      <c r="K171" s="373"/>
    </row>
    <row r="172">
      <c r="A172" s="291"/>
      <c r="B172" s="372"/>
      <c r="C172" s="181"/>
      <c r="D172" s="292"/>
      <c r="E172" s="292"/>
      <c r="F172" s="297"/>
      <c r="G172" s="294"/>
      <c r="H172" s="294"/>
      <c r="I172" s="294" t="s">
        <v>738</v>
      </c>
      <c r="J172" s="373"/>
      <c r="K172" s="373"/>
    </row>
    <row r="173">
      <c r="A173" s="291"/>
      <c r="B173" s="372"/>
      <c r="C173" s="181"/>
      <c r="D173" s="292"/>
      <c r="E173" s="292"/>
      <c r="F173" s="297"/>
      <c r="G173" s="294"/>
      <c r="H173" s="294"/>
      <c r="I173" s="294" t="s">
        <v>738</v>
      </c>
      <c r="J173" s="373"/>
      <c r="K173" s="373"/>
    </row>
    <row r="174">
      <c r="A174" s="291"/>
      <c r="B174" s="372"/>
      <c r="C174" s="181"/>
      <c r="D174" s="292"/>
      <c r="E174" s="292"/>
      <c r="F174" s="297"/>
      <c r="G174" s="294"/>
      <c r="H174" s="294"/>
      <c r="I174" s="294" t="s">
        <v>738</v>
      </c>
      <c r="J174" s="373"/>
      <c r="K174" s="373"/>
    </row>
    <row r="175">
      <c r="A175" s="291"/>
      <c r="B175" s="372"/>
      <c r="C175" s="181"/>
      <c r="D175" s="292"/>
      <c r="E175" s="292"/>
      <c r="F175" s="297"/>
      <c r="G175" s="294"/>
      <c r="H175" s="294"/>
      <c r="I175" s="294" t="s">
        <v>738</v>
      </c>
      <c r="J175" s="373"/>
      <c r="K175" s="373"/>
    </row>
    <row r="176">
      <c r="A176" s="291"/>
      <c r="B176" s="372"/>
      <c r="C176" s="181"/>
      <c r="D176" s="292"/>
      <c r="E176" s="292"/>
      <c r="F176" s="297"/>
      <c r="G176" s="294"/>
      <c r="H176" s="294"/>
      <c r="I176" s="294" t="s">
        <v>738</v>
      </c>
      <c r="J176" s="373"/>
      <c r="K176" s="373"/>
    </row>
    <row r="177">
      <c r="A177" s="291"/>
      <c r="B177" s="372"/>
      <c r="C177" s="181"/>
      <c r="D177" s="292"/>
      <c r="E177" s="292"/>
      <c r="F177" s="297"/>
      <c r="G177" s="294"/>
      <c r="H177" s="294"/>
      <c r="I177" s="294" t="s">
        <v>738</v>
      </c>
      <c r="J177" s="373"/>
      <c r="K177" s="373"/>
    </row>
    <row r="178">
      <c r="A178" s="291"/>
      <c r="B178" s="372"/>
      <c r="C178" s="181"/>
      <c r="D178" s="292"/>
      <c r="E178" s="292"/>
      <c r="F178" s="297"/>
      <c r="G178" s="294"/>
      <c r="H178" s="294"/>
      <c r="I178" s="294" t="s">
        <v>738</v>
      </c>
      <c r="J178" s="373"/>
      <c r="K178" s="373"/>
    </row>
    <row r="179">
      <c r="A179" s="291"/>
      <c r="B179" s="372"/>
      <c r="C179" s="181"/>
      <c r="D179" s="292"/>
      <c r="E179" s="292"/>
      <c r="F179" s="297"/>
      <c r="G179" s="294"/>
      <c r="H179" s="294"/>
      <c r="I179" s="294" t="s">
        <v>738</v>
      </c>
      <c r="J179" s="373"/>
      <c r="K179" s="373"/>
    </row>
    <row r="180">
      <c r="A180" s="291"/>
      <c r="B180" s="372"/>
      <c r="C180" s="181"/>
      <c r="D180" s="292"/>
      <c r="E180" s="292"/>
      <c r="F180" s="297"/>
      <c r="G180" s="294"/>
      <c r="H180" s="294"/>
      <c r="I180" s="294" t="s">
        <v>738</v>
      </c>
      <c r="J180" s="373"/>
      <c r="K180" s="373"/>
    </row>
    <row r="181">
      <c r="A181" s="291"/>
      <c r="B181" s="372"/>
      <c r="C181" s="181"/>
      <c r="D181" s="292"/>
      <c r="E181" s="292"/>
      <c r="F181" s="297"/>
      <c r="G181" s="294"/>
      <c r="H181" s="294"/>
      <c r="I181" s="294" t="s">
        <v>738</v>
      </c>
      <c r="J181" s="373"/>
      <c r="K181" s="373"/>
    </row>
    <row r="182">
      <c r="A182" s="291"/>
      <c r="B182" s="372"/>
      <c r="C182" s="181"/>
      <c r="D182" s="292"/>
      <c r="E182" s="292"/>
      <c r="F182" s="297"/>
      <c r="G182" s="294"/>
      <c r="H182" s="294"/>
      <c r="I182" s="294" t="s">
        <v>738</v>
      </c>
      <c r="J182" s="373"/>
      <c r="K182" s="373"/>
    </row>
    <row r="183">
      <c r="A183" s="291"/>
      <c r="B183" s="372"/>
      <c r="C183" s="181"/>
      <c r="D183" s="292"/>
      <c r="E183" s="292"/>
      <c r="F183" s="297"/>
      <c r="G183" s="294"/>
      <c r="H183" s="294"/>
      <c r="I183" s="294" t="s">
        <v>738</v>
      </c>
      <c r="J183" s="373"/>
      <c r="K183" s="373"/>
    </row>
    <row r="184">
      <c r="A184" s="291"/>
      <c r="B184" s="372"/>
      <c r="C184" s="181"/>
      <c r="D184" s="292"/>
      <c r="E184" s="292"/>
      <c r="F184" s="297"/>
      <c r="G184" s="294"/>
      <c r="H184" s="294"/>
      <c r="I184" s="294" t="s">
        <v>738</v>
      </c>
      <c r="J184" s="373"/>
      <c r="K184" s="373"/>
    </row>
    <row r="185">
      <c r="A185" s="291"/>
      <c r="B185" s="372"/>
      <c r="C185" s="181"/>
      <c r="D185" s="292"/>
      <c r="E185" s="292"/>
      <c r="F185" s="297"/>
      <c r="G185" s="294"/>
      <c r="H185" s="294"/>
      <c r="I185" s="294" t="s">
        <v>738</v>
      </c>
      <c r="J185" s="373"/>
      <c r="K185" s="373"/>
    </row>
    <row r="186">
      <c r="A186" s="291"/>
      <c r="B186" s="372"/>
      <c r="C186" s="181"/>
      <c r="D186" s="292"/>
      <c r="E186" s="292"/>
      <c r="F186" s="297"/>
      <c r="G186" s="294"/>
      <c r="H186" s="294"/>
      <c r="I186" s="294" t="s">
        <v>738</v>
      </c>
      <c r="J186" s="373"/>
      <c r="K186" s="373"/>
    </row>
    <row r="187">
      <c r="A187" s="291"/>
      <c r="B187" s="372"/>
      <c r="C187" s="181"/>
      <c r="D187" s="292"/>
      <c r="E187" s="292"/>
      <c r="F187" s="297"/>
      <c r="G187" s="294"/>
      <c r="H187" s="294"/>
      <c r="I187" s="294" t="s">
        <v>738</v>
      </c>
      <c r="J187" s="373"/>
      <c r="K187" s="373"/>
    </row>
    <row r="188">
      <c r="A188" s="291"/>
      <c r="B188" s="372"/>
      <c r="C188" s="181"/>
      <c r="D188" s="292"/>
      <c r="E188" s="292"/>
      <c r="F188" s="297"/>
      <c r="G188" s="294"/>
      <c r="H188" s="294"/>
      <c r="I188" s="294" t="s">
        <v>738</v>
      </c>
      <c r="J188" s="373"/>
      <c r="K188" s="373"/>
    </row>
    <row r="189">
      <c r="A189" s="291"/>
      <c r="B189" s="372"/>
      <c r="C189" s="181"/>
      <c r="D189" s="292"/>
      <c r="E189" s="292"/>
      <c r="F189" s="297"/>
      <c r="G189" s="294"/>
      <c r="H189" s="294"/>
      <c r="I189" s="294" t="s">
        <v>738</v>
      </c>
      <c r="J189" s="373"/>
      <c r="K189" s="373"/>
    </row>
    <row r="190">
      <c r="A190" s="291"/>
      <c r="B190" s="372"/>
      <c r="C190" s="181"/>
      <c r="D190" s="292"/>
      <c r="E190" s="292"/>
      <c r="F190" s="297"/>
      <c r="G190" s="294"/>
      <c r="H190" s="294"/>
      <c r="I190" s="294" t="s">
        <v>738</v>
      </c>
      <c r="J190" s="373"/>
      <c r="K190" s="373"/>
    </row>
    <row r="191">
      <c r="A191" s="291"/>
      <c r="B191" s="372"/>
      <c r="C191" s="181"/>
      <c r="D191" s="292"/>
      <c r="E191" s="292"/>
      <c r="F191" s="297"/>
      <c r="G191" s="294"/>
      <c r="H191" s="294"/>
      <c r="I191" s="294" t="s">
        <v>738</v>
      </c>
      <c r="J191" s="373"/>
      <c r="K191" s="373"/>
    </row>
    <row r="192">
      <c r="A192" s="291"/>
      <c r="B192" s="372"/>
      <c r="C192" s="181"/>
      <c r="D192" s="292"/>
      <c r="E192" s="292"/>
      <c r="F192" s="297"/>
      <c r="G192" s="294"/>
      <c r="H192" s="294"/>
      <c r="I192" s="294" t="s">
        <v>738</v>
      </c>
      <c r="J192" s="373"/>
      <c r="K192" s="373"/>
    </row>
    <row r="193">
      <c r="A193" s="291"/>
      <c r="B193" s="372"/>
      <c r="C193" s="181"/>
      <c r="D193" s="292"/>
      <c r="E193" s="292"/>
      <c r="F193" s="297"/>
      <c r="G193" s="294"/>
      <c r="H193" s="294"/>
      <c r="I193" s="294" t="s">
        <v>738</v>
      </c>
      <c r="J193" s="373"/>
      <c r="K193" s="373"/>
    </row>
    <row r="194">
      <c r="A194" s="291"/>
      <c r="B194" s="372"/>
      <c r="C194" s="181"/>
      <c r="D194" s="292"/>
      <c r="E194" s="292"/>
      <c r="F194" s="297"/>
      <c r="G194" s="294"/>
      <c r="H194" s="294"/>
      <c r="I194" s="294" t="s">
        <v>738</v>
      </c>
      <c r="J194" s="373"/>
      <c r="K194" s="373"/>
    </row>
    <row r="195">
      <c r="A195" s="291"/>
      <c r="B195" s="372"/>
      <c r="C195" s="181"/>
      <c r="D195" s="292"/>
      <c r="E195" s="292"/>
      <c r="F195" s="297"/>
      <c r="G195" s="294"/>
      <c r="H195" s="294"/>
      <c r="I195" s="294" t="s">
        <v>738</v>
      </c>
      <c r="J195" s="373"/>
      <c r="K195" s="373"/>
    </row>
    <row r="196">
      <c r="A196" s="291"/>
      <c r="B196" s="372"/>
      <c r="C196" s="181"/>
      <c r="D196" s="292"/>
      <c r="E196" s="292"/>
      <c r="F196" s="297"/>
      <c r="G196" s="294"/>
      <c r="H196" s="294"/>
      <c r="I196" s="294" t="s">
        <v>738</v>
      </c>
      <c r="J196" s="373"/>
      <c r="K196" s="373"/>
    </row>
    <row r="197">
      <c r="A197" s="291"/>
      <c r="B197" s="372"/>
      <c r="C197" s="181"/>
      <c r="D197" s="292"/>
      <c r="E197" s="292"/>
      <c r="F197" s="297"/>
      <c r="G197" s="294"/>
      <c r="H197" s="294"/>
      <c r="I197" s="294" t="s">
        <v>738</v>
      </c>
      <c r="J197" s="373"/>
      <c r="K197" s="373"/>
    </row>
    <row r="198">
      <c r="A198" s="291"/>
      <c r="B198" s="372"/>
      <c r="C198" s="181"/>
      <c r="D198" s="292"/>
      <c r="E198" s="292"/>
      <c r="F198" s="297"/>
      <c r="G198" s="294"/>
      <c r="H198" s="294"/>
      <c r="I198" s="294" t="s">
        <v>738</v>
      </c>
      <c r="J198" s="373"/>
      <c r="K198" s="373"/>
    </row>
    <row r="199">
      <c r="A199" s="291"/>
      <c r="B199" s="372"/>
      <c r="C199" s="181"/>
      <c r="D199" s="292"/>
      <c r="E199" s="292"/>
      <c r="F199" s="297"/>
      <c r="G199" s="294"/>
      <c r="H199" s="294"/>
      <c r="I199" s="294" t="s">
        <v>738</v>
      </c>
      <c r="J199" s="373"/>
      <c r="K199" s="373"/>
    </row>
    <row r="200">
      <c r="A200" s="291"/>
      <c r="B200" s="372"/>
      <c r="C200" s="181"/>
      <c r="D200" s="292"/>
      <c r="E200" s="292"/>
      <c r="F200" s="297"/>
      <c r="G200" s="294"/>
      <c r="H200" s="294"/>
      <c r="I200" s="294" t="s">
        <v>738</v>
      </c>
      <c r="J200" s="373"/>
      <c r="K200" s="373"/>
    </row>
    <row r="201">
      <c r="A201" s="291"/>
      <c r="B201" s="372"/>
      <c r="C201" s="181"/>
      <c r="D201" s="292"/>
      <c r="E201" s="292"/>
      <c r="F201" s="297"/>
      <c r="G201" s="294"/>
      <c r="H201" s="294"/>
      <c r="I201" s="294" t="s">
        <v>738</v>
      </c>
      <c r="J201" s="373"/>
      <c r="K201" s="373"/>
    </row>
    <row r="202">
      <c r="A202" s="291"/>
      <c r="B202" s="372"/>
      <c r="C202" s="181"/>
      <c r="D202" s="292"/>
      <c r="E202" s="292"/>
      <c r="F202" s="297"/>
      <c r="G202" s="294"/>
      <c r="H202" s="294"/>
      <c r="I202" s="294" t="s">
        <v>738</v>
      </c>
      <c r="J202" s="373"/>
      <c r="K202" s="373"/>
    </row>
    <row r="203">
      <c r="A203" s="291"/>
      <c r="B203" s="372"/>
      <c r="C203" s="181"/>
      <c r="D203" s="292"/>
      <c r="E203" s="292"/>
      <c r="F203" s="297"/>
      <c r="G203" s="294"/>
      <c r="H203" s="294"/>
      <c r="I203" s="294" t="s">
        <v>738</v>
      </c>
      <c r="J203" s="373"/>
      <c r="K203" s="373"/>
    </row>
    <row r="204">
      <c r="A204" s="291"/>
      <c r="B204" s="372"/>
      <c r="C204" s="181"/>
      <c r="D204" s="292"/>
      <c r="E204" s="292"/>
      <c r="F204" s="297"/>
      <c r="G204" s="294"/>
      <c r="H204" s="294"/>
      <c r="I204" s="294" t="s">
        <v>738</v>
      </c>
      <c r="J204" s="373"/>
      <c r="K204" s="373"/>
    </row>
    <row r="205">
      <c r="A205" s="291"/>
      <c r="B205" s="372"/>
      <c r="C205" s="181"/>
      <c r="D205" s="292"/>
      <c r="E205" s="292"/>
      <c r="F205" s="297"/>
      <c r="G205" s="294"/>
      <c r="H205" s="294"/>
      <c r="I205" s="294" t="s">
        <v>738</v>
      </c>
      <c r="J205" s="373"/>
      <c r="K205" s="373"/>
    </row>
    <row r="206">
      <c r="A206" s="291"/>
      <c r="B206" s="372"/>
      <c r="C206" s="181"/>
      <c r="D206" s="292"/>
      <c r="E206" s="292"/>
      <c r="F206" s="297"/>
      <c r="G206" s="294"/>
      <c r="H206" s="294"/>
      <c r="I206" s="294" t="s">
        <v>738</v>
      </c>
      <c r="J206" s="373"/>
      <c r="K206" s="373"/>
    </row>
    <row r="207">
      <c r="A207" s="291"/>
      <c r="B207" s="372"/>
      <c r="C207" s="181"/>
      <c r="D207" s="292"/>
      <c r="E207" s="292"/>
      <c r="F207" s="297"/>
      <c r="G207" s="294"/>
      <c r="H207" s="294"/>
      <c r="I207" s="294" t="s">
        <v>738</v>
      </c>
      <c r="J207" s="373"/>
      <c r="K207" s="373"/>
    </row>
    <row r="208">
      <c r="A208" s="291"/>
      <c r="B208" s="372"/>
      <c r="C208" s="181"/>
      <c r="D208" s="292"/>
      <c r="E208" s="292"/>
      <c r="F208" s="297"/>
      <c r="G208" s="294"/>
      <c r="H208" s="294"/>
      <c r="I208" s="294" t="s">
        <v>738</v>
      </c>
      <c r="J208" s="373"/>
      <c r="K208" s="373"/>
    </row>
    <row r="209">
      <c r="A209" s="291"/>
      <c r="B209" s="372"/>
      <c r="C209" s="181"/>
      <c r="D209" s="292"/>
      <c r="E209" s="292"/>
      <c r="F209" s="297"/>
      <c r="G209" s="294"/>
      <c r="H209" s="294"/>
      <c r="I209" s="294" t="s">
        <v>738</v>
      </c>
      <c r="J209" s="373"/>
      <c r="K209" s="373"/>
    </row>
    <row r="210">
      <c r="A210" s="291"/>
      <c r="B210" s="372"/>
      <c r="C210" s="181"/>
      <c r="D210" s="292"/>
      <c r="E210" s="292"/>
      <c r="F210" s="297"/>
      <c r="G210" s="294"/>
      <c r="H210" s="294"/>
      <c r="I210" s="294" t="s">
        <v>738</v>
      </c>
      <c r="J210" s="373"/>
      <c r="K210" s="373"/>
    </row>
    <row r="211">
      <c r="A211" s="291"/>
      <c r="B211" s="372"/>
      <c r="C211" s="181"/>
      <c r="D211" s="292"/>
      <c r="E211" s="292"/>
      <c r="F211" s="297"/>
      <c r="G211" s="294"/>
      <c r="H211" s="294"/>
      <c r="I211" s="294" t="s">
        <v>738</v>
      </c>
      <c r="J211" s="373"/>
      <c r="K211" s="373"/>
    </row>
    <row r="212">
      <c r="A212" s="291"/>
      <c r="B212" s="372"/>
      <c r="C212" s="181"/>
      <c r="D212" s="292"/>
      <c r="E212" s="292"/>
      <c r="F212" s="297"/>
      <c r="G212" s="294"/>
      <c r="H212" s="294"/>
      <c r="I212" s="294" t="s">
        <v>738</v>
      </c>
      <c r="J212" s="373"/>
      <c r="K212" s="373"/>
    </row>
    <row r="213">
      <c r="A213" s="291"/>
      <c r="B213" s="372"/>
      <c r="C213" s="181"/>
      <c r="D213" s="292"/>
      <c r="E213" s="292"/>
      <c r="F213" s="297"/>
      <c r="G213" s="294"/>
      <c r="H213" s="294"/>
      <c r="I213" s="294" t="s">
        <v>738</v>
      </c>
      <c r="J213" s="373"/>
      <c r="K213" s="373"/>
    </row>
    <row r="214">
      <c r="A214" s="291"/>
      <c r="B214" s="372"/>
      <c r="C214" s="181"/>
      <c r="D214" s="292"/>
      <c r="E214" s="292"/>
      <c r="F214" s="297"/>
      <c r="G214" s="294"/>
      <c r="H214" s="294"/>
      <c r="I214" s="294" t="s">
        <v>738</v>
      </c>
      <c r="J214" s="373"/>
      <c r="K214" s="373"/>
    </row>
    <row r="215">
      <c r="A215" s="291"/>
      <c r="B215" s="372"/>
      <c r="C215" s="181"/>
      <c r="D215" s="292"/>
      <c r="E215" s="292"/>
      <c r="F215" s="297"/>
      <c r="G215" s="294"/>
      <c r="H215" s="294"/>
      <c r="I215" s="294" t="s">
        <v>738</v>
      </c>
      <c r="J215" s="373"/>
      <c r="K215" s="373"/>
    </row>
    <row r="216">
      <c r="A216" s="291"/>
      <c r="B216" s="372"/>
      <c r="C216" s="181"/>
      <c r="D216" s="292"/>
      <c r="E216" s="292"/>
      <c r="F216" s="297"/>
      <c r="G216" s="294"/>
      <c r="H216" s="294"/>
      <c r="I216" s="294" t="s">
        <v>738</v>
      </c>
      <c r="J216" s="373"/>
      <c r="K216" s="373"/>
    </row>
    <row r="217">
      <c r="A217" s="291"/>
      <c r="B217" s="372"/>
      <c r="C217" s="181"/>
      <c r="D217" s="292"/>
      <c r="E217" s="292"/>
      <c r="F217" s="297"/>
      <c r="G217" s="294"/>
      <c r="H217" s="294"/>
      <c r="I217" s="294" t="s">
        <v>738</v>
      </c>
      <c r="J217" s="373"/>
      <c r="K217" s="373"/>
    </row>
    <row r="218">
      <c r="A218" s="291"/>
      <c r="B218" s="372"/>
      <c r="C218" s="181"/>
      <c r="D218" s="292"/>
      <c r="E218" s="292"/>
      <c r="F218" s="297"/>
      <c r="G218" s="294"/>
      <c r="H218" s="294"/>
      <c r="I218" s="294" t="s">
        <v>738</v>
      </c>
      <c r="J218" s="373"/>
      <c r="K218" s="373"/>
    </row>
    <row r="219">
      <c r="A219" s="291"/>
      <c r="B219" s="372"/>
      <c r="C219" s="181"/>
      <c r="D219" s="292"/>
      <c r="E219" s="292"/>
      <c r="F219" s="297"/>
      <c r="G219" s="294"/>
      <c r="H219" s="294"/>
      <c r="I219" s="294" t="s">
        <v>738</v>
      </c>
      <c r="J219" s="373"/>
      <c r="K219" s="373"/>
    </row>
    <row r="220">
      <c r="A220" s="291"/>
      <c r="B220" s="372"/>
      <c r="C220" s="181"/>
      <c r="D220" s="292"/>
      <c r="E220" s="292"/>
      <c r="F220" s="297"/>
      <c r="G220" s="294"/>
      <c r="H220" s="294"/>
      <c r="I220" s="294" t="s">
        <v>738</v>
      </c>
      <c r="J220" s="373"/>
      <c r="K220" s="373"/>
    </row>
    <row r="221">
      <c r="A221" s="291"/>
      <c r="B221" s="372"/>
      <c r="C221" s="181"/>
      <c r="D221" s="292"/>
      <c r="E221" s="292"/>
      <c r="F221" s="297"/>
      <c r="G221" s="294"/>
      <c r="H221" s="294"/>
      <c r="I221" s="294" t="s">
        <v>738</v>
      </c>
      <c r="J221" s="373"/>
      <c r="K221" s="373"/>
    </row>
    <row r="222">
      <c r="A222" s="291"/>
      <c r="B222" s="372"/>
      <c r="C222" s="181"/>
      <c r="D222" s="292"/>
      <c r="E222" s="292"/>
      <c r="F222" s="297"/>
      <c r="G222" s="294"/>
      <c r="H222" s="294"/>
      <c r="I222" s="294" t="s">
        <v>738</v>
      </c>
      <c r="J222" s="373"/>
      <c r="K222" s="373"/>
    </row>
    <row r="223">
      <c r="A223" s="291"/>
      <c r="B223" s="372"/>
      <c r="C223" s="181"/>
      <c r="D223" s="292"/>
      <c r="E223" s="292"/>
      <c r="F223" s="297"/>
      <c r="G223" s="294"/>
      <c r="H223" s="294"/>
      <c r="I223" s="294" t="s">
        <v>738</v>
      </c>
      <c r="J223" s="373"/>
      <c r="K223" s="373"/>
    </row>
    <row r="224">
      <c r="A224" s="291"/>
      <c r="B224" s="372"/>
      <c r="C224" s="181"/>
      <c r="D224" s="292"/>
      <c r="E224" s="292"/>
      <c r="F224" s="297"/>
      <c r="G224" s="294"/>
      <c r="H224" s="294"/>
      <c r="I224" s="294" t="s">
        <v>738</v>
      </c>
      <c r="J224" s="373"/>
      <c r="K224" s="373"/>
    </row>
    <row r="225">
      <c r="A225" s="291"/>
      <c r="B225" s="372"/>
      <c r="C225" s="181"/>
      <c r="D225" s="292"/>
      <c r="E225" s="292"/>
      <c r="F225" s="297"/>
      <c r="G225" s="294"/>
      <c r="H225" s="294"/>
      <c r="I225" s="294" t="s">
        <v>738</v>
      </c>
      <c r="J225" s="373"/>
      <c r="K225" s="373"/>
    </row>
    <row r="226">
      <c r="A226" s="291"/>
      <c r="B226" s="372"/>
      <c r="C226" s="181"/>
      <c r="D226" s="292"/>
      <c r="E226" s="292"/>
      <c r="F226" s="297"/>
      <c r="G226" s="294"/>
      <c r="H226" s="294"/>
      <c r="I226" s="294" t="s">
        <v>738</v>
      </c>
      <c r="J226" s="373"/>
      <c r="K226" s="373"/>
    </row>
    <row r="227">
      <c r="A227" s="291"/>
      <c r="B227" s="372"/>
      <c r="C227" s="181"/>
      <c r="D227" s="292"/>
      <c r="E227" s="292"/>
      <c r="F227" s="297"/>
      <c r="G227" s="294"/>
      <c r="H227" s="294"/>
      <c r="I227" s="294" t="s">
        <v>738</v>
      </c>
      <c r="J227" s="373"/>
      <c r="K227" s="373"/>
    </row>
    <row r="228">
      <c r="A228" s="291"/>
      <c r="B228" s="372"/>
      <c r="C228" s="181"/>
      <c r="D228" s="292"/>
      <c r="E228" s="292"/>
      <c r="F228" s="297"/>
      <c r="G228" s="294"/>
      <c r="H228" s="294"/>
      <c r="I228" s="294" t="s">
        <v>738</v>
      </c>
      <c r="J228" s="373"/>
      <c r="K228" s="373"/>
    </row>
    <row r="229">
      <c r="A229" s="291"/>
      <c r="B229" s="372"/>
      <c r="C229" s="181"/>
      <c r="D229" s="292"/>
      <c r="E229" s="292"/>
      <c r="F229" s="297"/>
      <c r="G229" s="294"/>
      <c r="H229" s="294"/>
      <c r="I229" s="294" t="s">
        <v>738</v>
      </c>
      <c r="J229" s="373"/>
      <c r="K229" s="373"/>
    </row>
    <row r="230">
      <c r="A230" s="291"/>
      <c r="B230" s="372"/>
      <c r="C230" s="181"/>
      <c r="D230" s="292"/>
      <c r="E230" s="292"/>
      <c r="F230" s="297"/>
      <c r="G230" s="294"/>
      <c r="H230" s="294"/>
      <c r="I230" s="294" t="s">
        <v>738</v>
      </c>
      <c r="J230" s="373"/>
      <c r="K230" s="373"/>
    </row>
    <row r="231">
      <c r="A231" s="291"/>
      <c r="B231" s="372"/>
      <c r="C231" s="181"/>
      <c r="D231" s="292"/>
      <c r="E231" s="292"/>
      <c r="F231" s="297"/>
      <c r="G231" s="294"/>
      <c r="H231" s="294"/>
      <c r="I231" s="294" t="s">
        <v>738</v>
      </c>
      <c r="J231" s="373"/>
      <c r="K231" s="373"/>
    </row>
    <row r="232">
      <c r="A232" s="291"/>
      <c r="B232" s="372"/>
      <c r="C232" s="181"/>
      <c r="D232" s="292"/>
      <c r="E232" s="292"/>
      <c r="F232" s="297"/>
      <c r="G232" s="294"/>
      <c r="H232" s="294"/>
      <c r="I232" s="294" t="s">
        <v>738</v>
      </c>
      <c r="J232" s="373"/>
      <c r="K232" s="373"/>
    </row>
    <row r="233">
      <c r="A233" s="291"/>
      <c r="B233" s="372"/>
      <c r="C233" s="181"/>
      <c r="D233" s="292"/>
      <c r="E233" s="292"/>
      <c r="F233" s="297"/>
      <c r="G233" s="294"/>
      <c r="H233" s="294"/>
      <c r="I233" s="294" t="s">
        <v>738</v>
      </c>
      <c r="J233" s="373"/>
      <c r="K233" s="373"/>
    </row>
    <row r="234">
      <c r="A234" s="291"/>
      <c r="B234" s="372"/>
      <c r="C234" s="181"/>
      <c r="D234" s="292"/>
      <c r="E234" s="292"/>
      <c r="F234" s="297"/>
      <c r="G234" s="294"/>
      <c r="H234" s="294"/>
      <c r="I234" s="294" t="s">
        <v>738</v>
      </c>
      <c r="J234" s="373"/>
      <c r="K234" s="373"/>
    </row>
    <row r="235">
      <c r="A235" s="291"/>
      <c r="B235" s="372"/>
      <c r="C235" s="181"/>
      <c r="D235" s="292"/>
      <c r="E235" s="292"/>
      <c r="F235" s="297"/>
      <c r="G235" s="294"/>
      <c r="H235" s="294"/>
      <c r="I235" s="294" t="s">
        <v>738</v>
      </c>
      <c r="J235" s="373"/>
      <c r="K235" s="373"/>
    </row>
    <row r="236">
      <c r="A236" s="291"/>
      <c r="B236" s="372"/>
      <c r="C236" s="181"/>
      <c r="D236" s="292"/>
      <c r="E236" s="292"/>
      <c r="F236" s="297"/>
      <c r="G236" s="294"/>
      <c r="H236" s="294"/>
      <c r="I236" s="294" t="s">
        <v>738</v>
      </c>
      <c r="J236" s="373"/>
      <c r="K236" s="373"/>
    </row>
    <row r="237">
      <c r="A237" s="291"/>
      <c r="B237" s="372"/>
      <c r="C237" s="181"/>
      <c r="D237" s="292"/>
      <c r="E237" s="292"/>
      <c r="F237" s="297"/>
      <c r="G237" s="294"/>
      <c r="H237" s="294"/>
      <c r="I237" s="294" t="s">
        <v>738</v>
      </c>
      <c r="J237" s="373"/>
      <c r="K237" s="373"/>
    </row>
    <row r="238">
      <c r="A238" s="291"/>
      <c r="B238" s="372"/>
      <c r="C238" s="181"/>
      <c r="D238" s="292"/>
      <c r="E238" s="292"/>
      <c r="F238" s="297"/>
      <c r="G238" s="294"/>
      <c r="H238" s="294"/>
      <c r="I238" s="294" t="s">
        <v>738</v>
      </c>
      <c r="J238" s="373"/>
      <c r="K238" s="373"/>
    </row>
    <row r="239">
      <c r="A239" s="291"/>
      <c r="B239" s="372"/>
      <c r="C239" s="181"/>
      <c r="D239" s="292"/>
      <c r="E239" s="292"/>
      <c r="F239" s="297"/>
      <c r="G239" s="294"/>
      <c r="H239" s="294"/>
      <c r="I239" s="294" t="s">
        <v>738</v>
      </c>
      <c r="J239" s="373"/>
      <c r="K239" s="373"/>
    </row>
    <row r="240">
      <c r="A240" s="291"/>
      <c r="B240" s="372"/>
      <c r="C240" s="181"/>
      <c r="D240" s="292"/>
      <c r="E240" s="292"/>
      <c r="F240" s="297"/>
      <c r="G240" s="294"/>
      <c r="H240" s="294"/>
      <c r="I240" s="294" t="s">
        <v>738</v>
      </c>
      <c r="J240" s="373"/>
      <c r="K240" s="373"/>
    </row>
    <row r="241">
      <c r="A241" s="291"/>
      <c r="B241" s="372"/>
      <c r="C241" s="181"/>
      <c r="D241" s="292"/>
      <c r="E241" s="292"/>
      <c r="F241" s="297"/>
      <c r="G241" s="294"/>
      <c r="H241" s="294"/>
      <c r="I241" s="294" t="s">
        <v>738</v>
      </c>
      <c r="J241" s="373"/>
      <c r="K241" s="373"/>
    </row>
    <row r="242">
      <c r="A242" s="291"/>
      <c r="B242" s="372"/>
      <c r="C242" s="181"/>
      <c r="D242" s="292"/>
      <c r="E242" s="292"/>
      <c r="F242" s="297"/>
      <c r="G242" s="294"/>
      <c r="H242" s="294"/>
      <c r="I242" s="294" t="s">
        <v>738</v>
      </c>
      <c r="J242" s="373"/>
      <c r="K242" s="373"/>
    </row>
    <row r="243">
      <c r="A243" s="291"/>
      <c r="B243" s="372"/>
      <c r="C243" s="181"/>
      <c r="D243" s="292"/>
      <c r="E243" s="292"/>
      <c r="F243" s="297"/>
      <c r="G243" s="294"/>
      <c r="H243" s="294"/>
      <c r="I243" s="294" t="s">
        <v>738</v>
      </c>
      <c r="J243" s="373"/>
      <c r="K243" s="373"/>
    </row>
    <row r="244">
      <c r="A244" s="291"/>
      <c r="B244" s="372"/>
      <c r="C244" s="181"/>
      <c r="D244" s="292"/>
      <c r="E244" s="292"/>
      <c r="F244" s="297"/>
      <c r="G244" s="294"/>
      <c r="H244" s="294"/>
      <c r="I244" s="294" t="s">
        <v>738</v>
      </c>
      <c r="J244" s="373"/>
      <c r="K244" s="373"/>
    </row>
    <row r="245">
      <c r="A245" s="291"/>
      <c r="B245" s="372"/>
      <c r="C245" s="181"/>
      <c r="D245" s="292"/>
      <c r="E245" s="292"/>
      <c r="F245" s="297"/>
      <c r="G245" s="294"/>
      <c r="H245" s="294"/>
      <c r="I245" s="294" t="s">
        <v>738</v>
      </c>
      <c r="J245" s="373"/>
      <c r="K245" s="373"/>
    </row>
    <row r="246">
      <c r="A246" s="291"/>
      <c r="B246" s="372"/>
      <c r="C246" s="181"/>
      <c r="D246" s="292"/>
      <c r="E246" s="292"/>
      <c r="F246" s="297"/>
      <c r="G246" s="294"/>
      <c r="H246" s="294"/>
      <c r="I246" s="294" t="s">
        <v>738</v>
      </c>
      <c r="J246" s="373"/>
      <c r="K246" s="373"/>
    </row>
    <row r="247">
      <c r="A247" s="291"/>
      <c r="B247" s="372"/>
      <c r="C247" s="181"/>
      <c r="D247" s="292"/>
      <c r="E247" s="292"/>
      <c r="F247" s="297"/>
      <c r="G247" s="294"/>
      <c r="H247" s="294"/>
      <c r="I247" s="294" t="s">
        <v>738</v>
      </c>
      <c r="J247" s="373"/>
      <c r="K247" s="373"/>
    </row>
    <row r="248">
      <c r="A248" s="291"/>
      <c r="B248" s="372"/>
      <c r="C248" s="181"/>
      <c r="D248" s="292"/>
      <c r="E248" s="292"/>
      <c r="F248" s="297"/>
      <c r="G248" s="294"/>
      <c r="H248" s="294"/>
      <c r="I248" s="294" t="s">
        <v>738</v>
      </c>
      <c r="J248" s="373"/>
      <c r="K248" s="373"/>
    </row>
    <row r="249">
      <c r="A249" s="291"/>
      <c r="B249" s="372"/>
      <c r="C249" s="181"/>
      <c r="D249" s="292"/>
      <c r="E249" s="292"/>
      <c r="F249" s="297"/>
      <c r="G249" s="294"/>
      <c r="H249" s="294"/>
      <c r="I249" s="294" t="s">
        <v>738</v>
      </c>
      <c r="J249" s="373"/>
      <c r="K249" s="373"/>
    </row>
    <row r="250">
      <c r="A250" s="291"/>
      <c r="B250" s="372"/>
      <c r="C250" s="181"/>
      <c r="D250" s="292"/>
      <c r="E250" s="292"/>
      <c r="F250" s="297"/>
      <c r="G250" s="294"/>
      <c r="H250" s="294"/>
      <c r="I250" s="294" t="s">
        <v>738</v>
      </c>
      <c r="J250" s="373"/>
      <c r="K250" s="373"/>
    </row>
    <row r="251">
      <c r="A251" s="291"/>
      <c r="B251" s="372"/>
      <c r="C251" s="181"/>
      <c r="D251" s="292"/>
      <c r="E251" s="292"/>
      <c r="F251" s="297"/>
      <c r="G251" s="294"/>
      <c r="H251" s="294"/>
      <c r="I251" s="294" t="s">
        <v>738</v>
      </c>
      <c r="J251" s="373"/>
      <c r="K251" s="373"/>
    </row>
    <row r="252">
      <c r="A252" s="291"/>
      <c r="B252" s="372"/>
      <c r="C252" s="181"/>
      <c r="D252" s="292"/>
      <c r="E252" s="292"/>
      <c r="F252" s="297"/>
      <c r="G252" s="294"/>
      <c r="H252" s="294"/>
      <c r="I252" s="294" t="s">
        <v>738</v>
      </c>
      <c r="J252" s="373"/>
      <c r="K252" s="373"/>
    </row>
    <row r="253">
      <c r="A253" s="291"/>
      <c r="B253" s="372"/>
      <c r="C253" s="181"/>
      <c r="D253" s="292"/>
      <c r="E253" s="292"/>
      <c r="F253" s="297"/>
      <c r="G253" s="294"/>
      <c r="H253" s="294"/>
      <c r="I253" s="294" t="s">
        <v>738</v>
      </c>
      <c r="J253" s="373"/>
      <c r="K253" s="373"/>
    </row>
    <row r="254">
      <c r="A254" s="291"/>
      <c r="B254" s="372"/>
      <c r="C254" s="181"/>
      <c r="D254" s="292"/>
      <c r="E254" s="292"/>
      <c r="F254" s="297"/>
      <c r="G254" s="294"/>
      <c r="H254" s="294"/>
      <c r="I254" s="294" t="s">
        <v>738</v>
      </c>
      <c r="J254" s="373"/>
      <c r="K254" s="373"/>
    </row>
    <row r="255">
      <c r="A255" s="291"/>
      <c r="B255" s="372"/>
      <c r="C255" s="181"/>
      <c r="D255" s="292"/>
      <c r="E255" s="292"/>
      <c r="F255" s="297"/>
      <c r="G255" s="294"/>
      <c r="H255" s="294"/>
      <c r="I255" s="294" t="s">
        <v>738</v>
      </c>
      <c r="J255" s="373"/>
      <c r="K255" s="373"/>
    </row>
    <row r="256">
      <c r="A256" s="291"/>
      <c r="B256" s="372"/>
      <c r="C256" s="181"/>
      <c r="D256" s="292"/>
      <c r="E256" s="292"/>
      <c r="F256" s="297"/>
      <c r="G256" s="294"/>
      <c r="H256" s="294"/>
      <c r="I256" s="294" t="s">
        <v>738</v>
      </c>
      <c r="J256" s="373"/>
      <c r="K256" s="373"/>
    </row>
    <row r="257">
      <c r="A257" s="291"/>
      <c r="B257" s="372"/>
      <c r="C257" s="181"/>
      <c r="D257" s="292"/>
      <c r="E257" s="292"/>
      <c r="F257" s="297"/>
      <c r="G257" s="294"/>
      <c r="H257" s="294"/>
      <c r="I257" s="294" t="s">
        <v>738</v>
      </c>
      <c r="J257" s="373"/>
      <c r="K257" s="373"/>
    </row>
    <row r="258">
      <c r="A258" s="291"/>
      <c r="B258" s="372"/>
      <c r="C258" s="181"/>
      <c r="D258" s="292"/>
      <c r="E258" s="292"/>
      <c r="F258" s="297"/>
      <c r="G258" s="294"/>
      <c r="H258" s="294"/>
      <c r="I258" s="294" t="s">
        <v>738</v>
      </c>
      <c r="J258" s="373"/>
      <c r="K258" s="373"/>
    </row>
    <row r="259">
      <c r="A259" s="291"/>
      <c r="B259" s="372"/>
      <c r="C259" s="181"/>
      <c r="D259" s="292"/>
      <c r="E259" s="292"/>
      <c r="F259" s="297"/>
      <c r="G259" s="294"/>
      <c r="H259" s="294"/>
      <c r="I259" s="294" t="s">
        <v>738</v>
      </c>
      <c r="J259" s="373"/>
      <c r="K259" s="373"/>
    </row>
    <row r="260">
      <c r="A260" s="291"/>
      <c r="B260" s="372"/>
      <c r="C260" s="181"/>
      <c r="D260" s="292"/>
      <c r="E260" s="292"/>
      <c r="F260" s="297"/>
      <c r="G260" s="294"/>
      <c r="H260" s="294"/>
      <c r="I260" s="294" t="s">
        <v>738</v>
      </c>
      <c r="J260" s="373"/>
      <c r="K260" s="373"/>
    </row>
    <row r="261">
      <c r="A261" s="291"/>
      <c r="B261" s="372"/>
      <c r="C261" s="181"/>
      <c r="D261" s="292"/>
      <c r="E261" s="292"/>
      <c r="F261" s="297"/>
      <c r="G261" s="294"/>
      <c r="H261" s="294"/>
      <c r="I261" s="294" t="s">
        <v>738</v>
      </c>
      <c r="J261" s="373"/>
      <c r="K261" s="373"/>
    </row>
    <row r="262">
      <c r="A262" s="291"/>
      <c r="B262" s="372"/>
      <c r="C262" s="181"/>
      <c r="D262" s="292"/>
      <c r="E262" s="292"/>
      <c r="F262" s="297"/>
      <c r="G262" s="294"/>
      <c r="H262" s="294"/>
      <c r="I262" s="294" t="s">
        <v>738</v>
      </c>
      <c r="J262" s="373"/>
      <c r="K262" s="373"/>
    </row>
    <row r="263">
      <c r="A263" s="291"/>
      <c r="B263" s="372"/>
      <c r="C263" s="181"/>
      <c r="D263" s="292"/>
      <c r="E263" s="292"/>
      <c r="F263" s="297"/>
      <c r="G263" s="294"/>
      <c r="H263" s="294"/>
      <c r="I263" s="294" t="s">
        <v>738</v>
      </c>
      <c r="J263" s="373"/>
      <c r="K263" s="373"/>
    </row>
    <row r="264">
      <c r="A264" s="291"/>
      <c r="B264" s="372"/>
      <c r="C264" s="181"/>
      <c r="D264" s="292"/>
      <c r="E264" s="292"/>
      <c r="F264" s="297"/>
      <c r="G264" s="294"/>
      <c r="H264" s="294"/>
      <c r="I264" s="294" t="s">
        <v>738</v>
      </c>
      <c r="J264" s="373"/>
      <c r="K264" s="373"/>
    </row>
    <row r="265">
      <c r="A265" s="291"/>
      <c r="B265" s="372"/>
      <c r="C265" s="181"/>
      <c r="D265" s="292"/>
      <c r="E265" s="292"/>
      <c r="F265" s="297"/>
      <c r="G265" s="294"/>
      <c r="H265" s="294"/>
      <c r="I265" s="294" t="s">
        <v>738</v>
      </c>
      <c r="J265" s="373"/>
      <c r="K265" s="373"/>
    </row>
    <row r="266">
      <c r="A266" s="291"/>
      <c r="B266" s="372"/>
      <c r="C266" s="181"/>
      <c r="D266" s="292"/>
      <c r="E266" s="292"/>
      <c r="F266" s="297"/>
      <c r="G266" s="294"/>
      <c r="H266" s="294"/>
      <c r="I266" s="294" t="s">
        <v>738</v>
      </c>
      <c r="J266" s="373"/>
      <c r="K266" s="373"/>
    </row>
    <row r="267">
      <c r="A267" s="291"/>
      <c r="B267" s="372"/>
      <c r="C267" s="181"/>
      <c r="D267" s="292"/>
      <c r="E267" s="292"/>
      <c r="F267" s="297"/>
      <c r="G267" s="294"/>
      <c r="H267" s="294"/>
      <c r="I267" s="294" t="s">
        <v>738</v>
      </c>
      <c r="J267" s="373"/>
      <c r="K267" s="373"/>
    </row>
    <row r="268">
      <c r="A268" s="291"/>
      <c r="B268" s="372"/>
      <c r="C268" s="181"/>
      <c r="D268" s="292"/>
      <c r="E268" s="292"/>
      <c r="F268" s="297"/>
      <c r="G268" s="294"/>
      <c r="H268" s="294"/>
      <c r="I268" s="294" t="s">
        <v>738</v>
      </c>
      <c r="J268" s="373"/>
      <c r="K268" s="373"/>
    </row>
    <row r="269">
      <c r="A269" s="291"/>
      <c r="B269" s="372"/>
      <c r="C269" s="181"/>
      <c r="D269" s="292"/>
      <c r="E269" s="292"/>
      <c r="F269" s="297"/>
      <c r="G269" s="294"/>
      <c r="H269" s="294"/>
      <c r="I269" s="294" t="s">
        <v>738</v>
      </c>
      <c r="J269" s="373"/>
      <c r="K269" s="373"/>
    </row>
    <row r="270">
      <c r="A270" s="291"/>
      <c r="B270" s="372"/>
      <c r="C270" s="181"/>
      <c r="D270" s="292"/>
      <c r="E270" s="292"/>
      <c r="F270" s="297"/>
      <c r="G270" s="294"/>
      <c r="H270" s="294"/>
      <c r="I270" s="294" t="s">
        <v>738</v>
      </c>
      <c r="J270" s="373"/>
      <c r="K270" s="373"/>
    </row>
    <row r="271">
      <c r="A271" s="291"/>
      <c r="B271" s="372"/>
      <c r="C271" s="181"/>
      <c r="D271" s="292"/>
      <c r="E271" s="292"/>
      <c r="F271" s="297"/>
      <c r="G271" s="294"/>
      <c r="H271" s="294"/>
      <c r="I271" s="294" t="s">
        <v>738</v>
      </c>
      <c r="J271" s="373"/>
      <c r="K271" s="373"/>
    </row>
    <row r="272">
      <c r="A272" s="291"/>
      <c r="B272" s="372"/>
      <c r="C272" s="181"/>
      <c r="D272" s="292"/>
      <c r="E272" s="292"/>
      <c r="F272" s="297"/>
      <c r="G272" s="294"/>
      <c r="H272" s="294"/>
      <c r="I272" s="294" t="s">
        <v>738</v>
      </c>
      <c r="J272" s="373"/>
      <c r="K272" s="373"/>
    </row>
    <row r="273">
      <c r="A273" s="291"/>
      <c r="B273" s="372"/>
      <c r="C273" s="181"/>
      <c r="D273" s="292"/>
      <c r="E273" s="292"/>
      <c r="F273" s="297"/>
      <c r="G273" s="294"/>
      <c r="H273" s="294"/>
      <c r="I273" s="294" t="s">
        <v>738</v>
      </c>
      <c r="J273" s="373"/>
      <c r="K273" s="373"/>
    </row>
    <row r="274">
      <c r="A274" s="291"/>
      <c r="B274" s="372"/>
      <c r="C274" s="181"/>
      <c r="D274" s="292"/>
      <c r="E274" s="292"/>
      <c r="F274" s="297"/>
      <c r="G274" s="294"/>
      <c r="H274" s="294"/>
      <c r="I274" s="294" t="s">
        <v>738</v>
      </c>
      <c r="J274" s="373"/>
      <c r="K274" s="373"/>
    </row>
    <row r="275">
      <c r="A275" s="291"/>
      <c r="B275" s="372"/>
      <c r="C275" s="181"/>
      <c r="D275" s="292"/>
      <c r="E275" s="292"/>
      <c r="F275" s="297"/>
      <c r="G275" s="294"/>
      <c r="H275" s="294"/>
      <c r="I275" s="294" t="s">
        <v>738</v>
      </c>
      <c r="J275" s="373"/>
      <c r="K275" s="373"/>
    </row>
    <row r="276">
      <c r="A276" s="291"/>
      <c r="B276" s="372"/>
      <c r="C276" s="181"/>
      <c r="D276" s="292"/>
      <c r="E276" s="292"/>
      <c r="F276" s="297"/>
      <c r="G276" s="294"/>
      <c r="H276" s="294"/>
      <c r="I276" s="294" t="s">
        <v>738</v>
      </c>
      <c r="J276" s="373"/>
      <c r="K276" s="373"/>
    </row>
    <row r="277">
      <c r="A277" s="291"/>
      <c r="B277" s="372"/>
      <c r="C277" s="181"/>
      <c r="D277" s="292"/>
      <c r="E277" s="292"/>
      <c r="F277" s="297"/>
      <c r="G277" s="294"/>
      <c r="H277" s="294"/>
      <c r="I277" s="294" t="s">
        <v>738</v>
      </c>
      <c r="J277" s="373"/>
      <c r="K277" s="373"/>
    </row>
    <row r="278">
      <c r="A278" s="291"/>
      <c r="B278" s="372"/>
      <c r="C278" s="181"/>
      <c r="D278" s="292"/>
      <c r="E278" s="292"/>
      <c r="F278" s="297"/>
      <c r="G278" s="294"/>
      <c r="H278" s="294"/>
      <c r="I278" s="294" t="s">
        <v>738</v>
      </c>
      <c r="J278" s="373"/>
      <c r="K278" s="373"/>
    </row>
    <row r="279">
      <c r="A279" s="291"/>
      <c r="B279" s="372"/>
      <c r="C279" s="181"/>
      <c r="D279" s="292"/>
      <c r="E279" s="292"/>
      <c r="F279" s="297"/>
      <c r="G279" s="294"/>
      <c r="H279" s="294"/>
      <c r="I279" s="294" t="s">
        <v>738</v>
      </c>
      <c r="J279" s="373"/>
      <c r="K279" s="373"/>
    </row>
    <row r="280">
      <c r="A280" s="291"/>
      <c r="B280" s="372"/>
      <c r="C280" s="181"/>
      <c r="D280" s="292"/>
      <c r="E280" s="292"/>
      <c r="F280" s="297"/>
      <c r="G280" s="294"/>
      <c r="H280" s="294"/>
      <c r="I280" s="294" t="s">
        <v>738</v>
      </c>
      <c r="J280" s="373"/>
      <c r="K280" s="373"/>
    </row>
    <row r="281">
      <c r="A281" s="291"/>
      <c r="B281" s="372"/>
      <c r="C281" s="181"/>
      <c r="D281" s="292"/>
      <c r="E281" s="292"/>
      <c r="F281" s="297"/>
      <c r="G281" s="294"/>
      <c r="H281" s="294"/>
      <c r="I281" s="294" t="s">
        <v>738</v>
      </c>
      <c r="J281" s="373"/>
      <c r="K281" s="373"/>
    </row>
    <row r="282">
      <c r="A282" s="291"/>
      <c r="B282" s="372"/>
      <c r="C282" s="181"/>
      <c r="D282" s="292"/>
      <c r="E282" s="292"/>
      <c r="F282" s="297"/>
      <c r="G282" s="294"/>
      <c r="H282" s="294"/>
      <c r="I282" s="294" t="s">
        <v>738</v>
      </c>
      <c r="J282" s="373"/>
      <c r="K282" s="373"/>
    </row>
    <row r="283">
      <c r="A283" s="291"/>
      <c r="B283" s="372"/>
      <c r="C283" s="181"/>
      <c r="D283" s="292"/>
      <c r="E283" s="292"/>
      <c r="F283" s="297"/>
      <c r="G283" s="294"/>
      <c r="H283" s="294"/>
      <c r="I283" s="294" t="s">
        <v>738</v>
      </c>
      <c r="J283" s="373"/>
      <c r="K283" s="373"/>
    </row>
    <row r="284">
      <c r="A284" s="291"/>
      <c r="B284" s="372"/>
      <c r="C284" s="181"/>
      <c r="D284" s="292"/>
      <c r="E284" s="292"/>
      <c r="F284" s="297"/>
      <c r="G284" s="294"/>
      <c r="H284" s="294"/>
      <c r="I284" s="294" t="s">
        <v>738</v>
      </c>
      <c r="J284" s="373"/>
      <c r="K284" s="373"/>
    </row>
    <row r="285">
      <c r="A285" s="291"/>
      <c r="B285" s="372"/>
      <c r="C285" s="181"/>
      <c r="D285" s="292"/>
      <c r="E285" s="292"/>
      <c r="F285" s="297"/>
      <c r="G285" s="294"/>
      <c r="H285" s="294"/>
      <c r="I285" s="294" t="s">
        <v>738</v>
      </c>
      <c r="J285" s="373"/>
      <c r="K285" s="373"/>
    </row>
    <row r="286">
      <c r="A286" s="291"/>
      <c r="B286" s="372"/>
      <c r="C286" s="181"/>
      <c r="D286" s="292"/>
      <c r="E286" s="292"/>
      <c r="F286" s="297"/>
      <c r="G286" s="294"/>
      <c r="H286" s="294"/>
      <c r="I286" s="294" t="s">
        <v>738</v>
      </c>
      <c r="J286" s="373"/>
      <c r="K286" s="373"/>
    </row>
    <row r="287">
      <c r="A287" s="291"/>
      <c r="B287" s="372"/>
      <c r="C287" s="181"/>
      <c r="D287" s="292"/>
      <c r="E287" s="292"/>
      <c r="F287" s="297"/>
      <c r="G287" s="294"/>
      <c r="H287" s="294"/>
      <c r="I287" s="294" t="s">
        <v>738</v>
      </c>
      <c r="J287" s="373"/>
      <c r="K287" s="373"/>
    </row>
    <row r="288">
      <c r="A288" s="291"/>
      <c r="B288" s="372"/>
      <c r="C288" s="181"/>
      <c r="D288" s="292"/>
      <c r="E288" s="292"/>
      <c r="F288" s="297"/>
      <c r="G288" s="294"/>
      <c r="H288" s="294"/>
      <c r="I288" s="294" t="s">
        <v>738</v>
      </c>
      <c r="J288" s="373"/>
      <c r="K288" s="373"/>
    </row>
    <row r="289">
      <c r="A289" s="291"/>
      <c r="B289" s="372"/>
      <c r="C289" s="181"/>
      <c r="D289" s="292"/>
      <c r="E289" s="292"/>
      <c r="F289" s="297"/>
      <c r="G289" s="294"/>
      <c r="H289" s="294"/>
      <c r="I289" s="294" t="s">
        <v>738</v>
      </c>
      <c r="J289" s="373"/>
      <c r="K289" s="373"/>
    </row>
    <row r="290">
      <c r="A290" s="291"/>
      <c r="B290" s="372"/>
      <c r="C290" s="181"/>
      <c r="D290" s="292"/>
      <c r="E290" s="292"/>
      <c r="F290" s="297"/>
      <c r="G290" s="294"/>
      <c r="H290" s="294"/>
      <c r="I290" s="294" t="s">
        <v>738</v>
      </c>
      <c r="J290" s="373"/>
      <c r="K290" s="373"/>
    </row>
    <row r="291">
      <c r="A291" s="291"/>
      <c r="B291" s="372"/>
      <c r="C291" s="181"/>
      <c r="D291" s="292"/>
      <c r="E291" s="292"/>
      <c r="F291" s="297"/>
      <c r="G291" s="294"/>
      <c r="H291" s="294"/>
      <c r="I291" s="294" t="s">
        <v>738</v>
      </c>
      <c r="J291" s="373"/>
      <c r="K291" s="373"/>
    </row>
    <row r="292">
      <c r="A292" s="291"/>
      <c r="B292" s="372"/>
      <c r="C292" s="181"/>
      <c r="D292" s="292"/>
      <c r="E292" s="292"/>
      <c r="F292" s="297"/>
      <c r="G292" s="294"/>
      <c r="H292" s="294"/>
      <c r="I292" s="294" t="s">
        <v>738</v>
      </c>
      <c r="J292" s="373"/>
      <c r="K292" s="373"/>
    </row>
    <row r="293">
      <c r="A293" s="291"/>
      <c r="B293" s="372"/>
      <c r="C293" s="181"/>
      <c r="D293" s="292"/>
      <c r="E293" s="292"/>
      <c r="F293" s="297"/>
      <c r="G293" s="294"/>
      <c r="H293" s="294"/>
      <c r="I293" s="294" t="s">
        <v>738</v>
      </c>
      <c r="J293" s="373"/>
      <c r="K293" s="373"/>
    </row>
    <row r="294">
      <c r="A294" s="291"/>
      <c r="B294" s="372"/>
      <c r="C294" s="181"/>
      <c r="D294" s="292"/>
      <c r="E294" s="292"/>
      <c r="F294" s="297"/>
      <c r="G294" s="294"/>
      <c r="H294" s="294"/>
      <c r="I294" s="294" t="s">
        <v>738</v>
      </c>
      <c r="J294" s="373"/>
      <c r="K294" s="373"/>
    </row>
    <row r="295">
      <c r="A295" s="291"/>
      <c r="B295" s="372"/>
      <c r="C295" s="181"/>
      <c r="D295" s="292"/>
      <c r="E295" s="292"/>
      <c r="F295" s="297"/>
      <c r="G295" s="294"/>
      <c r="H295" s="294"/>
      <c r="I295" s="294" t="s">
        <v>738</v>
      </c>
      <c r="J295" s="373"/>
      <c r="K295" s="373"/>
    </row>
    <row r="296">
      <c r="A296" s="291"/>
      <c r="B296" s="372"/>
      <c r="C296" s="181"/>
      <c r="D296" s="292"/>
      <c r="E296" s="292"/>
      <c r="F296" s="297"/>
      <c r="G296" s="294"/>
      <c r="H296" s="294"/>
      <c r="I296" s="294" t="s">
        <v>738</v>
      </c>
      <c r="J296" s="373"/>
      <c r="K296" s="373"/>
    </row>
    <row r="297">
      <c r="A297" s="291"/>
      <c r="B297" s="372"/>
      <c r="C297" s="181"/>
      <c r="D297" s="292"/>
      <c r="E297" s="292"/>
      <c r="F297" s="297"/>
      <c r="G297" s="294"/>
      <c r="H297" s="294"/>
      <c r="I297" s="294" t="s">
        <v>738</v>
      </c>
      <c r="J297" s="373"/>
      <c r="K297" s="373"/>
    </row>
    <row r="298">
      <c r="A298" s="291"/>
      <c r="B298" s="372"/>
      <c r="C298" s="181"/>
      <c r="D298" s="292"/>
      <c r="E298" s="292"/>
      <c r="F298" s="297"/>
      <c r="G298" s="294"/>
      <c r="H298" s="294"/>
      <c r="I298" s="294" t="s">
        <v>738</v>
      </c>
      <c r="J298" s="373"/>
      <c r="K298" s="373"/>
    </row>
    <row r="299">
      <c r="A299" s="291"/>
      <c r="B299" s="372"/>
      <c r="C299" s="181"/>
      <c r="D299" s="292"/>
      <c r="E299" s="292"/>
      <c r="F299" s="297"/>
      <c r="G299" s="294"/>
      <c r="H299" s="294"/>
      <c r="I299" s="294" t="s">
        <v>738</v>
      </c>
      <c r="J299" s="373"/>
      <c r="K299" s="373"/>
    </row>
    <row r="300">
      <c r="A300" s="291"/>
      <c r="B300" s="372"/>
      <c r="C300" s="181"/>
      <c r="D300" s="292"/>
      <c r="E300" s="292"/>
      <c r="F300" s="297"/>
      <c r="G300" s="294"/>
      <c r="H300" s="294"/>
      <c r="I300" s="294" t="s">
        <v>738</v>
      </c>
      <c r="J300" s="373"/>
      <c r="K300" s="373"/>
    </row>
    <row r="301">
      <c r="A301" s="291"/>
      <c r="B301" s="372"/>
      <c r="C301" s="181"/>
      <c r="D301" s="292"/>
      <c r="E301" s="292"/>
      <c r="F301" s="297"/>
      <c r="G301" s="294"/>
      <c r="H301" s="294"/>
      <c r="I301" s="294" t="s">
        <v>738</v>
      </c>
      <c r="J301" s="373"/>
      <c r="K301" s="373"/>
    </row>
    <row r="302">
      <c r="A302" s="291"/>
      <c r="B302" s="372"/>
      <c r="C302" s="181"/>
      <c r="D302" s="292"/>
      <c r="E302" s="292"/>
      <c r="F302" s="297"/>
      <c r="G302" s="294"/>
      <c r="H302" s="294"/>
      <c r="I302" s="294" t="s">
        <v>738</v>
      </c>
      <c r="J302" s="373"/>
      <c r="K302" s="373"/>
    </row>
    <row r="303">
      <c r="A303" s="291"/>
      <c r="B303" s="372"/>
      <c r="C303" s="181"/>
      <c r="D303" s="292"/>
      <c r="E303" s="292"/>
      <c r="F303" s="297"/>
      <c r="G303" s="294"/>
      <c r="H303" s="294"/>
      <c r="I303" s="294" t="s">
        <v>738</v>
      </c>
      <c r="J303" s="373"/>
      <c r="K303" s="373"/>
    </row>
    <row r="304">
      <c r="A304" s="291"/>
      <c r="B304" s="372"/>
      <c r="C304" s="181"/>
      <c r="D304" s="292"/>
      <c r="E304" s="292"/>
      <c r="F304" s="297"/>
      <c r="G304" s="294"/>
      <c r="H304" s="294"/>
      <c r="I304" s="294" t="s">
        <v>738</v>
      </c>
      <c r="J304" s="373"/>
      <c r="K304" s="373"/>
    </row>
    <row r="305">
      <c r="A305" s="291"/>
      <c r="B305" s="372"/>
      <c r="C305" s="181"/>
      <c r="D305" s="292"/>
      <c r="E305" s="292"/>
      <c r="F305" s="297"/>
      <c r="G305" s="294"/>
      <c r="H305" s="294"/>
      <c r="I305" s="294" t="s">
        <v>738</v>
      </c>
      <c r="J305" s="373"/>
      <c r="K305" s="373"/>
    </row>
    <row r="306">
      <c r="A306" s="291"/>
      <c r="B306" s="372"/>
      <c r="C306" s="181"/>
      <c r="D306" s="292"/>
      <c r="E306" s="292"/>
      <c r="F306" s="297"/>
      <c r="G306" s="294"/>
      <c r="H306" s="294"/>
      <c r="I306" s="294" t="s">
        <v>738</v>
      </c>
      <c r="J306" s="373"/>
      <c r="K306" s="373"/>
    </row>
    <row r="307">
      <c r="A307" s="291"/>
      <c r="B307" s="372"/>
      <c r="C307" s="181"/>
      <c r="D307" s="292"/>
      <c r="E307" s="292"/>
      <c r="F307" s="297"/>
      <c r="G307" s="294"/>
      <c r="H307" s="294"/>
      <c r="I307" s="294" t="s">
        <v>738</v>
      </c>
      <c r="J307" s="373"/>
      <c r="K307" s="373"/>
    </row>
    <row r="308">
      <c r="A308" s="291"/>
      <c r="B308" s="372"/>
      <c r="C308" s="181"/>
      <c r="D308" s="292"/>
      <c r="E308" s="292"/>
      <c r="F308" s="297"/>
      <c r="G308" s="294"/>
      <c r="H308" s="294"/>
      <c r="I308" s="294" t="s">
        <v>738</v>
      </c>
      <c r="J308" s="373"/>
      <c r="K308" s="373"/>
    </row>
    <row r="309">
      <c r="A309" s="291"/>
      <c r="B309" s="372"/>
      <c r="C309" s="181"/>
      <c r="D309" s="292"/>
      <c r="E309" s="292"/>
      <c r="F309" s="297"/>
      <c r="G309" s="294"/>
      <c r="H309" s="294"/>
      <c r="I309" s="294" t="s">
        <v>738</v>
      </c>
      <c r="J309" s="373"/>
      <c r="K309" s="373"/>
    </row>
    <row r="310">
      <c r="A310" s="291"/>
      <c r="B310" s="372"/>
      <c r="C310" s="181"/>
      <c r="D310" s="292"/>
      <c r="E310" s="292"/>
      <c r="F310" s="297"/>
      <c r="G310" s="294"/>
      <c r="H310" s="294"/>
      <c r="I310" s="294" t="s">
        <v>738</v>
      </c>
      <c r="J310" s="373"/>
      <c r="K310" s="373"/>
    </row>
    <row r="311">
      <c r="A311" s="291"/>
      <c r="B311" s="372"/>
      <c r="C311" s="181"/>
      <c r="D311" s="292"/>
      <c r="E311" s="292"/>
      <c r="F311" s="297"/>
      <c r="G311" s="294"/>
      <c r="H311" s="294"/>
      <c r="I311" s="294" t="s">
        <v>738</v>
      </c>
      <c r="J311" s="373"/>
      <c r="K311" s="373"/>
    </row>
    <row r="312">
      <c r="A312" s="291"/>
      <c r="B312" s="372"/>
      <c r="C312" s="181"/>
      <c r="D312" s="292"/>
      <c r="E312" s="292"/>
      <c r="F312" s="297"/>
      <c r="G312" s="294"/>
      <c r="H312" s="294"/>
      <c r="I312" s="294" t="s">
        <v>738</v>
      </c>
      <c r="J312" s="373"/>
      <c r="K312" s="373"/>
    </row>
    <row r="313">
      <c r="A313" s="291"/>
      <c r="B313" s="372"/>
      <c r="C313" s="181"/>
      <c r="D313" s="292"/>
      <c r="E313" s="292"/>
      <c r="F313" s="297"/>
      <c r="G313" s="294"/>
      <c r="H313" s="294"/>
      <c r="I313" s="294" t="s">
        <v>738</v>
      </c>
      <c r="J313" s="373"/>
      <c r="K313" s="373"/>
    </row>
    <row r="314">
      <c r="A314" s="291"/>
      <c r="B314" s="372"/>
      <c r="C314" s="181"/>
      <c r="D314" s="292"/>
      <c r="E314" s="292"/>
      <c r="F314" s="297"/>
      <c r="G314" s="294"/>
      <c r="H314" s="294"/>
      <c r="I314" s="294" t="s">
        <v>738</v>
      </c>
      <c r="J314" s="373"/>
      <c r="K314" s="373"/>
    </row>
    <row r="315">
      <c r="A315" s="291"/>
      <c r="B315" s="372"/>
      <c r="C315" s="181"/>
      <c r="D315" s="292"/>
      <c r="E315" s="292"/>
      <c r="F315" s="297"/>
      <c r="G315" s="294"/>
      <c r="H315" s="294"/>
      <c r="I315" s="294" t="s">
        <v>738</v>
      </c>
      <c r="J315" s="373"/>
      <c r="K315" s="373"/>
    </row>
    <row r="316">
      <c r="A316" s="291"/>
      <c r="B316" s="372"/>
      <c r="C316" s="181"/>
      <c r="D316" s="292"/>
      <c r="E316" s="292"/>
      <c r="F316" s="297"/>
      <c r="G316" s="294"/>
      <c r="H316" s="294"/>
      <c r="I316" s="294" t="s">
        <v>738</v>
      </c>
      <c r="J316" s="373"/>
      <c r="K316" s="373"/>
    </row>
    <row r="317">
      <c r="A317" s="291"/>
      <c r="B317" s="372"/>
      <c r="C317" s="181"/>
      <c r="D317" s="292"/>
      <c r="E317" s="292"/>
      <c r="F317" s="297"/>
      <c r="G317" s="294"/>
      <c r="H317" s="294"/>
      <c r="I317" s="294" t="s">
        <v>738</v>
      </c>
      <c r="J317" s="373"/>
      <c r="K317" s="373"/>
    </row>
    <row r="318">
      <c r="A318" s="291"/>
      <c r="B318" s="372"/>
      <c r="C318" s="181"/>
      <c r="D318" s="292"/>
      <c r="E318" s="292"/>
      <c r="F318" s="297"/>
      <c r="G318" s="294"/>
      <c r="H318" s="294"/>
      <c r="I318" s="294" t="s">
        <v>738</v>
      </c>
      <c r="J318" s="373"/>
      <c r="K318" s="373"/>
    </row>
    <row r="319">
      <c r="A319" s="291"/>
      <c r="B319" s="372"/>
      <c r="C319" s="181"/>
      <c r="D319" s="292"/>
      <c r="E319" s="292"/>
      <c r="F319" s="297"/>
      <c r="G319" s="294"/>
      <c r="H319" s="294"/>
      <c r="I319" s="294" t="s">
        <v>738</v>
      </c>
      <c r="J319" s="373"/>
      <c r="K319" s="373"/>
    </row>
    <row r="320">
      <c r="A320" s="291"/>
      <c r="B320" s="372"/>
      <c r="C320" s="181"/>
      <c r="D320" s="292"/>
      <c r="E320" s="292"/>
      <c r="F320" s="297"/>
      <c r="G320" s="294"/>
      <c r="H320" s="294"/>
      <c r="I320" s="294" t="s">
        <v>738</v>
      </c>
      <c r="J320" s="373"/>
      <c r="K320" s="373"/>
    </row>
    <row r="321">
      <c r="A321" s="291"/>
      <c r="B321" s="372"/>
      <c r="C321" s="181"/>
      <c r="D321" s="292"/>
      <c r="E321" s="292"/>
      <c r="F321" s="297"/>
      <c r="G321" s="294"/>
      <c r="H321" s="294"/>
      <c r="I321" s="294" t="s">
        <v>738</v>
      </c>
      <c r="J321" s="373"/>
      <c r="K321" s="373"/>
    </row>
    <row r="322">
      <c r="A322" s="291"/>
      <c r="B322" s="372"/>
      <c r="C322" s="181"/>
      <c r="D322" s="292"/>
      <c r="E322" s="292"/>
      <c r="F322" s="297"/>
      <c r="G322" s="294"/>
      <c r="H322" s="294"/>
      <c r="I322" s="294" t="s">
        <v>738</v>
      </c>
      <c r="J322" s="373"/>
      <c r="K322" s="373"/>
    </row>
    <row r="323">
      <c r="A323" s="291"/>
      <c r="B323" s="372"/>
      <c r="C323" s="181"/>
      <c r="D323" s="292"/>
      <c r="E323" s="292"/>
      <c r="F323" s="297"/>
      <c r="G323" s="294"/>
      <c r="H323" s="294"/>
      <c r="I323" s="294" t="s">
        <v>738</v>
      </c>
      <c r="J323" s="373"/>
      <c r="K323" s="373"/>
    </row>
    <row r="324">
      <c r="A324" s="291"/>
      <c r="B324" s="372"/>
      <c r="C324" s="181"/>
      <c r="D324" s="292"/>
      <c r="E324" s="292"/>
      <c r="F324" s="297"/>
      <c r="G324" s="294"/>
      <c r="H324" s="294"/>
      <c r="I324" s="294" t="s">
        <v>738</v>
      </c>
      <c r="J324" s="373"/>
      <c r="K324" s="373"/>
    </row>
    <row r="325">
      <c r="A325" s="291"/>
      <c r="B325" s="372"/>
      <c r="C325" s="181"/>
      <c r="D325" s="292"/>
      <c r="E325" s="292"/>
      <c r="F325" s="297"/>
      <c r="G325" s="294"/>
      <c r="H325" s="294"/>
      <c r="I325" s="294" t="s">
        <v>738</v>
      </c>
      <c r="J325" s="373"/>
      <c r="K325" s="373"/>
    </row>
    <row r="326">
      <c r="A326" s="291"/>
      <c r="B326" s="372"/>
      <c r="C326" s="181"/>
      <c r="D326" s="292"/>
      <c r="E326" s="292"/>
      <c r="F326" s="297"/>
      <c r="G326" s="294"/>
      <c r="H326" s="294"/>
      <c r="I326" s="294" t="s">
        <v>738</v>
      </c>
      <c r="J326" s="373"/>
      <c r="K326" s="373"/>
    </row>
    <row r="327">
      <c r="A327" s="291"/>
      <c r="B327" s="372"/>
      <c r="C327" s="181"/>
      <c r="D327" s="292"/>
      <c r="E327" s="292"/>
      <c r="F327" s="297"/>
      <c r="G327" s="294"/>
      <c r="H327" s="294"/>
      <c r="I327" s="294" t="s">
        <v>738</v>
      </c>
      <c r="J327" s="373"/>
      <c r="K327" s="373"/>
    </row>
    <row r="328">
      <c r="A328" s="291"/>
      <c r="B328" s="372"/>
      <c r="C328" s="181"/>
      <c r="D328" s="292"/>
      <c r="E328" s="292"/>
      <c r="F328" s="297"/>
      <c r="G328" s="294"/>
      <c r="H328" s="294"/>
      <c r="I328" s="294" t="s">
        <v>738</v>
      </c>
      <c r="J328" s="373"/>
      <c r="K328" s="373"/>
    </row>
    <row r="329">
      <c r="A329" s="291"/>
      <c r="B329" s="372"/>
      <c r="C329" s="181"/>
      <c r="D329" s="292"/>
      <c r="E329" s="292"/>
      <c r="F329" s="297"/>
      <c r="G329" s="294"/>
      <c r="H329" s="294"/>
      <c r="I329" s="294" t="s">
        <v>738</v>
      </c>
      <c r="J329" s="373"/>
      <c r="K329" s="373"/>
    </row>
    <row r="330">
      <c r="A330" s="291"/>
      <c r="B330" s="372"/>
      <c r="C330" s="181"/>
      <c r="D330" s="292"/>
      <c r="E330" s="292"/>
      <c r="F330" s="297"/>
      <c r="G330" s="294"/>
      <c r="H330" s="294"/>
      <c r="I330" s="294" t="s">
        <v>738</v>
      </c>
      <c r="J330" s="373"/>
      <c r="K330" s="373"/>
    </row>
    <row r="331">
      <c r="A331" s="291"/>
      <c r="B331" s="372"/>
      <c r="C331" s="181"/>
      <c r="D331" s="292"/>
      <c r="E331" s="292"/>
      <c r="F331" s="297"/>
      <c r="G331" s="294"/>
      <c r="H331" s="294"/>
      <c r="I331" s="294" t="s">
        <v>738</v>
      </c>
      <c r="J331" s="373"/>
      <c r="K331" s="373"/>
    </row>
    <row r="332">
      <c r="A332" s="291"/>
      <c r="B332" s="372"/>
      <c r="C332" s="181"/>
      <c r="D332" s="292"/>
      <c r="E332" s="292"/>
      <c r="F332" s="297"/>
      <c r="G332" s="294"/>
      <c r="H332" s="294"/>
      <c r="I332" s="294" t="s">
        <v>738</v>
      </c>
      <c r="J332" s="373"/>
      <c r="K332" s="373"/>
    </row>
    <row r="333">
      <c r="A333" s="291"/>
      <c r="B333" s="372"/>
      <c r="C333" s="181"/>
      <c r="D333" s="292"/>
      <c r="E333" s="292"/>
      <c r="F333" s="297"/>
      <c r="G333" s="294"/>
      <c r="H333" s="294"/>
      <c r="I333" s="294" t="s">
        <v>738</v>
      </c>
      <c r="J333" s="373"/>
      <c r="K333" s="373"/>
    </row>
    <row r="334">
      <c r="A334" s="291"/>
      <c r="B334" s="372"/>
      <c r="C334" s="181"/>
      <c r="D334" s="292"/>
      <c r="E334" s="292"/>
      <c r="F334" s="297"/>
      <c r="G334" s="294"/>
      <c r="H334" s="294"/>
      <c r="I334" s="294" t="s">
        <v>738</v>
      </c>
      <c r="J334" s="373"/>
      <c r="K334" s="373"/>
    </row>
    <row r="335">
      <c r="A335" s="291"/>
      <c r="B335" s="372"/>
      <c r="C335" s="181"/>
      <c r="D335" s="292"/>
      <c r="E335" s="292"/>
      <c r="F335" s="297"/>
      <c r="G335" s="294"/>
      <c r="H335" s="294"/>
      <c r="I335" s="294" t="s">
        <v>738</v>
      </c>
      <c r="J335" s="373"/>
      <c r="K335" s="373"/>
    </row>
    <row r="336">
      <c r="A336" s="291"/>
      <c r="B336" s="372"/>
      <c r="C336" s="181"/>
      <c r="D336" s="292"/>
      <c r="E336" s="292"/>
      <c r="F336" s="297"/>
      <c r="G336" s="294"/>
      <c r="H336" s="294"/>
      <c r="I336" s="294" t="s">
        <v>738</v>
      </c>
      <c r="J336" s="373"/>
      <c r="K336" s="373"/>
    </row>
    <row r="337">
      <c r="A337" s="291"/>
      <c r="B337" s="372"/>
      <c r="C337" s="181"/>
      <c r="D337" s="292"/>
      <c r="E337" s="292"/>
      <c r="F337" s="297"/>
      <c r="G337" s="294"/>
      <c r="H337" s="294"/>
      <c r="I337" s="294" t="s">
        <v>738</v>
      </c>
      <c r="J337" s="373"/>
      <c r="K337" s="373"/>
    </row>
    <row r="338">
      <c r="A338" s="291"/>
      <c r="B338" s="372"/>
      <c r="C338" s="181"/>
      <c r="D338" s="292"/>
      <c r="E338" s="292"/>
      <c r="F338" s="297"/>
      <c r="G338" s="294"/>
      <c r="H338" s="294"/>
      <c r="I338" s="294" t="s">
        <v>738</v>
      </c>
      <c r="J338" s="373"/>
      <c r="K338" s="373"/>
    </row>
    <row r="339">
      <c r="A339" s="291"/>
      <c r="B339" s="372"/>
      <c r="C339" s="181"/>
      <c r="D339" s="292"/>
      <c r="E339" s="292"/>
      <c r="F339" s="297"/>
      <c r="G339" s="294"/>
      <c r="H339" s="294"/>
      <c r="I339" s="294" t="s">
        <v>738</v>
      </c>
      <c r="J339" s="373"/>
      <c r="K339" s="373"/>
    </row>
    <row r="340">
      <c r="A340" s="291"/>
      <c r="B340" s="372"/>
      <c r="C340" s="181"/>
      <c r="D340" s="292"/>
      <c r="E340" s="292"/>
      <c r="F340" s="297"/>
      <c r="G340" s="294"/>
      <c r="H340" s="294"/>
      <c r="I340" s="294" t="s">
        <v>738</v>
      </c>
      <c r="J340" s="373"/>
      <c r="K340" s="373"/>
    </row>
    <row r="341">
      <c r="A341" s="291"/>
      <c r="B341" s="372"/>
      <c r="C341" s="181"/>
      <c r="D341" s="292"/>
      <c r="E341" s="292"/>
      <c r="F341" s="297"/>
      <c r="G341" s="294"/>
      <c r="H341" s="294"/>
      <c r="I341" s="294" t="s">
        <v>738</v>
      </c>
      <c r="J341" s="373"/>
      <c r="K341" s="373"/>
    </row>
    <row r="342">
      <c r="A342" s="291"/>
      <c r="B342" s="372"/>
      <c r="C342" s="181"/>
      <c r="D342" s="292"/>
      <c r="E342" s="292"/>
      <c r="F342" s="297"/>
      <c r="G342" s="294"/>
      <c r="H342" s="294"/>
      <c r="I342" s="294" t="s">
        <v>738</v>
      </c>
      <c r="J342" s="373"/>
      <c r="K342" s="373"/>
    </row>
    <row r="343">
      <c r="A343" s="291"/>
      <c r="B343" s="372"/>
      <c r="C343" s="181"/>
      <c r="D343" s="292"/>
      <c r="E343" s="292"/>
      <c r="F343" s="297"/>
      <c r="G343" s="294"/>
      <c r="H343" s="294"/>
      <c r="I343" s="294" t="s">
        <v>738</v>
      </c>
      <c r="J343" s="373"/>
      <c r="K343" s="373"/>
    </row>
    <row r="344">
      <c r="A344" s="291"/>
      <c r="B344" s="372"/>
      <c r="C344" s="181"/>
      <c r="D344" s="292"/>
      <c r="E344" s="292"/>
      <c r="F344" s="297"/>
      <c r="G344" s="294"/>
      <c r="H344" s="294"/>
      <c r="I344" s="294" t="s">
        <v>738</v>
      </c>
      <c r="J344" s="373"/>
      <c r="K344" s="373"/>
    </row>
    <row r="345">
      <c r="A345" s="291"/>
      <c r="B345" s="372"/>
      <c r="C345" s="181"/>
      <c r="D345" s="292"/>
      <c r="E345" s="292"/>
      <c r="F345" s="297"/>
      <c r="G345" s="294"/>
      <c r="H345" s="294"/>
      <c r="I345" s="294" t="s">
        <v>738</v>
      </c>
      <c r="J345" s="373"/>
      <c r="K345" s="373"/>
    </row>
    <row r="346">
      <c r="A346" s="291"/>
      <c r="B346" s="372"/>
      <c r="C346" s="181"/>
      <c r="D346" s="292"/>
      <c r="E346" s="292"/>
      <c r="F346" s="297"/>
      <c r="G346" s="294"/>
      <c r="H346" s="294"/>
      <c r="I346" s="294" t="s">
        <v>738</v>
      </c>
      <c r="J346" s="373"/>
      <c r="K346" s="373"/>
    </row>
    <row r="347">
      <c r="A347" s="291"/>
      <c r="B347" s="372"/>
      <c r="C347" s="181"/>
      <c r="D347" s="292"/>
      <c r="E347" s="292"/>
      <c r="F347" s="297"/>
      <c r="G347" s="294"/>
      <c r="H347" s="294"/>
      <c r="I347" s="294" t="s">
        <v>738</v>
      </c>
      <c r="J347" s="373"/>
      <c r="K347" s="373"/>
    </row>
    <row r="348">
      <c r="A348" s="291"/>
      <c r="B348" s="372"/>
      <c r="C348" s="181"/>
      <c r="D348" s="292"/>
      <c r="E348" s="292"/>
      <c r="F348" s="297"/>
      <c r="G348" s="294"/>
      <c r="H348" s="294"/>
      <c r="I348" s="294" t="s">
        <v>738</v>
      </c>
      <c r="J348" s="373"/>
      <c r="K348" s="373"/>
    </row>
    <row r="349">
      <c r="A349" s="291"/>
      <c r="B349" s="372"/>
      <c r="C349" s="181"/>
      <c r="D349" s="292"/>
      <c r="E349" s="292"/>
      <c r="F349" s="297"/>
      <c r="G349" s="294"/>
      <c r="H349" s="294"/>
      <c r="I349" s="294" t="s">
        <v>738</v>
      </c>
      <c r="J349" s="373"/>
      <c r="K349" s="373"/>
    </row>
    <row r="350">
      <c r="A350" s="291"/>
      <c r="B350" s="372"/>
      <c r="C350" s="181"/>
      <c r="D350" s="292"/>
      <c r="E350" s="292"/>
      <c r="F350" s="297"/>
      <c r="G350" s="294"/>
      <c r="H350" s="294"/>
      <c r="I350" s="294" t="s">
        <v>738</v>
      </c>
      <c r="J350" s="373"/>
      <c r="K350" s="373"/>
    </row>
    <row r="351">
      <c r="A351" s="291"/>
      <c r="B351" s="372"/>
      <c r="C351" s="181"/>
      <c r="D351" s="292"/>
      <c r="E351" s="292"/>
      <c r="F351" s="297"/>
      <c r="G351" s="294"/>
      <c r="H351" s="294"/>
      <c r="I351" s="294" t="s">
        <v>738</v>
      </c>
      <c r="J351" s="373"/>
      <c r="K351" s="373"/>
    </row>
    <row r="352">
      <c r="A352" s="291"/>
      <c r="B352" s="372"/>
      <c r="C352" s="181"/>
      <c r="D352" s="292"/>
      <c r="E352" s="292"/>
      <c r="F352" s="297"/>
      <c r="G352" s="294"/>
      <c r="H352" s="294"/>
      <c r="I352" s="294" t="s">
        <v>738</v>
      </c>
      <c r="J352" s="373"/>
      <c r="K352" s="373"/>
    </row>
    <row r="353">
      <c r="A353" s="291"/>
      <c r="B353" s="372"/>
      <c r="C353" s="181"/>
      <c r="D353" s="292"/>
      <c r="E353" s="292"/>
      <c r="F353" s="297"/>
      <c r="G353" s="294"/>
      <c r="H353" s="294"/>
      <c r="I353" s="294" t="s">
        <v>738</v>
      </c>
      <c r="J353" s="373"/>
      <c r="K353" s="373"/>
    </row>
    <row r="354">
      <c r="A354" s="291"/>
      <c r="B354" s="372"/>
      <c r="C354" s="181"/>
      <c r="D354" s="292"/>
      <c r="E354" s="292"/>
      <c r="F354" s="297"/>
      <c r="G354" s="294"/>
      <c r="H354" s="294"/>
      <c r="I354" s="294" t="s">
        <v>738</v>
      </c>
      <c r="J354" s="373"/>
      <c r="K354" s="373"/>
    </row>
    <row r="355">
      <c r="A355" s="291"/>
      <c r="B355" s="372"/>
      <c r="C355" s="181"/>
      <c r="D355" s="292"/>
      <c r="E355" s="292"/>
      <c r="F355" s="297"/>
      <c r="G355" s="294"/>
      <c r="H355" s="294"/>
      <c r="I355" s="294" t="s">
        <v>738</v>
      </c>
      <c r="J355" s="373"/>
      <c r="K355" s="373"/>
    </row>
    <row r="356">
      <c r="A356" s="291"/>
      <c r="B356" s="372"/>
      <c r="C356" s="181"/>
      <c r="D356" s="292"/>
      <c r="E356" s="292"/>
      <c r="F356" s="297"/>
      <c r="G356" s="294"/>
      <c r="H356" s="294"/>
      <c r="I356" s="294" t="s">
        <v>738</v>
      </c>
      <c r="J356" s="373"/>
      <c r="K356" s="373"/>
    </row>
    <row r="357">
      <c r="A357" s="291"/>
      <c r="B357" s="372"/>
      <c r="C357" s="181"/>
      <c r="D357" s="292"/>
      <c r="E357" s="292"/>
      <c r="F357" s="297"/>
      <c r="G357" s="294"/>
      <c r="H357" s="294"/>
      <c r="I357" s="294" t="s">
        <v>738</v>
      </c>
      <c r="J357" s="373"/>
      <c r="K357" s="373"/>
    </row>
    <row r="358">
      <c r="A358" s="291"/>
      <c r="B358" s="372"/>
      <c r="C358" s="181"/>
      <c r="D358" s="292"/>
      <c r="E358" s="292"/>
      <c r="F358" s="297"/>
      <c r="G358" s="294"/>
      <c r="H358" s="294"/>
      <c r="I358" s="294" t="s">
        <v>738</v>
      </c>
      <c r="J358" s="373"/>
      <c r="K358" s="373"/>
    </row>
    <row r="359">
      <c r="A359" s="291"/>
      <c r="B359" s="372"/>
      <c r="C359" s="181"/>
      <c r="D359" s="292"/>
      <c r="E359" s="292"/>
      <c r="F359" s="297"/>
      <c r="G359" s="294"/>
      <c r="H359" s="294"/>
      <c r="I359" s="294" t="s">
        <v>738</v>
      </c>
      <c r="J359" s="373"/>
      <c r="K359" s="373"/>
    </row>
    <row r="360">
      <c r="A360" s="291"/>
      <c r="B360" s="372"/>
      <c r="C360" s="181"/>
      <c r="D360" s="292"/>
      <c r="E360" s="292"/>
      <c r="F360" s="297"/>
      <c r="G360" s="294"/>
      <c r="H360" s="294"/>
      <c r="I360" s="294" t="s">
        <v>738</v>
      </c>
      <c r="J360" s="373"/>
      <c r="K360" s="373"/>
    </row>
    <row r="361">
      <c r="A361" s="291"/>
      <c r="B361" s="372"/>
      <c r="C361" s="181"/>
      <c r="D361" s="292"/>
      <c r="E361" s="292"/>
      <c r="F361" s="297"/>
      <c r="G361" s="294"/>
      <c r="H361" s="294"/>
      <c r="I361" s="294" t="s">
        <v>738</v>
      </c>
      <c r="J361" s="373"/>
      <c r="K361" s="373"/>
    </row>
    <row r="362">
      <c r="A362" s="291"/>
      <c r="B362" s="372"/>
      <c r="C362" s="181"/>
      <c r="D362" s="292"/>
      <c r="E362" s="292"/>
      <c r="F362" s="297"/>
      <c r="G362" s="294"/>
      <c r="H362" s="294"/>
      <c r="I362" s="294" t="s">
        <v>738</v>
      </c>
      <c r="J362" s="373"/>
      <c r="K362" s="373"/>
    </row>
    <row r="363">
      <c r="A363" s="291"/>
      <c r="B363" s="372"/>
      <c r="C363" s="181"/>
      <c r="D363" s="292"/>
      <c r="E363" s="292"/>
      <c r="F363" s="297"/>
      <c r="G363" s="294"/>
      <c r="H363" s="294"/>
      <c r="I363" s="294" t="s">
        <v>738</v>
      </c>
      <c r="J363" s="373"/>
      <c r="K363" s="373"/>
    </row>
    <row r="364">
      <c r="A364" s="291"/>
      <c r="B364" s="372"/>
      <c r="C364" s="181"/>
      <c r="D364" s="292"/>
      <c r="E364" s="292"/>
      <c r="F364" s="297"/>
      <c r="G364" s="294"/>
      <c r="H364" s="294"/>
      <c r="I364" s="294" t="s">
        <v>738</v>
      </c>
      <c r="J364" s="373"/>
      <c r="K364" s="373"/>
    </row>
    <row r="365">
      <c r="A365" s="291"/>
      <c r="B365" s="372"/>
      <c r="C365" s="181"/>
      <c r="D365" s="292"/>
      <c r="E365" s="292"/>
      <c r="F365" s="297"/>
      <c r="G365" s="294"/>
      <c r="H365" s="294"/>
      <c r="I365" s="294" t="s">
        <v>738</v>
      </c>
      <c r="J365" s="373"/>
      <c r="K365" s="373"/>
    </row>
    <row r="366">
      <c r="A366" s="291"/>
      <c r="B366" s="372"/>
      <c r="C366" s="181"/>
      <c r="D366" s="292"/>
      <c r="E366" s="292"/>
      <c r="F366" s="297"/>
      <c r="G366" s="294"/>
      <c r="H366" s="294"/>
      <c r="I366" s="294" t="s">
        <v>738</v>
      </c>
      <c r="J366" s="373"/>
      <c r="K366" s="373"/>
    </row>
    <row r="367">
      <c r="A367" s="291"/>
      <c r="B367" s="372"/>
      <c r="C367" s="181"/>
      <c r="D367" s="292"/>
      <c r="E367" s="292"/>
      <c r="F367" s="297"/>
      <c r="G367" s="294"/>
      <c r="H367" s="294"/>
      <c r="I367" s="294" t="s">
        <v>738</v>
      </c>
      <c r="J367" s="373"/>
      <c r="K367" s="373"/>
    </row>
    <row r="368">
      <c r="A368" s="291"/>
      <c r="B368" s="372"/>
      <c r="C368" s="181"/>
      <c r="D368" s="292"/>
      <c r="E368" s="292"/>
      <c r="F368" s="297"/>
      <c r="G368" s="294"/>
      <c r="H368" s="294"/>
      <c r="I368" s="294" t="s">
        <v>738</v>
      </c>
      <c r="J368" s="373"/>
      <c r="K368" s="373"/>
    </row>
    <row r="369">
      <c r="A369" s="291"/>
      <c r="B369" s="372"/>
      <c r="C369" s="181"/>
      <c r="D369" s="292"/>
      <c r="E369" s="292"/>
      <c r="F369" s="297"/>
      <c r="G369" s="294"/>
      <c r="H369" s="294"/>
      <c r="I369" s="294" t="s">
        <v>738</v>
      </c>
      <c r="J369" s="373"/>
      <c r="K369" s="373"/>
    </row>
    <row r="370">
      <c r="A370" s="291"/>
      <c r="B370" s="372"/>
      <c r="C370" s="181"/>
      <c r="D370" s="292"/>
      <c r="E370" s="292"/>
      <c r="F370" s="297"/>
      <c r="G370" s="294"/>
      <c r="H370" s="294"/>
      <c r="I370" s="294" t="s">
        <v>738</v>
      </c>
      <c r="J370" s="373"/>
      <c r="K370" s="373"/>
    </row>
    <row r="371">
      <c r="A371" s="291"/>
      <c r="B371" s="372"/>
      <c r="C371" s="181"/>
      <c r="D371" s="292"/>
      <c r="E371" s="292"/>
      <c r="F371" s="297"/>
      <c r="G371" s="294"/>
      <c r="H371" s="294"/>
      <c r="I371" s="294" t="s">
        <v>738</v>
      </c>
      <c r="J371" s="373"/>
      <c r="K371" s="373"/>
    </row>
    <row r="372">
      <c r="A372" s="291"/>
      <c r="B372" s="372"/>
      <c r="C372" s="181"/>
      <c r="D372" s="292"/>
      <c r="E372" s="292"/>
      <c r="F372" s="297"/>
      <c r="G372" s="294"/>
      <c r="H372" s="294"/>
      <c r="I372" s="294" t="s">
        <v>738</v>
      </c>
      <c r="J372" s="373"/>
      <c r="K372" s="373"/>
    </row>
    <row r="373">
      <c r="A373" s="291"/>
      <c r="B373" s="372"/>
      <c r="C373" s="181"/>
      <c r="D373" s="292"/>
      <c r="E373" s="292"/>
      <c r="F373" s="297"/>
      <c r="G373" s="294"/>
      <c r="H373" s="294"/>
      <c r="I373" s="294" t="s">
        <v>738</v>
      </c>
      <c r="J373" s="373"/>
      <c r="K373" s="373"/>
    </row>
    <row r="374">
      <c r="A374" s="291"/>
      <c r="B374" s="372"/>
      <c r="C374" s="181"/>
      <c r="D374" s="292"/>
      <c r="E374" s="292"/>
      <c r="F374" s="297"/>
      <c r="G374" s="294"/>
      <c r="H374" s="294"/>
      <c r="I374" s="294" t="s">
        <v>738</v>
      </c>
      <c r="J374" s="373"/>
      <c r="K374" s="373"/>
    </row>
    <row r="375">
      <c r="A375" s="291"/>
      <c r="B375" s="372"/>
      <c r="C375" s="181"/>
      <c r="D375" s="292"/>
      <c r="E375" s="292"/>
      <c r="F375" s="297"/>
      <c r="G375" s="294"/>
      <c r="H375" s="294"/>
      <c r="I375" s="294" t="s">
        <v>738</v>
      </c>
      <c r="J375" s="373"/>
      <c r="K375" s="373"/>
    </row>
    <row r="376">
      <c r="A376" s="291"/>
      <c r="B376" s="372"/>
      <c r="C376" s="181"/>
      <c r="D376" s="292"/>
      <c r="E376" s="292"/>
      <c r="F376" s="297"/>
      <c r="G376" s="294"/>
      <c r="H376" s="294"/>
      <c r="I376" s="294" t="s">
        <v>738</v>
      </c>
      <c r="J376" s="373"/>
      <c r="K376" s="373"/>
    </row>
    <row r="377">
      <c r="A377" s="291"/>
      <c r="B377" s="372"/>
      <c r="C377" s="181"/>
      <c r="D377" s="292"/>
      <c r="E377" s="292"/>
      <c r="F377" s="297"/>
      <c r="G377" s="294"/>
      <c r="H377" s="294"/>
      <c r="I377" s="294" t="s">
        <v>738</v>
      </c>
      <c r="J377" s="373"/>
      <c r="K377" s="373"/>
    </row>
    <row r="378">
      <c r="A378" s="291"/>
      <c r="B378" s="372"/>
      <c r="C378" s="181"/>
      <c r="D378" s="292"/>
      <c r="E378" s="292"/>
      <c r="F378" s="297"/>
      <c r="G378" s="294"/>
      <c r="H378" s="294"/>
      <c r="I378" s="294" t="s">
        <v>738</v>
      </c>
      <c r="J378" s="373"/>
      <c r="K378" s="373"/>
    </row>
    <row r="379">
      <c r="A379" s="291"/>
      <c r="B379" s="372"/>
      <c r="C379" s="181"/>
      <c r="D379" s="292"/>
      <c r="E379" s="292"/>
      <c r="F379" s="297"/>
      <c r="G379" s="294"/>
      <c r="H379" s="294"/>
      <c r="I379" s="294" t="s">
        <v>738</v>
      </c>
      <c r="J379" s="373"/>
      <c r="K379" s="373"/>
    </row>
    <row r="380">
      <c r="A380" s="291"/>
      <c r="B380" s="372"/>
      <c r="C380" s="181"/>
      <c r="D380" s="292"/>
      <c r="E380" s="292"/>
      <c r="F380" s="297"/>
      <c r="G380" s="294"/>
      <c r="H380" s="294"/>
      <c r="I380" s="294" t="s">
        <v>738</v>
      </c>
      <c r="J380" s="373"/>
      <c r="K380" s="373"/>
    </row>
    <row r="381">
      <c r="A381" s="291"/>
      <c r="B381" s="372"/>
      <c r="C381" s="181"/>
      <c r="D381" s="292"/>
      <c r="E381" s="292"/>
      <c r="F381" s="297"/>
      <c r="G381" s="294"/>
      <c r="H381" s="294"/>
      <c r="I381" s="294" t="s">
        <v>738</v>
      </c>
      <c r="J381" s="373"/>
      <c r="K381" s="373"/>
    </row>
    <row r="382">
      <c r="A382" s="291"/>
      <c r="B382" s="372"/>
      <c r="C382" s="181"/>
      <c r="D382" s="292"/>
      <c r="E382" s="292"/>
      <c r="F382" s="297"/>
      <c r="G382" s="294"/>
      <c r="H382" s="294"/>
      <c r="I382" s="294" t="s">
        <v>738</v>
      </c>
      <c r="J382" s="373"/>
      <c r="K382" s="373"/>
    </row>
    <row r="383">
      <c r="A383" s="291"/>
      <c r="B383" s="372"/>
      <c r="C383" s="181"/>
      <c r="D383" s="292"/>
      <c r="E383" s="292"/>
      <c r="F383" s="297"/>
      <c r="G383" s="294"/>
      <c r="H383" s="294"/>
      <c r="I383" s="294" t="s">
        <v>738</v>
      </c>
      <c r="J383" s="373"/>
      <c r="K383" s="373"/>
    </row>
    <row r="384">
      <c r="A384" s="291"/>
      <c r="B384" s="372"/>
      <c r="C384" s="181"/>
      <c r="D384" s="292"/>
      <c r="E384" s="292"/>
      <c r="F384" s="297"/>
      <c r="G384" s="294"/>
      <c r="H384" s="294"/>
      <c r="I384" s="294" t="s">
        <v>738</v>
      </c>
      <c r="J384" s="373"/>
      <c r="K384" s="373"/>
    </row>
    <row r="385">
      <c r="A385" s="291"/>
      <c r="B385" s="372"/>
      <c r="C385" s="181"/>
      <c r="D385" s="292"/>
      <c r="E385" s="292"/>
      <c r="F385" s="297"/>
      <c r="G385" s="294"/>
      <c r="H385" s="294"/>
      <c r="I385" s="294" t="s">
        <v>738</v>
      </c>
      <c r="J385" s="373"/>
      <c r="K385" s="373"/>
    </row>
    <row r="386">
      <c r="A386" s="291"/>
      <c r="B386" s="372"/>
      <c r="C386" s="181"/>
      <c r="D386" s="292"/>
      <c r="E386" s="292"/>
      <c r="F386" s="297"/>
      <c r="G386" s="294"/>
      <c r="H386" s="294"/>
      <c r="I386" s="294" t="s">
        <v>738</v>
      </c>
      <c r="J386" s="373"/>
      <c r="K386" s="373"/>
    </row>
    <row r="387">
      <c r="A387" s="291"/>
      <c r="B387" s="372"/>
      <c r="C387" s="181"/>
      <c r="D387" s="292"/>
      <c r="E387" s="292"/>
      <c r="F387" s="297"/>
      <c r="G387" s="294"/>
      <c r="H387" s="294"/>
      <c r="I387" s="294" t="s">
        <v>738</v>
      </c>
      <c r="J387" s="373"/>
      <c r="K387" s="373"/>
    </row>
    <row r="388">
      <c r="A388" s="291"/>
      <c r="B388" s="372"/>
      <c r="C388" s="181"/>
      <c r="D388" s="292"/>
      <c r="E388" s="292"/>
      <c r="F388" s="297"/>
      <c r="G388" s="294"/>
      <c r="H388" s="294"/>
      <c r="I388" s="294" t="s">
        <v>738</v>
      </c>
      <c r="J388" s="373"/>
      <c r="K388" s="373"/>
    </row>
    <row r="389">
      <c r="A389" s="291"/>
      <c r="B389" s="372"/>
      <c r="C389" s="181"/>
      <c r="D389" s="292"/>
      <c r="E389" s="292"/>
      <c r="F389" s="297"/>
      <c r="G389" s="294"/>
      <c r="H389" s="294"/>
      <c r="I389" s="294" t="s">
        <v>738</v>
      </c>
      <c r="J389" s="373"/>
      <c r="K389" s="373"/>
    </row>
    <row r="390">
      <c r="A390" s="291"/>
      <c r="B390" s="372"/>
      <c r="C390" s="181"/>
      <c r="D390" s="292"/>
      <c r="E390" s="292"/>
      <c r="F390" s="297"/>
      <c r="G390" s="294"/>
      <c r="H390" s="294"/>
      <c r="I390" s="294" t="s">
        <v>738</v>
      </c>
      <c r="J390" s="373"/>
      <c r="K390" s="373"/>
    </row>
    <row r="391">
      <c r="A391" s="291"/>
      <c r="B391" s="372"/>
      <c r="C391" s="181"/>
      <c r="D391" s="292"/>
      <c r="E391" s="292"/>
      <c r="F391" s="297"/>
      <c r="G391" s="294"/>
      <c r="H391" s="294"/>
      <c r="I391" s="294" t="s">
        <v>738</v>
      </c>
      <c r="J391" s="373"/>
      <c r="K391" s="373"/>
    </row>
    <row r="392">
      <c r="A392" s="291"/>
      <c r="B392" s="372"/>
      <c r="C392" s="181"/>
      <c r="D392" s="292"/>
      <c r="E392" s="292"/>
      <c r="F392" s="297"/>
      <c r="G392" s="294"/>
      <c r="H392" s="294"/>
      <c r="I392" s="294" t="s">
        <v>738</v>
      </c>
      <c r="J392" s="373"/>
      <c r="K392" s="373"/>
    </row>
    <row r="393">
      <c r="A393" s="291"/>
      <c r="B393" s="372"/>
      <c r="C393" s="181"/>
      <c r="D393" s="292"/>
      <c r="E393" s="292"/>
      <c r="F393" s="297"/>
      <c r="G393" s="294"/>
      <c r="H393" s="294"/>
      <c r="I393" s="294" t="s">
        <v>738</v>
      </c>
      <c r="J393" s="373"/>
      <c r="K393" s="373"/>
    </row>
    <row r="394">
      <c r="A394" s="291"/>
      <c r="B394" s="372"/>
      <c r="C394" s="181"/>
      <c r="D394" s="292"/>
      <c r="E394" s="292"/>
      <c r="F394" s="297"/>
      <c r="G394" s="294"/>
      <c r="H394" s="294"/>
      <c r="I394" s="294" t="s">
        <v>738</v>
      </c>
      <c r="J394" s="373"/>
      <c r="K394" s="373"/>
    </row>
    <row r="395">
      <c r="A395" s="291"/>
      <c r="B395" s="372"/>
      <c r="C395" s="181"/>
      <c r="D395" s="292"/>
      <c r="E395" s="292"/>
      <c r="F395" s="297"/>
      <c r="G395" s="294"/>
      <c r="H395" s="294"/>
      <c r="I395" s="294" t="s">
        <v>738</v>
      </c>
      <c r="J395" s="373"/>
      <c r="K395" s="373"/>
    </row>
    <row r="396">
      <c r="A396" s="291"/>
      <c r="B396" s="372"/>
      <c r="C396" s="181"/>
      <c r="D396" s="292"/>
      <c r="E396" s="292"/>
      <c r="F396" s="297"/>
      <c r="G396" s="294"/>
      <c r="H396" s="294"/>
      <c r="I396" s="294" t="s">
        <v>738</v>
      </c>
      <c r="J396" s="373"/>
      <c r="K396" s="373"/>
    </row>
    <row r="397">
      <c r="A397" s="291"/>
      <c r="B397" s="372"/>
      <c r="C397" s="181"/>
      <c r="D397" s="292"/>
      <c r="E397" s="292"/>
      <c r="F397" s="297"/>
      <c r="G397" s="294"/>
      <c r="H397" s="294"/>
      <c r="I397" s="294" t="s">
        <v>738</v>
      </c>
      <c r="J397" s="373"/>
      <c r="K397" s="373"/>
    </row>
    <row r="398">
      <c r="A398" s="291"/>
      <c r="B398" s="372"/>
      <c r="C398" s="181"/>
      <c r="D398" s="292"/>
      <c r="E398" s="292"/>
      <c r="F398" s="297"/>
      <c r="G398" s="294"/>
      <c r="H398" s="294"/>
      <c r="I398" s="294" t="s">
        <v>738</v>
      </c>
      <c r="J398" s="373"/>
      <c r="K398" s="373"/>
    </row>
    <row r="399">
      <c r="A399" s="291"/>
      <c r="B399" s="372"/>
      <c r="C399" s="181"/>
      <c r="D399" s="292"/>
      <c r="E399" s="292"/>
      <c r="F399" s="297"/>
      <c r="G399" s="294"/>
      <c r="H399" s="294"/>
      <c r="I399" s="294" t="s">
        <v>738</v>
      </c>
      <c r="J399" s="373"/>
      <c r="K399" s="373"/>
    </row>
    <row r="400">
      <c r="A400" s="291"/>
      <c r="B400" s="372"/>
      <c r="C400" s="181"/>
      <c r="D400" s="292"/>
      <c r="E400" s="292"/>
      <c r="F400" s="297"/>
      <c r="G400" s="294"/>
      <c r="H400" s="294"/>
      <c r="I400" s="294" t="s">
        <v>738</v>
      </c>
      <c r="J400" s="373"/>
      <c r="K400" s="373"/>
    </row>
    <row r="401">
      <c r="A401" s="291"/>
      <c r="B401" s="372"/>
      <c r="C401" s="181"/>
      <c r="D401" s="292"/>
      <c r="E401" s="292"/>
      <c r="F401" s="297"/>
      <c r="G401" s="294"/>
      <c r="H401" s="294"/>
      <c r="I401" s="294" t="s">
        <v>738</v>
      </c>
      <c r="J401" s="373"/>
      <c r="K401" s="373"/>
    </row>
    <row r="402">
      <c r="A402" s="291"/>
      <c r="B402" s="372"/>
      <c r="C402" s="181"/>
      <c r="D402" s="292"/>
      <c r="E402" s="292"/>
      <c r="F402" s="297"/>
      <c r="G402" s="294"/>
      <c r="H402" s="294"/>
      <c r="I402" s="294" t="s">
        <v>738</v>
      </c>
      <c r="J402" s="373"/>
      <c r="K402" s="373"/>
    </row>
    <row r="403">
      <c r="A403" s="291"/>
      <c r="B403" s="372"/>
      <c r="C403" s="181"/>
      <c r="D403" s="292"/>
      <c r="E403" s="292"/>
      <c r="F403" s="297"/>
      <c r="G403" s="294"/>
      <c r="H403" s="294"/>
      <c r="I403" s="294" t="s">
        <v>738</v>
      </c>
      <c r="J403" s="373"/>
      <c r="K403" s="373"/>
    </row>
    <row r="404">
      <c r="A404" s="291"/>
      <c r="B404" s="372"/>
      <c r="C404" s="181"/>
      <c r="D404" s="292"/>
      <c r="E404" s="292"/>
      <c r="F404" s="297"/>
      <c r="G404" s="294"/>
      <c r="H404" s="294"/>
      <c r="I404" s="294" t="s">
        <v>738</v>
      </c>
      <c r="J404" s="373"/>
      <c r="K404" s="373"/>
    </row>
    <row r="405">
      <c r="A405" s="291"/>
      <c r="B405" s="372"/>
      <c r="C405" s="181"/>
      <c r="D405" s="292"/>
      <c r="E405" s="292"/>
      <c r="F405" s="297"/>
      <c r="G405" s="294"/>
      <c r="H405" s="294"/>
      <c r="I405" s="294" t="s">
        <v>738</v>
      </c>
      <c r="J405" s="373"/>
      <c r="K405" s="373"/>
    </row>
    <row r="406">
      <c r="A406" s="291"/>
      <c r="B406" s="372"/>
      <c r="C406" s="181"/>
      <c r="D406" s="292"/>
      <c r="E406" s="292"/>
      <c r="F406" s="297"/>
      <c r="G406" s="294"/>
      <c r="H406" s="294"/>
      <c r="I406" s="294" t="s">
        <v>738</v>
      </c>
      <c r="J406" s="373"/>
      <c r="K406" s="373"/>
    </row>
    <row r="407">
      <c r="A407" s="291"/>
      <c r="B407" s="372"/>
      <c r="C407" s="181"/>
      <c r="D407" s="292"/>
      <c r="E407" s="292"/>
      <c r="F407" s="297"/>
      <c r="G407" s="294"/>
      <c r="H407" s="294"/>
      <c r="I407" s="294" t="s">
        <v>738</v>
      </c>
      <c r="J407" s="373"/>
      <c r="K407" s="373"/>
    </row>
    <row r="408">
      <c r="A408" s="291"/>
      <c r="B408" s="372"/>
      <c r="C408" s="181"/>
      <c r="D408" s="292"/>
      <c r="E408" s="292"/>
      <c r="F408" s="297"/>
      <c r="G408" s="294"/>
      <c r="H408" s="294"/>
      <c r="I408" s="294" t="s">
        <v>738</v>
      </c>
      <c r="J408" s="373"/>
      <c r="K408" s="373"/>
    </row>
    <row r="409">
      <c r="A409" s="291"/>
      <c r="B409" s="372"/>
      <c r="C409" s="181"/>
      <c r="D409" s="292"/>
      <c r="E409" s="292"/>
      <c r="F409" s="297"/>
      <c r="G409" s="294"/>
      <c r="H409" s="294"/>
      <c r="I409" s="294" t="s">
        <v>738</v>
      </c>
      <c r="J409" s="373"/>
      <c r="K409" s="373"/>
    </row>
    <row r="410">
      <c r="A410" s="291"/>
      <c r="B410" s="372"/>
      <c r="C410" s="181"/>
      <c r="D410" s="292"/>
      <c r="E410" s="292"/>
      <c r="F410" s="297"/>
      <c r="G410" s="294"/>
      <c r="H410" s="294"/>
      <c r="I410" s="294" t="s">
        <v>738</v>
      </c>
      <c r="J410" s="373"/>
      <c r="K410" s="373"/>
    </row>
    <row r="411">
      <c r="A411" s="291"/>
      <c r="B411" s="372"/>
      <c r="C411" s="181"/>
      <c r="D411" s="292"/>
      <c r="E411" s="292"/>
      <c r="F411" s="297"/>
      <c r="G411" s="294"/>
      <c r="H411" s="294"/>
      <c r="I411" s="294" t="s">
        <v>738</v>
      </c>
      <c r="J411" s="373"/>
      <c r="K411" s="373"/>
    </row>
    <row r="412">
      <c r="A412" s="291"/>
      <c r="B412" s="372"/>
      <c r="C412" s="181"/>
      <c r="D412" s="292"/>
      <c r="E412" s="292"/>
      <c r="F412" s="297"/>
      <c r="G412" s="294"/>
      <c r="H412" s="294"/>
      <c r="I412" s="294" t="s">
        <v>738</v>
      </c>
      <c r="J412" s="373"/>
      <c r="K412" s="373"/>
    </row>
    <row r="413">
      <c r="A413" s="291"/>
      <c r="B413" s="372"/>
      <c r="C413" s="181"/>
      <c r="D413" s="292"/>
      <c r="E413" s="292"/>
      <c r="F413" s="297"/>
      <c r="G413" s="294"/>
      <c r="H413" s="294"/>
      <c r="I413" s="294" t="s">
        <v>738</v>
      </c>
      <c r="J413" s="373"/>
      <c r="K413" s="373"/>
    </row>
    <row r="414">
      <c r="A414" s="291"/>
      <c r="B414" s="372"/>
      <c r="C414" s="181"/>
      <c r="D414" s="292"/>
      <c r="E414" s="292"/>
      <c r="F414" s="297"/>
      <c r="G414" s="294"/>
      <c r="H414" s="294"/>
      <c r="I414" s="294" t="s">
        <v>738</v>
      </c>
      <c r="J414" s="373"/>
      <c r="K414" s="373"/>
    </row>
    <row r="415">
      <c r="A415" s="291"/>
      <c r="B415" s="372"/>
      <c r="C415" s="181"/>
      <c r="D415" s="292"/>
      <c r="E415" s="292"/>
      <c r="F415" s="297"/>
      <c r="G415" s="294"/>
      <c r="H415" s="294"/>
      <c r="I415" s="294" t="s">
        <v>738</v>
      </c>
      <c r="J415" s="373"/>
      <c r="K415" s="373"/>
    </row>
    <row r="416">
      <c r="A416" s="291"/>
      <c r="B416" s="372"/>
      <c r="C416" s="181"/>
      <c r="D416" s="292"/>
      <c r="E416" s="292"/>
      <c r="F416" s="297"/>
      <c r="G416" s="294"/>
      <c r="H416" s="294"/>
      <c r="I416" s="294" t="s">
        <v>738</v>
      </c>
      <c r="J416" s="373"/>
      <c r="K416" s="373"/>
    </row>
    <row r="417">
      <c r="A417" s="291"/>
      <c r="B417" s="372"/>
      <c r="C417" s="181"/>
      <c r="D417" s="292"/>
      <c r="E417" s="292"/>
      <c r="F417" s="297"/>
      <c r="G417" s="294"/>
      <c r="H417" s="294"/>
      <c r="I417" s="294" t="s">
        <v>738</v>
      </c>
      <c r="J417" s="373"/>
      <c r="K417" s="373"/>
    </row>
    <row r="418">
      <c r="A418" s="291"/>
      <c r="B418" s="372"/>
      <c r="C418" s="181"/>
      <c r="D418" s="292"/>
      <c r="E418" s="292"/>
      <c r="F418" s="297"/>
      <c r="G418" s="294"/>
      <c r="H418" s="294"/>
      <c r="I418" s="294" t="s">
        <v>738</v>
      </c>
      <c r="J418" s="373"/>
      <c r="K418" s="373"/>
    </row>
    <row r="419">
      <c r="A419" s="291"/>
      <c r="B419" s="372"/>
      <c r="C419" s="181"/>
      <c r="D419" s="292"/>
      <c r="E419" s="292"/>
      <c r="F419" s="297"/>
      <c r="G419" s="294"/>
      <c r="H419" s="294"/>
      <c r="I419" s="294" t="s">
        <v>738</v>
      </c>
      <c r="J419" s="373"/>
      <c r="K419" s="373"/>
    </row>
    <row r="420">
      <c r="A420" s="291"/>
      <c r="B420" s="372"/>
      <c r="C420" s="181"/>
      <c r="D420" s="292"/>
      <c r="E420" s="292"/>
      <c r="F420" s="297"/>
      <c r="G420" s="294"/>
      <c r="H420" s="294"/>
      <c r="I420" s="294" t="s">
        <v>738</v>
      </c>
      <c r="J420" s="373"/>
      <c r="K420" s="373"/>
    </row>
    <row r="421">
      <c r="A421" s="291"/>
      <c r="B421" s="372"/>
      <c r="C421" s="181"/>
      <c r="D421" s="292"/>
      <c r="E421" s="292"/>
      <c r="F421" s="297"/>
      <c r="G421" s="294"/>
      <c r="H421" s="294"/>
      <c r="I421" s="294" t="s">
        <v>738</v>
      </c>
      <c r="J421" s="373"/>
      <c r="K421" s="373"/>
    </row>
    <row r="422">
      <c r="A422" s="291"/>
      <c r="B422" s="372"/>
      <c r="C422" s="181"/>
      <c r="D422" s="292"/>
      <c r="E422" s="292"/>
      <c r="F422" s="297"/>
      <c r="G422" s="294"/>
      <c r="H422" s="294"/>
      <c r="I422" s="294" t="s">
        <v>738</v>
      </c>
      <c r="J422" s="373"/>
      <c r="K422" s="373"/>
    </row>
    <row r="423">
      <c r="A423" s="291"/>
      <c r="B423" s="372"/>
      <c r="C423" s="181"/>
      <c r="D423" s="292"/>
      <c r="E423" s="292"/>
      <c r="F423" s="297"/>
      <c r="G423" s="294"/>
      <c r="H423" s="294"/>
      <c r="I423" s="294" t="s">
        <v>738</v>
      </c>
      <c r="J423" s="373"/>
      <c r="K423" s="373"/>
    </row>
    <row r="424">
      <c r="A424" s="291"/>
      <c r="B424" s="372"/>
      <c r="C424" s="181"/>
      <c r="D424" s="292"/>
      <c r="E424" s="292"/>
      <c r="F424" s="297"/>
      <c r="G424" s="294"/>
      <c r="H424" s="294"/>
      <c r="I424" s="294" t="s">
        <v>738</v>
      </c>
      <c r="J424" s="373"/>
      <c r="K424" s="373"/>
    </row>
    <row r="425">
      <c r="A425" s="291"/>
      <c r="B425" s="372"/>
      <c r="C425" s="181"/>
      <c r="D425" s="292"/>
      <c r="E425" s="292"/>
      <c r="F425" s="297"/>
      <c r="G425" s="294"/>
      <c r="H425" s="294"/>
      <c r="I425" s="294" t="s">
        <v>738</v>
      </c>
      <c r="J425" s="373"/>
      <c r="K425" s="373"/>
    </row>
    <row r="426">
      <c r="A426" s="291"/>
      <c r="B426" s="372"/>
      <c r="C426" s="181"/>
      <c r="D426" s="292"/>
      <c r="E426" s="292"/>
      <c r="F426" s="297"/>
      <c r="G426" s="294"/>
      <c r="H426" s="294"/>
      <c r="I426" s="294" t="s">
        <v>738</v>
      </c>
      <c r="J426" s="373"/>
      <c r="K426" s="373"/>
    </row>
    <row r="427">
      <c r="A427" s="291"/>
      <c r="B427" s="372"/>
      <c r="C427" s="181"/>
      <c r="D427" s="292"/>
      <c r="E427" s="292"/>
      <c r="F427" s="297"/>
      <c r="G427" s="294"/>
      <c r="H427" s="294"/>
      <c r="I427" s="294" t="s">
        <v>738</v>
      </c>
      <c r="J427" s="373"/>
      <c r="K427" s="373"/>
    </row>
    <row r="428">
      <c r="A428" s="291"/>
      <c r="B428" s="372"/>
      <c r="C428" s="181"/>
      <c r="D428" s="292"/>
      <c r="E428" s="292"/>
      <c r="F428" s="297"/>
      <c r="G428" s="294"/>
      <c r="H428" s="294"/>
      <c r="I428" s="294" t="s">
        <v>738</v>
      </c>
      <c r="J428" s="373"/>
      <c r="K428" s="373"/>
    </row>
    <row r="429">
      <c r="A429" s="291"/>
      <c r="B429" s="372"/>
      <c r="C429" s="181"/>
      <c r="D429" s="292"/>
      <c r="E429" s="292"/>
      <c r="F429" s="297"/>
      <c r="G429" s="294"/>
      <c r="H429" s="294"/>
      <c r="I429" s="294" t="s">
        <v>738</v>
      </c>
      <c r="J429" s="373"/>
      <c r="K429" s="373"/>
    </row>
    <row r="430">
      <c r="A430" s="291"/>
      <c r="B430" s="372"/>
      <c r="C430" s="181"/>
      <c r="D430" s="292"/>
      <c r="E430" s="292"/>
      <c r="F430" s="297"/>
      <c r="G430" s="294"/>
      <c r="H430" s="294"/>
      <c r="I430" s="294" t="s">
        <v>738</v>
      </c>
      <c r="J430" s="373"/>
      <c r="K430" s="373"/>
    </row>
    <row r="431">
      <c r="A431" s="291"/>
      <c r="B431" s="372"/>
      <c r="C431" s="181"/>
      <c r="D431" s="292"/>
      <c r="E431" s="292"/>
      <c r="F431" s="297"/>
      <c r="G431" s="294"/>
      <c r="H431" s="294"/>
      <c r="I431" s="294" t="s">
        <v>738</v>
      </c>
      <c r="J431" s="373"/>
      <c r="K431" s="373"/>
    </row>
    <row r="432">
      <c r="A432" s="291"/>
      <c r="B432" s="372"/>
      <c r="C432" s="181"/>
      <c r="D432" s="292"/>
      <c r="E432" s="292"/>
      <c r="F432" s="297"/>
      <c r="G432" s="294"/>
      <c r="H432" s="294"/>
      <c r="I432" s="294" t="s">
        <v>738</v>
      </c>
      <c r="J432" s="373"/>
      <c r="K432" s="373"/>
    </row>
    <row r="433">
      <c r="A433" s="291"/>
      <c r="B433" s="372"/>
      <c r="C433" s="181"/>
      <c r="D433" s="292"/>
      <c r="E433" s="292"/>
      <c r="F433" s="297"/>
      <c r="G433" s="294"/>
      <c r="H433" s="294"/>
      <c r="I433" s="294" t="s">
        <v>738</v>
      </c>
      <c r="J433" s="373"/>
      <c r="K433" s="373"/>
    </row>
    <row r="434">
      <c r="A434" s="291"/>
      <c r="B434" s="372"/>
      <c r="C434" s="181"/>
      <c r="D434" s="292"/>
      <c r="E434" s="292"/>
      <c r="F434" s="297"/>
      <c r="G434" s="294"/>
      <c r="H434" s="294"/>
      <c r="I434" s="294" t="s">
        <v>738</v>
      </c>
      <c r="J434" s="373"/>
      <c r="K434" s="373"/>
    </row>
    <row r="435">
      <c r="A435" s="291"/>
      <c r="B435" s="372"/>
      <c r="C435" s="181"/>
      <c r="D435" s="292"/>
      <c r="E435" s="292"/>
      <c r="F435" s="297"/>
      <c r="G435" s="294"/>
      <c r="H435" s="294"/>
      <c r="I435" s="294" t="s">
        <v>738</v>
      </c>
      <c r="J435" s="373"/>
      <c r="K435" s="373"/>
    </row>
    <row r="436">
      <c r="A436" s="291"/>
      <c r="B436" s="372"/>
      <c r="C436" s="181"/>
      <c r="D436" s="292"/>
      <c r="E436" s="292"/>
      <c r="F436" s="297"/>
      <c r="G436" s="294"/>
      <c r="H436" s="294"/>
      <c r="I436" s="294" t="s">
        <v>738</v>
      </c>
      <c r="J436" s="373"/>
      <c r="K436" s="373"/>
    </row>
    <row r="437">
      <c r="A437" s="291"/>
      <c r="B437" s="372"/>
      <c r="C437" s="181"/>
      <c r="D437" s="292"/>
      <c r="E437" s="292"/>
      <c r="F437" s="297"/>
      <c r="G437" s="294"/>
      <c r="H437" s="294"/>
      <c r="I437" s="294" t="s">
        <v>738</v>
      </c>
      <c r="J437" s="373"/>
      <c r="K437" s="373"/>
    </row>
    <row r="438">
      <c r="A438" s="291"/>
      <c r="B438" s="372"/>
      <c r="C438" s="181"/>
      <c r="D438" s="292"/>
      <c r="E438" s="292"/>
      <c r="F438" s="297"/>
      <c r="G438" s="294"/>
      <c r="H438" s="294"/>
      <c r="I438" s="294" t="s">
        <v>738</v>
      </c>
      <c r="J438" s="373"/>
      <c r="K438" s="373"/>
    </row>
    <row r="439">
      <c r="A439" s="291"/>
      <c r="B439" s="372"/>
      <c r="C439" s="181"/>
      <c r="D439" s="292"/>
      <c r="E439" s="292"/>
      <c r="F439" s="297"/>
      <c r="G439" s="294"/>
      <c r="H439" s="294"/>
      <c r="I439" s="294" t="s">
        <v>738</v>
      </c>
      <c r="J439" s="373"/>
      <c r="K439" s="373"/>
    </row>
    <row r="440">
      <c r="A440" s="291"/>
      <c r="B440" s="372"/>
      <c r="C440" s="181"/>
      <c r="D440" s="292"/>
      <c r="E440" s="292"/>
      <c r="F440" s="297"/>
      <c r="G440" s="294"/>
      <c r="H440" s="294"/>
      <c r="I440" s="294" t="s">
        <v>738</v>
      </c>
      <c r="J440" s="373"/>
      <c r="K440" s="373"/>
    </row>
    <row r="441">
      <c r="A441" s="291"/>
      <c r="B441" s="372"/>
      <c r="C441" s="181"/>
      <c r="D441" s="292"/>
      <c r="E441" s="292"/>
      <c r="F441" s="297"/>
      <c r="G441" s="294"/>
      <c r="H441" s="294"/>
      <c r="I441" s="294" t="s">
        <v>738</v>
      </c>
      <c r="J441" s="373"/>
      <c r="K441" s="373"/>
    </row>
    <row r="442">
      <c r="A442" s="291"/>
      <c r="B442" s="372"/>
      <c r="C442" s="181"/>
      <c r="D442" s="292"/>
      <c r="E442" s="292"/>
      <c r="F442" s="297"/>
      <c r="G442" s="294"/>
      <c r="H442" s="294"/>
      <c r="I442" s="294" t="s">
        <v>738</v>
      </c>
      <c r="J442" s="373"/>
      <c r="K442" s="373"/>
    </row>
    <row r="443">
      <c r="A443" s="291"/>
      <c r="B443" s="372"/>
      <c r="C443" s="181"/>
      <c r="D443" s="292"/>
      <c r="E443" s="292"/>
      <c r="F443" s="297"/>
      <c r="G443" s="294"/>
      <c r="H443" s="294"/>
      <c r="I443" s="294" t="s">
        <v>738</v>
      </c>
      <c r="J443" s="373"/>
      <c r="K443" s="373"/>
    </row>
    <row r="444">
      <c r="A444" s="291"/>
      <c r="B444" s="372"/>
      <c r="C444" s="181"/>
      <c r="D444" s="292"/>
      <c r="E444" s="292"/>
      <c r="F444" s="297"/>
      <c r="G444" s="294"/>
      <c r="H444" s="294"/>
      <c r="I444" s="294" t="s">
        <v>738</v>
      </c>
      <c r="J444" s="373"/>
      <c r="K444" s="373"/>
    </row>
    <row r="445">
      <c r="A445" s="291"/>
      <c r="B445" s="372"/>
      <c r="C445" s="181"/>
      <c r="D445" s="292"/>
      <c r="E445" s="292"/>
      <c r="F445" s="297"/>
      <c r="G445" s="294"/>
      <c r="H445" s="294"/>
      <c r="I445" s="294" t="s">
        <v>738</v>
      </c>
      <c r="J445" s="373"/>
      <c r="K445" s="373"/>
    </row>
    <row r="446">
      <c r="A446" s="291"/>
      <c r="B446" s="372"/>
      <c r="C446" s="181"/>
      <c r="D446" s="292"/>
      <c r="E446" s="292"/>
      <c r="F446" s="297"/>
      <c r="G446" s="294"/>
      <c r="H446" s="294"/>
      <c r="I446" s="294" t="s">
        <v>738</v>
      </c>
      <c r="J446" s="373"/>
      <c r="K446" s="373"/>
    </row>
    <row r="447">
      <c r="A447" s="291"/>
      <c r="B447" s="372"/>
      <c r="C447" s="181"/>
      <c r="D447" s="292"/>
      <c r="E447" s="292"/>
      <c r="F447" s="297"/>
      <c r="G447" s="294"/>
      <c r="H447" s="294"/>
      <c r="I447" s="294" t="s">
        <v>738</v>
      </c>
      <c r="J447" s="373"/>
      <c r="K447" s="373"/>
    </row>
    <row r="448">
      <c r="A448" s="291"/>
      <c r="B448" s="372"/>
      <c r="C448" s="181"/>
      <c r="D448" s="292"/>
      <c r="E448" s="292"/>
      <c r="F448" s="297"/>
      <c r="G448" s="294"/>
      <c r="H448" s="294"/>
      <c r="I448" s="294" t="s">
        <v>738</v>
      </c>
      <c r="J448" s="373"/>
      <c r="K448" s="373"/>
    </row>
    <row r="449">
      <c r="A449" s="291"/>
      <c r="B449" s="372"/>
      <c r="C449" s="181"/>
      <c r="D449" s="292"/>
      <c r="E449" s="292"/>
      <c r="F449" s="297"/>
      <c r="G449" s="294"/>
      <c r="H449" s="294"/>
      <c r="I449" s="294" t="s">
        <v>738</v>
      </c>
      <c r="J449" s="373"/>
      <c r="K449" s="373"/>
    </row>
    <row r="450">
      <c r="A450" s="291"/>
      <c r="B450" s="372"/>
      <c r="C450" s="181"/>
      <c r="D450" s="292"/>
      <c r="E450" s="292"/>
      <c r="F450" s="297"/>
      <c r="G450" s="294"/>
      <c r="H450" s="294"/>
      <c r="I450" s="294" t="s">
        <v>738</v>
      </c>
      <c r="J450" s="373"/>
      <c r="K450" s="373"/>
    </row>
    <row r="451">
      <c r="A451" s="291"/>
      <c r="B451" s="372"/>
      <c r="C451" s="181"/>
      <c r="D451" s="292"/>
      <c r="E451" s="292"/>
      <c r="F451" s="297"/>
      <c r="G451" s="294"/>
      <c r="H451" s="294"/>
      <c r="I451" s="294" t="s">
        <v>738</v>
      </c>
      <c r="J451" s="373"/>
      <c r="K451" s="373"/>
    </row>
    <row r="452">
      <c r="A452" s="291"/>
      <c r="B452" s="372"/>
      <c r="C452" s="181"/>
      <c r="D452" s="292"/>
      <c r="E452" s="292"/>
      <c r="F452" s="297"/>
      <c r="G452" s="294"/>
      <c r="H452" s="294"/>
      <c r="I452" s="294" t="s">
        <v>738</v>
      </c>
      <c r="J452" s="373"/>
      <c r="K452" s="373"/>
    </row>
    <row r="453">
      <c r="A453" s="291"/>
      <c r="B453" s="372"/>
      <c r="C453" s="181"/>
      <c r="D453" s="292"/>
      <c r="E453" s="292"/>
      <c r="F453" s="297"/>
      <c r="G453" s="294"/>
      <c r="H453" s="294"/>
      <c r="I453" s="294" t="s">
        <v>738</v>
      </c>
      <c r="J453" s="373"/>
      <c r="K453" s="373"/>
    </row>
    <row r="454">
      <c r="A454" s="291"/>
      <c r="B454" s="372"/>
      <c r="C454" s="181"/>
      <c r="D454" s="292"/>
      <c r="E454" s="292"/>
      <c r="F454" s="297"/>
      <c r="G454" s="294"/>
      <c r="H454" s="294"/>
      <c r="I454" s="294" t="s">
        <v>738</v>
      </c>
      <c r="J454" s="373"/>
      <c r="K454" s="373"/>
    </row>
    <row r="455">
      <c r="A455" s="291"/>
      <c r="B455" s="372"/>
      <c r="C455" s="181"/>
      <c r="D455" s="292"/>
      <c r="E455" s="292"/>
      <c r="F455" s="297"/>
      <c r="G455" s="294"/>
      <c r="H455" s="294"/>
      <c r="I455" s="294" t="s">
        <v>738</v>
      </c>
      <c r="J455" s="373"/>
      <c r="K455" s="373"/>
    </row>
    <row r="456">
      <c r="A456" s="291"/>
      <c r="B456" s="372"/>
      <c r="C456" s="181"/>
      <c r="D456" s="292"/>
      <c r="E456" s="292"/>
      <c r="F456" s="297"/>
      <c r="G456" s="294"/>
      <c r="H456" s="294"/>
      <c r="I456" s="294" t="s">
        <v>738</v>
      </c>
      <c r="J456" s="373"/>
      <c r="K456" s="373"/>
    </row>
    <row r="457">
      <c r="A457" s="291"/>
      <c r="B457" s="372"/>
      <c r="C457" s="181"/>
      <c r="D457" s="292"/>
      <c r="E457" s="292"/>
      <c r="F457" s="297"/>
      <c r="G457" s="294"/>
      <c r="H457" s="294"/>
      <c r="I457" s="294" t="s">
        <v>738</v>
      </c>
      <c r="J457" s="373"/>
      <c r="K457" s="373"/>
    </row>
    <row r="458">
      <c r="A458" s="291"/>
      <c r="B458" s="372"/>
      <c r="C458" s="181"/>
      <c r="D458" s="292"/>
      <c r="E458" s="292"/>
      <c r="F458" s="297"/>
      <c r="G458" s="294"/>
      <c r="H458" s="294"/>
      <c r="I458" s="294" t="s">
        <v>738</v>
      </c>
      <c r="J458" s="373"/>
      <c r="K458" s="373"/>
    </row>
    <row r="459">
      <c r="A459" s="291"/>
      <c r="B459" s="372"/>
      <c r="C459" s="181"/>
      <c r="D459" s="292"/>
      <c r="E459" s="292"/>
      <c r="F459" s="297"/>
      <c r="G459" s="294"/>
      <c r="H459" s="294"/>
      <c r="I459" s="294" t="s">
        <v>738</v>
      </c>
      <c r="J459" s="373"/>
      <c r="K459" s="373"/>
    </row>
    <row r="460">
      <c r="A460" s="291"/>
      <c r="B460" s="372"/>
      <c r="C460" s="181"/>
      <c r="D460" s="292"/>
      <c r="E460" s="292"/>
      <c r="F460" s="297"/>
      <c r="G460" s="294"/>
      <c r="H460" s="294"/>
      <c r="I460" s="294" t="s">
        <v>738</v>
      </c>
      <c r="J460" s="373"/>
      <c r="K460" s="373"/>
    </row>
    <row r="461">
      <c r="A461" s="291"/>
      <c r="B461" s="372"/>
      <c r="C461" s="181"/>
      <c r="D461" s="292"/>
      <c r="E461" s="292"/>
      <c r="F461" s="297"/>
      <c r="G461" s="294"/>
      <c r="H461" s="294"/>
      <c r="I461" s="294" t="s">
        <v>738</v>
      </c>
      <c r="J461" s="373"/>
      <c r="K461" s="373"/>
    </row>
    <row r="462">
      <c r="A462" s="291"/>
      <c r="B462" s="372"/>
      <c r="C462" s="181"/>
      <c r="D462" s="292"/>
      <c r="E462" s="292"/>
      <c r="F462" s="297"/>
      <c r="G462" s="294"/>
      <c r="H462" s="294"/>
      <c r="I462" s="294" t="s">
        <v>738</v>
      </c>
      <c r="J462" s="373"/>
      <c r="K462" s="373"/>
    </row>
    <row r="463">
      <c r="A463" s="291"/>
      <c r="B463" s="372"/>
      <c r="C463" s="181"/>
      <c r="D463" s="292"/>
      <c r="E463" s="292"/>
      <c r="F463" s="297"/>
      <c r="G463" s="294"/>
      <c r="H463" s="294"/>
      <c r="I463" s="294" t="s">
        <v>738</v>
      </c>
      <c r="J463" s="373"/>
      <c r="K463" s="373"/>
    </row>
    <row r="464">
      <c r="A464" s="291"/>
      <c r="B464" s="372"/>
      <c r="C464" s="181"/>
      <c r="D464" s="292"/>
      <c r="E464" s="292"/>
      <c r="F464" s="297"/>
      <c r="G464" s="294"/>
      <c r="H464" s="294"/>
      <c r="I464" s="294" t="s">
        <v>738</v>
      </c>
      <c r="J464" s="373"/>
      <c r="K464" s="373"/>
    </row>
    <row r="465">
      <c r="A465" s="291"/>
      <c r="B465" s="372"/>
      <c r="C465" s="181"/>
      <c r="D465" s="292"/>
      <c r="E465" s="292"/>
      <c r="F465" s="297"/>
      <c r="G465" s="294"/>
      <c r="H465" s="294"/>
      <c r="I465" s="294" t="s">
        <v>738</v>
      </c>
      <c r="J465" s="373"/>
      <c r="K465" s="373"/>
    </row>
    <row r="466">
      <c r="A466" s="291"/>
      <c r="B466" s="372"/>
      <c r="C466" s="181"/>
      <c r="D466" s="292"/>
      <c r="E466" s="292"/>
      <c r="F466" s="297"/>
      <c r="G466" s="294"/>
      <c r="H466" s="294"/>
      <c r="I466" s="294" t="s">
        <v>738</v>
      </c>
      <c r="J466" s="373"/>
      <c r="K466" s="373"/>
    </row>
    <row r="467">
      <c r="A467" s="291"/>
      <c r="B467" s="372"/>
      <c r="C467" s="181"/>
      <c r="D467" s="292"/>
      <c r="E467" s="292"/>
      <c r="F467" s="297"/>
      <c r="G467" s="294"/>
      <c r="H467" s="294"/>
      <c r="I467" s="294" t="s">
        <v>738</v>
      </c>
      <c r="J467" s="373"/>
      <c r="K467" s="373"/>
    </row>
    <row r="468">
      <c r="A468" s="291"/>
      <c r="B468" s="372"/>
      <c r="C468" s="181"/>
      <c r="D468" s="292"/>
      <c r="E468" s="292"/>
      <c r="F468" s="297"/>
      <c r="G468" s="294"/>
      <c r="H468" s="294"/>
      <c r="I468" s="294" t="s">
        <v>738</v>
      </c>
      <c r="J468" s="373"/>
      <c r="K468" s="373"/>
    </row>
    <row r="469">
      <c r="A469" s="291"/>
      <c r="B469" s="372"/>
      <c r="C469" s="181"/>
      <c r="D469" s="292"/>
      <c r="E469" s="292"/>
      <c r="F469" s="297"/>
      <c r="G469" s="294"/>
      <c r="H469" s="294"/>
      <c r="I469" s="294" t="s">
        <v>738</v>
      </c>
      <c r="J469" s="373"/>
      <c r="K469" s="373"/>
    </row>
    <row r="470">
      <c r="A470" s="291"/>
      <c r="B470" s="372"/>
      <c r="C470" s="181"/>
      <c r="D470" s="292"/>
      <c r="E470" s="292"/>
      <c r="F470" s="297"/>
      <c r="G470" s="294"/>
      <c r="H470" s="294"/>
      <c r="I470" s="294" t="s">
        <v>738</v>
      </c>
      <c r="J470" s="373"/>
      <c r="K470" s="373"/>
    </row>
    <row r="471">
      <c r="A471" s="291"/>
      <c r="B471" s="372"/>
      <c r="C471" s="181"/>
      <c r="D471" s="292"/>
      <c r="E471" s="292"/>
      <c r="F471" s="297"/>
      <c r="G471" s="294"/>
      <c r="H471" s="294"/>
      <c r="I471" s="294" t="s">
        <v>738</v>
      </c>
      <c r="J471" s="373"/>
      <c r="K471" s="373"/>
    </row>
    <row r="472">
      <c r="A472" s="291"/>
      <c r="B472" s="372"/>
      <c r="C472" s="181"/>
      <c r="D472" s="292"/>
      <c r="E472" s="292"/>
      <c r="F472" s="297"/>
      <c r="G472" s="294"/>
      <c r="H472" s="294"/>
      <c r="I472" s="294" t="s">
        <v>738</v>
      </c>
      <c r="J472" s="373"/>
      <c r="K472" s="373"/>
    </row>
    <row r="473">
      <c r="A473" s="291"/>
      <c r="B473" s="372"/>
      <c r="C473" s="181"/>
      <c r="D473" s="292"/>
      <c r="E473" s="292"/>
      <c r="F473" s="297"/>
      <c r="G473" s="294"/>
      <c r="H473" s="294"/>
      <c r="I473" s="294" t="s">
        <v>738</v>
      </c>
      <c r="J473" s="373"/>
      <c r="K473" s="373"/>
    </row>
    <row r="474">
      <c r="A474" s="291"/>
      <c r="B474" s="372"/>
      <c r="C474" s="181"/>
      <c r="D474" s="292"/>
      <c r="E474" s="292"/>
      <c r="F474" s="297"/>
      <c r="G474" s="294"/>
      <c r="H474" s="294"/>
      <c r="I474" s="294" t="s">
        <v>738</v>
      </c>
      <c r="J474" s="373"/>
      <c r="K474" s="373"/>
    </row>
    <row r="475">
      <c r="A475" s="291"/>
      <c r="B475" s="372"/>
      <c r="C475" s="181"/>
      <c r="D475" s="292"/>
      <c r="E475" s="292"/>
      <c r="F475" s="297"/>
      <c r="G475" s="294"/>
      <c r="H475" s="294"/>
      <c r="I475" s="294" t="s">
        <v>738</v>
      </c>
      <c r="J475" s="373"/>
      <c r="K475" s="373"/>
    </row>
    <row r="476">
      <c r="A476" s="291"/>
      <c r="B476" s="372"/>
      <c r="C476" s="181"/>
      <c r="D476" s="292"/>
      <c r="E476" s="292"/>
      <c r="F476" s="297"/>
      <c r="G476" s="294"/>
      <c r="H476" s="294"/>
      <c r="I476" s="294" t="s">
        <v>738</v>
      </c>
      <c r="J476" s="373"/>
      <c r="K476" s="373"/>
    </row>
    <row r="477">
      <c r="A477" s="291"/>
      <c r="B477" s="372"/>
      <c r="C477" s="181"/>
      <c r="D477" s="292"/>
      <c r="E477" s="292"/>
      <c r="F477" s="297"/>
      <c r="G477" s="294"/>
      <c r="H477" s="294"/>
      <c r="I477" s="294" t="s">
        <v>738</v>
      </c>
      <c r="J477" s="373"/>
      <c r="K477" s="373"/>
    </row>
    <row r="478">
      <c r="A478" s="291"/>
      <c r="B478" s="372"/>
      <c r="C478" s="181"/>
      <c r="D478" s="292"/>
      <c r="E478" s="292"/>
      <c r="F478" s="297"/>
      <c r="G478" s="294"/>
      <c r="H478" s="294"/>
      <c r="I478" s="294" t="s">
        <v>738</v>
      </c>
      <c r="J478" s="373"/>
      <c r="K478" s="373"/>
    </row>
    <row r="479">
      <c r="A479" s="291"/>
      <c r="B479" s="372"/>
      <c r="C479" s="181"/>
      <c r="D479" s="292"/>
      <c r="E479" s="292"/>
      <c r="F479" s="297"/>
      <c r="G479" s="294"/>
      <c r="H479" s="294"/>
      <c r="I479" s="294" t="s">
        <v>738</v>
      </c>
      <c r="J479" s="373"/>
      <c r="K479" s="373"/>
    </row>
    <row r="480">
      <c r="A480" s="291"/>
      <c r="B480" s="372"/>
      <c r="C480" s="181"/>
      <c r="D480" s="292"/>
      <c r="E480" s="292"/>
      <c r="F480" s="297"/>
      <c r="G480" s="294"/>
      <c r="H480" s="294"/>
      <c r="I480" s="294" t="s">
        <v>738</v>
      </c>
      <c r="J480" s="373"/>
      <c r="K480" s="373"/>
    </row>
    <row r="481">
      <c r="A481" s="291"/>
      <c r="B481" s="372"/>
      <c r="C481" s="181"/>
      <c r="D481" s="292"/>
      <c r="E481" s="292"/>
      <c r="F481" s="297"/>
      <c r="G481" s="294"/>
      <c r="H481" s="294"/>
      <c r="I481" s="294" t="s">
        <v>738</v>
      </c>
      <c r="J481" s="373"/>
      <c r="K481" s="373"/>
    </row>
    <row r="482">
      <c r="A482" s="291"/>
      <c r="B482" s="372"/>
      <c r="C482" s="181"/>
      <c r="D482" s="292"/>
      <c r="E482" s="292"/>
      <c r="F482" s="297"/>
      <c r="G482" s="294"/>
      <c r="H482" s="294"/>
      <c r="I482" s="294" t="s">
        <v>738</v>
      </c>
      <c r="J482" s="373"/>
      <c r="K482" s="373"/>
    </row>
    <row r="483">
      <c r="A483" s="291"/>
      <c r="B483" s="372"/>
      <c r="C483" s="181"/>
      <c r="D483" s="292"/>
      <c r="E483" s="292"/>
      <c r="F483" s="297"/>
      <c r="G483" s="294"/>
      <c r="H483" s="294"/>
      <c r="I483" s="294" t="s">
        <v>738</v>
      </c>
      <c r="J483" s="373"/>
      <c r="K483" s="373"/>
    </row>
    <row r="484">
      <c r="A484" s="291"/>
      <c r="B484" s="372"/>
      <c r="C484" s="181"/>
      <c r="D484" s="292"/>
      <c r="E484" s="292"/>
      <c r="F484" s="297"/>
      <c r="G484" s="294"/>
      <c r="H484" s="294"/>
      <c r="I484" s="294" t="s">
        <v>738</v>
      </c>
      <c r="J484" s="373"/>
      <c r="K484" s="373"/>
    </row>
    <row r="485">
      <c r="A485" s="291"/>
      <c r="B485" s="372"/>
      <c r="C485" s="181"/>
      <c r="D485" s="292"/>
      <c r="E485" s="292"/>
      <c r="F485" s="297"/>
      <c r="G485" s="294"/>
      <c r="H485" s="294"/>
      <c r="I485" s="294" t="s">
        <v>738</v>
      </c>
      <c r="J485" s="373"/>
      <c r="K485" s="373"/>
    </row>
    <row r="486">
      <c r="A486" s="291"/>
      <c r="B486" s="372"/>
      <c r="C486" s="181"/>
      <c r="D486" s="292"/>
      <c r="E486" s="292"/>
      <c r="F486" s="297"/>
      <c r="G486" s="294"/>
      <c r="H486" s="294"/>
      <c r="I486" s="294" t="s">
        <v>738</v>
      </c>
      <c r="J486" s="373"/>
      <c r="K486" s="373"/>
    </row>
    <row r="487">
      <c r="A487" s="291"/>
      <c r="B487" s="372"/>
      <c r="C487" s="181"/>
      <c r="D487" s="292"/>
      <c r="E487" s="292"/>
      <c r="F487" s="297"/>
      <c r="G487" s="294"/>
      <c r="H487" s="294"/>
      <c r="I487" s="294" t="s">
        <v>738</v>
      </c>
      <c r="J487" s="373"/>
      <c r="K487" s="373"/>
    </row>
    <row r="488">
      <c r="A488" s="291"/>
      <c r="B488" s="372"/>
      <c r="C488" s="181"/>
      <c r="D488" s="292"/>
      <c r="E488" s="292"/>
      <c r="F488" s="297"/>
      <c r="G488" s="294"/>
      <c r="H488" s="294"/>
      <c r="I488" s="294" t="s">
        <v>738</v>
      </c>
      <c r="J488" s="373"/>
      <c r="K488" s="373"/>
    </row>
    <row r="489">
      <c r="A489" s="291"/>
      <c r="B489" s="372"/>
      <c r="C489" s="181"/>
      <c r="D489" s="292"/>
      <c r="E489" s="292"/>
      <c r="F489" s="297"/>
      <c r="G489" s="294"/>
      <c r="H489" s="294"/>
      <c r="I489" s="294" t="s">
        <v>738</v>
      </c>
      <c r="J489" s="373"/>
      <c r="K489" s="373"/>
    </row>
    <row r="490">
      <c r="A490" s="291"/>
      <c r="B490" s="372"/>
      <c r="C490" s="181"/>
      <c r="D490" s="292"/>
      <c r="E490" s="292"/>
      <c r="F490" s="297"/>
      <c r="G490" s="294"/>
      <c r="H490" s="294"/>
      <c r="I490" s="294" t="s">
        <v>738</v>
      </c>
      <c r="J490" s="373"/>
      <c r="K490" s="373"/>
    </row>
    <row r="491">
      <c r="A491" s="291"/>
      <c r="B491" s="372"/>
      <c r="C491" s="181"/>
      <c r="D491" s="292"/>
      <c r="E491" s="292"/>
      <c r="F491" s="297"/>
      <c r="G491" s="294"/>
      <c r="H491" s="294"/>
      <c r="I491" s="294" t="s">
        <v>738</v>
      </c>
      <c r="J491" s="373"/>
      <c r="K491" s="373"/>
    </row>
    <row r="492">
      <c r="A492" s="291"/>
      <c r="B492" s="372"/>
      <c r="C492" s="181"/>
      <c r="D492" s="292"/>
      <c r="E492" s="292"/>
      <c r="F492" s="297"/>
      <c r="G492" s="294"/>
      <c r="H492" s="294"/>
      <c r="I492" s="294" t="s">
        <v>738</v>
      </c>
      <c r="J492" s="373"/>
      <c r="K492" s="373"/>
    </row>
    <row r="493">
      <c r="A493" s="291"/>
      <c r="B493" s="372"/>
      <c r="C493" s="181"/>
      <c r="D493" s="292"/>
      <c r="E493" s="292"/>
      <c r="F493" s="297"/>
      <c r="G493" s="294"/>
      <c r="H493" s="294"/>
      <c r="I493" s="294" t="s">
        <v>738</v>
      </c>
      <c r="J493" s="373"/>
      <c r="K493" s="373"/>
    </row>
    <row r="494">
      <c r="A494" s="291"/>
      <c r="B494" s="372"/>
      <c r="C494" s="181"/>
      <c r="D494" s="292"/>
      <c r="E494" s="292"/>
      <c r="F494" s="297"/>
      <c r="G494" s="294"/>
      <c r="H494" s="294"/>
      <c r="I494" s="294" t="s">
        <v>738</v>
      </c>
      <c r="J494" s="373"/>
      <c r="K494" s="373"/>
    </row>
    <row r="495">
      <c r="A495" s="291"/>
      <c r="B495" s="372"/>
      <c r="C495" s="181"/>
      <c r="D495" s="292"/>
      <c r="E495" s="292"/>
      <c r="F495" s="297"/>
      <c r="G495" s="294"/>
      <c r="H495" s="294"/>
      <c r="I495" s="294" t="s">
        <v>738</v>
      </c>
      <c r="J495" s="373"/>
      <c r="K495" s="373"/>
    </row>
    <row r="496">
      <c r="A496" s="291"/>
      <c r="B496" s="372"/>
      <c r="C496" s="181"/>
      <c r="D496" s="292"/>
      <c r="E496" s="292"/>
      <c r="F496" s="297"/>
      <c r="G496" s="294"/>
      <c r="H496" s="294"/>
      <c r="I496" s="294" t="s">
        <v>738</v>
      </c>
      <c r="J496" s="373"/>
      <c r="K496" s="373"/>
    </row>
    <row r="497">
      <c r="A497" s="291"/>
      <c r="B497" s="372"/>
      <c r="C497" s="181"/>
      <c r="D497" s="292"/>
      <c r="E497" s="292"/>
      <c r="F497" s="297"/>
      <c r="G497" s="294"/>
      <c r="H497" s="294"/>
      <c r="I497" s="294" t="s">
        <v>738</v>
      </c>
      <c r="J497" s="373"/>
      <c r="K497" s="373"/>
    </row>
    <row r="498">
      <c r="A498" s="291"/>
      <c r="B498" s="372"/>
      <c r="C498" s="181"/>
      <c r="D498" s="292"/>
      <c r="E498" s="292"/>
      <c r="F498" s="297"/>
      <c r="G498" s="294"/>
      <c r="H498" s="294"/>
      <c r="I498" s="294" t="s">
        <v>738</v>
      </c>
      <c r="J498" s="373"/>
      <c r="K498" s="373"/>
    </row>
    <row r="499">
      <c r="A499" s="291"/>
      <c r="B499" s="372"/>
      <c r="C499" s="181"/>
      <c r="D499" s="292"/>
      <c r="E499" s="292"/>
      <c r="F499" s="297"/>
      <c r="G499" s="294"/>
      <c r="H499" s="294"/>
      <c r="I499" s="294" t="s">
        <v>738</v>
      </c>
      <c r="J499" s="373"/>
      <c r="K499" s="373"/>
    </row>
    <row r="500">
      <c r="A500" s="291"/>
      <c r="B500" s="372"/>
      <c r="C500" s="181"/>
      <c r="D500" s="292"/>
      <c r="E500" s="292"/>
      <c r="F500" s="297"/>
      <c r="G500" s="294"/>
      <c r="H500" s="294"/>
      <c r="I500" s="294" t="s">
        <v>738</v>
      </c>
      <c r="J500" s="373"/>
      <c r="K500" s="373"/>
    </row>
    <row r="501">
      <c r="A501" s="291"/>
      <c r="B501" s="372"/>
      <c r="C501" s="181"/>
      <c r="D501" s="292"/>
      <c r="E501" s="292"/>
      <c r="F501" s="297"/>
      <c r="G501" s="294"/>
      <c r="H501" s="294"/>
      <c r="I501" s="294" t="s">
        <v>738</v>
      </c>
      <c r="J501" s="373"/>
      <c r="K501" s="373"/>
    </row>
    <row r="502">
      <c r="A502" s="291"/>
      <c r="B502" s="372"/>
      <c r="C502" s="181"/>
      <c r="D502" s="292"/>
      <c r="E502" s="292"/>
      <c r="F502" s="297"/>
      <c r="G502" s="294"/>
      <c r="H502" s="294"/>
      <c r="I502" s="294" t="s">
        <v>738</v>
      </c>
      <c r="J502" s="373"/>
      <c r="K502" s="373"/>
    </row>
    <row r="503">
      <c r="A503" s="291"/>
      <c r="B503" s="372"/>
      <c r="C503" s="181"/>
      <c r="D503" s="292"/>
      <c r="E503" s="292"/>
      <c r="F503" s="297"/>
      <c r="G503" s="294"/>
      <c r="H503" s="294"/>
      <c r="I503" s="294" t="s">
        <v>738</v>
      </c>
      <c r="J503" s="373"/>
      <c r="K503" s="373"/>
    </row>
    <row r="504">
      <c r="A504" s="291"/>
      <c r="B504" s="372"/>
      <c r="C504" s="181"/>
      <c r="D504" s="292"/>
      <c r="E504" s="292"/>
      <c r="F504" s="297"/>
      <c r="G504" s="294"/>
      <c r="H504" s="294"/>
      <c r="I504" s="294" t="s">
        <v>738</v>
      </c>
      <c r="J504" s="373"/>
      <c r="K504" s="373"/>
    </row>
    <row r="505">
      <c r="A505" s="291"/>
      <c r="B505" s="372"/>
      <c r="C505" s="181"/>
      <c r="D505" s="292"/>
      <c r="E505" s="292"/>
      <c r="F505" s="297"/>
      <c r="G505" s="294"/>
      <c r="H505" s="294"/>
      <c r="I505" s="294" t="s">
        <v>738</v>
      </c>
      <c r="J505" s="373"/>
      <c r="K505" s="373"/>
    </row>
    <row r="506">
      <c r="A506" s="291"/>
      <c r="B506" s="372"/>
      <c r="C506" s="181"/>
      <c r="D506" s="292"/>
      <c r="E506" s="292"/>
      <c r="F506" s="297"/>
      <c r="G506" s="294"/>
      <c r="H506" s="294"/>
      <c r="I506" s="294" t="s">
        <v>738</v>
      </c>
      <c r="J506" s="373"/>
      <c r="K506" s="373"/>
    </row>
    <row r="507">
      <c r="A507" s="291"/>
      <c r="B507" s="372"/>
      <c r="C507" s="181"/>
      <c r="D507" s="292"/>
      <c r="E507" s="292"/>
      <c r="F507" s="297"/>
      <c r="G507" s="294"/>
      <c r="H507" s="294"/>
      <c r="I507" s="294" t="s">
        <v>738</v>
      </c>
      <c r="J507" s="373"/>
      <c r="K507" s="373"/>
    </row>
    <row r="508">
      <c r="A508" s="291"/>
      <c r="B508" s="372"/>
      <c r="C508" s="181"/>
      <c r="D508" s="292"/>
      <c r="E508" s="292"/>
      <c r="F508" s="297"/>
      <c r="G508" s="294"/>
      <c r="H508" s="294"/>
      <c r="I508" s="294" t="s">
        <v>738</v>
      </c>
      <c r="J508" s="373"/>
      <c r="K508" s="373"/>
    </row>
    <row r="509">
      <c r="A509" s="291"/>
      <c r="B509" s="372"/>
      <c r="C509" s="181"/>
      <c r="D509" s="292"/>
      <c r="E509" s="292"/>
      <c r="F509" s="297"/>
      <c r="G509" s="294"/>
      <c r="H509" s="294"/>
      <c r="I509" s="294" t="s">
        <v>738</v>
      </c>
      <c r="J509" s="373"/>
      <c r="K509" s="373"/>
    </row>
    <row r="510">
      <c r="A510" s="291"/>
      <c r="B510" s="372"/>
      <c r="C510" s="181"/>
      <c r="D510" s="292"/>
      <c r="E510" s="292"/>
      <c r="F510" s="297"/>
      <c r="G510" s="294"/>
      <c r="H510" s="294"/>
      <c r="I510" s="294" t="s">
        <v>738</v>
      </c>
      <c r="J510" s="373"/>
      <c r="K510" s="373"/>
    </row>
    <row r="511">
      <c r="A511" s="291"/>
      <c r="B511" s="372"/>
      <c r="C511" s="181"/>
      <c r="D511" s="292"/>
      <c r="E511" s="292"/>
      <c r="F511" s="297"/>
      <c r="G511" s="294"/>
      <c r="H511" s="294"/>
      <c r="I511" s="294" t="s">
        <v>738</v>
      </c>
      <c r="J511" s="373"/>
      <c r="K511" s="373"/>
    </row>
    <row r="512">
      <c r="A512" s="291"/>
      <c r="B512" s="372"/>
      <c r="C512" s="181"/>
      <c r="D512" s="292"/>
      <c r="E512" s="292"/>
      <c r="F512" s="297"/>
      <c r="G512" s="294"/>
      <c r="H512" s="294"/>
      <c r="I512" s="294" t="s">
        <v>738</v>
      </c>
      <c r="J512" s="373"/>
      <c r="K512" s="373"/>
    </row>
    <row r="513">
      <c r="A513" s="291"/>
      <c r="B513" s="372"/>
      <c r="C513" s="181"/>
      <c r="D513" s="292"/>
      <c r="E513" s="292"/>
      <c r="F513" s="297"/>
      <c r="G513" s="294"/>
      <c r="H513" s="294"/>
      <c r="I513" s="294" t="s">
        <v>738</v>
      </c>
      <c r="J513" s="373"/>
      <c r="K513" s="373"/>
    </row>
    <row r="514">
      <c r="A514" s="291"/>
      <c r="B514" s="372"/>
      <c r="C514" s="181"/>
      <c r="D514" s="292"/>
      <c r="E514" s="292"/>
      <c r="F514" s="297"/>
      <c r="G514" s="294"/>
      <c r="H514" s="294"/>
      <c r="I514" s="294" t="s">
        <v>738</v>
      </c>
      <c r="J514" s="373"/>
      <c r="K514" s="373"/>
    </row>
    <row r="515">
      <c r="A515" s="291"/>
      <c r="B515" s="372"/>
      <c r="C515" s="181"/>
      <c r="D515" s="292"/>
      <c r="E515" s="292"/>
      <c r="F515" s="297"/>
      <c r="G515" s="294"/>
      <c r="H515" s="294"/>
      <c r="I515" s="294" t="s">
        <v>738</v>
      </c>
      <c r="J515" s="373"/>
      <c r="K515" s="373"/>
    </row>
    <row r="516">
      <c r="A516" s="291"/>
      <c r="B516" s="372"/>
      <c r="C516" s="181"/>
      <c r="D516" s="292"/>
      <c r="E516" s="292"/>
      <c r="F516" s="297"/>
      <c r="G516" s="294"/>
      <c r="H516" s="294"/>
      <c r="I516" s="294" t="s">
        <v>738</v>
      </c>
      <c r="J516" s="373"/>
      <c r="K516" s="373"/>
    </row>
    <row r="517">
      <c r="A517" s="291"/>
      <c r="B517" s="372"/>
      <c r="C517" s="181"/>
      <c r="D517" s="292"/>
      <c r="E517" s="292"/>
      <c r="F517" s="297"/>
      <c r="G517" s="294"/>
      <c r="H517" s="294"/>
      <c r="I517" s="294" t="s">
        <v>738</v>
      </c>
      <c r="J517" s="373"/>
      <c r="K517" s="373"/>
    </row>
    <row r="518">
      <c r="A518" s="291"/>
      <c r="B518" s="372"/>
      <c r="C518" s="181"/>
      <c r="D518" s="292"/>
      <c r="E518" s="292"/>
      <c r="F518" s="297"/>
      <c r="G518" s="294"/>
      <c r="H518" s="294"/>
      <c r="I518" s="294" t="s">
        <v>738</v>
      </c>
      <c r="J518" s="373"/>
      <c r="K518" s="373"/>
    </row>
    <row r="519">
      <c r="A519" s="291"/>
      <c r="B519" s="372"/>
      <c r="C519" s="181"/>
      <c r="D519" s="292"/>
      <c r="E519" s="292"/>
      <c r="F519" s="297"/>
      <c r="G519" s="294"/>
      <c r="H519" s="294"/>
      <c r="I519" s="294" t="s">
        <v>738</v>
      </c>
      <c r="J519" s="373"/>
      <c r="K519" s="373"/>
    </row>
    <row r="520">
      <c r="A520" s="291"/>
      <c r="B520" s="372"/>
      <c r="C520" s="181"/>
      <c r="D520" s="292"/>
      <c r="E520" s="292"/>
      <c r="F520" s="297"/>
      <c r="G520" s="294"/>
      <c r="H520" s="294"/>
      <c r="I520" s="294" t="s">
        <v>738</v>
      </c>
      <c r="J520" s="373"/>
      <c r="K520" s="373"/>
    </row>
    <row r="521">
      <c r="A521" s="291"/>
      <c r="B521" s="372"/>
      <c r="C521" s="181"/>
      <c r="D521" s="292"/>
      <c r="E521" s="292"/>
      <c r="F521" s="297"/>
      <c r="G521" s="294"/>
      <c r="H521" s="294"/>
      <c r="I521" s="294" t="s">
        <v>738</v>
      </c>
      <c r="J521" s="373"/>
      <c r="K521" s="373"/>
    </row>
    <row r="522">
      <c r="A522" s="291"/>
      <c r="B522" s="372"/>
      <c r="C522" s="181"/>
      <c r="D522" s="292"/>
      <c r="E522" s="292"/>
      <c r="F522" s="297"/>
      <c r="G522" s="294"/>
      <c r="H522" s="294"/>
      <c r="I522" s="294" t="s">
        <v>738</v>
      </c>
      <c r="J522" s="373"/>
      <c r="K522" s="373"/>
    </row>
    <row r="523">
      <c r="A523" s="291"/>
      <c r="B523" s="372"/>
      <c r="C523" s="181"/>
      <c r="D523" s="292"/>
      <c r="E523" s="292"/>
      <c r="F523" s="297"/>
      <c r="G523" s="294"/>
      <c r="H523" s="294"/>
      <c r="I523" s="294" t="s">
        <v>738</v>
      </c>
      <c r="J523" s="373"/>
      <c r="K523" s="373"/>
    </row>
    <row r="524">
      <c r="A524" s="291"/>
      <c r="B524" s="372"/>
      <c r="C524" s="181"/>
      <c r="D524" s="292"/>
      <c r="E524" s="292"/>
      <c r="F524" s="297"/>
      <c r="G524" s="294"/>
      <c r="H524" s="294"/>
      <c r="I524" s="294" t="s">
        <v>738</v>
      </c>
      <c r="J524" s="373"/>
      <c r="K524" s="373"/>
    </row>
    <row r="525">
      <c r="A525" s="291"/>
      <c r="B525" s="372"/>
      <c r="C525" s="181"/>
      <c r="D525" s="292"/>
      <c r="E525" s="292"/>
      <c r="F525" s="297"/>
      <c r="G525" s="294"/>
      <c r="H525" s="294"/>
      <c r="I525" s="294" t="s">
        <v>738</v>
      </c>
      <c r="J525" s="373"/>
      <c r="K525" s="373"/>
    </row>
    <row r="526">
      <c r="A526" s="291"/>
      <c r="B526" s="372"/>
      <c r="C526" s="181"/>
      <c r="D526" s="292"/>
      <c r="E526" s="292"/>
      <c r="F526" s="297"/>
      <c r="G526" s="294"/>
      <c r="H526" s="294"/>
      <c r="I526" s="294" t="s">
        <v>738</v>
      </c>
      <c r="J526" s="373"/>
      <c r="K526" s="373"/>
    </row>
    <row r="527">
      <c r="A527" s="291"/>
      <c r="B527" s="372"/>
      <c r="C527" s="181"/>
      <c r="D527" s="292"/>
      <c r="E527" s="292"/>
      <c r="F527" s="297"/>
      <c r="G527" s="294"/>
      <c r="H527" s="294"/>
      <c r="I527" s="294" t="s">
        <v>738</v>
      </c>
      <c r="J527" s="373"/>
      <c r="K527" s="373"/>
    </row>
    <row r="528">
      <c r="A528" s="291"/>
      <c r="B528" s="372"/>
      <c r="C528" s="181"/>
      <c r="D528" s="292"/>
      <c r="E528" s="292"/>
      <c r="F528" s="297"/>
      <c r="G528" s="294"/>
      <c r="H528" s="294"/>
      <c r="I528" s="294" t="s">
        <v>738</v>
      </c>
      <c r="J528" s="373"/>
      <c r="K528" s="373"/>
    </row>
    <row r="529">
      <c r="A529" s="291"/>
      <c r="B529" s="372"/>
      <c r="C529" s="181"/>
      <c r="D529" s="292"/>
      <c r="E529" s="292"/>
      <c r="F529" s="297"/>
      <c r="G529" s="294"/>
      <c r="H529" s="294"/>
      <c r="I529" s="294" t="s">
        <v>738</v>
      </c>
      <c r="J529" s="373"/>
      <c r="K529" s="373"/>
    </row>
    <row r="530">
      <c r="A530" s="291"/>
      <c r="B530" s="372"/>
      <c r="C530" s="181"/>
      <c r="D530" s="292"/>
      <c r="E530" s="292"/>
      <c r="F530" s="297"/>
      <c r="G530" s="294"/>
      <c r="H530" s="294"/>
      <c r="I530" s="294" t="s">
        <v>738</v>
      </c>
      <c r="J530" s="373"/>
      <c r="K530" s="373"/>
    </row>
    <row r="531">
      <c r="A531" s="291"/>
      <c r="B531" s="372"/>
      <c r="C531" s="181"/>
      <c r="D531" s="292"/>
      <c r="E531" s="292"/>
      <c r="F531" s="297"/>
      <c r="G531" s="294"/>
      <c r="H531" s="294"/>
      <c r="I531" s="294" t="s">
        <v>738</v>
      </c>
      <c r="J531" s="373"/>
      <c r="K531" s="373"/>
    </row>
    <row r="532">
      <c r="A532" s="291"/>
      <c r="B532" s="372"/>
      <c r="C532" s="181"/>
      <c r="D532" s="292"/>
      <c r="E532" s="292"/>
      <c r="F532" s="297"/>
      <c r="G532" s="294"/>
      <c r="H532" s="294"/>
      <c r="I532" s="294" t="s">
        <v>738</v>
      </c>
      <c r="J532" s="373"/>
      <c r="K532" s="373"/>
    </row>
    <row r="533">
      <c r="A533" s="291"/>
      <c r="B533" s="372"/>
      <c r="C533" s="181"/>
      <c r="D533" s="292"/>
      <c r="E533" s="292"/>
      <c r="F533" s="297"/>
      <c r="G533" s="294"/>
      <c r="H533" s="294"/>
      <c r="I533" s="294" t="s">
        <v>738</v>
      </c>
      <c r="J533" s="373"/>
      <c r="K533" s="373"/>
    </row>
    <row r="534">
      <c r="A534" s="291"/>
      <c r="B534" s="372"/>
      <c r="C534" s="181"/>
      <c r="D534" s="292"/>
      <c r="E534" s="292"/>
      <c r="F534" s="297"/>
      <c r="G534" s="294"/>
      <c r="H534" s="294"/>
      <c r="I534" s="294" t="s">
        <v>738</v>
      </c>
      <c r="J534" s="373"/>
      <c r="K534" s="373"/>
    </row>
    <row r="535">
      <c r="A535" s="291"/>
      <c r="B535" s="372"/>
      <c r="C535" s="181"/>
      <c r="D535" s="292"/>
      <c r="E535" s="292"/>
      <c r="F535" s="297"/>
      <c r="G535" s="294"/>
      <c r="H535" s="294"/>
      <c r="I535" s="294" t="s">
        <v>738</v>
      </c>
      <c r="J535" s="373"/>
      <c r="K535" s="373"/>
    </row>
    <row r="536">
      <c r="A536" s="291"/>
      <c r="B536" s="372"/>
      <c r="C536" s="181"/>
      <c r="D536" s="292"/>
      <c r="E536" s="292"/>
      <c r="F536" s="297"/>
      <c r="G536" s="294"/>
      <c r="H536" s="294"/>
      <c r="I536" s="294" t="s">
        <v>738</v>
      </c>
      <c r="J536" s="373"/>
      <c r="K536" s="373"/>
    </row>
    <row r="537">
      <c r="A537" s="291"/>
      <c r="B537" s="372"/>
      <c r="C537" s="181"/>
      <c r="D537" s="292"/>
      <c r="E537" s="292"/>
      <c r="F537" s="297"/>
      <c r="G537" s="294"/>
      <c r="H537" s="294"/>
      <c r="I537" s="294" t="s">
        <v>738</v>
      </c>
      <c r="J537" s="373"/>
      <c r="K537" s="373"/>
    </row>
    <row r="538">
      <c r="A538" s="291"/>
      <c r="B538" s="372"/>
      <c r="C538" s="181"/>
      <c r="D538" s="292"/>
      <c r="E538" s="292"/>
      <c r="F538" s="297"/>
      <c r="G538" s="294"/>
      <c r="H538" s="294"/>
      <c r="I538" s="294" t="s">
        <v>738</v>
      </c>
      <c r="J538" s="373"/>
      <c r="K538" s="373"/>
    </row>
    <row r="539">
      <c r="A539" s="291"/>
      <c r="B539" s="372"/>
      <c r="C539" s="181"/>
      <c r="D539" s="292"/>
      <c r="E539" s="292"/>
      <c r="F539" s="297"/>
      <c r="G539" s="294"/>
      <c r="H539" s="294"/>
      <c r="I539" s="294" t="s">
        <v>738</v>
      </c>
      <c r="J539" s="373"/>
      <c r="K539" s="373"/>
    </row>
    <row r="540">
      <c r="A540" s="291"/>
      <c r="B540" s="372"/>
      <c r="C540" s="181"/>
      <c r="D540" s="292"/>
      <c r="E540" s="292"/>
      <c r="F540" s="297"/>
      <c r="G540" s="294"/>
      <c r="H540" s="294"/>
      <c r="I540" s="294" t="s">
        <v>738</v>
      </c>
      <c r="J540" s="373"/>
      <c r="K540" s="373"/>
    </row>
    <row r="541">
      <c r="A541" s="291"/>
      <c r="B541" s="372"/>
      <c r="C541" s="181"/>
      <c r="D541" s="292"/>
      <c r="E541" s="292"/>
      <c r="F541" s="297"/>
      <c r="G541" s="294"/>
      <c r="H541" s="294"/>
      <c r="I541" s="294" t="s">
        <v>738</v>
      </c>
      <c r="J541" s="373"/>
      <c r="K541" s="373"/>
    </row>
    <row r="542">
      <c r="A542" s="291"/>
      <c r="B542" s="372"/>
      <c r="C542" s="181"/>
      <c r="D542" s="292"/>
      <c r="E542" s="292"/>
      <c r="F542" s="297"/>
      <c r="G542" s="294"/>
      <c r="H542" s="294"/>
      <c r="I542" s="294" t="s">
        <v>738</v>
      </c>
      <c r="J542" s="373"/>
      <c r="K542" s="373"/>
    </row>
    <row r="543">
      <c r="A543" s="291"/>
      <c r="B543" s="372"/>
      <c r="C543" s="181"/>
      <c r="D543" s="292"/>
      <c r="E543" s="292"/>
      <c r="F543" s="297"/>
      <c r="G543" s="294"/>
      <c r="H543" s="294"/>
      <c r="I543" s="294" t="s">
        <v>738</v>
      </c>
      <c r="J543" s="373"/>
      <c r="K543" s="373"/>
    </row>
  </sheetData>
  <autoFilter ref="$A$1:$K$543"/>
  <dataValidations>
    <dataValidation type="list" allowBlank="1" sqref="J2:J6 J7:K8 J9 J10:K13 J14:J543">
      <formula1>"OK,FALTA"</formula1>
    </dataValidation>
  </dataValidations>
  <printOptions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1.0" topLeftCell="E2" activePane="bottomRight" state="frozen"/>
      <selection activeCell="E1" sqref="E1" pane="topRight"/>
      <selection activeCell="A2" sqref="A2" pane="bottomLeft"/>
      <selection activeCell="E2" sqref="E2" pane="bottomRight"/>
    </sheetView>
  </sheetViews>
  <sheetFormatPr customHeight="1" defaultColWidth="12.63" defaultRowHeight="15.75"/>
  <cols>
    <col customWidth="1" min="3" max="3" width="25.0"/>
    <col customWidth="1" min="4" max="4" width="26.0"/>
    <col customWidth="1" min="5" max="5" width="23.38"/>
    <col customWidth="1" min="6" max="6" width="17.88"/>
    <col customWidth="1" min="10" max="10" width="22.25"/>
    <col customWidth="1" min="11" max="11" width="16.25"/>
    <col customWidth="1" min="12" max="12" width="18.5"/>
    <col customWidth="1" min="16" max="16" width="34.13"/>
    <col customWidth="1" min="17" max="17" width="25.13"/>
    <col customWidth="1" min="18" max="18" width="20.13"/>
  </cols>
  <sheetData>
    <row r="1">
      <c r="A1" s="173" t="s">
        <v>534</v>
      </c>
      <c r="B1" s="173" t="s">
        <v>535</v>
      </c>
      <c r="C1" s="174" t="s">
        <v>536</v>
      </c>
      <c r="D1" s="174" t="s">
        <v>537</v>
      </c>
      <c r="E1" s="175" t="s">
        <v>538</v>
      </c>
      <c r="F1" s="173" t="s">
        <v>539</v>
      </c>
      <c r="G1" s="176" t="s">
        <v>540</v>
      </c>
      <c r="H1" s="177" t="s">
        <v>541</v>
      </c>
      <c r="I1" s="173" t="s">
        <v>103</v>
      </c>
      <c r="J1" s="178" t="s">
        <v>542</v>
      </c>
      <c r="K1" s="173" t="s">
        <v>105</v>
      </c>
      <c r="L1" s="173" t="s">
        <v>106</v>
      </c>
      <c r="M1" s="173" t="s">
        <v>543</v>
      </c>
      <c r="N1" s="173" t="s">
        <v>544</v>
      </c>
      <c r="O1" s="173" t="s">
        <v>545</v>
      </c>
      <c r="P1" s="175" t="s">
        <v>546</v>
      </c>
      <c r="Q1" s="176" t="s">
        <v>547</v>
      </c>
      <c r="R1" s="179" t="s">
        <v>548</v>
      </c>
    </row>
    <row r="2" hidden="1">
      <c r="A2" s="180" t="str">
        <f>IFERROR(__xludf.DUMMYFUNCTION("QUERY('Base de Dados'!3:67,""SELECT 'TRT12', I, CZ, DA, DB, DC, AG, A, DD, DE, DF, DG, AE, BT, AT, D, DH, BC WHERE BD = 'Sim' ORDER BY C"",0)"),"""TRT12""()")</f>
        <v>"TRT12"()</v>
      </c>
      <c r="B2" s="180" t="str">
        <f>IFERROR(__xludf.DUMMYFUNCTION("""COMPUTED_VALUE"""),"")</f>
        <v/>
      </c>
      <c r="C2" s="181" t="str">
        <f>IFERROR(__xludf.DUMMYFUNCTION("""COMPUTED_VALUE"""),"")</f>
        <v/>
      </c>
      <c r="D2" s="181" t="str">
        <f>IFERROR(__xludf.DUMMYFUNCTION("""COMPUTED_VALUE"""),"")</f>
        <v/>
      </c>
      <c r="E2" s="182" t="str">
        <f>IFERROR(__xludf.DUMMYFUNCTION("""COMPUTED_VALUE"""),"")</f>
        <v/>
      </c>
      <c r="F2" s="180" t="str">
        <f>IFERROR(__xludf.DUMMYFUNCTION("""COMPUTED_VALUE"""),"")</f>
        <v/>
      </c>
      <c r="G2" s="183" t="str">
        <f>IFERROR(__xludf.DUMMYFUNCTION("""COMPUTED_VALUE"""),"")</f>
        <v/>
      </c>
      <c r="H2" s="184" t="str">
        <f>IFERROR(__xludf.DUMMYFUNCTION("""COMPUTED_VALUE"""),"")</f>
        <v/>
      </c>
      <c r="I2" s="180" t="str">
        <f>IFERROR(__xludf.DUMMYFUNCTION("""COMPUTED_VALUE"""),"")</f>
        <v/>
      </c>
      <c r="J2" s="185" t="str">
        <f>IFERROR(__xludf.DUMMYFUNCTION("""COMPUTED_VALUE"""),"")</f>
        <v/>
      </c>
      <c r="K2" s="180" t="str">
        <f>IFERROR(__xludf.DUMMYFUNCTION("""COMPUTED_VALUE"""),"")</f>
        <v/>
      </c>
      <c r="L2" s="180" t="str">
        <f>IFERROR(__xludf.DUMMYFUNCTION("""COMPUTED_VALUE"""),"")</f>
        <v/>
      </c>
      <c r="M2" s="180" t="str">
        <f>IFERROR(__xludf.DUMMYFUNCTION("""COMPUTED_VALUE"""),"")</f>
        <v/>
      </c>
      <c r="N2" s="180" t="str">
        <f>IFERROR(__xludf.DUMMYFUNCTION("""COMPUTED_VALUE"""),"")</f>
        <v/>
      </c>
      <c r="O2" s="180" t="str">
        <f>IFERROR(__xludf.DUMMYFUNCTION("""COMPUTED_VALUE"""),"")</f>
        <v/>
      </c>
      <c r="P2" s="182" t="str">
        <f>IFERROR(__xludf.DUMMYFUNCTION("""COMPUTED_VALUE"""),"")</f>
        <v/>
      </c>
      <c r="Q2" s="183" t="str">
        <f>IFERROR(__xludf.DUMMYFUNCTION("""COMPUTED_VALUE"""),"")</f>
        <v/>
      </c>
      <c r="R2" s="186" t="str">
        <f>IFERROR(__xludf.DUMMYFUNCTION("""COMPUTED_VALUE"""),"")</f>
        <v/>
      </c>
    </row>
    <row r="3">
      <c r="A3" s="180" t="str">
        <f>IFERROR(__xludf.DUMMYFUNCTION("""COMPUTED_VALUE"""),"TRT12")</f>
        <v>TRT12</v>
      </c>
      <c r="B3" s="180" t="str">
        <f>IFERROR(__xludf.DUMMYFUNCTION("""COMPUTED_VALUE"""),"EJUD SECOM")</f>
        <v>EJUD SECOM</v>
      </c>
      <c r="C3" s="181" t="str">
        <f>IFERROR(__xludf.DUMMYFUNCTION("""COMPUTED_VALUE"""),"ADOBE LICENÇAS ")</f>
        <v>ADOBE LICENÇAS </v>
      </c>
      <c r="D3" s="181" t="str">
        <f>IFERROR(__xludf.DUMMYFUNCTION("""COMPUTED_VALUE"""),"Manutenção da LICENÇA DE SOFTWARE PACOTE ADOBEEJUD e SECOM (para 3 anos)")</f>
        <v>Manutenção da LICENÇA DE SOFTWARE PACOTE ADOBEEJUD e SECOM (para 3 anos)</v>
      </c>
      <c r="E3" s="181" t="str">
        <f>IFERROR(__xludf.DUMMYFUNCTION("""COMPUTED_VALUE"""),"Outro")</f>
        <v>Outro</v>
      </c>
      <c r="F3" s="180" t="str">
        <f>IFERROR(__xludf.DUMMYFUNCTION("""COMPUTED_VALUE"""),"Serviço")</f>
        <v>Serviço</v>
      </c>
      <c r="G3" s="187">
        <f>IFERROR(__xludf.DUMMYFUNCTION("""COMPUTED_VALUE"""),4.0)</f>
        <v>4</v>
      </c>
      <c r="H3" s="188">
        <f>IFERROR(__xludf.DUMMYFUNCTION("""COMPUTED_VALUE"""),15166.0)</f>
        <v>15166</v>
      </c>
      <c r="I3" s="180" t="str">
        <f>IFERROR(__xludf.DUMMYFUNCTION("""COMPUTED_VALUE"""),"Custeio")</f>
        <v>Custeio</v>
      </c>
      <c r="J3" s="185" t="str">
        <f>IFERROR(__xludf.DUMMYFUNCTION("""COMPUTED_VALUE"""),"Pregão eletrônico")</f>
        <v>Pregão eletrônico</v>
      </c>
      <c r="K3" s="180" t="str">
        <f>IFERROR(__xludf.DUMMYFUNCTION("""COMPUTED_VALUE"""),"Sim")</f>
        <v>Sim</v>
      </c>
      <c r="L3" s="180" t="str">
        <f>IFERROR(__xludf.DUMMYFUNCTION("""COMPUTED_VALUE"""),"Nova contratação")</f>
        <v>Nova contratação</v>
      </c>
      <c r="M3" s="189">
        <f>IFERROR(__xludf.DUMMYFUNCTION("""COMPUTED_VALUE"""),44581.0)</f>
        <v>44581</v>
      </c>
      <c r="N3" s="190">
        <f>IFERROR(__xludf.DUMMYFUNCTION("""COMPUTED_VALUE"""),59760.0)</f>
        <v>59760</v>
      </c>
      <c r="O3" s="190">
        <f>IFERROR(__xludf.DUMMYFUNCTION("""COMPUTED_VALUE"""),59760.0)</f>
        <v>59760</v>
      </c>
      <c r="P3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3" s="191"/>
      <c r="R3" s="192">
        <f>IFERROR(__xludf.DUMMYFUNCTION("""COMPUTED_VALUE"""),1.51132022236935E14)</f>
        <v>151132022236935</v>
      </c>
    </row>
    <row r="4">
      <c r="A4" s="180" t="str">
        <f>IFERROR(__xludf.DUMMYFUNCTION("""COMPUTED_VALUE"""),"TRT12")</f>
        <v>TRT12</v>
      </c>
      <c r="B4" s="180" t="str">
        <f>IFERROR(__xludf.DUMMYFUNCTION("""COMPUTED_VALUE"""),"SETIC")</f>
        <v>SETIC</v>
      </c>
      <c r="C4" s="181" t="str">
        <f>IFERROR(__xludf.DUMMYFUNCTION("""COMPUTED_VALUE"""),"ASSYST ")</f>
        <v>ASSYST </v>
      </c>
      <c r="D4" s="181" t="str">
        <f>IFERROR(__xludf.DUMMYFUNCTION("""COMPUTED_VALUE"""),"Contratação de suporte e atualização de licenças da solução de gerenciamento de serviços e registro de chamadas de TIC (2022)")</f>
        <v>Contratação de suporte e atualização de licenças da solução de gerenciamento de serviços e registro de chamadas de TIC (2022)</v>
      </c>
      <c r="E4" s="181" t="str">
        <f>IFERROR(__xludf.DUMMYFUNCTION("""COMPUTED_VALUE"""),"Serviço de Suporte de Software")</f>
        <v>Serviço de Suporte de Software</v>
      </c>
      <c r="F4" s="180" t="str">
        <f>IFERROR(__xludf.DUMMYFUNCTION("""COMPUTED_VALUE"""),"Serviço")</f>
        <v>Serviço</v>
      </c>
      <c r="G4" s="187">
        <f>IFERROR(__xludf.DUMMYFUNCTION("""COMPUTED_VALUE"""),1.0)</f>
        <v>1</v>
      </c>
      <c r="H4" s="188">
        <f>IFERROR(__xludf.DUMMYFUNCTION("""COMPUTED_VALUE"""),15389.0)</f>
        <v>15389</v>
      </c>
      <c r="I4" s="180" t="str">
        <f>IFERROR(__xludf.DUMMYFUNCTION("""COMPUTED_VALUE"""),"Custeio")</f>
        <v>Custeio</v>
      </c>
      <c r="J4" s="185" t="str">
        <f>IFERROR(__xludf.DUMMYFUNCTION("""COMPUTED_VALUE"""),"Pregão eletrônico")</f>
        <v>Pregão eletrônico</v>
      </c>
      <c r="K4" s="180" t="str">
        <f>IFERROR(__xludf.DUMMYFUNCTION("""COMPUTED_VALUE"""),"Sim")</f>
        <v>Sim</v>
      </c>
      <c r="L4" s="180" t="str">
        <f>IFERROR(__xludf.DUMMYFUNCTION("""COMPUTED_VALUE"""),"Nova contratação")</f>
        <v>Nova contratação</v>
      </c>
      <c r="M4" s="189">
        <f>IFERROR(__xludf.DUMMYFUNCTION("""COMPUTED_VALUE"""),44738.0)</f>
        <v>44738</v>
      </c>
      <c r="N4" s="190">
        <f>IFERROR(__xludf.DUMMYFUNCTION("""COMPUTED_VALUE"""),94869.0)</f>
        <v>94869</v>
      </c>
      <c r="O4" s="190">
        <f>IFERROR(__xludf.DUMMYFUNCTION("""COMPUTED_VALUE"""),48752.125)</f>
        <v>48752.125</v>
      </c>
      <c r="P4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4" s="191"/>
      <c r="R4" s="192">
        <f>IFERROR(__xludf.DUMMYFUNCTION("""COMPUTED_VALUE"""),1.51132022236939E14)</f>
        <v>151132022236939</v>
      </c>
    </row>
    <row r="5">
      <c r="A5" s="180" t="str">
        <f>IFERROR(__xludf.DUMMYFUNCTION("""COMPUTED_VALUE"""),"TRT12")</f>
        <v>TRT12</v>
      </c>
      <c r="B5" s="180" t="str">
        <f>IFERROR(__xludf.DUMMYFUNCTION("""COMPUTED_VALUE"""),"SETIC")</f>
        <v>SETIC</v>
      </c>
      <c r="C5" s="181" t="str">
        <f>IFERROR(__xludf.DUMMYFUNCTION("""COMPUTED_VALUE"""),"AUDIÊNCIAS ZOOM ")</f>
        <v>AUDIÊNCIAS ZOOM </v>
      </c>
      <c r="D5" s="181" t="str">
        <f>IFERROR(__xludf.DUMMYFUNCTION("""COMPUTED_VALUE"""),"Viabilizar a continuidade de audiências, sessões e reuniões por meio de videoconferências (Zoom)")</f>
        <v>Viabilizar a continuidade de audiências, sessões e reuniões por meio de videoconferências (Zoom)</v>
      </c>
      <c r="E5" s="181" t="str">
        <f>IFERROR(__xludf.DUMMYFUNCTION("""COMPUTED_VALUE"""),"Outro")</f>
        <v>Outro</v>
      </c>
      <c r="F5" s="180" t="str">
        <f>IFERROR(__xludf.DUMMYFUNCTION("""COMPUTED_VALUE"""),"Serviço")</f>
        <v>Serviço</v>
      </c>
      <c r="G5" s="187">
        <f>IFERROR(__xludf.DUMMYFUNCTION("""COMPUTED_VALUE"""),200.0)</f>
        <v>200</v>
      </c>
      <c r="H5" s="188">
        <f>IFERROR(__xludf.DUMMYFUNCTION("""COMPUTED_VALUE"""),15353.0)</f>
        <v>15353</v>
      </c>
      <c r="I5" s="180" t="str">
        <f>IFERROR(__xludf.DUMMYFUNCTION("""COMPUTED_VALUE"""),"Custeio")</f>
        <v>Custeio</v>
      </c>
      <c r="J5" s="185" t="str">
        <f>IFERROR(__xludf.DUMMYFUNCTION("""COMPUTED_VALUE"""),"Pregão eletrônico")</f>
        <v>Pregão eletrônico</v>
      </c>
      <c r="K5" s="180" t="str">
        <f>IFERROR(__xludf.DUMMYFUNCTION("""COMPUTED_VALUE"""),"Sim")</f>
        <v>Sim</v>
      </c>
      <c r="L5" s="180" t="str">
        <f>IFERROR(__xludf.DUMMYFUNCTION("""COMPUTED_VALUE"""),"Prorrogação contratual")</f>
        <v>Prorrogação contratual</v>
      </c>
      <c r="M5" s="189">
        <f>IFERROR(__xludf.DUMMYFUNCTION("""COMPUTED_VALUE"""),44651.0)</f>
        <v>44651</v>
      </c>
      <c r="N5" s="190">
        <f>IFERROR(__xludf.DUMMYFUNCTION("""COMPUTED_VALUE"""),55999.92)</f>
        <v>55999.92</v>
      </c>
      <c r="O5" s="190">
        <f>IFERROR(__xludf.DUMMYFUNCTION("""COMPUTED_VALUE"""),55999.92)</f>
        <v>55999.92</v>
      </c>
      <c r="P5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5" s="191"/>
      <c r="R5" s="192">
        <f>IFERROR(__xludf.DUMMYFUNCTION("""COMPUTED_VALUE"""),1.51132022236918E14)</f>
        <v>151132022236918</v>
      </c>
    </row>
    <row r="6">
      <c r="A6" s="180" t="str">
        <f>IFERROR(__xludf.DUMMYFUNCTION("""COMPUTED_VALUE"""),"TRT12")</f>
        <v>TRT12</v>
      </c>
      <c r="B6" s="180" t="str">
        <f>IFERROR(__xludf.DUMMYFUNCTION("""COMPUTED_VALUE"""),"SPO")</f>
        <v>SPO</v>
      </c>
      <c r="C6" s="181" t="str">
        <f>IFERROR(__xludf.DUMMYFUNCTION("""COMPUTED_VALUE"""),"AUTOCAD LICENÇAS ")</f>
        <v>AUTOCAD LICENÇAS </v>
      </c>
      <c r="D6" s="181" t="str">
        <f>IFERROR(__xludf.DUMMYFUNCTION("""COMPUTED_VALUE"""),"Contratação/prorrogação de licanças de Autodesk AutoCAD Revit Suite")</f>
        <v>Contratação/prorrogação de licanças de Autodesk AutoCAD Revit Suite</v>
      </c>
      <c r="E6" s="181" t="str">
        <f>IFERROR(__xludf.DUMMYFUNCTION("""COMPUTED_VALUE"""),"Outro")</f>
        <v>Outro</v>
      </c>
      <c r="F6" s="180" t="str">
        <f>IFERROR(__xludf.DUMMYFUNCTION("""COMPUTED_VALUE"""),"Serviço")</f>
        <v>Serviço</v>
      </c>
      <c r="G6" s="187">
        <f>IFERROR(__xludf.DUMMYFUNCTION("""COMPUTED_VALUE"""),2.0)</f>
        <v>2</v>
      </c>
      <c r="H6" s="188">
        <f>IFERROR(__xludf.DUMMYFUNCTION("""COMPUTED_VALUE"""),15306.0)</f>
        <v>15306</v>
      </c>
      <c r="I6" s="180" t="str">
        <f>IFERROR(__xludf.DUMMYFUNCTION("""COMPUTED_VALUE"""),"Custeio")</f>
        <v>Custeio</v>
      </c>
      <c r="J6" s="185" t="str">
        <f>IFERROR(__xludf.DUMMYFUNCTION("""COMPUTED_VALUE"""),"Pregão eletrônico")</f>
        <v>Pregão eletrônico</v>
      </c>
      <c r="K6" s="180" t="str">
        <f>IFERROR(__xludf.DUMMYFUNCTION("""COMPUTED_VALUE"""),"Não")</f>
        <v>Não</v>
      </c>
      <c r="L6" s="180" t="str">
        <f>IFERROR(__xludf.DUMMYFUNCTION("""COMPUTED_VALUE"""),"Nova contratação")</f>
        <v>Nova contratação</v>
      </c>
      <c r="M6" s="189">
        <f>IFERROR(__xludf.DUMMYFUNCTION("""COMPUTED_VALUE"""),44866.0)</f>
        <v>44866</v>
      </c>
      <c r="N6" s="190">
        <f>IFERROR(__xludf.DUMMYFUNCTION("""COMPUTED_VALUE"""),68648.0)</f>
        <v>68648</v>
      </c>
      <c r="O6" s="190">
        <f>IFERROR(__xludf.DUMMYFUNCTION("""COMPUTED_VALUE"""),68648.0)</f>
        <v>68648</v>
      </c>
      <c r="P6" s="182" t="str">
        <f>IFERROR(__xludf.DUMMYFUNCTION("""COMPUTED_VALUE"""),"Aquisição de produto, peça de reposição, material de consumo e/ou de serviço não continuado de tecnologia da informação e telecomunicações desejável para a melhoria na prestação de serviços.
")</f>
        <v>Aquisição de produto, peça de reposição, material de consumo e/ou de serviço não continuado de tecnologia da informação e telecomunicações desejável para a melhoria na prestação de serviços.
</v>
      </c>
      <c r="Q6" s="191"/>
      <c r="R6" s="192">
        <f>IFERROR(__xludf.DUMMYFUNCTION("""COMPUTED_VALUE"""),1.51132022236932E14)</f>
        <v>151132022236932</v>
      </c>
    </row>
    <row r="7">
      <c r="A7" s="180" t="str">
        <f>IFERROR(__xludf.DUMMYFUNCTION("""COMPUTED_VALUE"""),"TRT12")</f>
        <v>TRT12</v>
      </c>
      <c r="B7" s="180" t="str">
        <f>IFERROR(__xludf.DUMMYFUNCTION("""COMPUTED_VALUE"""),"SETIC")</f>
        <v>SETIC</v>
      </c>
      <c r="C7" s="181" t="str">
        <f>IFERROR(__xludf.DUMMYFUNCTION("""COMPUTED_VALUE"""),"BACKUP EQUIPAMENTOS ")</f>
        <v>BACKUP EQUIPAMENTOS </v>
      </c>
      <c r="D7" s="181" t="str">
        <f>IFERROR(__xludf.DUMMYFUNCTION("""COMPUTED_VALUE"""),"Aquisição de um novo equipamento para atualizar o sistema de backup do datacenter auxiliar.")</f>
        <v>Aquisição de um novo equipamento para atualizar o sistema de backup do datacenter auxiliar.</v>
      </c>
      <c r="E7" s="182" t="str">
        <f>IFERROR(__xludf.DUMMYFUNCTION("""COMPUTED_VALUE"""),"Backup")</f>
        <v>Backup</v>
      </c>
      <c r="F7" s="180" t="str">
        <f>IFERROR(__xludf.DUMMYFUNCTION("""COMPUTED_VALUE"""),"Bem")</f>
        <v>Bem</v>
      </c>
      <c r="G7" s="187">
        <f>IFERROR(__xludf.DUMMYFUNCTION("""COMPUTED_VALUE"""),1.0)</f>
        <v>1</v>
      </c>
      <c r="H7" s="188">
        <f>IFERROR(__xludf.DUMMYFUNCTION("""COMPUTED_VALUE"""),15304.0)</f>
        <v>15304</v>
      </c>
      <c r="I7" s="180" t="str">
        <f>IFERROR(__xludf.DUMMYFUNCTION("""COMPUTED_VALUE"""),"Investimento")</f>
        <v>Investimento</v>
      </c>
      <c r="J7" s="185" t="str">
        <f>IFERROR(__xludf.DUMMYFUNCTION("""COMPUTED_VALUE"""),"Pregão eletrônico")</f>
        <v>Pregão eletrônico</v>
      </c>
      <c r="K7" s="180" t="str">
        <f>IFERROR(__xludf.DUMMYFUNCTION("""COMPUTED_VALUE"""),"Não")</f>
        <v>Não</v>
      </c>
      <c r="L7" s="180" t="str">
        <f>IFERROR(__xludf.DUMMYFUNCTION("""COMPUTED_VALUE"""),"Nova contratação")</f>
        <v>Nova contratação</v>
      </c>
      <c r="M7" s="189">
        <f>IFERROR(__xludf.DUMMYFUNCTION("""COMPUTED_VALUE"""),44635.0)</f>
        <v>44635</v>
      </c>
      <c r="N7" s="190">
        <f>IFERROR(__xludf.DUMMYFUNCTION("""COMPUTED_VALUE"""),433000.0)</f>
        <v>433000</v>
      </c>
      <c r="O7" s="190">
        <f>IFERROR(__xludf.DUMMYFUNCTION("""COMPUTED_VALUE"""),433000.0)</f>
        <v>433000</v>
      </c>
      <c r="P7" s="182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Q7" s="191">
        <f>IFERROR(__xludf.DUMMYFUNCTION("""COMPUTED_VALUE"""),15311.0)</f>
        <v>15311</v>
      </c>
      <c r="R7" s="192"/>
    </row>
    <row r="8">
      <c r="A8" s="180" t="str">
        <f>IFERROR(__xludf.DUMMYFUNCTION("""COMPUTED_VALUE"""),"TRT12")</f>
        <v>TRT12</v>
      </c>
      <c r="B8" s="180" t="str">
        <f>IFERROR(__xludf.DUMMYFUNCTION("""COMPUTED_VALUE"""),"SETIC")</f>
        <v>SETIC</v>
      </c>
      <c r="C8" s="181" t="str">
        <f>IFERROR(__xludf.DUMMYFUNCTION("""COMPUTED_VALUE"""),"BACKUP FITAS ")</f>
        <v>BACKUP FITAS </v>
      </c>
      <c r="D8" s="181" t="str">
        <f>IFERROR(__xludf.DUMMYFUNCTION("""COMPUTED_VALUE"""),"Aquisição de fitas com capacidade de 12TB (272 unidades) e de limpeza (20 unidades).")</f>
        <v>Aquisição de fitas com capacidade de 12TB (272 unidades) e de limpeza (20 unidades).</v>
      </c>
      <c r="E8" s="182" t="str">
        <f>IFERROR(__xludf.DUMMYFUNCTION("""COMPUTED_VALUE"""),"Backup")</f>
        <v>Backup</v>
      </c>
      <c r="F8" s="180" t="str">
        <f>IFERROR(__xludf.DUMMYFUNCTION("""COMPUTED_VALUE"""),"Material de Consumo")</f>
        <v>Material de Consumo</v>
      </c>
      <c r="G8" s="187">
        <f>IFERROR(__xludf.DUMMYFUNCTION("""COMPUTED_VALUE"""),292.0)</f>
        <v>292</v>
      </c>
      <c r="H8" s="188">
        <f>IFERROR(__xludf.DUMMYFUNCTION("""COMPUTED_VALUE"""),15311.0)</f>
        <v>15311</v>
      </c>
      <c r="I8" s="180" t="str">
        <f>IFERROR(__xludf.DUMMYFUNCTION("""COMPUTED_VALUE"""),"Custeio")</f>
        <v>Custeio</v>
      </c>
      <c r="J8" s="185" t="str">
        <f>IFERROR(__xludf.DUMMYFUNCTION("""COMPUTED_VALUE"""),"Pregão eletrônico")</f>
        <v>Pregão eletrônico</v>
      </c>
      <c r="K8" s="180" t="str">
        <f>IFERROR(__xludf.DUMMYFUNCTION("""COMPUTED_VALUE"""),"Não")</f>
        <v>Não</v>
      </c>
      <c r="L8" s="180" t="str">
        <f>IFERROR(__xludf.DUMMYFUNCTION("""COMPUTED_VALUE"""),"Nova contratação")</f>
        <v>Nova contratação</v>
      </c>
      <c r="M8" s="189">
        <f>IFERROR(__xludf.DUMMYFUNCTION("""COMPUTED_VALUE"""),44635.0)</f>
        <v>44635</v>
      </c>
      <c r="N8" s="190">
        <f>IFERROR(__xludf.DUMMYFUNCTION("""COMPUTED_VALUE"""),262444.0)</f>
        <v>262444</v>
      </c>
      <c r="O8" s="190">
        <f>IFERROR(__xludf.DUMMYFUNCTION("""COMPUTED_VALUE"""),262444.0)</f>
        <v>262444</v>
      </c>
      <c r="P8" s="182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Q8" s="191">
        <f>IFERROR(__xludf.DUMMYFUNCTION("""COMPUTED_VALUE"""),15304.0)</f>
        <v>15304</v>
      </c>
      <c r="R8" s="192"/>
    </row>
    <row r="9">
      <c r="A9" s="180" t="str">
        <f>IFERROR(__xludf.DUMMYFUNCTION("""COMPUTED_VALUE"""),"TRT12")</f>
        <v>TRT12</v>
      </c>
      <c r="B9" s="180" t="str">
        <f>IFERROR(__xludf.DUMMYFUNCTION("""COMPUTED_VALUE"""),"SETIC")</f>
        <v>SETIC</v>
      </c>
      <c r="C9" s="181" t="str">
        <f>IFERROR(__xludf.DUMMYFUNCTION("""COMPUTED_VALUE"""),"BANCO DE DADOS ORACLE ")</f>
        <v>BANCO DE DADOS ORACLE </v>
      </c>
      <c r="D9" s="181" t="str">
        <f>IFERROR(__xludf.DUMMYFUNCTION("""COMPUTED_VALUE"""),"Contratação de suporte e atualização de licenças Oracle, para os sistemas PROAD, SIGEP")</f>
        <v>Contratação de suporte e atualização de licenças Oracle, para os sistemas PROAD, SIGEP</v>
      </c>
      <c r="E9" s="182" t="str">
        <f>IFERROR(__xludf.DUMMYFUNCTION("""COMPUTED_VALUE"""),"Licenças de Banco de Dados")</f>
        <v>Licenças de Banco de Dados</v>
      </c>
      <c r="F9" s="180" t="str">
        <f>IFERROR(__xludf.DUMMYFUNCTION("""COMPUTED_VALUE"""),"Serviço")</f>
        <v>Serviço</v>
      </c>
      <c r="G9" s="187">
        <f>IFERROR(__xludf.DUMMYFUNCTION("""COMPUTED_VALUE"""),1.0)</f>
        <v>1</v>
      </c>
      <c r="H9" s="188">
        <f>IFERROR(__xludf.DUMMYFUNCTION("""COMPUTED_VALUE"""),15355.0)</f>
        <v>15355</v>
      </c>
      <c r="I9" s="180" t="str">
        <f>IFERROR(__xludf.DUMMYFUNCTION("""COMPUTED_VALUE"""),"Custeio")</f>
        <v>Custeio</v>
      </c>
      <c r="J9" s="185" t="str">
        <f>IFERROR(__xludf.DUMMYFUNCTION("""COMPUTED_VALUE"""),"Inexigibilidade")</f>
        <v>Inexigibilidade</v>
      </c>
      <c r="K9" s="180" t="str">
        <f>IFERROR(__xludf.DUMMYFUNCTION("""COMPUTED_VALUE"""),"Não")</f>
        <v>Não</v>
      </c>
      <c r="L9" s="180" t="str">
        <f>IFERROR(__xludf.DUMMYFUNCTION("""COMPUTED_VALUE"""),"Prorrogação contratual")</f>
        <v>Prorrogação contratual</v>
      </c>
      <c r="M9" s="189">
        <f>IFERROR(__xludf.DUMMYFUNCTION("""COMPUTED_VALUE"""),44874.0)</f>
        <v>44874</v>
      </c>
      <c r="N9" s="190">
        <f>IFERROR(__xludf.DUMMYFUNCTION("""COMPUTED_VALUE"""),314626.19999999995)</f>
        <v>314626.2</v>
      </c>
      <c r="O9" s="190">
        <f>IFERROR(__xludf.DUMMYFUNCTION("""COMPUTED_VALUE"""),314626.19999999995)</f>
        <v>314626.2</v>
      </c>
      <c r="P9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9" s="191"/>
      <c r="R9" s="192">
        <f>IFERROR(__xludf.DUMMYFUNCTION("""COMPUTED_VALUE"""),1.51132022236936E14)</f>
        <v>151132022236936</v>
      </c>
    </row>
    <row r="10">
      <c r="A10" s="180" t="str">
        <f>IFERROR(__xludf.DUMMYFUNCTION("""COMPUTED_VALUE"""),"TRT12")</f>
        <v>TRT12</v>
      </c>
      <c r="B10" s="180" t="str">
        <f>IFERROR(__xludf.DUMMYFUNCTION("""COMPUTED_VALUE"""),"SETIC")</f>
        <v>SETIC</v>
      </c>
      <c r="C10" s="181" t="str">
        <f>IFERROR(__xludf.DUMMYFUNCTION("""COMPUTED_VALUE"""),"BI SOFTWARE ")</f>
        <v>BI SOFTWARE </v>
      </c>
      <c r="D10" s="181" t="str">
        <f>IFERROR(__xludf.DUMMYFUNCTION("""COMPUTED_VALUE"""),"Contratação de uso de software em nuvem, para gerar relatórios e informações gerenciais para apoio à decisão e à gestão")</f>
        <v>Contratação de uso de software em nuvem, para gerar relatórios e informações gerenciais para apoio à decisão e à gestão</v>
      </c>
      <c r="E10" s="181" t="str">
        <f>IFERROR(__xludf.DUMMYFUNCTION("""COMPUTED_VALUE"""),"Outro")</f>
        <v>Outro</v>
      </c>
      <c r="F10" s="180" t="str">
        <f>IFERROR(__xludf.DUMMYFUNCTION("""COMPUTED_VALUE"""),"Serviço")</f>
        <v>Serviço</v>
      </c>
      <c r="G10" s="187">
        <f>IFERROR(__xludf.DUMMYFUNCTION("""COMPUTED_VALUE"""),1.0)</f>
        <v>1</v>
      </c>
      <c r="H10" s="188">
        <f>IFERROR(__xludf.DUMMYFUNCTION("""COMPUTED_VALUE"""),15349.0)</f>
        <v>15349</v>
      </c>
      <c r="I10" s="180" t="str">
        <f>IFERROR(__xludf.DUMMYFUNCTION("""COMPUTED_VALUE"""),"Custeio")</f>
        <v>Custeio</v>
      </c>
      <c r="J10" s="185" t="str">
        <f>IFERROR(__xludf.DUMMYFUNCTION("""COMPUTED_VALUE"""),"Pregão eletrônico")</f>
        <v>Pregão eletrônico</v>
      </c>
      <c r="K10" s="180" t="str">
        <f>IFERROR(__xludf.DUMMYFUNCTION("""COMPUTED_VALUE"""),"Sim")</f>
        <v>Sim</v>
      </c>
      <c r="L10" s="180" t="str">
        <f>IFERROR(__xludf.DUMMYFUNCTION("""COMPUTED_VALUE"""),"Prorrogação contratual")</f>
        <v>Prorrogação contratual</v>
      </c>
      <c r="M10" s="189">
        <f>IFERROR(__xludf.DUMMYFUNCTION("""COMPUTED_VALUE"""),44925.0)</f>
        <v>44925</v>
      </c>
      <c r="N10" s="190">
        <f>IFERROR(__xludf.DUMMYFUNCTION("""COMPUTED_VALUE"""),11870.76)</f>
        <v>11870.76</v>
      </c>
      <c r="O10" s="190">
        <f>IFERROR(__xludf.DUMMYFUNCTION("""COMPUTED_VALUE"""),11870.76)</f>
        <v>11870.76</v>
      </c>
      <c r="P10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10" s="191"/>
      <c r="R10" s="192">
        <f>IFERROR(__xludf.DUMMYFUNCTION("""COMPUTED_VALUE"""),1.51132022236945E14)</f>
        <v>151132022236945</v>
      </c>
    </row>
    <row r="11">
      <c r="A11" s="180" t="str">
        <f>IFERROR(__xludf.DUMMYFUNCTION("""COMPUTED_VALUE"""),"TRT12")</f>
        <v>TRT12</v>
      </c>
      <c r="B11" s="180" t="str">
        <f>IFERROR(__xludf.DUMMYFUNCTION("""COMPUTED_VALUE"""),"SETIC")</f>
        <v>SETIC</v>
      </c>
      <c r="C11" s="181" t="str">
        <f>IFERROR(__xludf.DUMMYFUNCTION("""COMPUTED_VALUE"""),"CENTRAL DE SERVIÇOS ")</f>
        <v>CENTRAL DE SERVIÇOS </v>
      </c>
      <c r="D11" s="181" t="str">
        <f>IFERROR(__xludf.DUMMYFUNCTION("""COMPUTED_VALUE"""),"Contratação de serviços de suporte de TIC em 1º e 2º níveis2019, para fornecimento de técnicos terceirizados para atendimento aos chamados de TIC, no Estado.")</f>
        <v>Contratação de serviços de suporte de TIC em 1º e 2º níveis2019, para fornecimento de técnicos terceirizados para atendimento aos chamados de TIC, no Estado.</v>
      </c>
      <c r="E11" s="181" t="str">
        <f>IFERROR(__xludf.DUMMYFUNCTION("""COMPUTED_VALUE"""),"Serviço de Central de Atendimento")</f>
        <v>Serviço de Central de Atendimento</v>
      </c>
      <c r="F11" s="180" t="str">
        <f>IFERROR(__xludf.DUMMYFUNCTION("""COMPUTED_VALUE"""),"Serviço")</f>
        <v>Serviço</v>
      </c>
      <c r="G11" s="187">
        <f>IFERROR(__xludf.DUMMYFUNCTION("""COMPUTED_VALUE"""),1.0)</f>
        <v>1</v>
      </c>
      <c r="H11" s="188">
        <f>IFERROR(__xludf.DUMMYFUNCTION("""COMPUTED_VALUE"""),15060.0)</f>
        <v>15060</v>
      </c>
      <c r="I11" s="180" t="str">
        <f>IFERROR(__xludf.DUMMYFUNCTION("""COMPUTED_VALUE"""),"Custeio")</f>
        <v>Custeio</v>
      </c>
      <c r="J11" s="185" t="str">
        <f>IFERROR(__xludf.DUMMYFUNCTION("""COMPUTED_VALUE"""),"Pregão eletrônico")</f>
        <v>Pregão eletrônico</v>
      </c>
      <c r="K11" s="180" t="str">
        <f>IFERROR(__xludf.DUMMYFUNCTION("""COMPUTED_VALUE"""),"Não")</f>
        <v>Não</v>
      </c>
      <c r="L11" s="180" t="str">
        <f>IFERROR(__xludf.DUMMYFUNCTION("""COMPUTED_VALUE"""),"Prorrogação contratual")</f>
        <v>Prorrogação contratual</v>
      </c>
      <c r="M11" s="189">
        <f>IFERROR(__xludf.DUMMYFUNCTION("""COMPUTED_VALUE"""),44619.0)</f>
        <v>44619</v>
      </c>
      <c r="N11" s="190">
        <f>IFERROR(__xludf.DUMMYFUNCTION("""COMPUTED_VALUE"""),891880.8)</f>
        <v>891880.8</v>
      </c>
      <c r="O11" s="190">
        <f>IFERROR(__xludf.DUMMYFUNCTION("""COMPUTED_VALUE"""),891880.8)</f>
        <v>891880.8</v>
      </c>
      <c r="P11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11" s="191"/>
      <c r="R11" s="192">
        <f>IFERROR(__xludf.DUMMYFUNCTION("""COMPUTED_VALUE"""),1.51132022236916E14)</f>
        <v>151132022236916</v>
      </c>
    </row>
    <row r="12">
      <c r="A12" s="180" t="str">
        <f>IFERROR(__xludf.DUMMYFUNCTION("""COMPUTED_VALUE"""),"TRT12")</f>
        <v>TRT12</v>
      </c>
      <c r="B12" s="180" t="str">
        <f>IFERROR(__xludf.DUMMYFUNCTION("""COMPUTED_VALUE"""),"SETIC")</f>
        <v>SETIC</v>
      </c>
      <c r="C12" s="181" t="str">
        <f>IFERROR(__xludf.DUMMYFUNCTION("""COMPUTED_VALUE"""),"CERTIFICADOS PF ")</f>
        <v>CERTIFICADOS PF </v>
      </c>
      <c r="D12" s="181" t="str">
        <f>IFERROR(__xludf.DUMMYFUNCTION("""COMPUTED_VALUE"""),"Aquisição de certificados digitais (tokens) para pessoa física, para todo o Estado")</f>
        <v>Aquisição de certificados digitais (tokens) para pessoa física, para todo o Estado</v>
      </c>
      <c r="E12" s="181" t="str">
        <f>IFERROR(__xludf.DUMMYFUNCTION("""COMPUTED_VALUE"""),"Certificado Digital")</f>
        <v>Certificado Digital</v>
      </c>
      <c r="F12" s="180" t="str">
        <f>IFERROR(__xludf.DUMMYFUNCTION("""COMPUTED_VALUE"""),"Serviço")</f>
        <v>Serviço</v>
      </c>
      <c r="G12" s="187">
        <f>IFERROR(__xludf.DUMMYFUNCTION("""COMPUTED_VALUE"""),1.0)</f>
        <v>1</v>
      </c>
      <c r="H12" s="188">
        <f>IFERROR(__xludf.DUMMYFUNCTION("""COMPUTED_VALUE"""),15315.0)</f>
        <v>15315</v>
      </c>
      <c r="I12" s="180" t="str">
        <f>IFERROR(__xludf.DUMMYFUNCTION("""COMPUTED_VALUE"""),"Custeio")</f>
        <v>Custeio</v>
      </c>
      <c r="J12" s="185" t="str">
        <f>IFERROR(__xludf.DUMMYFUNCTION("""COMPUTED_VALUE"""),"Pregão eletrônico")</f>
        <v>Pregão eletrônico</v>
      </c>
      <c r="K12" s="180" t="str">
        <f>IFERROR(__xludf.DUMMYFUNCTION("""COMPUTED_VALUE"""),"Não")</f>
        <v>Não</v>
      </c>
      <c r="L12" s="180" t="str">
        <f>IFERROR(__xludf.DUMMYFUNCTION("""COMPUTED_VALUE"""),"Prorrogação contratual")</f>
        <v>Prorrogação contratual</v>
      </c>
      <c r="M12" s="189">
        <f>IFERROR(__xludf.DUMMYFUNCTION("""COMPUTED_VALUE"""),44800.0)</f>
        <v>44800</v>
      </c>
      <c r="N12" s="190">
        <f>IFERROR(__xludf.DUMMYFUNCTION("""COMPUTED_VALUE"""),42020.0)</f>
        <v>42020</v>
      </c>
      <c r="O12" s="190">
        <f>IFERROR(__xludf.DUMMYFUNCTION("""COMPUTED_VALUE"""),42020.0)</f>
        <v>42020</v>
      </c>
      <c r="P12" s="182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Q12" s="191"/>
      <c r="R12" s="192">
        <f>IFERROR(__xludf.DUMMYFUNCTION("""COMPUTED_VALUE"""),1.51132022236951E14)</f>
        <v>151132022236951</v>
      </c>
    </row>
    <row r="13">
      <c r="A13" s="180" t="str">
        <f>IFERROR(__xludf.DUMMYFUNCTION("""COMPUTED_VALUE"""),"TRT12")</f>
        <v>TRT12</v>
      </c>
      <c r="B13" s="180" t="str">
        <f>IFERROR(__xludf.DUMMYFUNCTION("""COMPUTED_VALUE"""),"SETIC")</f>
        <v>SETIC</v>
      </c>
      <c r="C13" s="181" t="str">
        <f>IFERROR(__xludf.DUMMYFUNCTION("""COMPUTED_VALUE"""),"CERTIFICADOS PJ ")</f>
        <v>CERTIFICADOS PJ </v>
      </c>
      <c r="D13" s="181" t="str">
        <f>IFERROR(__xludf.DUMMYFUNCTION("""COMPUTED_VALUE"""),"Aquisição Certificados Digitais SSL (PJe, domínio trt12.jus.br e siscondj), obrigatório para estabelecer autenticação de confiança entre sistemas de informação. Exigido pela instituição bancária (CERTISIGN).")</f>
        <v>Aquisição Certificados Digitais SSL (PJe, domínio trt12.jus.br e siscondj), obrigatório para estabelecer autenticação de confiança entre sistemas de informação. Exigido pela instituição bancária (CERTISIGN).</v>
      </c>
      <c r="E13" s="181" t="str">
        <f>IFERROR(__xludf.DUMMYFUNCTION("""COMPUTED_VALUE"""),"Certificado Digital")</f>
        <v>Certificado Digital</v>
      </c>
      <c r="F13" s="180" t="str">
        <f>IFERROR(__xludf.DUMMYFUNCTION("""COMPUTED_VALUE"""),"Serviço")</f>
        <v>Serviço</v>
      </c>
      <c r="G13" s="187">
        <f>IFERROR(__xludf.DUMMYFUNCTION("""COMPUTED_VALUE"""),2.0)</f>
        <v>2</v>
      </c>
      <c r="H13" s="188">
        <f>IFERROR(__xludf.DUMMYFUNCTION("""COMPUTED_VALUE"""),15254.0)</f>
        <v>15254</v>
      </c>
      <c r="I13" s="180" t="str">
        <f>IFERROR(__xludf.DUMMYFUNCTION("""COMPUTED_VALUE"""),"Custeio")</f>
        <v>Custeio</v>
      </c>
      <c r="J13" s="185" t="str">
        <f>IFERROR(__xludf.DUMMYFUNCTION("""COMPUTED_VALUE"""),"Dispensa de licitação")</f>
        <v>Dispensa de licitação</v>
      </c>
      <c r="K13" s="180" t="str">
        <f>IFERROR(__xludf.DUMMYFUNCTION("""COMPUTED_VALUE"""),"Não")</f>
        <v>Não</v>
      </c>
      <c r="L13" s="180" t="str">
        <f>IFERROR(__xludf.DUMMYFUNCTION("""COMPUTED_VALUE"""),"Nova contratação")</f>
        <v>Nova contratação</v>
      </c>
      <c r="M13" s="189">
        <f>IFERROR(__xludf.DUMMYFUNCTION("""COMPUTED_VALUE"""),44653.0)</f>
        <v>44653</v>
      </c>
      <c r="N13" s="190">
        <f>IFERROR(__xludf.DUMMYFUNCTION("""COMPUTED_VALUE"""),1890.0)</f>
        <v>1890</v>
      </c>
      <c r="O13" s="190">
        <f>IFERROR(__xludf.DUMMYFUNCTION("""COMPUTED_VALUE"""),1890.0)</f>
        <v>1890</v>
      </c>
      <c r="P13" s="182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Q13" s="191"/>
      <c r="R13" s="192">
        <f>IFERROR(__xludf.DUMMYFUNCTION("""COMPUTED_VALUE"""),1.5113202223695E14)</f>
        <v>151132022236950</v>
      </c>
    </row>
    <row r="14">
      <c r="A14" s="180" t="str">
        <f>IFERROR(__xludf.DUMMYFUNCTION("""COMPUTED_VALUE"""),"TRT12")</f>
        <v>TRT12</v>
      </c>
      <c r="B14" s="180" t="str">
        <f>IFERROR(__xludf.DUMMYFUNCTION("""COMPUTED_VALUE"""),"SETIC")</f>
        <v>SETIC</v>
      </c>
      <c r="C14" s="181" t="str">
        <f>IFERROR(__xludf.DUMMYFUNCTION("""COMPUTED_VALUE"""),"DRUPAL SUPORTE ")</f>
        <v>DRUPAL SUPORTE </v>
      </c>
      <c r="D14" s="181" t="str">
        <f>IFERROR(__xludf.DUMMYFUNCTION("""COMPUTED_VALUE"""),"Suporte técnico para o portal de internet e intranet do TRT12, em tecnologia DRUPAL 8")</f>
        <v>Suporte técnico para o portal de internet e intranet do TRT12, em tecnologia DRUPAL 8</v>
      </c>
      <c r="E14" s="181" t="str">
        <f>IFERROR(__xludf.DUMMYFUNCTION("""COMPUTED_VALUE"""),"Serviço de Suporte de Software")</f>
        <v>Serviço de Suporte de Software</v>
      </c>
      <c r="F14" s="180" t="str">
        <f>IFERROR(__xludf.DUMMYFUNCTION("""COMPUTED_VALUE"""),"Serviço")</f>
        <v>Serviço</v>
      </c>
      <c r="G14" s="187">
        <f>IFERROR(__xludf.DUMMYFUNCTION("""COMPUTED_VALUE"""),1.0)</f>
        <v>1</v>
      </c>
      <c r="H14" s="188">
        <f>IFERROR(__xludf.DUMMYFUNCTION("""COMPUTED_VALUE"""),15329.0)</f>
        <v>15329</v>
      </c>
      <c r="I14" s="180" t="str">
        <f>IFERROR(__xludf.DUMMYFUNCTION("""COMPUTED_VALUE"""),"Custeio")</f>
        <v>Custeio</v>
      </c>
      <c r="J14" s="185" t="str">
        <f>IFERROR(__xludf.DUMMYFUNCTION("""COMPUTED_VALUE"""),"Pregão eletrônico")</f>
        <v>Pregão eletrônico</v>
      </c>
      <c r="K14" s="180" t="str">
        <f>IFERROR(__xludf.DUMMYFUNCTION("""COMPUTED_VALUE"""),"Não")</f>
        <v>Não</v>
      </c>
      <c r="L14" s="180" t="str">
        <f>IFERROR(__xludf.DUMMYFUNCTION("""COMPUTED_VALUE"""),"Nova contratação")</f>
        <v>Nova contratação</v>
      </c>
      <c r="M14" s="189">
        <f>IFERROR(__xludf.DUMMYFUNCTION("""COMPUTED_VALUE"""),44621.0)</f>
        <v>44621</v>
      </c>
      <c r="N14" s="190">
        <f>IFERROR(__xludf.DUMMYFUNCTION("""COMPUTED_VALUE"""),76800.0)</f>
        <v>76800</v>
      </c>
      <c r="O14" s="190">
        <f>IFERROR(__xludf.DUMMYFUNCTION("""COMPUTED_VALUE"""),76800.0)</f>
        <v>76800</v>
      </c>
      <c r="P14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14" s="191"/>
      <c r="R14" s="192">
        <f>IFERROR(__xludf.DUMMYFUNCTION("""COMPUTED_VALUE"""),1.51132022236911E14)</f>
        <v>151132022236911</v>
      </c>
    </row>
    <row r="15">
      <c r="A15" s="180" t="str">
        <f>IFERROR(__xludf.DUMMYFUNCTION("""COMPUTED_VALUE"""),"TRT12")</f>
        <v>TRT12</v>
      </c>
      <c r="B15" s="180" t="str">
        <f>IFERROR(__xludf.DUMMYFUNCTION("""COMPUTED_VALUE"""),"SETIC")</f>
        <v>SETIC</v>
      </c>
      <c r="C15" s="181" t="str">
        <f>IFERROR(__xludf.DUMMYFUNCTION("""COMPUTED_VALUE"""),"IMPRESSORAS ")</f>
        <v>IMPRESSORAS </v>
      </c>
      <c r="D15" s="181" t="str">
        <f>IFERROR(__xludf.DUMMYFUNCTION("""COMPUTED_VALUE"""),"Aquisição de impressoras de pequeno porte convencionais")</f>
        <v>Aquisição de impressoras de pequeno porte convencionais</v>
      </c>
      <c r="E15" s="181" t="str">
        <f>IFERROR(__xludf.DUMMYFUNCTION("""COMPUTED_VALUE"""),"Infraestrutura para usuários 
(estações de trabalho, impressoras, monitores, webcam, etc.)")</f>
        <v>Infraestrutura para usuários 
(estações de trabalho, impressoras, monitores, webcam, etc.)</v>
      </c>
      <c r="F15" s="180" t="str">
        <f>IFERROR(__xludf.DUMMYFUNCTION("""COMPUTED_VALUE"""),"Bem")</f>
        <v>Bem</v>
      </c>
      <c r="G15" s="187">
        <f>IFERROR(__xludf.DUMMYFUNCTION("""COMPUTED_VALUE"""),85.0)</f>
        <v>85</v>
      </c>
      <c r="H15" s="188">
        <f>IFERROR(__xludf.DUMMYFUNCTION("""COMPUTED_VALUE"""),15362.0)</f>
        <v>15362</v>
      </c>
      <c r="I15" s="180" t="str">
        <f>IFERROR(__xludf.DUMMYFUNCTION("""COMPUTED_VALUE"""),"Investimento")</f>
        <v>Investimento</v>
      </c>
      <c r="J15" s="185" t="str">
        <f>IFERROR(__xludf.DUMMYFUNCTION("""COMPUTED_VALUE"""),"Pregão eletrônico")</f>
        <v>Pregão eletrônico</v>
      </c>
      <c r="K15" s="180" t="str">
        <f>IFERROR(__xludf.DUMMYFUNCTION("""COMPUTED_VALUE"""),"Sim")</f>
        <v>Sim</v>
      </c>
      <c r="L15" s="180" t="str">
        <f>IFERROR(__xludf.DUMMYFUNCTION("""COMPUTED_VALUE"""),"Nova contratação")</f>
        <v>Nova contratação</v>
      </c>
      <c r="M15" s="189">
        <f>IFERROR(__xludf.DUMMYFUNCTION("""COMPUTED_VALUE"""),44743.0)</f>
        <v>44743</v>
      </c>
      <c r="N15" s="190">
        <f>IFERROR(__xludf.DUMMYFUNCTION("""COMPUTED_VALUE"""),118338.70000000001)</f>
        <v>118338.7</v>
      </c>
      <c r="O15" s="190">
        <f>IFERROR(__xludf.DUMMYFUNCTION("""COMPUTED_VALUE"""),118338.70000000001)</f>
        <v>118338.7</v>
      </c>
      <c r="P15" s="182" t="str">
        <f>IFERROR(__xludf.DUMMYFUNCTION("""COMPUTED_VALUE"""),"Aquisição de produto, peça de reposição, material de consumo e/ou de serviço não continuado de tecnologia da informação e telecomunicações que atende a projeto estratégico, garante a prestação jurisdicional, evita a interrupção da prestação administrativa"&amp;" e/ou atende a normativo.
")</f>
        <v>Aquisição de produto, peça de reposição, material de consumo e/ou de serviço não continuado de tecnologia da informação e telecomunicações que atende a projeto estratégico, garante a prestação jurisdicional, evita a interrupção da prestação administrativa e/ou atende a normativo.
</v>
      </c>
      <c r="Q15" s="191"/>
      <c r="R15" s="192">
        <f>IFERROR(__xludf.DUMMYFUNCTION("""COMPUTED_VALUE"""),1.51132022236948E14)</f>
        <v>151132022236948</v>
      </c>
    </row>
    <row r="16">
      <c r="A16" s="180" t="str">
        <f>IFERROR(__xludf.DUMMYFUNCTION("""COMPUTED_VALUE"""),"TRT12")</f>
        <v>TRT12</v>
      </c>
      <c r="B16" s="180" t="str">
        <f>IFERROR(__xludf.DUMMYFUNCTION("""COMPUTED_VALUE"""),"SETIC")</f>
        <v>SETIC</v>
      </c>
      <c r="C16" s="181" t="str">
        <f>IFERROR(__xludf.DUMMYFUNCTION("""COMPUTED_VALUE"""),"IMPRESSORAS MANUTENÇÃO ")</f>
        <v>IMPRESSORAS MANUTENÇÃO </v>
      </c>
      <c r="D16" s="181" t="str">
        <f>IFERROR(__xludf.DUMMYFUNCTION("""COMPUTED_VALUE"""),"Contatação de manutenção de impressoras multifuncionais Lexmark MX722")</f>
        <v>Contatação de manutenção de impressoras multifuncionais Lexmark MX722</v>
      </c>
      <c r="E16" s="181" t="str">
        <f>IFERROR(__xludf.DUMMYFUNCTION("""COMPUTED_VALUE"""),"Serviço de Suporte de Hardware")</f>
        <v>Serviço de Suporte de Hardware</v>
      </c>
      <c r="F16" s="180" t="str">
        <f>IFERROR(__xludf.DUMMYFUNCTION("""COMPUTED_VALUE"""),"Serviço")</f>
        <v>Serviço</v>
      </c>
      <c r="G16" s="187">
        <f>IFERROR(__xludf.DUMMYFUNCTION("""COMPUTED_VALUE"""),1.0)</f>
        <v>1</v>
      </c>
      <c r="H16" s="188">
        <f>IFERROR(__xludf.DUMMYFUNCTION("""COMPUTED_VALUE"""),15380.0)</f>
        <v>15380</v>
      </c>
      <c r="I16" s="180" t="str">
        <f>IFERROR(__xludf.DUMMYFUNCTION("""COMPUTED_VALUE"""),"Custeio")</f>
        <v>Custeio</v>
      </c>
      <c r="J16" s="185" t="str">
        <f>IFERROR(__xludf.DUMMYFUNCTION("""COMPUTED_VALUE"""),"Pregão eletrônico")</f>
        <v>Pregão eletrônico</v>
      </c>
      <c r="K16" s="180" t="str">
        <f>IFERROR(__xludf.DUMMYFUNCTION("""COMPUTED_VALUE"""),"Não")</f>
        <v>Não</v>
      </c>
      <c r="L16" s="180" t="str">
        <f>IFERROR(__xludf.DUMMYFUNCTION("""COMPUTED_VALUE"""),"Nova contratação")</f>
        <v>Nova contratação</v>
      </c>
      <c r="M16" s="189">
        <f>IFERROR(__xludf.DUMMYFUNCTION("""COMPUTED_VALUE"""),44845.0)</f>
        <v>44845</v>
      </c>
      <c r="N16" s="190">
        <f>IFERROR(__xludf.DUMMYFUNCTION("""COMPUTED_VALUE"""),48000.0)</f>
        <v>48000</v>
      </c>
      <c r="O16" s="190">
        <f>IFERROR(__xludf.DUMMYFUNCTION("""COMPUTED_VALUE"""),12000.0)</f>
        <v>12000</v>
      </c>
      <c r="P16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16" s="191"/>
      <c r="R16" s="192"/>
    </row>
    <row r="17">
      <c r="A17" s="180" t="str">
        <f>IFERROR(__xludf.DUMMYFUNCTION("""COMPUTED_VALUE"""),"TRT12")</f>
        <v>TRT12</v>
      </c>
      <c r="B17" s="180" t="str">
        <f>IFERROR(__xludf.DUMMYFUNCTION("""COMPUTED_VALUE"""),"SETIC")</f>
        <v>SETIC</v>
      </c>
      <c r="C17" s="181" t="str">
        <f>IFERROR(__xludf.DUMMYFUNCTION("""COMPUTED_VALUE"""),"INTERNET LINK 3 ")</f>
        <v>INTERNET LINK 3 </v>
      </c>
      <c r="D17" s="181" t="str">
        <f>IFERROR(__xludf.DUMMYFUNCTION("""COMPUTED_VALUE"""),"Contratação de acesso corporativo à internet (substitui LINK 1)")</f>
        <v>Contratação de acesso corporativo à internet (substitui LINK 1)</v>
      </c>
      <c r="E17" s="182" t="str">
        <f>IFERROR(__xludf.DUMMYFUNCTION("""COMPUTED_VALUE"""),"Link de dados")</f>
        <v>Link de dados</v>
      </c>
      <c r="F17" s="180" t="str">
        <f>IFERROR(__xludf.DUMMYFUNCTION("""COMPUTED_VALUE"""),"Serviço")</f>
        <v>Serviço</v>
      </c>
      <c r="G17" s="187">
        <f>IFERROR(__xludf.DUMMYFUNCTION("""COMPUTED_VALUE"""),1.0)</f>
        <v>1</v>
      </c>
      <c r="H17" s="188">
        <f>IFERROR(__xludf.DUMMYFUNCTION("""COMPUTED_VALUE"""),15369.0)</f>
        <v>15369</v>
      </c>
      <c r="I17" s="180" t="str">
        <f>IFERROR(__xludf.DUMMYFUNCTION("""COMPUTED_VALUE"""),"Custeio")</f>
        <v>Custeio</v>
      </c>
      <c r="J17" s="185" t="str">
        <f>IFERROR(__xludf.DUMMYFUNCTION("""COMPUTED_VALUE"""),"Pregão eletrônico")</f>
        <v>Pregão eletrônico</v>
      </c>
      <c r="K17" s="180" t="str">
        <f>IFERROR(__xludf.DUMMYFUNCTION("""COMPUTED_VALUE"""),"Não")</f>
        <v>Não</v>
      </c>
      <c r="L17" s="180" t="str">
        <f>IFERROR(__xludf.DUMMYFUNCTION("""COMPUTED_VALUE"""),"Nova contratação")</f>
        <v>Nova contratação</v>
      </c>
      <c r="M17" s="189">
        <f>IFERROR(__xludf.DUMMYFUNCTION("""COMPUTED_VALUE"""),44757.0)</f>
        <v>44757</v>
      </c>
      <c r="N17" s="190">
        <f>IFERROR(__xludf.DUMMYFUNCTION("""COMPUTED_VALUE"""),10450.0)</f>
        <v>10450</v>
      </c>
      <c r="O17" s="190">
        <f>IFERROR(__xludf.DUMMYFUNCTION("""COMPUTED_VALUE"""),10450.0)</f>
        <v>10450</v>
      </c>
      <c r="P17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17" s="191"/>
      <c r="R17" s="192"/>
    </row>
    <row r="18">
      <c r="A18" s="180" t="str">
        <f>IFERROR(__xludf.DUMMYFUNCTION("""COMPUTED_VALUE"""),"TRT12")</f>
        <v>TRT12</v>
      </c>
      <c r="B18" s="180" t="str">
        <f>IFERROR(__xludf.DUMMYFUNCTION("""COMPUTED_VALUE"""),"SETIC")</f>
        <v>SETIC</v>
      </c>
      <c r="C18" s="181" t="str">
        <f>IFERROR(__xludf.DUMMYFUNCTION("""COMPUTED_VALUE"""),"INTERNET MOVEL ")</f>
        <v>INTERNET MOVEL </v>
      </c>
      <c r="D18" s="181" t="str">
        <f>IFERROR(__xludf.DUMMYFUNCTION("""COMPUTED_VALUE"""),"Contratação de linhas de internet móvel. O quantitativo atual é de 151 e deve ser confirmado pelos estudos da contração (Ato CSJT 43/2013).")</f>
        <v>Contratação de linhas de internet móvel. O quantitativo atual é de 151 e deve ser confirmado pelos estudos da contração (Ato CSJT 43/2013).</v>
      </c>
      <c r="E18" s="182" t="str">
        <f>IFERROR(__xludf.DUMMYFUNCTION("""COMPUTED_VALUE"""),"Link de dados")</f>
        <v>Link de dados</v>
      </c>
      <c r="F18" s="180" t="str">
        <f>IFERROR(__xludf.DUMMYFUNCTION("""COMPUTED_VALUE"""),"Serviço")</f>
        <v>Serviço</v>
      </c>
      <c r="G18" s="187">
        <f>IFERROR(__xludf.DUMMYFUNCTION("""COMPUTED_VALUE"""),151.0)</f>
        <v>151</v>
      </c>
      <c r="H18" s="188">
        <f>IFERROR(__xludf.DUMMYFUNCTION("""COMPUTED_VALUE"""),15066.0)</f>
        <v>15066</v>
      </c>
      <c r="I18" s="180" t="str">
        <f>IFERROR(__xludf.DUMMYFUNCTION("""COMPUTED_VALUE"""),"Custeio")</f>
        <v>Custeio</v>
      </c>
      <c r="J18" s="185" t="str">
        <f>IFERROR(__xludf.DUMMYFUNCTION("""COMPUTED_VALUE"""),"Pregão eletrônico")</f>
        <v>Pregão eletrônico</v>
      </c>
      <c r="K18" s="180" t="str">
        <f>IFERROR(__xludf.DUMMYFUNCTION("""COMPUTED_VALUE"""),"Não")</f>
        <v>Não</v>
      </c>
      <c r="L18" s="180" t="str">
        <f>IFERROR(__xludf.DUMMYFUNCTION("""COMPUTED_VALUE"""),"Prorrogação contratual")</f>
        <v>Prorrogação contratual</v>
      </c>
      <c r="M18" s="189">
        <f>IFERROR(__xludf.DUMMYFUNCTION("""COMPUTED_VALUE"""),44600.0)</f>
        <v>44600</v>
      </c>
      <c r="N18" s="190">
        <f>IFERROR(__xludf.DUMMYFUNCTION("""COMPUTED_VALUE"""),41494.8)</f>
        <v>41494.8</v>
      </c>
      <c r="O18" s="190">
        <f>IFERROR(__xludf.DUMMYFUNCTION("""COMPUTED_VALUE"""),41494.8)</f>
        <v>41494.8</v>
      </c>
      <c r="P18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18" s="191"/>
      <c r="R18" s="192">
        <f>IFERROR(__xludf.DUMMYFUNCTION("""COMPUTED_VALUE"""),1.51132022236931E14)</f>
        <v>151132022236931</v>
      </c>
    </row>
    <row r="19">
      <c r="A19" s="180" t="str">
        <f>IFERROR(__xludf.DUMMYFUNCTION("""COMPUTED_VALUE"""),"TRT12")</f>
        <v>TRT12</v>
      </c>
      <c r="B19" s="180" t="str">
        <f>IFERROR(__xludf.DUMMYFUNCTION("""COMPUTED_VALUE"""),"SETIC")</f>
        <v>SETIC</v>
      </c>
      <c r="C19" s="181" t="str">
        <f>IFERROR(__xludf.DUMMYFUNCTION("""COMPUTED_VALUE"""),"MICROCOMPUTADORES ")</f>
        <v>MICROCOMPUTADORES </v>
      </c>
      <c r="D19" s="181" t="str">
        <f>IFERROR(__xludf.DUMMYFUNCTION("""COMPUTED_VALUE"""),"Aquisição de microcomputadores modelo mini desktop tipo 2 com wi-fi")</f>
        <v>Aquisição de microcomputadores modelo mini desktop tipo 2 com wi-fi</v>
      </c>
      <c r="E19" s="181" t="str">
        <f>IFERROR(__xludf.DUMMYFUNCTION("""COMPUTED_VALUE"""),"Infraestrutura para usuários 
(estações de trabalho, impressoras, monitores, webcam, etc.)")</f>
        <v>Infraestrutura para usuários 
(estações de trabalho, impressoras, monitores, webcam, etc.)</v>
      </c>
      <c r="F19" s="180" t="str">
        <f>IFERROR(__xludf.DUMMYFUNCTION("""COMPUTED_VALUE"""),"Bem")</f>
        <v>Bem</v>
      </c>
      <c r="G19" s="187">
        <f>IFERROR(__xludf.DUMMYFUNCTION("""COMPUTED_VALUE"""),700.0)</f>
        <v>700</v>
      </c>
      <c r="H19" s="188">
        <f>IFERROR(__xludf.DUMMYFUNCTION("""COMPUTED_VALUE"""),15361.0)</f>
        <v>15361</v>
      </c>
      <c r="I19" s="180" t="str">
        <f>IFERROR(__xludf.DUMMYFUNCTION("""COMPUTED_VALUE"""),"Investimento")</f>
        <v>Investimento</v>
      </c>
      <c r="J19" s="185" t="str">
        <f>IFERROR(__xludf.DUMMYFUNCTION("""COMPUTED_VALUE"""),"Pregão eletrônico")</f>
        <v>Pregão eletrônico</v>
      </c>
      <c r="K19" s="180" t="str">
        <f>IFERROR(__xludf.DUMMYFUNCTION("""COMPUTED_VALUE"""),"Sim")</f>
        <v>Sim</v>
      </c>
      <c r="L19" s="180" t="str">
        <f>IFERROR(__xludf.DUMMYFUNCTION("""COMPUTED_VALUE"""),"Nova contratação")</f>
        <v>Nova contratação</v>
      </c>
      <c r="M19" s="189">
        <f>IFERROR(__xludf.DUMMYFUNCTION("""COMPUTED_VALUE"""),44743.0)</f>
        <v>44743</v>
      </c>
      <c r="N19" s="190">
        <f>IFERROR(__xludf.DUMMYFUNCTION("""COMPUTED_VALUE"""),3037300.0)</f>
        <v>3037300</v>
      </c>
      <c r="O19" s="190">
        <f>IFERROR(__xludf.DUMMYFUNCTION("""COMPUTED_VALUE"""),3037300.0)</f>
        <v>3037300</v>
      </c>
      <c r="P19" s="182" t="str">
        <f>IFERROR(__xludf.DUMMYFUNCTION("""COMPUTED_VALUE"""),"Aquisição de produto, peça de reposição, material de consumo e/ou de serviço não continuado de tecnologia da informação e telecomunicações que atende a projeto estratégico, garante a prestação jurisdicional, evita a interrupção da prestação administrativa"&amp;" e/ou atende a normativo.
")</f>
        <v>Aquisição de produto, peça de reposição, material de consumo e/ou de serviço não continuado de tecnologia da informação e telecomunicações que atende a projeto estratégico, garante a prestação jurisdicional, evita a interrupção da prestação administrativa e/ou atende a normativo.
</v>
      </c>
      <c r="Q19" s="191"/>
      <c r="R19" s="192">
        <f>IFERROR(__xludf.DUMMYFUNCTION("""COMPUTED_VALUE"""),1.51132022236947E14)</f>
        <v>151132022236947</v>
      </c>
    </row>
    <row r="20">
      <c r="A20" s="180" t="str">
        <f>IFERROR(__xludf.DUMMYFUNCTION("""COMPUTED_VALUE"""),"TRT12")</f>
        <v>TRT12</v>
      </c>
      <c r="B20" s="180" t="str">
        <f>IFERROR(__xludf.DUMMYFUNCTION("""COMPUTED_VALUE"""),"SETIC")</f>
        <v>SETIC</v>
      </c>
      <c r="C20" s="181" t="str">
        <f>IFERROR(__xludf.DUMMYFUNCTION("""COMPUTED_VALUE"""),"NOBREAKS BATERIAS ")</f>
        <v>NOBREAKS BATERIAS </v>
      </c>
      <c r="D20" s="181" t="str">
        <f>IFERROR(__xludf.DUMMYFUNCTION("""COMPUTED_VALUE"""),"Aquisição baterias dos Nobreaks de 40kVA (SUVT)")</f>
        <v>Aquisição baterias dos Nobreaks de 40kVA (SUVT)</v>
      </c>
      <c r="E20" s="181" t="str">
        <f>IFERROR(__xludf.DUMMYFUNCTION("""COMPUTED_VALUE"""),"Outro")</f>
        <v>Outro</v>
      </c>
      <c r="F20" s="180" t="str">
        <f>IFERROR(__xludf.DUMMYFUNCTION("""COMPUTED_VALUE"""),"Material de Consumo")</f>
        <v>Material de Consumo</v>
      </c>
      <c r="G20" s="187">
        <f>IFERROR(__xludf.DUMMYFUNCTION("""COMPUTED_VALUE"""),3.0)</f>
        <v>3</v>
      </c>
      <c r="H20" s="188">
        <f>IFERROR(__xludf.DUMMYFUNCTION("""COMPUTED_VALUE"""),15379.0)</f>
        <v>15379</v>
      </c>
      <c r="I20" s="180" t="str">
        <f>IFERROR(__xludf.DUMMYFUNCTION("""COMPUTED_VALUE"""),"Custeio")</f>
        <v>Custeio</v>
      </c>
      <c r="J20" s="185" t="str">
        <f>IFERROR(__xludf.DUMMYFUNCTION("""COMPUTED_VALUE"""),"Inexigibilidade")</f>
        <v>Inexigibilidade</v>
      </c>
      <c r="K20" s="180" t="str">
        <f>IFERROR(__xludf.DUMMYFUNCTION("""COMPUTED_VALUE"""),"Não")</f>
        <v>Não</v>
      </c>
      <c r="L20" s="180" t="str">
        <f>IFERROR(__xludf.DUMMYFUNCTION("""COMPUTED_VALUE"""),"Nova contratação")</f>
        <v>Nova contratação</v>
      </c>
      <c r="M20" s="189">
        <f>IFERROR(__xludf.DUMMYFUNCTION("""COMPUTED_VALUE"""),44805.0)</f>
        <v>44805</v>
      </c>
      <c r="N20" s="190">
        <f>IFERROR(__xludf.DUMMYFUNCTION("""COMPUTED_VALUE"""),100000.0)</f>
        <v>100000</v>
      </c>
      <c r="O20" s="190">
        <f>IFERROR(__xludf.DUMMYFUNCTION("""COMPUTED_VALUE"""),100000.0)</f>
        <v>100000</v>
      </c>
      <c r="P20" s="182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Q20" s="191"/>
      <c r="R20" s="192"/>
    </row>
    <row r="21">
      <c r="A21" s="180" t="str">
        <f>IFERROR(__xludf.DUMMYFUNCTION("""COMPUTED_VALUE"""),"TRT12")</f>
        <v>TRT12</v>
      </c>
      <c r="B21" s="180" t="str">
        <f>IFERROR(__xludf.DUMMYFUNCTION("""COMPUTED_VALUE"""),"SETIC")</f>
        <v>SETIC</v>
      </c>
      <c r="C21" s="181" t="str">
        <f>IFERROR(__xludf.DUMMYFUNCTION("""COMPUTED_VALUE"""),"NOBREAKS EQUIPAMENTOS ")</f>
        <v>NOBREAKS EQUIPAMENTOS </v>
      </c>
      <c r="D21" s="181" t="str">
        <f>IFERROR(__xludf.DUMMYFUNCTION("""COMPUTED_VALUE"""),"Aquisição de equipamentos de 8 e 10 kVA")</f>
        <v>Aquisição de equipamentos de 8 e 10 kVA</v>
      </c>
      <c r="E21" s="181" t="str">
        <f>IFERROR(__xludf.DUMMYFUNCTION("""COMPUTED_VALUE"""),"Outro")</f>
        <v>Outro</v>
      </c>
      <c r="F21" s="180" t="str">
        <f>IFERROR(__xludf.DUMMYFUNCTION("""COMPUTED_VALUE"""),"Bem")</f>
        <v>Bem</v>
      </c>
      <c r="G21" s="187">
        <f>IFERROR(__xludf.DUMMYFUNCTION("""COMPUTED_VALUE"""),25.0)</f>
        <v>25</v>
      </c>
      <c r="H21" s="188">
        <f>IFERROR(__xludf.DUMMYFUNCTION("""COMPUTED_VALUE"""),15376.0)</f>
        <v>15376</v>
      </c>
      <c r="I21" s="180" t="str">
        <f>IFERROR(__xludf.DUMMYFUNCTION("""COMPUTED_VALUE"""),"Investimento")</f>
        <v>Investimento</v>
      </c>
      <c r="J21" s="185" t="str">
        <f>IFERROR(__xludf.DUMMYFUNCTION("""COMPUTED_VALUE"""),"Pregão eletrônico")</f>
        <v>Pregão eletrônico</v>
      </c>
      <c r="K21" s="180" t="str">
        <f>IFERROR(__xludf.DUMMYFUNCTION("""COMPUTED_VALUE"""),"Não")</f>
        <v>Não</v>
      </c>
      <c r="L21" s="180" t="str">
        <f>IFERROR(__xludf.DUMMYFUNCTION("""COMPUTED_VALUE"""),"Nova contratação")</f>
        <v>Nova contratação</v>
      </c>
      <c r="M21" s="189">
        <f>IFERROR(__xludf.DUMMYFUNCTION("""COMPUTED_VALUE"""),44713.0)</f>
        <v>44713</v>
      </c>
      <c r="N21" s="190">
        <f>IFERROR(__xludf.DUMMYFUNCTION("""COMPUTED_VALUE"""),868538.56)</f>
        <v>868538.56</v>
      </c>
      <c r="O21" s="190">
        <f>IFERROR(__xludf.DUMMYFUNCTION("""COMPUTED_VALUE"""),868538.56)</f>
        <v>868538.56</v>
      </c>
      <c r="P21" s="182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Q21" s="191"/>
      <c r="R21" s="192"/>
    </row>
    <row r="22">
      <c r="A22" s="180" t="str">
        <f>IFERROR(__xludf.DUMMYFUNCTION("""COMPUTED_VALUE"""),"TRT12")</f>
        <v>TRT12</v>
      </c>
      <c r="B22" s="180" t="str">
        <f>IFERROR(__xludf.DUMMYFUNCTION("""COMPUTED_VALUE"""),"SETIC")</f>
        <v>SETIC</v>
      </c>
      <c r="C22" s="181" t="str">
        <f>IFERROR(__xludf.DUMMYFUNCTION("""COMPUTED_VALUE"""),"NOBREAKS SURT ")</f>
        <v>NOBREAKS SURT </v>
      </c>
      <c r="D22" s="181" t="str">
        <f>IFERROR(__xludf.DUMMYFUNCTION("""COMPUTED_VALUE"""),"Suporte e manutenção dos nobreaks de varas e foros (SURT 15kVA)")</f>
        <v>Suporte e manutenção dos nobreaks de varas e foros (SURT 15kVA)</v>
      </c>
      <c r="E22" s="182" t="str">
        <f>IFERROR(__xludf.DUMMYFUNCTION("""COMPUTED_VALUE"""),"Serviço de Suporte de Hardware")</f>
        <v>Serviço de Suporte de Hardware</v>
      </c>
      <c r="F22" s="180" t="str">
        <f>IFERROR(__xludf.DUMMYFUNCTION("""COMPUTED_VALUE"""),"Serviço")</f>
        <v>Serviço</v>
      </c>
      <c r="G22" s="187">
        <f>IFERROR(__xludf.DUMMYFUNCTION("""COMPUTED_VALUE"""),1.0)</f>
        <v>1</v>
      </c>
      <c r="H22" s="188">
        <f>IFERROR(__xludf.DUMMYFUNCTION("""COMPUTED_VALUE"""),15220.0)</f>
        <v>15220</v>
      </c>
      <c r="I22" s="180" t="str">
        <f>IFERROR(__xludf.DUMMYFUNCTION("""COMPUTED_VALUE"""),"Custeio")</f>
        <v>Custeio</v>
      </c>
      <c r="J22" s="185" t="str">
        <f>IFERROR(__xludf.DUMMYFUNCTION("""COMPUTED_VALUE"""),"Pregão eletrônico")</f>
        <v>Pregão eletrônico</v>
      </c>
      <c r="K22" s="180" t="str">
        <f>IFERROR(__xludf.DUMMYFUNCTION("""COMPUTED_VALUE"""),"Não")</f>
        <v>Não</v>
      </c>
      <c r="L22" s="180" t="str">
        <f>IFERROR(__xludf.DUMMYFUNCTION("""COMPUTED_VALUE"""),"Prorrogação contratual")</f>
        <v>Prorrogação contratual</v>
      </c>
      <c r="M22" s="189">
        <f>IFERROR(__xludf.DUMMYFUNCTION("""COMPUTED_VALUE"""),44848.0)</f>
        <v>44848</v>
      </c>
      <c r="N22" s="190">
        <f>IFERROR(__xludf.DUMMYFUNCTION("""COMPUTED_VALUE"""),32390.399999999998)</f>
        <v>32390.4</v>
      </c>
      <c r="O22" s="190">
        <f>IFERROR(__xludf.DUMMYFUNCTION("""COMPUTED_VALUE"""),32390.399999999998)</f>
        <v>32390.4</v>
      </c>
      <c r="P22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22" s="191"/>
      <c r="R22" s="192">
        <f>IFERROR(__xludf.DUMMYFUNCTION("""COMPUTED_VALUE"""),1.51132022236922E14)</f>
        <v>151132022236922</v>
      </c>
    </row>
    <row r="23">
      <c r="A23" s="180" t="str">
        <f>IFERROR(__xludf.DUMMYFUNCTION("""COMPUTED_VALUE"""),"TRT12")</f>
        <v>TRT12</v>
      </c>
      <c r="B23" s="180" t="str">
        <f>IFERROR(__xludf.DUMMYFUNCTION("""COMPUTED_VALUE"""),"SETIC")</f>
        <v>SETIC</v>
      </c>
      <c r="C23" s="181" t="str">
        <f>IFERROR(__xludf.DUMMYFUNCTION("""COMPUTED_VALUE"""),"NOBREAKS SUVT 2022 ")</f>
        <v>NOBREAKS SUVT 2022 </v>
      </c>
      <c r="D23" s="181" t="str">
        <f>IFERROR(__xludf.DUMMYFUNCTION("""COMPUTED_VALUE"""),"Suporte e manutenção dos nobreaks SUVT 40kVA do Datacenter e dos foros da Capital, de São José e da sede (substitui o 15019; há indicativo preliminar de que a aquisição de novos equipamentos pode ser mais vantajosa, o que será definido pelo planejamento d"&amp;"a contratação)")</f>
        <v>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E23" s="182" t="str">
        <f>IFERROR(__xludf.DUMMYFUNCTION("""COMPUTED_VALUE"""),"Serviço de Suporte de Hardware")</f>
        <v>Serviço de Suporte de Hardware</v>
      </c>
      <c r="F23" s="180" t="str">
        <f>IFERROR(__xludf.DUMMYFUNCTION("""COMPUTED_VALUE"""),"Serviço")</f>
        <v>Serviço</v>
      </c>
      <c r="G23" s="187">
        <f>IFERROR(__xludf.DUMMYFUNCTION("""COMPUTED_VALUE"""),1.0)</f>
        <v>1</v>
      </c>
      <c r="H23" s="188">
        <f>IFERROR(__xludf.DUMMYFUNCTION("""COMPUTED_VALUE"""),15357.0)</f>
        <v>15357</v>
      </c>
      <c r="I23" s="180" t="str">
        <f>IFERROR(__xludf.DUMMYFUNCTION("""COMPUTED_VALUE"""),"Custeio")</f>
        <v>Custeio</v>
      </c>
      <c r="J23" s="185" t="str">
        <f>IFERROR(__xludf.DUMMYFUNCTION("""COMPUTED_VALUE"""),"Inexigibilidade")</f>
        <v>Inexigibilidade</v>
      </c>
      <c r="K23" s="180" t="str">
        <f>IFERROR(__xludf.DUMMYFUNCTION("""COMPUTED_VALUE"""),"Não")</f>
        <v>Não</v>
      </c>
      <c r="L23" s="180" t="str">
        <f>IFERROR(__xludf.DUMMYFUNCTION("""COMPUTED_VALUE"""),"Nova contratação")</f>
        <v>Nova contratação</v>
      </c>
      <c r="M23" s="189">
        <f>IFERROR(__xludf.DUMMYFUNCTION("""COMPUTED_VALUE"""),44743.0)</f>
        <v>44743</v>
      </c>
      <c r="N23" s="190">
        <f>IFERROR(__xludf.DUMMYFUNCTION("""COMPUTED_VALUE"""),119663.0)</f>
        <v>119663</v>
      </c>
      <c r="O23" s="190">
        <f>IFERROR(__xludf.DUMMYFUNCTION("""COMPUTED_VALUE"""),65100.0)</f>
        <v>65100</v>
      </c>
      <c r="P23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23" s="191"/>
      <c r="R23" s="192">
        <f>IFERROR(__xludf.DUMMYFUNCTION("""COMPUTED_VALUE"""),1.51132022236924E14)</f>
        <v>151132022236924</v>
      </c>
    </row>
    <row r="24">
      <c r="A24" s="180" t="str">
        <f>IFERROR(__xludf.DUMMYFUNCTION("""COMPUTED_VALUE"""),"TRT12")</f>
        <v>TRT12</v>
      </c>
      <c r="B24" s="180" t="str">
        <f>IFERROR(__xludf.DUMMYFUNCTION("""COMPUTED_VALUE"""),"SETIC")</f>
        <v>SETIC</v>
      </c>
      <c r="C24" s="181" t="str">
        <f>IFERROR(__xludf.DUMMYFUNCTION("""COMPUTED_VALUE"""),"NOBREAKS SYMMETRA ")</f>
        <v>NOBREAKS SYMMETRA </v>
      </c>
      <c r="D24" s="181" t="str">
        <f>IFERROR(__xludf.DUMMYFUNCTION("""COMPUTED_VALUE"""),"Suporte e manutenção de nobreaks do datacenterSYMMETRA")</f>
        <v>Suporte e manutenção de nobreaks do datacenterSYMMETRA</v>
      </c>
      <c r="E24" s="181" t="str">
        <f>IFERROR(__xludf.DUMMYFUNCTION("""COMPUTED_VALUE"""),"Serviço de Suporte de Hardware")</f>
        <v>Serviço de Suporte de Hardware</v>
      </c>
      <c r="F24" s="180" t="str">
        <f>IFERROR(__xludf.DUMMYFUNCTION("""COMPUTED_VALUE"""),"Serviço")</f>
        <v>Serviço</v>
      </c>
      <c r="G24" s="187">
        <f>IFERROR(__xludf.DUMMYFUNCTION("""COMPUTED_VALUE"""),1.0)</f>
        <v>1</v>
      </c>
      <c r="H24" s="188">
        <f>IFERROR(__xludf.DUMMYFUNCTION("""COMPUTED_VALUE"""),15314.0)</f>
        <v>15314</v>
      </c>
      <c r="I24" s="180" t="str">
        <f>IFERROR(__xludf.DUMMYFUNCTION("""COMPUTED_VALUE"""),"Custeio")</f>
        <v>Custeio</v>
      </c>
      <c r="J24" s="185" t="str">
        <f>IFERROR(__xludf.DUMMYFUNCTION("""COMPUTED_VALUE"""),"Inexigibilidade")</f>
        <v>Inexigibilidade</v>
      </c>
      <c r="K24" s="180" t="str">
        <f>IFERROR(__xludf.DUMMYFUNCTION("""COMPUTED_VALUE"""),"Não")</f>
        <v>Não</v>
      </c>
      <c r="L24" s="180" t="str">
        <f>IFERROR(__xludf.DUMMYFUNCTION("""COMPUTED_VALUE"""),"Prorrogação contratual")</f>
        <v>Prorrogação contratual</v>
      </c>
      <c r="M24" s="189">
        <f>IFERROR(__xludf.DUMMYFUNCTION("""COMPUTED_VALUE"""),44609.0)</f>
        <v>44609</v>
      </c>
      <c r="N24" s="190">
        <f>IFERROR(__xludf.DUMMYFUNCTION("""COMPUTED_VALUE"""),106636.44)</f>
        <v>106636.44</v>
      </c>
      <c r="O24" s="190">
        <f>IFERROR(__xludf.DUMMYFUNCTION("""COMPUTED_VALUE"""),8886.37)</f>
        <v>8886.37</v>
      </c>
      <c r="P24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24" s="191"/>
      <c r="R24" s="192">
        <f>IFERROR(__xludf.DUMMYFUNCTION("""COMPUTED_VALUE"""),1.51132022236912E14)</f>
        <v>151132022236912</v>
      </c>
    </row>
    <row r="25">
      <c r="A25" s="180" t="str">
        <f>IFERROR(__xludf.DUMMYFUNCTION("""COMPUTED_VALUE"""),"TRT12")</f>
        <v>TRT12</v>
      </c>
      <c r="B25" s="180" t="str">
        <f>IFERROR(__xludf.DUMMYFUNCTION("""COMPUTED_VALUE"""),"SETIC")</f>
        <v>SETIC</v>
      </c>
      <c r="C25" s="181" t="str">
        <f>IFERROR(__xludf.DUMMYFUNCTION("""COMPUTED_VALUE"""),"NUVEM GOOGLE ")</f>
        <v>NUVEM GOOGLE </v>
      </c>
      <c r="D25" s="181" t="str">
        <f>IFERROR(__xludf.DUMMYFUNCTION("""COMPUTED_VALUE"""),"Contratação de licença de uso de serviço de nuvem de comunicação e colaboração (substitui 15072 e 15382)")</f>
        <v>Contratação de licença de uso de serviço de nuvem de comunicação e colaboração (substitui 15072 e 15382)</v>
      </c>
      <c r="E25" s="181" t="str">
        <f>IFERROR(__xludf.DUMMYFUNCTION("""COMPUTED_VALUE"""),"Licença de Google Workspace")</f>
        <v>Licença de Google Workspace</v>
      </c>
      <c r="F25" s="180" t="str">
        <f>IFERROR(__xludf.DUMMYFUNCTION("""COMPUTED_VALUE"""),"Serviço")</f>
        <v>Serviço</v>
      </c>
      <c r="G25" s="187">
        <f>IFERROR(__xludf.DUMMYFUNCTION("""COMPUTED_VALUE"""),2000.0)</f>
        <v>2000</v>
      </c>
      <c r="H25" s="188">
        <f>IFERROR(__xludf.DUMMYFUNCTION("""COMPUTED_VALUE"""),15383.0)</f>
        <v>15383</v>
      </c>
      <c r="I25" s="180" t="str">
        <f>IFERROR(__xludf.DUMMYFUNCTION("""COMPUTED_VALUE"""),"Custeio")</f>
        <v>Custeio</v>
      </c>
      <c r="J25" s="185" t="str">
        <f>IFERROR(__xludf.DUMMYFUNCTION("""COMPUTED_VALUE"""),"Pregão eletrônico")</f>
        <v>Pregão eletrônico</v>
      </c>
      <c r="K25" s="180" t="str">
        <f>IFERROR(__xludf.DUMMYFUNCTION("""COMPUTED_VALUE"""),"Sim")</f>
        <v>Sim</v>
      </c>
      <c r="L25" s="180" t="str">
        <f>IFERROR(__xludf.DUMMYFUNCTION("""COMPUTED_VALUE"""),"Nova contratação")</f>
        <v>Nova contratação</v>
      </c>
      <c r="M25" s="189">
        <f>IFERROR(__xludf.DUMMYFUNCTION("""COMPUTED_VALUE"""),44908.0)</f>
        <v>44908</v>
      </c>
      <c r="N25" s="190">
        <f>IFERROR(__xludf.DUMMYFUNCTION("""COMPUTED_VALUE"""),15000.0)</f>
        <v>15000</v>
      </c>
      <c r="O25" s="190">
        <f>IFERROR(__xludf.DUMMYFUNCTION("""COMPUTED_VALUE"""),54920.0)</f>
        <v>54920</v>
      </c>
      <c r="P25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25" s="191"/>
      <c r="R25" s="192"/>
    </row>
    <row r="26">
      <c r="A26" s="180" t="str">
        <f>IFERROR(__xludf.DUMMYFUNCTION("""COMPUTED_VALUE"""),"TRT12")</f>
        <v>TRT12</v>
      </c>
      <c r="B26" s="180" t="str">
        <f>IFERROR(__xludf.DUMMYFUNCTION("""COMPUTED_VALUE"""),"SAÚDE")</f>
        <v>SAÚDE</v>
      </c>
      <c r="C26" s="181" t="str">
        <f>IFERROR(__xludf.DUMMYFUNCTION("""COMPUTED_VALUE"""),"PRODENT ")</f>
        <v>PRODENT </v>
      </c>
      <c r="D26" s="181" t="str">
        <f>IFERROR(__xludf.DUMMYFUNCTION("""COMPUTED_VALUE"""),"Contratação de suporte e atualização para licenças de software odontológico")</f>
        <v>Contratação de suporte e atualização para licenças de software odontológico</v>
      </c>
      <c r="E26" s="181" t="str">
        <f>IFERROR(__xludf.DUMMYFUNCTION("""COMPUTED_VALUE"""),"Outro")</f>
        <v>Outro</v>
      </c>
      <c r="F26" s="180" t="str">
        <f>IFERROR(__xludf.DUMMYFUNCTION("""COMPUTED_VALUE"""),"Serviço")</f>
        <v>Serviço</v>
      </c>
      <c r="G26" s="187">
        <f>IFERROR(__xludf.DUMMYFUNCTION("""COMPUTED_VALUE"""),1.0)</f>
        <v>1</v>
      </c>
      <c r="H26" s="188">
        <f>IFERROR(__xludf.DUMMYFUNCTION("""COMPUTED_VALUE"""),15371.0)</f>
        <v>15371</v>
      </c>
      <c r="I26" s="180" t="str">
        <f>IFERROR(__xludf.DUMMYFUNCTION("""COMPUTED_VALUE"""),"Custeio")</f>
        <v>Custeio</v>
      </c>
      <c r="J26" s="185" t="str">
        <f>IFERROR(__xludf.DUMMYFUNCTION("""COMPUTED_VALUE"""),"Dispensa de licitação")</f>
        <v>Dispensa de licitação</v>
      </c>
      <c r="K26" s="180" t="str">
        <f>IFERROR(__xludf.DUMMYFUNCTION("""COMPUTED_VALUE"""),"Não")</f>
        <v>Não</v>
      </c>
      <c r="L26" s="180" t="str">
        <f>IFERROR(__xludf.DUMMYFUNCTION("""COMPUTED_VALUE"""),"Prorrogação contratual")</f>
        <v>Prorrogação contratual</v>
      </c>
      <c r="M26" s="189">
        <f>IFERROR(__xludf.DUMMYFUNCTION("""COMPUTED_VALUE"""),44783.0)</f>
        <v>44783</v>
      </c>
      <c r="N26" s="190">
        <f>IFERROR(__xludf.DUMMYFUNCTION("""COMPUTED_VALUE"""),2992.44)</f>
        <v>2992.44</v>
      </c>
      <c r="O26" s="190">
        <f>IFERROR(__xludf.DUMMYFUNCTION("""COMPUTED_VALUE"""),2992.44)</f>
        <v>2992.44</v>
      </c>
      <c r="P26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26" s="191"/>
      <c r="R26" s="192">
        <f>IFERROR(__xludf.DUMMYFUNCTION("""COMPUTED_VALUE"""),1.51132022236941E14)</f>
        <v>151132022236941</v>
      </c>
    </row>
    <row r="27">
      <c r="A27" s="180" t="str">
        <f>IFERROR(__xludf.DUMMYFUNCTION("""COMPUTED_VALUE"""),"TRT12")</f>
        <v>TRT12</v>
      </c>
      <c r="B27" s="180" t="str">
        <f>IFERROR(__xludf.DUMMYFUNCTION("""COMPUTED_VALUE"""),"SETIC")</f>
        <v>SETIC</v>
      </c>
      <c r="C27" s="181" t="str">
        <f>IFERROR(__xludf.DUMMYFUNCTION("""COMPUTED_VALUE"""),"REDE JT CIASC ")</f>
        <v>REDE JT CIASC </v>
      </c>
      <c r="D27" s="181" t="str">
        <f>IFERROR(__xludf.DUMMYFUNCTION("""COMPUTED_VALUE"""),"Contratação de links de alto desempenho para as conexões de dados entre as unidades do TRT2022")</f>
        <v>Contratação de links de alto desempenho para as conexões de dados entre as unidades do TRT2022</v>
      </c>
      <c r="E27" s="182" t="str">
        <f>IFERROR(__xludf.DUMMYFUNCTION("""COMPUTED_VALUE"""),"Link de dados")</f>
        <v>Link de dados</v>
      </c>
      <c r="F27" s="180" t="str">
        <f>IFERROR(__xludf.DUMMYFUNCTION("""COMPUTED_VALUE"""),"Serviço")</f>
        <v>Serviço</v>
      </c>
      <c r="G27" s="187">
        <f>IFERROR(__xludf.DUMMYFUNCTION("""COMPUTED_VALUE"""),33.0)</f>
        <v>33</v>
      </c>
      <c r="H27" s="188">
        <f>IFERROR(__xludf.DUMMYFUNCTION("""COMPUTED_VALUE"""),15390.0)</f>
        <v>15390</v>
      </c>
      <c r="I27" s="180" t="str">
        <f>IFERROR(__xludf.DUMMYFUNCTION("""COMPUTED_VALUE"""),"Custeio")</f>
        <v>Custeio</v>
      </c>
      <c r="J27" s="185" t="str">
        <f>IFERROR(__xludf.DUMMYFUNCTION("""COMPUTED_VALUE"""),"Dispensa de licitação")</f>
        <v>Dispensa de licitação</v>
      </c>
      <c r="K27" s="180" t="str">
        <f>IFERROR(__xludf.DUMMYFUNCTION("""COMPUTED_VALUE"""),"Não")</f>
        <v>Não</v>
      </c>
      <c r="L27" s="180" t="str">
        <f>IFERROR(__xludf.DUMMYFUNCTION("""COMPUTED_VALUE"""),"Nova contratação")</f>
        <v>Nova contratação</v>
      </c>
      <c r="M27" s="189">
        <f>IFERROR(__xludf.DUMMYFUNCTION("""COMPUTED_VALUE"""),44781.0)</f>
        <v>44781</v>
      </c>
      <c r="N27" s="190">
        <f>IFERROR(__xludf.DUMMYFUNCTION("""COMPUTED_VALUE"""),867135.36)</f>
        <v>867135.36</v>
      </c>
      <c r="O27" s="190">
        <f>IFERROR(__xludf.DUMMYFUNCTION("""COMPUTED_VALUE"""),361306.4)</f>
        <v>361306.4</v>
      </c>
      <c r="P27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27" s="191"/>
      <c r="R27" s="192">
        <f>IFERROR(__xludf.DUMMYFUNCTION("""COMPUTED_VALUE"""),1.51132022236927E14)</f>
        <v>151132022236927</v>
      </c>
    </row>
    <row r="28">
      <c r="A28" s="180" t="str">
        <f>IFERROR(__xludf.DUMMYFUNCTION("""COMPUTED_VALUE"""),"TRT12")</f>
        <v>TRT12</v>
      </c>
      <c r="B28" s="180" t="str">
        <f>IFERROR(__xludf.DUMMYFUNCTION("""COMPUTED_VALUE"""),"SETIC")</f>
        <v>SETIC</v>
      </c>
      <c r="C28" s="181" t="str">
        <f>IFERROR(__xludf.DUMMYFUNCTION("""COMPUTED_VALUE"""),"SALA COFRE 2022 ")</f>
        <v>SALA COFRE 2022 </v>
      </c>
      <c r="D28" s="181" t="str">
        <f>IFERROR(__xludf.DUMMYFUNCTION("""COMPUTED_VALUE"""),"Contratação de manutenção de sala cofre, que abriga o Datacenter principal, onde são armazenados todos os dados e os equipamentos de processamento de dados corporativos. ")</f>
        <v>Contratação de manutenção de sala cofre, que abriga o Datacenter principal, onde são armazenados todos os dados e os equipamentos de processamento de dados corporativos. </v>
      </c>
      <c r="E28" s="182" t="str">
        <f>IFERROR(__xludf.DUMMYFUNCTION("""COMPUTED_VALUE"""),"Infraestrutura de Data Center")</f>
        <v>Infraestrutura de Data Center</v>
      </c>
      <c r="F28" s="180" t="str">
        <f>IFERROR(__xludf.DUMMYFUNCTION("""COMPUTED_VALUE"""),"Serviço")</f>
        <v>Serviço</v>
      </c>
      <c r="G28" s="187">
        <f>IFERROR(__xludf.DUMMYFUNCTION("""COMPUTED_VALUE"""),1.0)</f>
        <v>1</v>
      </c>
      <c r="H28" s="188">
        <f>IFERROR(__xludf.DUMMYFUNCTION("""COMPUTED_VALUE"""),15384.0)</f>
        <v>15384</v>
      </c>
      <c r="I28" s="180" t="str">
        <f>IFERROR(__xludf.DUMMYFUNCTION("""COMPUTED_VALUE"""),"Custeio")</f>
        <v>Custeio</v>
      </c>
      <c r="J28" s="185" t="str">
        <f>IFERROR(__xludf.DUMMYFUNCTION("""COMPUTED_VALUE"""),"Pregão eletrônico")</f>
        <v>Pregão eletrônico</v>
      </c>
      <c r="K28" s="180" t="str">
        <f>IFERROR(__xludf.DUMMYFUNCTION("""COMPUTED_VALUE"""),"Não")</f>
        <v>Não</v>
      </c>
      <c r="L28" s="180" t="str">
        <f>IFERROR(__xludf.DUMMYFUNCTION("""COMPUTED_VALUE"""),"Nova contratação")</f>
        <v>Nova contratação</v>
      </c>
      <c r="M28" s="189">
        <f>IFERROR(__xludf.DUMMYFUNCTION("""COMPUTED_VALUE"""),44845.0)</f>
        <v>44845</v>
      </c>
      <c r="N28" s="190">
        <f>IFERROR(__xludf.DUMMYFUNCTION("""COMPUTED_VALUE"""),306412.44)</f>
        <v>306412.44</v>
      </c>
      <c r="O28" s="190">
        <f>IFERROR(__xludf.DUMMYFUNCTION("""COMPUTED_VALUE"""),68091.65333333332)</f>
        <v>68091.65333</v>
      </c>
      <c r="P28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28" s="191"/>
      <c r="R28" s="192">
        <f>IFERROR(__xludf.DUMMYFUNCTION("""COMPUTED_VALUE"""),1.51132022236921E14)</f>
        <v>151132022236921</v>
      </c>
    </row>
    <row r="29">
      <c r="A29" s="180" t="str">
        <f>IFERROR(__xludf.DUMMYFUNCTION("""COMPUTED_VALUE"""),"TRT12")</f>
        <v>TRT12</v>
      </c>
      <c r="B29" s="180" t="str">
        <f>IFERROR(__xludf.DUMMYFUNCTION("""COMPUTED_VALUE"""),"SECAP")</f>
        <v>SECAP</v>
      </c>
      <c r="C29" s="181" t="str">
        <f>IFERROR(__xludf.DUMMYFUNCTION("""COMPUTED_VALUE"""),"SCANNER MANUTENÇÃO ")</f>
        <v>SCANNER MANUTENÇÃO </v>
      </c>
      <c r="D29" s="181" t="str">
        <f>IFERROR(__xludf.DUMMYFUNCTION("""COMPUTED_VALUE"""),"Contratação de manutenção dos scanneres para remessa de processo ao TSTSECART (Kodak i4600 e Fujitsu fi-6800)")</f>
        <v>Contratação de manutenção dos scanneres para remessa de processo ao TSTSECART (Kodak i4600 e Fujitsu fi-6800)</v>
      </c>
      <c r="E29" s="181" t="str">
        <f>IFERROR(__xludf.DUMMYFUNCTION("""COMPUTED_VALUE"""),"Serviço de Suporte de Hardware")</f>
        <v>Serviço de Suporte de Hardware</v>
      </c>
      <c r="F29" s="180" t="str">
        <f>IFERROR(__xludf.DUMMYFUNCTION("""COMPUTED_VALUE"""),"Serviço")</f>
        <v>Serviço</v>
      </c>
      <c r="G29" s="187">
        <f>IFERROR(__xludf.DUMMYFUNCTION("""COMPUTED_VALUE"""),1.0)</f>
        <v>1</v>
      </c>
      <c r="H29" s="188">
        <f>IFERROR(__xludf.DUMMYFUNCTION("""COMPUTED_VALUE"""),15107.0)</f>
        <v>15107</v>
      </c>
      <c r="I29" s="180" t="str">
        <f>IFERROR(__xludf.DUMMYFUNCTION("""COMPUTED_VALUE"""),"Custeio")</f>
        <v>Custeio</v>
      </c>
      <c r="J29" s="185" t="str">
        <f>IFERROR(__xludf.DUMMYFUNCTION("""COMPUTED_VALUE"""),"Pregão eletrônico")</f>
        <v>Pregão eletrônico</v>
      </c>
      <c r="K29" s="180" t="str">
        <f>IFERROR(__xludf.DUMMYFUNCTION("""COMPUTED_VALUE"""),"Não")</f>
        <v>Não</v>
      </c>
      <c r="L29" s="180" t="str">
        <f>IFERROR(__xludf.DUMMYFUNCTION("""COMPUTED_VALUE"""),"Prorrogação contratual")</f>
        <v>Prorrogação contratual</v>
      </c>
      <c r="M29" s="189">
        <f>IFERROR(__xludf.DUMMYFUNCTION("""COMPUTED_VALUE"""),44818.0)</f>
        <v>44818</v>
      </c>
      <c r="N29" s="190">
        <f>IFERROR(__xludf.DUMMYFUNCTION("""COMPUTED_VALUE"""),17940.0)</f>
        <v>17940</v>
      </c>
      <c r="O29" s="190">
        <f>IFERROR(__xludf.DUMMYFUNCTION("""COMPUTED_VALUE"""),17940.0)</f>
        <v>17940</v>
      </c>
      <c r="P29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29" s="191"/>
      <c r="R29" s="192">
        <f>IFERROR(__xludf.DUMMYFUNCTION("""COMPUTED_VALUE"""),1.51132022236923E14)</f>
        <v>151132022236923</v>
      </c>
    </row>
    <row r="30">
      <c r="A30" s="180" t="str">
        <f>IFERROR(__xludf.DUMMYFUNCTION("""COMPUTED_VALUE"""),"TRT12")</f>
        <v>TRT12</v>
      </c>
      <c r="B30" s="180" t="str">
        <f>IFERROR(__xludf.DUMMYFUNCTION("""COMPUTED_VALUE"""),"CPJUD")</f>
        <v>CPJUD</v>
      </c>
      <c r="C30" s="193" t="str">
        <f>IFERROR(__xludf.DUMMYFUNCTION("""COMPUTED_VALUE"""),"SEGURANÇA MANUTENÇÃO ")</f>
        <v>SEGURANÇA MANUTENÇÃO </v>
      </c>
      <c r="D30" s="181" t="str">
        <f>IFERROR(__xludf.DUMMYFUNCTION("""COMPUTED_VALUE"""),"Contratação de serviços de manutenção preventiva e corretiva, com eventual fornecimento de peças de reposição, para as câmeras IP e outros equipamentos que compõem o sistema de imagens de segurança.")</f>
        <v>Contratação de serviços de manutenção preventiva e corretiva, com eventual fornecimento de peças de reposição, para as câmeras IP e outros equipamentos que compõem o sistema de imagens de segurança.</v>
      </c>
      <c r="E30" s="181" t="str">
        <f>IFERROR(__xludf.DUMMYFUNCTION("""COMPUTED_VALUE"""),"Serviço de Suporte de Hardware")</f>
        <v>Serviço de Suporte de Hardware</v>
      </c>
      <c r="F30" s="180" t="str">
        <f>IFERROR(__xludf.DUMMYFUNCTION("""COMPUTED_VALUE"""),"Serviço")</f>
        <v>Serviço</v>
      </c>
      <c r="G30" s="187">
        <f>IFERROR(__xludf.DUMMYFUNCTION("""COMPUTED_VALUE"""),1.0)</f>
        <v>1</v>
      </c>
      <c r="H30" s="188">
        <f>IFERROR(__xludf.DUMMYFUNCTION("""COMPUTED_VALUE"""),15347.0)</f>
        <v>15347</v>
      </c>
      <c r="I30" s="180" t="str">
        <f>IFERROR(__xludf.DUMMYFUNCTION("""COMPUTED_VALUE"""),"Custeio")</f>
        <v>Custeio</v>
      </c>
      <c r="J30" s="185" t="str">
        <f>IFERROR(__xludf.DUMMYFUNCTION("""COMPUTED_VALUE"""),"Pregão eletrônico")</f>
        <v>Pregão eletrônico</v>
      </c>
      <c r="K30" s="180" t="str">
        <f>IFERROR(__xludf.DUMMYFUNCTION("""COMPUTED_VALUE"""),"Não")</f>
        <v>Não</v>
      </c>
      <c r="L30" s="180" t="str">
        <f>IFERROR(__xludf.DUMMYFUNCTION("""COMPUTED_VALUE"""),"Nova contratação")</f>
        <v>Nova contratação</v>
      </c>
      <c r="M30" s="189">
        <f>IFERROR(__xludf.DUMMYFUNCTION("""COMPUTED_VALUE"""),44742.0)</f>
        <v>44742</v>
      </c>
      <c r="N30" s="190">
        <f>IFERROR(__xludf.DUMMYFUNCTION("""COMPUTED_VALUE"""),258600.0)</f>
        <v>258600</v>
      </c>
      <c r="O30" s="190">
        <f>IFERROR(__xludf.DUMMYFUNCTION("""COMPUTED_VALUE"""),258600.0)</f>
        <v>258600</v>
      </c>
      <c r="P30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30" s="191"/>
      <c r="R30" s="192">
        <f>IFERROR(__xludf.DUMMYFUNCTION("""COMPUTED_VALUE"""),1.51132022236917E14)</f>
        <v>151132022236917</v>
      </c>
    </row>
    <row r="31">
      <c r="A31" s="180" t="str">
        <f>IFERROR(__xludf.DUMMYFUNCTION("""COMPUTED_VALUE"""),"TRT12")</f>
        <v>TRT12</v>
      </c>
      <c r="B31" s="180" t="str">
        <f>IFERROR(__xludf.DUMMYFUNCTION("""COMPUTED_VALUE"""),"CPJUD")</f>
        <v>CPJUD</v>
      </c>
      <c r="C31" s="193" t="str">
        <f>IFERROR(__xludf.DUMMYFUNCTION("""COMPUTED_VALUE"""),"SEGURANÇA SUPORTE ")</f>
        <v>SEGURANÇA SUPORTE </v>
      </c>
      <c r="D31" s="181" t="str">
        <f>IFERROR(__xludf.DUMMYFUNCTION("""COMPUTED_VALUE"""),"Continuidade do serviço de suporte técnico do Sistema de Softwares de Segurança em uso nas unidades do TRT/SC (SENIOR)")</f>
        <v>Continuidade do serviço de suporte técnico do Sistema de Softwares de Segurança em uso nas unidades do TRT/SC (SENIOR)</v>
      </c>
      <c r="E31" s="181" t="str">
        <f>IFERROR(__xludf.DUMMYFUNCTION("""COMPUTED_VALUE"""),"Serviço de Suporte de Software")</f>
        <v>Serviço de Suporte de Software</v>
      </c>
      <c r="F31" s="180" t="str">
        <f>IFERROR(__xludf.DUMMYFUNCTION("""COMPUTED_VALUE"""),"Serviço")</f>
        <v>Serviço</v>
      </c>
      <c r="G31" s="187">
        <f>IFERROR(__xludf.DUMMYFUNCTION("""COMPUTED_VALUE"""),1.0)</f>
        <v>1</v>
      </c>
      <c r="H31" s="188">
        <f>IFERROR(__xludf.DUMMYFUNCTION("""COMPUTED_VALUE"""),15308.0)</f>
        <v>15308</v>
      </c>
      <c r="I31" s="180" t="str">
        <f>IFERROR(__xludf.DUMMYFUNCTION("""COMPUTED_VALUE"""),"Custeio")</f>
        <v>Custeio</v>
      </c>
      <c r="J31" s="185" t="str">
        <f>IFERROR(__xludf.DUMMYFUNCTION("""COMPUTED_VALUE"""),"Inexigibilidade")</f>
        <v>Inexigibilidade</v>
      </c>
      <c r="K31" s="180" t="str">
        <f>IFERROR(__xludf.DUMMYFUNCTION("""COMPUTED_VALUE"""),"Não")</f>
        <v>Não</v>
      </c>
      <c r="L31" s="180" t="str">
        <f>IFERROR(__xludf.DUMMYFUNCTION("""COMPUTED_VALUE"""),"Prorrogação contratual")</f>
        <v>Prorrogação contratual</v>
      </c>
      <c r="M31" s="189">
        <f>IFERROR(__xludf.DUMMYFUNCTION("""COMPUTED_VALUE"""),44835.0)</f>
        <v>44835</v>
      </c>
      <c r="N31" s="190">
        <f>IFERROR(__xludf.DUMMYFUNCTION("""COMPUTED_VALUE"""),64215.96)</f>
        <v>64215.96</v>
      </c>
      <c r="O31" s="190">
        <f>IFERROR(__xludf.DUMMYFUNCTION("""COMPUTED_VALUE"""),64215.96)</f>
        <v>64215.96</v>
      </c>
      <c r="P31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31" s="191"/>
      <c r="R31" s="192">
        <f>IFERROR(__xludf.DUMMYFUNCTION("""COMPUTED_VALUE"""),1.51132022236919E14)</f>
        <v>151132022236919</v>
      </c>
    </row>
    <row r="32">
      <c r="A32" s="180" t="str">
        <f>IFERROR(__xludf.DUMMYFUNCTION("""COMPUTED_VALUE"""),"TRT12")</f>
        <v>TRT12</v>
      </c>
      <c r="B32" s="180" t="str">
        <f>IFERROR(__xludf.DUMMYFUNCTION("""COMPUTED_VALUE"""),"SEJUP")</f>
        <v>SEJUP</v>
      </c>
      <c r="C32" s="181" t="str">
        <f>IFERROR(__xludf.DUMMYFUNCTION("""COMPUTED_VALUE"""),"SIABI ")</f>
        <v>SIABI </v>
      </c>
      <c r="D32" s="181" t="str">
        <f>IFERROR(__xludf.DUMMYFUNCTION("""COMPUTED_VALUE"""),"Contratação de suporte técnico e atualização de licenças do software de gerenciamento de bibliotecas")</f>
        <v>Contratação de suporte técnico e atualização de licenças do software de gerenciamento de bibliotecas</v>
      </c>
      <c r="E32" s="181" t="str">
        <f>IFERROR(__xludf.DUMMYFUNCTION("""COMPUTED_VALUE"""),"Outro")</f>
        <v>Outro</v>
      </c>
      <c r="F32" s="180" t="str">
        <f>IFERROR(__xludf.DUMMYFUNCTION("""COMPUTED_VALUE"""),"Serviço")</f>
        <v>Serviço</v>
      </c>
      <c r="G32" s="187">
        <f>IFERROR(__xludf.DUMMYFUNCTION("""COMPUTED_VALUE"""),1.0)</f>
        <v>1</v>
      </c>
      <c r="H32" s="188">
        <f>IFERROR(__xludf.DUMMYFUNCTION("""COMPUTED_VALUE"""),15360.0)</f>
        <v>15360</v>
      </c>
      <c r="I32" s="180" t="str">
        <f>IFERROR(__xludf.DUMMYFUNCTION("""COMPUTED_VALUE"""),"Custeio")</f>
        <v>Custeio</v>
      </c>
      <c r="J32" s="185" t="str">
        <f>IFERROR(__xludf.DUMMYFUNCTION("""COMPUTED_VALUE"""),"Inexigibilidade")</f>
        <v>Inexigibilidade</v>
      </c>
      <c r="K32" s="180" t="str">
        <f>IFERROR(__xludf.DUMMYFUNCTION("""COMPUTED_VALUE"""),"Não")</f>
        <v>Não</v>
      </c>
      <c r="L32" s="180" t="str">
        <f>IFERROR(__xludf.DUMMYFUNCTION("""COMPUTED_VALUE"""),"Prorrogação contratual")</f>
        <v>Prorrogação contratual</v>
      </c>
      <c r="M32" s="189">
        <f>IFERROR(__xludf.DUMMYFUNCTION("""COMPUTED_VALUE"""),44636.0)</f>
        <v>44636</v>
      </c>
      <c r="N32" s="190">
        <f>IFERROR(__xludf.DUMMYFUNCTION("""COMPUTED_VALUE"""),7626.48)</f>
        <v>7626.48</v>
      </c>
      <c r="O32" s="190">
        <f>IFERROR(__xludf.DUMMYFUNCTION("""COMPUTED_VALUE"""),7626.48)</f>
        <v>7626.48</v>
      </c>
      <c r="P32" s="182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Q32" s="191"/>
      <c r="R32" s="192">
        <f>IFERROR(__xludf.DUMMYFUNCTION("""COMPUTED_VALUE"""),1.5113202223694E14)</f>
        <v>151132022236940</v>
      </c>
    </row>
    <row r="33">
      <c r="A33" s="180" t="str">
        <f>IFERROR(__xludf.DUMMYFUNCTION("""COMPUTED_VALUE"""),"TRT12")</f>
        <v>TRT12</v>
      </c>
      <c r="B33" s="180" t="str">
        <f>IFERROR(__xludf.DUMMYFUNCTION("""COMPUTED_VALUE"""),"SPO")</f>
        <v>SPO</v>
      </c>
      <c r="C33" s="181" t="str">
        <f>IFERROR(__xludf.DUMMYFUNCTION("""COMPUTED_VALUE"""),"SKETCHUP PRO ")</f>
        <v>SKETCHUP PRO </v>
      </c>
      <c r="D33" s="181" t="str">
        <f>IFERROR(__xludf.DUMMYFUNCTION("""COMPUTED_VALUE"""),"Licença SketchUp ProTrimble (12 meses)")</f>
        <v>Licença SketchUp ProTrimble (12 meses)</v>
      </c>
      <c r="E33" s="181" t="str">
        <f>IFERROR(__xludf.DUMMYFUNCTION("""COMPUTED_VALUE"""),"Outro")</f>
        <v>Outro</v>
      </c>
      <c r="F33" s="180" t="str">
        <f>IFERROR(__xludf.DUMMYFUNCTION("""COMPUTED_VALUE"""),"Serviço")</f>
        <v>Serviço</v>
      </c>
      <c r="G33" s="187">
        <f>IFERROR(__xludf.DUMMYFUNCTION("""COMPUTED_VALUE"""),1.0)</f>
        <v>1</v>
      </c>
      <c r="H33" s="188">
        <f>IFERROR(__xludf.DUMMYFUNCTION("""COMPUTED_VALUE"""),15307.0)</f>
        <v>15307</v>
      </c>
      <c r="I33" s="180" t="str">
        <f>IFERROR(__xludf.DUMMYFUNCTION("""COMPUTED_VALUE"""),"Custeio")</f>
        <v>Custeio</v>
      </c>
      <c r="J33" s="185" t="str">
        <f>IFERROR(__xludf.DUMMYFUNCTION("""COMPUTED_VALUE"""),"Dispensa de licitação")</f>
        <v>Dispensa de licitação</v>
      </c>
      <c r="K33" s="180" t="str">
        <f>IFERROR(__xludf.DUMMYFUNCTION("""COMPUTED_VALUE"""),"Não")</f>
        <v>Não</v>
      </c>
      <c r="L33" s="180" t="str">
        <f>IFERROR(__xludf.DUMMYFUNCTION("""COMPUTED_VALUE"""),"Nova contratação")</f>
        <v>Nova contratação</v>
      </c>
      <c r="M33" s="189">
        <f>IFERROR(__xludf.DUMMYFUNCTION("""COMPUTED_VALUE"""),44835.0)</f>
        <v>44835</v>
      </c>
      <c r="N33" s="190">
        <f>IFERROR(__xludf.DUMMYFUNCTION("""COMPUTED_VALUE"""),1881.0)</f>
        <v>1881</v>
      </c>
      <c r="O33" s="190">
        <f>IFERROR(__xludf.DUMMYFUNCTION("""COMPUTED_VALUE"""),1881.0)</f>
        <v>1881</v>
      </c>
      <c r="P33" s="182" t="str">
        <f>IFERROR(__xludf.DUMMYFUNCTION("""COMPUTED_VALUE"""),"Contratação/prorrogação de contrato de prestação de serviço continuado de tecnologia da informação e telecomunicações desejável para a melhoria na prestação de serviços.
")</f>
        <v>Contratação/prorrogação de contrato de prestação de serviço continuado de tecnologia da informação e telecomunicações desejável para a melhoria na prestação de serviços.
</v>
      </c>
      <c r="Q33" s="191"/>
      <c r="R33" s="192"/>
    </row>
    <row r="34">
      <c r="A34" s="180" t="str">
        <f>IFERROR(__xludf.DUMMYFUNCTION("""COMPUTED_VALUE"""),"TRT12")</f>
        <v>TRT12</v>
      </c>
      <c r="B34" s="180" t="str">
        <f>IFERROR(__xludf.DUMMYFUNCTION("""COMPUTED_VALUE"""),"SETIC")</f>
        <v>SETIC</v>
      </c>
      <c r="C34" s="181" t="str">
        <f>IFERROR(__xludf.DUMMYFUNCTION("""COMPUTED_VALUE"""),"SO SUPORTE ")</f>
        <v>SO SUPORTE </v>
      </c>
      <c r="D34" s="181" t="str">
        <f>IFERROR(__xludf.DUMMYFUNCTION("""COMPUTED_VALUE"""),"Contratação de suporte e operação de infraestrutura de TIC/PJePO CSJT, inclui suporte Linux, contrato obrigatório dedicado ao PJe")</f>
        <v>Contratação de suporte e operação de infraestrutura de TIC/PJePO CSJT, inclui suporte Linux, contrato obrigatório dedicado ao PJe</v>
      </c>
      <c r="E34" s="181" t="str">
        <f>IFERROR(__xludf.DUMMYFUNCTION("""COMPUTED_VALUE"""),"Serviço de Suporte de Software")</f>
        <v>Serviço de Suporte de Software</v>
      </c>
      <c r="F34" s="180" t="str">
        <f>IFERROR(__xludf.DUMMYFUNCTION("""COMPUTED_VALUE"""),"Serviço")</f>
        <v>Serviço</v>
      </c>
      <c r="G34" s="187">
        <f>IFERROR(__xludf.DUMMYFUNCTION("""COMPUTED_VALUE"""),1.0)</f>
        <v>1</v>
      </c>
      <c r="H34" s="188">
        <f>IFERROR(__xludf.DUMMYFUNCTION("""COMPUTED_VALUE"""),15373.0)</f>
        <v>15373</v>
      </c>
      <c r="I34" s="180" t="str">
        <f>IFERROR(__xludf.DUMMYFUNCTION("""COMPUTED_VALUE"""),"Custeio")</f>
        <v>Custeio</v>
      </c>
      <c r="J34" s="185" t="str">
        <f>IFERROR(__xludf.DUMMYFUNCTION("""COMPUTED_VALUE"""),"Pregão eletrônico")</f>
        <v>Pregão eletrônico</v>
      </c>
      <c r="K34" s="180" t="str">
        <f>IFERROR(__xludf.DUMMYFUNCTION("""COMPUTED_VALUE"""),"Não")</f>
        <v>Não</v>
      </c>
      <c r="L34" s="180" t="str">
        <f>IFERROR(__xludf.DUMMYFUNCTION("""COMPUTED_VALUE"""),"Prorrogação contratual")</f>
        <v>Prorrogação contratual</v>
      </c>
      <c r="M34" s="189">
        <f>IFERROR(__xludf.DUMMYFUNCTION("""COMPUTED_VALUE"""),44869.0)</f>
        <v>44869</v>
      </c>
      <c r="N34" s="190">
        <f>IFERROR(__xludf.DUMMYFUNCTION("""COMPUTED_VALUE"""),42000.0)</f>
        <v>42000</v>
      </c>
      <c r="O34" s="190">
        <f>IFERROR(__xludf.DUMMYFUNCTION("""COMPUTED_VALUE"""),42000.0)</f>
        <v>42000</v>
      </c>
      <c r="P34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34" s="191"/>
      <c r="R34" s="192">
        <f>IFERROR(__xludf.DUMMYFUNCTION("""COMPUTED_VALUE"""),1.51132022236938E14)</f>
        <v>151132022236938</v>
      </c>
    </row>
    <row r="35">
      <c r="A35" s="180" t="str">
        <f>IFERROR(__xludf.DUMMYFUNCTION("""COMPUTED_VALUE"""),"TRT12")</f>
        <v>TRT12</v>
      </c>
      <c r="B35" s="180" t="str">
        <f>IFERROR(__xludf.DUMMYFUNCTION("""COMPUTED_VALUE"""),"SETIC")</f>
        <v>SETIC</v>
      </c>
      <c r="C35" s="181" t="str">
        <f>IFERROR(__xludf.DUMMYFUNCTION("""COMPUTED_VALUE"""),"SWITCHES EQUIPAMENTOS ")</f>
        <v>SWITCHES EQUIPAMENTOS </v>
      </c>
      <c r="D35" s="181" t="str">
        <f>IFERROR(__xludf.DUMMYFUNCTION("""COMPUTED_VALUE"""),"Ampliação da capacidade da rede SAN, que conecta os equipamentos servidores e sistema de backup às unidades de armazenamento.")</f>
        <v>Ampliação da capacidade da rede SAN, que conecta os equipamentos servidores e sistema de backup às unidades de armazenamento.</v>
      </c>
      <c r="E35" s="181" t="str">
        <f>IFERROR(__xludf.DUMMYFUNCTION("""COMPUTED_VALUE"""),"Ativo de Rede")</f>
        <v>Ativo de Rede</v>
      </c>
      <c r="F35" s="180" t="str">
        <f>IFERROR(__xludf.DUMMYFUNCTION("""COMPUTED_VALUE"""),"Bem")</f>
        <v>Bem</v>
      </c>
      <c r="G35" s="187">
        <f>IFERROR(__xludf.DUMMYFUNCTION("""COMPUTED_VALUE"""),2.0)</f>
        <v>2</v>
      </c>
      <c r="H35" s="188">
        <f>IFERROR(__xludf.DUMMYFUNCTION("""COMPUTED_VALUE"""),15327.0)</f>
        <v>15327</v>
      </c>
      <c r="I35" s="180" t="str">
        <f>IFERROR(__xludf.DUMMYFUNCTION("""COMPUTED_VALUE"""),"Investimento")</f>
        <v>Investimento</v>
      </c>
      <c r="J35" s="185" t="str">
        <f>IFERROR(__xludf.DUMMYFUNCTION("""COMPUTED_VALUE"""),"Pregão eletrônico")</f>
        <v>Pregão eletrônico</v>
      </c>
      <c r="K35" s="180" t="str">
        <f>IFERROR(__xludf.DUMMYFUNCTION("""COMPUTED_VALUE"""),"Não")</f>
        <v>Não</v>
      </c>
      <c r="L35" s="180" t="str">
        <f>IFERROR(__xludf.DUMMYFUNCTION("""COMPUTED_VALUE"""),"Nova contratação")</f>
        <v>Nova contratação</v>
      </c>
      <c r="M35" s="189">
        <f>IFERROR(__xludf.DUMMYFUNCTION("""COMPUTED_VALUE"""),44805.0)</f>
        <v>44805</v>
      </c>
      <c r="N35" s="190">
        <f>IFERROR(__xludf.DUMMYFUNCTION("""COMPUTED_VALUE"""),360000.0)</f>
        <v>360000</v>
      </c>
      <c r="O35" s="190">
        <f>IFERROR(__xludf.DUMMYFUNCTION("""COMPUTED_VALUE"""),360000.0)</f>
        <v>360000</v>
      </c>
      <c r="P35" s="182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Q35" s="191"/>
      <c r="R35" s="192"/>
    </row>
    <row r="36">
      <c r="A36" s="180" t="str">
        <f>IFERROR(__xludf.DUMMYFUNCTION("""COMPUTED_VALUE"""),"TRT12")</f>
        <v>TRT12</v>
      </c>
      <c r="B36" s="180" t="str">
        <f>IFERROR(__xludf.DUMMYFUNCTION("""COMPUTED_VALUE"""),"SETIC")</f>
        <v>SETIC</v>
      </c>
      <c r="C36" s="181" t="str">
        <f>IFERROR(__xludf.DUMMYFUNCTION("""COMPUTED_VALUE"""),"VIDEOCONFERÊNCIAS EQUIPAMENTOS ")</f>
        <v>VIDEOCONFERÊNCIAS EQUIPAMENTOS </v>
      </c>
      <c r="D36" s="181" t="str">
        <f>IFERROR(__xludf.DUMMYFUNCTION("""COMPUTED_VALUE"""),"Aquisição de câmeras com microfone")</f>
        <v>Aquisição de câmeras com microfone</v>
      </c>
      <c r="E36" s="182" t="str">
        <f>IFERROR(__xludf.DUMMYFUNCTION("""COMPUTED_VALUE"""),"Infraestrutura para usuários 
(estações de trabalho, impressoras, monitores, webcam, etc.)")</f>
        <v>Infraestrutura para usuários 
(estações de trabalho, impressoras, monitores, webcam, etc.)</v>
      </c>
      <c r="F36" s="180" t="str">
        <f>IFERROR(__xludf.DUMMYFUNCTION("""COMPUTED_VALUE"""),"Material de Consumo")</f>
        <v>Material de Consumo</v>
      </c>
      <c r="G36" s="187">
        <f>IFERROR(__xludf.DUMMYFUNCTION("""COMPUTED_VALUE"""),200.0)</f>
        <v>200</v>
      </c>
      <c r="H36" s="188">
        <f>IFERROR(__xludf.DUMMYFUNCTION("""COMPUTED_VALUE"""),15374.0)</f>
        <v>15374</v>
      </c>
      <c r="I36" s="180" t="str">
        <f>IFERROR(__xludf.DUMMYFUNCTION("""COMPUTED_VALUE"""),"Custeio")</f>
        <v>Custeio</v>
      </c>
      <c r="J36" s="185" t="str">
        <f>IFERROR(__xludf.DUMMYFUNCTION("""COMPUTED_VALUE"""),"Pregão eletrônico")</f>
        <v>Pregão eletrônico</v>
      </c>
      <c r="K36" s="180" t="str">
        <f>IFERROR(__xludf.DUMMYFUNCTION("""COMPUTED_VALUE"""),"Sim")</f>
        <v>Sim</v>
      </c>
      <c r="L36" s="180" t="str">
        <f>IFERROR(__xludf.DUMMYFUNCTION("""COMPUTED_VALUE"""),"Nova contratação")</f>
        <v>Nova contratação</v>
      </c>
      <c r="M36" s="189">
        <f>IFERROR(__xludf.DUMMYFUNCTION("""COMPUTED_VALUE"""),44742.0)</f>
        <v>44742</v>
      </c>
      <c r="N36" s="190">
        <f>IFERROR(__xludf.DUMMYFUNCTION("""COMPUTED_VALUE"""),136300.0)</f>
        <v>136300</v>
      </c>
      <c r="O36" s="190">
        <f>IFERROR(__xludf.DUMMYFUNCTION("""COMPUTED_VALUE"""),136300.0)</f>
        <v>136300</v>
      </c>
      <c r="P36" s="182" t="str">
        <f>IFERROR(__xludf.DUMMYFUNCTION("""COMPUTED_VALUE"""),"Aquisição de produto, peça de reposição, material de consumo e/ou de serviço não continuado de tecnologia da informação e telecomunicações que atende a projeto estratégico, garante a prestação jurisdicional, evita a interrupção da prestação administrativa"&amp;" e/ou atende a normativo.
")</f>
        <v>Aquisição de produto, peça de reposição, material de consumo e/ou de serviço não continuado de tecnologia da informação e telecomunicações que atende a projeto estratégico, garante a prestação jurisdicional, evita a interrupção da prestação administrativa e/ou atende a normativo.
</v>
      </c>
      <c r="Q36" s="191"/>
      <c r="R36" s="192"/>
    </row>
    <row r="37">
      <c r="A37" s="180" t="str">
        <f>IFERROR(__xludf.DUMMYFUNCTION("""COMPUTED_VALUE"""),"TRT12")</f>
        <v>TRT12</v>
      </c>
      <c r="B37" s="180" t="str">
        <f>IFERROR(__xludf.DUMMYFUNCTION("""COMPUTED_VALUE"""),"SETIC")</f>
        <v>SETIC</v>
      </c>
      <c r="C37" s="181" t="str">
        <f>IFERROR(__xludf.DUMMYFUNCTION("""COMPUTED_VALUE"""),"VMWARE LICENÇA ")</f>
        <v>VMWARE LICENÇA </v>
      </c>
      <c r="D37" s="181" t="str">
        <f>IFERROR(__xludf.DUMMYFUNCTION("""COMPUTED_VALUE"""),"Licença perpétua do VS7-EPL-C com suporte e subscrição Basic por 5 anos (item 2 do DOD)")</f>
        <v>Licença perpétua do VS7-EPL-C com suporte e subscrição Basic por 5 anos (item 2 do DOD)</v>
      </c>
      <c r="E37" s="181" t="str">
        <f>IFERROR(__xludf.DUMMYFUNCTION("""COMPUTED_VALUE"""),"Licença para Softwares de Ambiente Virtual")</f>
        <v>Licença para Softwares de Ambiente Virtual</v>
      </c>
      <c r="F37" s="180" t="str">
        <f>IFERROR(__xludf.DUMMYFUNCTION("""COMPUTED_VALUE"""),"Bem")</f>
        <v>Bem</v>
      </c>
      <c r="G37" s="187">
        <f>IFERROR(__xludf.DUMMYFUNCTION("""COMPUTED_VALUE"""),11.0)</f>
        <v>11</v>
      </c>
      <c r="H37" s="188">
        <f>IFERROR(__xludf.DUMMYFUNCTION("""COMPUTED_VALUE"""),15387.0)</f>
        <v>15387</v>
      </c>
      <c r="I37" s="180" t="str">
        <f>IFERROR(__xludf.DUMMYFUNCTION("""COMPUTED_VALUE"""),"Investimento")</f>
        <v>Investimento</v>
      </c>
      <c r="J37" s="185" t="str">
        <f>IFERROR(__xludf.DUMMYFUNCTION("""COMPUTED_VALUE"""),"Pregão eletrônico")</f>
        <v>Pregão eletrônico</v>
      </c>
      <c r="K37" s="180" t="str">
        <f>IFERROR(__xludf.DUMMYFUNCTION("""COMPUTED_VALUE"""),"Sim")</f>
        <v>Sim</v>
      </c>
      <c r="L37" s="180" t="str">
        <f>IFERROR(__xludf.DUMMYFUNCTION("""COMPUTED_VALUE"""),"Nova contratação")</f>
        <v>Nova contratação</v>
      </c>
      <c r="M37" s="189">
        <f>IFERROR(__xludf.DUMMYFUNCTION("""COMPUTED_VALUE"""),44635.0)</f>
        <v>44635</v>
      </c>
      <c r="N37" s="190">
        <f>IFERROR(__xludf.DUMMYFUNCTION("""COMPUTED_VALUE"""),395000.0)</f>
        <v>395000</v>
      </c>
      <c r="O37" s="190">
        <f>IFERROR(__xludf.DUMMYFUNCTION("""COMPUTED_VALUE"""),395000.0)</f>
        <v>395000</v>
      </c>
      <c r="P37" s="182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Q37" s="191"/>
      <c r="R37" s="192"/>
    </row>
    <row r="38">
      <c r="A38" s="180" t="str">
        <f>IFERROR(__xludf.DUMMYFUNCTION("""COMPUTED_VALUE"""),"TRT12")</f>
        <v>TRT12</v>
      </c>
      <c r="B38" s="180" t="str">
        <f>IFERROR(__xludf.DUMMYFUNCTION("""COMPUTED_VALUE"""),"SETIC")</f>
        <v>SETIC</v>
      </c>
      <c r="C38" s="181" t="str">
        <f>IFERROR(__xludf.DUMMYFUNCTION("""COMPUTED_VALUE"""),"VMWARE SUPORTE ")</f>
        <v>VMWARE SUPORTE </v>
      </c>
      <c r="D38" s="181" t="str">
        <f>IFERROR(__xludf.DUMMYFUNCTION("""COMPUTED_VALUE"""),"Suporte e Subscrição Production e Basic, para o VMware vCenter Server 7 Standard for vSphere 7, por 5 anos (itens 1 e 3 do DOD)")</f>
        <v>Suporte e Subscrição Production e Basic, para o VMware vCenter Server 7 Standard for vSphere 7, por 5 anos (itens 1 e 3 do DOD)</v>
      </c>
      <c r="E38" s="182" t="str">
        <f>IFERROR(__xludf.DUMMYFUNCTION("""COMPUTED_VALUE"""),"Serviço de Suporte de Software")</f>
        <v>Serviço de Suporte de Software</v>
      </c>
      <c r="F38" s="180" t="str">
        <f>IFERROR(__xludf.DUMMYFUNCTION("""COMPUTED_VALUE"""),"Serviço")</f>
        <v>Serviço</v>
      </c>
      <c r="G38" s="187">
        <f>IFERROR(__xludf.DUMMYFUNCTION("""COMPUTED_VALUE"""),14.0)</f>
        <v>14</v>
      </c>
      <c r="H38" s="188">
        <f>IFERROR(__xludf.DUMMYFUNCTION("""COMPUTED_VALUE"""),15388.0)</f>
        <v>15388</v>
      </c>
      <c r="I38" s="180" t="str">
        <f>IFERROR(__xludf.DUMMYFUNCTION("""COMPUTED_VALUE"""),"Custeio")</f>
        <v>Custeio</v>
      </c>
      <c r="J38" s="185" t="str">
        <f>IFERROR(__xludf.DUMMYFUNCTION("""COMPUTED_VALUE"""),"Pregão eletrônico")</f>
        <v>Pregão eletrônico</v>
      </c>
      <c r="K38" s="180" t="str">
        <f>IFERROR(__xludf.DUMMYFUNCTION("""COMPUTED_VALUE"""),"Sim")</f>
        <v>Sim</v>
      </c>
      <c r="L38" s="180" t="str">
        <f>IFERROR(__xludf.DUMMYFUNCTION("""COMPUTED_VALUE"""),"Nova contratação")</f>
        <v>Nova contratação</v>
      </c>
      <c r="M38" s="189">
        <f>IFERROR(__xludf.DUMMYFUNCTION("""COMPUTED_VALUE"""),44635.0)</f>
        <v>44635</v>
      </c>
      <c r="N38" s="190">
        <f>IFERROR(__xludf.DUMMYFUNCTION("""COMPUTED_VALUE"""),352160.0)</f>
        <v>352160</v>
      </c>
      <c r="O38" s="190">
        <f>IFERROR(__xludf.DUMMYFUNCTION("""COMPUTED_VALUE"""),352160.0)</f>
        <v>352160</v>
      </c>
      <c r="P38" s="182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Q38" s="191"/>
      <c r="R38" s="192"/>
    </row>
  </sheetData>
  <autoFilter ref="$A$1:$R$38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150.63"/>
    <col customWidth="1" min="2" max="2" width="83.0"/>
  </cols>
  <sheetData>
    <row r="1" ht="294.75" customHeight="1">
      <c r="A1" s="363" t="str">
        <f>IFERROR(__xludf.DUMMYFUNCTION("arrayformula(""PROAD "" &amp; 'Dados para Despachos'!E2:E1000 &amp; CHAR(10) &amp; CHAR(10) &amp;
""DESPACHO - CGTIC - ID PAAC "" &amp; 'Dados para Despachos'!A2:A1000 &amp; CHAR(10) &amp; CHAR(10) &amp;
""O Comitê de Governança de Tecnologia da Informação e Comunicação RECEBEU"" &amp;  
"""&amp;" a demanda apresentada no PROAD "" &amp; 'Dados para Despachos'!E2:E1000 &amp;  
"", para o Plano de Contratações de TIC 2022, conforme descrito a seguir:"" &amp; CHAR(10) &amp; CHAR(10) &amp;
""ID PAAC: "" &amp; 'Dados para Despachos'!A2:A1000 &amp; CHAR(10) &amp;
""Descrição: "" &amp; 'Da"&amp;"dos para Despachos'!B2:B1000 &amp; CHAR(10) &amp;
""Valor estimado: "" &amp; DOLLAR('Dados para Despachos'!F2:F1000) &amp; CHAR(10) &amp;
""Natureza da Despesa: "" &amp; 'Dados para Despachos'!C2:C1000 &amp; CHAR(10) &amp;
""UGO: SETIC"" &amp; CHAR(10) &amp;
""Ptres: "" &amp; 'Dados para Despachos'"&amp;"!D2:D1000 &amp; CHAR(10) &amp; CHAR(10) &amp;
""À DIGER para deliberação, conforme estabelece o parágrafo único do art. 9 da Portaria PRESI nº 136 de 2016, acrescido pela Portaria PRESI nº 40 de 2020."" &amp; CHAR(10) &amp; CHAR(10) &amp;
""Em "" &amp; TO_TEXT(TODAY()) &amp; "","" &amp; CHA"&amp;"R(10) &amp; CHAR(10) &amp;
""Valdir Luiz da Cunha"" &amp; CHAR(10) &amp;
""Secretário do CGTIC"")"),"PROAD 10620/2020
DESPACHO - CGTIC - ID PAAC 15166
O Comitê de Governança de Tecnologia da Informação e Comunicação RECEBEU a demanda apresentada no PROAD 10620/2020, para o Plano de Contratações de TIC 2022, conforme descrito a seguir:
ID PAAC: 15166
D"&amp;"escrição: ADOBE LICENÇAS - Manutenção da LICENÇA DE SOFTWARE PACOTE ADOBE - EJUD e SECOM (para 3 anos)
Valor estimado: R$ 59.760,00
Natureza da Despesa: GND3
UGO: SETIC
Ptres: 168105
À DIGER para deliberação, conforme estabelece o parágrafo único do art."&amp;" 9 da Portaria PRESI nº 136 de 2016, acrescido pela Portaria PRESI nº 40 de 2020.
Em 26/04/2022,
Valdir Luiz da Cunha
Secretário do CGTIC")</f>
        <v>PROAD 10620/2020
DESPACHO - CGTIC - ID PAAC 15166
O Comitê de Governança de Tecnologia da Informação e Comunicação RECEBEU a demanda apresentada no PROAD 10620/2020, para o Plano de Contratações de TIC 2022, conforme descrito a seguir:
ID PAAC: 15166
Descrição: ADOBE LICENÇAS - Manutenção da LICENÇA DE SOFTWARE PACOTE ADOBE - EJUD e SECOM (para 3 anos)
Valor estimado: R$ 59.760,00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1" s="363"/>
    </row>
    <row r="2">
      <c r="A2" s="363" t="str">
        <f>IFERROR(__xludf.DUMMYFUNCTION("""COMPUTED_VALUE"""),"PROAD 12196/2021
DESPACHO - CGTIC - ID PAAC 15329
O Comitê de Governança de Tecnologia da Informação e Comunicação RECEBEU a demanda apresentada no PROAD 12196/2021, para o Plano de Contratações de TIC 2022, conforme descrito a seguir:
ID PAAC: 15329
D"&amp;"escrição: DRUPAL SUPORTE - Suporte técnico para o portal de internet e intranet do TRT12, em tecnologia DRUPAL 8
Valor estimado: R$ 76.800,00
Natureza da Despesa: GND3
UGO: SETIC
Ptres: 168105
À DIGER para deliberação, conforme estabelece o parágrafo úni"&amp;"co do art. 9 da Portaria PRESI nº 136 de 2016, acrescido pela Portaria PRESI nº 40 de 2020.
Em 26/04/2022,
Valdir Luiz da Cunha
Secretário do CGTIC")</f>
        <v>PROAD 12196/2021
DESPACHO - CGTIC - ID PAAC 15329
O Comitê de Governança de Tecnologia da Informação e Comunicação RECEBEU a demanda apresentada no PROAD 12196/2021, para o Plano de Contratações de TIC 2022, conforme descrito a seguir:
ID PAAC: 15329
Descrição: DRUPAL SUPORTE - Suporte técnico para o portal de internet e intranet do TRT12, em tecnologia DRUPAL 8
Valor estimado: R$ 76.800,00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2" s="363"/>
    </row>
    <row r="3">
      <c r="A3" s="363" t="str">
        <f>IFERROR(__xludf.DUMMYFUNCTION("""COMPUTED_VALUE"""),"PROAD 12634/2021
DESPACHO - CGTIC - ID PAAC 15387
O Comitê de Governança de Tecnologia da Informação e Comunicação RECEBEU a demanda apresentada no PROAD 12634/2021, para o Plano de Contratações de TIC 2022, conforme descrito a seguir:
ID PAAC: 15387
D"&amp;"escrição: VMWARE LICENÇA - Licença perpétua do VS7-EPL-C com suporte e subscrição Basic por 5 anos (item 2 do DOD)
Valor estimado: R$ 395.000,00
Natureza da Despesa: GND4
UGO: SETIC
Ptres: 168107
À DIGER para deliberação, conforme estabelece o parágrafo "&amp;"único do art. 9 da Portaria PRESI nº 136 de 2016, acrescido pela Portaria PRESI nº 40 de 2020.
Em 26/04/2022,
Valdir Luiz da Cunha
Secretário do CGTIC")</f>
        <v>PROAD 12634/2021
DESPACHO - CGTIC - ID PAAC 15387
O Comitê de Governança de Tecnologia da Informação e Comunicação RECEBEU a demanda apresentada no PROAD 12634/2021, para o Plano de Contratações de TIC 2022, conforme descrito a seguir:
ID PAAC: 15387
Descrição: VMWARE LICENÇA - Licença perpétua do VS7-EPL-C com suporte e subscrição Basic por 5 anos (item 2 do DOD)
Valor estimado: R$ 395.000,00
Natureza da Despesa: GND4
UGO: SETIC
Ptres: 168107
À DIGER para deliberação, conforme estabelece o parágrafo único do art. 9 da Portaria PRESI nº 136 de 2016, acrescido pela Portaria PRESI nº 40 de 2020.
Em 26/04/2022,
Valdir Luiz da Cunha
Secretário do CGTIC</v>
      </c>
      <c r="B3" s="363"/>
    </row>
    <row r="4">
      <c r="A4" s="365" t="str">
        <f>IFERROR(__xludf.DUMMYFUNCTION("""COMPUTED_VALUE"""),"PROAD 12634/2021
DESPACHO - CGTIC - ID PAAC 15388
O Comitê de Governança de Tecnologia da Informação e Comunicação RECEBEU a demanda apresentada no PROAD 12634/2021, para o Plano de Contratações de TIC 2022, conforme descrito a seguir:
ID PAAC: 15388
D"&amp;"escrição: VMWARE SUPORTE - Suporte e Subscrição Production e Basic, para o VMware vCenter Server 7 Standard for vSphere 7, por 5 anos (itens 1 e 3 do DOD)
Valor estimado: R$ 352.160,00
Natureza da Despesa: GND3
UGO: SETIC
Ptres: 168107
À DIGER para delib"&amp;"eração, conforme estabelece o parágrafo único do art. 9 da Portaria PRESI nº 136 de 2016, acrescido pela Portaria PRESI nº 40 de 2020.
Em 26/04/2022,
Valdir Luiz da Cunha
Secretário do CGTIC")</f>
        <v>PROAD 12634/2021
DESPACHO - CGTIC - ID PAAC 15388
O Comitê de Governança de Tecnologia da Informação e Comunicação RECEBEU a demanda apresentada no PROAD 12634/2021, para o Plano de Contratações de TIC 2022, conforme descrito a seguir:
ID PAAC: 15388
Descrição: VMWARE SUPORTE - Suporte e Subscrição Production e Basic, para o VMware vCenter Server 7 Standard for vSphere 7, por 5 anos (itens 1 e 3 do DOD)
Valor estimado: R$ 352.160,00
Natureza da Despesa: GND3
UGO: SETIC
Ptres: 168107
À DIGER para deliberação, conforme estabelece o parágrafo único do art. 9 da Portaria PRESI nº 136 de 2016, acrescido pela Portaria PRESI nº 40 de 2020.
Em 26/04/2022,
Valdir Luiz da Cunha
Secretário do CGTIC</v>
      </c>
      <c r="B4" s="365"/>
    </row>
    <row r="5">
      <c r="A5" s="363" t="str">
        <f>IFERROR(__xludf.DUMMYFUNCTION("""COMPUTED_VALUE"""),"PROAD 1287/2021
DESPACHO - CGTIC - ID PAAC 15066
O Comitê de Governança de Tecnologia da Informação e Comunicação RECEBEU a demanda apresentada no PROAD 1287/2021, para o Plano de Contratações de TIC 2022, conforme descrito a seguir:
ID PAAC: 15066
Des"&amp;"crição: INTERNET MOVEL - Contratação de linhas de internet móvel. O quantitativo atual é de 151 e deve ser confirmado pelos estudos da contração (Ato CSJT 43/2013).
Valor estimado: R$ 41.494,80
Natureza da Despesa: GND3
UGO: SETIC
Ptres: 168105
À DIGER p"&amp;"ara deliberação, conforme estabelece o parágrafo único do art. 9 da Portaria PRESI nº 136 de 2016, acrescido pela Portaria PRESI nº 40 de 2020.
Em 26/04/2022,
Valdir Luiz da Cunha
Secretário do CGTIC")</f>
        <v>PROAD 1287/2021
DESPACHO - CGTIC - ID PAAC 15066
O Comitê de Governança de Tecnologia da Informação e Comunicação RECEBEU a demanda apresentada no PROAD 1287/2021, para o Plano de Contratações de TIC 2022, conforme descrito a seguir:
ID PAAC: 15066
Descrição: INTERNET MOVEL - Contratação de linhas de internet móvel. O quantitativo atual é de 151 e deve ser confirmado pelos estudos da contração (Ato CSJT 43/2013).
Valor estimado: R$ 41.494,80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5" s="363"/>
    </row>
    <row r="6">
      <c r="A6" s="365" t="str">
        <f>IFERROR(__xludf.DUMMYFUNCTION("""COMPUTED_VALUE"""),"PROAD 1293/2021
DESPACHO - CGTIC - ID PAAC 15060
O Comitê de Governança de Tecnologia da Informação e Comunicação RECEBEU a demanda apresentada no PROAD 1293/2021, para o Plano de Contratações de TIC 2022, conforme descrito a seguir:
ID PAAC: 15060
Des"&amp;"crição: CENTRAL DE SERVIÇOS - Contratação de serviços de suporte de TIC em 1º e 2º níveis - 2019, para fornecimento de técnicos terceirizados para atendimento aos chamados de TIC, no Estado.
Valor estimado: R$ 891.880,80
Natureza da Despesa: GND3
UGO: SET"&amp;"IC
Ptres: 168105
À DIGER para deliberação, conforme estabelece o parágrafo único do art. 9 da Portaria PRESI nº 136 de 2016, acrescido pela Portaria PRESI nº 40 de 2020.
Em 26/04/2022,
Valdir Luiz da Cunha
Secretário do CGTIC")</f>
        <v>PROAD 1293/2021
DESPACHO - CGTIC - ID PAAC 15060
O Comitê de Governança de Tecnologia da Informação e Comunicação RECEBEU a demanda apresentada no PROAD 1293/2021, para o Plano de Contratações de TIC 2022, conforme descrito a seguir:
ID PAAC: 15060
Descrição: CENTRAL DE SERVIÇOS - Contratação de serviços de suporte de TIC em 1º e 2º níveis - 2019, para fornecimento de técnicos terceirizados para atendimento aos chamados de TIC, no Estado.
Valor estimado: R$ 891.880,80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6" s="363"/>
    </row>
    <row r="7">
      <c r="A7" s="363" t="str">
        <f>IFERROR(__xludf.DUMMYFUNCTION("""COMPUTED_VALUE"""),"PROAD 1353/2022
DESPACHO - CGTIC - ID PAAC 15389
O Comitê de Governança de Tecnologia da Informação e Comunicação RECEBEU a demanda apresentada no PROAD 1353/2022, para o Plano de Contratações de TIC 2022, conforme descrito a seguir:
ID PAAC: 15389
Des"&amp;"crição: ASSYST - Contratação de suporte e atualização de licenças da solução de gerenciamento de serviços e registro de chamadas de TIC (2022)
Valor estimado: R$ 48.752,13
Natureza da Despesa: GND3
UGO: SETIC
Ptres: 168107
À DIGER para deliberação, confo"&amp;"rme estabelece o parágrafo único do art. 9 da Portaria PRESI nº 136 de 2016, acrescido pela Portaria PRESI nº 40 de 2020.
Em 26/04/2022,
Valdir Luiz da Cunha
Secretário do CGTIC")</f>
        <v>PROAD 1353/2022
DESPACHO - CGTIC - ID PAAC 15389
O Comitê de Governança de Tecnologia da Informação e Comunicação RECEBEU a demanda apresentada no PROAD 1353/2022, para o Plano de Contratações de TIC 2022, conforme descrito a seguir:
ID PAAC: 15389
Descrição: ASSYST - Contratação de suporte e atualização de licenças da solução de gerenciamento de serviços e registro de chamadas de TIC (2022)
Valor estimado: R$ 48.752,13
Natureza da Despesa: GND3
UGO: SETIC
Ptres: 168107
À DIGER para deliberação, conforme estabelece o parágrafo único do art. 9 da Portaria PRESI nº 136 de 2016, acrescido pela Portaria PRESI nº 40 de 2020.
Em 26/04/2022,
Valdir Luiz da Cunha
Secretário do CGTIC</v>
      </c>
      <c r="B7" s="363"/>
    </row>
    <row r="8">
      <c r="A8" s="363" t="str">
        <f>IFERROR(__xludf.DUMMYFUNCTION("""COMPUTED_VALUE"""),"PROAD 1358/2022
DESPACHO - CGTIC - ID PAAC 15369
O Comitê de Governança de Tecnologia da Informação e Comunicação RECEBEU a demanda apresentada no PROAD 1358/2022, para o Plano de Contratações de TIC 2022, conforme descrito a seguir:
ID PAAC: 15369
Des"&amp;"crição: INTERNET LINK 3 - Contratação de acesso corporativo à internet (substitui LINK 1)
Valor estimado: R$ 10.450,00
Natureza da Despesa: GND3
UGO: SETIC
Ptres: 168105
À DIGER para deliberação, conforme estabelece o parágrafo único do art. 9 da Portari"&amp;"a PRESI nº 136 de 2016, acrescido pela Portaria PRESI nº 40 de 2020.
Em 26/04/2022,
Valdir Luiz da Cunha
Secretário do CGTIC")</f>
        <v>PROAD 1358/2022
DESPACHO - CGTIC - ID PAAC 15369
O Comitê de Governança de Tecnologia da Informação e Comunicação RECEBEU a demanda apresentada no PROAD 1358/2022, para o Plano de Contratações de TIC 2022, conforme descrito a seguir:
ID PAAC: 15369
Descrição: INTERNET LINK 3 - Contratação de acesso corporativo à internet (substitui LINK 1)
Valor estimado: R$ 10.450,00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8" s="363"/>
    </row>
    <row r="9">
      <c r="A9" s="363" t="str">
        <f>IFERROR(__xludf.DUMMYFUNCTION("""COMPUTED_VALUE"""),"PROAD 150/2022
DESPACHO - CGTIC - ID PAAC 15353
O Comitê de Governança de Tecnologia da Informação e Comunicação RECEBEU a demanda apresentada no PROAD 150/2022, para o Plano de Contratações de TIC 2022, conforme descrito a seguir:
ID PAAC: 15353
Descr"&amp;"ição: AUDIÊNCIAS ZOOM - Viabilizar a continuidade de audiências, sessões e reuniões por meio de videoconferências (Zoom)
Valor estimado: R$ 55.999,92
Natureza da Despesa: GND3
UGO: SETIC
Ptres: 168107
À DIGER para deliberação, conforme estabelece o parág"&amp;"rafo único do art. 9 da Portaria PRESI nº 136 de 2016, acrescido pela Portaria PRESI nº 40 de 2020.
Em 26/04/2022,
Valdir Luiz da Cunha
Secretário do CGTIC")</f>
        <v>PROAD 150/2022
DESPACHO - CGTIC - ID PAAC 15353
O Comitê de Governança de Tecnologia da Informação e Comunicação RECEBEU a demanda apresentada no PROAD 150/2022, para o Plano de Contratações de TIC 2022, conforme descrito a seguir:
ID PAAC: 15353
Descrição: AUDIÊNCIAS ZOOM - Viabilizar a continuidade de audiências, sessões e reuniões por meio de videoconferências (Zoom)
Valor estimado: R$ 55.999,92
Natureza da Despesa: GND3
UGO: SETIC
Ptres: 168107
À DIGER para deliberação, conforme estabelece o parágrafo único do art. 9 da Portaria PRESI nº 136 de 2016, acrescido pela Portaria PRESI nº 40 de 2020.
Em 26/04/2022,
Valdir Luiz da Cunha
Secretário do CGTIC</v>
      </c>
      <c r="B9" s="363"/>
    </row>
    <row r="10">
      <c r="A10" s="363" t="str">
        <f>IFERROR(__xludf.DUMMYFUNCTION("""COMPUTED_VALUE"""),"PROAD 1891/2022
DESPACHO - CGTIC - ID PAAC 15254
O Comitê de Governança de Tecnologia da Informação e Comunicação RECEBEU a demanda apresentada no PROAD 1891/2022, para o Plano de Contratações de TIC 2022, conforme descrito a seguir:
ID PAAC: 15254
Des"&amp;"crição: CERTIFICADOS PJ - Aquisição Certificados Digitais SSL (PJe, domínio trt12.jus.br e siscondj), obrigatório para estabelecer autenticação de confiança entre sistemas de informação. Exigido pela instituição bancária (CERTISIGN).
Valor estimado: R$ 1."&amp;"890,00
Natureza da Despesa: GND3
UGO: SETIC
Ptres: 168105
À DIGER para deliberação, conforme estabelece o parágrafo único do art. 9 da Portaria PRESI nº 136 de 2016, acrescido pela Portaria PRESI nº 40 de 2020.
Em 26/04/2022,
Valdir Luiz da Cunha
Secre"&amp;"tário do CGTIC")</f>
        <v>PROAD 1891/2022
DESPACHO - CGTIC - ID PAAC 15254
O Comitê de Governança de Tecnologia da Informação e Comunicação RECEBEU a demanda apresentada no PROAD 1891/2022, para o Plano de Contratações de TIC 2022, conforme descrito a seguir:
ID PAAC: 15254
Descrição: CERTIFICADOS PJ - Aquisição Certificados Digitais SSL (PJe, domínio trt12.jus.br e siscondj), obrigatório para estabelecer autenticação de confiança entre sistemas de informação. Exigido pela instituição bancária (CERTISIGN).
Valor estimado: R$ 1.890,00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10" s="363"/>
    </row>
    <row r="11">
      <c r="A11" s="365" t="str">
        <f>IFERROR(__xludf.DUMMYFUNCTION("""COMPUTED_VALUE"""),"PROAD 1891/2022
DESPACHO - CGTIC - ID PAAC 15896
O Comitê de Governança de Tecnologia da Informação e Comunicação RECEBEU a demanda apresentada no PROAD 1891/2022, para o Plano de Contratações de TIC 2022, conforme descrito a seguir:
ID PAAC: 15896
Des"&amp;"crição: CERTIFICADOS PJ - Aquisição Certificados Digitais SSL (PJe, domínio trt12.jus.br e siscondj), obrigatório para estabelecer autenticação de confiança entre sistemas de informação. Exigido pela instituição bancária (HZ PORTAIS).
Valor estimado: R$ 1"&amp;".265,40
Natureza da Despesa: GND3
UGO: SETIC
Ptres: 168105
À DIGER para deliberação, conforme estabelece o parágrafo único do art. 9 da Portaria PRESI nº 136 de 2016, acrescido pela Portaria PRESI nº 40 de 2020.
Em 26/04/2022,
Valdir Luiz da Cunha
Secr"&amp;"etário do CGTIC")</f>
        <v>PROAD 1891/2022
DESPACHO - CGTIC - ID PAAC 15896
O Comitê de Governança de Tecnologia da Informação e Comunicação RECEBEU a demanda apresentada no PROAD 1891/2022, para o Plano de Contratações de TIC 2022, conforme descrito a seguir:
ID PAAC: 15896
Descrição: CERTIFICADOS PJ - Aquisição Certificados Digitais SSL (PJe, domínio trt12.jus.br e siscondj), obrigatório para estabelecer autenticação de confiança entre sistemas de informação. Exigido pela instituição bancária (HZ PORTAIS).
Valor estimado: R$ 1.265,40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11" s="363"/>
    </row>
    <row r="12">
      <c r="A12" s="363" t="str">
        <f>IFERROR(__xludf.DUMMYFUNCTION("""COMPUTED_VALUE"""),"PROAD 1964/2022
DESPACHO - CGTIC - ID PAAC 15306
O Comitê de Governança de Tecnologia da Informação e Comunicação RECEBEU a demanda apresentada no PROAD 1964/2022, para o Plano de Contratações de TIC 2022, conforme descrito a seguir:
ID PAAC: 15306
Des"&amp;"crição: AUTOCAD LICENÇAS - Contratação/prorrogação de licanças de Autodesk AutoCAD Revit Suite
Valor estimado: R$ 68.648,00
Natureza da Despesa: GND3
UGO: SETIC
Ptres: 168105
À DIGER para deliberação, conforme estabelece o parágrafo único do art. 9 da Po"&amp;"rtaria PRESI nº 136 de 2016, acrescido pela Portaria PRESI nº 40 de 2020.
Em 26/04/2022,
Valdir Luiz da Cunha
Secretário do CGTIC")</f>
        <v>PROAD 1964/2022
DESPACHO - CGTIC - ID PAAC 15306
O Comitê de Governança de Tecnologia da Informação e Comunicação RECEBEU a demanda apresentada no PROAD 1964/2022, para o Plano de Contratações de TIC 2022, conforme descrito a seguir:
ID PAAC: 15306
Descrição: AUTOCAD LICENÇAS - Contratação/prorrogação de licanças de Autodesk AutoCAD Revit Suite
Valor estimado: R$ 68.648,00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12" s="363"/>
    </row>
    <row r="13">
      <c r="A13" s="363" t="str">
        <f>IFERROR(__xludf.DUMMYFUNCTION("""COMPUTED_VALUE"""),"PROAD 2207/2022
DESPACHO - CGTIC - ID PAAC 15384
O Comitê de Governança de Tecnologia da Informação e Comunicação RECEBEU a demanda apresentada no PROAD 2207/2022, para o Plano de Contratações de TIC 2022, conforme descrito a seguir:
ID PAAC: 15384
Des"&amp;"crição: SALA COFRE 2022 - Contratação de manutenção de sala cofre, que abriga o Datacenter principal, onde são armazenados todos os dados e os equipamentos de processamento de dados corporativos. 
Valor estimado: R$ 68.091,65
Natureza da Despesa: GND3
UGO"&amp;": SETIC
Ptres: 168107
À DIGER para deliberação, conforme estabelece o parágrafo único do art. 9 da Portaria PRESI nº 136 de 2016, acrescido pela Portaria PRESI nº 40 de 2020.
Em 26/04/2022,
Valdir Luiz da Cunha
Secretário do CGTIC")</f>
        <v>PROAD 2207/2022
DESPACHO - CGTIC - ID PAAC 15384
O Comitê de Governança de Tecnologia da Informação e Comunicação RECEBEU a demanda apresentada no PROAD 2207/2022, para o Plano de Contratações de TIC 2022, conforme descrito a seguir:
ID PAAC: 15384
Descrição: SALA COFRE 2022 - Contratação de manutenção de sala cofre, que abriga o Datacenter principal, onde são armazenados todos os dados e os equipamentos de processamento de dados corporativos. 
Valor estimado: R$ 68.091,65
Natureza da Despesa: GND3
UGO: SETIC
Ptres: 168107
À DIGER para deliberação, conforme estabelece o parágrafo único do art. 9 da Portaria PRESI nº 136 de 2016, acrescido pela Portaria PRESI nº 40 de 2020.
Em 26/04/2022,
Valdir Luiz da Cunha
Secretário do CGTIC</v>
      </c>
      <c r="B13" s="363"/>
    </row>
    <row r="14">
      <c r="A14" s="365" t="str">
        <f>IFERROR(__xludf.DUMMYFUNCTION("""COMPUTED_VALUE"""),"PROAD 2265/2022
DESPACHO - CGTIC - ID PAAC 15307
O Comitê de Governança de Tecnologia da Informação e Comunicação RECEBEU a demanda apresentada no PROAD 2265/2022, para o Plano de Contratações de TIC 2022, conforme descrito a seguir:
ID PAAC: 15307
Des"&amp;"crição: SKETCHUP PRO - Licença SketchUp Pro - Trimble (12 meses)
Valor estimado: R$ 1.881,00
Natureza da Despesa: GND3
UGO: SETIC
Ptres: 168105
À DIGER para deliberação, conforme estabelece o parágrafo único do art. 9 da Portaria PRESI nº 136 de 2016, ac"&amp;"rescido pela Portaria PRESI nº 40 de 2020.
Em 26/04/2022,
Valdir Luiz da Cunha
Secretário do CGTIC")</f>
        <v>PROAD 2265/2022
DESPACHO - CGTIC - ID PAAC 15307
O Comitê de Governança de Tecnologia da Informação e Comunicação RECEBEU a demanda apresentada no PROAD 2265/2022, para o Plano de Contratações de TIC 2022, conforme descrito a seguir:
ID PAAC: 15307
Descrição: SKETCHUP PRO - Licença SketchUp Pro - Trimble (12 meses)
Valor estimado: R$ 1.881,00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14" s="365"/>
    </row>
    <row r="15">
      <c r="A15" s="363" t="str">
        <f>IFERROR(__xludf.DUMMYFUNCTION("""COMPUTED_VALUE"""),"PROAD 2407/2022
DESPACHO - CGTIC - ID PAAC 15371
O Comitê de Governança de Tecnologia da Informação e Comunicação RECEBEU a demanda apresentada no PROAD 2407/2022, para o Plano de Contratações de TIC 2022, conforme descrito a seguir:
ID PAAC: 15371
Des"&amp;"crição: PRODENT - Contratação de suporte e atualização para licenças de software odontológico
Valor estimado: R$ 2.992,44
Natureza da Despesa: GND3
UGO: SETIC
Ptres: 168105
À DIGER para deliberação, conforme estabelece o parágrafo único do art. 9 da Port"&amp;"aria PRESI nº 136 de 2016, acrescido pela Portaria PRESI nº 40 de 2020.
Em 26/04/2022,
Valdir Luiz da Cunha
Secretário do CGTIC")</f>
        <v>PROAD 2407/2022
DESPACHO - CGTIC - ID PAAC 15371
O Comitê de Governança de Tecnologia da Informação e Comunicação RECEBEU a demanda apresentada no PROAD 2407/2022, para o Plano de Contratações de TIC 2022, conforme descrito a seguir:
ID PAAC: 15371
Descrição: PRODENT - Contratação de suporte e atualização para licenças de software odontológico
Valor estimado: R$ 2.992,44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15" s="363"/>
    </row>
    <row r="16">
      <c r="A16" s="363" t="str">
        <f>IFERROR(__xludf.DUMMYFUNCTION("""COMPUTED_VALUE"""),"PROAD 2754/2022
DESPACHO - CGTIC - ID PAAC 15897
O Comitê de Governança de Tecnologia da Informação e Comunicação RECEBEU a demanda apresentada no PROAD 2754/2022, para o Plano de Contratações de TIC 2022, conforme descrito a seguir:
ID PAAC: 15897
Des"&amp;"crição: SIABI MEMORIAL - Licenças e serviços de suporte técnico e manutenção para o SIABI (Sistema de software
Automação de Bibliotecas, Arquivos, museus e Memoriais) com direito a versões
atualizadas.
Valor estimado: R$ 15.571,36
Natureza da Despesa: G"&amp;"ND3
UGO: SETIC
Ptres: 168105
À DIGER para deliberação, conforme estabelece o parágrafo único do art. 9 da Portaria PRESI nº 136 de 2016, acrescido pela Portaria PRESI nº 40 de 2020.
Em 26/04/2022,
Valdir Luiz da Cunha
Secretário do CGTIC")</f>
        <v>PROAD 2754/2022
DESPACHO - CGTIC - ID PAAC 15897
O Comitê de Governança de Tecnologia da Informação e Comunicação RECEBEU a demanda apresentada no PROAD 2754/2022, para o Plano de Contratações de TIC 2022, conforme descrito a seguir:
ID PAAC: 15897
Descrição: SIABI MEMORIAL - Licenças e serviços de suporte técnico e manutenção para o SIABI (Sistema de software
Automação de Bibliotecas, Arquivos, museus e Memoriais) com direito a versões
atualizadas.
Valor estimado: R$ 15.571,36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16" s="363"/>
    </row>
    <row r="17">
      <c r="A17" s="363" t="str">
        <f>IFERROR(__xludf.DUMMYFUNCTION("""COMPUTED_VALUE"""),"PROAD 2760/2022
DESPACHO - CGTIC - ID PAAC 15898
O Comitê de Governança de Tecnologia da Informação e Comunicação RECEBEU a demanda apresentada no PROAD 2760/2022, para o Plano de Contratações de TIC 2022, conforme descrito a seguir:
ID PAAC: 15898
Des"&amp;"crição: NOBREAK EQUIPAMENTOS - Fornecimento de energia elétrica estabilizada e ininterrupta ao data center principal (equipamentos de 40 e 80 kVA)
Valor estimado: R$ 533.000,00
Natureza da Despesa: GND4
UGO: SETIC
Ptres: 168105
À DIGER para deliberação, "&amp;"conforme estabelece o parágrafo único do art. 9 da Portaria PRESI nº 136 de 2016, acrescido pela Portaria PRESI nº 40 de 2020.
Em 26/04/2022,
Valdir Luiz da Cunha
Secretário do CGTIC")</f>
        <v>PROAD 2760/2022
DESPACHO - CGTIC - ID PAAC 15898
O Comitê de Governança de Tecnologia da Informação e Comunicação RECEBEU a demanda apresentada no PROAD 2760/2022, para o Plano de Contratações de TIC 2022, conforme descrito a seguir:
ID PAAC: 15898
Descrição: NOBREAK EQUIPAMENTOS - Fornecimento de energia elétrica estabilizada e ininterrupta ao data center principal (equipamentos de 40 e 80 kVA)
Valor estimado: R$ 533.000,00
Natureza da Despesa: GND4
UGO: SETIC
Ptres: 168105
À DIGER para deliberação, conforme estabelece o parágrafo único do art. 9 da Portaria PRESI nº 136 de 2016, acrescido pela Portaria PRESI nº 40 de 2020.
Em 26/04/2022,
Valdir Luiz da Cunha
Secretário do CGTIC</v>
      </c>
      <c r="B17" s="363"/>
    </row>
    <row r="18">
      <c r="A18" s="365" t="str">
        <f>IFERROR(__xludf.DUMMYFUNCTION("""COMPUTED_VALUE"""),"PROAD 2836/2022
DESPACHO - CGTIC - ID PAAC 15315
O Comitê de Governança de Tecnologia da Informação e Comunicação RECEBEU a demanda apresentada no PROAD 2836/2022, para o Plano de Contratações de TIC 2022, conforme descrito a seguir:
ID PAAC: 15315
Des"&amp;"crição: CERTIFICADOS PF - Aquisição de certificados digitais (tokens) para pessoa física, para todo o Estado
Valor estimado: R$ 42.020,00
Natureza da Despesa: GND3
UGO: SETIC
Ptres: 168105
À DIGER para deliberação, conforme estabelece o parágrafo único d"&amp;"o art. 9 da Portaria PRESI nº 136 de 2016, acrescido pela Portaria PRESI nº 40 de 2020.
Em 26/04/2022,
Valdir Luiz da Cunha
Secretário do CGTIC")</f>
        <v>PROAD 2836/2022
DESPACHO - CGTIC - ID PAAC 15315
O Comitê de Governança de Tecnologia da Informação e Comunicação RECEBEU a demanda apresentada no PROAD 2836/2022, para o Plano de Contratações de TIC 2022, conforme descrito a seguir:
ID PAAC: 15315
Descrição: CERTIFICADOS PF - Aquisição de certificados digitais (tokens) para pessoa física, para todo o Estado
Valor estimado: R$ 42.020,00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18" s="365"/>
    </row>
    <row r="19">
      <c r="A19" s="374" t="str">
        <f>IFERROR(__xludf.DUMMYFUNCTION("""COMPUTED_VALUE"""),"PROAD 3551/2021
DESPACHO - CGTIC - ID PAAC 15357
O Comitê de Governança de Tecnologia da Informação e Comunicação RECEBEU a demanda apresentada no PROAD 3551/2021, para o Plano de Contratações de TIC 2022, conforme descrito a seguir:
ID PAAC: 15357
Des"&amp;"crição: NOBREAKS SUVT 2022 - Suporte e manutenção dos nobreaks SUVT 40kVA do Datacenter e dos foros da Capital, de São José e da sede (substitui o 15019; há indicativo preliminar de que a aquisição de novos equipamentos pode ser mais vantajosa, o que será"&amp;" definido pelo planejamento da contratação)
Valor estimado: R$ 65.100,00
Natureza da Despesa: GND3
UGO: SETIC
Ptres: 168105
À DIGER para deliberação, conforme estabelece o parágrafo único do art. 9 da Portaria PRESI nº 136 de 2016, acrescido pela Portari"&amp;"a PRESI nº 40 de 2020.
Em 26/04/2022,
Valdir Luiz da Cunha
Secretário do CGTIC")</f>
        <v>PROAD 3551/2021
DESPACHO - CGTIC - ID PAAC 15357
O Comitê de Governança de Tecnologia da Informação e Comunicação RECEBEU a demanda apresentada no PROAD 3551/2021, para o Plano de Contratações de TIC 2022, conforme descrito a seguir:
ID PAAC: 15357
Descrição: 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
Valor estimado: R$ 65.100,00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19" s="374"/>
    </row>
    <row r="20">
      <c r="A20" s="374" t="str">
        <f>IFERROR(__xludf.DUMMYFUNCTION("""COMPUTED_VALUE"""),"PROAD 3569/2021
DESPACHO - CGTIC - ID PAAC 15376
O Comitê de Governança de Tecnologia da Informação e Comunicação RECEBEU a demanda apresentada no PROAD 3569/2021, para o Plano de Contratações de TIC 2022, conforme descrito a seguir:
ID PAAC: 15376
Des"&amp;"crição: NOBREAKS EQUIPAMENTOS - Aquisição de equipamentos de 8 e 10 kVA
Valor estimado: R$ 868.538,56
Natureza da Despesa: GND4
UGO: SETIC
Ptres: 168105
À DIGER para deliberação, conforme estabelece o parágrafo único do art. 9 da Portaria PRESI nº 136 de"&amp;" 2016, acrescido pela Portaria PRESI nº 40 de 2020.
Em 26/04/2022,
Valdir Luiz da Cunha
Secretário do CGTIC")</f>
        <v>PROAD 3569/2021
DESPACHO - CGTIC - ID PAAC 15376
O Comitê de Governança de Tecnologia da Informação e Comunicação RECEBEU a demanda apresentada no PROAD 3569/2021, para o Plano de Contratações de TIC 2022, conforme descrito a seguir:
ID PAAC: 15376
Descrição: NOBREAKS EQUIPAMENTOS - Aquisição de equipamentos de 8 e 10 kVA
Valor estimado: R$ 868.538,56
Natureza da Despesa: GND4
UGO: SETIC
Ptres: 168105
À DIGER para deliberação, conforme estabelece o parágrafo único do art. 9 da Portaria PRESI nº 136 de 2016, acrescido pela Portaria PRESI nº 40 de 2020.
Em 26/04/2022,
Valdir Luiz da Cunha
Secretário do CGTIC</v>
      </c>
      <c r="B20" s="374"/>
    </row>
    <row r="21">
      <c r="A21" s="374" t="str">
        <f>IFERROR(__xludf.DUMMYFUNCTION("""COMPUTED_VALUE"""),"PROAD 3731/2021
DESPACHO - CGTIC - ID PAAC 15314
O Comitê de Governança de Tecnologia da Informação e Comunicação RECEBEU a demanda apresentada no PROAD 3731/2021, para o Plano de Contratações de TIC 2022, conforme descrito a seguir:
ID PAAC: 15314
Des"&amp;"crição: NOBREAKS SYMMETRA - Suporte e manutenção de nobreaks do datacenter - SYMMETRA
Valor estimado: R$ 8.886,37
Natureza da Despesa: GND3
UGO: SETIC
Ptres: 168105
À DIGER para deliberação, conforme estabelece o parágrafo único do art. 9 da Portaria PRE"&amp;"SI nº 136 de 2016, acrescido pela Portaria PRESI nº 40 de 2020.
Em 26/04/2022,
Valdir Luiz da Cunha
Secretário do CGTIC")</f>
        <v>PROAD 3731/2021
DESPACHO - CGTIC - ID PAAC 15314
O Comitê de Governança de Tecnologia da Informação e Comunicação RECEBEU a demanda apresentada no PROAD 3731/2021, para o Plano de Contratações de TIC 2022, conforme descrito a seguir:
ID PAAC: 15314
Descrição: NOBREAKS SYMMETRA - Suporte e manutenção de nobreaks do datacenter - SYMMETRA
Valor estimado: R$ 8.886,37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21" s="374"/>
    </row>
    <row r="22">
      <c r="A22" s="374" t="str">
        <f>IFERROR(__xludf.DUMMYFUNCTION("""COMPUTED_VALUE"""),"PROAD 532/2022
DESPACHO - CGTIC - ID PAAC 15360
O Comitê de Governança de Tecnologia da Informação e Comunicação RECEBEU a demanda apresentada no PROAD 532/2022, para o Plano de Contratações de TIC 2022, conforme descrito a seguir:
ID PAAC: 15360
Descr"&amp;"ição: SIABI - Contratação de suporte técnico e atualização de licenças do software de gerenciamento de bibliotecas
Valor estimado: R$ 7.626,48
Natureza da Despesa: GND3
UGO: SETIC
Ptres: 168105
À DIGER para deliberação, conforme estabelece o parágrafo ún"&amp;"ico do art. 9 da Portaria PRESI nº 136 de 2016, acrescido pela Portaria PRESI nº 40 de 2020.
Em 26/04/2022,
Valdir Luiz da Cunha
Secretário do CGTIC")</f>
        <v>PROAD 532/2022
DESPACHO - CGTIC - ID PAAC 15360
O Comitê de Governança de Tecnologia da Informação e Comunicação RECEBEU a demanda apresentada no PROAD 532/2022, para o Plano de Contratações de TIC 2022, conforme descrito a seguir:
ID PAAC: 15360
Descrição: SIABI - Contratação de suporte técnico e atualização de licenças do software de gerenciamento de bibliotecas
Valor estimado: R$ 7.626,48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22" s="374"/>
    </row>
    <row r="23">
      <c r="A23" s="374" t="str">
        <f>IFERROR(__xludf.DUMMYFUNCTION("""COMPUTED_VALUE"""),"PROAD 8147/2021
DESPACHO - CGTIC - ID PAAC 15304
O Comitê de Governança de Tecnologia da Informação e Comunicação RECEBEU a demanda apresentada no PROAD 8147/2021, para o Plano de Contratações de TIC 2022, conforme descrito a seguir:
ID PAAC: 15304
Des"&amp;"crição: BACKUP EQUIPAMENTOS - Aquisição de um novo equipamento para atualizar o sistema de backup do datacenter auxiliar.
Valor estimado: R$ 433.000,00
Natureza da Despesa: GND4
UGO: SETIC
Ptres: 168105
À DIGER para deliberação, conforme estabelece o par"&amp;"ágrafo único do art. 9 da Portaria PRESI nº 136 de 2016, acrescido pela Portaria PRESI nº 40 de 2020.
Em 26/04/2022,
Valdir Luiz da Cunha
Secretário do CGTIC")</f>
        <v>PROAD 8147/2021
DESPACHO - CGTIC - ID PAAC 15304
O Comitê de Governança de Tecnologia da Informação e Comunicação RECEBEU a demanda apresentada no PROAD 8147/2021, para o Plano de Contratações de TIC 2022, conforme descrito a seguir:
ID PAAC: 15304
Descrição: BACKUP EQUIPAMENTOS - Aquisição de um novo equipamento para atualizar o sistema de backup do datacenter auxiliar.
Valor estimado: R$ 433.000,00
Natureza da Despesa: GND4
UGO: SETIC
Ptres: 168105
À DIGER para deliberação, conforme estabelece o parágrafo único do art. 9 da Portaria PRESI nº 136 de 2016, acrescido pela Portaria PRESI nº 40 de 2020.
Em 26/04/2022,
Valdir Luiz da Cunha
Secretário do CGTIC</v>
      </c>
      <c r="B23" s="374"/>
    </row>
    <row r="24">
      <c r="A24" s="374" t="str">
        <f>IFERROR(__xludf.DUMMYFUNCTION("""COMPUTED_VALUE"""),"PROAD 8147/2021
DESPACHO - CGTIC - ID PAAC 15311
O Comitê de Governança de Tecnologia da Informação e Comunicação RECEBEU a demanda apresentada no PROAD 8147/2021, para o Plano de Contratações de TIC 2022, conforme descrito a seguir:
ID PAAC: 15311
Des"&amp;"crição: BACKUP FITAS - Aquisição de fitas com capacidade de 12TB (272 unidades) e de limpeza (20 unidades).
Valor estimado: R$ 262.444,00
Natureza da Despesa: GND3
UGO: SETIC
Ptres: 168107
À DIGER para deliberação, conforme estabelece o parágrafo único d"&amp;"o art. 9 da Portaria PRESI nº 136 de 2016, acrescido pela Portaria PRESI nº 40 de 2020.
Em 26/04/2022,
Valdir Luiz da Cunha
Secretário do CGTIC")</f>
        <v>PROAD 8147/2021
DESPACHO - CGTIC - ID PAAC 15311
O Comitê de Governança de Tecnologia da Informação e Comunicação RECEBEU a demanda apresentada no PROAD 8147/2021, para o Plano de Contratações de TIC 2022, conforme descrito a seguir:
ID PAAC: 15311
Descrição: BACKUP FITAS - Aquisição de fitas com capacidade de 12TB (272 unidades) e de limpeza (20 unidades).
Valor estimado: R$ 262.444,00
Natureza da Despesa: GND3
UGO: SETIC
Ptres: 168107
À DIGER para deliberação, conforme estabelece o parágrafo único do art. 9 da Portaria PRESI nº 136 de 2016, acrescido pela Portaria PRESI nº 40 de 2020.
Em 26/04/2022,
Valdir Luiz da Cunha
Secretário do CGTIC</v>
      </c>
      <c r="B24" s="374"/>
    </row>
    <row r="25">
      <c r="A25" s="374" t="str">
        <f>IFERROR(__xludf.DUMMYFUNCTION("""COMPUTED_VALUE"""),"PROAD 8623/2021
DESPACHO - CGTIC - ID PAAC 15374
O Comitê de Governança de Tecnologia da Informação e Comunicação RECEBEU a demanda apresentada no PROAD 8623/2021, para o Plano de Contratações de TIC 2022, conforme descrito a seguir:
ID PAAC: 15374
Des"&amp;"crição: VIDEOCONFERÊNCIAS EQUIPAMENTOS - Aquisição de câmeras com microfone
Valor estimado: R$ 136.300,00
Natureza da Despesa: GND3
UGO: SETIC
Ptres: 168105
À DIGER para deliberação, conforme estabelece o parágrafo único do art. 9 da Portaria PRESI nº 13"&amp;"6 de 2016, acrescido pela Portaria PRESI nº 40 de 2020.
Em 26/04/2022,
Valdir Luiz da Cunha
Secretário do CGTIC")</f>
        <v>PROAD 8623/2021
DESPACHO - CGTIC - ID PAAC 15374
O Comitê de Governança de Tecnologia da Informação e Comunicação RECEBEU a demanda apresentada no PROAD 8623/2021, para o Plano de Contratações de TIC 2022, conforme descrito a seguir:
ID PAAC: 15374
Descrição: VIDEOCONFERÊNCIAS EQUIPAMENTOS - Aquisição de câmeras com microfone
Valor estimado: R$ 136.300,00
Natureza da Despesa: GND3
UGO: SETIC
Ptres: 168105
À DIGER para deliberação, conforme estabelece o parágrafo único do art. 9 da Portaria PRESI nº 136 de 2016, acrescido pela Portaria PRESI nº 40 de 2020.
Em 26/04/2022,
Valdir Luiz da Cunha
Secretário do CGTIC</v>
      </c>
      <c r="B25" s="374"/>
    </row>
    <row r="26">
      <c r="A26" s="374" t="str">
        <f>IFERROR(__xludf.DUMMYFUNCTION("""COMPUTED_VALUE"""),"PROAD 9109/2021
DESPACHO - CGTIC - ID PAAC 15327
O Comitê de Governança de Tecnologia da Informação e Comunicação RECEBEU a demanda apresentada no PROAD 9109/2021, para o Plano de Contratações de TIC 2022, conforme descrito a seguir:
ID PAAC: 15327
Des"&amp;"crição: SWITCHES EQUIPAMENTOS - Ampliação da capacidade da rede SAN, que conecta os equipamentos servidores e sistema de backup às unidades de armazenamento.
Valor estimado: R$ 360.000,00
Natureza da Despesa: GND4
UGO: SETIC
Ptres: 168105
À DIGER para de"&amp;"liberação, conforme estabelece o parágrafo único do art. 9 da Portaria PRESI nº 136 de 2016, acrescido pela Portaria PRESI nº 40 de 2020.
Em 26/04/2022,
Valdir Luiz da Cunha
Secretário do CGTIC")</f>
        <v>PROAD 9109/2021
DESPACHO - CGTIC - ID PAAC 15327
O Comitê de Governança de Tecnologia da Informação e Comunicação RECEBEU a demanda apresentada no PROAD 9109/2021, para o Plano de Contratações de TIC 2022, conforme descrito a seguir:
ID PAAC: 15327
Descrição: SWITCHES EQUIPAMENTOS - Ampliação da capacidade da rede SAN, que conecta os equipamentos servidores e sistema de backup às unidades de armazenamento.
Valor estimado: R$ 360.000,00
Natureza da Despesa: GND4
UGO: SETIC
Ptres: 168105
À DIGER para deliberação, conforme estabelece o parágrafo único do art. 9 da Portaria PRESI nº 136 de 2016, acrescido pela Portaria PRESI nº 40 de 2020.
Em 26/04/2022,
Valdir Luiz da Cunha
Secretário do CGTIC</v>
      </c>
      <c r="B26" s="374"/>
    </row>
    <row r="27">
      <c r="A27" s="374" t="str">
        <f>IFERROR(__xludf.DUMMYFUNCTION("""COMPUTED_VALUE"""),"PROAD 9944/2021
DESPACHO - CGTIC - ID PAAC 15361
O Comitê de Governança de Tecnologia da Informação e Comunicação RECEBEU a demanda apresentada no PROAD 9944/2021, para o Plano de Contratações de TIC 2022, conforme descrito a seguir:
ID PAAC: 15361
Des"&amp;"crição: MICROCOMPUTADORES - Aquisição de microcomputadores modelo mini desktop tipo 2 com wi-fi
Valor estimado: R$ 3.037.300,00
Natureza da Despesa: GND4
UGO: SETIC
Ptres: 168105
À DIGER para deliberação, conforme estabelece o parágrafo único do art. 9 d"&amp;"a Portaria PRESI nº 136 de 2016, acrescido pela Portaria PRESI nº 40 de 2020.
Em 26/04/2022,
Valdir Luiz da Cunha
Secretário do CGTIC")</f>
        <v>PROAD 9944/2021
DESPACHO - CGTIC - ID PAAC 15361
O Comitê de Governança de Tecnologia da Informação e Comunicação RECEBEU a demanda apresentada no PROAD 9944/2021, para o Plano de Contratações de TIC 2022, conforme descrito a seguir:
ID PAAC: 15361
Descrição: MICROCOMPUTADORES - Aquisição de microcomputadores modelo mini desktop tipo 2 com wi-fi
Valor estimado: R$ 3.037.300,00
Natureza da Despesa: GND4
UGO: SETIC
Ptres: 168105
À DIGER para deliberação, conforme estabelece o parágrafo único do art. 9 da Portaria PRESI nº 136 de 2016, acrescido pela Portaria PRESI nº 40 de 2020.
Em 26/04/2022,
Valdir Luiz da Cunha
Secretário do CGTIC</v>
      </c>
      <c r="B27" s="374"/>
    </row>
    <row r="28">
      <c r="A2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" s="374"/>
    </row>
    <row r="29">
      <c r="A2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" s="374"/>
    </row>
    <row r="30">
      <c r="A3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" s="374"/>
    </row>
    <row r="31">
      <c r="A3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" s="374"/>
    </row>
    <row r="32">
      <c r="A3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" s="374"/>
    </row>
    <row r="33">
      <c r="A3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" s="374"/>
    </row>
    <row r="34">
      <c r="A3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" s="374"/>
    </row>
    <row r="35">
      <c r="A3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" s="374"/>
    </row>
    <row r="36">
      <c r="A3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" s="374"/>
    </row>
    <row r="37">
      <c r="A3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" s="374"/>
    </row>
    <row r="38">
      <c r="A3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" s="374"/>
    </row>
    <row r="39">
      <c r="A3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" s="374"/>
    </row>
    <row r="40">
      <c r="A4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" s="374"/>
    </row>
    <row r="41">
      <c r="A4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" s="374"/>
    </row>
    <row r="42">
      <c r="A4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" s="374"/>
    </row>
    <row r="43">
      <c r="A4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" s="374"/>
    </row>
    <row r="44">
      <c r="A4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" s="374"/>
    </row>
    <row r="45">
      <c r="A4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" s="374"/>
    </row>
    <row r="46">
      <c r="A4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" s="374"/>
    </row>
    <row r="47">
      <c r="A4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" s="374"/>
    </row>
    <row r="48">
      <c r="A4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" s="374"/>
    </row>
    <row r="49">
      <c r="A4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" s="374"/>
    </row>
    <row r="50">
      <c r="A5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" s="374"/>
    </row>
    <row r="51">
      <c r="A5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" s="374"/>
    </row>
    <row r="52">
      <c r="A5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" s="374"/>
    </row>
    <row r="53">
      <c r="A5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" s="374"/>
    </row>
    <row r="54">
      <c r="A5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4" s="374"/>
    </row>
    <row r="55">
      <c r="A5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5" s="374"/>
    </row>
    <row r="56">
      <c r="A5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6" s="374"/>
    </row>
    <row r="57">
      <c r="A5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7" s="374"/>
    </row>
    <row r="58">
      <c r="A5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8" s="374"/>
    </row>
    <row r="59">
      <c r="A5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9" s="374"/>
    </row>
    <row r="60">
      <c r="A6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0" s="374"/>
    </row>
    <row r="61">
      <c r="A6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1" s="374"/>
    </row>
    <row r="62">
      <c r="A6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2" s="374"/>
    </row>
    <row r="63">
      <c r="A6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3" s="374"/>
    </row>
    <row r="64">
      <c r="A6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4" s="374"/>
    </row>
    <row r="65">
      <c r="A6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5" s="374"/>
    </row>
    <row r="66">
      <c r="A6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6" s="374"/>
    </row>
    <row r="67">
      <c r="A6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7" s="374"/>
    </row>
    <row r="68">
      <c r="A6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8" s="374"/>
    </row>
    <row r="69">
      <c r="A6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69" s="374"/>
    </row>
    <row r="70">
      <c r="A7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0" s="374"/>
    </row>
    <row r="71">
      <c r="A7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1" s="374"/>
    </row>
    <row r="72">
      <c r="A7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2" s="374"/>
    </row>
    <row r="73">
      <c r="A7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3" s="374"/>
    </row>
    <row r="74">
      <c r="A7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4" s="374"/>
    </row>
    <row r="75">
      <c r="A7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5" s="374"/>
    </row>
    <row r="76">
      <c r="A7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6" s="374"/>
    </row>
    <row r="77">
      <c r="A7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7" s="374"/>
    </row>
    <row r="78">
      <c r="A7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8" s="374"/>
    </row>
    <row r="79">
      <c r="A7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79" s="374"/>
    </row>
    <row r="80">
      <c r="A8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0" s="374"/>
    </row>
    <row r="81">
      <c r="A8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1" s="374"/>
    </row>
    <row r="82">
      <c r="A8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2" s="374"/>
    </row>
    <row r="83">
      <c r="A8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3" s="374"/>
    </row>
    <row r="84">
      <c r="A8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4" s="374"/>
    </row>
    <row r="85">
      <c r="A8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5" s="374"/>
    </row>
    <row r="86">
      <c r="A8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6" s="374"/>
    </row>
    <row r="87">
      <c r="A8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7" s="374"/>
    </row>
    <row r="88">
      <c r="A8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8" s="374"/>
    </row>
    <row r="89">
      <c r="A8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89" s="374"/>
    </row>
    <row r="90">
      <c r="A9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0" s="374"/>
    </row>
    <row r="91">
      <c r="A9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1" s="374"/>
    </row>
    <row r="92">
      <c r="A9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2" s="374"/>
    </row>
    <row r="93">
      <c r="A9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3" s="374"/>
    </row>
    <row r="94">
      <c r="A9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4" s="374"/>
    </row>
    <row r="95">
      <c r="A9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5" s="374"/>
    </row>
    <row r="96">
      <c r="A9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6" s="374"/>
    </row>
    <row r="97">
      <c r="A9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7" s="374"/>
    </row>
    <row r="98">
      <c r="A9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8" s="374"/>
    </row>
    <row r="99">
      <c r="A9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99" s="374"/>
    </row>
    <row r="100">
      <c r="A10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0" s="374"/>
    </row>
    <row r="101">
      <c r="A10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1" s="374"/>
    </row>
    <row r="102">
      <c r="A10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2" s="374"/>
    </row>
    <row r="103">
      <c r="A10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3" s="374"/>
    </row>
    <row r="104">
      <c r="A10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4" s="374"/>
    </row>
    <row r="105">
      <c r="A10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5" s="374"/>
    </row>
    <row r="106">
      <c r="A10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6" s="374"/>
    </row>
    <row r="107">
      <c r="A10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7" s="374"/>
    </row>
    <row r="108">
      <c r="A10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8" s="374"/>
    </row>
    <row r="109">
      <c r="A10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09" s="374"/>
    </row>
    <row r="110">
      <c r="A11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0" s="374"/>
    </row>
    <row r="111">
      <c r="A11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1" s="374"/>
    </row>
    <row r="112">
      <c r="A11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2" s="374"/>
    </row>
    <row r="113">
      <c r="A11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3" s="374"/>
    </row>
    <row r="114">
      <c r="A11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4" s="374"/>
    </row>
    <row r="115">
      <c r="A11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5" s="374"/>
    </row>
    <row r="116">
      <c r="A11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6" s="374"/>
    </row>
    <row r="117">
      <c r="A11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7" s="374"/>
    </row>
    <row r="118">
      <c r="A11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8" s="374"/>
    </row>
    <row r="119">
      <c r="A11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19" s="374"/>
    </row>
    <row r="120">
      <c r="A12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0" s="374"/>
    </row>
    <row r="121">
      <c r="A12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1" s="374"/>
    </row>
    <row r="122">
      <c r="A12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2" s="374"/>
    </row>
    <row r="123">
      <c r="A12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3" s="374"/>
    </row>
    <row r="124">
      <c r="A12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4" s="374"/>
    </row>
    <row r="125">
      <c r="A12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5" s="374"/>
    </row>
    <row r="126">
      <c r="A12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6" s="374"/>
    </row>
    <row r="127">
      <c r="A12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7" s="374"/>
    </row>
    <row r="128">
      <c r="A12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8" s="374"/>
    </row>
    <row r="129">
      <c r="A12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29" s="374"/>
    </row>
    <row r="130">
      <c r="A13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0" s="374"/>
    </row>
    <row r="131">
      <c r="A13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1" s="374"/>
    </row>
    <row r="132">
      <c r="A13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2" s="374"/>
    </row>
    <row r="133">
      <c r="A13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3" s="374"/>
    </row>
    <row r="134">
      <c r="A13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4" s="374"/>
    </row>
    <row r="135">
      <c r="A13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5" s="374"/>
    </row>
    <row r="136">
      <c r="A13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6" s="374"/>
    </row>
    <row r="137">
      <c r="A13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7" s="374"/>
    </row>
    <row r="138">
      <c r="A13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8" s="374"/>
    </row>
    <row r="139">
      <c r="A13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39" s="374"/>
    </row>
    <row r="140">
      <c r="A14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0" s="374"/>
    </row>
    <row r="141">
      <c r="A14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1" s="374"/>
    </row>
    <row r="142">
      <c r="A14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2" s="374"/>
    </row>
    <row r="143">
      <c r="A14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3" s="374"/>
    </row>
    <row r="144">
      <c r="A14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4" s="374"/>
    </row>
    <row r="145">
      <c r="A14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5" s="374"/>
    </row>
    <row r="146">
      <c r="A14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6" s="374"/>
    </row>
    <row r="147">
      <c r="A14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7" s="374"/>
    </row>
    <row r="148">
      <c r="A14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8" s="374"/>
    </row>
    <row r="149">
      <c r="A14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49" s="374"/>
    </row>
    <row r="150">
      <c r="A15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0" s="374"/>
    </row>
    <row r="151">
      <c r="A15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1" s="374"/>
    </row>
    <row r="152">
      <c r="A15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2" s="374"/>
    </row>
    <row r="153">
      <c r="A15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3" s="374"/>
    </row>
    <row r="154">
      <c r="A15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4" s="374"/>
    </row>
    <row r="155">
      <c r="A15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5" s="374"/>
    </row>
    <row r="156">
      <c r="A15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6" s="374"/>
    </row>
    <row r="157">
      <c r="A15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7" s="374"/>
    </row>
    <row r="158">
      <c r="A15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8" s="374"/>
    </row>
    <row r="159">
      <c r="A15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59" s="374"/>
    </row>
    <row r="160">
      <c r="A16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0" s="374"/>
    </row>
    <row r="161">
      <c r="A16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1" s="374"/>
    </row>
    <row r="162">
      <c r="A16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2" s="374"/>
    </row>
    <row r="163">
      <c r="A16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3" s="374"/>
    </row>
    <row r="164">
      <c r="A16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4" s="374"/>
    </row>
    <row r="165">
      <c r="A16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5" s="374"/>
    </row>
    <row r="166">
      <c r="A16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6" s="374"/>
    </row>
    <row r="167">
      <c r="A16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7" s="374"/>
    </row>
    <row r="168">
      <c r="A16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8" s="374"/>
    </row>
    <row r="169">
      <c r="A16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69" s="374"/>
    </row>
    <row r="170">
      <c r="A17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0" s="374"/>
    </row>
    <row r="171">
      <c r="A17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1" s="374"/>
    </row>
    <row r="172">
      <c r="A17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2" s="374"/>
    </row>
    <row r="173">
      <c r="A17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3" s="374"/>
    </row>
    <row r="174">
      <c r="A17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4" s="374"/>
    </row>
    <row r="175">
      <c r="A17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5" s="374"/>
    </row>
    <row r="176">
      <c r="A17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6" s="374"/>
    </row>
    <row r="177">
      <c r="A17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7" s="374"/>
    </row>
    <row r="178">
      <c r="A17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8" s="374"/>
    </row>
    <row r="179">
      <c r="A17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79" s="374"/>
    </row>
    <row r="180">
      <c r="A18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0" s="374"/>
    </row>
    <row r="181">
      <c r="A18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1" s="374"/>
    </row>
    <row r="182">
      <c r="A18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2" s="374"/>
    </row>
    <row r="183">
      <c r="A18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3" s="374"/>
    </row>
    <row r="184">
      <c r="A18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4" s="374"/>
    </row>
    <row r="185">
      <c r="A18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5" s="374"/>
    </row>
    <row r="186">
      <c r="A18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6" s="374"/>
    </row>
    <row r="187">
      <c r="A18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7" s="374"/>
    </row>
    <row r="188">
      <c r="A18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8" s="374"/>
    </row>
    <row r="189">
      <c r="A18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89" s="374"/>
    </row>
    <row r="190">
      <c r="A19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0" s="374"/>
    </row>
    <row r="191">
      <c r="A19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1" s="374"/>
    </row>
    <row r="192">
      <c r="A19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2" s="374"/>
    </row>
    <row r="193">
      <c r="A19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3" s="374"/>
    </row>
    <row r="194">
      <c r="A19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4" s="374"/>
    </row>
    <row r="195">
      <c r="A19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5" s="374"/>
    </row>
    <row r="196">
      <c r="A19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6" s="374"/>
    </row>
    <row r="197">
      <c r="A19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7" s="374"/>
    </row>
    <row r="198">
      <c r="A19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8" s="374"/>
    </row>
    <row r="199">
      <c r="A19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199" s="374"/>
    </row>
    <row r="200">
      <c r="A20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0" s="374"/>
    </row>
    <row r="201">
      <c r="A20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1" s="374"/>
    </row>
    <row r="202">
      <c r="A20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2" s="374"/>
    </row>
    <row r="203">
      <c r="A20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3" s="374"/>
    </row>
    <row r="204">
      <c r="A20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4" s="374"/>
    </row>
    <row r="205">
      <c r="A20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5" s="374"/>
    </row>
    <row r="206">
      <c r="A20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6" s="374"/>
    </row>
    <row r="207">
      <c r="A20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7" s="374"/>
    </row>
    <row r="208">
      <c r="A20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8" s="374"/>
    </row>
    <row r="209">
      <c r="A20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09" s="374"/>
    </row>
    <row r="210">
      <c r="A21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0" s="374"/>
    </row>
    <row r="211">
      <c r="A21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1" s="374"/>
    </row>
    <row r="212">
      <c r="A21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2" s="374"/>
    </row>
    <row r="213">
      <c r="A21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3" s="374"/>
    </row>
    <row r="214">
      <c r="A21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4" s="374"/>
    </row>
    <row r="215">
      <c r="A21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5" s="374"/>
    </row>
    <row r="216">
      <c r="A21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6" s="374"/>
    </row>
    <row r="217">
      <c r="A21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7" s="374"/>
    </row>
    <row r="218">
      <c r="A21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8" s="374"/>
    </row>
    <row r="219">
      <c r="A21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19" s="374"/>
    </row>
    <row r="220">
      <c r="A22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0" s="374"/>
    </row>
    <row r="221">
      <c r="A22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1" s="374"/>
    </row>
    <row r="222">
      <c r="A22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2" s="374"/>
    </row>
    <row r="223">
      <c r="A22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3" s="374"/>
    </row>
    <row r="224">
      <c r="A22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4" s="374"/>
    </row>
    <row r="225">
      <c r="A22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5" s="374"/>
    </row>
    <row r="226">
      <c r="A22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6" s="374"/>
    </row>
    <row r="227">
      <c r="A22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7" s="374"/>
    </row>
    <row r="228">
      <c r="A22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8" s="374"/>
    </row>
    <row r="229">
      <c r="A22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29" s="374"/>
    </row>
    <row r="230">
      <c r="A23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0" s="374"/>
    </row>
    <row r="231">
      <c r="A23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1" s="374"/>
    </row>
    <row r="232">
      <c r="A23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2" s="374"/>
    </row>
    <row r="233">
      <c r="A23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3" s="374"/>
    </row>
    <row r="234">
      <c r="A23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4" s="374"/>
    </row>
    <row r="235">
      <c r="A23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5" s="374"/>
    </row>
    <row r="236">
      <c r="A23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6" s="374"/>
    </row>
    <row r="237">
      <c r="A23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7" s="374"/>
    </row>
    <row r="238">
      <c r="A23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8" s="374"/>
    </row>
    <row r="239">
      <c r="A23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39" s="374"/>
    </row>
    <row r="240">
      <c r="A24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0" s="374"/>
    </row>
    <row r="241">
      <c r="A24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1" s="374"/>
    </row>
    <row r="242">
      <c r="A24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2" s="374"/>
    </row>
    <row r="243">
      <c r="A24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3" s="374"/>
    </row>
    <row r="244">
      <c r="A24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4" s="374"/>
    </row>
    <row r="245">
      <c r="A24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5" s="374"/>
    </row>
    <row r="246">
      <c r="A24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6" s="374"/>
    </row>
    <row r="247">
      <c r="A24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7" s="374"/>
    </row>
    <row r="248">
      <c r="A24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8" s="374"/>
    </row>
    <row r="249">
      <c r="A24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49" s="374"/>
    </row>
    <row r="250">
      <c r="A25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0" s="374"/>
    </row>
    <row r="251">
      <c r="A25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1" s="374"/>
    </row>
    <row r="252">
      <c r="A25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2" s="374"/>
    </row>
    <row r="253">
      <c r="A25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3" s="374"/>
    </row>
    <row r="254">
      <c r="A25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4" s="374"/>
    </row>
    <row r="255">
      <c r="A25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5" s="374"/>
    </row>
    <row r="256">
      <c r="A25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6" s="374"/>
    </row>
    <row r="257">
      <c r="A25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7" s="374"/>
    </row>
    <row r="258">
      <c r="A25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8" s="374"/>
    </row>
    <row r="259">
      <c r="A25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59" s="374"/>
    </row>
    <row r="260">
      <c r="A26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0" s="374"/>
    </row>
    <row r="261">
      <c r="A26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1" s="374"/>
    </row>
    <row r="262">
      <c r="A26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2" s="374"/>
    </row>
    <row r="263">
      <c r="A26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3" s="374"/>
    </row>
    <row r="264">
      <c r="A26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4" s="374"/>
    </row>
    <row r="265">
      <c r="A26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5" s="374"/>
    </row>
    <row r="266">
      <c r="A26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6" s="374"/>
    </row>
    <row r="267">
      <c r="A26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7" s="374"/>
    </row>
    <row r="268">
      <c r="A26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8" s="374"/>
    </row>
    <row r="269">
      <c r="A26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69" s="374"/>
    </row>
    <row r="270">
      <c r="A27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0" s="374"/>
    </row>
    <row r="271">
      <c r="A27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1" s="374"/>
    </row>
    <row r="272">
      <c r="A27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2" s="374"/>
    </row>
    <row r="273">
      <c r="A27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3" s="374"/>
    </row>
    <row r="274">
      <c r="A27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4" s="374"/>
    </row>
    <row r="275">
      <c r="A27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5" s="374"/>
    </row>
    <row r="276">
      <c r="A27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6" s="374"/>
    </row>
    <row r="277">
      <c r="A27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7" s="374"/>
    </row>
    <row r="278">
      <c r="A27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8" s="374"/>
    </row>
    <row r="279">
      <c r="A27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79" s="374"/>
    </row>
    <row r="280">
      <c r="A28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0" s="374"/>
    </row>
    <row r="281">
      <c r="A28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1" s="374"/>
    </row>
    <row r="282">
      <c r="A28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2" s="374"/>
    </row>
    <row r="283">
      <c r="A28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3" s="374"/>
    </row>
    <row r="284">
      <c r="A28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4" s="374"/>
    </row>
    <row r="285">
      <c r="A28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5" s="374"/>
    </row>
    <row r="286">
      <c r="A28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6" s="374"/>
    </row>
    <row r="287">
      <c r="A28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7" s="374"/>
    </row>
    <row r="288">
      <c r="A28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8" s="374"/>
    </row>
    <row r="289">
      <c r="A28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89" s="374"/>
    </row>
    <row r="290">
      <c r="A29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0" s="374"/>
    </row>
    <row r="291">
      <c r="A29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1" s="374"/>
    </row>
    <row r="292">
      <c r="A29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2" s="374"/>
    </row>
    <row r="293">
      <c r="A29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3" s="374"/>
    </row>
    <row r="294">
      <c r="A29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4" s="374"/>
    </row>
    <row r="295">
      <c r="A29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5" s="374"/>
    </row>
    <row r="296">
      <c r="A29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6" s="374"/>
    </row>
    <row r="297">
      <c r="A29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7" s="374"/>
    </row>
    <row r="298">
      <c r="A29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8" s="374"/>
    </row>
    <row r="299">
      <c r="A29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299" s="374"/>
    </row>
    <row r="300">
      <c r="A30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0" s="374"/>
    </row>
    <row r="301">
      <c r="A30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1" s="374"/>
    </row>
    <row r="302">
      <c r="A30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2" s="374"/>
    </row>
    <row r="303">
      <c r="A30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3" s="374"/>
    </row>
    <row r="304">
      <c r="A30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4" s="374"/>
    </row>
    <row r="305">
      <c r="A30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5" s="374"/>
    </row>
    <row r="306">
      <c r="A30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6" s="374"/>
    </row>
    <row r="307">
      <c r="A30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7" s="374"/>
    </row>
    <row r="308">
      <c r="A30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8" s="374"/>
    </row>
    <row r="309">
      <c r="A30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09" s="374"/>
    </row>
    <row r="310">
      <c r="A31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0" s="374"/>
    </row>
    <row r="311">
      <c r="A31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1" s="374"/>
    </row>
    <row r="312">
      <c r="A31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2" s="374"/>
    </row>
    <row r="313">
      <c r="A31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3" s="374"/>
    </row>
    <row r="314">
      <c r="A31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4" s="374"/>
    </row>
    <row r="315">
      <c r="A31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5" s="374"/>
    </row>
    <row r="316">
      <c r="A31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6" s="374"/>
    </row>
    <row r="317">
      <c r="A31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7" s="374"/>
    </row>
    <row r="318">
      <c r="A31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8" s="374"/>
    </row>
    <row r="319">
      <c r="A31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19" s="374"/>
    </row>
    <row r="320">
      <c r="A32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0" s="374"/>
    </row>
    <row r="321">
      <c r="A32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1" s="374"/>
    </row>
    <row r="322">
      <c r="A32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2" s="374"/>
    </row>
    <row r="323">
      <c r="A32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3" s="374"/>
    </row>
    <row r="324">
      <c r="A32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4" s="374"/>
    </row>
    <row r="325">
      <c r="A32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5" s="374"/>
    </row>
    <row r="326">
      <c r="A32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6" s="374"/>
    </row>
    <row r="327">
      <c r="A32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7" s="374"/>
    </row>
    <row r="328">
      <c r="A32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8" s="374"/>
    </row>
    <row r="329">
      <c r="A32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29" s="374"/>
    </row>
    <row r="330">
      <c r="A33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0" s="374"/>
    </row>
    <row r="331">
      <c r="A33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1" s="374"/>
    </row>
    <row r="332">
      <c r="A33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2" s="374"/>
    </row>
    <row r="333">
      <c r="A33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3" s="374"/>
    </row>
    <row r="334">
      <c r="A33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4" s="374"/>
    </row>
    <row r="335">
      <c r="A33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5" s="374"/>
    </row>
    <row r="336">
      <c r="A33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6" s="374"/>
    </row>
    <row r="337">
      <c r="A33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7" s="374"/>
    </row>
    <row r="338">
      <c r="A33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8" s="374"/>
    </row>
    <row r="339">
      <c r="A33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39" s="374"/>
    </row>
    <row r="340">
      <c r="A34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0" s="374"/>
    </row>
    <row r="341">
      <c r="A34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1" s="374"/>
    </row>
    <row r="342">
      <c r="A34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2" s="374"/>
    </row>
    <row r="343">
      <c r="A34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3" s="374"/>
    </row>
    <row r="344">
      <c r="A34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4" s="374"/>
    </row>
    <row r="345">
      <c r="A34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5" s="374"/>
    </row>
    <row r="346">
      <c r="A34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6" s="374"/>
    </row>
    <row r="347">
      <c r="A34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7" s="374"/>
    </row>
    <row r="348">
      <c r="A34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8" s="374"/>
    </row>
    <row r="349">
      <c r="A34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49" s="374"/>
    </row>
    <row r="350">
      <c r="A35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0" s="374"/>
    </row>
    <row r="351">
      <c r="A35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1" s="374"/>
    </row>
    <row r="352">
      <c r="A35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2" s="374"/>
    </row>
    <row r="353">
      <c r="A35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3" s="374"/>
    </row>
    <row r="354">
      <c r="A35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4" s="374"/>
    </row>
    <row r="355">
      <c r="A35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5" s="374"/>
    </row>
    <row r="356">
      <c r="A35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6" s="374"/>
    </row>
    <row r="357">
      <c r="A35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7" s="374"/>
    </row>
    <row r="358">
      <c r="A35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8" s="374"/>
    </row>
    <row r="359">
      <c r="A35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59" s="374"/>
    </row>
    <row r="360">
      <c r="A36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0" s="374"/>
    </row>
    <row r="361">
      <c r="A36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1" s="374"/>
    </row>
    <row r="362">
      <c r="A36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2" s="374"/>
    </row>
    <row r="363">
      <c r="A36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3" s="374"/>
    </row>
    <row r="364">
      <c r="A36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4" s="374"/>
    </row>
    <row r="365">
      <c r="A36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5" s="374"/>
    </row>
    <row r="366">
      <c r="A36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6" s="374"/>
    </row>
    <row r="367">
      <c r="A36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7" s="374"/>
    </row>
    <row r="368">
      <c r="A36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8" s="374"/>
    </row>
    <row r="369">
      <c r="A36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69" s="374"/>
    </row>
    <row r="370">
      <c r="A37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0" s="374"/>
    </row>
    <row r="371">
      <c r="A37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1" s="374"/>
    </row>
    <row r="372">
      <c r="A37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2" s="374"/>
    </row>
    <row r="373">
      <c r="A37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3" s="374"/>
    </row>
    <row r="374">
      <c r="A37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4" s="374"/>
    </row>
    <row r="375">
      <c r="A37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5" s="374"/>
    </row>
    <row r="376">
      <c r="A37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6" s="374"/>
    </row>
    <row r="377">
      <c r="A37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7" s="374"/>
    </row>
    <row r="378">
      <c r="A37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8" s="374"/>
    </row>
    <row r="379">
      <c r="A37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79" s="374"/>
    </row>
    <row r="380">
      <c r="A38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0" s="374"/>
    </row>
    <row r="381">
      <c r="A38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1" s="374"/>
    </row>
    <row r="382">
      <c r="A38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2" s="374"/>
    </row>
    <row r="383">
      <c r="A38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3" s="374"/>
    </row>
    <row r="384">
      <c r="A38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4" s="374"/>
    </row>
    <row r="385">
      <c r="A38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5" s="374"/>
    </row>
    <row r="386">
      <c r="A38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6" s="374"/>
    </row>
    <row r="387">
      <c r="A38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7" s="374"/>
    </row>
    <row r="388">
      <c r="A38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8" s="374"/>
    </row>
    <row r="389">
      <c r="A38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89" s="374"/>
    </row>
    <row r="390">
      <c r="A39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0" s="374"/>
    </row>
    <row r="391">
      <c r="A39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1" s="374"/>
    </row>
    <row r="392">
      <c r="A39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2" s="374"/>
    </row>
    <row r="393">
      <c r="A39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3" s="374"/>
    </row>
    <row r="394">
      <c r="A39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4" s="374"/>
    </row>
    <row r="395">
      <c r="A39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5" s="374"/>
    </row>
    <row r="396">
      <c r="A39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6" s="374"/>
    </row>
    <row r="397">
      <c r="A39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7" s="374"/>
    </row>
    <row r="398">
      <c r="A39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8" s="374"/>
    </row>
    <row r="399">
      <c r="A39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399" s="374"/>
    </row>
    <row r="400">
      <c r="A40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0" s="374"/>
    </row>
    <row r="401">
      <c r="A40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1" s="374"/>
    </row>
    <row r="402">
      <c r="A40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2" s="374"/>
    </row>
    <row r="403">
      <c r="A40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3" s="374"/>
    </row>
    <row r="404">
      <c r="A40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4" s="374"/>
    </row>
    <row r="405">
      <c r="A40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5" s="374"/>
    </row>
    <row r="406">
      <c r="A40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6" s="374"/>
    </row>
    <row r="407">
      <c r="A40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7" s="374"/>
    </row>
    <row r="408">
      <c r="A40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8" s="374"/>
    </row>
    <row r="409">
      <c r="A40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09" s="374"/>
    </row>
    <row r="410">
      <c r="A41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0" s="374"/>
    </row>
    <row r="411">
      <c r="A41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1" s="374"/>
    </row>
    <row r="412">
      <c r="A41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2" s="374"/>
    </row>
    <row r="413">
      <c r="A41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3" s="374"/>
    </row>
    <row r="414">
      <c r="A41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4" s="374"/>
    </row>
    <row r="415">
      <c r="A41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5" s="374"/>
    </row>
    <row r="416">
      <c r="A41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6" s="374"/>
    </row>
    <row r="417">
      <c r="A41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7" s="374"/>
    </row>
    <row r="418">
      <c r="A41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8" s="374"/>
    </row>
    <row r="419">
      <c r="A41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19" s="374"/>
    </row>
    <row r="420">
      <c r="A42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0" s="374"/>
    </row>
    <row r="421">
      <c r="A42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1" s="374"/>
    </row>
    <row r="422">
      <c r="A42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2" s="374"/>
    </row>
    <row r="423">
      <c r="A42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3" s="374"/>
    </row>
    <row r="424">
      <c r="A42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4" s="374"/>
    </row>
    <row r="425">
      <c r="A42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5" s="374"/>
    </row>
    <row r="426">
      <c r="A42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6" s="374"/>
    </row>
    <row r="427">
      <c r="A42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7" s="374"/>
    </row>
    <row r="428">
      <c r="A42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8" s="374"/>
    </row>
    <row r="429">
      <c r="A42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29" s="374"/>
    </row>
    <row r="430">
      <c r="A43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0" s="374"/>
    </row>
    <row r="431">
      <c r="A43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1" s="374"/>
    </row>
    <row r="432">
      <c r="A43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2" s="374"/>
    </row>
    <row r="433">
      <c r="A43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3" s="374"/>
    </row>
    <row r="434">
      <c r="A43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4" s="374"/>
    </row>
    <row r="435">
      <c r="A43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5" s="374"/>
    </row>
    <row r="436">
      <c r="A43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6" s="374"/>
    </row>
    <row r="437">
      <c r="A43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7" s="374"/>
    </row>
    <row r="438">
      <c r="A43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8" s="374"/>
    </row>
    <row r="439">
      <c r="A43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39" s="374"/>
    </row>
    <row r="440">
      <c r="A44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0" s="374"/>
    </row>
    <row r="441">
      <c r="A44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1" s="374"/>
    </row>
    <row r="442">
      <c r="A44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2" s="374"/>
    </row>
    <row r="443">
      <c r="A44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3" s="374"/>
    </row>
    <row r="444">
      <c r="A44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4" s="374"/>
    </row>
    <row r="445">
      <c r="A44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5" s="374"/>
    </row>
    <row r="446">
      <c r="A44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6" s="374"/>
    </row>
    <row r="447">
      <c r="A44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7" s="374"/>
    </row>
    <row r="448">
      <c r="A44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8" s="374"/>
    </row>
    <row r="449">
      <c r="A44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49" s="374"/>
    </row>
    <row r="450">
      <c r="A45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0" s="374"/>
    </row>
    <row r="451">
      <c r="A45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1" s="374"/>
    </row>
    <row r="452">
      <c r="A45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2" s="374"/>
    </row>
    <row r="453">
      <c r="A45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3" s="374"/>
    </row>
    <row r="454">
      <c r="A45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4" s="374"/>
    </row>
    <row r="455">
      <c r="A45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5" s="374"/>
    </row>
    <row r="456">
      <c r="A45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6" s="374"/>
    </row>
    <row r="457">
      <c r="A45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7" s="374"/>
    </row>
    <row r="458">
      <c r="A45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8" s="374"/>
    </row>
    <row r="459">
      <c r="A45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59" s="374"/>
    </row>
    <row r="460">
      <c r="A46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0" s="374"/>
    </row>
    <row r="461">
      <c r="A46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1" s="374"/>
    </row>
    <row r="462">
      <c r="A46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2" s="374"/>
    </row>
    <row r="463">
      <c r="A46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3" s="374"/>
    </row>
    <row r="464">
      <c r="A46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4" s="374"/>
    </row>
    <row r="465">
      <c r="A46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5" s="374"/>
    </row>
    <row r="466">
      <c r="A46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6" s="374"/>
    </row>
    <row r="467">
      <c r="A46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7" s="374"/>
    </row>
    <row r="468">
      <c r="A46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8" s="374"/>
    </row>
    <row r="469">
      <c r="A46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69" s="374"/>
    </row>
    <row r="470">
      <c r="A47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0" s="374"/>
    </row>
    <row r="471">
      <c r="A47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1" s="374"/>
    </row>
    <row r="472">
      <c r="A47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2" s="374"/>
    </row>
    <row r="473">
      <c r="A47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3" s="374"/>
    </row>
    <row r="474">
      <c r="A47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4" s="374"/>
    </row>
    <row r="475">
      <c r="A47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5" s="374"/>
    </row>
    <row r="476">
      <c r="A47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6" s="374"/>
    </row>
    <row r="477">
      <c r="A47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7" s="374"/>
    </row>
    <row r="478">
      <c r="A47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8" s="374"/>
    </row>
    <row r="479">
      <c r="A47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79" s="374"/>
    </row>
    <row r="480">
      <c r="A48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0" s="374"/>
    </row>
    <row r="481">
      <c r="A48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1" s="374"/>
    </row>
    <row r="482">
      <c r="A48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2" s="374"/>
    </row>
    <row r="483">
      <c r="A48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3" s="374"/>
    </row>
    <row r="484">
      <c r="A48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4" s="374"/>
    </row>
    <row r="485">
      <c r="A48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5" s="374"/>
    </row>
    <row r="486">
      <c r="A48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6" s="374"/>
    </row>
    <row r="487">
      <c r="A48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7" s="374"/>
    </row>
    <row r="488">
      <c r="A48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8" s="374"/>
    </row>
    <row r="489">
      <c r="A48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89" s="374"/>
    </row>
    <row r="490">
      <c r="A49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0" s="374"/>
    </row>
    <row r="491">
      <c r="A49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1" s="374"/>
    </row>
    <row r="492">
      <c r="A49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2" s="374"/>
    </row>
    <row r="493">
      <c r="A49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3" s="374"/>
    </row>
    <row r="494">
      <c r="A49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4" s="374"/>
    </row>
    <row r="495">
      <c r="A49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5" s="374"/>
    </row>
    <row r="496">
      <c r="A49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6" s="374"/>
    </row>
    <row r="497">
      <c r="A49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7" s="374"/>
    </row>
    <row r="498">
      <c r="A49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8" s="374"/>
    </row>
    <row r="499">
      <c r="A49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499" s="374"/>
    </row>
    <row r="500">
      <c r="A50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0" s="374"/>
    </row>
    <row r="501">
      <c r="A50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1" s="374"/>
    </row>
    <row r="502">
      <c r="A50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2" s="374"/>
    </row>
    <row r="503">
      <c r="A50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3" s="374"/>
    </row>
    <row r="504">
      <c r="A50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4" s="374"/>
    </row>
    <row r="505">
      <c r="A50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5" s="374"/>
    </row>
    <row r="506">
      <c r="A50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6" s="374"/>
    </row>
    <row r="507">
      <c r="A50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7" s="374"/>
    </row>
    <row r="508">
      <c r="A50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8" s="374"/>
    </row>
    <row r="509">
      <c r="A50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09" s="374"/>
    </row>
    <row r="510">
      <c r="A51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0" s="374"/>
    </row>
    <row r="511">
      <c r="A51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1" s="374"/>
    </row>
    <row r="512">
      <c r="A51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2" s="374"/>
    </row>
    <row r="513">
      <c r="A51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3" s="374"/>
    </row>
    <row r="514">
      <c r="A51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4" s="374"/>
    </row>
    <row r="515">
      <c r="A51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5" s="374"/>
    </row>
    <row r="516">
      <c r="A51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6" s="374"/>
    </row>
    <row r="517">
      <c r="A51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7" s="374"/>
    </row>
    <row r="518">
      <c r="A51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8" s="374"/>
    </row>
    <row r="519">
      <c r="A51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19" s="374"/>
    </row>
    <row r="520">
      <c r="A52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0" s="374"/>
    </row>
    <row r="521">
      <c r="A52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1" s="374"/>
    </row>
    <row r="522">
      <c r="A52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2" s="374"/>
    </row>
    <row r="523">
      <c r="A52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3" s="374"/>
    </row>
    <row r="524">
      <c r="A52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4" s="374"/>
    </row>
    <row r="525">
      <c r="A52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5" s="374"/>
    </row>
    <row r="526">
      <c r="A52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6" s="374"/>
    </row>
    <row r="527">
      <c r="A52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7" s="374"/>
    </row>
    <row r="528">
      <c r="A52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8" s="374"/>
    </row>
    <row r="529">
      <c r="A52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29" s="374"/>
    </row>
    <row r="530">
      <c r="A53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0" s="374"/>
    </row>
    <row r="531">
      <c r="A53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1" s="374"/>
    </row>
    <row r="532">
      <c r="A53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2" s="374"/>
    </row>
    <row r="533">
      <c r="A533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3" s="374"/>
    </row>
    <row r="534">
      <c r="A534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4" s="374"/>
    </row>
    <row r="535">
      <c r="A535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5" s="374"/>
    </row>
    <row r="536">
      <c r="A536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6" s="374"/>
    </row>
    <row r="537">
      <c r="A537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7" s="374"/>
    </row>
    <row r="538">
      <c r="A538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8" s="374"/>
    </row>
    <row r="539">
      <c r="A539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39" s="374"/>
    </row>
    <row r="540">
      <c r="A540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40" s="374"/>
    </row>
    <row r="541">
      <c r="A541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41" s="374"/>
    </row>
    <row r="542">
      <c r="A542" s="374" t="str">
        <f>IFERROR(__xludf.DUMMYFUNCTION("""COMPUTED_VALUE"""),"PROAD 
DESPACHO - CGTIC - ID PAAC 
O Comitê de Governança de Tecnologia da Informação e Comunicação RECEBEU a demanda apresentada no PROAD , para o Plano de Contratações de TIC 2022, conforme descrito a seguir:
ID PAAC: 
Descrição: 
Valor estimado: R$ "&amp;"0,00
Natureza da Despesa: 
UGO: SETIC
Ptres: 
À DIGER para deliberação, conforme estabelece o parágrafo único do art. 9 da Portaria PRESI nº 136 de 2016, acrescido pela Portaria PRESI nº 40 de 2020.
Em 26/04/2022,
Valdir Luiz da Cunha
Secretário do CGT"&amp;"IC")</f>
        <v>PROAD 
DESPACHO - CGTIC - ID PAAC 
O Comitê de Governança de Tecnologia da Informação e Comunicação RECEBEU a demanda apresentada no PROAD , para o Plano de Contratações de TIC 2022, conforme descrito a seguir:
ID PAAC: 
Descrição: 
Valor estimado: R$ 0,00
Natureza da Despesa: 
UGO: SETIC
Ptres: 
À DIGER para deliberação, conforme estabelece o parágrafo único do art. 9 da Portaria PRESI nº 136 de 2016, acrescido pela Portaria PRESI nº 40 de 2020.
Em 26/04/2022,
Valdir Luiz da Cunha
Secretário do CGTIC</v>
      </c>
      <c r="B542" s="374"/>
    </row>
    <row r="543">
      <c r="A543" s="374"/>
      <c r="B543" s="374"/>
    </row>
    <row r="544">
      <c r="A544" s="374"/>
      <c r="B544" s="374"/>
    </row>
    <row r="545">
      <c r="A545" s="374"/>
      <c r="B545" s="374"/>
    </row>
    <row r="546">
      <c r="A546" s="374"/>
      <c r="B546" s="374"/>
    </row>
    <row r="547">
      <c r="A547" s="374"/>
      <c r="B547" s="374"/>
    </row>
    <row r="548">
      <c r="A548" s="374"/>
      <c r="B548" s="374"/>
    </row>
    <row r="549">
      <c r="A549" s="374"/>
      <c r="B549" s="374"/>
    </row>
    <row r="550">
      <c r="A550" s="374"/>
      <c r="B550" s="374"/>
    </row>
    <row r="551">
      <c r="A551" s="374"/>
      <c r="B551" s="374"/>
    </row>
    <row r="552">
      <c r="A552" s="374"/>
      <c r="B552" s="374"/>
    </row>
    <row r="553">
      <c r="A553" s="374"/>
      <c r="B553" s="374"/>
    </row>
    <row r="554">
      <c r="A554" s="374"/>
      <c r="B554" s="374"/>
    </row>
    <row r="555">
      <c r="A555" s="374"/>
      <c r="B555" s="374"/>
    </row>
    <row r="556">
      <c r="A556" s="374"/>
      <c r="B556" s="374"/>
    </row>
    <row r="557">
      <c r="A557" s="374"/>
      <c r="B557" s="374"/>
    </row>
    <row r="558">
      <c r="A558" s="374"/>
      <c r="B558" s="374"/>
    </row>
    <row r="559">
      <c r="A559" s="374"/>
      <c r="B559" s="374"/>
    </row>
    <row r="560">
      <c r="A560" s="374"/>
      <c r="B560" s="374"/>
    </row>
    <row r="561">
      <c r="A561" s="374"/>
      <c r="B561" s="374"/>
    </row>
    <row r="562">
      <c r="A562" s="374"/>
      <c r="B562" s="374"/>
    </row>
    <row r="563">
      <c r="A563" s="374"/>
      <c r="B563" s="374"/>
    </row>
    <row r="564">
      <c r="A564" s="374"/>
      <c r="B564" s="374"/>
    </row>
    <row r="565">
      <c r="A565" s="374"/>
      <c r="B565" s="374"/>
    </row>
    <row r="566">
      <c r="A566" s="374"/>
      <c r="B566" s="374"/>
    </row>
    <row r="567">
      <c r="A567" s="374"/>
      <c r="B567" s="374"/>
    </row>
    <row r="568">
      <c r="A568" s="374"/>
      <c r="B568" s="374"/>
    </row>
    <row r="569">
      <c r="A569" s="374"/>
      <c r="B569" s="374"/>
    </row>
    <row r="570">
      <c r="A570" s="374"/>
      <c r="B570" s="374"/>
    </row>
    <row r="571">
      <c r="A571" s="374"/>
      <c r="B571" s="374"/>
    </row>
    <row r="572">
      <c r="A572" s="374"/>
      <c r="B572" s="374"/>
    </row>
    <row r="573">
      <c r="A573" s="374"/>
      <c r="B573" s="374"/>
    </row>
    <row r="574">
      <c r="A574" s="374"/>
      <c r="B574" s="374"/>
    </row>
    <row r="575">
      <c r="A575" s="374"/>
      <c r="B575" s="374"/>
    </row>
    <row r="576">
      <c r="A576" s="374"/>
      <c r="B576" s="374"/>
    </row>
    <row r="577">
      <c r="A577" s="374"/>
      <c r="B577" s="374"/>
    </row>
    <row r="578">
      <c r="A578" s="374"/>
      <c r="B578" s="374"/>
    </row>
    <row r="579">
      <c r="A579" s="374"/>
      <c r="B579" s="374"/>
    </row>
    <row r="580">
      <c r="A580" s="374"/>
      <c r="B580" s="374"/>
    </row>
    <row r="581">
      <c r="A581" s="374"/>
      <c r="B581" s="374"/>
    </row>
    <row r="582">
      <c r="A582" s="374"/>
      <c r="B582" s="374"/>
    </row>
    <row r="583">
      <c r="A583" s="374"/>
      <c r="B583" s="374"/>
    </row>
    <row r="584">
      <c r="A584" s="374"/>
      <c r="B584" s="374"/>
    </row>
    <row r="585">
      <c r="A585" s="374"/>
      <c r="B585" s="374"/>
    </row>
    <row r="586">
      <c r="A586" s="374"/>
      <c r="B586" s="374"/>
    </row>
    <row r="587">
      <c r="A587" s="374"/>
      <c r="B587" s="374"/>
    </row>
    <row r="588">
      <c r="A588" s="374"/>
      <c r="B588" s="374"/>
    </row>
    <row r="589">
      <c r="A589" s="374"/>
      <c r="B589" s="374"/>
    </row>
    <row r="590">
      <c r="A590" s="374"/>
      <c r="B590" s="374"/>
    </row>
    <row r="591">
      <c r="A591" s="374"/>
      <c r="B591" s="374"/>
    </row>
    <row r="592">
      <c r="A592" s="374"/>
      <c r="B592" s="374"/>
    </row>
    <row r="593">
      <c r="A593" s="374"/>
      <c r="B593" s="374"/>
    </row>
    <row r="594">
      <c r="A594" s="374"/>
      <c r="B594" s="374"/>
    </row>
    <row r="595">
      <c r="A595" s="374"/>
      <c r="B595" s="374"/>
    </row>
    <row r="596">
      <c r="A596" s="374"/>
      <c r="B596" s="374"/>
    </row>
    <row r="597">
      <c r="A597" s="374"/>
      <c r="B597" s="374"/>
    </row>
    <row r="598">
      <c r="A598" s="374"/>
      <c r="B598" s="374"/>
    </row>
    <row r="599">
      <c r="A599" s="374"/>
      <c r="B599" s="374"/>
    </row>
    <row r="600">
      <c r="A600" s="374"/>
      <c r="B600" s="374"/>
    </row>
    <row r="601">
      <c r="A601" s="374"/>
      <c r="B601" s="374"/>
    </row>
    <row r="602">
      <c r="A602" s="374"/>
      <c r="B602" s="374"/>
    </row>
    <row r="603">
      <c r="A603" s="374"/>
      <c r="B603" s="374"/>
    </row>
    <row r="604">
      <c r="A604" s="374"/>
      <c r="B604" s="374"/>
    </row>
    <row r="605">
      <c r="A605" s="374"/>
      <c r="B605" s="374"/>
    </row>
    <row r="606">
      <c r="A606" s="374"/>
      <c r="B606" s="374"/>
    </row>
    <row r="607">
      <c r="A607" s="374"/>
      <c r="B607" s="374"/>
    </row>
    <row r="608">
      <c r="A608" s="374"/>
      <c r="B608" s="374"/>
    </row>
    <row r="609">
      <c r="A609" s="374"/>
      <c r="B609" s="374"/>
    </row>
    <row r="610">
      <c r="A610" s="374"/>
      <c r="B610" s="374"/>
    </row>
    <row r="611">
      <c r="A611" s="374"/>
      <c r="B611" s="374"/>
    </row>
    <row r="612">
      <c r="A612" s="374"/>
      <c r="B612" s="374"/>
    </row>
    <row r="613">
      <c r="A613" s="374"/>
      <c r="B613" s="374"/>
    </row>
    <row r="614">
      <c r="A614" s="374"/>
      <c r="B614" s="374"/>
    </row>
    <row r="615">
      <c r="A615" s="374"/>
      <c r="B615" s="374"/>
    </row>
    <row r="616">
      <c r="A616" s="374"/>
      <c r="B616" s="374"/>
    </row>
    <row r="617">
      <c r="A617" s="374"/>
      <c r="B617" s="374"/>
    </row>
    <row r="618">
      <c r="A618" s="374"/>
      <c r="B618" s="374"/>
    </row>
    <row r="619">
      <c r="A619" s="374"/>
      <c r="B619" s="374"/>
    </row>
    <row r="620">
      <c r="A620" s="374"/>
      <c r="B620" s="374"/>
    </row>
    <row r="621">
      <c r="A621" s="374"/>
      <c r="B621" s="374"/>
    </row>
    <row r="622">
      <c r="A622" s="374"/>
      <c r="B622" s="374"/>
    </row>
    <row r="623">
      <c r="A623" s="374"/>
      <c r="B623" s="374"/>
    </row>
    <row r="624">
      <c r="A624" s="374"/>
      <c r="B624" s="374"/>
    </row>
    <row r="625">
      <c r="A625" s="374"/>
      <c r="B625" s="374"/>
    </row>
    <row r="626">
      <c r="A626" s="374"/>
      <c r="B626" s="374"/>
    </row>
    <row r="627">
      <c r="A627" s="374"/>
      <c r="B627" s="374"/>
    </row>
    <row r="628">
      <c r="A628" s="374"/>
      <c r="B628" s="374"/>
    </row>
    <row r="629">
      <c r="A629" s="374"/>
      <c r="B629" s="374"/>
    </row>
    <row r="630">
      <c r="A630" s="374"/>
      <c r="B630" s="374"/>
    </row>
    <row r="631">
      <c r="A631" s="374"/>
      <c r="B631" s="374"/>
    </row>
    <row r="632">
      <c r="A632" s="374"/>
      <c r="B632" s="374"/>
    </row>
    <row r="633">
      <c r="A633" s="374"/>
      <c r="B633" s="374"/>
    </row>
    <row r="634">
      <c r="A634" s="374"/>
      <c r="B634" s="374"/>
    </row>
    <row r="635">
      <c r="A635" s="374"/>
      <c r="B635" s="374"/>
    </row>
    <row r="636">
      <c r="A636" s="374"/>
      <c r="B636" s="374"/>
    </row>
    <row r="637">
      <c r="A637" s="374"/>
      <c r="B637" s="374"/>
    </row>
    <row r="638">
      <c r="A638" s="374"/>
      <c r="B638" s="374"/>
    </row>
    <row r="639">
      <c r="A639" s="374"/>
      <c r="B639" s="374"/>
    </row>
    <row r="640">
      <c r="A640" s="374"/>
      <c r="B640" s="374"/>
    </row>
    <row r="641">
      <c r="A641" s="374"/>
      <c r="B641" s="374"/>
    </row>
    <row r="642">
      <c r="A642" s="374"/>
      <c r="B642" s="374"/>
    </row>
    <row r="643">
      <c r="A643" s="374"/>
      <c r="B643" s="374"/>
    </row>
    <row r="644">
      <c r="A644" s="374"/>
      <c r="B644" s="374"/>
    </row>
    <row r="645">
      <c r="A645" s="374"/>
      <c r="B645" s="374"/>
    </row>
    <row r="646">
      <c r="A646" s="374"/>
      <c r="B646" s="374"/>
    </row>
    <row r="647">
      <c r="A647" s="374"/>
      <c r="B647" s="374"/>
    </row>
    <row r="648">
      <c r="A648" s="374"/>
      <c r="B648" s="374"/>
    </row>
    <row r="649">
      <c r="A649" s="374"/>
      <c r="B649" s="374"/>
    </row>
    <row r="650">
      <c r="A650" s="374"/>
      <c r="B650" s="374"/>
    </row>
    <row r="651">
      <c r="A651" s="374"/>
      <c r="B651" s="374"/>
    </row>
    <row r="652">
      <c r="A652" s="374"/>
      <c r="B652" s="374"/>
    </row>
    <row r="653">
      <c r="A653" s="374"/>
      <c r="B653" s="374"/>
    </row>
    <row r="654">
      <c r="A654" s="374"/>
      <c r="B654" s="374"/>
    </row>
    <row r="655">
      <c r="A655" s="374"/>
      <c r="B655" s="374"/>
    </row>
    <row r="656">
      <c r="A656" s="374"/>
      <c r="B656" s="374"/>
    </row>
    <row r="657">
      <c r="A657" s="374"/>
      <c r="B657" s="374"/>
    </row>
    <row r="658">
      <c r="A658" s="374"/>
      <c r="B658" s="374"/>
    </row>
    <row r="659">
      <c r="A659" s="374"/>
      <c r="B659" s="374"/>
    </row>
    <row r="660">
      <c r="A660" s="374"/>
      <c r="B660" s="374"/>
    </row>
    <row r="661">
      <c r="A661" s="374"/>
      <c r="B661" s="374"/>
    </row>
    <row r="662">
      <c r="A662" s="374"/>
      <c r="B662" s="374"/>
    </row>
    <row r="663">
      <c r="A663" s="374"/>
      <c r="B663" s="374"/>
    </row>
    <row r="664">
      <c r="A664" s="374"/>
      <c r="B664" s="374"/>
    </row>
    <row r="665">
      <c r="A665" s="374"/>
      <c r="B665" s="374"/>
    </row>
    <row r="666">
      <c r="A666" s="374"/>
      <c r="B666" s="374"/>
    </row>
    <row r="667">
      <c r="A667" s="374"/>
      <c r="B667" s="374"/>
    </row>
    <row r="668">
      <c r="A668" s="374"/>
      <c r="B668" s="374"/>
    </row>
    <row r="669">
      <c r="A669" s="374"/>
      <c r="B669" s="374"/>
    </row>
    <row r="670">
      <c r="A670" s="374"/>
      <c r="B670" s="374"/>
    </row>
    <row r="671">
      <c r="A671" s="374"/>
      <c r="B671" s="374"/>
    </row>
    <row r="672">
      <c r="A672" s="374"/>
      <c r="B672" s="374"/>
    </row>
    <row r="673">
      <c r="A673" s="374"/>
      <c r="B673" s="374"/>
    </row>
    <row r="674">
      <c r="A674" s="374"/>
      <c r="B674" s="374"/>
    </row>
    <row r="675">
      <c r="A675" s="374"/>
      <c r="B675" s="374"/>
    </row>
    <row r="676">
      <c r="A676" s="374"/>
      <c r="B676" s="374"/>
    </row>
    <row r="677">
      <c r="A677" s="374"/>
      <c r="B677" s="374"/>
    </row>
    <row r="678">
      <c r="A678" s="374"/>
      <c r="B678" s="374"/>
    </row>
    <row r="679">
      <c r="A679" s="374"/>
      <c r="B679" s="374"/>
    </row>
    <row r="680">
      <c r="A680" s="374"/>
      <c r="B680" s="374"/>
    </row>
    <row r="681">
      <c r="A681" s="374"/>
      <c r="B681" s="374"/>
    </row>
    <row r="682">
      <c r="A682" s="374"/>
      <c r="B682" s="374"/>
    </row>
    <row r="683">
      <c r="A683" s="374"/>
      <c r="B683" s="374"/>
    </row>
    <row r="684">
      <c r="A684" s="374"/>
      <c r="B684" s="374"/>
    </row>
    <row r="685">
      <c r="A685" s="374"/>
      <c r="B685" s="374"/>
    </row>
    <row r="686">
      <c r="A686" s="374"/>
      <c r="B686" s="374"/>
    </row>
    <row r="687">
      <c r="A687" s="374"/>
      <c r="B687" s="374"/>
    </row>
    <row r="688">
      <c r="A688" s="374"/>
      <c r="B688" s="374"/>
    </row>
    <row r="689">
      <c r="A689" s="374"/>
      <c r="B689" s="374"/>
    </row>
    <row r="690">
      <c r="A690" s="374"/>
      <c r="B690" s="374"/>
    </row>
    <row r="691">
      <c r="A691" s="374"/>
      <c r="B691" s="374"/>
    </row>
    <row r="692">
      <c r="A692" s="374"/>
      <c r="B692" s="374"/>
    </row>
    <row r="693">
      <c r="A693" s="374"/>
      <c r="B693" s="374"/>
    </row>
    <row r="694">
      <c r="A694" s="374"/>
      <c r="B694" s="374"/>
    </row>
    <row r="695">
      <c r="A695" s="374"/>
      <c r="B695" s="374"/>
    </row>
    <row r="696">
      <c r="A696" s="374"/>
      <c r="B696" s="374"/>
    </row>
    <row r="697">
      <c r="A697" s="374"/>
      <c r="B697" s="374"/>
    </row>
    <row r="698">
      <c r="A698" s="374"/>
      <c r="B698" s="374"/>
    </row>
    <row r="699">
      <c r="A699" s="374"/>
      <c r="B699" s="374"/>
    </row>
    <row r="700">
      <c r="A700" s="374"/>
      <c r="B700" s="374"/>
    </row>
    <row r="701">
      <c r="A701" s="374"/>
      <c r="B701" s="374"/>
    </row>
    <row r="702">
      <c r="A702" s="374"/>
      <c r="B702" s="374"/>
    </row>
    <row r="703">
      <c r="A703" s="374"/>
      <c r="B703" s="374"/>
    </row>
    <row r="704">
      <c r="A704" s="374"/>
      <c r="B704" s="374"/>
    </row>
    <row r="705">
      <c r="A705" s="374"/>
      <c r="B705" s="374"/>
    </row>
    <row r="706">
      <c r="A706" s="374"/>
      <c r="B706" s="374"/>
    </row>
    <row r="707">
      <c r="A707" s="374"/>
      <c r="B707" s="374"/>
    </row>
    <row r="708">
      <c r="A708" s="374"/>
      <c r="B708" s="374"/>
    </row>
    <row r="709">
      <c r="A709" s="374"/>
      <c r="B709" s="374"/>
    </row>
    <row r="710">
      <c r="A710" s="374"/>
      <c r="B710" s="374"/>
    </row>
    <row r="711">
      <c r="A711" s="374"/>
      <c r="B711" s="374"/>
    </row>
    <row r="712">
      <c r="A712" s="374"/>
      <c r="B712" s="374"/>
    </row>
    <row r="713">
      <c r="A713" s="374"/>
      <c r="B713" s="374"/>
    </row>
    <row r="714">
      <c r="A714" s="374"/>
      <c r="B714" s="374"/>
    </row>
    <row r="715">
      <c r="A715" s="374"/>
      <c r="B715" s="374"/>
    </row>
    <row r="716">
      <c r="A716" s="374"/>
      <c r="B716" s="374"/>
    </row>
    <row r="717">
      <c r="A717" s="374"/>
      <c r="B717" s="374"/>
    </row>
    <row r="718">
      <c r="A718" s="374"/>
      <c r="B718" s="374"/>
    </row>
    <row r="719">
      <c r="A719" s="374"/>
      <c r="B719" s="374"/>
    </row>
    <row r="720">
      <c r="A720" s="374"/>
      <c r="B720" s="374"/>
    </row>
    <row r="721">
      <c r="A721" s="374"/>
      <c r="B721" s="374"/>
    </row>
    <row r="722">
      <c r="A722" s="374"/>
      <c r="B722" s="374"/>
    </row>
    <row r="723">
      <c r="A723" s="374"/>
      <c r="B723" s="374"/>
    </row>
    <row r="724">
      <c r="A724" s="374"/>
      <c r="B724" s="374"/>
    </row>
    <row r="725">
      <c r="A725" s="374"/>
      <c r="B725" s="374"/>
    </row>
    <row r="726">
      <c r="A726" s="374"/>
      <c r="B726" s="374"/>
    </row>
    <row r="727">
      <c r="A727" s="374"/>
      <c r="B727" s="374"/>
    </row>
    <row r="728">
      <c r="A728" s="374"/>
      <c r="B728" s="374"/>
    </row>
    <row r="729">
      <c r="A729" s="374"/>
      <c r="B729" s="374"/>
    </row>
    <row r="730">
      <c r="A730" s="374"/>
      <c r="B730" s="374"/>
    </row>
    <row r="731">
      <c r="A731" s="374"/>
      <c r="B731" s="374"/>
    </row>
    <row r="732">
      <c r="A732" s="374"/>
      <c r="B732" s="374"/>
    </row>
    <row r="733">
      <c r="A733" s="374"/>
      <c r="B733" s="374"/>
    </row>
    <row r="734">
      <c r="A734" s="374"/>
      <c r="B734" s="374"/>
    </row>
    <row r="735">
      <c r="A735" s="374"/>
      <c r="B735" s="374"/>
    </row>
    <row r="736">
      <c r="A736" s="374"/>
      <c r="B736" s="374"/>
    </row>
    <row r="737">
      <c r="A737" s="374"/>
      <c r="B737" s="374"/>
    </row>
    <row r="738">
      <c r="A738" s="374"/>
      <c r="B738" s="374"/>
    </row>
    <row r="739">
      <c r="A739" s="374"/>
      <c r="B739" s="374"/>
    </row>
    <row r="740">
      <c r="A740" s="374"/>
      <c r="B740" s="374"/>
    </row>
    <row r="741">
      <c r="A741" s="374"/>
      <c r="B741" s="374"/>
    </row>
    <row r="742">
      <c r="A742" s="374"/>
      <c r="B742" s="374"/>
    </row>
    <row r="743">
      <c r="A743" s="374"/>
      <c r="B743" s="374"/>
    </row>
    <row r="744">
      <c r="A744" s="374"/>
      <c r="B744" s="374"/>
    </row>
    <row r="745">
      <c r="A745" s="374"/>
      <c r="B745" s="374"/>
    </row>
    <row r="746">
      <c r="A746" s="374"/>
      <c r="B746" s="374"/>
    </row>
    <row r="747">
      <c r="A747" s="374"/>
      <c r="B747" s="374"/>
    </row>
    <row r="748">
      <c r="A748" s="374"/>
      <c r="B748" s="374"/>
    </row>
    <row r="749">
      <c r="A749" s="374"/>
      <c r="B749" s="374"/>
    </row>
    <row r="750">
      <c r="A750" s="374"/>
      <c r="B750" s="374"/>
    </row>
    <row r="751">
      <c r="A751" s="374"/>
      <c r="B751" s="374"/>
    </row>
    <row r="752">
      <c r="A752" s="374"/>
      <c r="B752" s="374"/>
    </row>
    <row r="753">
      <c r="A753" s="374"/>
      <c r="B753" s="374"/>
    </row>
    <row r="754">
      <c r="A754" s="374"/>
      <c r="B754" s="374"/>
    </row>
    <row r="755">
      <c r="A755" s="374"/>
      <c r="B755" s="374"/>
    </row>
    <row r="756">
      <c r="A756" s="374"/>
      <c r="B756" s="374"/>
    </row>
    <row r="757">
      <c r="A757" s="374"/>
      <c r="B757" s="374"/>
    </row>
    <row r="758">
      <c r="A758" s="374"/>
      <c r="B758" s="374"/>
    </row>
    <row r="759">
      <c r="A759" s="374"/>
      <c r="B759" s="374"/>
    </row>
    <row r="760">
      <c r="A760" s="374"/>
      <c r="B760" s="374"/>
    </row>
    <row r="761">
      <c r="A761" s="374"/>
      <c r="B761" s="374"/>
    </row>
    <row r="762">
      <c r="A762" s="374"/>
      <c r="B762" s="374"/>
    </row>
    <row r="763">
      <c r="A763" s="374"/>
      <c r="B763" s="374"/>
    </row>
    <row r="764">
      <c r="A764" s="374"/>
      <c r="B764" s="374"/>
    </row>
    <row r="765">
      <c r="A765" s="374"/>
      <c r="B765" s="374"/>
    </row>
    <row r="766">
      <c r="A766" s="374"/>
      <c r="B766" s="374"/>
    </row>
    <row r="767">
      <c r="A767" s="374"/>
      <c r="B767" s="374"/>
    </row>
    <row r="768">
      <c r="A768" s="374"/>
      <c r="B768" s="374"/>
    </row>
    <row r="769">
      <c r="A769" s="374"/>
      <c r="B769" s="374"/>
    </row>
    <row r="770">
      <c r="A770" s="374"/>
      <c r="B770" s="374"/>
    </row>
    <row r="771">
      <c r="A771" s="374"/>
      <c r="B771" s="374"/>
    </row>
    <row r="772">
      <c r="A772" s="374"/>
      <c r="B772" s="374"/>
    </row>
    <row r="773">
      <c r="A773" s="374"/>
      <c r="B773" s="374"/>
    </row>
    <row r="774">
      <c r="A774" s="374"/>
      <c r="B774" s="374"/>
    </row>
    <row r="775">
      <c r="A775" s="374"/>
      <c r="B775" s="374"/>
    </row>
    <row r="776">
      <c r="A776" s="374"/>
      <c r="B776" s="374"/>
    </row>
    <row r="777">
      <c r="A777" s="374"/>
      <c r="B777" s="374"/>
    </row>
    <row r="778">
      <c r="A778" s="374"/>
      <c r="B778" s="374"/>
    </row>
    <row r="779">
      <c r="A779" s="374"/>
      <c r="B779" s="374"/>
    </row>
    <row r="780">
      <c r="A780" s="374"/>
      <c r="B780" s="374"/>
    </row>
    <row r="781">
      <c r="A781" s="374"/>
      <c r="B781" s="374"/>
    </row>
    <row r="782">
      <c r="A782" s="374"/>
      <c r="B782" s="374"/>
    </row>
    <row r="783">
      <c r="A783" s="374"/>
      <c r="B783" s="374"/>
    </row>
    <row r="784">
      <c r="A784" s="374"/>
      <c r="B784" s="374"/>
    </row>
    <row r="785">
      <c r="A785" s="374"/>
      <c r="B785" s="374"/>
    </row>
    <row r="786">
      <c r="A786" s="374"/>
      <c r="B786" s="374"/>
    </row>
    <row r="787">
      <c r="A787" s="374"/>
      <c r="B787" s="374"/>
    </row>
    <row r="788">
      <c r="A788" s="374"/>
      <c r="B788" s="374"/>
    </row>
    <row r="789">
      <c r="A789" s="374"/>
      <c r="B789" s="374"/>
    </row>
    <row r="790">
      <c r="A790" s="374"/>
      <c r="B790" s="374"/>
    </row>
    <row r="791">
      <c r="A791" s="374"/>
      <c r="B791" s="374"/>
    </row>
    <row r="792">
      <c r="A792" s="374"/>
      <c r="B792" s="374"/>
    </row>
    <row r="793">
      <c r="A793" s="374"/>
      <c r="B793" s="374"/>
    </row>
    <row r="794">
      <c r="A794" s="374"/>
      <c r="B794" s="374"/>
    </row>
    <row r="795">
      <c r="A795" s="374"/>
      <c r="B795" s="374"/>
    </row>
    <row r="796">
      <c r="A796" s="374"/>
      <c r="B796" s="374"/>
    </row>
    <row r="797">
      <c r="A797" s="374"/>
      <c r="B797" s="374"/>
    </row>
    <row r="798">
      <c r="A798" s="374"/>
      <c r="B798" s="374"/>
    </row>
    <row r="799">
      <c r="A799" s="374"/>
      <c r="B799" s="374"/>
    </row>
    <row r="800">
      <c r="A800" s="374"/>
      <c r="B800" s="374"/>
    </row>
    <row r="801">
      <c r="A801" s="374"/>
      <c r="B801" s="374"/>
    </row>
    <row r="802">
      <c r="A802" s="374"/>
      <c r="B802" s="374"/>
    </row>
    <row r="803">
      <c r="A803" s="374"/>
      <c r="B803" s="374"/>
    </row>
    <row r="804">
      <c r="A804" s="374"/>
      <c r="B804" s="374"/>
    </row>
    <row r="805">
      <c r="A805" s="374"/>
      <c r="B805" s="374"/>
    </row>
    <row r="806">
      <c r="A806" s="374"/>
      <c r="B806" s="374"/>
    </row>
    <row r="807">
      <c r="A807" s="374"/>
      <c r="B807" s="374"/>
    </row>
    <row r="808">
      <c r="A808" s="374"/>
      <c r="B808" s="374"/>
    </row>
    <row r="809">
      <c r="A809" s="374"/>
      <c r="B809" s="374"/>
    </row>
    <row r="810">
      <c r="A810" s="374"/>
      <c r="B810" s="374"/>
    </row>
    <row r="811">
      <c r="A811" s="374"/>
      <c r="B811" s="374"/>
    </row>
    <row r="812">
      <c r="A812" s="374"/>
      <c r="B812" s="374"/>
    </row>
    <row r="813">
      <c r="A813" s="374"/>
      <c r="B813" s="374"/>
    </row>
    <row r="814">
      <c r="A814" s="374"/>
      <c r="B814" s="374"/>
    </row>
    <row r="815">
      <c r="A815" s="374"/>
      <c r="B815" s="374"/>
    </row>
    <row r="816">
      <c r="A816" s="374"/>
      <c r="B816" s="374"/>
    </row>
    <row r="817">
      <c r="A817" s="374"/>
      <c r="B817" s="374"/>
    </row>
    <row r="818">
      <c r="A818" s="374"/>
      <c r="B818" s="374"/>
    </row>
    <row r="819">
      <c r="A819" s="374"/>
      <c r="B819" s="374"/>
    </row>
    <row r="820">
      <c r="A820" s="374"/>
      <c r="B820" s="374"/>
    </row>
    <row r="821">
      <c r="A821" s="374"/>
      <c r="B821" s="374"/>
    </row>
    <row r="822">
      <c r="A822" s="374"/>
      <c r="B822" s="374"/>
    </row>
    <row r="823">
      <c r="A823" s="374"/>
      <c r="B823" s="374"/>
    </row>
    <row r="824">
      <c r="A824" s="374"/>
      <c r="B824" s="374"/>
    </row>
    <row r="825">
      <c r="A825" s="374"/>
      <c r="B825" s="374"/>
    </row>
    <row r="826">
      <c r="A826" s="374"/>
      <c r="B826" s="374"/>
    </row>
    <row r="827">
      <c r="A827" s="374"/>
      <c r="B827" s="374"/>
    </row>
    <row r="828">
      <c r="A828" s="374"/>
      <c r="B828" s="374"/>
    </row>
    <row r="829">
      <c r="A829" s="374"/>
      <c r="B829" s="374"/>
    </row>
    <row r="830">
      <c r="A830" s="374"/>
      <c r="B830" s="374"/>
    </row>
    <row r="831">
      <c r="A831" s="374"/>
      <c r="B831" s="374"/>
    </row>
    <row r="832">
      <c r="A832" s="374"/>
      <c r="B832" s="374"/>
    </row>
    <row r="833">
      <c r="A833" s="374"/>
      <c r="B833" s="374"/>
    </row>
    <row r="834">
      <c r="A834" s="374"/>
      <c r="B834" s="374"/>
    </row>
    <row r="835">
      <c r="A835" s="374"/>
      <c r="B835" s="374"/>
    </row>
    <row r="836">
      <c r="A836" s="374"/>
      <c r="B836" s="374"/>
    </row>
    <row r="837">
      <c r="A837" s="374"/>
      <c r="B837" s="374"/>
    </row>
    <row r="838">
      <c r="A838" s="374"/>
      <c r="B838" s="374"/>
    </row>
    <row r="839">
      <c r="A839" s="374"/>
      <c r="B839" s="374"/>
    </row>
    <row r="840">
      <c r="A840" s="374"/>
      <c r="B840" s="374"/>
    </row>
    <row r="841">
      <c r="A841" s="374"/>
      <c r="B841" s="374"/>
    </row>
    <row r="842">
      <c r="A842" s="374"/>
      <c r="B842" s="374"/>
    </row>
    <row r="843">
      <c r="A843" s="374"/>
      <c r="B843" s="374"/>
    </row>
    <row r="844">
      <c r="A844" s="374"/>
      <c r="B844" s="374"/>
    </row>
    <row r="845">
      <c r="A845" s="374"/>
      <c r="B845" s="374"/>
    </row>
    <row r="846">
      <c r="A846" s="374"/>
      <c r="B846" s="374"/>
    </row>
    <row r="847">
      <c r="A847" s="374"/>
      <c r="B847" s="374"/>
    </row>
    <row r="848">
      <c r="A848" s="374"/>
      <c r="B848" s="374"/>
    </row>
    <row r="849">
      <c r="A849" s="374"/>
      <c r="B849" s="374"/>
    </row>
    <row r="850">
      <c r="A850" s="374"/>
      <c r="B850" s="374"/>
    </row>
    <row r="851">
      <c r="A851" s="374"/>
      <c r="B851" s="374"/>
    </row>
    <row r="852">
      <c r="A852" s="374"/>
      <c r="B852" s="374"/>
    </row>
    <row r="853">
      <c r="A853" s="374"/>
      <c r="B853" s="374"/>
    </row>
    <row r="854">
      <c r="A854" s="374"/>
      <c r="B854" s="374"/>
    </row>
    <row r="855">
      <c r="A855" s="374"/>
      <c r="B855" s="374"/>
    </row>
    <row r="856">
      <c r="A856" s="374"/>
      <c r="B856" s="374"/>
    </row>
    <row r="857">
      <c r="A857" s="374"/>
      <c r="B857" s="374"/>
    </row>
    <row r="858">
      <c r="A858" s="374"/>
      <c r="B858" s="374"/>
    </row>
    <row r="859">
      <c r="A859" s="374"/>
      <c r="B859" s="374"/>
    </row>
    <row r="860">
      <c r="A860" s="374"/>
      <c r="B860" s="374"/>
    </row>
    <row r="861">
      <c r="A861" s="374"/>
      <c r="B861" s="374"/>
    </row>
    <row r="862">
      <c r="A862" s="374"/>
      <c r="B862" s="374"/>
    </row>
    <row r="863">
      <c r="A863" s="374"/>
      <c r="B863" s="374"/>
    </row>
    <row r="864">
      <c r="A864" s="374"/>
      <c r="B864" s="374"/>
    </row>
    <row r="865">
      <c r="A865" s="374"/>
      <c r="B865" s="374"/>
    </row>
    <row r="866">
      <c r="A866" s="374"/>
      <c r="B866" s="374"/>
    </row>
    <row r="867">
      <c r="A867" s="374"/>
      <c r="B867" s="374"/>
    </row>
    <row r="868">
      <c r="A868" s="374"/>
      <c r="B868" s="374"/>
    </row>
    <row r="869">
      <c r="A869" s="374"/>
      <c r="B869" s="374"/>
    </row>
    <row r="870">
      <c r="A870" s="374"/>
      <c r="B870" s="374"/>
    </row>
    <row r="871">
      <c r="A871" s="374"/>
      <c r="B871" s="374"/>
    </row>
    <row r="872">
      <c r="A872" s="374"/>
      <c r="B872" s="374"/>
    </row>
    <row r="873">
      <c r="A873" s="374"/>
      <c r="B873" s="374"/>
    </row>
    <row r="874">
      <c r="A874" s="374"/>
      <c r="B874" s="374"/>
    </row>
    <row r="875">
      <c r="A875" s="374"/>
      <c r="B875" s="374"/>
    </row>
    <row r="876">
      <c r="A876" s="374"/>
      <c r="B876" s="374"/>
    </row>
    <row r="877">
      <c r="A877" s="374"/>
      <c r="B877" s="374"/>
    </row>
    <row r="878">
      <c r="A878" s="374"/>
      <c r="B878" s="374"/>
    </row>
    <row r="879">
      <c r="A879" s="374"/>
      <c r="B879" s="374"/>
    </row>
    <row r="880">
      <c r="A880" s="374"/>
      <c r="B880" s="374"/>
    </row>
    <row r="881">
      <c r="A881" s="374"/>
      <c r="B881" s="374"/>
    </row>
    <row r="882">
      <c r="A882" s="374"/>
      <c r="B882" s="374"/>
    </row>
    <row r="883">
      <c r="A883" s="374"/>
      <c r="B883" s="374"/>
    </row>
    <row r="884">
      <c r="A884" s="374"/>
      <c r="B884" s="374"/>
    </row>
    <row r="885">
      <c r="A885" s="374"/>
      <c r="B885" s="374"/>
    </row>
    <row r="886">
      <c r="A886" s="374"/>
      <c r="B886" s="374"/>
    </row>
    <row r="887">
      <c r="A887" s="374"/>
      <c r="B887" s="374"/>
    </row>
    <row r="888">
      <c r="A888" s="374"/>
      <c r="B888" s="374"/>
    </row>
    <row r="889">
      <c r="A889" s="374"/>
      <c r="B889" s="374"/>
    </row>
    <row r="890">
      <c r="A890" s="374"/>
      <c r="B890" s="374"/>
    </row>
    <row r="891">
      <c r="A891" s="374"/>
      <c r="B891" s="374"/>
    </row>
    <row r="892">
      <c r="A892" s="374"/>
      <c r="B892" s="374"/>
    </row>
    <row r="893">
      <c r="A893" s="374"/>
      <c r="B893" s="374"/>
    </row>
    <row r="894">
      <c r="A894" s="374"/>
      <c r="B894" s="374"/>
    </row>
    <row r="895">
      <c r="A895" s="374"/>
      <c r="B895" s="374"/>
    </row>
    <row r="896">
      <c r="A896" s="374"/>
      <c r="B896" s="374"/>
    </row>
    <row r="897">
      <c r="A897" s="374"/>
      <c r="B897" s="374"/>
    </row>
    <row r="898">
      <c r="A898" s="374"/>
      <c r="B898" s="374"/>
    </row>
    <row r="899">
      <c r="A899" s="374"/>
      <c r="B899" s="374"/>
    </row>
    <row r="900">
      <c r="A900" s="374"/>
      <c r="B900" s="374"/>
    </row>
    <row r="901">
      <c r="A901" s="374"/>
      <c r="B901" s="374"/>
    </row>
    <row r="902">
      <c r="A902" s="374"/>
      <c r="B902" s="374"/>
    </row>
    <row r="903">
      <c r="A903" s="374"/>
      <c r="B903" s="374"/>
    </row>
    <row r="904">
      <c r="A904" s="374"/>
      <c r="B904" s="374"/>
    </row>
    <row r="905">
      <c r="A905" s="374"/>
      <c r="B905" s="374"/>
    </row>
    <row r="906">
      <c r="A906" s="374"/>
      <c r="B906" s="374"/>
    </row>
    <row r="907">
      <c r="A907" s="374"/>
      <c r="B907" s="374"/>
    </row>
    <row r="908">
      <c r="A908" s="374"/>
      <c r="B908" s="374"/>
    </row>
    <row r="909">
      <c r="A909" s="374"/>
      <c r="B909" s="374"/>
    </row>
    <row r="910">
      <c r="A910" s="374"/>
      <c r="B910" s="374"/>
    </row>
    <row r="911">
      <c r="A911" s="374"/>
      <c r="B911" s="374"/>
    </row>
    <row r="912">
      <c r="A912" s="374"/>
      <c r="B912" s="374"/>
    </row>
    <row r="913">
      <c r="A913" s="374"/>
      <c r="B913" s="374"/>
    </row>
    <row r="914">
      <c r="A914" s="374"/>
      <c r="B914" s="374"/>
    </row>
    <row r="915">
      <c r="A915" s="374"/>
      <c r="B915" s="374"/>
    </row>
    <row r="916">
      <c r="A916" s="374"/>
      <c r="B916" s="374"/>
    </row>
    <row r="917">
      <c r="A917" s="374"/>
      <c r="B917" s="374"/>
    </row>
    <row r="918">
      <c r="A918" s="374"/>
      <c r="B918" s="374"/>
    </row>
    <row r="919">
      <c r="A919" s="374"/>
      <c r="B919" s="374"/>
    </row>
    <row r="920">
      <c r="A920" s="374"/>
      <c r="B920" s="374"/>
    </row>
    <row r="921">
      <c r="A921" s="374"/>
      <c r="B921" s="374"/>
    </row>
    <row r="922">
      <c r="A922" s="374"/>
      <c r="B922" s="374"/>
    </row>
    <row r="923">
      <c r="A923" s="374"/>
      <c r="B923" s="374"/>
    </row>
    <row r="924">
      <c r="A924" s="374"/>
      <c r="B924" s="374"/>
    </row>
    <row r="925">
      <c r="A925" s="374"/>
      <c r="B925" s="374"/>
    </row>
    <row r="926">
      <c r="A926" s="374"/>
      <c r="B926" s="374"/>
    </row>
    <row r="927">
      <c r="A927" s="374"/>
      <c r="B927" s="374"/>
    </row>
    <row r="928">
      <c r="A928" s="374"/>
      <c r="B928" s="374"/>
    </row>
    <row r="929">
      <c r="A929" s="374"/>
      <c r="B929" s="374"/>
    </row>
    <row r="930">
      <c r="A930" s="374"/>
      <c r="B930" s="374"/>
    </row>
    <row r="931">
      <c r="A931" s="374"/>
      <c r="B931" s="374"/>
    </row>
    <row r="932">
      <c r="A932" s="374"/>
      <c r="B932" s="374"/>
    </row>
    <row r="933">
      <c r="A933" s="374"/>
      <c r="B933" s="374"/>
    </row>
    <row r="934">
      <c r="A934" s="374"/>
      <c r="B934" s="374"/>
    </row>
    <row r="935">
      <c r="A935" s="374"/>
      <c r="B935" s="374"/>
    </row>
    <row r="936">
      <c r="A936" s="374"/>
      <c r="B936" s="374"/>
    </row>
    <row r="937">
      <c r="A937" s="374"/>
      <c r="B937" s="374"/>
    </row>
    <row r="938">
      <c r="A938" s="374"/>
      <c r="B938" s="374"/>
    </row>
    <row r="939">
      <c r="A939" s="374"/>
      <c r="B939" s="374"/>
    </row>
    <row r="940">
      <c r="A940" s="374"/>
      <c r="B940" s="374"/>
    </row>
    <row r="941">
      <c r="A941" s="374"/>
      <c r="B941" s="374"/>
    </row>
    <row r="942">
      <c r="A942" s="374"/>
      <c r="B942" s="374"/>
    </row>
    <row r="943">
      <c r="A943" s="374"/>
      <c r="B943" s="374"/>
    </row>
    <row r="944">
      <c r="A944" s="374"/>
      <c r="B944" s="374"/>
    </row>
    <row r="945">
      <c r="A945" s="374"/>
      <c r="B945" s="374"/>
    </row>
    <row r="946">
      <c r="A946" s="374"/>
      <c r="B946" s="374"/>
    </row>
    <row r="947">
      <c r="A947" s="374"/>
      <c r="B947" s="374"/>
    </row>
    <row r="948">
      <c r="A948" s="374"/>
      <c r="B948" s="374"/>
    </row>
    <row r="949">
      <c r="A949" s="374"/>
      <c r="B949" s="374"/>
    </row>
    <row r="950">
      <c r="A950" s="374"/>
      <c r="B950" s="374"/>
    </row>
    <row r="951">
      <c r="A951" s="374"/>
      <c r="B951" s="374"/>
    </row>
    <row r="952">
      <c r="A952" s="374"/>
      <c r="B952" s="374"/>
    </row>
    <row r="953">
      <c r="A953" s="374"/>
      <c r="B953" s="374"/>
    </row>
    <row r="954">
      <c r="A954" s="374"/>
      <c r="B954" s="374"/>
    </row>
    <row r="955">
      <c r="A955" s="374"/>
      <c r="B955" s="374"/>
    </row>
    <row r="956">
      <c r="A956" s="374"/>
      <c r="B956" s="374"/>
    </row>
    <row r="957">
      <c r="A957" s="374"/>
      <c r="B957" s="374"/>
    </row>
    <row r="958">
      <c r="A958" s="374"/>
      <c r="B958" s="374"/>
    </row>
    <row r="959">
      <c r="A959" s="374"/>
      <c r="B959" s="374"/>
    </row>
    <row r="960">
      <c r="A960" s="374"/>
      <c r="B960" s="374"/>
    </row>
    <row r="961">
      <c r="A961" s="374"/>
      <c r="B961" s="374"/>
    </row>
    <row r="962">
      <c r="A962" s="374"/>
      <c r="B962" s="374"/>
    </row>
    <row r="963">
      <c r="A963" s="374"/>
      <c r="B963" s="374"/>
    </row>
    <row r="964">
      <c r="A964" s="374"/>
      <c r="B964" s="374"/>
    </row>
    <row r="965">
      <c r="A965" s="374"/>
      <c r="B965" s="374"/>
    </row>
    <row r="966">
      <c r="A966" s="374"/>
      <c r="B966" s="374"/>
    </row>
    <row r="967">
      <c r="A967" s="374"/>
      <c r="B967" s="374"/>
    </row>
    <row r="968">
      <c r="A968" s="374"/>
      <c r="B968" s="374"/>
    </row>
    <row r="969">
      <c r="A969" s="374"/>
      <c r="B969" s="374"/>
    </row>
    <row r="970">
      <c r="A970" s="374"/>
      <c r="B970" s="374"/>
    </row>
    <row r="971">
      <c r="A971" s="374"/>
      <c r="B971" s="374"/>
    </row>
    <row r="972">
      <c r="A972" s="374"/>
      <c r="B972" s="374"/>
    </row>
    <row r="973">
      <c r="A973" s="374"/>
      <c r="B973" s="374"/>
    </row>
    <row r="974">
      <c r="A974" s="374"/>
      <c r="B974" s="374"/>
    </row>
    <row r="975">
      <c r="A975" s="374"/>
      <c r="B975" s="374"/>
    </row>
    <row r="976">
      <c r="A976" s="374"/>
      <c r="B976" s="374"/>
    </row>
    <row r="977">
      <c r="A977" s="374"/>
      <c r="B977" s="374"/>
    </row>
    <row r="978">
      <c r="A978" s="374"/>
      <c r="B978" s="374"/>
    </row>
    <row r="979">
      <c r="A979" s="374"/>
      <c r="B979" s="374"/>
    </row>
    <row r="980">
      <c r="A980" s="374"/>
      <c r="B980" s="374"/>
    </row>
    <row r="981">
      <c r="A981" s="374"/>
      <c r="B981" s="374"/>
    </row>
    <row r="982">
      <c r="A982" s="374"/>
      <c r="B982" s="374"/>
    </row>
    <row r="983">
      <c r="A983" s="374"/>
      <c r="B983" s="374"/>
    </row>
    <row r="984">
      <c r="A984" s="374"/>
      <c r="B984" s="374"/>
    </row>
    <row r="985">
      <c r="A985" s="374"/>
      <c r="B985" s="374"/>
    </row>
    <row r="986">
      <c r="A986" s="374"/>
      <c r="B986" s="374"/>
    </row>
    <row r="987">
      <c r="A987" s="374"/>
      <c r="B987" s="374"/>
    </row>
    <row r="988">
      <c r="A988" s="374"/>
      <c r="B988" s="374"/>
    </row>
    <row r="989">
      <c r="A989" s="374"/>
      <c r="B989" s="374"/>
    </row>
    <row r="990">
      <c r="A990" s="374"/>
      <c r="B990" s="374"/>
    </row>
    <row r="991">
      <c r="A991" s="374"/>
      <c r="B991" s="374"/>
    </row>
    <row r="992">
      <c r="A992" s="374"/>
      <c r="B992" s="374"/>
    </row>
    <row r="993">
      <c r="A993" s="374"/>
      <c r="B993" s="374"/>
    </row>
    <row r="994">
      <c r="A994" s="374"/>
      <c r="B994" s="374"/>
    </row>
    <row r="995">
      <c r="A995" s="374"/>
      <c r="B995" s="374"/>
    </row>
    <row r="996">
      <c r="A996" s="374"/>
      <c r="B996" s="374"/>
    </row>
    <row r="997">
      <c r="A997" s="374"/>
      <c r="B997" s="374"/>
    </row>
    <row r="998">
      <c r="A998" s="374"/>
      <c r="B998" s="374"/>
    </row>
    <row r="999">
      <c r="A999" s="374"/>
      <c r="B999" s="374"/>
    </row>
    <row r="1000">
      <c r="A1000" s="374"/>
      <c r="B1000" s="374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75"/>
  <cols>
    <col customWidth="1" min="1" max="1" width="2.13"/>
    <col customWidth="1" min="2" max="2" width="8.0"/>
    <col customWidth="1" hidden="1" min="3" max="3" width="8.0"/>
    <col customWidth="1" min="4" max="4" width="36.38"/>
    <col customWidth="1" min="5" max="6" width="10.88"/>
    <col customWidth="1" hidden="1" min="7" max="7" width="12.5"/>
    <col customWidth="1" hidden="1" min="8" max="8" width="11.88"/>
    <col customWidth="1" min="9" max="9" width="15.88"/>
    <col customWidth="1" min="10" max="10" width="13.25"/>
    <col customWidth="1" min="11" max="11" width="14.5"/>
    <col customWidth="1" min="12" max="15" width="12.63"/>
    <col customWidth="1" min="16" max="16" width="17.5"/>
  </cols>
  <sheetData>
    <row r="1" ht="44.25" customHeight="1">
      <c r="A1" s="218"/>
      <c r="B1" s="375" t="s">
        <v>739</v>
      </c>
      <c r="C1" s="271"/>
      <c r="D1" s="272"/>
      <c r="E1" s="272"/>
      <c r="F1" s="273"/>
      <c r="G1" s="274"/>
      <c r="H1" s="376"/>
      <c r="I1" s="276"/>
      <c r="J1" s="276"/>
      <c r="K1" s="273"/>
      <c r="L1" s="273"/>
      <c r="M1" s="273"/>
      <c r="N1" s="273"/>
      <c r="O1" s="273"/>
      <c r="P1" s="276"/>
    </row>
    <row r="2" ht="15.0" customHeight="1">
      <c r="A2" s="218"/>
      <c r="B2" s="377" t="s">
        <v>740</v>
      </c>
      <c r="C2" s="378"/>
      <c r="D2" s="378"/>
      <c r="E2" s="272"/>
      <c r="F2" s="273"/>
      <c r="G2" s="274"/>
      <c r="H2" s="376"/>
      <c r="I2" s="276"/>
      <c r="J2" s="276"/>
      <c r="K2" s="273"/>
      <c r="L2" s="273"/>
      <c r="M2" s="273"/>
      <c r="N2" s="273"/>
      <c r="O2" s="273"/>
      <c r="P2" s="276"/>
    </row>
    <row r="3" ht="22.5" customHeight="1">
      <c r="A3" s="218"/>
      <c r="B3" s="238">
        <f>NOW()</f>
        <v>44677.53881</v>
      </c>
      <c r="E3" s="272"/>
      <c r="F3" s="273"/>
      <c r="G3" s="274"/>
      <c r="H3" s="376"/>
      <c r="I3" s="276"/>
      <c r="J3" s="276"/>
      <c r="K3" s="273"/>
      <c r="L3" s="273"/>
      <c r="M3" s="273"/>
      <c r="N3" s="273"/>
      <c r="O3" s="273"/>
      <c r="P3" s="276"/>
    </row>
    <row r="4" ht="31.5" customHeight="1">
      <c r="A4" s="299"/>
      <c r="B4" s="300" t="str">
        <f>IFERROR(__xludf.DUMMYFUNCTION("{QUERY('Base de Dados'!A1:DM556, ""select A, B, C, H, W, I, O, Q, X, AP, AT, AY, AZ, BA, U where J = 'SETIC' and A &gt; 1000 and R = '1 - Selecionado' and BF &lt;&gt; 'Complemento' order by BH DESC, C"",1)}"),"Id")</f>
        <v>Id</v>
      </c>
      <c r="C4" s="300" t="str">
        <f>IFERROR(__xludf.DUMMYFUNCTION("""COMPUTED_VALUE"""),"Grupo")</f>
        <v>Grupo</v>
      </c>
      <c r="D4" s="301" t="str">
        <f>IFERROR(__xludf.DUMMYFUNCTION("""COMPUTED_VALUE"""),"Descrição")</f>
        <v>Descrição</v>
      </c>
      <c r="E4" s="379" t="str">
        <f>IFERROR(__xludf.DUMMYFUNCTION("""COMPUTED_VALUE"""),"Natureza")</f>
        <v>Natureza</v>
      </c>
      <c r="F4" s="302" t="str">
        <f>IFERROR(__xludf.DUMMYFUNCTION("""COMPUTED_VALUE"""),"Contrato")</f>
        <v>Contrato</v>
      </c>
      <c r="G4" s="303" t="str">
        <f>IFERROR(__xludf.DUMMYFUNCTION("""COMPUTED_VALUE"""),"Demandante")</f>
        <v>Demandante</v>
      </c>
      <c r="H4" s="353" t="str">
        <f>IFERROR(__xludf.DUMMYFUNCTION("""COMPUTED_VALUE"""),"Reduzido Previsto")</f>
        <v>Reduzido Previsto</v>
      </c>
      <c r="I4" s="306" t="str">
        <f>IFERROR(__xludf.DUMMYFUNCTION("""COMPUTED_VALUE"""),"Prioridade")</f>
        <v>Prioridade</v>
      </c>
      <c r="J4" s="306" t="str">
        <f>IFERROR(__xludf.DUMMYFUNCTION("""COMPUTED_VALUE"""),"Área de TIC")</f>
        <v>Área de TIC</v>
      </c>
      <c r="K4" s="307" t="str">
        <f>IFERROR(__xludf.DUMMYFUNCTION("""COMPUTED_VALUE"""),"Empenho")</f>
        <v>Empenho</v>
      </c>
      <c r="L4" s="307" t="str">
        <f>IFERROR(__xludf.DUMMYFUNCTION("""COMPUTED_VALUE"""),"Valor Projetado")</f>
        <v>Valor Projetado</v>
      </c>
      <c r="M4" s="307" t="str">
        <f>IFERROR(__xludf.DUMMYFUNCTION("""COMPUTED_VALUE"""),"Empenhado")</f>
        <v>Empenhado</v>
      </c>
      <c r="N4" s="307" t="str">
        <f>IFERROR(__xludf.DUMMYFUNCTION("""COMPUTED_VALUE"""),"Liquidado")</f>
        <v>Liquidado</v>
      </c>
      <c r="O4" s="307" t="str">
        <f>IFERROR(__xludf.DUMMYFUNCTION("""COMPUTED_VALUE"""),"Saldo Empenhado")</f>
        <v>Saldo Empenhado</v>
      </c>
      <c r="P4" s="306" t="str">
        <f>IFERROR(__xludf.DUMMYFUNCTION("""COMPUTED_VALUE"""),"Situação (Fase)")</f>
        <v>Situação (Fase)</v>
      </c>
    </row>
    <row r="5">
      <c r="B5" s="311">
        <f>IFERROR(__xludf.DUMMYFUNCTION("""COMPUTED_VALUE"""),15356.0)</f>
        <v>15356</v>
      </c>
      <c r="C5" s="311">
        <f>IFERROR(__xludf.DUMMYFUNCTION("""COMPUTED_VALUE"""),0.0)</f>
        <v>0</v>
      </c>
      <c r="D5" s="312" t="str">
        <f>IFERROR(__xludf.DUMMYFUNCTION("""COMPUTED_VALUE"""),"ANTIVÍRUS - Aquisição de licenças de solução de antivírus com suporte e atualização, para proteção contra ameaças externas (continua o 1366/2017, ID 15004)")</f>
        <v>ANTIVÍRUS - Aquisição de licenças de solução de antivírus com suporte e atualização, para proteção contra ameaças externas (continua o 1366/2017, ID 15004)</v>
      </c>
      <c r="E5" s="374" t="str">
        <f>IFERROR(__xludf.DUMMYFUNCTION("""COMPUTED_VALUE"""),"Continuado")</f>
        <v>Continuado</v>
      </c>
      <c r="F5" s="313" t="str">
        <f>IFERROR(__xludf.DUMMYFUNCTION("""COMPUTED_VALUE"""),"9019/2021")</f>
        <v>9019/2021</v>
      </c>
      <c r="G5" s="314" t="str">
        <f>IFERROR(__xludf.DUMMYFUNCTION("""COMPUTED_VALUE"""),"SETIC")</f>
        <v>SETIC</v>
      </c>
      <c r="H5" s="358">
        <f>IFERROR(__xludf.DUMMYFUNCTION("""COMPUTED_VALUE"""),168107.0)</f>
        <v>168107</v>
      </c>
      <c r="I5" s="317" t="str">
        <f>IFERROR(__xludf.DUMMYFUNCTION("""COMPUTED_VALUE"""),"1 - Imprescindível")</f>
        <v>1 - Imprescindível</v>
      </c>
      <c r="J5" s="317" t="str">
        <f>IFERROR(__xludf.DUMMYFUNCTION("""COMPUTED_VALUE"""),"SEINFRA")</f>
        <v>SEINFRA</v>
      </c>
      <c r="K5" s="318" t="str">
        <f>IFERROR(__xludf.DUMMYFUNCTION("""COMPUTED_VALUE"""),"2022NE000125")</f>
        <v>2022NE000125</v>
      </c>
      <c r="L5" s="318">
        <f>IFERROR(__xludf.DUMMYFUNCTION("""COMPUTED_VALUE"""),192000.0)</f>
        <v>192000</v>
      </c>
      <c r="M5" s="318">
        <f>IFERROR(__xludf.DUMMYFUNCTION("""COMPUTED_VALUE"""),192000.0)</f>
        <v>192000</v>
      </c>
      <c r="N5" s="318">
        <f>IFERROR(__xludf.DUMMYFUNCTION("""COMPUTED_VALUE"""),0.0)</f>
        <v>0</v>
      </c>
      <c r="O5" s="318">
        <f>IFERROR(__xludf.DUMMYFUNCTION("""COMPUTED_VALUE"""),192000.0)</f>
        <v>192000</v>
      </c>
      <c r="P5" s="317" t="str">
        <f>IFERROR(__xludf.DUMMYFUNCTION("""COMPUTED_VALUE"""),"99 - Orçamentário")</f>
        <v>99 - Orçamentário</v>
      </c>
    </row>
    <row r="6">
      <c r="B6" s="311">
        <f>IFERROR(__xludf.DUMMYFUNCTION("""COMPUTED_VALUE"""),15353.0)</f>
        <v>15353</v>
      </c>
      <c r="C6" s="311">
        <f>IFERROR(__xludf.DUMMYFUNCTION("""COMPUTED_VALUE"""),15353.0)</f>
        <v>15353</v>
      </c>
      <c r="D6" s="312" t="str">
        <f>IFERROR(__xludf.DUMMYFUNCTION("""COMPUTED_VALUE"""),"AUDIÊNCIAS ZOOM - Viabilizar a continuidade de audiências, sessões e reuniões por meio de videoconferências (Zoom)")</f>
        <v>AUDIÊNCIAS ZOOM - Viabilizar a continuidade de audiências, sessões e reuniões por meio de videoconferências (Zoom)</v>
      </c>
      <c r="E6" s="374" t="str">
        <f>IFERROR(__xludf.DUMMYFUNCTION("""COMPUTED_VALUE"""),"Continuado")</f>
        <v>Continuado</v>
      </c>
      <c r="F6" s="313" t="str">
        <f>IFERROR(__xludf.DUMMYFUNCTION("""COMPUTED_VALUE"""),"1038/2021")</f>
        <v>1038/2021</v>
      </c>
      <c r="G6" s="314" t="str">
        <f>IFERROR(__xludf.DUMMYFUNCTION("""COMPUTED_VALUE"""),"SETIC")</f>
        <v>SETIC</v>
      </c>
      <c r="H6" s="358">
        <f>IFERROR(__xludf.DUMMYFUNCTION("""COMPUTED_VALUE"""),168107.0)</f>
        <v>168107</v>
      </c>
      <c r="I6" s="317" t="str">
        <f>IFERROR(__xludf.DUMMYFUNCTION("""COMPUTED_VALUE"""),"1 - Imprescindível")</f>
        <v>1 - Imprescindível</v>
      </c>
      <c r="J6" s="317" t="str">
        <f>IFERROR(__xludf.DUMMYFUNCTION("""COMPUTED_VALUE"""),"SEINFRA")</f>
        <v>SEINFRA</v>
      </c>
      <c r="K6" s="318" t="str">
        <f>IFERROR(__xludf.DUMMYFUNCTION("""COMPUTED_VALUE"""),"2022NE000108")</f>
        <v>2022NE000108</v>
      </c>
      <c r="L6" s="318">
        <f>IFERROR(__xludf.DUMMYFUNCTION("""COMPUTED_VALUE"""),55999.92)</f>
        <v>55999.92</v>
      </c>
      <c r="M6" s="318">
        <f>IFERROR(__xludf.DUMMYFUNCTION("""COMPUTED_VALUE"""),55999.92)</f>
        <v>55999.92</v>
      </c>
      <c r="N6" s="318">
        <f>IFERROR(__xludf.DUMMYFUNCTION("""COMPUTED_VALUE"""),10335.659999999996)</f>
        <v>10335.66</v>
      </c>
      <c r="O6" s="318">
        <f>IFERROR(__xludf.DUMMYFUNCTION("""COMPUTED_VALUE"""),45664.26)</f>
        <v>45664.26</v>
      </c>
      <c r="P6" s="317" t="str">
        <f>IFERROR(__xludf.DUMMYFUNCTION("""COMPUTED_VALUE"""),"07 - Concluída")</f>
        <v>07 - Concluída</v>
      </c>
    </row>
    <row r="7">
      <c r="B7" s="311">
        <f>IFERROR(__xludf.DUMMYFUNCTION("""COMPUTED_VALUE"""),15304.0)</f>
        <v>15304</v>
      </c>
      <c r="C7" s="311">
        <f>IFERROR(__xludf.DUMMYFUNCTION("""COMPUTED_VALUE"""),15304.0)</f>
        <v>15304</v>
      </c>
      <c r="D7" s="312" t="str">
        <f>IFERROR(__xludf.DUMMYFUNCTION("""COMPUTED_VALUE"""),"BACKUP EQUIPAMENTOS - Aquisição de um novo equipamento para atualizar o sistema de backup do datacenter auxiliar.")</f>
        <v>BACKUP EQUIPAMENTOS - Aquisição de um novo equipamento para atualizar o sistema de backup do datacenter auxiliar.</v>
      </c>
      <c r="E7" s="374" t="str">
        <f>IFERROR(__xludf.DUMMYFUNCTION("""COMPUTED_VALUE"""),"Imediato")</f>
        <v>Imediato</v>
      </c>
      <c r="F7" s="313" t="str">
        <f>IFERROR(__xludf.DUMMYFUNCTION("""COMPUTED_VALUE"""),"10394/2021")</f>
        <v>10394/2021</v>
      </c>
      <c r="G7" s="314" t="str">
        <f>IFERROR(__xludf.DUMMYFUNCTION("""COMPUTED_VALUE"""),"SETIC")</f>
        <v>SETIC</v>
      </c>
      <c r="H7" s="358">
        <f>IFERROR(__xludf.DUMMYFUNCTION("""COMPUTED_VALUE"""),168105.0)</f>
        <v>168105</v>
      </c>
      <c r="I7" s="317" t="str">
        <f>IFERROR(__xludf.DUMMYFUNCTION("""COMPUTED_VALUE"""),"1 - Imprescindível")</f>
        <v>1 - Imprescindível</v>
      </c>
      <c r="J7" s="317" t="str">
        <f>IFERROR(__xludf.DUMMYFUNCTION("""COMPUTED_VALUE"""),"SEINFRA")</f>
        <v>SEINFRA</v>
      </c>
      <c r="K7" s="318"/>
      <c r="L7" s="318">
        <f>IFERROR(__xludf.DUMMYFUNCTION("""COMPUTED_VALUE"""),433000.0)</f>
        <v>433000</v>
      </c>
      <c r="M7" s="318">
        <f>IFERROR(__xludf.DUMMYFUNCTION("""COMPUTED_VALUE"""),0.0)</f>
        <v>0</v>
      </c>
      <c r="N7" s="318">
        <f>IFERROR(__xludf.DUMMYFUNCTION("""COMPUTED_VALUE"""),0.0)</f>
        <v>0</v>
      </c>
      <c r="O7" s="318">
        <f>IFERROR(__xludf.DUMMYFUNCTION("""COMPUTED_VALUE"""),0.0)</f>
        <v>0</v>
      </c>
      <c r="P7" s="317" t="str">
        <f>IFERROR(__xludf.DUMMYFUNCTION("""COMPUTED_VALUE"""),"05 - PB enviado")</f>
        <v>05 - PB enviado</v>
      </c>
    </row>
    <row r="8">
      <c r="B8" s="311">
        <f>IFERROR(__xludf.DUMMYFUNCTION("""COMPUTED_VALUE"""),15311.0)</f>
        <v>15311</v>
      </c>
      <c r="C8" s="311">
        <f>IFERROR(__xludf.DUMMYFUNCTION("""COMPUTED_VALUE"""),15304.0)</f>
        <v>15304</v>
      </c>
      <c r="D8" s="312" t="str">
        <f>IFERROR(__xludf.DUMMYFUNCTION("""COMPUTED_VALUE"""),"BACKUP FITAS - Aquisição de fitas com capacidade de 12TB (272 unidades) e de limpeza (20 unidades).")</f>
        <v>BACKUP FITAS - Aquisição de fitas com capacidade de 12TB (272 unidades) e de limpeza (20 unidades).</v>
      </c>
      <c r="E8" s="374" t="str">
        <f>IFERROR(__xludf.DUMMYFUNCTION("""COMPUTED_VALUE"""),"Imediato")</f>
        <v>Imediato</v>
      </c>
      <c r="F8" s="313" t="str">
        <f>IFERROR(__xludf.DUMMYFUNCTION("""COMPUTED_VALUE"""),"10394/2021")</f>
        <v>10394/2021</v>
      </c>
      <c r="G8" s="314" t="str">
        <f>IFERROR(__xludf.DUMMYFUNCTION("""COMPUTED_VALUE"""),"SETIC")</f>
        <v>SETIC</v>
      </c>
      <c r="H8" s="358">
        <f>IFERROR(__xludf.DUMMYFUNCTION("""COMPUTED_VALUE"""),168107.0)</f>
        <v>168107</v>
      </c>
      <c r="I8" s="317" t="str">
        <f>IFERROR(__xludf.DUMMYFUNCTION("""COMPUTED_VALUE"""),"1 - Imprescindível")</f>
        <v>1 - Imprescindível</v>
      </c>
      <c r="J8" s="321" t="str">
        <f>IFERROR(__xludf.DUMMYFUNCTION("""COMPUTED_VALUE"""),"SEINFRA")</f>
        <v>SEINFRA</v>
      </c>
      <c r="K8" s="322"/>
      <c r="L8" s="322">
        <f>IFERROR(__xludf.DUMMYFUNCTION("""COMPUTED_VALUE"""),262444.0)</f>
        <v>262444</v>
      </c>
      <c r="M8" s="322">
        <f>IFERROR(__xludf.DUMMYFUNCTION("""COMPUTED_VALUE"""),0.0)</f>
        <v>0</v>
      </c>
      <c r="N8" s="322">
        <f>IFERROR(__xludf.DUMMYFUNCTION("""COMPUTED_VALUE"""),0.0)</f>
        <v>0</v>
      </c>
      <c r="O8" s="322">
        <f>IFERROR(__xludf.DUMMYFUNCTION("""COMPUTED_VALUE"""),0.0)</f>
        <v>0</v>
      </c>
      <c r="P8" s="321" t="str">
        <f>IFERROR(__xludf.DUMMYFUNCTION("""COMPUTED_VALUE"""),"05 - PB enviado")</f>
        <v>05 - PB enviado</v>
      </c>
    </row>
    <row r="9">
      <c r="B9" s="311">
        <f>IFERROR(__xludf.DUMMYFUNCTION("""COMPUTED_VALUE"""),15151.0)</f>
        <v>15151</v>
      </c>
      <c r="C9" s="311">
        <f>IFERROR(__xludf.DUMMYFUNCTION("""COMPUTED_VALUE"""),0.0)</f>
        <v>0</v>
      </c>
      <c r="D9" s="312" t="str">
        <f>IFERROR(__xludf.DUMMYFUNCTION("""COMPUTED_VALUE"""),"BANCO DE DADOS - Contratação de monitoramento remoto e suporte técnico para os bancos de dados Oracle, PostgreSQL e MySQL, contratado como item obrigatório do CSJT")</f>
        <v>BANCO DE DADOS - Contratação de monitoramento remoto e suporte técnico para os bancos de dados Oracle, PostgreSQL e MySQL, contratado como item obrigatório do CSJT</v>
      </c>
      <c r="E9" s="374" t="str">
        <f>IFERROR(__xludf.DUMMYFUNCTION("""COMPUTED_VALUE"""),"Continuado")</f>
        <v>Continuado</v>
      </c>
      <c r="F9" s="313" t="str">
        <f>IFERROR(__xludf.DUMMYFUNCTION("""COMPUTED_VALUE"""),"9447/2017")</f>
        <v>9447/2017</v>
      </c>
      <c r="G9" s="314" t="str">
        <f>IFERROR(__xludf.DUMMYFUNCTION("""COMPUTED_VALUE"""),"SETIC")</f>
        <v>SETIC</v>
      </c>
      <c r="H9" s="358">
        <f>IFERROR(__xludf.DUMMYFUNCTION("""COMPUTED_VALUE"""),168107.0)</f>
        <v>168107</v>
      </c>
      <c r="I9" s="317" t="str">
        <f>IFERROR(__xludf.DUMMYFUNCTION("""COMPUTED_VALUE"""),"1 - Imprescindível")</f>
        <v>1 - Imprescindível</v>
      </c>
      <c r="J9" s="317" t="str">
        <f>IFERROR(__xludf.DUMMYFUNCTION("""COMPUTED_VALUE"""),"SEINFRA")</f>
        <v>SEINFRA</v>
      </c>
      <c r="K9" s="318" t="str">
        <f>IFERROR(__xludf.DUMMYFUNCTION("""COMPUTED_VALUE"""),"2022NE000123")</f>
        <v>2022NE000123</v>
      </c>
      <c r="L9" s="318">
        <f>IFERROR(__xludf.DUMMYFUNCTION("""COMPUTED_VALUE"""),187200.0)</f>
        <v>187200</v>
      </c>
      <c r="M9" s="318">
        <f>IFERROR(__xludf.DUMMYFUNCTION("""COMPUTED_VALUE"""),187200.0)</f>
        <v>187200</v>
      </c>
      <c r="N9" s="318">
        <f>IFERROR(__xludf.DUMMYFUNCTION("""COMPUTED_VALUE"""),46800.0)</f>
        <v>46800</v>
      </c>
      <c r="O9" s="318">
        <f>IFERROR(__xludf.DUMMYFUNCTION("""COMPUTED_VALUE"""),140400.0)</f>
        <v>140400</v>
      </c>
      <c r="P9" s="317" t="str">
        <f>IFERROR(__xludf.DUMMYFUNCTION("""COMPUTED_VALUE"""),"99 - Orçamentário")</f>
        <v>99 - Orçamentário</v>
      </c>
    </row>
    <row r="10">
      <c r="B10" s="311">
        <f>IFERROR(__xludf.DUMMYFUNCTION("""COMPUTED_VALUE"""),15355.0)</f>
        <v>15355</v>
      </c>
      <c r="C10" s="311">
        <f>IFERROR(__xludf.DUMMYFUNCTION("""COMPUTED_VALUE"""),0.0)</f>
        <v>0</v>
      </c>
      <c r="D10" s="312" t="str">
        <f>IFERROR(__xludf.DUMMYFUNCTION("""COMPUTED_VALUE"""),"BANCO DE DADOS ORACLE - Contratação de suporte e atualização de licenças Oracle, para os sistemas PROAD, SIGEP")</f>
        <v>BANCO DE DADOS ORACLE - Contratação de suporte e atualização de licenças Oracle, para os sistemas PROAD, SIGEP</v>
      </c>
      <c r="E10" s="374" t="str">
        <f>IFERROR(__xludf.DUMMYFUNCTION("""COMPUTED_VALUE"""),"Continuado")</f>
        <v>Continuado</v>
      </c>
      <c r="F10" s="313" t="str">
        <f>IFERROR(__xludf.DUMMYFUNCTION("""COMPUTED_VALUE"""),"9758/2021")</f>
        <v>9758/2021</v>
      </c>
      <c r="G10" s="314" t="str">
        <f>IFERROR(__xludf.DUMMYFUNCTION("""COMPUTED_VALUE"""),"SETIC")</f>
        <v>SETIC</v>
      </c>
      <c r="H10" s="358">
        <f>IFERROR(__xludf.DUMMYFUNCTION("""COMPUTED_VALUE"""),168107.0)</f>
        <v>168107</v>
      </c>
      <c r="I10" s="317" t="str">
        <f>IFERROR(__xludf.DUMMYFUNCTION("""COMPUTED_VALUE"""),"1 - Imprescindível")</f>
        <v>1 - Imprescindível</v>
      </c>
      <c r="J10" s="317" t="str">
        <f>IFERROR(__xludf.DUMMYFUNCTION("""COMPUTED_VALUE"""),"SEINFRA")</f>
        <v>SEINFRA</v>
      </c>
      <c r="K10" s="318" t="str">
        <f>IFERROR(__xludf.DUMMYFUNCTION("""COMPUTED_VALUE"""),"2022NE000124")</f>
        <v>2022NE000124</v>
      </c>
      <c r="L10" s="318">
        <f>IFERROR(__xludf.DUMMYFUNCTION("""COMPUTED_VALUE"""),314626.19999999995)</f>
        <v>314626.2</v>
      </c>
      <c r="M10" s="318">
        <f>IFERROR(__xludf.DUMMYFUNCTION("""COMPUTED_VALUE"""),314626.2)</f>
        <v>314626.2</v>
      </c>
      <c r="N10" s="318">
        <f>IFERROR(__xludf.DUMMYFUNCTION("""COMPUTED_VALUE"""),52437.70000000001)</f>
        <v>52437.7</v>
      </c>
      <c r="O10" s="318">
        <f>IFERROR(__xludf.DUMMYFUNCTION("""COMPUTED_VALUE"""),262188.5)</f>
        <v>262188.5</v>
      </c>
      <c r="P10" s="317" t="str">
        <f>IFERROR(__xludf.DUMMYFUNCTION("""COMPUTED_VALUE"""),"01 - Não oficializado")</f>
        <v>01 - Não oficializado</v>
      </c>
    </row>
    <row r="11">
      <c r="B11" s="311">
        <f>IFERROR(__xludf.DUMMYFUNCTION("""COMPUTED_VALUE"""),15055.0)</f>
        <v>15055</v>
      </c>
      <c r="C11" s="311">
        <f>IFERROR(__xludf.DUMMYFUNCTION("""COMPUTED_VALUE"""),0.0)</f>
        <v>0</v>
      </c>
      <c r="D11" s="312" t="str">
        <f>IFERROR(__xludf.DUMMYFUNCTION("""COMPUTED_VALUE"""),"CELESC - Contratação de uso de postes (passagem da fibra óptica - locação CELESC) para conexão redundante entre o datacenter principal e auxiliar (Sede/Utrillo)")</f>
        <v>CELESC - Contratação de uso de postes (passagem da fibra óptica - locação CELESC) para conexão redundante entre o datacenter principal e auxiliar (Sede/Utrillo)</v>
      </c>
      <c r="E11" s="374" t="str">
        <f>IFERROR(__xludf.DUMMYFUNCTION("""COMPUTED_VALUE"""),"Continuado")</f>
        <v>Continuado</v>
      </c>
      <c r="F11" s="313" t="str">
        <f>IFERROR(__xludf.DUMMYFUNCTION("""COMPUTED_VALUE"""),"1674/2021")</f>
        <v>1674/2021</v>
      </c>
      <c r="G11" s="314" t="str">
        <f>IFERROR(__xludf.DUMMYFUNCTION("""COMPUTED_VALUE"""),"SETIC")</f>
        <v>SETIC</v>
      </c>
      <c r="H11" s="358">
        <f>IFERROR(__xludf.DUMMYFUNCTION("""COMPUTED_VALUE"""),168105.0)</f>
        <v>168105</v>
      </c>
      <c r="I11" s="317" t="str">
        <f>IFERROR(__xludf.DUMMYFUNCTION("""COMPUTED_VALUE"""),"1 - Imprescindível")</f>
        <v>1 - Imprescindível</v>
      </c>
      <c r="J11" s="317" t="str">
        <f>IFERROR(__xludf.DUMMYFUNCTION("""COMPUTED_VALUE"""),"SEINFRA")</f>
        <v>SEINFRA</v>
      </c>
      <c r="K11" s="318" t="str">
        <f>IFERROR(__xludf.DUMMYFUNCTION("""COMPUTED_VALUE"""),"2022NE000093")</f>
        <v>2022NE000093</v>
      </c>
      <c r="L11" s="318">
        <f>IFERROR(__xludf.DUMMYFUNCTION("""COMPUTED_VALUE"""),4494.4800000000005)</f>
        <v>4494.48</v>
      </c>
      <c r="M11" s="318">
        <f>IFERROR(__xludf.DUMMYFUNCTION("""COMPUTED_VALUE"""),4494.48)</f>
        <v>4494.48</v>
      </c>
      <c r="N11" s="318">
        <f>IFERROR(__xludf.DUMMYFUNCTION("""COMPUTED_VALUE"""),1185.8399999999997)</f>
        <v>1185.84</v>
      </c>
      <c r="O11" s="318">
        <f>IFERROR(__xludf.DUMMYFUNCTION("""COMPUTED_VALUE"""),3308.64)</f>
        <v>3308.64</v>
      </c>
      <c r="P11" s="317" t="str">
        <f>IFERROR(__xludf.DUMMYFUNCTION("""COMPUTED_VALUE"""),"99 - Orçamentário")</f>
        <v>99 - Orçamentário</v>
      </c>
    </row>
    <row r="12">
      <c r="B12" s="311">
        <f>IFERROR(__xludf.DUMMYFUNCTION("""COMPUTED_VALUE"""),15060.0)</f>
        <v>15060</v>
      </c>
      <c r="C12" s="311">
        <f>IFERROR(__xludf.DUMMYFUNCTION("""COMPUTED_VALUE"""),15060.0)</f>
        <v>15060</v>
      </c>
      <c r="D12" s="312" t="str">
        <f>IFERROR(__xludf.DUMMYFUNCTION("""COMPUTED_VALUE"""),"CENTRAL DE SERVIÇOS - Contratação de serviços de suporte de TIC em 1º e 2º níveis - 2019, para fornecimento de técnicos terceirizados para atendimento aos chamados de TIC, no Estado.")</f>
        <v>CENTRAL DE SERVIÇOS - Contratação de serviços de suporte de TIC em 1º e 2º níveis - 2019, para fornecimento de técnicos terceirizados para atendimento aos chamados de TIC, no Estado.</v>
      </c>
      <c r="E12" s="374" t="str">
        <f>IFERROR(__xludf.DUMMYFUNCTION("""COMPUTED_VALUE"""),"Continuado")</f>
        <v>Continuado</v>
      </c>
      <c r="F12" s="324" t="str">
        <f>IFERROR(__xludf.DUMMYFUNCTION("""COMPUTED_VALUE"""),"3995/2019")</f>
        <v>3995/2019</v>
      </c>
      <c r="G12" s="314" t="str">
        <f>IFERROR(__xludf.DUMMYFUNCTION("""COMPUTED_VALUE"""),"SETIC")</f>
        <v>SETIC</v>
      </c>
      <c r="H12" s="358">
        <f>IFERROR(__xludf.DUMMYFUNCTION("""COMPUTED_VALUE"""),168105.0)</f>
        <v>168105</v>
      </c>
      <c r="I12" s="317" t="str">
        <f>IFERROR(__xludf.DUMMYFUNCTION("""COMPUTED_VALUE"""),"1 - Imprescindível")</f>
        <v>1 - Imprescindível</v>
      </c>
      <c r="J12" s="317" t="str">
        <f>IFERROR(__xludf.DUMMYFUNCTION("""COMPUTED_VALUE"""),"SESUP")</f>
        <v>SESUP</v>
      </c>
      <c r="K12" s="318" t="str">
        <f>IFERROR(__xludf.DUMMYFUNCTION("""COMPUTED_VALUE"""),"2022NE000128")</f>
        <v>2022NE000128</v>
      </c>
      <c r="L12" s="318">
        <f>IFERROR(__xludf.DUMMYFUNCTION("""COMPUTED_VALUE"""),891880.8)</f>
        <v>891880.8</v>
      </c>
      <c r="M12" s="318">
        <f>IFERROR(__xludf.DUMMYFUNCTION("""COMPUTED_VALUE"""),801716.52)</f>
        <v>801716.52</v>
      </c>
      <c r="N12" s="318">
        <f>IFERROR(__xludf.DUMMYFUNCTION("""COMPUTED_VALUE"""),148646.80000000005)</f>
        <v>148646.8</v>
      </c>
      <c r="O12" s="318">
        <f>IFERROR(__xludf.DUMMYFUNCTION("""COMPUTED_VALUE"""),653069.72)</f>
        <v>653069.72</v>
      </c>
      <c r="P12" s="317" t="str">
        <f>IFERROR(__xludf.DUMMYFUNCTION("""COMPUTED_VALUE"""),"07 - Concluída")</f>
        <v>07 - Concluída</v>
      </c>
    </row>
    <row r="13">
      <c r="B13" s="311">
        <f>IFERROR(__xludf.DUMMYFUNCTION("""COMPUTED_VALUE"""),15315.0)</f>
        <v>15315</v>
      </c>
      <c r="C13" s="311">
        <f>IFERROR(__xludf.DUMMYFUNCTION("""COMPUTED_VALUE"""),0.0)</f>
        <v>0</v>
      </c>
      <c r="D13" s="312" t="str">
        <f>IFERROR(__xludf.DUMMYFUNCTION("""COMPUTED_VALUE"""),"CERTIFICADOS PF - Aquisição de certificados digitais (tokens) para pessoa física, para todo o Estado")</f>
        <v>CERTIFICADOS PF - Aquisição de certificados digitais (tokens) para pessoa física, para todo o Estado</v>
      </c>
      <c r="E13" s="374" t="str">
        <f>IFERROR(__xludf.DUMMYFUNCTION("""COMPUTED_VALUE"""),"Imediato")</f>
        <v>Imediato</v>
      </c>
      <c r="F13" s="313" t="str">
        <f>IFERROR(__xludf.DUMMYFUNCTION("""COMPUTED_VALUE"""),"4057/2020")</f>
        <v>4057/2020</v>
      </c>
      <c r="G13" s="314" t="str">
        <f>IFERROR(__xludf.DUMMYFUNCTION("""COMPUTED_VALUE"""),"SETIC")</f>
        <v>SETIC</v>
      </c>
      <c r="H13" s="358">
        <f>IFERROR(__xludf.DUMMYFUNCTION("""COMPUTED_VALUE"""),168105.0)</f>
        <v>168105</v>
      </c>
      <c r="I13" s="317" t="str">
        <f>IFERROR(__xludf.DUMMYFUNCTION("""COMPUTED_VALUE"""),"1 - Imprescindível")</f>
        <v>1 - Imprescindível</v>
      </c>
      <c r="J13" s="317" t="str">
        <f>IFERROR(__xludf.DUMMYFUNCTION("""COMPUTED_VALUE"""),"SETIC")</f>
        <v>SETIC</v>
      </c>
      <c r="K13" s="318" t="str">
        <f>IFERROR(__xludf.DUMMYFUNCTION("""COMPUTED_VALUE"""),"2022NE000237")</f>
        <v>2022NE000237</v>
      </c>
      <c r="L13" s="318">
        <f>IFERROR(__xludf.DUMMYFUNCTION("""COMPUTED_VALUE"""),42020.0)</f>
        <v>42020</v>
      </c>
      <c r="M13" s="318">
        <f>IFERROR(__xludf.DUMMYFUNCTION("""COMPUTED_VALUE"""),6375.0)</f>
        <v>6375</v>
      </c>
      <c r="N13" s="318">
        <f>IFERROR(__xludf.DUMMYFUNCTION("""COMPUTED_VALUE"""),4055.0)</f>
        <v>4055</v>
      </c>
      <c r="O13" s="318">
        <f>IFERROR(__xludf.DUMMYFUNCTION("""COMPUTED_VALUE"""),2320.0)</f>
        <v>2320</v>
      </c>
      <c r="P13" s="317" t="str">
        <f>IFERROR(__xludf.DUMMYFUNCTION("""COMPUTED_VALUE"""),"02 - DOD emitido")</f>
        <v>02 - DOD emitido</v>
      </c>
    </row>
    <row r="14">
      <c r="B14" s="311">
        <f>IFERROR(__xludf.DUMMYFUNCTION("""COMPUTED_VALUE"""),15254.0)</f>
        <v>15254</v>
      </c>
      <c r="C14" s="311">
        <f>IFERROR(__xludf.DUMMYFUNCTION("""COMPUTED_VALUE"""),15254.0)</f>
        <v>15254</v>
      </c>
      <c r="D14" s="312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(CERTISIGN).")</f>
        <v>CERTIFICADOS PJ - Aquisição Certificados Digitais SSL (PJe, domínio trt12.jus.br e siscondj), obrigatório para estabelecer autenticação de confiança entre sistemas de informação. Exigido pela instituição bancária (CERTISIGN).</v>
      </c>
      <c r="E14" s="374" t="str">
        <f>IFERROR(__xludf.DUMMYFUNCTION("""COMPUTED_VALUE"""),"Imediato")</f>
        <v>Imediato</v>
      </c>
      <c r="F14" s="313" t="str">
        <f>IFERROR(__xludf.DUMMYFUNCTION("""COMPUTED_VALUE"""),"2832/2022")</f>
        <v>2832/2022</v>
      </c>
      <c r="G14" s="314" t="str">
        <f>IFERROR(__xludf.DUMMYFUNCTION("""COMPUTED_VALUE"""),"SETIC")</f>
        <v>SETIC</v>
      </c>
      <c r="H14" s="358">
        <f>IFERROR(__xludf.DUMMYFUNCTION("""COMPUTED_VALUE"""),168105.0)</f>
        <v>168105</v>
      </c>
      <c r="I14" s="317" t="str">
        <f>IFERROR(__xludf.DUMMYFUNCTION("""COMPUTED_VALUE"""),"1 - Imprescindível")</f>
        <v>1 - Imprescindível</v>
      </c>
      <c r="J14" s="317" t="str">
        <f>IFERROR(__xludf.DUMMYFUNCTION("""COMPUTED_VALUE"""),"SEINFRA")</f>
        <v>SEINFRA</v>
      </c>
      <c r="K14" s="318" t="str">
        <f>IFERROR(__xludf.DUMMYFUNCTION("""COMPUTED_VALUE"""),"2022NE000266")</f>
        <v>2022NE000266</v>
      </c>
      <c r="L14" s="318">
        <f>IFERROR(__xludf.DUMMYFUNCTION("""COMPUTED_VALUE"""),1890.0)</f>
        <v>1890</v>
      </c>
      <c r="M14" s="318">
        <f>IFERROR(__xludf.DUMMYFUNCTION("""COMPUTED_VALUE"""),1890.0)</f>
        <v>1890</v>
      </c>
      <c r="N14" s="318">
        <f>IFERROR(__xludf.DUMMYFUNCTION("""COMPUTED_VALUE"""),0.0)</f>
        <v>0</v>
      </c>
      <c r="O14" s="318">
        <f>IFERROR(__xludf.DUMMYFUNCTION("""COMPUTED_VALUE"""),1890.0)</f>
        <v>1890</v>
      </c>
      <c r="P14" s="317" t="str">
        <f>IFERROR(__xludf.DUMMYFUNCTION("""COMPUTED_VALUE"""),"07 - Concluída")</f>
        <v>07 - Concluída</v>
      </c>
    </row>
    <row r="15">
      <c r="B15" s="311">
        <f>IFERROR(__xludf.DUMMYFUNCTION("""COMPUTED_VALUE"""),15896.0)</f>
        <v>15896</v>
      </c>
      <c r="C15" s="311">
        <f>IFERROR(__xludf.DUMMYFUNCTION("""COMPUTED_VALUE"""),15254.0)</f>
        <v>15254</v>
      </c>
      <c r="D15" s="312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(HZ PORTAIS).")</f>
        <v>CERTIFICADOS PJ - Aquisição Certificados Digitais SSL (PJe, domínio trt12.jus.br e siscondj), obrigatório para estabelecer autenticação de confiança entre sistemas de informação. Exigido pela instituição bancária (HZ PORTAIS).</v>
      </c>
      <c r="E15" s="374" t="str">
        <f>IFERROR(__xludf.DUMMYFUNCTION("""COMPUTED_VALUE"""),"Imediato")</f>
        <v>Imediato</v>
      </c>
      <c r="F15" s="313" t="str">
        <f>IFERROR(__xludf.DUMMYFUNCTION("""COMPUTED_VALUE"""),"2832/2022")</f>
        <v>2832/2022</v>
      </c>
      <c r="G15" s="314" t="str">
        <f>IFERROR(__xludf.DUMMYFUNCTION("""COMPUTED_VALUE"""),"SETIC")</f>
        <v>SETIC</v>
      </c>
      <c r="H15" s="358">
        <f>IFERROR(__xludf.DUMMYFUNCTION("""COMPUTED_VALUE"""),168105.0)</f>
        <v>168105</v>
      </c>
      <c r="I15" s="317" t="str">
        <f>IFERROR(__xludf.DUMMYFUNCTION("""COMPUTED_VALUE"""),"1 - Imprescindível")</f>
        <v>1 - Imprescindível</v>
      </c>
      <c r="J15" s="317" t="str">
        <f>IFERROR(__xludf.DUMMYFUNCTION("""COMPUTED_VALUE"""),"SEINFRA")</f>
        <v>SEINFRA</v>
      </c>
      <c r="K15" s="318" t="str">
        <f>IFERROR(__xludf.DUMMYFUNCTION("""COMPUTED_VALUE"""),"2022NE000267")</f>
        <v>2022NE000267</v>
      </c>
      <c r="L15" s="318">
        <f>IFERROR(__xludf.DUMMYFUNCTION("""COMPUTED_VALUE"""),1265.4)</f>
        <v>1265.4</v>
      </c>
      <c r="M15" s="318">
        <f>IFERROR(__xludf.DUMMYFUNCTION("""COMPUTED_VALUE"""),1265.4)</f>
        <v>1265.4</v>
      </c>
      <c r="N15" s="318">
        <f>IFERROR(__xludf.DUMMYFUNCTION("""COMPUTED_VALUE"""),0.0)</f>
        <v>0</v>
      </c>
      <c r="O15" s="318">
        <f>IFERROR(__xludf.DUMMYFUNCTION("""COMPUTED_VALUE"""),1265.4)</f>
        <v>1265.4</v>
      </c>
      <c r="P15" s="317" t="str">
        <f>IFERROR(__xludf.DUMMYFUNCTION("""COMPUTED_VALUE"""),"07 - Concluída")</f>
        <v>07 - Concluída</v>
      </c>
    </row>
    <row r="16">
      <c r="B16" s="311">
        <f>IFERROR(__xludf.DUMMYFUNCTION("""COMPUTED_VALUE"""),15259.0)</f>
        <v>15259</v>
      </c>
      <c r="C16" s="311">
        <f>IFERROR(__xludf.DUMMYFUNCTION("""COMPUTED_VALUE"""),0.0)</f>
        <v>0</v>
      </c>
      <c r="D16" s="312" t="str">
        <f>IFERROR(__xludf.DUMMYFUNCTION("""COMPUTED_VALUE"""),"INTERNET LINK 1 - Contratação de acesso corporativo à internet")</f>
        <v>INTERNET LINK 1 - Contratação de acesso corporativo à internet</v>
      </c>
      <c r="E16" s="374" t="str">
        <f>IFERROR(__xludf.DUMMYFUNCTION("""COMPUTED_VALUE"""),"Continuado")</f>
        <v>Continuado</v>
      </c>
      <c r="F16" s="313" t="str">
        <f>IFERROR(__xludf.DUMMYFUNCTION("""COMPUTED_VALUE"""),"8016/2019")</f>
        <v>8016/2019</v>
      </c>
      <c r="G16" s="314" t="str">
        <f>IFERROR(__xludf.DUMMYFUNCTION("""COMPUTED_VALUE"""),"SETIC")</f>
        <v>SETIC</v>
      </c>
      <c r="H16" s="358">
        <f>IFERROR(__xludf.DUMMYFUNCTION("""COMPUTED_VALUE"""),168105.0)</f>
        <v>168105</v>
      </c>
      <c r="I16" s="317" t="str">
        <f>IFERROR(__xludf.DUMMYFUNCTION("""COMPUTED_VALUE"""),"1 - Imprescindível")</f>
        <v>1 - Imprescindível</v>
      </c>
      <c r="J16" s="317" t="str">
        <f>IFERROR(__xludf.DUMMYFUNCTION("""COMPUTED_VALUE"""),"SEINFRA")</f>
        <v>SEINFRA</v>
      </c>
      <c r="K16" s="318" t="str">
        <f>IFERROR(__xludf.DUMMYFUNCTION("""COMPUTED_VALUE"""),"2022NE000096")</f>
        <v>2022NE000096</v>
      </c>
      <c r="L16" s="318">
        <f>IFERROR(__xludf.DUMMYFUNCTION("""COMPUTED_VALUE"""),6000.0)</f>
        <v>6000</v>
      </c>
      <c r="M16" s="318">
        <f>IFERROR(__xludf.DUMMYFUNCTION("""COMPUTED_VALUE"""),6000.0)</f>
        <v>6000</v>
      </c>
      <c r="N16" s="318">
        <f>IFERROR(__xludf.DUMMYFUNCTION("""COMPUTED_VALUE"""),3000.0)</f>
        <v>3000</v>
      </c>
      <c r="O16" s="318">
        <f>IFERROR(__xludf.DUMMYFUNCTION("""COMPUTED_VALUE"""),3000.0)</f>
        <v>3000</v>
      </c>
      <c r="P16" s="317" t="str">
        <f>IFERROR(__xludf.DUMMYFUNCTION("""COMPUTED_VALUE"""),"99 - Orçamentário")</f>
        <v>99 - Orçamentário</v>
      </c>
    </row>
    <row r="17">
      <c r="B17" s="311">
        <f>IFERROR(__xludf.DUMMYFUNCTION("""COMPUTED_VALUE"""),15057.0)</f>
        <v>15057</v>
      </c>
      <c r="C17" s="311">
        <f>IFERROR(__xludf.DUMMYFUNCTION("""COMPUTED_VALUE"""),0.0)</f>
        <v>0</v>
      </c>
      <c r="D17" s="312" t="str">
        <f>IFERROR(__xludf.DUMMYFUNCTION("""COMPUTED_VALUE"""),"INTERNET LINK 2 - Contratação de acesso corporativo à internet")</f>
        <v>INTERNET LINK 2 - Contratação de acesso corporativo à internet</v>
      </c>
      <c r="E17" s="374" t="str">
        <f>IFERROR(__xludf.DUMMYFUNCTION("""COMPUTED_VALUE"""),"Continuado")</f>
        <v>Continuado</v>
      </c>
      <c r="F17" s="313" t="str">
        <f>IFERROR(__xludf.DUMMYFUNCTION("""COMPUTED_VALUE"""),"280/2020")</f>
        <v>280/2020</v>
      </c>
      <c r="G17" s="314" t="str">
        <f>IFERROR(__xludf.DUMMYFUNCTION("""COMPUTED_VALUE"""),"SETIC")</f>
        <v>SETIC</v>
      </c>
      <c r="H17" s="358">
        <f>IFERROR(__xludf.DUMMYFUNCTION("""COMPUTED_VALUE"""),168105.0)</f>
        <v>168105</v>
      </c>
      <c r="I17" s="317" t="str">
        <f>IFERROR(__xludf.DUMMYFUNCTION("""COMPUTED_VALUE"""),"1 - Imprescindível")</f>
        <v>1 - Imprescindível</v>
      </c>
      <c r="J17" s="317" t="str">
        <f>IFERROR(__xludf.DUMMYFUNCTION("""COMPUTED_VALUE"""),"SEINFRA")</f>
        <v>SEINFRA</v>
      </c>
      <c r="K17" s="318" t="str">
        <f>IFERROR(__xludf.DUMMYFUNCTION("""COMPUTED_VALUE"""),"2022NE000110")</f>
        <v>2022NE000110</v>
      </c>
      <c r="L17" s="318">
        <f>IFERROR(__xludf.DUMMYFUNCTION("""COMPUTED_VALUE"""),9350.0)</f>
        <v>9350</v>
      </c>
      <c r="M17" s="318">
        <f>IFERROR(__xludf.DUMMYFUNCTION("""COMPUTED_VALUE"""),9350.0)</f>
        <v>9350</v>
      </c>
      <c r="N17" s="318">
        <f>IFERROR(__xludf.DUMMYFUNCTION("""COMPUTED_VALUE"""),2805.0)</f>
        <v>2805</v>
      </c>
      <c r="O17" s="318">
        <f>IFERROR(__xludf.DUMMYFUNCTION("""COMPUTED_VALUE"""),6545.0)</f>
        <v>6545</v>
      </c>
      <c r="P17" s="317" t="str">
        <f>IFERROR(__xludf.DUMMYFUNCTION("""COMPUTED_VALUE"""),"99 - Orçamentário")</f>
        <v>99 - Orçamentário</v>
      </c>
    </row>
    <row r="18">
      <c r="B18" s="311">
        <f>IFERROR(__xludf.DUMMYFUNCTION("""COMPUTED_VALUE"""),15369.0)</f>
        <v>15369</v>
      </c>
      <c r="C18" s="311">
        <f>IFERROR(__xludf.DUMMYFUNCTION("""COMPUTED_VALUE"""),0.0)</f>
        <v>0</v>
      </c>
      <c r="D18" s="312" t="str">
        <f>IFERROR(__xludf.DUMMYFUNCTION("""COMPUTED_VALUE"""),"INTERNET LINK 3 - Contratação de acesso corporativo à internet (substitui LINK 1)")</f>
        <v>INTERNET LINK 3 - Contratação de acesso corporativo à internet (substitui LINK 1)</v>
      </c>
      <c r="E18" s="374" t="str">
        <f>IFERROR(__xludf.DUMMYFUNCTION("""COMPUTED_VALUE"""),"Continuado")</f>
        <v>Continuado</v>
      </c>
      <c r="F18" s="313" t="str">
        <f>IFERROR(__xludf.DUMMYFUNCTION("""COMPUTED_VALUE"""),"2049/2022")</f>
        <v>2049/2022</v>
      </c>
      <c r="G18" s="314" t="str">
        <f>IFERROR(__xludf.DUMMYFUNCTION("""COMPUTED_VALUE"""),"SETIC")</f>
        <v>SETIC</v>
      </c>
      <c r="H18" s="358">
        <f>IFERROR(__xludf.DUMMYFUNCTION("""COMPUTED_VALUE"""),168105.0)</f>
        <v>168105</v>
      </c>
      <c r="I18" s="317" t="str">
        <f>IFERROR(__xludf.DUMMYFUNCTION("""COMPUTED_VALUE"""),"1 - Imprescindível")</f>
        <v>1 - Imprescindível</v>
      </c>
      <c r="J18" s="317" t="str">
        <f>IFERROR(__xludf.DUMMYFUNCTION("""COMPUTED_VALUE"""),"SEINFRA")</f>
        <v>SEINFRA</v>
      </c>
      <c r="K18" s="318"/>
      <c r="L18" s="318">
        <f>IFERROR(__xludf.DUMMYFUNCTION("""COMPUTED_VALUE"""),10450.0)</f>
        <v>10450</v>
      </c>
      <c r="M18" s="318">
        <f>IFERROR(__xludf.DUMMYFUNCTION("""COMPUTED_VALUE"""),0.0)</f>
        <v>0</v>
      </c>
      <c r="N18" s="318">
        <f>IFERROR(__xludf.DUMMYFUNCTION("""COMPUTED_VALUE"""),0.0)</f>
        <v>0</v>
      </c>
      <c r="O18" s="318">
        <f>IFERROR(__xludf.DUMMYFUNCTION("""COMPUTED_VALUE"""),0.0)</f>
        <v>0</v>
      </c>
      <c r="P18" s="317" t="str">
        <f>IFERROR(__xludf.DUMMYFUNCTION("""COMPUTED_VALUE"""),"05 - PB enviado")</f>
        <v>05 - PB enviado</v>
      </c>
    </row>
    <row r="19">
      <c r="B19" s="311">
        <f>IFERROR(__xludf.DUMMYFUNCTION("""COMPUTED_VALUE"""),15381.0)</f>
        <v>15381</v>
      </c>
      <c r="C19" s="311">
        <f>IFERROR(__xludf.DUMMYFUNCTION("""COMPUTED_VALUE"""),0.0)</f>
        <v>0</v>
      </c>
      <c r="D19" s="312" t="str">
        <f>IFERROR(__xludf.DUMMYFUNCTION("""COMPUTED_VALUE"""),"INTERNET LINK 4 - Contratação de acesso corporativo à internet (substitui LINK 2)")</f>
        <v>INTERNET LINK 4 - Contratação de acesso corporativo à internet (substitui LINK 2)</v>
      </c>
      <c r="E19" s="374" t="str">
        <f>IFERROR(__xludf.DUMMYFUNCTION("""COMPUTED_VALUE"""),"Continuado")</f>
        <v>Continuado</v>
      </c>
      <c r="F19" s="313" t="str">
        <f>IFERROR(__xludf.DUMMYFUNCTION("""COMPUTED_VALUE"""),"9016/2021")</f>
        <v>9016/2021</v>
      </c>
      <c r="G19" s="314" t="str">
        <f>IFERROR(__xludf.DUMMYFUNCTION("""COMPUTED_VALUE"""),"SETIC")</f>
        <v>SETIC</v>
      </c>
      <c r="H19" s="358">
        <f>IFERROR(__xludf.DUMMYFUNCTION("""COMPUTED_VALUE"""),168105.0)</f>
        <v>168105</v>
      </c>
      <c r="I19" s="317" t="str">
        <f>IFERROR(__xludf.DUMMYFUNCTION("""COMPUTED_VALUE"""),"1 - Imprescindível")</f>
        <v>1 - Imprescindível</v>
      </c>
      <c r="J19" s="317" t="str">
        <f>IFERROR(__xludf.DUMMYFUNCTION("""COMPUTED_VALUE"""),"SEINFRA")</f>
        <v>SEINFRA</v>
      </c>
      <c r="K19" s="318" t="str">
        <f>IFERROR(__xludf.DUMMYFUNCTION("""COMPUTED_VALUE"""),"2022NE000273")</f>
        <v>2022NE000273</v>
      </c>
      <c r="L19" s="318">
        <f>IFERROR(__xludf.DUMMYFUNCTION("""COMPUTED_VALUE"""),22800.0)</f>
        <v>22800</v>
      </c>
      <c r="M19" s="318">
        <f>IFERROR(__xludf.DUMMYFUNCTION("""COMPUTED_VALUE"""),22800.0)</f>
        <v>22800</v>
      </c>
      <c r="N19" s="318">
        <f>IFERROR(__xludf.DUMMYFUNCTION("""COMPUTED_VALUE"""),5700.0)</f>
        <v>5700</v>
      </c>
      <c r="O19" s="318">
        <f>IFERROR(__xludf.DUMMYFUNCTION("""COMPUTED_VALUE"""),17100.0)</f>
        <v>17100</v>
      </c>
      <c r="P19" s="317" t="str">
        <f>IFERROR(__xludf.DUMMYFUNCTION("""COMPUTED_VALUE"""),"99 - Orçamentário")</f>
        <v>99 - Orçamentário</v>
      </c>
    </row>
    <row r="20">
      <c r="B20" s="311">
        <f>IFERROR(__xludf.DUMMYFUNCTION("""COMPUTED_VALUE"""),15898.0)</f>
        <v>15898</v>
      </c>
      <c r="C20" s="311">
        <f>IFERROR(__xludf.DUMMYFUNCTION("""COMPUTED_VALUE"""),99999.0)</f>
        <v>99999</v>
      </c>
      <c r="D20" s="312" t="str">
        <f>IFERROR(__xludf.DUMMYFUNCTION("""COMPUTED_VALUE"""),"NOBREAK EQUIPAMENTOS - Fornecimento de energia elétrica estabilizada e ininterrupta ao data center principal (equipamentos de 40 e 80 kVA)")</f>
        <v>NOBREAK EQUIPAMENTOS - Fornecimento de energia elétrica estabilizada e ininterrupta ao data center principal (equipamentos de 40 e 80 kVA)</v>
      </c>
      <c r="E20" s="374" t="str">
        <f>IFERROR(__xludf.DUMMYFUNCTION("""COMPUTED_VALUE"""),"Imediato")</f>
        <v>Imediato</v>
      </c>
      <c r="F20" s="313"/>
      <c r="G20" s="314" t="str">
        <f>IFERROR(__xludf.DUMMYFUNCTION("""COMPUTED_VALUE"""),"SETIC")</f>
        <v>SETIC</v>
      </c>
      <c r="H20" s="358">
        <f>IFERROR(__xludf.DUMMYFUNCTION("""COMPUTED_VALUE"""),168105.0)</f>
        <v>168105</v>
      </c>
      <c r="I20" s="317" t="str">
        <f>IFERROR(__xludf.DUMMYFUNCTION("""COMPUTED_VALUE"""),"1 - Imprescindível")</f>
        <v>1 - Imprescindível</v>
      </c>
      <c r="J20" s="317" t="str">
        <f>IFERROR(__xludf.DUMMYFUNCTION("""COMPUTED_VALUE"""),"SESUP")</f>
        <v>SESUP</v>
      </c>
      <c r="K20" s="318"/>
      <c r="L20" s="318">
        <f>IFERROR(__xludf.DUMMYFUNCTION("""COMPUTED_VALUE"""),533000.0)</f>
        <v>533000</v>
      </c>
      <c r="M20" s="318">
        <f>IFERROR(__xludf.DUMMYFUNCTION("""COMPUTED_VALUE"""),0.0)</f>
        <v>0</v>
      </c>
      <c r="N20" s="318">
        <f>IFERROR(__xludf.DUMMYFUNCTION("""COMPUTED_VALUE"""),0.0)</f>
        <v>0</v>
      </c>
      <c r="O20" s="318">
        <f>IFERROR(__xludf.DUMMYFUNCTION("""COMPUTED_VALUE"""),0.0)</f>
        <v>0</v>
      </c>
      <c r="P20" s="317" t="str">
        <f>IFERROR(__xludf.DUMMYFUNCTION("""COMPUTED_VALUE"""),"02 - DOD emitido")</f>
        <v>02 - DOD emitido</v>
      </c>
    </row>
    <row r="21">
      <c r="B21" s="311">
        <f>IFERROR(__xludf.DUMMYFUNCTION("""COMPUTED_VALUE"""),15379.0)</f>
        <v>15379</v>
      </c>
      <c r="C21" s="311">
        <f>IFERROR(__xludf.DUMMYFUNCTION("""COMPUTED_VALUE"""),0.0)</f>
        <v>0</v>
      </c>
      <c r="D21" s="312" t="str">
        <f>IFERROR(__xludf.DUMMYFUNCTION("""COMPUTED_VALUE"""),"NOBREAKS BATERIAS - Aquisição baterias dos Nobreaks de 40kVA (SUVT)")</f>
        <v>NOBREAKS BATERIAS - Aquisição baterias dos Nobreaks de 40kVA (SUVT)</v>
      </c>
      <c r="E21" s="374" t="str">
        <f>IFERROR(__xludf.DUMMYFUNCTION("""COMPUTED_VALUE"""),"Imediato")</f>
        <v>Imediato</v>
      </c>
      <c r="F21" s="313"/>
      <c r="G21" s="314" t="str">
        <f>IFERROR(__xludf.DUMMYFUNCTION("""COMPUTED_VALUE"""),"SETIC")</f>
        <v>SETIC</v>
      </c>
      <c r="H21" s="358">
        <f>IFERROR(__xludf.DUMMYFUNCTION("""COMPUTED_VALUE"""),168105.0)</f>
        <v>168105</v>
      </c>
      <c r="I21" s="317" t="str">
        <f>IFERROR(__xludf.DUMMYFUNCTION("""COMPUTED_VALUE"""),"1 - Imprescindível")</f>
        <v>1 - Imprescindível</v>
      </c>
      <c r="J21" s="317" t="str">
        <f>IFERROR(__xludf.DUMMYFUNCTION("""COMPUTED_VALUE"""),"SESUP")</f>
        <v>SESUP</v>
      </c>
      <c r="K21" s="318"/>
      <c r="L21" s="318">
        <f>IFERROR(__xludf.DUMMYFUNCTION("""COMPUTED_VALUE"""),100000.0)</f>
        <v>100000</v>
      </c>
      <c r="M21" s="318">
        <f>IFERROR(__xludf.DUMMYFUNCTION("""COMPUTED_VALUE"""),0.0)</f>
        <v>0</v>
      </c>
      <c r="N21" s="318">
        <f>IFERROR(__xludf.DUMMYFUNCTION("""COMPUTED_VALUE"""),0.0)</f>
        <v>0</v>
      </c>
      <c r="O21" s="318">
        <f>IFERROR(__xludf.DUMMYFUNCTION("""COMPUTED_VALUE"""),0.0)</f>
        <v>0</v>
      </c>
      <c r="P21" s="317" t="str">
        <f>IFERROR(__xludf.DUMMYFUNCTION("""COMPUTED_VALUE"""),"01 - Não oficializado")</f>
        <v>01 - Não oficializado</v>
      </c>
    </row>
    <row r="22">
      <c r="B22" s="311">
        <f>IFERROR(__xludf.DUMMYFUNCTION("""COMPUTED_VALUE"""),15376.0)</f>
        <v>15376</v>
      </c>
      <c r="C22" s="311">
        <f>IFERROR(__xludf.DUMMYFUNCTION("""COMPUTED_VALUE"""),0.0)</f>
        <v>0</v>
      </c>
      <c r="D22" s="312" t="str">
        <f>IFERROR(__xludf.DUMMYFUNCTION("""COMPUTED_VALUE"""),"NOBREAKS EQUIPAMENTOS - Aquisição de equipamentos de 8 e 10 kVA")</f>
        <v>NOBREAKS EQUIPAMENTOS - Aquisição de equipamentos de 8 e 10 kVA</v>
      </c>
      <c r="E22" s="374" t="str">
        <f>IFERROR(__xludf.DUMMYFUNCTION("""COMPUTED_VALUE"""),"Imediato")</f>
        <v>Imediato</v>
      </c>
      <c r="F22" s="313" t="str">
        <f>IFERROR(__xludf.DUMMYFUNCTION("""COMPUTED_VALUE"""),"9240/2021")</f>
        <v>9240/2021</v>
      </c>
      <c r="G22" s="314" t="str">
        <f>IFERROR(__xludf.DUMMYFUNCTION("""COMPUTED_VALUE"""),"SETIC")</f>
        <v>SETIC</v>
      </c>
      <c r="H22" s="358">
        <f>IFERROR(__xludf.DUMMYFUNCTION("""COMPUTED_VALUE"""),168105.0)</f>
        <v>168105</v>
      </c>
      <c r="I22" s="317" t="str">
        <f>IFERROR(__xludf.DUMMYFUNCTION("""COMPUTED_VALUE"""),"1 - Imprescindível")</f>
        <v>1 - Imprescindível</v>
      </c>
      <c r="J22" s="317" t="str">
        <f>IFERROR(__xludf.DUMMYFUNCTION("""COMPUTED_VALUE"""),"SESUP")</f>
        <v>SESUP</v>
      </c>
      <c r="K22" s="318"/>
      <c r="L22" s="318">
        <f>IFERROR(__xludf.DUMMYFUNCTION("""COMPUTED_VALUE"""),868538.56)</f>
        <v>868538.56</v>
      </c>
      <c r="M22" s="318">
        <f>IFERROR(__xludf.DUMMYFUNCTION("""COMPUTED_VALUE"""),0.0)</f>
        <v>0</v>
      </c>
      <c r="N22" s="318">
        <f>IFERROR(__xludf.DUMMYFUNCTION("""COMPUTED_VALUE"""),0.0)</f>
        <v>0</v>
      </c>
      <c r="O22" s="318">
        <f>IFERROR(__xludf.DUMMYFUNCTION("""COMPUTED_VALUE"""),0.0)</f>
        <v>0</v>
      </c>
      <c r="P22" s="317" t="str">
        <f>IFERROR(__xludf.DUMMYFUNCTION("""COMPUTED_VALUE"""),"05 - PB enviado")</f>
        <v>05 - PB enviado</v>
      </c>
    </row>
    <row r="23">
      <c r="B23" s="311">
        <f>IFERROR(__xludf.DUMMYFUNCTION("""COMPUTED_VALUE"""),15220.0)</f>
        <v>15220</v>
      </c>
      <c r="C23" s="311">
        <f>IFERROR(__xludf.DUMMYFUNCTION("""COMPUTED_VALUE"""),0.0)</f>
        <v>0</v>
      </c>
      <c r="D23" s="312" t="str">
        <f>IFERROR(__xludf.DUMMYFUNCTION("""COMPUTED_VALUE"""),"NOBREAKS SURT - Suporte e manutenção dos nobreaks de varas e foros (SURT 15kVA)")</f>
        <v>NOBREAKS SURT - Suporte e manutenção dos nobreaks de varas e foros (SURT 15kVA)</v>
      </c>
      <c r="E23" s="374" t="str">
        <f>IFERROR(__xludf.DUMMYFUNCTION("""COMPUTED_VALUE"""),"Continuado")</f>
        <v>Continuado</v>
      </c>
      <c r="F23" s="313" t="str">
        <f>IFERROR(__xludf.DUMMYFUNCTION("""COMPUTED_VALUE"""),"7005/2020")</f>
        <v>7005/2020</v>
      </c>
      <c r="G23" s="314" t="str">
        <f>IFERROR(__xludf.DUMMYFUNCTION("""COMPUTED_VALUE"""),"SETIC")</f>
        <v>SETIC</v>
      </c>
      <c r="H23" s="358">
        <f>IFERROR(__xludf.DUMMYFUNCTION("""COMPUTED_VALUE"""),168105.0)</f>
        <v>168105</v>
      </c>
      <c r="I23" s="317" t="str">
        <f>IFERROR(__xludf.DUMMYFUNCTION("""COMPUTED_VALUE"""),"1 - Imprescindível")</f>
        <v>1 - Imprescindível</v>
      </c>
      <c r="J23" s="317" t="str">
        <f>IFERROR(__xludf.DUMMYFUNCTION("""COMPUTED_VALUE"""),"SESUP")</f>
        <v>SESUP</v>
      </c>
      <c r="K23" s="318" t="str">
        <f>IFERROR(__xludf.DUMMYFUNCTION("""COMPUTED_VALUE"""),"2022NE000095")</f>
        <v>2022NE000095</v>
      </c>
      <c r="L23" s="318">
        <f>IFERROR(__xludf.DUMMYFUNCTION("""COMPUTED_VALUE"""),32390.399999999998)</f>
        <v>32390.4</v>
      </c>
      <c r="M23" s="318">
        <f>IFERROR(__xludf.DUMMYFUNCTION("""COMPUTED_VALUE"""),32390.4)</f>
        <v>32390.4</v>
      </c>
      <c r="N23" s="318">
        <f>IFERROR(__xludf.DUMMYFUNCTION("""COMPUTED_VALUE"""),8043.620000000003)</f>
        <v>8043.62</v>
      </c>
      <c r="O23" s="318">
        <f>IFERROR(__xludf.DUMMYFUNCTION("""COMPUTED_VALUE"""),24346.78)</f>
        <v>24346.78</v>
      </c>
      <c r="P23" s="317" t="str">
        <f>IFERROR(__xludf.DUMMYFUNCTION("""COMPUTED_VALUE"""),"01 - Não oficializado")</f>
        <v>01 - Não oficializado</v>
      </c>
    </row>
    <row r="24">
      <c r="B24" s="311">
        <f>IFERROR(__xludf.DUMMYFUNCTION("""COMPUTED_VALUE"""),15019.0)</f>
        <v>15019</v>
      </c>
      <c r="C24" s="311">
        <f>IFERROR(__xludf.DUMMYFUNCTION("""COMPUTED_VALUE"""),0.0)</f>
        <v>0</v>
      </c>
      <c r="D24" s="312" t="str">
        <f>IFERROR(__xludf.DUMMYFUNCTION("""COMPUTED_VALUE"""),"NOBREAKS SUVT 2016 - Suporte e manutenção dos nobreaks SUVT 40kVA do Datacenter e dos foros da Capital, de São José e da sede (prorrogação emergencial em 2021)")</f>
        <v>NOBREAKS SUVT 2016 - Suporte e manutenção dos nobreaks SUVT 40kVA do Datacenter e dos foros da Capital, de São José e da sede (prorrogação emergencial em 2021)</v>
      </c>
      <c r="E24" s="374" t="str">
        <f>IFERROR(__xludf.DUMMYFUNCTION("""COMPUTED_VALUE"""),"Continuado")</f>
        <v>Continuado</v>
      </c>
      <c r="F24" s="313" t="str">
        <f>IFERROR(__xludf.DUMMYFUNCTION("""COMPUTED_VALUE"""),"12216/2016")</f>
        <v>12216/2016</v>
      </c>
      <c r="G24" s="314" t="str">
        <f>IFERROR(__xludf.DUMMYFUNCTION("""COMPUTED_VALUE"""),"SETIC")</f>
        <v>SETIC</v>
      </c>
      <c r="H24" s="358">
        <f>IFERROR(__xludf.DUMMYFUNCTION("""COMPUTED_VALUE"""),168105.0)</f>
        <v>168105</v>
      </c>
      <c r="I24" s="317" t="str">
        <f>IFERROR(__xludf.DUMMYFUNCTION("""COMPUTED_VALUE"""),"1 - Imprescindível")</f>
        <v>1 - Imprescindível</v>
      </c>
      <c r="J24" s="317" t="str">
        <f>IFERROR(__xludf.DUMMYFUNCTION("""COMPUTED_VALUE"""),"SESUP")</f>
        <v>SESUP</v>
      </c>
      <c r="K24" s="318" t="str">
        <f>IFERROR(__xludf.DUMMYFUNCTION("""COMPUTED_VALUE"""),"2022NE000099")</f>
        <v>2022NE000099</v>
      </c>
      <c r="L24" s="318">
        <f>IFERROR(__xludf.DUMMYFUNCTION("""COMPUTED_VALUE"""),11221.333333333334)</f>
        <v>11221.33333</v>
      </c>
      <c r="M24" s="318">
        <f>IFERROR(__xludf.DUMMYFUNCTION("""COMPUTED_VALUE"""),11221.33)</f>
        <v>11221.33</v>
      </c>
      <c r="N24" s="318">
        <f>IFERROR(__xludf.DUMMYFUNCTION("""COMPUTED_VALUE"""),10520.0)</f>
        <v>10520</v>
      </c>
      <c r="O24" s="318">
        <f>IFERROR(__xludf.DUMMYFUNCTION("""COMPUTED_VALUE"""),701.33)</f>
        <v>701.33</v>
      </c>
      <c r="P24" s="317" t="str">
        <f>IFERROR(__xludf.DUMMYFUNCTION("""COMPUTED_VALUE"""),"99 - Orçamentário")</f>
        <v>99 - Orçamentário</v>
      </c>
    </row>
    <row r="25">
      <c r="B25" s="311">
        <f>IFERROR(__xludf.DUMMYFUNCTION("""COMPUTED_VALUE"""),15357.0)</f>
        <v>15357</v>
      </c>
      <c r="C25" s="311">
        <f>IFERROR(__xludf.DUMMYFUNCTION("""COMPUTED_VALUE"""),0.0)</f>
        <v>0</v>
      </c>
      <c r="D25" s="312" t="str">
        <f>IFERROR(__xludf.DUMMYFUNCTION("""COMPUTED_VALUE"""),"NOBREAKS SUVT 2022 - Suporte e manutenção dos nobreaks SUVT 40kVA do Datacenter e dos foros da Capital, de São José e da sede (substitui o 15019; há indicativo preliminar de que a aquisição de novos equipamentos pode ser mais vantajosa, o que será definid"&amp;"o pelo planejamento da contratação)")</f>
        <v>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E25" s="374" t="str">
        <f>IFERROR(__xludf.DUMMYFUNCTION("""COMPUTED_VALUE"""),"Continuado")</f>
        <v>Continuado</v>
      </c>
      <c r="F25" s="313" t="str">
        <f>IFERROR(__xludf.DUMMYFUNCTION("""COMPUTED_VALUE"""),"148/2022")</f>
        <v>148/2022</v>
      </c>
      <c r="G25" s="314" t="str">
        <f>IFERROR(__xludf.DUMMYFUNCTION("""COMPUTED_VALUE"""),"SETIC")</f>
        <v>SETIC</v>
      </c>
      <c r="H25" s="358">
        <f>IFERROR(__xludf.DUMMYFUNCTION("""COMPUTED_VALUE"""),168105.0)</f>
        <v>168105</v>
      </c>
      <c r="I25" s="317" t="str">
        <f>IFERROR(__xludf.DUMMYFUNCTION("""COMPUTED_VALUE"""),"1 - Imprescindível")</f>
        <v>1 - Imprescindível</v>
      </c>
      <c r="J25" s="317" t="str">
        <f>IFERROR(__xludf.DUMMYFUNCTION("""COMPUTED_VALUE"""),"SESUP")</f>
        <v>SESUP</v>
      </c>
      <c r="K25" s="318" t="str">
        <f>IFERROR(__xludf.DUMMYFUNCTION("""COMPUTED_VALUE"""),"2022NE000190")</f>
        <v>2022NE000190</v>
      </c>
      <c r="L25" s="318">
        <f>IFERROR(__xludf.DUMMYFUNCTION("""COMPUTED_VALUE"""),65100.0)</f>
        <v>65100</v>
      </c>
      <c r="M25" s="318">
        <f>IFERROR(__xludf.DUMMYFUNCTION("""COMPUTED_VALUE"""),65100.0)</f>
        <v>65100</v>
      </c>
      <c r="N25" s="318">
        <f>IFERROR(__xludf.DUMMYFUNCTION("""COMPUTED_VALUE"""),3589.8799999999974)</f>
        <v>3589.88</v>
      </c>
      <c r="O25" s="318">
        <f>IFERROR(__xludf.DUMMYFUNCTION("""COMPUTED_VALUE"""),61510.12)</f>
        <v>61510.12</v>
      </c>
      <c r="P25" s="317" t="str">
        <f>IFERROR(__xludf.DUMMYFUNCTION("""COMPUTED_VALUE"""),"07 - Concluída")</f>
        <v>07 - Concluída</v>
      </c>
    </row>
    <row r="26">
      <c r="B26" s="311">
        <f>IFERROR(__xludf.DUMMYFUNCTION("""COMPUTED_VALUE"""),15314.0)</f>
        <v>15314</v>
      </c>
      <c r="C26" s="311">
        <f>IFERROR(__xludf.DUMMYFUNCTION("""COMPUTED_VALUE"""),15314.0)</f>
        <v>15314</v>
      </c>
      <c r="D26" s="312" t="str">
        <f>IFERROR(__xludf.DUMMYFUNCTION("""COMPUTED_VALUE"""),"NOBREAKS SYMMETRA - Suporte e manutenção de nobreaks do datacenter - SYMMETRA")</f>
        <v>NOBREAKS SYMMETRA - Suporte e manutenção de nobreaks do datacenter - SYMMETRA</v>
      </c>
      <c r="E26" s="374" t="str">
        <f>IFERROR(__xludf.DUMMYFUNCTION("""COMPUTED_VALUE"""),"Continuado")</f>
        <v>Continuado</v>
      </c>
      <c r="F26" s="313" t="str">
        <f>IFERROR(__xludf.DUMMYFUNCTION("""COMPUTED_VALUE"""),"5228/2020")</f>
        <v>5228/2020</v>
      </c>
      <c r="G26" s="314" t="str">
        <f>IFERROR(__xludf.DUMMYFUNCTION("""COMPUTED_VALUE"""),"SETIC")</f>
        <v>SETIC</v>
      </c>
      <c r="H26" s="358">
        <f>IFERROR(__xludf.DUMMYFUNCTION("""COMPUTED_VALUE"""),168105.0)</f>
        <v>168105</v>
      </c>
      <c r="I26" s="317" t="str">
        <f>IFERROR(__xludf.DUMMYFUNCTION("""COMPUTED_VALUE"""),"1 - Imprescindível")</f>
        <v>1 - Imprescindível</v>
      </c>
      <c r="J26" s="317" t="str">
        <f>IFERROR(__xludf.DUMMYFUNCTION("""COMPUTED_VALUE"""),"SESUP")</f>
        <v>SESUP</v>
      </c>
      <c r="K26" s="318" t="str">
        <f>IFERROR(__xludf.DUMMYFUNCTION("""COMPUTED_VALUE"""),"2022NE000229")</f>
        <v>2022NE000229</v>
      </c>
      <c r="L26" s="318">
        <f>IFERROR(__xludf.DUMMYFUNCTION("""COMPUTED_VALUE"""),8886.37)</f>
        <v>8886.37</v>
      </c>
      <c r="M26" s="318">
        <f>IFERROR(__xludf.DUMMYFUNCTION("""COMPUTED_VALUE"""),8886.37)</f>
        <v>8886.37</v>
      </c>
      <c r="N26" s="318">
        <f>IFERROR(__xludf.DUMMYFUNCTION("""COMPUTED_VALUE"""),8886.37)</f>
        <v>8886.37</v>
      </c>
      <c r="O26" s="318">
        <f>IFERROR(__xludf.DUMMYFUNCTION("""COMPUTED_VALUE"""),0.0)</f>
        <v>0</v>
      </c>
      <c r="P26" s="317" t="str">
        <f>IFERROR(__xludf.DUMMYFUNCTION("""COMPUTED_VALUE"""),"07 - Concluída")</f>
        <v>07 - Concluída</v>
      </c>
    </row>
    <row r="27">
      <c r="B27" s="311">
        <f>IFERROR(__xludf.DUMMYFUNCTION("""COMPUTED_VALUE"""),15383.0)</f>
        <v>15383</v>
      </c>
      <c r="C27" s="311">
        <f>IFERROR(__xludf.DUMMYFUNCTION("""COMPUTED_VALUE"""),15383.0)</f>
        <v>15383</v>
      </c>
      <c r="D27" s="312" t="str">
        <f>IFERROR(__xludf.DUMMYFUNCTION("""COMPUTED_VALUE"""),"NUVEM GOOGLE - Contratação de licença de uso de serviço de nuvem de comunicação e colaboração (substitui 15072 e 15382)")</f>
        <v>NUVEM GOOGLE - Contratação de licença de uso de serviço de nuvem de comunicação e colaboração (substitui 15072 e 15382)</v>
      </c>
      <c r="E27" s="374" t="str">
        <f>IFERROR(__xludf.DUMMYFUNCTION("""COMPUTED_VALUE"""),"Continuado")</f>
        <v>Continuado</v>
      </c>
      <c r="F27" s="313"/>
      <c r="G27" s="314" t="str">
        <f>IFERROR(__xludf.DUMMYFUNCTION("""COMPUTED_VALUE"""),"SETIC")</f>
        <v>SETIC</v>
      </c>
      <c r="H27" s="358">
        <f>IFERROR(__xludf.DUMMYFUNCTION("""COMPUTED_VALUE"""),168105.0)</f>
        <v>168105</v>
      </c>
      <c r="I27" s="317" t="str">
        <f>IFERROR(__xludf.DUMMYFUNCTION("""COMPUTED_VALUE"""),"1 - Imprescindível")</f>
        <v>1 - Imprescindível</v>
      </c>
      <c r="J27" s="317" t="str">
        <f>IFERROR(__xludf.DUMMYFUNCTION("""COMPUTED_VALUE"""),"SEINFRA")</f>
        <v>SEINFRA</v>
      </c>
      <c r="K27" s="318"/>
      <c r="L27" s="318">
        <f>IFERROR(__xludf.DUMMYFUNCTION("""COMPUTED_VALUE"""),54920.0)</f>
        <v>54920</v>
      </c>
      <c r="M27" s="318">
        <f>IFERROR(__xludf.DUMMYFUNCTION("""COMPUTED_VALUE"""),0.0)</f>
        <v>0</v>
      </c>
      <c r="N27" s="318">
        <f>IFERROR(__xludf.DUMMYFUNCTION("""COMPUTED_VALUE"""),0.0)</f>
        <v>0</v>
      </c>
      <c r="O27" s="318">
        <f>IFERROR(__xludf.DUMMYFUNCTION("""COMPUTED_VALUE"""),0.0)</f>
        <v>0</v>
      </c>
      <c r="P27" s="317" t="str">
        <f>IFERROR(__xludf.DUMMYFUNCTION("""COMPUTED_VALUE"""),"01 - Não oficializado")</f>
        <v>01 - Não oficializado</v>
      </c>
    </row>
    <row r="28">
      <c r="B28" s="311">
        <f>IFERROR(__xludf.DUMMYFUNCTION("""COMPUTED_VALUE"""),15072.0)</f>
        <v>15072</v>
      </c>
      <c r="C28" s="311">
        <f>IFERROR(__xludf.DUMMYFUNCTION("""COMPUTED_VALUE"""),0.0)</f>
        <v>0</v>
      </c>
      <c r="D28" s="312" t="str">
        <f>IFERROR(__xludf.DUMMYFUNCTION("""COMPUTED_VALUE"""),"NUVEM GOOGLE 1 - Contratação de licença de uso de serviço de nuvem de comunicação e colaboração")</f>
        <v>NUVEM GOOGLE 1 - Contratação de licença de uso de serviço de nuvem de comunicação e colaboração</v>
      </c>
      <c r="E28" s="374" t="str">
        <f>IFERROR(__xludf.DUMMYFUNCTION("""COMPUTED_VALUE"""),"Continuado")</f>
        <v>Continuado</v>
      </c>
      <c r="F28" s="313" t="str">
        <f>IFERROR(__xludf.DUMMYFUNCTION("""COMPUTED_VALUE"""),"11741/2017")</f>
        <v>11741/2017</v>
      </c>
      <c r="G28" s="314" t="str">
        <f>IFERROR(__xludf.DUMMYFUNCTION("""COMPUTED_VALUE"""),"SETIC")</f>
        <v>SETIC</v>
      </c>
      <c r="H28" s="358">
        <f>IFERROR(__xludf.DUMMYFUNCTION("""COMPUTED_VALUE"""),168105.0)</f>
        <v>168105</v>
      </c>
      <c r="I28" s="317" t="str">
        <f>IFERROR(__xludf.DUMMYFUNCTION("""COMPUTED_VALUE"""),"1 - Imprescindível")</f>
        <v>1 - Imprescindível</v>
      </c>
      <c r="J28" s="317" t="str">
        <f>IFERROR(__xludf.DUMMYFUNCTION("""COMPUTED_VALUE"""),"SEINFRA")</f>
        <v>SEINFRA</v>
      </c>
      <c r="K28" s="318" t="str">
        <f>IFERROR(__xludf.DUMMYFUNCTION("""COMPUTED_VALUE"""),"2022NE000127")</f>
        <v>2022NE000127</v>
      </c>
      <c r="L28" s="318">
        <f>IFERROR(__xludf.DUMMYFUNCTION("""COMPUTED_VALUE"""),264255.078)</f>
        <v>264255.078</v>
      </c>
      <c r="M28" s="318">
        <f>IFERROR(__xludf.DUMMYFUNCTION("""COMPUTED_VALUE"""),264255.08)</f>
        <v>264255.08</v>
      </c>
      <c r="N28" s="318">
        <f>IFERROR(__xludf.DUMMYFUNCTION("""COMPUTED_VALUE"""),69540.81000000003)</f>
        <v>69540.81</v>
      </c>
      <c r="O28" s="318">
        <f>IFERROR(__xludf.DUMMYFUNCTION("""COMPUTED_VALUE"""),194714.27)</f>
        <v>194714.27</v>
      </c>
      <c r="P28" s="317" t="str">
        <f>IFERROR(__xludf.DUMMYFUNCTION("""COMPUTED_VALUE"""),"99 - Orçamentário")</f>
        <v>99 - Orçamentário</v>
      </c>
    </row>
    <row r="29">
      <c r="B29" s="311">
        <f>IFERROR(__xludf.DUMMYFUNCTION("""COMPUTED_VALUE"""),15070.0)</f>
        <v>15070</v>
      </c>
      <c r="C29" s="311">
        <f>IFERROR(__xludf.DUMMYFUNCTION("""COMPUTED_VALUE"""),0.0)</f>
        <v>0</v>
      </c>
      <c r="D29" s="312" t="str">
        <f>IFERROR(__xludf.DUMMYFUNCTION("""COMPUTED_VALUE"""),"REDE JT - Alt - Contratação de links para conexão da sede com as unidades do interior do estado.")</f>
        <v>REDE JT - Alt - Contratação de links para conexão da sede com as unidades do interior do estado.</v>
      </c>
      <c r="E29" s="374" t="str">
        <f>IFERROR(__xludf.DUMMYFUNCTION("""COMPUTED_VALUE"""),"Continuado")</f>
        <v>Continuado</v>
      </c>
      <c r="F29" s="313" t="str">
        <f>IFERROR(__xludf.DUMMYFUNCTION("""COMPUTED_VALUE"""),"5910/2017")</f>
        <v>5910/2017</v>
      </c>
      <c r="G29" s="314" t="str">
        <f>IFERROR(__xludf.DUMMYFUNCTION("""COMPUTED_VALUE"""),"SETIC")</f>
        <v>SETIC</v>
      </c>
      <c r="H29" s="358">
        <f>IFERROR(__xludf.DUMMYFUNCTION("""COMPUTED_VALUE"""),168107.0)</f>
        <v>168107</v>
      </c>
      <c r="I29" s="317" t="str">
        <f>IFERROR(__xludf.DUMMYFUNCTION("""COMPUTED_VALUE"""),"1 - Imprescindível")</f>
        <v>1 - Imprescindível</v>
      </c>
      <c r="J29" s="317" t="str">
        <f>IFERROR(__xludf.DUMMYFUNCTION("""COMPUTED_VALUE"""),"SEINFRA")</f>
        <v>SEINFRA</v>
      </c>
      <c r="K29" s="318" t="str">
        <f>IFERROR(__xludf.DUMMYFUNCTION("""COMPUTED_VALUE"""),"2022NE000122")</f>
        <v>2022NE000122</v>
      </c>
      <c r="L29" s="318">
        <f>IFERROR(__xludf.DUMMYFUNCTION("""COMPUTED_VALUE"""),125208.18000000001)</f>
        <v>125208.18</v>
      </c>
      <c r="M29" s="318">
        <f>IFERROR(__xludf.DUMMYFUNCTION("""COMPUTED_VALUE"""),125208.18)</f>
        <v>125208.18</v>
      </c>
      <c r="N29" s="318">
        <f>IFERROR(__xludf.DUMMYFUNCTION("""COMPUTED_VALUE"""),41736.06)</f>
        <v>41736.06</v>
      </c>
      <c r="O29" s="318">
        <f>IFERROR(__xludf.DUMMYFUNCTION("""COMPUTED_VALUE"""),83472.12)</f>
        <v>83472.12</v>
      </c>
      <c r="P29" s="317" t="str">
        <f>IFERROR(__xludf.DUMMYFUNCTION("""COMPUTED_VALUE"""),"99 - Orçamentário")</f>
        <v>99 - Orçamentário</v>
      </c>
    </row>
    <row r="30">
      <c r="B30" s="311">
        <f>IFERROR(__xludf.DUMMYFUNCTION("""COMPUTED_VALUE"""),15056.0)</f>
        <v>15056</v>
      </c>
      <c r="C30" s="311">
        <f>IFERROR(__xludf.DUMMYFUNCTION("""COMPUTED_VALUE"""),15056.0)</f>
        <v>15056</v>
      </c>
      <c r="D30" s="312" t="str">
        <f>IFERROR(__xludf.DUMMYFUNCTION("""COMPUTED_VALUE"""),"REDE JT - Ciasc - Contratação de links de alto desempenho para as conexões de dados entre as unidades do TRT")</f>
        <v>REDE JT - Ciasc - Contratação de links de alto desempenho para as conexões de dados entre as unidades do TRT</v>
      </c>
      <c r="E30" s="374" t="str">
        <f>IFERROR(__xludf.DUMMYFUNCTION("""COMPUTED_VALUE"""),"Continuado")</f>
        <v>Continuado</v>
      </c>
      <c r="F30" s="313" t="str">
        <f>IFERROR(__xludf.DUMMYFUNCTION("""COMPUTED_VALUE"""),"5907/2017")</f>
        <v>5907/2017</v>
      </c>
      <c r="G30" s="314" t="str">
        <f>IFERROR(__xludf.DUMMYFUNCTION("""COMPUTED_VALUE"""),"SETIC")</f>
        <v>SETIC</v>
      </c>
      <c r="H30" s="358">
        <f>IFERROR(__xludf.DUMMYFUNCTION("""COMPUTED_VALUE"""),168107.0)</f>
        <v>168107</v>
      </c>
      <c r="I30" s="317" t="str">
        <f>IFERROR(__xludf.DUMMYFUNCTION("""COMPUTED_VALUE"""),"1 - Imprescindível")</f>
        <v>1 - Imprescindível</v>
      </c>
      <c r="J30" s="317" t="str">
        <f>IFERROR(__xludf.DUMMYFUNCTION("""COMPUTED_VALUE"""),"SEINFRA")</f>
        <v>SEINFRA</v>
      </c>
      <c r="K30" s="318" t="str">
        <f>IFERROR(__xludf.DUMMYFUNCTION("""COMPUTED_VALUE"""),"2022NE000121")</f>
        <v>2022NE000121</v>
      </c>
      <c r="L30" s="318">
        <f>IFERROR(__xludf.DUMMYFUNCTION("""COMPUTED_VALUE"""),338693.6)</f>
        <v>338693.6</v>
      </c>
      <c r="M30" s="318">
        <f>IFERROR(__xludf.DUMMYFUNCTION("""COMPUTED_VALUE"""),338693.6)</f>
        <v>338693.6</v>
      </c>
      <c r="N30" s="318">
        <f>IFERROR(__xludf.DUMMYFUNCTION("""COMPUTED_VALUE"""),139068.95999999996)</f>
        <v>139068.96</v>
      </c>
      <c r="O30" s="318">
        <f>IFERROR(__xludf.DUMMYFUNCTION("""COMPUTED_VALUE"""),199624.64)</f>
        <v>199624.64</v>
      </c>
      <c r="P30" s="317" t="str">
        <f>IFERROR(__xludf.DUMMYFUNCTION("""COMPUTED_VALUE"""),"99 - Orçamentário")</f>
        <v>99 - Orçamentário</v>
      </c>
    </row>
    <row r="31">
      <c r="B31" s="311">
        <f>IFERROR(__xludf.DUMMYFUNCTION("""COMPUTED_VALUE"""),15390.0)</f>
        <v>15390</v>
      </c>
      <c r="C31" s="311">
        <f>IFERROR(__xludf.DUMMYFUNCTION("""COMPUTED_VALUE"""),15056.0)</f>
        <v>15056</v>
      </c>
      <c r="D31" s="312" t="str">
        <f>IFERROR(__xludf.DUMMYFUNCTION("""COMPUTED_VALUE"""),"REDE JT CIASC - Contratação de links de alto desempenho para as conexões de dados entre as unidades do TRT - 2022")</f>
        <v>REDE JT CIASC - Contratação de links de alto desempenho para as conexões de dados entre as unidades do TRT - 2022</v>
      </c>
      <c r="E31" s="374" t="str">
        <f>IFERROR(__xludf.DUMMYFUNCTION("""COMPUTED_VALUE"""),"Continuado")</f>
        <v>Continuado</v>
      </c>
      <c r="F31" s="313"/>
      <c r="G31" s="314" t="str">
        <f>IFERROR(__xludf.DUMMYFUNCTION("""COMPUTED_VALUE"""),"SETIC")</f>
        <v>SETIC</v>
      </c>
      <c r="H31" s="358">
        <f>IFERROR(__xludf.DUMMYFUNCTION("""COMPUTED_VALUE"""),168107.0)</f>
        <v>168107</v>
      </c>
      <c r="I31" s="317" t="str">
        <f>IFERROR(__xludf.DUMMYFUNCTION("""COMPUTED_VALUE"""),"1 - Imprescindível")</f>
        <v>1 - Imprescindível</v>
      </c>
      <c r="J31" s="317" t="str">
        <f>IFERROR(__xludf.DUMMYFUNCTION("""COMPUTED_VALUE"""),"SEINFRA")</f>
        <v>SEINFRA</v>
      </c>
      <c r="K31" s="318"/>
      <c r="L31" s="318">
        <f>IFERROR(__xludf.DUMMYFUNCTION("""COMPUTED_VALUE"""),361306.4)</f>
        <v>361306.4</v>
      </c>
      <c r="M31" s="318">
        <f>IFERROR(__xludf.DUMMYFUNCTION("""COMPUTED_VALUE"""),0.0)</f>
        <v>0</v>
      </c>
      <c r="N31" s="318">
        <f>IFERROR(__xludf.DUMMYFUNCTION("""COMPUTED_VALUE"""),0.0)</f>
        <v>0</v>
      </c>
      <c r="O31" s="318">
        <f>IFERROR(__xludf.DUMMYFUNCTION("""COMPUTED_VALUE"""),0.0)</f>
        <v>0</v>
      </c>
      <c r="P31" s="317" t="str">
        <f>IFERROR(__xludf.DUMMYFUNCTION("""COMPUTED_VALUE"""),"01 - Não oficializado")</f>
        <v>01 - Não oficializado</v>
      </c>
    </row>
    <row r="32">
      <c r="B32" s="311">
        <f>IFERROR(__xludf.DUMMYFUNCTION("""COMPUTED_VALUE"""),15099.0)</f>
        <v>15099</v>
      </c>
      <c r="C32" s="311">
        <f>IFERROR(__xludf.DUMMYFUNCTION("""COMPUTED_VALUE"""),0.0)</f>
        <v>0</v>
      </c>
      <c r="D32" s="312" t="str">
        <f>IFERROR(__xludf.DUMMYFUNCTION("""COMPUTED_VALUE"""),"RESERVA - Fundo de reserva e materiais diversos, para despesas imprevisíveis e reserva para capacitação a ser transferida tempestivamente à SEDUC")</f>
        <v>RESERVA - Fundo de reserva e materiais diversos, para despesas imprevisíveis e reserva para capacitação a ser transferida tempestivamente à SEDUC</v>
      </c>
      <c r="E32" s="374" t="str">
        <f>IFERROR(__xludf.DUMMYFUNCTION("""COMPUTED_VALUE"""),"Imediato")</f>
        <v>Imediato</v>
      </c>
      <c r="F32" s="313"/>
      <c r="G32" s="314" t="str">
        <f>IFERROR(__xludf.DUMMYFUNCTION("""COMPUTED_VALUE"""),"SETIC")</f>
        <v>SETIC</v>
      </c>
      <c r="H32" s="358">
        <f>IFERROR(__xludf.DUMMYFUNCTION("""COMPUTED_VALUE"""),168105.0)</f>
        <v>168105</v>
      </c>
      <c r="I32" s="317" t="str">
        <f>IFERROR(__xludf.DUMMYFUNCTION("""COMPUTED_VALUE"""),"1 - Imprescindível")</f>
        <v>1 - Imprescindível</v>
      </c>
      <c r="J32" s="317" t="str">
        <f>IFERROR(__xludf.DUMMYFUNCTION("""COMPUTED_VALUE"""),"SESUP")</f>
        <v>SESUP</v>
      </c>
      <c r="K32" s="318"/>
      <c r="L32" s="318">
        <f>IFERROR(__xludf.DUMMYFUNCTION("""COMPUTED_VALUE"""),50000.0)</f>
        <v>50000</v>
      </c>
      <c r="M32" s="318">
        <f>IFERROR(__xludf.DUMMYFUNCTION("""COMPUTED_VALUE"""),0.0)</f>
        <v>0</v>
      </c>
      <c r="N32" s="318">
        <f>IFERROR(__xludf.DUMMYFUNCTION("""COMPUTED_VALUE"""),0.0)</f>
        <v>0</v>
      </c>
      <c r="O32" s="318">
        <f>IFERROR(__xludf.DUMMYFUNCTION("""COMPUTED_VALUE"""),0.0)</f>
        <v>0</v>
      </c>
      <c r="P32" s="317" t="str">
        <f>IFERROR(__xludf.DUMMYFUNCTION("""COMPUTED_VALUE"""),"01 - Não oficializado")</f>
        <v>01 - Não oficializado</v>
      </c>
    </row>
    <row r="33">
      <c r="B33" s="311">
        <f>IFERROR(__xludf.DUMMYFUNCTION("""COMPUTED_VALUE"""),15364.0)</f>
        <v>15364</v>
      </c>
      <c r="C33" s="311">
        <f>IFERROR(__xludf.DUMMYFUNCTION("""COMPUTED_VALUE"""),15364.0)</f>
        <v>15364</v>
      </c>
      <c r="D33" s="312" t="str">
        <f>IFERROR(__xludf.DUMMYFUNCTION("""COMPUTED_VALUE"""),"SALA COFRE 2017 - Contratação de manutenção de sala cofre, que abriga o Datacenter principal, onde são armazenados todos os dados e os equipamentos de processamento de dados corporativos ")</f>
        <v>SALA COFRE 2017 - Contratação de manutenção de sala cofre, que abriga o Datacenter principal, onde são armazenados todos os dados e os equipamentos de processamento de dados corporativos </v>
      </c>
      <c r="E33" s="374" t="str">
        <f>IFERROR(__xludf.DUMMYFUNCTION("""COMPUTED_VALUE"""),"Continuado")</f>
        <v>Continuado</v>
      </c>
      <c r="F33" s="313" t="str">
        <f>IFERROR(__xludf.DUMMYFUNCTION("""COMPUTED_VALUE"""),"6133/2017")</f>
        <v>6133/2017</v>
      </c>
      <c r="G33" s="314" t="str">
        <f>IFERROR(__xludf.DUMMYFUNCTION("""COMPUTED_VALUE"""),"SETIC")</f>
        <v>SETIC</v>
      </c>
      <c r="H33" s="358">
        <f>IFERROR(__xludf.DUMMYFUNCTION("""COMPUTED_VALUE"""),168107.0)</f>
        <v>168107</v>
      </c>
      <c r="I33" s="317" t="str">
        <f>IFERROR(__xludf.DUMMYFUNCTION("""COMPUTED_VALUE"""),"1 - Imprescindível")</f>
        <v>1 - Imprescindível</v>
      </c>
      <c r="J33" s="317" t="str">
        <f>IFERROR(__xludf.DUMMYFUNCTION("""COMPUTED_VALUE"""),"SEINFRA")</f>
        <v>SEINFRA</v>
      </c>
      <c r="K33" s="318" t="str">
        <f>IFERROR(__xludf.DUMMYFUNCTION("""COMPUTED_VALUE"""),"2022NE000126")</f>
        <v>2022NE000126</v>
      </c>
      <c r="L33" s="318">
        <f>IFERROR(__xludf.DUMMYFUNCTION("""COMPUTED_VALUE"""),263192.44)</f>
        <v>263192.44</v>
      </c>
      <c r="M33" s="318">
        <f>IFERROR(__xludf.DUMMYFUNCTION("""COMPUTED_VALUE"""),263192.44)</f>
        <v>263192.44</v>
      </c>
      <c r="N33" s="318">
        <f>IFERROR(__xludf.DUMMYFUNCTION("""COMPUTED_VALUE"""),84597.57)</f>
        <v>84597.57</v>
      </c>
      <c r="O33" s="318">
        <f>IFERROR(__xludf.DUMMYFUNCTION("""COMPUTED_VALUE"""),178594.87)</f>
        <v>178594.87</v>
      </c>
      <c r="P33" s="317" t="str">
        <f>IFERROR(__xludf.DUMMYFUNCTION("""COMPUTED_VALUE"""),"99 - Orçamentário")</f>
        <v>99 - Orçamentário</v>
      </c>
    </row>
    <row r="34">
      <c r="B34" s="311">
        <f>IFERROR(__xludf.DUMMYFUNCTION("""COMPUTED_VALUE"""),15384.0)</f>
        <v>15384</v>
      </c>
      <c r="C34" s="311">
        <f>IFERROR(__xludf.DUMMYFUNCTION("""COMPUTED_VALUE"""),15364.0)</f>
        <v>15364</v>
      </c>
      <c r="D34" s="312" t="str">
        <f>IFERROR(__xludf.DUMMYFUNCTION("""COMPUTED_VALUE"""),"SALA COFRE 2022 - Contratação de manutenção de sala cofre, que abriga o Datacenter principal, onde são armazenados todos os dados e os equipamentos de processamento de dados corporativos. ")</f>
        <v>SALA COFRE 2022 - Contratação de manutenção de sala cofre, que abriga o Datacenter principal, onde são armazenados todos os dados e os equipamentos de processamento de dados corporativos. </v>
      </c>
      <c r="E34" s="374" t="str">
        <f>IFERROR(__xludf.DUMMYFUNCTION("""COMPUTED_VALUE"""),"Continuado")</f>
        <v>Continuado</v>
      </c>
      <c r="F34" s="313"/>
      <c r="G34" s="314" t="str">
        <f>IFERROR(__xludf.DUMMYFUNCTION("""COMPUTED_VALUE"""),"SETIC")</f>
        <v>SETIC</v>
      </c>
      <c r="H34" s="358">
        <f>IFERROR(__xludf.DUMMYFUNCTION("""COMPUTED_VALUE"""),168107.0)</f>
        <v>168107</v>
      </c>
      <c r="I34" s="317" t="str">
        <f>IFERROR(__xludf.DUMMYFUNCTION("""COMPUTED_VALUE"""),"1 - Imprescindível")</f>
        <v>1 - Imprescindível</v>
      </c>
      <c r="J34" s="317" t="str">
        <f>IFERROR(__xludf.DUMMYFUNCTION("""COMPUTED_VALUE"""),"SEINFRA")</f>
        <v>SEINFRA</v>
      </c>
      <c r="K34" s="318"/>
      <c r="L34" s="318">
        <f>IFERROR(__xludf.DUMMYFUNCTION("""COMPUTED_VALUE"""),68091.65333333332)</f>
        <v>68091.65333</v>
      </c>
      <c r="M34" s="318">
        <f>IFERROR(__xludf.DUMMYFUNCTION("""COMPUTED_VALUE"""),0.0)</f>
        <v>0</v>
      </c>
      <c r="N34" s="318">
        <f>IFERROR(__xludf.DUMMYFUNCTION("""COMPUTED_VALUE"""),0.0)</f>
        <v>0</v>
      </c>
      <c r="O34" s="318">
        <f>IFERROR(__xludf.DUMMYFUNCTION("""COMPUTED_VALUE"""),0.0)</f>
        <v>0</v>
      </c>
      <c r="P34" s="317" t="str">
        <f>IFERROR(__xludf.DUMMYFUNCTION("""COMPUTED_VALUE"""),"02 - DOD emitido")</f>
        <v>02 - DOD emitido</v>
      </c>
    </row>
    <row r="35">
      <c r="B35" s="311">
        <f>IFERROR(__xludf.DUMMYFUNCTION("""COMPUTED_VALUE"""),15107.0)</f>
        <v>15107</v>
      </c>
      <c r="C35" s="311">
        <f>IFERROR(__xludf.DUMMYFUNCTION("""COMPUTED_VALUE"""),0.0)</f>
        <v>0</v>
      </c>
      <c r="D35" s="312" t="str">
        <f>IFERROR(__xludf.DUMMYFUNCTION("""COMPUTED_VALUE"""),"SCANNER MANUTENÇÃO - Contratação de manutenção dos scanneres para remessa de processo ao TST - SECART (Kodak i4600 e Fujitsu fi-6800)")</f>
        <v>SCANNER MANUTENÇÃO - Contratação de manutenção dos scanneres para remessa de processo ao TST - SECART (Kodak i4600 e Fujitsu fi-6800)</v>
      </c>
      <c r="E35" s="374" t="str">
        <f>IFERROR(__xludf.DUMMYFUNCTION("""COMPUTED_VALUE"""),"Continuado")</f>
        <v>Continuado</v>
      </c>
      <c r="F35" s="313" t="str">
        <f>IFERROR(__xludf.DUMMYFUNCTION("""COMPUTED_VALUE"""),"7373/2017")</f>
        <v>7373/2017</v>
      </c>
      <c r="G35" s="314" t="str">
        <f>IFERROR(__xludf.DUMMYFUNCTION("""COMPUTED_VALUE"""),"SECAP")</f>
        <v>SECAP</v>
      </c>
      <c r="H35" s="358">
        <f>IFERROR(__xludf.DUMMYFUNCTION("""COMPUTED_VALUE"""),168105.0)</f>
        <v>168105</v>
      </c>
      <c r="I35" s="317" t="str">
        <f>IFERROR(__xludf.DUMMYFUNCTION("""COMPUTED_VALUE"""),"1 - Imprescindível")</f>
        <v>1 - Imprescindível</v>
      </c>
      <c r="J35" s="317" t="str">
        <f>IFERROR(__xludf.DUMMYFUNCTION("""COMPUTED_VALUE"""),"SESUP")</f>
        <v>SESUP</v>
      </c>
      <c r="K35" s="318" t="str">
        <f>IFERROR(__xludf.DUMMYFUNCTION("""COMPUTED_VALUE"""),"2022NE000097")</f>
        <v>2022NE000097</v>
      </c>
      <c r="L35" s="318">
        <f>IFERROR(__xludf.DUMMYFUNCTION("""COMPUTED_VALUE"""),17940.0)</f>
        <v>17940</v>
      </c>
      <c r="M35" s="318">
        <f>IFERROR(__xludf.DUMMYFUNCTION("""COMPUTED_VALUE"""),17940.0)</f>
        <v>17940</v>
      </c>
      <c r="N35" s="318">
        <f>IFERROR(__xludf.DUMMYFUNCTION("""COMPUTED_VALUE"""),4485.0)</f>
        <v>4485</v>
      </c>
      <c r="O35" s="318">
        <f>IFERROR(__xludf.DUMMYFUNCTION("""COMPUTED_VALUE"""),13455.0)</f>
        <v>13455</v>
      </c>
      <c r="P35" s="317" t="str">
        <f>IFERROR(__xludf.DUMMYFUNCTION("""COMPUTED_VALUE"""),"01 - Não oficializado")</f>
        <v>01 - Não oficializado</v>
      </c>
    </row>
    <row r="36">
      <c r="B36" s="311">
        <f>IFERROR(__xludf.DUMMYFUNCTION("""COMPUTED_VALUE"""),15244.0)</f>
        <v>15244</v>
      </c>
      <c r="C36" s="311">
        <f>IFERROR(__xludf.DUMMYFUNCTION("""COMPUTED_VALUE"""),0.0)</f>
        <v>0</v>
      </c>
      <c r="D36" s="312" t="str">
        <f>IFERROR(__xludf.DUMMYFUNCTION("""COMPUTED_VALUE"""),"SERPRO - Contratação de serviço web de acesso a dados")</f>
        <v>SERPRO - Contratação de serviço web de acesso a dados</v>
      </c>
      <c r="E36" s="374" t="str">
        <f>IFERROR(__xludf.DUMMYFUNCTION("""COMPUTED_VALUE"""),"Continuado")</f>
        <v>Continuado</v>
      </c>
      <c r="F36" s="313" t="str">
        <f>IFERROR(__xludf.DUMMYFUNCTION("""COMPUTED_VALUE"""),"14060/2018")</f>
        <v>14060/2018</v>
      </c>
      <c r="G36" s="314" t="str">
        <f>IFERROR(__xludf.DUMMYFUNCTION("""COMPUTED_VALUE"""),"SECAJ")</f>
        <v>SECAJ</v>
      </c>
      <c r="H36" s="358">
        <f>IFERROR(__xludf.DUMMYFUNCTION("""COMPUTED_VALUE"""),168105.0)</f>
        <v>168105</v>
      </c>
      <c r="I36" s="317" t="str">
        <f>IFERROR(__xludf.DUMMYFUNCTION("""COMPUTED_VALUE"""),"1 - Imprescindível")</f>
        <v>1 - Imprescindível</v>
      </c>
      <c r="J36" s="317" t="str">
        <f>IFERROR(__xludf.DUMMYFUNCTION("""COMPUTED_VALUE"""),"SESUS")</f>
        <v>SESUS</v>
      </c>
      <c r="K36" s="318" t="str">
        <f>IFERROR(__xludf.DUMMYFUNCTION("""COMPUTED_VALUE"""),"2022NE000104")</f>
        <v>2022NE000104</v>
      </c>
      <c r="L36" s="318">
        <f>IFERROR(__xludf.DUMMYFUNCTION("""COMPUTED_VALUE"""),43954.44)</f>
        <v>43954.44</v>
      </c>
      <c r="M36" s="318">
        <f>IFERROR(__xludf.DUMMYFUNCTION("""COMPUTED_VALUE"""),43954.44)</f>
        <v>43954.44</v>
      </c>
      <c r="N36" s="318">
        <f>IFERROR(__xludf.DUMMYFUNCTION("""COMPUTED_VALUE"""),11231.370000000003)</f>
        <v>11231.37</v>
      </c>
      <c r="O36" s="318">
        <f>IFERROR(__xludf.DUMMYFUNCTION("""COMPUTED_VALUE"""),32723.07)</f>
        <v>32723.07</v>
      </c>
      <c r="P36" s="317" t="str">
        <f>IFERROR(__xludf.DUMMYFUNCTION("""COMPUTED_VALUE"""),"99 - Orçamentário")</f>
        <v>99 - Orçamentário</v>
      </c>
    </row>
    <row r="37">
      <c r="B37" s="311">
        <f>IFERROR(__xludf.DUMMYFUNCTION("""COMPUTED_VALUE"""),15373.0)</f>
        <v>15373</v>
      </c>
      <c r="C37" s="311">
        <f>IFERROR(__xludf.DUMMYFUNCTION("""COMPUTED_VALUE"""),15373.0)</f>
        <v>15373</v>
      </c>
      <c r="D37" s="312" t="str">
        <f>IFERROR(__xludf.DUMMYFUNCTION("""COMPUTED_VALUE"""),"SO SUPORTE - Contratação de suporte e operação de infraestrutura de TIC/PJe - PO CSJT, inclui suporte Linux, contrato obrigatório dedicado ao PJe")</f>
        <v>SO SUPORTE - Contratação de suporte e operação de infraestrutura de TIC/PJe - PO CSJT, inclui suporte Linux, contrato obrigatório dedicado ao PJe</v>
      </c>
      <c r="E37" s="374" t="str">
        <f>IFERROR(__xludf.DUMMYFUNCTION("""COMPUTED_VALUE"""),"Continuado")</f>
        <v>Continuado</v>
      </c>
      <c r="F37" s="313" t="str">
        <f>IFERROR(__xludf.DUMMYFUNCTION("""COMPUTED_VALUE"""),"6789/2021")</f>
        <v>6789/2021</v>
      </c>
      <c r="G37" s="314" t="str">
        <f>IFERROR(__xludf.DUMMYFUNCTION("""COMPUTED_VALUE"""),"SETIC")</f>
        <v>SETIC</v>
      </c>
      <c r="H37" s="358">
        <f>IFERROR(__xludf.DUMMYFUNCTION("""COMPUTED_VALUE"""),168107.0)</f>
        <v>168107</v>
      </c>
      <c r="I37" s="317" t="str">
        <f>IFERROR(__xludf.DUMMYFUNCTION("""COMPUTED_VALUE"""),"1 - Imprescindível")</f>
        <v>1 - Imprescindível</v>
      </c>
      <c r="J37" s="317" t="str">
        <f>IFERROR(__xludf.DUMMYFUNCTION("""COMPUTED_VALUE"""),"SEINFRA")</f>
        <v>SEINFRA</v>
      </c>
      <c r="K37" s="318" t="str">
        <f>IFERROR(__xludf.DUMMYFUNCTION("""COMPUTED_VALUE"""),"2022NE000107")</f>
        <v>2022NE000107</v>
      </c>
      <c r="L37" s="318">
        <f>IFERROR(__xludf.DUMMYFUNCTION("""COMPUTED_VALUE"""),42000.0)</f>
        <v>42000</v>
      </c>
      <c r="M37" s="318">
        <f>IFERROR(__xludf.DUMMYFUNCTION("""COMPUTED_VALUE"""),42000.0)</f>
        <v>42000</v>
      </c>
      <c r="N37" s="318">
        <f>IFERROR(__xludf.DUMMYFUNCTION("""COMPUTED_VALUE"""),10500.0)</f>
        <v>10500</v>
      </c>
      <c r="O37" s="318">
        <f>IFERROR(__xludf.DUMMYFUNCTION("""COMPUTED_VALUE"""),31500.0)</f>
        <v>31500</v>
      </c>
      <c r="P37" s="317" t="str">
        <f>IFERROR(__xludf.DUMMYFUNCTION("""COMPUTED_VALUE"""),"01 - Não oficializado")</f>
        <v>01 - Não oficializado</v>
      </c>
    </row>
    <row r="38">
      <c r="B38" s="311">
        <f>IFERROR(__xludf.DUMMYFUNCTION("""COMPUTED_VALUE"""),15327.0)</f>
        <v>15327</v>
      </c>
      <c r="C38" s="311">
        <f>IFERROR(__xludf.DUMMYFUNCTION("""COMPUTED_VALUE"""),0.0)</f>
        <v>0</v>
      </c>
      <c r="D38" s="312" t="str">
        <f>IFERROR(__xludf.DUMMYFUNCTION("""COMPUTED_VALUE"""),"SWITCHES EQUIPAMENTOS - Ampliação da capacidade da rede SAN, que conecta os equipamentos servidores e sistema de backup às unidades de armazenamento.")</f>
        <v>SWITCHES EQUIPAMENTOS - Ampliação da capacidade da rede SAN, que conecta os equipamentos servidores e sistema de backup às unidades de armazenamento.</v>
      </c>
      <c r="E38" s="374" t="str">
        <f>IFERROR(__xludf.DUMMYFUNCTION("""COMPUTED_VALUE"""),"Imediato")</f>
        <v>Imediato</v>
      </c>
      <c r="F38" s="313"/>
      <c r="G38" s="314" t="str">
        <f>IFERROR(__xludf.DUMMYFUNCTION("""COMPUTED_VALUE"""),"SETIC")</f>
        <v>SETIC</v>
      </c>
      <c r="H38" s="358">
        <f>IFERROR(__xludf.DUMMYFUNCTION("""COMPUTED_VALUE"""),168105.0)</f>
        <v>168105</v>
      </c>
      <c r="I38" s="317" t="str">
        <f>IFERROR(__xludf.DUMMYFUNCTION("""COMPUTED_VALUE"""),"1 - Imprescindível")</f>
        <v>1 - Imprescindível</v>
      </c>
      <c r="J38" s="317" t="str">
        <f>IFERROR(__xludf.DUMMYFUNCTION("""COMPUTED_VALUE"""),"SEINFRA")</f>
        <v>SEINFRA</v>
      </c>
      <c r="K38" s="318"/>
      <c r="L38" s="318">
        <f>IFERROR(__xludf.DUMMYFUNCTION("""COMPUTED_VALUE"""),360000.0)</f>
        <v>360000</v>
      </c>
      <c r="M38" s="318">
        <f>IFERROR(__xludf.DUMMYFUNCTION("""COMPUTED_VALUE"""),0.0)</f>
        <v>0</v>
      </c>
      <c r="N38" s="318">
        <f>IFERROR(__xludf.DUMMYFUNCTION("""COMPUTED_VALUE"""),0.0)</f>
        <v>0</v>
      </c>
      <c r="O38" s="318">
        <f>IFERROR(__xludf.DUMMYFUNCTION("""COMPUTED_VALUE"""),0.0)</f>
        <v>0</v>
      </c>
      <c r="P38" s="317" t="str">
        <f>IFERROR(__xludf.DUMMYFUNCTION("""COMPUTED_VALUE"""),"02 - DOD emitido")</f>
        <v>02 - DOD emitido</v>
      </c>
    </row>
    <row r="39">
      <c r="B39" s="311">
        <f>IFERROR(__xludf.DUMMYFUNCTION("""COMPUTED_VALUE"""),15387.0)</f>
        <v>15387</v>
      </c>
      <c r="C39" s="311">
        <f>IFERROR(__xludf.DUMMYFUNCTION("""COMPUTED_VALUE"""),99999.0)</f>
        <v>99999</v>
      </c>
      <c r="D39" s="312" t="str">
        <f>IFERROR(__xludf.DUMMYFUNCTION("""COMPUTED_VALUE"""),"VMWARE LICENÇA - Licença perpétua do VS7-EPL-C com suporte e subscrição Basic por 5 anos (item 2 do DOD)")</f>
        <v>VMWARE LICENÇA - Licença perpétua do VS7-EPL-C com suporte e subscrição Basic por 5 anos (item 2 do DOD)</v>
      </c>
      <c r="E39" s="374" t="str">
        <f>IFERROR(__xludf.DUMMYFUNCTION("""COMPUTED_VALUE"""),"Imediato")</f>
        <v>Imediato</v>
      </c>
      <c r="F39" s="313"/>
      <c r="G39" s="314" t="str">
        <f>IFERROR(__xludf.DUMMYFUNCTION("""COMPUTED_VALUE"""),"SETIC")</f>
        <v>SETIC</v>
      </c>
      <c r="H39" s="358">
        <f>IFERROR(__xludf.DUMMYFUNCTION("""COMPUTED_VALUE"""),168107.0)</f>
        <v>168107</v>
      </c>
      <c r="I39" s="317" t="str">
        <f>IFERROR(__xludf.DUMMYFUNCTION("""COMPUTED_VALUE"""),"1 - Imprescindível")</f>
        <v>1 - Imprescindível</v>
      </c>
      <c r="J39" s="317" t="str">
        <f>IFERROR(__xludf.DUMMYFUNCTION("""COMPUTED_VALUE"""),"SEINFRA")</f>
        <v>SEINFRA</v>
      </c>
      <c r="K39" s="318"/>
      <c r="L39" s="318">
        <f>IFERROR(__xludf.DUMMYFUNCTION("""COMPUTED_VALUE"""),395000.0)</f>
        <v>395000</v>
      </c>
      <c r="M39" s="318">
        <f>IFERROR(__xludf.DUMMYFUNCTION("""COMPUTED_VALUE"""),0.0)</f>
        <v>0</v>
      </c>
      <c r="N39" s="318">
        <f>IFERROR(__xludf.DUMMYFUNCTION("""COMPUTED_VALUE"""),0.0)</f>
        <v>0</v>
      </c>
      <c r="O39" s="318">
        <f>IFERROR(__xludf.DUMMYFUNCTION("""COMPUTED_VALUE"""),0.0)</f>
        <v>0</v>
      </c>
      <c r="P39" s="317" t="str">
        <f>IFERROR(__xludf.DUMMYFUNCTION("""COMPUTED_VALUE"""),"02 - DOD emitido")</f>
        <v>02 - DOD emitido</v>
      </c>
    </row>
    <row r="40">
      <c r="B40" s="311">
        <f>IFERROR(__xludf.DUMMYFUNCTION("""COMPUTED_VALUE"""),15388.0)</f>
        <v>15388</v>
      </c>
      <c r="C40" s="311">
        <f>IFERROR(__xludf.DUMMYFUNCTION("""COMPUTED_VALUE"""),99999.0)</f>
        <v>99999</v>
      </c>
      <c r="D40" s="312" t="str">
        <f>IFERROR(__xludf.DUMMYFUNCTION("""COMPUTED_VALUE"""),"VMWARE SUPORTE - Suporte e Subscrição Production e Basic, para o VMware vCenter Server 7 Standard for vSphere 7, por 5 anos (itens 1 e 3 do DOD)")</f>
        <v>VMWARE SUPORTE - Suporte e Subscrição Production e Basic, para o VMware vCenter Server 7 Standard for vSphere 7, por 5 anos (itens 1 e 3 do DOD)</v>
      </c>
      <c r="E40" s="374" t="str">
        <f>IFERROR(__xludf.DUMMYFUNCTION("""COMPUTED_VALUE"""),"Continuado")</f>
        <v>Continuado</v>
      </c>
      <c r="F40" s="313"/>
      <c r="G40" s="314" t="str">
        <f>IFERROR(__xludf.DUMMYFUNCTION("""COMPUTED_VALUE"""),"SETIC")</f>
        <v>SETIC</v>
      </c>
      <c r="H40" s="358">
        <f>IFERROR(__xludf.DUMMYFUNCTION("""COMPUTED_VALUE"""),168107.0)</f>
        <v>168107</v>
      </c>
      <c r="I40" s="317" t="str">
        <f>IFERROR(__xludf.DUMMYFUNCTION("""COMPUTED_VALUE"""),"1 - Imprescindível")</f>
        <v>1 - Imprescindível</v>
      </c>
      <c r="J40" s="317" t="str">
        <f>IFERROR(__xludf.DUMMYFUNCTION("""COMPUTED_VALUE"""),"SEINFRA")</f>
        <v>SEINFRA</v>
      </c>
      <c r="K40" s="318"/>
      <c r="L40" s="318">
        <f>IFERROR(__xludf.DUMMYFUNCTION("""COMPUTED_VALUE"""),352160.0)</f>
        <v>352160</v>
      </c>
      <c r="M40" s="318">
        <f>IFERROR(__xludf.DUMMYFUNCTION("""COMPUTED_VALUE"""),0.0)</f>
        <v>0</v>
      </c>
      <c r="N40" s="318">
        <f>IFERROR(__xludf.DUMMYFUNCTION("""COMPUTED_VALUE"""),0.0)</f>
        <v>0</v>
      </c>
      <c r="O40" s="318">
        <f>IFERROR(__xludf.DUMMYFUNCTION("""COMPUTED_VALUE"""),0.0)</f>
        <v>0</v>
      </c>
      <c r="P40" s="317" t="str">
        <f>IFERROR(__xludf.DUMMYFUNCTION("""COMPUTED_VALUE"""),"02 - DOD emitido")</f>
        <v>02 - DOD emitido</v>
      </c>
    </row>
    <row r="41">
      <c r="B41" s="311">
        <f>IFERROR(__xludf.DUMMYFUNCTION("""COMPUTED_VALUE"""),15166.0)</f>
        <v>15166</v>
      </c>
      <c r="C41" s="311">
        <f>IFERROR(__xludf.DUMMYFUNCTION("""COMPUTED_VALUE"""),0.0)</f>
        <v>0</v>
      </c>
      <c r="D41" s="312" t="str">
        <f>IFERROR(__xludf.DUMMYFUNCTION("""COMPUTED_VALUE"""),"ADOBE LICENÇAS - Manutenção da LICENÇA DE SOFTWARE PACOTE ADOBE - EJUD e SECOM (para 3 anos)")</f>
        <v>ADOBE LICENÇAS - Manutenção da LICENÇA DE SOFTWARE PACOTE ADOBE - EJUD e SECOM (para 3 anos)</v>
      </c>
      <c r="E41" s="374" t="str">
        <f>IFERROR(__xludf.DUMMYFUNCTION("""COMPUTED_VALUE"""),"Continuado")</f>
        <v>Continuado</v>
      </c>
      <c r="F41" s="313" t="str">
        <f>IFERROR(__xludf.DUMMYFUNCTION("""COMPUTED_VALUE"""),"447/2022")</f>
        <v>447/2022</v>
      </c>
      <c r="G41" s="314" t="str">
        <f>IFERROR(__xludf.DUMMYFUNCTION("""COMPUTED_VALUE"""),"EJUD SECOM")</f>
        <v>EJUD SECOM</v>
      </c>
      <c r="H41" s="358">
        <f>IFERROR(__xludf.DUMMYFUNCTION("""COMPUTED_VALUE"""),168105.0)</f>
        <v>168105</v>
      </c>
      <c r="I41" s="317" t="str">
        <f>IFERROR(__xludf.DUMMYFUNCTION("""COMPUTED_VALUE"""),"2 - Importante")</f>
        <v>2 - Importante</v>
      </c>
      <c r="J41" s="317" t="str">
        <f>IFERROR(__xludf.DUMMYFUNCTION("""COMPUTED_VALUE"""),"SESUP")</f>
        <v>SESUP</v>
      </c>
      <c r="K41" s="318" t="str">
        <f>IFERROR(__xludf.DUMMYFUNCTION("""COMPUTED_VALUE"""),"2022NE000191")</f>
        <v>2022NE000191</v>
      </c>
      <c r="L41" s="318">
        <f>IFERROR(__xludf.DUMMYFUNCTION("""COMPUTED_VALUE"""),59760.0)</f>
        <v>59760</v>
      </c>
      <c r="M41" s="318">
        <f>IFERROR(__xludf.DUMMYFUNCTION("""COMPUTED_VALUE"""),59760.0)</f>
        <v>59760</v>
      </c>
      <c r="N41" s="318">
        <f>IFERROR(__xludf.DUMMYFUNCTION("""COMPUTED_VALUE"""),59760.0)</f>
        <v>59760</v>
      </c>
      <c r="O41" s="318">
        <f>IFERROR(__xludf.DUMMYFUNCTION("""COMPUTED_VALUE"""),0.0)</f>
        <v>0</v>
      </c>
      <c r="P41" s="317" t="str">
        <f>IFERROR(__xludf.DUMMYFUNCTION("""COMPUTED_VALUE"""),"07 - Concluída")</f>
        <v>07 - Concluída</v>
      </c>
    </row>
    <row r="42">
      <c r="B42" s="311">
        <f>IFERROR(__xludf.DUMMYFUNCTION("""COMPUTED_VALUE"""),15389.0)</f>
        <v>15389</v>
      </c>
      <c r="C42" s="311">
        <f>IFERROR(__xludf.DUMMYFUNCTION("""COMPUTED_VALUE"""),15018.0)</f>
        <v>15018</v>
      </c>
      <c r="D42" s="312" t="str">
        <f>IFERROR(__xludf.DUMMYFUNCTION("""COMPUTED_VALUE"""),"ASSYST - Contratação de suporte e atualização de licenças da solução de gerenciamento de serviços e registro de chamadas de TIC (2022)")</f>
        <v>ASSYST - Contratação de suporte e atualização de licenças da solução de gerenciamento de serviços e registro de chamadas de TIC (2022)</v>
      </c>
      <c r="E42" s="374" t="str">
        <f>IFERROR(__xludf.DUMMYFUNCTION("""COMPUTED_VALUE"""),"Continuado")</f>
        <v>Continuado</v>
      </c>
      <c r="F42" s="313"/>
      <c r="G42" s="314" t="str">
        <f>IFERROR(__xludf.DUMMYFUNCTION("""COMPUTED_VALUE"""),"SETIC")</f>
        <v>SETIC</v>
      </c>
      <c r="H42" s="358">
        <f>IFERROR(__xludf.DUMMYFUNCTION("""COMPUTED_VALUE"""),168107.0)</f>
        <v>168107</v>
      </c>
      <c r="I42" s="317" t="str">
        <f>IFERROR(__xludf.DUMMYFUNCTION("""COMPUTED_VALUE"""),"2 - Importante")</f>
        <v>2 - Importante</v>
      </c>
      <c r="J42" s="317" t="str">
        <f>IFERROR(__xludf.DUMMYFUNCTION("""COMPUTED_VALUE"""),"SESUP")</f>
        <v>SESUP</v>
      </c>
      <c r="K42" s="318"/>
      <c r="L42" s="318">
        <f>IFERROR(__xludf.DUMMYFUNCTION("""COMPUTED_VALUE"""),48752.125)</f>
        <v>48752.125</v>
      </c>
      <c r="M42" s="318">
        <f>IFERROR(__xludf.DUMMYFUNCTION("""COMPUTED_VALUE"""),0.0)</f>
        <v>0</v>
      </c>
      <c r="N42" s="318">
        <f>IFERROR(__xludf.DUMMYFUNCTION("""COMPUTED_VALUE"""),0.0)</f>
        <v>0</v>
      </c>
      <c r="O42" s="318">
        <f>IFERROR(__xludf.DUMMYFUNCTION("""COMPUTED_VALUE"""),0.0)</f>
        <v>0</v>
      </c>
      <c r="P42" s="317" t="str">
        <f>IFERROR(__xludf.DUMMYFUNCTION("""COMPUTED_VALUE"""),"02 - DOD emitido")</f>
        <v>02 - DOD emitido</v>
      </c>
    </row>
    <row r="43">
      <c r="B43" s="311">
        <f>IFERROR(__xludf.DUMMYFUNCTION("""COMPUTED_VALUE"""),15018.0)</f>
        <v>15018</v>
      </c>
      <c r="C43" s="311">
        <f>IFERROR(__xludf.DUMMYFUNCTION("""COMPUTED_VALUE"""),15018.0)</f>
        <v>15018</v>
      </c>
      <c r="D43" s="312" t="str">
        <f>IFERROR(__xludf.DUMMYFUNCTION("""COMPUTED_VALUE"""),"ASSYST - Contratação de suporte e atualização de licenças da solução de gerenciamento de serviços e registro de chamadas de TIC.")</f>
        <v>ASSYST - Contratação de suporte e atualização de licenças da solução de gerenciamento de serviços e registro de chamadas de TIC.</v>
      </c>
      <c r="E43" s="374" t="str">
        <f>IFERROR(__xludf.DUMMYFUNCTION("""COMPUTED_VALUE"""),"Continuado")</f>
        <v>Continuado</v>
      </c>
      <c r="F43" s="313" t="str">
        <f>IFERROR(__xludf.DUMMYFUNCTION("""COMPUTED_VALUE"""),"3891/2017")</f>
        <v>3891/2017</v>
      </c>
      <c r="G43" s="314" t="str">
        <f>IFERROR(__xludf.DUMMYFUNCTION("""COMPUTED_VALUE"""),"SETIC")</f>
        <v>SETIC</v>
      </c>
      <c r="H43" s="358">
        <f>IFERROR(__xludf.DUMMYFUNCTION("""COMPUTED_VALUE"""),168107.0)</f>
        <v>168107</v>
      </c>
      <c r="I43" s="317" t="str">
        <f>IFERROR(__xludf.DUMMYFUNCTION("""COMPUTED_VALUE"""),"2 - Importante")</f>
        <v>2 - Importante</v>
      </c>
      <c r="J43" s="317" t="str">
        <f>IFERROR(__xludf.DUMMYFUNCTION("""COMPUTED_VALUE"""),"SESUP")</f>
        <v>SESUP</v>
      </c>
      <c r="K43" s="318" t="str">
        <f>IFERROR(__xludf.DUMMYFUNCTION("""COMPUTED_VALUE"""),"2022NE000120")</f>
        <v>2022NE000120</v>
      </c>
      <c r="L43" s="318">
        <f>IFERROR(__xludf.DUMMYFUNCTION("""COMPUTED_VALUE"""),41901.183333333334)</f>
        <v>41901.18333</v>
      </c>
      <c r="M43" s="318">
        <f>IFERROR(__xludf.DUMMYFUNCTION("""COMPUTED_VALUE"""),41901.18)</f>
        <v>41901.18</v>
      </c>
      <c r="N43" s="318">
        <f>IFERROR(__xludf.DUMMYFUNCTION("""COMPUTED_VALUE"""),21549.18)</f>
        <v>21549.18</v>
      </c>
      <c r="O43" s="318">
        <f>IFERROR(__xludf.DUMMYFUNCTION("""COMPUTED_VALUE"""),20352.0)</f>
        <v>20352</v>
      </c>
      <c r="P43" s="317" t="str">
        <f>IFERROR(__xludf.DUMMYFUNCTION("""COMPUTED_VALUE"""),"99 - Orçamentário")</f>
        <v>99 - Orçamentário</v>
      </c>
    </row>
    <row r="44">
      <c r="B44" s="311">
        <f>IFERROR(__xludf.DUMMYFUNCTION("""COMPUTED_VALUE"""),15349.0)</f>
        <v>15349</v>
      </c>
      <c r="C44" s="311">
        <f>IFERROR(__xludf.DUMMYFUNCTION("""COMPUTED_VALUE"""),0.0)</f>
        <v>0</v>
      </c>
      <c r="D44" s="312" t="str">
        <f>IFERROR(__xludf.DUMMYFUNCTION("""COMPUTED_VALUE"""),"BI SOFTWARE - Contratação de uso de software em nuvem, para gerar relatórios e informações gerenciais para apoio à decisão e à gestão")</f>
        <v>BI SOFTWARE - Contratação de uso de software em nuvem, para gerar relatórios e informações gerenciais para apoio à decisão e à gestão</v>
      </c>
      <c r="E44" s="374" t="str">
        <f>IFERROR(__xludf.DUMMYFUNCTION("""COMPUTED_VALUE"""),"Continuado")</f>
        <v>Continuado</v>
      </c>
      <c r="F44" s="313" t="str">
        <f>IFERROR(__xludf.DUMMYFUNCTION("""COMPUTED_VALUE"""),"12010/2020")</f>
        <v>12010/2020</v>
      </c>
      <c r="G44" s="314" t="str">
        <f>IFERROR(__xludf.DUMMYFUNCTION("""COMPUTED_VALUE"""),"SETIC")</f>
        <v>SETIC</v>
      </c>
      <c r="H44" s="358">
        <f>IFERROR(__xludf.DUMMYFUNCTION("""COMPUTED_VALUE"""),168105.0)</f>
        <v>168105</v>
      </c>
      <c r="I44" s="317" t="str">
        <f>IFERROR(__xludf.DUMMYFUNCTION("""COMPUTED_VALUE"""),"2 - Importante")</f>
        <v>2 - Importante</v>
      </c>
      <c r="J44" s="317" t="str">
        <f>IFERROR(__xludf.DUMMYFUNCTION("""COMPUTED_VALUE"""),"SESUS")</f>
        <v>SESUS</v>
      </c>
      <c r="K44" s="318" t="str">
        <f>IFERROR(__xludf.DUMMYFUNCTION("""COMPUTED_VALUE"""),"2022NE000105")</f>
        <v>2022NE000105</v>
      </c>
      <c r="L44" s="318">
        <f>IFERROR(__xludf.DUMMYFUNCTION("""COMPUTED_VALUE"""),11870.76)</f>
        <v>11870.76</v>
      </c>
      <c r="M44" s="318">
        <f>IFERROR(__xludf.DUMMYFUNCTION("""COMPUTED_VALUE"""),11870.76)</f>
        <v>11870.76</v>
      </c>
      <c r="N44" s="318">
        <f>IFERROR(__xludf.DUMMYFUNCTION("""COMPUTED_VALUE"""),989.2299999999996)</f>
        <v>989.23</v>
      </c>
      <c r="O44" s="318">
        <f>IFERROR(__xludf.DUMMYFUNCTION("""COMPUTED_VALUE"""),10881.53)</f>
        <v>10881.53</v>
      </c>
      <c r="P44" s="317" t="str">
        <f>IFERROR(__xludf.DUMMYFUNCTION("""COMPUTED_VALUE"""),"01 - Não oficializado")</f>
        <v>01 - Não oficializado</v>
      </c>
    </row>
    <row r="45">
      <c r="B45" s="311">
        <f>IFERROR(__xludf.DUMMYFUNCTION("""COMPUTED_VALUE"""),15329.0)</f>
        <v>15329</v>
      </c>
      <c r="C45" s="311">
        <f>IFERROR(__xludf.DUMMYFUNCTION("""COMPUTED_VALUE"""),0.0)</f>
        <v>0</v>
      </c>
      <c r="D45" s="312" t="str">
        <f>IFERROR(__xludf.DUMMYFUNCTION("""COMPUTED_VALUE"""),"DRUPAL SUPORTE - Suporte técnico para o portal de internet e intranet do TRT12, em tecnologia DRUPAL 8")</f>
        <v>DRUPAL SUPORTE - Suporte técnico para o portal de internet e intranet do TRT12, em tecnologia DRUPAL 8</v>
      </c>
      <c r="E45" s="374" t="str">
        <f>IFERROR(__xludf.DUMMYFUNCTION("""COMPUTED_VALUE"""),"Continuado")</f>
        <v>Continuado</v>
      </c>
      <c r="F45" s="313"/>
      <c r="G45" s="314" t="str">
        <f>IFERROR(__xludf.DUMMYFUNCTION("""COMPUTED_VALUE"""),"SETIC")</f>
        <v>SETIC</v>
      </c>
      <c r="H45" s="358">
        <f>IFERROR(__xludf.DUMMYFUNCTION("""COMPUTED_VALUE"""),168105.0)</f>
        <v>168105</v>
      </c>
      <c r="I45" s="317" t="str">
        <f>IFERROR(__xludf.DUMMYFUNCTION("""COMPUTED_VALUE"""),"2 - Importante")</f>
        <v>2 - Importante</v>
      </c>
      <c r="J45" s="317" t="str">
        <f>IFERROR(__xludf.DUMMYFUNCTION("""COMPUTED_VALUE"""),"SEDES")</f>
        <v>SEDES</v>
      </c>
      <c r="K45" s="318"/>
      <c r="L45" s="318">
        <f>IFERROR(__xludf.DUMMYFUNCTION("""COMPUTED_VALUE"""),76800.0)</f>
        <v>76800</v>
      </c>
      <c r="M45" s="318">
        <f>IFERROR(__xludf.DUMMYFUNCTION("""COMPUTED_VALUE"""),0.0)</f>
        <v>0</v>
      </c>
      <c r="N45" s="318">
        <f>IFERROR(__xludf.DUMMYFUNCTION("""COMPUTED_VALUE"""),0.0)</f>
        <v>0</v>
      </c>
      <c r="O45" s="318">
        <f>IFERROR(__xludf.DUMMYFUNCTION("""COMPUTED_VALUE"""),0.0)</f>
        <v>0</v>
      </c>
      <c r="P45" s="317" t="str">
        <f>IFERROR(__xludf.DUMMYFUNCTION("""COMPUTED_VALUE"""),"02 - DOD emitido")</f>
        <v>02 - DOD emitido</v>
      </c>
    </row>
    <row r="46">
      <c r="B46" s="311">
        <f>IFERROR(__xludf.DUMMYFUNCTION("""COMPUTED_VALUE"""),15362.0)</f>
        <v>15362</v>
      </c>
      <c r="C46" s="311">
        <f>IFERROR(__xludf.DUMMYFUNCTION("""COMPUTED_VALUE"""),0.0)</f>
        <v>0</v>
      </c>
      <c r="D46" s="312" t="str">
        <f>IFERROR(__xludf.DUMMYFUNCTION("""COMPUTED_VALUE"""),"IMPRESSORAS - Aquisição de impressoras de pequeno porte convencionais")</f>
        <v>IMPRESSORAS - Aquisição de impressoras de pequeno porte convencionais</v>
      </c>
      <c r="E46" s="374" t="str">
        <f>IFERROR(__xludf.DUMMYFUNCTION("""COMPUTED_VALUE"""),"Imediato")</f>
        <v>Imediato</v>
      </c>
      <c r="F46" s="313"/>
      <c r="G46" s="314" t="str">
        <f>IFERROR(__xludf.DUMMYFUNCTION("""COMPUTED_VALUE"""),"SETIC")</f>
        <v>SETIC</v>
      </c>
      <c r="H46" s="358">
        <f>IFERROR(__xludf.DUMMYFUNCTION("""COMPUTED_VALUE"""),168105.0)</f>
        <v>168105</v>
      </c>
      <c r="I46" s="317" t="str">
        <f>IFERROR(__xludf.DUMMYFUNCTION("""COMPUTED_VALUE"""),"2 - Importante")</f>
        <v>2 - Importante</v>
      </c>
      <c r="J46" s="317" t="str">
        <f>IFERROR(__xludf.DUMMYFUNCTION("""COMPUTED_VALUE"""),"SESUP")</f>
        <v>SESUP</v>
      </c>
      <c r="K46" s="318"/>
      <c r="L46" s="318">
        <f>IFERROR(__xludf.DUMMYFUNCTION("""COMPUTED_VALUE"""),118338.70000000001)</f>
        <v>118338.7</v>
      </c>
      <c r="M46" s="318">
        <f>IFERROR(__xludf.DUMMYFUNCTION("""COMPUTED_VALUE"""),0.0)</f>
        <v>0</v>
      </c>
      <c r="N46" s="318">
        <f>IFERROR(__xludf.DUMMYFUNCTION("""COMPUTED_VALUE"""),0.0)</f>
        <v>0</v>
      </c>
      <c r="O46" s="318">
        <f>IFERROR(__xludf.DUMMYFUNCTION("""COMPUTED_VALUE"""),0.0)</f>
        <v>0</v>
      </c>
      <c r="P46" s="317" t="str">
        <f>IFERROR(__xludf.DUMMYFUNCTION("""COMPUTED_VALUE"""),"01 - Não oficializado")</f>
        <v>01 - Não oficializado</v>
      </c>
    </row>
    <row r="47">
      <c r="B47" s="311">
        <f>IFERROR(__xludf.DUMMYFUNCTION("""COMPUTED_VALUE"""),15380.0)</f>
        <v>15380</v>
      </c>
      <c r="C47" s="311">
        <f>IFERROR(__xludf.DUMMYFUNCTION("""COMPUTED_VALUE"""),0.0)</f>
        <v>0</v>
      </c>
      <c r="D47" s="312" t="str">
        <f>IFERROR(__xludf.DUMMYFUNCTION("""COMPUTED_VALUE"""),"IMPRESSORAS MANUTENÇÃO - Contatação de manutenção de impressoras multifuncionais Lexmark MX722")</f>
        <v>IMPRESSORAS MANUTENÇÃO - Contatação de manutenção de impressoras multifuncionais Lexmark MX722</v>
      </c>
      <c r="E47" s="374" t="str">
        <f>IFERROR(__xludf.DUMMYFUNCTION("""COMPUTED_VALUE"""),"Continuado")</f>
        <v>Continuado</v>
      </c>
      <c r="F47" s="313"/>
      <c r="G47" s="314" t="str">
        <f>IFERROR(__xludf.DUMMYFUNCTION("""COMPUTED_VALUE"""),"SETIC")</f>
        <v>SETIC</v>
      </c>
      <c r="H47" s="358">
        <f>IFERROR(__xludf.DUMMYFUNCTION("""COMPUTED_VALUE"""),168105.0)</f>
        <v>168105</v>
      </c>
      <c r="I47" s="317" t="str">
        <f>IFERROR(__xludf.DUMMYFUNCTION("""COMPUTED_VALUE"""),"2 - Importante")</f>
        <v>2 - Importante</v>
      </c>
      <c r="J47" s="317" t="str">
        <f>IFERROR(__xludf.DUMMYFUNCTION("""COMPUTED_VALUE"""),"SESUP")</f>
        <v>SESUP</v>
      </c>
      <c r="K47" s="318"/>
      <c r="L47" s="318">
        <f>IFERROR(__xludf.DUMMYFUNCTION("""COMPUTED_VALUE"""),12000.0)</f>
        <v>12000</v>
      </c>
      <c r="M47" s="318">
        <f>IFERROR(__xludf.DUMMYFUNCTION("""COMPUTED_VALUE"""),0.0)</f>
        <v>0</v>
      </c>
      <c r="N47" s="318">
        <f>IFERROR(__xludf.DUMMYFUNCTION("""COMPUTED_VALUE"""),0.0)</f>
        <v>0</v>
      </c>
      <c r="O47" s="318">
        <f>IFERROR(__xludf.DUMMYFUNCTION("""COMPUTED_VALUE"""),0.0)</f>
        <v>0</v>
      </c>
      <c r="P47" s="317" t="str">
        <f>IFERROR(__xludf.DUMMYFUNCTION("""COMPUTED_VALUE"""),"01 - Não oficializado")</f>
        <v>01 - Não oficializado</v>
      </c>
    </row>
    <row r="48">
      <c r="B48" s="311">
        <f>IFERROR(__xludf.DUMMYFUNCTION("""COMPUTED_VALUE"""),15066.0)</f>
        <v>15066</v>
      </c>
      <c r="C48" s="311">
        <f>IFERROR(__xludf.DUMMYFUNCTION("""COMPUTED_VALUE"""),0.0)</f>
        <v>0</v>
      </c>
      <c r="D48" s="312" t="str">
        <f>IFERROR(__xludf.DUMMYFUNCTION("""COMPUTED_VALUE"""),"INTERNET MOVEL - Contratação de linhas de internet móvel. O quantitativo atual é de 151 e deve ser confirmado pelos estudos da contração (Ato CSJT 43/2013).")</f>
        <v>INTERNET MOVEL - Contratação de linhas de internet móvel. O quantitativo atual é de 151 e deve ser confirmado pelos estudos da contração (Ato CSJT 43/2013).</v>
      </c>
      <c r="E48" s="374" t="str">
        <f>IFERROR(__xludf.DUMMYFUNCTION("""COMPUTED_VALUE"""),"Continuado")</f>
        <v>Continuado</v>
      </c>
      <c r="F48" s="313" t="str">
        <f>IFERROR(__xludf.DUMMYFUNCTION("""COMPUTED_VALUE"""),"8560/2018")</f>
        <v>8560/2018</v>
      </c>
      <c r="G48" s="314" t="str">
        <f>IFERROR(__xludf.DUMMYFUNCTION("""COMPUTED_VALUE"""),"SETIC")</f>
        <v>SETIC</v>
      </c>
      <c r="H48" s="358">
        <f>IFERROR(__xludf.DUMMYFUNCTION("""COMPUTED_VALUE"""),168105.0)</f>
        <v>168105</v>
      </c>
      <c r="I48" s="317" t="str">
        <f>IFERROR(__xludf.DUMMYFUNCTION("""COMPUTED_VALUE"""),"2 - Importante")</f>
        <v>2 - Importante</v>
      </c>
      <c r="J48" s="317" t="str">
        <f>IFERROR(__xludf.DUMMYFUNCTION("""COMPUTED_VALUE"""),"SESUP")</f>
        <v>SESUP</v>
      </c>
      <c r="K48" s="318" t="str">
        <f>IFERROR(__xludf.DUMMYFUNCTION("""COMPUTED_VALUE"""),"2022NE000098")</f>
        <v>2022NE000098</v>
      </c>
      <c r="L48" s="318">
        <f>IFERROR(__xludf.DUMMYFUNCTION("""COMPUTED_VALUE"""),41494.8)</f>
        <v>41494.8</v>
      </c>
      <c r="M48" s="318">
        <f>IFERROR(__xludf.DUMMYFUNCTION("""COMPUTED_VALUE"""),41494.8)</f>
        <v>41494.8</v>
      </c>
      <c r="N48" s="318">
        <f>IFERROR(__xludf.DUMMYFUNCTION("""COMPUTED_VALUE"""),10373.700000000004)</f>
        <v>10373.7</v>
      </c>
      <c r="O48" s="318">
        <f>IFERROR(__xludf.DUMMYFUNCTION("""COMPUTED_VALUE"""),31121.1)</f>
        <v>31121.1</v>
      </c>
      <c r="P48" s="317" t="str">
        <f>IFERROR(__xludf.DUMMYFUNCTION("""COMPUTED_VALUE"""),"07 - Concluída")</f>
        <v>07 - Concluída</v>
      </c>
    </row>
    <row r="49">
      <c r="B49" s="311">
        <f>IFERROR(__xludf.DUMMYFUNCTION("""COMPUTED_VALUE"""),15361.0)</f>
        <v>15361</v>
      </c>
      <c r="C49" s="311">
        <f>IFERROR(__xludf.DUMMYFUNCTION("""COMPUTED_VALUE"""),0.0)</f>
        <v>0</v>
      </c>
      <c r="D49" s="312" t="str">
        <f>IFERROR(__xludf.DUMMYFUNCTION("""COMPUTED_VALUE"""),"MICROCOMPUTADORES - Aquisição de microcomputadores modelo mini desktop tipo 2 com wi-fi")</f>
        <v>MICROCOMPUTADORES - Aquisição de microcomputadores modelo mini desktop tipo 2 com wi-fi</v>
      </c>
      <c r="E49" s="374" t="str">
        <f>IFERROR(__xludf.DUMMYFUNCTION("""COMPUTED_VALUE"""),"Imediato")</f>
        <v>Imediato</v>
      </c>
      <c r="F49" s="313"/>
      <c r="G49" s="314" t="str">
        <f>IFERROR(__xludf.DUMMYFUNCTION("""COMPUTED_VALUE"""),"SETIC")</f>
        <v>SETIC</v>
      </c>
      <c r="H49" s="358">
        <f>IFERROR(__xludf.DUMMYFUNCTION("""COMPUTED_VALUE"""),168105.0)</f>
        <v>168105</v>
      </c>
      <c r="I49" s="317" t="str">
        <f>IFERROR(__xludf.DUMMYFUNCTION("""COMPUTED_VALUE"""),"2 - Importante")</f>
        <v>2 - Importante</v>
      </c>
      <c r="J49" s="317" t="str">
        <f>IFERROR(__xludf.DUMMYFUNCTION("""COMPUTED_VALUE"""),"SESUP")</f>
        <v>SESUP</v>
      </c>
      <c r="K49" s="318"/>
      <c r="L49" s="318">
        <f>IFERROR(__xludf.DUMMYFUNCTION("""COMPUTED_VALUE"""),3037300.0)</f>
        <v>3037300</v>
      </c>
      <c r="M49" s="318">
        <f>IFERROR(__xludf.DUMMYFUNCTION("""COMPUTED_VALUE"""),0.0)</f>
        <v>0</v>
      </c>
      <c r="N49" s="318">
        <f>IFERROR(__xludf.DUMMYFUNCTION("""COMPUTED_VALUE"""),0.0)</f>
        <v>0</v>
      </c>
      <c r="O49" s="318">
        <f>IFERROR(__xludf.DUMMYFUNCTION("""COMPUTED_VALUE"""),0.0)</f>
        <v>0</v>
      </c>
      <c r="P49" s="317" t="str">
        <f>IFERROR(__xludf.DUMMYFUNCTION("""COMPUTED_VALUE"""),"02 - DOD emitido")</f>
        <v>02 - DOD emitido</v>
      </c>
    </row>
    <row r="50">
      <c r="B50" s="311">
        <f>IFERROR(__xludf.DUMMYFUNCTION("""COMPUTED_VALUE"""),15371.0)</f>
        <v>15371</v>
      </c>
      <c r="C50" s="311">
        <f>IFERROR(__xludf.DUMMYFUNCTION("""COMPUTED_VALUE"""),0.0)</f>
        <v>0</v>
      </c>
      <c r="D50" s="312" t="str">
        <f>IFERROR(__xludf.DUMMYFUNCTION("""COMPUTED_VALUE"""),"PRODENT - Contratação de suporte e atualização para licenças de software odontológico")</f>
        <v>PRODENT - Contratação de suporte e atualização para licenças de software odontológico</v>
      </c>
      <c r="E50" s="374" t="str">
        <f>IFERROR(__xludf.DUMMYFUNCTION("""COMPUTED_VALUE"""),"Continuado")</f>
        <v>Continuado</v>
      </c>
      <c r="F50" s="313" t="str">
        <f>IFERROR(__xludf.DUMMYFUNCTION("""COMPUTED_VALUE"""),"5707/2021")</f>
        <v>5707/2021</v>
      </c>
      <c r="G50" s="314" t="str">
        <f>IFERROR(__xludf.DUMMYFUNCTION("""COMPUTED_VALUE"""),"SAÚDE")</f>
        <v>SAÚDE</v>
      </c>
      <c r="H50" s="358">
        <f>IFERROR(__xludf.DUMMYFUNCTION("""COMPUTED_VALUE"""),168105.0)</f>
        <v>168105</v>
      </c>
      <c r="I50" s="317" t="str">
        <f>IFERROR(__xludf.DUMMYFUNCTION("""COMPUTED_VALUE"""),"2 - Importante")</f>
        <v>2 - Importante</v>
      </c>
      <c r="J50" s="317" t="str">
        <f>IFERROR(__xludf.DUMMYFUNCTION("""COMPUTED_VALUE"""),"SESUP")</f>
        <v>SESUP</v>
      </c>
      <c r="K50" s="318" t="str">
        <f>IFERROR(__xludf.DUMMYFUNCTION("""COMPUTED_VALUE"""),"2022NE000103")</f>
        <v>2022NE000103</v>
      </c>
      <c r="L50" s="318">
        <f>IFERROR(__xludf.DUMMYFUNCTION("""COMPUTED_VALUE"""),2992.44)</f>
        <v>2992.44</v>
      </c>
      <c r="M50" s="318">
        <f>IFERROR(__xludf.DUMMYFUNCTION("""COMPUTED_VALUE"""),2992.44)</f>
        <v>2992.44</v>
      </c>
      <c r="N50" s="318">
        <f>IFERROR(__xludf.DUMMYFUNCTION("""COMPUTED_VALUE"""),748.1100000000001)</f>
        <v>748.11</v>
      </c>
      <c r="O50" s="318">
        <f>IFERROR(__xludf.DUMMYFUNCTION("""COMPUTED_VALUE"""),2244.33)</f>
        <v>2244.33</v>
      </c>
      <c r="P50" s="317" t="str">
        <f>IFERROR(__xludf.DUMMYFUNCTION("""COMPUTED_VALUE"""),"02 - DOD emitido")</f>
        <v>02 - DOD emitido</v>
      </c>
    </row>
    <row r="51">
      <c r="B51" s="311">
        <f>IFERROR(__xludf.DUMMYFUNCTION("""COMPUTED_VALUE"""),15347.0)</f>
        <v>15347</v>
      </c>
      <c r="C51" s="311">
        <f>IFERROR(__xludf.DUMMYFUNCTION("""COMPUTED_VALUE"""),0.0)</f>
        <v>0</v>
      </c>
      <c r="D51" s="312" t="str">
        <f>IFERROR(__xludf.DUMMYFUNCTION("""COMPUTED_VALUE"""),"SEGURANÇA MANUTENÇÃO - Contratação de serviços de manutenção preventiva e corretiva, com eventual fornecimento de peças de reposição, para as câmeras IP e outros equipamentos que compõem o sistema de imagens de segurança.")</f>
        <v>SEGURANÇA MANUTENÇÃO - Contratação de serviços de manutenção preventiva e corretiva, com eventual fornecimento de peças de reposição, para as câmeras IP e outros equipamentos que compõem o sistema de imagens de segurança.</v>
      </c>
      <c r="E51" s="374" t="str">
        <f>IFERROR(__xludf.DUMMYFUNCTION("""COMPUTED_VALUE"""),"Continuado")</f>
        <v>Continuado</v>
      </c>
      <c r="F51" s="313"/>
      <c r="G51" s="314" t="str">
        <f>IFERROR(__xludf.DUMMYFUNCTION("""COMPUTED_VALUE"""),"CPJUD")</f>
        <v>CPJUD</v>
      </c>
      <c r="H51" s="358">
        <f>IFERROR(__xludf.DUMMYFUNCTION("""COMPUTED_VALUE"""),168105.0)</f>
        <v>168105</v>
      </c>
      <c r="I51" s="317" t="str">
        <f>IFERROR(__xludf.DUMMYFUNCTION("""COMPUTED_VALUE"""),"2 - Importante")</f>
        <v>2 - Importante</v>
      </c>
      <c r="J51" s="317" t="str">
        <f>IFERROR(__xludf.DUMMYFUNCTION("""COMPUTED_VALUE"""),"SEINFRA")</f>
        <v>SEINFRA</v>
      </c>
      <c r="K51" s="318"/>
      <c r="L51" s="318">
        <f>IFERROR(__xludf.DUMMYFUNCTION("""COMPUTED_VALUE"""),258600.0)</f>
        <v>258600</v>
      </c>
      <c r="M51" s="318">
        <f>IFERROR(__xludf.DUMMYFUNCTION("""COMPUTED_VALUE"""),0.0)</f>
        <v>0</v>
      </c>
      <c r="N51" s="318">
        <f>IFERROR(__xludf.DUMMYFUNCTION("""COMPUTED_VALUE"""),0.0)</f>
        <v>0</v>
      </c>
      <c r="O51" s="318">
        <f>IFERROR(__xludf.DUMMYFUNCTION("""COMPUTED_VALUE"""),0.0)</f>
        <v>0</v>
      </c>
      <c r="P51" s="317" t="str">
        <f>IFERROR(__xludf.DUMMYFUNCTION("""COMPUTED_VALUE"""),"01 - Não oficializado")</f>
        <v>01 - Não oficializado</v>
      </c>
    </row>
    <row r="52">
      <c r="B52" s="311">
        <f>IFERROR(__xludf.DUMMYFUNCTION("""COMPUTED_VALUE"""),15308.0)</f>
        <v>15308</v>
      </c>
      <c r="C52" s="311">
        <f>IFERROR(__xludf.DUMMYFUNCTION("""COMPUTED_VALUE"""),0.0)</f>
        <v>0</v>
      </c>
      <c r="D52" s="312" t="str">
        <f>IFERROR(__xludf.DUMMYFUNCTION("""COMPUTED_VALUE"""),"SEGURANÇA SUPORTE - Continuidade do serviço de suporte técnico do Sistema de Softwares de Segurança em uso nas unidades do TRT/SC (SENIOR)")</f>
        <v>SEGURANÇA SUPORTE - Continuidade do serviço de suporte técnico do Sistema de Softwares de Segurança em uso nas unidades do TRT/SC (SENIOR)</v>
      </c>
      <c r="E52" s="374" t="str">
        <f>IFERROR(__xludf.DUMMYFUNCTION("""COMPUTED_VALUE"""),"Continuado")</f>
        <v>Continuado</v>
      </c>
      <c r="F52" s="313" t="str">
        <f>IFERROR(__xludf.DUMMYFUNCTION("""COMPUTED_VALUE"""),"7825/2020")</f>
        <v>7825/2020</v>
      </c>
      <c r="G52" s="314" t="str">
        <f>IFERROR(__xludf.DUMMYFUNCTION("""COMPUTED_VALUE"""),"CPJUD")</f>
        <v>CPJUD</v>
      </c>
      <c r="H52" s="358">
        <f>IFERROR(__xludf.DUMMYFUNCTION("""COMPUTED_VALUE"""),168105.0)</f>
        <v>168105</v>
      </c>
      <c r="I52" s="317" t="str">
        <f>IFERROR(__xludf.DUMMYFUNCTION("""COMPUTED_VALUE"""),"2 - Importante")</f>
        <v>2 - Importante</v>
      </c>
      <c r="J52" s="317" t="str">
        <f>IFERROR(__xludf.DUMMYFUNCTION("""COMPUTED_VALUE"""),"SEINFRA")</f>
        <v>SEINFRA</v>
      </c>
      <c r="K52" s="318" t="str">
        <f>IFERROR(__xludf.DUMMYFUNCTION("""COMPUTED_VALUE"""),"2022NE000129")</f>
        <v>2022NE000129</v>
      </c>
      <c r="L52" s="318">
        <f>IFERROR(__xludf.DUMMYFUNCTION("""COMPUTED_VALUE"""),64215.96)</f>
        <v>64215.96</v>
      </c>
      <c r="M52" s="318">
        <f>IFERROR(__xludf.DUMMYFUNCTION("""COMPUTED_VALUE"""),64215.96)</f>
        <v>64215.96</v>
      </c>
      <c r="N52" s="318">
        <f>IFERROR(__xludf.DUMMYFUNCTION("""COMPUTED_VALUE"""),17608.019999999997)</f>
        <v>17608.02</v>
      </c>
      <c r="O52" s="318">
        <f>IFERROR(__xludf.DUMMYFUNCTION("""COMPUTED_VALUE"""),46607.94)</f>
        <v>46607.94</v>
      </c>
      <c r="P52" s="317" t="str">
        <f>IFERROR(__xludf.DUMMYFUNCTION("""COMPUTED_VALUE"""),"01 - Não oficializado")</f>
        <v>01 - Não oficializado</v>
      </c>
    </row>
    <row r="53">
      <c r="B53" s="311">
        <f>IFERROR(__xludf.DUMMYFUNCTION("""COMPUTED_VALUE"""),15360.0)</f>
        <v>15360</v>
      </c>
      <c r="C53" s="311">
        <f>IFERROR(__xludf.DUMMYFUNCTION("""COMPUTED_VALUE"""),0.0)</f>
        <v>0</v>
      </c>
      <c r="D53" s="312" t="str">
        <f>IFERROR(__xludf.DUMMYFUNCTION("""COMPUTED_VALUE"""),"SIABI - Contratação de suporte técnico e atualização de licenças do software de gerenciamento de bibliotecas")</f>
        <v>SIABI - Contratação de suporte técnico e atualização de licenças do software de gerenciamento de bibliotecas</v>
      </c>
      <c r="E53" s="374" t="str">
        <f>IFERROR(__xludf.DUMMYFUNCTION("""COMPUTED_VALUE"""),"Continuado")</f>
        <v>Continuado</v>
      </c>
      <c r="F53" s="313" t="str">
        <f>IFERROR(__xludf.DUMMYFUNCTION("""COMPUTED_VALUE"""),"2689/2021")</f>
        <v>2689/2021</v>
      </c>
      <c r="G53" s="314" t="str">
        <f>IFERROR(__xludf.DUMMYFUNCTION("""COMPUTED_VALUE"""),"SEJUP")</f>
        <v>SEJUP</v>
      </c>
      <c r="H53" s="358">
        <f>IFERROR(__xludf.DUMMYFUNCTION("""COMPUTED_VALUE"""),168105.0)</f>
        <v>168105</v>
      </c>
      <c r="I53" s="317" t="str">
        <f>IFERROR(__xludf.DUMMYFUNCTION("""COMPUTED_VALUE"""),"2 - Importante")</f>
        <v>2 - Importante</v>
      </c>
      <c r="J53" s="317" t="str">
        <f>IFERROR(__xludf.DUMMYFUNCTION("""COMPUTED_VALUE"""),"SESUP")</f>
        <v>SESUP</v>
      </c>
      <c r="K53" s="318" t="str">
        <f>IFERROR(__xludf.DUMMYFUNCTION("""COMPUTED_VALUE"""),"2022NE000094")</f>
        <v>2022NE000094</v>
      </c>
      <c r="L53" s="318">
        <f>IFERROR(__xludf.DUMMYFUNCTION("""COMPUTED_VALUE"""),7626.48)</f>
        <v>7626.48</v>
      </c>
      <c r="M53" s="318">
        <f>IFERROR(__xludf.DUMMYFUNCTION("""COMPUTED_VALUE"""),7626.48)</f>
        <v>7626.48</v>
      </c>
      <c r="N53" s="318">
        <f>IFERROR(__xludf.DUMMYFUNCTION("""COMPUTED_VALUE"""),1906.62)</f>
        <v>1906.62</v>
      </c>
      <c r="O53" s="318">
        <f>IFERROR(__xludf.DUMMYFUNCTION("""COMPUTED_VALUE"""),5719.86)</f>
        <v>5719.86</v>
      </c>
      <c r="P53" s="317" t="str">
        <f>IFERROR(__xludf.DUMMYFUNCTION("""COMPUTED_VALUE"""),"07 - Concluída")</f>
        <v>07 - Concluída</v>
      </c>
    </row>
    <row r="54">
      <c r="B54" s="311">
        <f>IFERROR(__xludf.DUMMYFUNCTION("""COMPUTED_VALUE"""),15897.0)</f>
        <v>15897</v>
      </c>
      <c r="C54" s="311">
        <f>IFERROR(__xludf.DUMMYFUNCTION("""COMPUTED_VALUE"""),99999.0)</f>
        <v>99999</v>
      </c>
      <c r="D54" s="312" t="str">
        <f>IFERROR(__xludf.DUMMYFUNCTION("""COMPUTED_VALUE"""),"SIABI MEMORIAL - Licenças e serviços de suporte técnico e manutenção para o SIABI (Sistema de software
Automação de Bibliotecas, Arquivos, museus e Memoriais) com direito a versões
atualizadas.")</f>
        <v>SIABI MEMORIAL - Licenças e serviços de suporte técnico e manutenção para o SIABI (Sistema de software
Automação de Bibliotecas, Arquivos, museus e Memoriais) com direito a versões
atualizadas.</v>
      </c>
      <c r="E54" s="374" t="str">
        <f>IFERROR(__xludf.DUMMYFUNCTION("""COMPUTED_VALUE"""),"Continuado")</f>
        <v>Continuado</v>
      </c>
      <c r="F54" s="313"/>
      <c r="G54" s="314" t="str">
        <f>IFERROR(__xludf.DUMMYFUNCTION("""COMPUTED_VALUE"""),"SEJUP")</f>
        <v>SEJUP</v>
      </c>
      <c r="H54" s="358">
        <f>IFERROR(__xludf.DUMMYFUNCTION("""COMPUTED_VALUE"""),168105.0)</f>
        <v>168105</v>
      </c>
      <c r="I54" s="317" t="str">
        <f>IFERROR(__xludf.DUMMYFUNCTION("""COMPUTED_VALUE"""),"2 - Importante")</f>
        <v>2 - Importante</v>
      </c>
      <c r="J54" s="317" t="str">
        <f>IFERROR(__xludf.DUMMYFUNCTION("""COMPUTED_VALUE"""),"SESUP")</f>
        <v>SESUP</v>
      </c>
      <c r="K54" s="318"/>
      <c r="L54" s="318">
        <f>IFERROR(__xludf.DUMMYFUNCTION("""COMPUTED_VALUE"""),15571.36)</f>
        <v>15571.36</v>
      </c>
      <c r="M54" s="318">
        <f>IFERROR(__xludf.DUMMYFUNCTION("""COMPUTED_VALUE"""),0.0)</f>
        <v>0</v>
      </c>
      <c r="N54" s="318">
        <f>IFERROR(__xludf.DUMMYFUNCTION("""COMPUTED_VALUE"""),0.0)</f>
        <v>0</v>
      </c>
      <c r="O54" s="318">
        <f>IFERROR(__xludf.DUMMYFUNCTION("""COMPUTED_VALUE"""),0.0)</f>
        <v>0</v>
      </c>
      <c r="P54" s="317" t="str">
        <f>IFERROR(__xludf.DUMMYFUNCTION("""COMPUTED_VALUE"""),"02 - DOD emitido")</f>
        <v>02 - DOD emitido</v>
      </c>
    </row>
    <row r="55">
      <c r="B55" s="311">
        <f>IFERROR(__xludf.DUMMYFUNCTION("""COMPUTED_VALUE"""),15374.0)</f>
        <v>15374</v>
      </c>
      <c r="C55" s="311">
        <f>IFERROR(__xludf.DUMMYFUNCTION("""COMPUTED_VALUE"""),0.0)</f>
        <v>0</v>
      </c>
      <c r="D55" s="312" t="str">
        <f>IFERROR(__xludf.DUMMYFUNCTION("""COMPUTED_VALUE"""),"VIDEOCONFERÊNCIAS EQUIPAMENTOS - Aquisição de câmeras com microfone")</f>
        <v>VIDEOCONFERÊNCIAS EQUIPAMENTOS - Aquisição de câmeras com microfone</v>
      </c>
      <c r="E55" s="374" t="str">
        <f>IFERROR(__xludf.DUMMYFUNCTION("""COMPUTED_VALUE"""),"Imediato")</f>
        <v>Imediato</v>
      </c>
      <c r="F55" s="313"/>
      <c r="G55" s="314" t="str">
        <f>IFERROR(__xludf.DUMMYFUNCTION("""COMPUTED_VALUE"""),"SETIC")</f>
        <v>SETIC</v>
      </c>
      <c r="H55" s="358">
        <f>IFERROR(__xludf.DUMMYFUNCTION("""COMPUTED_VALUE"""),168105.0)</f>
        <v>168105</v>
      </c>
      <c r="I55" s="317" t="str">
        <f>IFERROR(__xludf.DUMMYFUNCTION("""COMPUTED_VALUE"""),"2 - Importante")</f>
        <v>2 - Importante</v>
      </c>
      <c r="J55" s="317" t="str">
        <f>IFERROR(__xludf.DUMMYFUNCTION("""COMPUTED_VALUE"""),"SESUP")</f>
        <v>SESUP</v>
      </c>
      <c r="K55" s="318"/>
      <c r="L55" s="318">
        <f>IFERROR(__xludf.DUMMYFUNCTION("""COMPUTED_VALUE"""),136300.0)</f>
        <v>136300</v>
      </c>
      <c r="M55" s="318">
        <f>IFERROR(__xludf.DUMMYFUNCTION("""COMPUTED_VALUE"""),0.0)</f>
        <v>0</v>
      </c>
      <c r="N55" s="318">
        <f>IFERROR(__xludf.DUMMYFUNCTION("""COMPUTED_VALUE"""),0.0)</f>
        <v>0</v>
      </c>
      <c r="O55" s="318">
        <f>IFERROR(__xludf.DUMMYFUNCTION("""COMPUTED_VALUE"""),0.0)</f>
        <v>0</v>
      </c>
      <c r="P55" s="317" t="str">
        <f>IFERROR(__xludf.DUMMYFUNCTION("""COMPUTED_VALUE"""),"02 - DOD emitido")</f>
        <v>02 - DOD emitido</v>
      </c>
    </row>
    <row r="56">
      <c r="B56" s="311">
        <f>IFERROR(__xludf.DUMMYFUNCTION("""COMPUTED_VALUE"""),15306.0)</f>
        <v>15306</v>
      </c>
      <c r="C56" s="311">
        <f>IFERROR(__xludf.DUMMYFUNCTION("""COMPUTED_VALUE"""),0.0)</f>
        <v>0</v>
      </c>
      <c r="D56" s="312" t="str">
        <f>IFERROR(__xludf.DUMMYFUNCTION("""COMPUTED_VALUE"""),"AUTOCAD LICENÇAS - Contratação/prorrogação de licanças de Autodesk AutoCAD Revit Suite")</f>
        <v>AUTOCAD LICENÇAS - Contratação/prorrogação de licanças de Autodesk AutoCAD Revit Suite</v>
      </c>
      <c r="E56" s="374" t="str">
        <f>IFERROR(__xludf.DUMMYFUNCTION("""COMPUTED_VALUE"""),"Imediato")</f>
        <v>Imediato</v>
      </c>
      <c r="F56" s="313"/>
      <c r="G56" s="314" t="str">
        <f>IFERROR(__xludf.DUMMYFUNCTION("""COMPUTED_VALUE"""),"SPO")</f>
        <v>SPO</v>
      </c>
      <c r="H56" s="358">
        <f>IFERROR(__xludf.DUMMYFUNCTION("""COMPUTED_VALUE"""),168105.0)</f>
        <v>168105</v>
      </c>
      <c r="I56" s="317" t="str">
        <f>IFERROR(__xludf.DUMMYFUNCTION("""COMPUTED_VALUE"""),"3 - Desejável")</f>
        <v>3 - Desejável</v>
      </c>
      <c r="J56" s="317" t="str">
        <f>IFERROR(__xludf.DUMMYFUNCTION("""COMPUTED_VALUE"""),"SESUP")</f>
        <v>SESUP</v>
      </c>
      <c r="K56" s="318"/>
      <c r="L56" s="318">
        <f>IFERROR(__xludf.DUMMYFUNCTION("""COMPUTED_VALUE"""),68648.0)</f>
        <v>68648</v>
      </c>
      <c r="M56" s="318">
        <f>IFERROR(__xludf.DUMMYFUNCTION("""COMPUTED_VALUE"""),0.0)</f>
        <v>0</v>
      </c>
      <c r="N56" s="318">
        <f>IFERROR(__xludf.DUMMYFUNCTION("""COMPUTED_VALUE"""),0.0)</f>
        <v>0</v>
      </c>
      <c r="O56" s="318">
        <f>IFERROR(__xludf.DUMMYFUNCTION("""COMPUTED_VALUE"""),0.0)</f>
        <v>0</v>
      </c>
      <c r="P56" s="317" t="str">
        <f>IFERROR(__xludf.DUMMYFUNCTION("""COMPUTED_VALUE"""),"02 - DOD emitido")</f>
        <v>02 - DOD emitido</v>
      </c>
    </row>
    <row r="57">
      <c r="B57" s="311">
        <f>IFERROR(__xludf.DUMMYFUNCTION("""COMPUTED_VALUE"""),15307.0)</f>
        <v>15307</v>
      </c>
      <c r="C57" s="311">
        <f>IFERROR(__xludf.DUMMYFUNCTION("""COMPUTED_VALUE"""),0.0)</f>
        <v>0</v>
      </c>
      <c r="D57" s="312" t="str">
        <f>IFERROR(__xludf.DUMMYFUNCTION("""COMPUTED_VALUE"""),"SKETCHUP PRO - Licença SketchUp Pro - Trimble (12 meses)")</f>
        <v>SKETCHUP PRO - Licença SketchUp Pro - Trimble (12 meses)</v>
      </c>
      <c r="E57" s="374" t="str">
        <f>IFERROR(__xludf.DUMMYFUNCTION("""COMPUTED_VALUE"""),"Continuado")</f>
        <v>Continuado</v>
      </c>
      <c r="F57" s="313"/>
      <c r="G57" s="314" t="str">
        <f>IFERROR(__xludf.DUMMYFUNCTION("""COMPUTED_VALUE"""),"SPO")</f>
        <v>SPO</v>
      </c>
      <c r="H57" s="358">
        <f>IFERROR(__xludf.DUMMYFUNCTION("""COMPUTED_VALUE"""),168105.0)</f>
        <v>168105</v>
      </c>
      <c r="I57" s="317" t="str">
        <f>IFERROR(__xludf.DUMMYFUNCTION("""COMPUTED_VALUE"""),"3 - Desejável")</f>
        <v>3 - Desejável</v>
      </c>
      <c r="J57" s="317" t="str">
        <f>IFERROR(__xludf.DUMMYFUNCTION("""COMPUTED_VALUE"""),"SESUP")</f>
        <v>SESUP</v>
      </c>
      <c r="K57" s="318"/>
      <c r="L57" s="318">
        <f>IFERROR(__xludf.DUMMYFUNCTION("""COMPUTED_VALUE"""),1881.0)</f>
        <v>1881</v>
      </c>
      <c r="M57" s="318">
        <f>IFERROR(__xludf.DUMMYFUNCTION("""COMPUTED_VALUE"""),0.0)</f>
        <v>0</v>
      </c>
      <c r="N57" s="318">
        <f>IFERROR(__xludf.DUMMYFUNCTION("""COMPUTED_VALUE"""),0.0)</f>
        <v>0</v>
      </c>
      <c r="O57" s="318">
        <f>IFERROR(__xludf.DUMMYFUNCTION("""COMPUTED_VALUE"""),0.0)</f>
        <v>0</v>
      </c>
      <c r="P57" s="317" t="str">
        <f>IFERROR(__xludf.DUMMYFUNCTION("""COMPUTED_VALUE"""),"02 - DOD emitido")</f>
        <v>02 - DOD emitido</v>
      </c>
    </row>
    <row r="58">
      <c r="B58" s="291"/>
      <c r="C58" s="291"/>
      <c r="D58" s="181"/>
      <c r="E58" s="380"/>
      <c r="F58" s="292"/>
      <c r="G58" s="293"/>
      <c r="H58" s="381"/>
      <c r="I58" s="296"/>
      <c r="J58" s="296"/>
      <c r="K58" s="297"/>
      <c r="L58" s="297"/>
      <c r="M58" s="297"/>
      <c r="N58" s="297"/>
      <c r="O58" s="297"/>
      <c r="P58" s="296"/>
    </row>
    <row r="59">
      <c r="B59" s="291"/>
      <c r="C59" s="291"/>
      <c r="D59" s="181"/>
      <c r="E59" s="380"/>
      <c r="F59" s="292"/>
      <c r="G59" s="293"/>
      <c r="H59" s="381"/>
      <c r="I59" s="296"/>
      <c r="J59" s="296"/>
      <c r="K59" s="297"/>
      <c r="L59" s="297"/>
      <c r="M59" s="297"/>
      <c r="N59" s="297"/>
      <c r="O59" s="297"/>
      <c r="P59" s="296"/>
    </row>
    <row r="60">
      <c r="B60" s="291"/>
      <c r="C60" s="291"/>
      <c r="D60" s="181"/>
      <c r="E60" s="380"/>
      <c r="F60" s="292"/>
      <c r="G60" s="293"/>
      <c r="H60" s="381"/>
      <c r="I60" s="296"/>
      <c r="J60" s="296"/>
      <c r="K60" s="297"/>
      <c r="L60" s="297"/>
      <c r="M60" s="297"/>
      <c r="N60" s="297"/>
      <c r="O60" s="297"/>
      <c r="P60" s="296"/>
    </row>
    <row r="61">
      <c r="B61" s="291"/>
      <c r="C61" s="291"/>
      <c r="D61" s="181"/>
      <c r="E61" s="380"/>
      <c r="F61" s="292"/>
      <c r="G61" s="293"/>
      <c r="H61" s="381"/>
      <c r="I61" s="296"/>
      <c r="J61" s="296"/>
      <c r="K61" s="297"/>
      <c r="L61" s="297"/>
      <c r="M61" s="297"/>
      <c r="N61" s="297"/>
      <c r="O61" s="297"/>
      <c r="P61" s="296"/>
    </row>
    <row r="62">
      <c r="B62" s="291"/>
      <c r="C62" s="291"/>
      <c r="D62" s="181"/>
      <c r="E62" s="380"/>
      <c r="F62" s="292"/>
      <c r="G62" s="293"/>
      <c r="H62" s="381"/>
      <c r="I62" s="296"/>
      <c r="J62" s="296"/>
      <c r="K62" s="297"/>
      <c r="L62" s="297"/>
      <c r="M62" s="297"/>
      <c r="N62" s="297"/>
      <c r="O62" s="297"/>
      <c r="P62" s="296"/>
    </row>
    <row r="63">
      <c r="B63" s="291"/>
      <c r="C63" s="291"/>
      <c r="D63" s="181"/>
      <c r="E63" s="380"/>
      <c r="F63" s="292"/>
      <c r="G63" s="293"/>
      <c r="H63" s="381"/>
      <c r="I63" s="296"/>
      <c r="J63" s="296"/>
      <c r="K63" s="297"/>
      <c r="L63" s="297"/>
      <c r="M63" s="297"/>
      <c r="N63" s="297"/>
      <c r="O63" s="297"/>
      <c r="P63" s="296"/>
    </row>
    <row r="64">
      <c r="B64" s="291"/>
      <c r="C64" s="291"/>
      <c r="D64" s="181"/>
      <c r="E64" s="380"/>
      <c r="F64" s="292"/>
      <c r="G64" s="293"/>
      <c r="H64" s="381"/>
      <c r="I64" s="296"/>
      <c r="J64" s="296"/>
      <c r="K64" s="297"/>
      <c r="L64" s="297"/>
      <c r="M64" s="297"/>
      <c r="N64" s="297"/>
      <c r="O64" s="297"/>
      <c r="P64" s="296"/>
    </row>
    <row r="65">
      <c r="B65" s="291"/>
      <c r="C65" s="291"/>
      <c r="D65" s="181"/>
      <c r="E65" s="380"/>
      <c r="F65" s="292"/>
      <c r="G65" s="293"/>
      <c r="H65" s="381"/>
      <c r="I65" s="296"/>
      <c r="J65" s="296"/>
      <c r="K65" s="297"/>
      <c r="L65" s="297"/>
      <c r="M65" s="297"/>
      <c r="N65" s="297"/>
      <c r="O65" s="297"/>
      <c r="P65" s="296"/>
    </row>
    <row r="66">
      <c r="B66" s="291"/>
      <c r="C66" s="291"/>
      <c r="D66" s="181"/>
      <c r="E66" s="380"/>
      <c r="F66" s="292"/>
      <c r="G66" s="293"/>
      <c r="H66" s="381"/>
      <c r="I66" s="296"/>
      <c r="J66" s="296"/>
      <c r="K66" s="297"/>
      <c r="L66" s="297"/>
      <c r="M66" s="297"/>
      <c r="N66" s="297"/>
      <c r="O66" s="297"/>
      <c r="P66" s="296"/>
    </row>
    <row r="67">
      <c r="B67" s="291"/>
      <c r="C67" s="291"/>
      <c r="D67" s="181"/>
      <c r="E67" s="380"/>
      <c r="F67" s="292"/>
      <c r="G67" s="293"/>
      <c r="H67" s="381"/>
      <c r="I67" s="296"/>
      <c r="J67" s="296"/>
      <c r="K67" s="297"/>
      <c r="L67" s="297"/>
      <c r="M67" s="297"/>
      <c r="N67" s="297"/>
      <c r="O67" s="297"/>
      <c r="P67" s="296"/>
    </row>
    <row r="68">
      <c r="B68" s="291"/>
      <c r="C68" s="291"/>
      <c r="D68" s="181"/>
      <c r="E68" s="380"/>
      <c r="F68" s="292"/>
      <c r="G68" s="293"/>
      <c r="H68" s="381"/>
      <c r="I68" s="296"/>
      <c r="J68" s="296"/>
      <c r="K68" s="297"/>
      <c r="L68" s="297"/>
      <c r="M68" s="297"/>
      <c r="N68" s="297"/>
      <c r="O68" s="297"/>
      <c r="P68" s="296"/>
    </row>
    <row r="69">
      <c r="B69" s="291"/>
      <c r="C69" s="291"/>
      <c r="D69" s="181"/>
      <c r="E69" s="380"/>
      <c r="F69" s="292"/>
      <c r="G69" s="293"/>
      <c r="H69" s="381"/>
      <c r="I69" s="296"/>
      <c r="J69" s="296"/>
      <c r="K69" s="297"/>
      <c r="L69" s="297"/>
      <c r="M69" s="297"/>
      <c r="N69" s="297"/>
      <c r="O69" s="297"/>
      <c r="P69" s="296"/>
    </row>
    <row r="70">
      <c r="B70" s="291"/>
      <c r="C70" s="291"/>
      <c r="D70" s="181"/>
      <c r="E70" s="380"/>
      <c r="F70" s="292"/>
      <c r="G70" s="293"/>
      <c r="H70" s="381"/>
      <c r="I70" s="296"/>
      <c r="J70" s="296"/>
      <c r="K70" s="297"/>
      <c r="L70" s="297"/>
      <c r="M70" s="297"/>
      <c r="N70" s="297"/>
      <c r="O70" s="297"/>
      <c r="P70" s="296"/>
    </row>
    <row r="71">
      <c r="B71" s="291"/>
      <c r="C71" s="291"/>
      <c r="D71" s="181"/>
      <c r="E71" s="380"/>
      <c r="F71" s="292"/>
      <c r="G71" s="293"/>
      <c r="H71" s="381"/>
      <c r="I71" s="296"/>
      <c r="J71" s="296"/>
      <c r="K71" s="297"/>
      <c r="L71" s="297"/>
      <c r="M71" s="297"/>
      <c r="N71" s="297"/>
      <c r="O71" s="297"/>
      <c r="P71" s="296"/>
    </row>
    <row r="72">
      <c r="B72" s="291"/>
      <c r="C72" s="291"/>
      <c r="D72" s="181"/>
      <c r="E72" s="380"/>
      <c r="F72" s="292"/>
      <c r="G72" s="293"/>
      <c r="H72" s="381"/>
      <c r="I72" s="296"/>
      <c r="J72" s="296"/>
      <c r="K72" s="297"/>
      <c r="L72" s="297"/>
      <c r="M72" s="297"/>
      <c r="N72" s="297"/>
      <c r="O72" s="297"/>
      <c r="P72" s="296"/>
    </row>
    <row r="73">
      <c r="B73" s="291"/>
      <c r="C73" s="291"/>
      <c r="D73" s="181"/>
      <c r="E73" s="380"/>
      <c r="F73" s="292"/>
      <c r="G73" s="293"/>
      <c r="H73" s="381"/>
      <c r="I73" s="296"/>
      <c r="J73" s="296"/>
      <c r="K73" s="297"/>
      <c r="L73" s="297"/>
      <c r="M73" s="297"/>
      <c r="N73" s="297"/>
      <c r="O73" s="297"/>
      <c r="P73" s="296"/>
    </row>
    <row r="74">
      <c r="B74" s="291"/>
      <c r="C74" s="291"/>
      <c r="D74" s="181"/>
      <c r="E74" s="380"/>
      <c r="F74" s="292"/>
      <c r="G74" s="293"/>
      <c r="H74" s="381"/>
      <c r="I74" s="296"/>
      <c r="J74" s="296"/>
      <c r="K74" s="297"/>
      <c r="L74" s="297"/>
      <c r="M74" s="297"/>
      <c r="N74" s="297"/>
      <c r="O74" s="297"/>
      <c r="P74" s="296"/>
    </row>
    <row r="75">
      <c r="B75" s="291"/>
      <c r="C75" s="291"/>
      <c r="D75" s="181"/>
      <c r="E75" s="380"/>
      <c r="F75" s="292"/>
      <c r="G75" s="293"/>
      <c r="H75" s="381"/>
      <c r="I75" s="296"/>
      <c r="J75" s="296"/>
      <c r="K75" s="297"/>
      <c r="L75" s="297"/>
      <c r="M75" s="297"/>
      <c r="N75" s="297"/>
      <c r="O75" s="297"/>
      <c r="P75" s="296"/>
    </row>
    <row r="76">
      <c r="B76" s="291"/>
      <c r="C76" s="291"/>
      <c r="D76" s="181"/>
      <c r="E76" s="380"/>
      <c r="F76" s="292"/>
      <c r="G76" s="293"/>
      <c r="H76" s="381"/>
      <c r="I76" s="296"/>
      <c r="J76" s="296"/>
      <c r="K76" s="297"/>
      <c r="L76" s="297"/>
      <c r="M76" s="297"/>
      <c r="N76" s="297"/>
      <c r="O76" s="297"/>
      <c r="P76" s="296"/>
    </row>
    <row r="77">
      <c r="B77" s="291"/>
      <c r="C77" s="291"/>
      <c r="D77" s="181"/>
      <c r="E77" s="380"/>
      <c r="F77" s="292"/>
      <c r="G77" s="293"/>
      <c r="H77" s="381"/>
      <c r="I77" s="296"/>
      <c r="J77" s="296"/>
      <c r="K77" s="297"/>
      <c r="L77" s="297"/>
      <c r="M77" s="297"/>
      <c r="N77" s="297"/>
      <c r="O77" s="297"/>
      <c r="P77" s="296"/>
    </row>
    <row r="78">
      <c r="B78" s="291"/>
      <c r="C78" s="291"/>
      <c r="D78" s="181"/>
      <c r="E78" s="380"/>
      <c r="F78" s="292"/>
      <c r="G78" s="293"/>
      <c r="H78" s="381"/>
      <c r="I78" s="296"/>
      <c r="J78" s="296"/>
      <c r="K78" s="297"/>
      <c r="L78" s="297"/>
      <c r="M78" s="297"/>
      <c r="N78" s="297"/>
      <c r="O78" s="297"/>
      <c r="P78" s="296"/>
    </row>
    <row r="79">
      <c r="B79" s="291"/>
      <c r="C79" s="291"/>
      <c r="D79" s="181"/>
      <c r="E79" s="380"/>
      <c r="F79" s="292"/>
      <c r="G79" s="293"/>
      <c r="H79" s="381"/>
      <c r="I79" s="296"/>
      <c r="J79" s="296"/>
      <c r="K79" s="297"/>
      <c r="L79" s="297"/>
      <c r="M79" s="297"/>
      <c r="N79" s="297"/>
      <c r="O79" s="297"/>
      <c r="P79" s="296"/>
    </row>
    <row r="80">
      <c r="B80" s="291"/>
      <c r="C80" s="291"/>
      <c r="D80" s="181"/>
      <c r="E80" s="380"/>
      <c r="F80" s="292"/>
      <c r="G80" s="293"/>
      <c r="H80" s="381"/>
      <c r="I80" s="296"/>
      <c r="J80" s="296"/>
      <c r="K80" s="297"/>
      <c r="L80" s="297"/>
      <c r="M80" s="297"/>
      <c r="N80" s="297"/>
      <c r="O80" s="297"/>
      <c r="P80" s="296"/>
    </row>
    <row r="81">
      <c r="B81" s="291"/>
      <c r="C81" s="291"/>
      <c r="D81" s="181"/>
      <c r="E81" s="380"/>
      <c r="F81" s="292"/>
      <c r="G81" s="293"/>
      <c r="H81" s="381"/>
      <c r="I81" s="296"/>
      <c r="J81" s="296"/>
      <c r="K81" s="297"/>
      <c r="L81" s="297"/>
      <c r="M81" s="297"/>
      <c r="N81" s="297"/>
      <c r="O81" s="297"/>
      <c r="P81" s="296"/>
    </row>
    <row r="82">
      <c r="B82" s="291"/>
      <c r="C82" s="291"/>
      <c r="D82" s="181"/>
      <c r="E82" s="380"/>
      <c r="F82" s="292"/>
      <c r="G82" s="293"/>
      <c r="H82" s="381"/>
      <c r="I82" s="296"/>
      <c r="J82" s="296"/>
      <c r="K82" s="297"/>
      <c r="L82" s="297"/>
      <c r="M82" s="297"/>
      <c r="N82" s="297"/>
      <c r="O82" s="297"/>
      <c r="P82" s="296"/>
    </row>
    <row r="83">
      <c r="B83" s="291"/>
      <c r="C83" s="291"/>
      <c r="D83" s="181"/>
      <c r="E83" s="380"/>
      <c r="F83" s="292"/>
      <c r="G83" s="293"/>
      <c r="H83" s="381"/>
      <c r="I83" s="296"/>
      <c r="J83" s="296"/>
      <c r="K83" s="297"/>
      <c r="L83" s="297"/>
      <c r="M83" s="297"/>
      <c r="N83" s="297"/>
      <c r="O83" s="297"/>
      <c r="P83" s="296"/>
    </row>
    <row r="84">
      <c r="B84" s="291"/>
      <c r="C84" s="291"/>
      <c r="D84" s="181"/>
      <c r="E84" s="380"/>
      <c r="F84" s="292"/>
      <c r="G84" s="293"/>
      <c r="H84" s="381"/>
      <c r="I84" s="296"/>
      <c r="J84" s="296"/>
      <c r="K84" s="297"/>
      <c r="L84" s="297"/>
      <c r="M84" s="297"/>
      <c r="N84" s="297"/>
      <c r="O84" s="297"/>
      <c r="P84" s="296"/>
    </row>
    <row r="85">
      <c r="B85" s="291"/>
      <c r="C85" s="291"/>
      <c r="D85" s="181"/>
      <c r="E85" s="380"/>
      <c r="F85" s="292"/>
      <c r="G85" s="293"/>
      <c r="H85" s="381"/>
      <c r="I85" s="296"/>
      <c r="J85" s="296"/>
      <c r="K85" s="297"/>
      <c r="L85" s="297"/>
      <c r="M85" s="297"/>
      <c r="N85" s="297"/>
      <c r="O85" s="297"/>
      <c r="P85" s="296"/>
    </row>
    <row r="86">
      <c r="B86" s="291"/>
      <c r="C86" s="291"/>
      <c r="D86" s="181"/>
      <c r="E86" s="380"/>
      <c r="F86" s="292"/>
      <c r="G86" s="293"/>
      <c r="H86" s="381"/>
      <c r="I86" s="296"/>
      <c r="J86" s="296"/>
      <c r="K86" s="297"/>
      <c r="L86" s="297"/>
      <c r="M86" s="297"/>
      <c r="N86" s="297"/>
      <c r="O86" s="297"/>
      <c r="P86" s="296"/>
    </row>
    <row r="87">
      <c r="B87" s="291"/>
      <c r="C87" s="291"/>
      <c r="D87" s="181"/>
      <c r="E87" s="380"/>
      <c r="F87" s="292"/>
      <c r="G87" s="293"/>
      <c r="H87" s="381"/>
      <c r="I87" s="296"/>
      <c r="J87" s="296"/>
      <c r="K87" s="297"/>
      <c r="L87" s="297"/>
      <c r="M87" s="297"/>
      <c r="N87" s="297"/>
      <c r="O87" s="297"/>
      <c r="P87" s="296"/>
    </row>
    <row r="88">
      <c r="B88" s="291"/>
      <c r="C88" s="291"/>
      <c r="D88" s="181"/>
      <c r="E88" s="380"/>
      <c r="F88" s="292"/>
      <c r="G88" s="293"/>
      <c r="H88" s="381"/>
      <c r="I88" s="296"/>
      <c r="J88" s="296"/>
      <c r="K88" s="297"/>
      <c r="L88" s="297"/>
      <c r="M88" s="297"/>
      <c r="N88" s="297"/>
      <c r="O88" s="297"/>
      <c r="P88" s="296"/>
    </row>
    <row r="89">
      <c r="B89" s="291"/>
      <c r="C89" s="291"/>
      <c r="D89" s="181"/>
      <c r="E89" s="380"/>
      <c r="F89" s="292"/>
      <c r="G89" s="293"/>
      <c r="H89" s="381"/>
      <c r="I89" s="296"/>
      <c r="J89" s="296"/>
      <c r="K89" s="297"/>
      <c r="L89" s="297"/>
      <c r="M89" s="297"/>
      <c r="N89" s="297"/>
      <c r="O89" s="297"/>
      <c r="P89" s="296"/>
    </row>
    <row r="90">
      <c r="B90" s="291"/>
      <c r="C90" s="291"/>
      <c r="D90" s="181"/>
      <c r="E90" s="380"/>
      <c r="F90" s="292"/>
      <c r="G90" s="293"/>
      <c r="H90" s="381"/>
      <c r="I90" s="296"/>
      <c r="J90" s="296"/>
      <c r="K90" s="297"/>
      <c r="L90" s="297"/>
      <c r="M90" s="297"/>
      <c r="N90" s="297"/>
      <c r="O90" s="297"/>
      <c r="P90" s="296"/>
    </row>
    <row r="91">
      <c r="B91" s="291"/>
      <c r="C91" s="291"/>
      <c r="D91" s="181"/>
      <c r="E91" s="380"/>
      <c r="F91" s="292"/>
      <c r="G91" s="293"/>
      <c r="H91" s="381"/>
      <c r="I91" s="296"/>
      <c r="J91" s="296"/>
      <c r="K91" s="297"/>
      <c r="L91" s="297"/>
      <c r="M91" s="297"/>
      <c r="N91" s="297"/>
      <c r="O91" s="297"/>
      <c r="P91" s="296"/>
    </row>
    <row r="92">
      <c r="B92" s="291"/>
      <c r="C92" s="291"/>
      <c r="D92" s="181"/>
      <c r="E92" s="380"/>
      <c r="F92" s="292"/>
      <c r="G92" s="293"/>
      <c r="H92" s="381"/>
      <c r="I92" s="296"/>
      <c r="J92" s="296"/>
      <c r="K92" s="297"/>
      <c r="L92" s="297"/>
      <c r="M92" s="297"/>
      <c r="N92" s="297"/>
      <c r="O92" s="297"/>
      <c r="P92" s="296"/>
    </row>
    <row r="93">
      <c r="B93" s="291"/>
      <c r="C93" s="291"/>
      <c r="D93" s="181"/>
      <c r="E93" s="380"/>
      <c r="F93" s="292"/>
      <c r="G93" s="293"/>
      <c r="H93" s="381"/>
      <c r="I93" s="296"/>
      <c r="J93" s="296"/>
      <c r="K93" s="297"/>
      <c r="L93" s="297"/>
      <c r="M93" s="297"/>
      <c r="N93" s="297"/>
      <c r="O93" s="297"/>
      <c r="P93" s="296"/>
    </row>
    <row r="94">
      <c r="B94" s="291"/>
      <c r="C94" s="291"/>
      <c r="D94" s="181"/>
      <c r="E94" s="380"/>
      <c r="F94" s="292"/>
      <c r="G94" s="293"/>
      <c r="H94" s="381"/>
      <c r="I94" s="296"/>
      <c r="J94" s="296"/>
      <c r="K94" s="297"/>
      <c r="L94" s="297"/>
      <c r="M94" s="297"/>
      <c r="N94" s="297"/>
      <c r="O94" s="297"/>
      <c r="P94" s="296"/>
    </row>
    <row r="95">
      <c r="B95" s="291"/>
      <c r="C95" s="291"/>
      <c r="D95" s="181"/>
      <c r="E95" s="380"/>
      <c r="F95" s="292"/>
      <c r="G95" s="293"/>
      <c r="H95" s="381"/>
      <c r="I95" s="296"/>
      <c r="J95" s="296"/>
      <c r="K95" s="297"/>
      <c r="L95" s="297"/>
      <c r="M95" s="297"/>
      <c r="N95" s="297"/>
      <c r="O95" s="297"/>
      <c r="P95" s="296"/>
    </row>
    <row r="96">
      <c r="B96" s="291"/>
      <c r="C96" s="291"/>
      <c r="D96" s="181"/>
      <c r="E96" s="380"/>
      <c r="F96" s="292"/>
      <c r="G96" s="293"/>
      <c r="H96" s="381"/>
      <c r="I96" s="296"/>
      <c r="J96" s="296"/>
      <c r="K96" s="297"/>
      <c r="L96" s="297"/>
      <c r="M96" s="297"/>
      <c r="N96" s="297"/>
      <c r="O96" s="297"/>
      <c r="P96" s="296"/>
    </row>
    <row r="97">
      <c r="B97" s="291"/>
      <c r="C97" s="291"/>
      <c r="D97" s="181"/>
      <c r="E97" s="380"/>
      <c r="F97" s="292"/>
      <c r="G97" s="293"/>
      <c r="H97" s="381"/>
      <c r="I97" s="296"/>
      <c r="J97" s="296"/>
      <c r="K97" s="297"/>
      <c r="L97" s="297"/>
      <c r="M97" s="297"/>
      <c r="N97" s="297"/>
      <c r="O97" s="297"/>
      <c r="P97" s="296"/>
    </row>
    <row r="98">
      <c r="B98" s="291"/>
      <c r="C98" s="291"/>
      <c r="D98" s="181"/>
      <c r="E98" s="380"/>
      <c r="F98" s="292"/>
      <c r="G98" s="293"/>
      <c r="H98" s="381"/>
      <c r="I98" s="296"/>
      <c r="J98" s="296"/>
      <c r="K98" s="297"/>
      <c r="L98" s="297"/>
      <c r="M98" s="297"/>
      <c r="N98" s="297"/>
      <c r="O98" s="297"/>
      <c r="P98" s="296"/>
    </row>
    <row r="99">
      <c r="B99" s="291"/>
      <c r="C99" s="291"/>
      <c r="D99" s="181"/>
      <c r="E99" s="380"/>
      <c r="F99" s="292"/>
      <c r="G99" s="293"/>
      <c r="H99" s="381"/>
      <c r="I99" s="296"/>
      <c r="J99" s="296"/>
      <c r="K99" s="297"/>
      <c r="L99" s="297"/>
      <c r="M99" s="297"/>
      <c r="N99" s="297"/>
      <c r="O99" s="297"/>
      <c r="P99" s="296"/>
    </row>
    <row r="100">
      <c r="B100" s="291"/>
      <c r="C100" s="291"/>
      <c r="D100" s="181"/>
      <c r="E100" s="380"/>
      <c r="F100" s="292"/>
      <c r="G100" s="293"/>
      <c r="H100" s="381"/>
      <c r="I100" s="296"/>
      <c r="J100" s="296"/>
      <c r="K100" s="297"/>
      <c r="L100" s="297"/>
      <c r="M100" s="297"/>
      <c r="N100" s="297"/>
      <c r="O100" s="297"/>
      <c r="P100" s="296"/>
    </row>
    <row r="101">
      <c r="B101" s="291"/>
      <c r="C101" s="291"/>
      <c r="D101" s="181"/>
      <c r="E101" s="380"/>
      <c r="F101" s="292"/>
      <c r="G101" s="293"/>
      <c r="H101" s="381"/>
      <c r="I101" s="296"/>
      <c r="J101" s="296"/>
      <c r="K101" s="297"/>
      <c r="L101" s="297"/>
      <c r="M101" s="297"/>
      <c r="N101" s="297"/>
      <c r="O101" s="297"/>
      <c r="P101" s="296"/>
    </row>
    <row r="102">
      <c r="B102" s="291"/>
      <c r="C102" s="291"/>
      <c r="D102" s="181"/>
      <c r="E102" s="380"/>
      <c r="F102" s="292"/>
      <c r="G102" s="293"/>
      <c r="H102" s="381"/>
      <c r="I102" s="296"/>
      <c r="J102" s="296"/>
      <c r="K102" s="297"/>
      <c r="L102" s="297"/>
      <c r="M102" s="297"/>
      <c r="N102" s="297"/>
      <c r="O102" s="297"/>
      <c r="P102" s="296"/>
    </row>
    <row r="103">
      <c r="B103" s="291"/>
      <c r="C103" s="291"/>
      <c r="D103" s="181"/>
      <c r="E103" s="380"/>
      <c r="F103" s="292"/>
      <c r="G103" s="293"/>
      <c r="H103" s="381"/>
      <c r="I103" s="296"/>
      <c r="J103" s="296"/>
      <c r="K103" s="297"/>
      <c r="L103" s="297"/>
      <c r="M103" s="297"/>
      <c r="N103" s="297"/>
      <c r="O103" s="297"/>
      <c r="P103" s="296"/>
    </row>
    <row r="104">
      <c r="B104" s="291"/>
      <c r="C104" s="291"/>
      <c r="D104" s="181"/>
      <c r="E104" s="380"/>
      <c r="F104" s="292"/>
      <c r="G104" s="293"/>
      <c r="H104" s="381"/>
      <c r="I104" s="296"/>
      <c r="J104" s="296"/>
      <c r="K104" s="297"/>
      <c r="L104" s="297"/>
      <c r="M104" s="297"/>
      <c r="N104" s="297"/>
      <c r="O104" s="297"/>
      <c r="P104" s="296"/>
    </row>
    <row r="105">
      <c r="B105" s="291"/>
      <c r="C105" s="291"/>
      <c r="D105" s="181"/>
      <c r="E105" s="380"/>
      <c r="F105" s="292"/>
      <c r="G105" s="293"/>
      <c r="H105" s="381"/>
      <c r="I105" s="296"/>
      <c r="J105" s="296"/>
      <c r="K105" s="297"/>
      <c r="L105" s="297"/>
      <c r="M105" s="297"/>
      <c r="N105" s="297"/>
      <c r="O105" s="297"/>
      <c r="P105" s="296"/>
    </row>
    <row r="106">
      <c r="B106" s="291"/>
      <c r="C106" s="291"/>
      <c r="D106" s="181"/>
      <c r="E106" s="380"/>
      <c r="F106" s="292"/>
      <c r="G106" s="293"/>
      <c r="H106" s="381"/>
      <c r="I106" s="296"/>
      <c r="J106" s="296"/>
      <c r="K106" s="297"/>
      <c r="L106" s="297"/>
      <c r="M106" s="297"/>
      <c r="N106" s="297"/>
      <c r="O106" s="297"/>
      <c r="P106" s="296"/>
    </row>
    <row r="107">
      <c r="B107" s="291"/>
      <c r="C107" s="291"/>
      <c r="D107" s="181"/>
      <c r="E107" s="380"/>
      <c r="F107" s="292"/>
      <c r="G107" s="293"/>
      <c r="H107" s="381"/>
      <c r="I107" s="296"/>
      <c r="J107" s="296"/>
      <c r="K107" s="297"/>
      <c r="L107" s="297"/>
      <c r="M107" s="297"/>
      <c r="N107" s="297"/>
      <c r="O107" s="297"/>
      <c r="P107" s="296"/>
    </row>
    <row r="108">
      <c r="B108" s="291"/>
      <c r="C108" s="291"/>
      <c r="D108" s="181"/>
      <c r="E108" s="380"/>
      <c r="F108" s="292"/>
      <c r="G108" s="293"/>
      <c r="H108" s="381"/>
      <c r="I108" s="296"/>
      <c r="J108" s="296"/>
      <c r="K108" s="297"/>
      <c r="L108" s="297"/>
      <c r="M108" s="297"/>
      <c r="N108" s="297"/>
      <c r="O108" s="297"/>
      <c r="P108" s="296"/>
    </row>
    <row r="109">
      <c r="B109" s="291"/>
      <c r="C109" s="291"/>
      <c r="D109" s="181"/>
      <c r="E109" s="380"/>
      <c r="F109" s="292"/>
      <c r="G109" s="293"/>
      <c r="H109" s="381"/>
      <c r="I109" s="296"/>
      <c r="J109" s="296"/>
      <c r="K109" s="297"/>
      <c r="L109" s="297"/>
      <c r="M109" s="297"/>
      <c r="N109" s="297"/>
      <c r="O109" s="297"/>
      <c r="P109" s="296"/>
    </row>
    <row r="110">
      <c r="B110" s="291"/>
      <c r="C110" s="291"/>
      <c r="D110" s="181"/>
      <c r="E110" s="380"/>
      <c r="F110" s="292"/>
      <c r="G110" s="293"/>
      <c r="H110" s="381"/>
      <c r="I110" s="296"/>
      <c r="J110" s="296"/>
      <c r="K110" s="297"/>
      <c r="L110" s="297"/>
      <c r="M110" s="297"/>
      <c r="N110" s="297"/>
      <c r="O110" s="297"/>
      <c r="P110" s="296"/>
    </row>
    <row r="111">
      <c r="B111" s="291"/>
      <c r="C111" s="291"/>
      <c r="D111" s="181"/>
      <c r="E111" s="380"/>
      <c r="F111" s="292"/>
      <c r="G111" s="293"/>
      <c r="H111" s="381"/>
      <c r="I111" s="296"/>
      <c r="J111" s="296"/>
      <c r="K111" s="297"/>
      <c r="L111" s="297"/>
      <c r="M111" s="297"/>
      <c r="N111" s="297"/>
      <c r="O111" s="297"/>
      <c r="P111" s="296"/>
    </row>
    <row r="112">
      <c r="B112" s="291"/>
      <c r="C112" s="291"/>
      <c r="D112" s="181"/>
      <c r="E112" s="380"/>
      <c r="F112" s="292"/>
      <c r="G112" s="293"/>
      <c r="H112" s="381"/>
      <c r="I112" s="296"/>
      <c r="J112" s="296"/>
      <c r="K112" s="297"/>
      <c r="L112" s="297"/>
      <c r="M112" s="297"/>
      <c r="N112" s="297"/>
      <c r="O112" s="297"/>
      <c r="P112" s="296"/>
    </row>
    <row r="113">
      <c r="B113" s="291"/>
      <c r="C113" s="291"/>
      <c r="D113" s="181"/>
      <c r="E113" s="380"/>
      <c r="F113" s="292"/>
      <c r="G113" s="293"/>
      <c r="H113" s="381"/>
      <c r="I113" s="296"/>
      <c r="J113" s="296"/>
      <c r="K113" s="297"/>
      <c r="L113" s="297"/>
      <c r="M113" s="297"/>
      <c r="N113" s="297"/>
      <c r="O113" s="297"/>
      <c r="P113" s="296"/>
    </row>
    <row r="114">
      <c r="B114" s="291"/>
      <c r="C114" s="291"/>
      <c r="D114" s="181"/>
      <c r="E114" s="380"/>
      <c r="F114" s="292"/>
      <c r="G114" s="293"/>
      <c r="H114" s="381"/>
      <c r="I114" s="296"/>
      <c r="J114" s="296"/>
      <c r="K114" s="297"/>
      <c r="L114" s="297"/>
      <c r="M114" s="297"/>
      <c r="N114" s="297"/>
      <c r="O114" s="297"/>
      <c r="P114" s="296"/>
    </row>
    <row r="115">
      <c r="B115" s="291"/>
      <c r="C115" s="291"/>
      <c r="D115" s="181"/>
      <c r="E115" s="380"/>
      <c r="F115" s="292"/>
      <c r="G115" s="293"/>
      <c r="H115" s="381"/>
      <c r="I115" s="296"/>
      <c r="J115" s="296"/>
      <c r="K115" s="297"/>
      <c r="L115" s="297"/>
      <c r="M115" s="297"/>
      <c r="N115" s="297"/>
      <c r="O115" s="297"/>
      <c r="P115" s="296"/>
    </row>
    <row r="116">
      <c r="B116" s="291"/>
      <c r="C116" s="291"/>
      <c r="D116" s="181"/>
      <c r="E116" s="380"/>
      <c r="F116" s="292"/>
      <c r="G116" s="293"/>
      <c r="H116" s="381"/>
      <c r="I116" s="296"/>
      <c r="J116" s="296"/>
      <c r="K116" s="297"/>
      <c r="L116" s="297"/>
      <c r="M116" s="297"/>
      <c r="N116" s="297"/>
      <c r="O116" s="297"/>
      <c r="P116" s="296"/>
    </row>
    <row r="117">
      <c r="B117" s="291"/>
      <c r="C117" s="291"/>
      <c r="D117" s="181"/>
      <c r="E117" s="380"/>
      <c r="F117" s="292"/>
      <c r="G117" s="293"/>
      <c r="H117" s="381"/>
      <c r="I117" s="296"/>
      <c r="J117" s="296"/>
      <c r="K117" s="297"/>
      <c r="L117" s="297"/>
      <c r="M117" s="297"/>
      <c r="N117" s="297"/>
      <c r="O117" s="297"/>
      <c r="P117" s="296"/>
    </row>
    <row r="118">
      <c r="B118" s="291"/>
      <c r="C118" s="291"/>
      <c r="D118" s="181"/>
      <c r="E118" s="380"/>
      <c r="F118" s="292"/>
      <c r="G118" s="293"/>
      <c r="H118" s="381"/>
      <c r="I118" s="296"/>
      <c r="J118" s="296"/>
      <c r="K118" s="297"/>
      <c r="L118" s="297"/>
      <c r="M118" s="297"/>
      <c r="N118" s="297"/>
      <c r="O118" s="297"/>
      <c r="P118" s="296"/>
    </row>
    <row r="119">
      <c r="B119" s="291"/>
      <c r="C119" s="291"/>
      <c r="D119" s="181"/>
      <c r="E119" s="380"/>
      <c r="F119" s="292"/>
      <c r="G119" s="293"/>
      <c r="H119" s="381"/>
      <c r="I119" s="296"/>
      <c r="J119" s="296"/>
      <c r="K119" s="297"/>
      <c r="L119" s="297"/>
      <c r="M119" s="297"/>
      <c r="N119" s="297"/>
      <c r="O119" s="297"/>
      <c r="P119" s="296"/>
    </row>
    <row r="120">
      <c r="B120" s="291"/>
      <c r="C120" s="291"/>
      <c r="D120" s="181"/>
      <c r="E120" s="380"/>
      <c r="F120" s="292"/>
      <c r="G120" s="293"/>
      <c r="H120" s="381"/>
      <c r="I120" s="296"/>
      <c r="J120" s="296"/>
      <c r="K120" s="297"/>
      <c r="L120" s="297"/>
      <c r="M120" s="297"/>
      <c r="N120" s="297"/>
      <c r="O120" s="297"/>
      <c r="P120" s="296"/>
    </row>
    <row r="121">
      <c r="B121" s="291"/>
      <c r="C121" s="291"/>
      <c r="D121" s="181"/>
      <c r="E121" s="380"/>
      <c r="F121" s="292"/>
      <c r="G121" s="293"/>
      <c r="H121" s="381"/>
      <c r="I121" s="296"/>
      <c r="J121" s="296"/>
      <c r="K121" s="297"/>
      <c r="L121" s="297"/>
      <c r="M121" s="297"/>
      <c r="N121" s="297"/>
      <c r="O121" s="297"/>
      <c r="P121" s="296"/>
    </row>
    <row r="122">
      <c r="B122" s="291"/>
      <c r="C122" s="291"/>
      <c r="D122" s="181"/>
      <c r="E122" s="380"/>
      <c r="F122" s="292"/>
      <c r="G122" s="293"/>
      <c r="H122" s="381"/>
      <c r="I122" s="296"/>
      <c r="J122" s="296"/>
      <c r="K122" s="297"/>
      <c r="L122" s="297"/>
      <c r="M122" s="297"/>
      <c r="N122" s="297"/>
      <c r="O122" s="297"/>
      <c r="P122" s="296"/>
    </row>
    <row r="123">
      <c r="B123" s="291"/>
      <c r="C123" s="291"/>
      <c r="D123" s="181"/>
      <c r="E123" s="380"/>
      <c r="F123" s="292"/>
      <c r="G123" s="293"/>
      <c r="H123" s="381"/>
      <c r="I123" s="296"/>
      <c r="J123" s="296"/>
      <c r="K123" s="297"/>
      <c r="L123" s="297"/>
      <c r="M123" s="297"/>
      <c r="N123" s="297"/>
      <c r="O123" s="297"/>
      <c r="P123" s="296"/>
    </row>
    <row r="124">
      <c r="B124" s="291"/>
      <c r="C124" s="291"/>
      <c r="D124" s="181"/>
      <c r="E124" s="380"/>
      <c r="F124" s="292"/>
      <c r="G124" s="293"/>
      <c r="H124" s="381"/>
      <c r="I124" s="296"/>
      <c r="J124" s="296"/>
      <c r="K124" s="297"/>
      <c r="L124" s="297"/>
      <c r="M124" s="297"/>
      <c r="N124" s="297"/>
      <c r="O124" s="297"/>
      <c r="P124" s="296"/>
    </row>
    <row r="125">
      <c r="B125" s="291"/>
      <c r="C125" s="291"/>
      <c r="D125" s="181"/>
      <c r="E125" s="380"/>
      <c r="F125" s="292"/>
      <c r="G125" s="293"/>
      <c r="H125" s="381"/>
      <c r="I125" s="296"/>
      <c r="J125" s="296"/>
      <c r="K125" s="297"/>
      <c r="L125" s="297"/>
      <c r="M125" s="297"/>
      <c r="N125" s="297"/>
      <c r="O125" s="297"/>
      <c r="P125" s="296"/>
    </row>
    <row r="126">
      <c r="B126" s="291"/>
      <c r="C126" s="291"/>
      <c r="D126" s="181"/>
      <c r="E126" s="380"/>
      <c r="F126" s="292"/>
      <c r="G126" s="293"/>
      <c r="H126" s="381"/>
      <c r="I126" s="296"/>
      <c r="J126" s="296"/>
      <c r="K126" s="297"/>
      <c r="L126" s="297"/>
      <c r="M126" s="297"/>
      <c r="N126" s="297"/>
      <c r="O126" s="297"/>
      <c r="P126" s="296"/>
    </row>
    <row r="127">
      <c r="B127" s="291"/>
      <c r="C127" s="291"/>
      <c r="D127" s="181"/>
      <c r="E127" s="380"/>
      <c r="F127" s="292"/>
      <c r="G127" s="293"/>
      <c r="H127" s="381"/>
      <c r="I127" s="296"/>
      <c r="J127" s="296"/>
      <c r="K127" s="297"/>
      <c r="L127" s="297"/>
      <c r="M127" s="297"/>
      <c r="N127" s="297"/>
      <c r="O127" s="297"/>
      <c r="P127" s="296"/>
    </row>
    <row r="128">
      <c r="B128" s="291"/>
      <c r="C128" s="291"/>
      <c r="D128" s="181"/>
      <c r="E128" s="380"/>
      <c r="F128" s="292"/>
      <c r="G128" s="293"/>
      <c r="H128" s="381"/>
      <c r="I128" s="296"/>
      <c r="J128" s="296"/>
      <c r="K128" s="297"/>
      <c r="L128" s="297"/>
      <c r="M128" s="297"/>
      <c r="N128" s="297"/>
      <c r="O128" s="297"/>
      <c r="P128" s="296"/>
    </row>
    <row r="129">
      <c r="B129" s="291"/>
      <c r="C129" s="291"/>
      <c r="D129" s="181"/>
      <c r="E129" s="380"/>
      <c r="F129" s="292"/>
      <c r="G129" s="293"/>
      <c r="H129" s="381"/>
      <c r="I129" s="296"/>
      <c r="J129" s="296"/>
      <c r="K129" s="297"/>
      <c r="L129" s="297"/>
      <c r="M129" s="297"/>
      <c r="N129" s="297"/>
      <c r="O129" s="297"/>
      <c r="P129" s="296"/>
    </row>
    <row r="130">
      <c r="B130" s="291"/>
      <c r="C130" s="291"/>
      <c r="D130" s="181"/>
      <c r="E130" s="380"/>
      <c r="F130" s="292"/>
      <c r="G130" s="293"/>
      <c r="H130" s="381"/>
      <c r="I130" s="296"/>
      <c r="J130" s="296"/>
      <c r="K130" s="297"/>
      <c r="L130" s="297"/>
      <c r="M130" s="297"/>
      <c r="N130" s="297"/>
      <c r="O130" s="297"/>
      <c r="P130" s="296"/>
    </row>
    <row r="131">
      <c r="B131" s="291"/>
      <c r="C131" s="291"/>
      <c r="D131" s="181"/>
      <c r="E131" s="380"/>
      <c r="F131" s="292"/>
      <c r="G131" s="293"/>
      <c r="H131" s="381"/>
      <c r="I131" s="296"/>
      <c r="J131" s="296"/>
      <c r="K131" s="297"/>
      <c r="L131" s="297"/>
      <c r="M131" s="297"/>
      <c r="N131" s="297"/>
      <c r="O131" s="297"/>
      <c r="P131" s="296"/>
    </row>
    <row r="132">
      <c r="B132" s="291"/>
      <c r="C132" s="291"/>
      <c r="D132" s="181"/>
      <c r="E132" s="380"/>
      <c r="F132" s="292"/>
      <c r="G132" s="293"/>
      <c r="H132" s="381"/>
      <c r="I132" s="296"/>
      <c r="J132" s="296"/>
      <c r="K132" s="297"/>
      <c r="L132" s="297"/>
      <c r="M132" s="297"/>
      <c r="N132" s="297"/>
      <c r="O132" s="297"/>
      <c r="P132" s="296"/>
    </row>
    <row r="133">
      <c r="B133" s="291"/>
      <c r="C133" s="291"/>
      <c r="D133" s="181"/>
      <c r="E133" s="380"/>
      <c r="F133" s="292"/>
      <c r="G133" s="293"/>
      <c r="H133" s="381"/>
      <c r="I133" s="296"/>
      <c r="J133" s="296"/>
      <c r="K133" s="297"/>
      <c r="L133" s="297"/>
      <c r="M133" s="297"/>
      <c r="N133" s="297"/>
      <c r="O133" s="297"/>
      <c r="P133" s="296"/>
    </row>
    <row r="134">
      <c r="B134" s="291"/>
      <c r="C134" s="291"/>
      <c r="D134" s="181"/>
      <c r="E134" s="380"/>
      <c r="F134" s="292"/>
      <c r="G134" s="293"/>
      <c r="H134" s="381"/>
      <c r="I134" s="296"/>
      <c r="J134" s="296"/>
      <c r="K134" s="297"/>
      <c r="L134" s="297"/>
      <c r="M134" s="297"/>
      <c r="N134" s="297"/>
      <c r="O134" s="297"/>
      <c r="P134" s="296"/>
    </row>
    <row r="135">
      <c r="B135" s="291"/>
      <c r="C135" s="291"/>
      <c r="D135" s="181"/>
      <c r="E135" s="380"/>
      <c r="F135" s="292"/>
      <c r="G135" s="293"/>
      <c r="H135" s="381"/>
      <c r="I135" s="296"/>
      <c r="J135" s="296"/>
      <c r="K135" s="297"/>
      <c r="L135" s="297"/>
      <c r="M135" s="297"/>
      <c r="N135" s="297"/>
      <c r="O135" s="297"/>
      <c r="P135" s="296"/>
    </row>
    <row r="136">
      <c r="B136" s="291"/>
      <c r="C136" s="291"/>
      <c r="D136" s="181"/>
      <c r="E136" s="380"/>
      <c r="F136" s="292"/>
      <c r="G136" s="293"/>
      <c r="H136" s="381"/>
      <c r="I136" s="296"/>
      <c r="J136" s="296"/>
      <c r="K136" s="297"/>
      <c r="L136" s="297"/>
      <c r="M136" s="297"/>
      <c r="N136" s="297"/>
      <c r="O136" s="297"/>
      <c r="P136" s="296"/>
    </row>
    <row r="137">
      <c r="B137" s="291"/>
      <c r="C137" s="291"/>
      <c r="D137" s="181"/>
      <c r="E137" s="380"/>
      <c r="F137" s="292"/>
      <c r="G137" s="293"/>
      <c r="H137" s="381"/>
      <c r="I137" s="296"/>
      <c r="J137" s="296"/>
      <c r="K137" s="297"/>
      <c r="L137" s="297"/>
      <c r="M137" s="297"/>
      <c r="N137" s="297"/>
      <c r="O137" s="297"/>
      <c r="P137" s="296"/>
    </row>
    <row r="138">
      <c r="B138" s="291"/>
      <c r="C138" s="291"/>
      <c r="D138" s="181"/>
      <c r="E138" s="380"/>
      <c r="F138" s="292"/>
      <c r="G138" s="293"/>
      <c r="H138" s="381"/>
      <c r="I138" s="296"/>
      <c r="J138" s="296"/>
      <c r="K138" s="297"/>
      <c r="L138" s="297"/>
      <c r="M138" s="297"/>
      <c r="N138" s="297"/>
      <c r="O138" s="297"/>
      <c r="P138" s="296"/>
    </row>
    <row r="139">
      <c r="B139" s="291"/>
      <c r="C139" s="291"/>
      <c r="D139" s="181"/>
      <c r="E139" s="380"/>
      <c r="F139" s="292"/>
      <c r="G139" s="293"/>
      <c r="H139" s="381"/>
      <c r="I139" s="296"/>
      <c r="J139" s="296"/>
      <c r="K139" s="297"/>
      <c r="L139" s="297"/>
      <c r="M139" s="297"/>
      <c r="N139" s="297"/>
      <c r="O139" s="297"/>
      <c r="P139" s="296"/>
    </row>
    <row r="140">
      <c r="B140" s="291"/>
      <c r="C140" s="291"/>
      <c r="D140" s="181"/>
      <c r="E140" s="380"/>
      <c r="F140" s="292"/>
      <c r="G140" s="293"/>
      <c r="H140" s="381"/>
      <c r="I140" s="296"/>
      <c r="J140" s="296"/>
      <c r="K140" s="297"/>
      <c r="L140" s="297"/>
      <c r="M140" s="297"/>
      <c r="N140" s="297"/>
      <c r="O140" s="297"/>
      <c r="P140" s="296"/>
    </row>
    <row r="141">
      <c r="B141" s="291"/>
      <c r="C141" s="291"/>
      <c r="D141" s="181"/>
      <c r="E141" s="380"/>
      <c r="F141" s="292"/>
      <c r="G141" s="293"/>
      <c r="H141" s="381"/>
      <c r="I141" s="296"/>
      <c r="J141" s="296"/>
      <c r="K141" s="297"/>
      <c r="L141" s="297"/>
      <c r="M141" s="297"/>
      <c r="N141" s="297"/>
      <c r="O141" s="297"/>
      <c r="P141" s="296"/>
    </row>
    <row r="142">
      <c r="B142" s="291"/>
      <c r="C142" s="291"/>
      <c r="D142" s="181"/>
      <c r="E142" s="380"/>
      <c r="F142" s="292"/>
      <c r="G142" s="293"/>
      <c r="H142" s="381"/>
      <c r="I142" s="296"/>
      <c r="J142" s="296"/>
      <c r="K142" s="297"/>
      <c r="L142" s="297"/>
      <c r="M142" s="297"/>
      <c r="N142" s="297"/>
      <c r="O142" s="297"/>
      <c r="P142" s="296"/>
    </row>
    <row r="143">
      <c r="B143" s="291"/>
      <c r="C143" s="291"/>
      <c r="D143" s="181"/>
      <c r="E143" s="380"/>
      <c r="F143" s="292"/>
      <c r="G143" s="293"/>
      <c r="H143" s="381"/>
      <c r="I143" s="296"/>
      <c r="J143" s="296"/>
      <c r="K143" s="297"/>
      <c r="L143" s="297"/>
      <c r="M143" s="297"/>
      <c r="N143" s="297"/>
      <c r="O143" s="297"/>
      <c r="P143" s="296"/>
    </row>
    <row r="144">
      <c r="B144" s="291"/>
      <c r="C144" s="291"/>
      <c r="D144" s="181"/>
      <c r="E144" s="380"/>
      <c r="F144" s="292"/>
      <c r="G144" s="293"/>
      <c r="H144" s="381"/>
      <c r="I144" s="296"/>
      <c r="J144" s="296"/>
      <c r="K144" s="297"/>
      <c r="L144" s="297"/>
      <c r="M144" s="297"/>
      <c r="N144" s="297"/>
      <c r="O144" s="297"/>
      <c r="P144" s="296"/>
    </row>
    <row r="145">
      <c r="B145" s="291"/>
      <c r="C145" s="291"/>
      <c r="D145" s="181"/>
      <c r="E145" s="380"/>
      <c r="F145" s="292"/>
      <c r="G145" s="293"/>
      <c r="H145" s="381"/>
      <c r="I145" s="296"/>
      <c r="J145" s="296"/>
      <c r="K145" s="297"/>
      <c r="L145" s="297"/>
      <c r="M145" s="297"/>
      <c r="N145" s="297"/>
      <c r="O145" s="297"/>
      <c r="P145" s="296"/>
    </row>
    <row r="146">
      <c r="B146" s="291"/>
      <c r="C146" s="291"/>
      <c r="D146" s="181"/>
      <c r="E146" s="380"/>
      <c r="F146" s="292"/>
      <c r="G146" s="293"/>
      <c r="H146" s="381"/>
      <c r="I146" s="296"/>
      <c r="J146" s="296"/>
      <c r="K146" s="297"/>
      <c r="L146" s="297"/>
      <c r="M146" s="297"/>
      <c r="N146" s="297"/>
      <c r="O146" s="297"/>
      <c r="P146" s="296"/>
    </row>
    <row r="147">
      <c r="B147" s="291"/>
      <c r="C147" s="291"/>
      <c r="D147" s="181"/>
      <c r="E147" s="380"/>
      <c r="F147" s="292"/>
      <c r="G147" s="293"/>
      <c r="H147" s="381"/>
      <c r="I147" s="296"/>
      <c r="J147" s="296"/>
      <c r="K147" s="297"/>
      <c r="L147" s="297"/>
      <c r="M147" s="297"/>
      <c r="N147" s="297"/>
      <c r="O147" s="297"/>
      <c r="P147" s="296"/>
    </row>
    <row r="148">
      <c r="B148" s="291"/>
      <c r="C148" s="291"/>
      <c r="D148" s="181"/>
      <c r="E148" s="380"/>
      <c r="F148" s="292"/>
      <c r="G148" s="293"/>
      <c r="H148" s="381"/>
      <c r="I148" s="296"/>
      <c r="J148" s="296"/>
      <c r="K148" s="297"/>
      <c r="L148" s="297"/>
      <c r="M148" s="297"/>
      <c r="N148" s="297"/>
      <c r="O148" s="297"/>
      <c r="P148" s="296"/>
    </row>
    <row r="149">
      <c r="B149" s="291"/>
      <c r="C149" s="291"/>
      <c r="D149" s="181"/>
      <c r="E149" s="380"/>
      <c r="F149" s="292"/>
      <c r="G149" s="293"/>
      <c r="H149" s="381"/>
      <c r="I149" s="296"/>
      <c r="J149" s="296"/>
      <c r="K149" s="297"/>
      <c r="L149" s="297"/>
      <c r="M149" s="297"/>
      <c r="N149" s="297"/>
      <c r="O149" s="297"/>
      <c r="P149" s="296"/>
    </row>
    <row r="150">
      <c r="B150" s="291"/>
      <c r="C150" s="291"/>
      <c r="D150" s="181"/>
      <c r="E150" s="380"/>
      <c r="F150" s="292"/>
      <c r="G150" s="293"/>
      <c r="H150" s="381"/>
      <c r="I150" s="296"/>
      <c r="J150" s="296"/>
      <c r="K150" s="297"/>
      <c r="L150" s="297"/>
      <c r="M150" s="297"/>
      <c r="N150" s="297"/>
      <c r="O150" s="297"/>
      <c r="P150" s="296"/>
    </row>
    <row r="151">
      <c r="B151" s="291"/>
      <c r="C151" s="291"/>
      <c r="D151" s="181"/>
      <c r="E151" s="380"/>
      <c r="F151" s="292"/>
      <c r="G151" s="293"/>
      <c r="H151" s="381"/>
      <c r="I151" s="296"/>
      <c r="J151" s="296"/>
      <c r="K151" s="297"/>
      <c r="L151" s="297"/>
      <c r="M151" s="297"/>
      <c r="N151" s="297"/>
      <c r="O151" s="297"/>
      <c r="P151" s="296"/>
    </row>
    <row r="152">
      <c r="B152" s="291"/>
      <c r="C152" s="291"/>
      <c r="D152" s="181"/>
      <c r="E152" s="380"/>
      <c r="F152" s="292"/>
      <c r="G152" s="293"/>
      <c r="H152" s="381"/>
      <c r="I152" s="296"/>
      <c r="J152" s="296"/>
      <c r="K152" s="297"/>
      <c r="L152" s="297"/>
      <c r="M152" s="297"/>
      <c r="N152" s="297"/>
      <c r="O152" s="297"/>
      <c r="P152" s="296"/>
    </row>
    <row r="153">
      <c r="B153" s="291"/>
      <c r="C153" s="291"/>
      <c r="D153" s="181"/>
      <c r="E153" s="380"/>
      <c r="F153" s="292"/>
      <c r="G153" s="293"/>
      <c r="H153" s="381"/>
      <c r="I153" s="296"/>
      <c r="J153" s="296"/>
      <c r="K153" s="297"/>
      <c r="L153" s="297"/>
      <c r="M153" s="297"/>
      <c r="N153" s="297"/>
      <c r="O153" s="297"/>
      <c r="P153" s="296"/>
    </row>
    <row r="154">
      <c r="B154" s="291"/>
      <c r="C154" s="291"/>
      <c r="D154" s="181"/>
      <c r="E154" s="380"/>
      <c r="F154" s="292"/>
      <c r="G154" s="293"/>
      <c r="H154" s="381"/>
      <c r="I154" s="296"/>
      <c r="J154" s="296"/>
      <c r="K154" s="297"/>
      <c r="L154" s="297"/>
      <c r="M154" s="297"/>
      <c r="N154" s="297"/>
      <c r="O154" s="297"/>
      <c r="P154" s="296"/>
    </row>
    <row r="155">
      <c r="B155" s="291"/>
      <c r="C155" s="291"/>
      <c r="D155" s="181"/>
      <c r="E155" s="380"/>
      <c r="F155" s="292"/>
      <c r="G155" s="293"/>
      <c r="H155" s="381"/>
      <c r="I155" s="296"/>
      <c r="J155" s="296"/>
      <c r="K155" s="297"/>
      <c r="L155" s="297"/>
      <c r="M155" s="297"/>
      <c r="N155" s="297"/>
      <c r="O155" s="297"/>
      <c r="P155" s="296"/>
    </row>
    <row r="156">
      <c r="B156" s="291"/>
      <c r="C156" s="291"/>
      <c r="D156" s="181"/>
      <c r="E156" s="380"/>
      <c r="F156" s="292"/>
      <c r="G156" s="293"/>
      <c r="H156" s="381"/>
      <c r="I156" s="296"/>
      <c r="J156" s="296"/>
      <c r="K156" s="297"/>
      <c r="L156" s="297"/>
      <c r="M156" s="297"/>
      <c r="N156" s="297"/>
      <c r="O156" s="297"/>
      <c r="P156" s="296"/>
    </row>
    <row r="157">
      <c r="B157" s="291"/>
      <c r="C157" s="291"/>
      <c r="D157" s="181"/>
      <c r="E157" s="380"/>
      <c r="F157" s="292"/>
      <c r="G157" s="293"/>
      <c r="H157" s="381"/>
      <c r="I157" s="296"/>
      <c r="J157" s="296"/>
      <c r="K157" s="297"/>
      <c r="L157" s="297"/>
      <c r="M157" s="297"/>
      <c r="N157" s="297"/>
      <c r="O157" s="297"/>
      <c r="P157" s="296"/>
    </row>
    <row r="158">
      <c r="B158" s="291"/>
      <c r="C158" s="291"/>
      <c r="D158" s="181"/>
      <c r="E158" s="380"/>
      <c r="F158" s="292"/>
      <c r="G158" s="293"/>
      <c r="H158" s="381"/>
      <c r="I158" s="296"/>
      <c r="J158" s="296"/>
      <c r="K158" s="297"/>
      <c r="L158" s="297"/>
      <c r="M158" s="297"/>
      <c r="N158" s="297"/>
      <c r="O158" s="297"/>
      <c r="P158" s="296"/>
    </row>
    <row r="159">
      <c r="B159" s="291"/>
      <c r="C159" s="291"/>
      <c r="D159" s="181"/>
      <c r="E159" s="380"/>
      <c r="F159" s="292"/>
      <c r="G159" s="293"/>
      <c r="H159" s="381"/>
      <c r="I159" s="296"/>
      <c r="J159" s="296"/>
      <c r="K159" s="297"/>
      <c r="L159" s="297"/>
      <c r="M159" s="297"/>
      <c r="N159" s="297"/>
      <c r="O159" s="297"/>
      <c r="P159" s="296"/>
    </row>
    <row r="160">
      <c r="B160" s="291"/>
      <c r="C160" s="291"/>
      <c r="D160" s="181"/>
      <c r="E160" s="380"/>
      <c r="F160" s="292"/>
      <c r="G160" s="293"/>
      <c r="H160" s="381"/>
      <c r="I160" s="296"/>
      <c r="J160" s="296"/>
      <c r="K160" s="297"/>
      <c r="L160" s="297"/>
      <c r="M160" s="297"/>
      <c r="N160" s="297"/>
      <c r="O160" s="297"/>
      <c r="P160" s="296"/>
    </row>
    <row r="161">
      <c r="B161" s="291"/>
      <c r="C161" s="291"/>
      <c r="D161" s="181"/>
      <c r="E161" s="380"/>
      <c r="F161" s="292"/>
      <c r="G161" s="293"/>
      <c r="H161" s="381"/>
      <c r="I161" s="296"/>
      <c r="J161" s="296"/>
      <c r="K161" s="297"/>
      <c r="L161" s="297"/>
      <c r="M161" s="297"/>
      <c r="N161" s="297"/>
      <c r="O161" s="297"/>
      <c r="P161" s="296"/>
    </row>
    <row r="162">
      <c r="B162" s="291"/>
      <c r="C162" s="291"/>
      <c r="D162" s="181"/>
      <c r="E162" s="380"/>
      <c r="F162" s="292"/>
      <c r="G162" s="293"/>
      <c r="H162" s="381"/>
      <c r="I162" s="296"/>
      <c r="J162" s="296"/>
      <c r="K162" s="297"/>
      <c r="L162" s="297"/>
      <c r="M162" s="297"/>
      <c r="N162" s="297"/>
      <c r="O162" s="297"/>
      <c r="P162" s="296"/>
    </row>
    <row r="163">
      <c r="B163" s="291"/>
      <c r="C163" s="291"/>
      <c r="D163" s="181"/>
      <c r="E163" s="380"/>
      <c r="F163" s="292"/>
      <c r="G163" s="293"/>
      <c r="H163" s="381"/>
      <c r="I163" s="296"/>
      <c r="J163" s="296"/>
      <c r="K163" s="297"/>
      <c r="L163" s="297"/>
      <c r="M163" s="297"/>
      <c r="N163" s="297"/>
      <c r="O163" s="297"/>
      <c r="P163" s="296"/>
    </row>
    <row r="164">
      <c r="B164" s="291"/>
      <c r="C164" s="291"/>
      <c r="D164" s="181"/>
      <c r="E164" s="380"/>
      <c r="F164" s="292"/>
      <c r="G164" s="293"/>
      <c r="H164" s="381"/>
      <c r="I164" s="296"/>
      <c r="J164" s="296"/>
      <c r="K164" s="297"/>
      <c r="L164" s="297"/>
      <c r="M164" s="297"/>
      <c r="N164" s="297"/>
      <c r="O164" s="297"/>
      <c r="P164" s="296"/>
    </row>
    <row r="165">
      <c r="B165" s="291"/>
      <c r="C165" s="291"/>
      <c r="D165" s="181"/>
      <c r="E165" s="380"/>
      <c r="F165" s="292"/>
      <c r="G165" s="293"/>
      <c r="H165" s="381"/>
      <c r="I165" s="296"/>
      <c r="J165" s="296"/>
      <c r="K165" s="297"/>
      <c r="L165" s="297"/>
      <c r="M165" s="297"/>
      <c r="N165" s="297"/>
      <c r="O165" s="297"/>
      <c r="P165" s="296"/>
    </row>
    <row r="166">
      <c r="B166" s="291"/>
      <c r="C166" s="291"/>
      <c r="D166" s="181"/>
      <c r="E166" s="380"/>
      <c r="F166" s="292"/>
      <c r="G166" s="293"/>
      <c r="H166" s="381"/>
      <c r="I166" s="296"/>
      <c r="J166" s="296"/>
      <c r="K166" s="297"/>
      <c r="L166" s="297"/>
      <c r="M166" s="297"/>
      <c r="N166" s="297"/>
      <c r="O166" s="297"/>
      <c r="P166" s="296"/>
    </row>
    <row r="167">
      <c r="B167" s="291"/>
      <c r="C167" s="291"/>
      <c r="D167" s="181"/>
      <c r="E167" s="380"/>
      <c r="F167" s="292"/>
      <c r="G167" s="293"/>
      <c r="H167" s="381"/>
      <c r="I167" s="296"/>
      <c r="J167" s="296"/>
      <c r="K167" s="297"/>
      <c r="L167" s="297"/>
      <c r="M167" s="297"/>
      <c r="N167" s="297"/>
      <c r="O167" s="297"/>
      <c r="P167" s="296"/>
    </row>
    <row r="168">
      <c r="B168" s="291"/>
      <c r="C168" s="291"/>
      <c r="D168" s="181"/>
      <c r="E168" s="380"/>
      <c r="F168" s="292"/>
      <c r="G168" s="293"/>
      <c r="H168" s="381"/>
      <c r="I168" s="296"/>
      <c r="J168" s="296"/>
      <c r="K168" s="297"/>
      <c r="L168" s="297"/>
      <c r="M168" s="297"/>
      <c r="N168" s="297"/>
      <c r="O168" s="297"/>
      <c r="P168" s="296"/>
    </row>
    <row r="169">
      <c r="B169" s="291"/>
      <c r="C169" s="291"/>
      <c r="D169" s="181"/>
      <c r="E169" s="380"/>
      <c r="F169" s="292"/>
      <c r="G169" s="293"/>
      <c r="H169" s="381"/>
      <c r="I169" s="296"/>
      <c r="J169" s="296"/>
      <c r="K169" s="297"/>
      <c r="L169" s="297"/>
      <c r="M169" s="297"/>
      <c r="N169" s="297"/>
      <c r="O169" s="297"/>
      <c r="P169" s="296"/>
    </row>
    <row r="170">
      <c r="B170" s="291"/>
      <c r="C170" s="291"/>
      <c r="D170" s="181"/>
      <c r="E170" s="380"/>
      <c r="F170" s="292"/>
      <c r="G170" s="293"/>
      <c r="H170" s="381"/>
      <c r="I170" s="296"/>
      <c r="J170" s="296"/>
      <c r="K170" s="297"/>
      <c r="L170" s="297"/>
      <c r="M170" s="297"/>
      <c r="N170" s="297"/>
      <c r="O170" s="297"/>
      <c r="P170" s="296"/>
    </row>
    <row r="171">
      <c r="B171" s="291"/>
      <c r="C171" s="291"/>
      <c r="D171" s="181"/>
      <c r="E171" s="380"/>
      <c r="F171" s="292"/>
      <c r="G171" s="293"/>
      <c r="H171" s="381"/>
      <c r="I171" s="296"/>
      <c r="J171" s="296"/>
      <c r="K171" s="297"/>
      <c r="L171" s="297"/>
      <c r="M171" s="297"/>
      <c r="N171" s="297"/>
      <c r="O171" s="297"/>
      <c r="P171" s="296"/>
    </row>
    <row r="172">
      <c r="B172" s="291"/>
      <c r="C172" s="291"/>
      <c r="D172" s="181"/>
      <c r="E172" s="380"/>
      <c r="F172" s="292"/>
      <c r="G172" s="293"/>
      <c r="H172" s="381"/>
      <c r="I172" s="296"/>
      <c r="J172" s="296"/>
      <c r="K172" s="297"/>
      <c r="L172" s="297"/>
      <c r="M172" s="297"/>
      <c r="N172" s="297"/>
      <c r="O172" s="297"/>
      <c r="P172" s="296"/>
    </row>
    <row r="173">
      <c r="B173" s="291"/>
      <c r="C173" s="291"/>
      <c r="D173" s="181"/>
      <c r="E173" s="380"/>
      <c r="F173" s="292"/>
      <c r="G173" s="293"/>
      <c r="H173" s="381"/>
      <c r="I173" s="296"/>
      <c r="J173" s="296"/>
      <c r="K173" s="297"/>
      <c r="L173" s="297"/>
      <c r="M173" s="297"/>
      <c r="N173" s="297"/>
      <c r="O173" s="297"/>
      <c r="P173" s="296"/>
    </row>
    <row r="174">
      <c r="B174" s="291"/>
      <c r="C174" s="291"/>
      <c r="D174" s="181"/>
      <c r="E174" s="380"/>
      <c r="F174" s="292"/>
      <c r="G174" s="293"/>
      <c r="H174" s="381"/>
      <c r="I174" s="296"/>
      <c r="J174" s="296"/>
      <c r="K174" s="297"/>
      <c r="L174" s="297"/>
      <c r="M174" s="297"/>
      <c r="N174" s="297"/>
      <c r="O174" s="297"/>
      <c r="P174" s="296"/>
    </row>
    <row r="175">
      <c r="B175" s="291"/>
      <c r="C175" s="291"/>
      <c r="D175" s="181"/>
      <c r="E175" s="380"/>
      <c r="F175" s="292"/>
      <c r="G175" s="293"/>
      <c r="H175" s="381"/>
      <c r="I175" s="296"/>
      <c r="J175" s="296"/>
      <c r="K175" s="297"/>
      <c r="L175" s="297"/>
      <c r="M175" s="297"/>
      <c r="N175" s="297"/>
      <c r="O175" s="297"/>
      <c r="P175" s="296"/>
    </row>
    <row r="176">
      <c r="B176" s="291"/>
      <c r="C176" s="291"/>
      <c r="D176" s="181"/>
      <c r="E176" s="380"/>
      <c r="F176" s="292"/>
      <c r="G176" s="293"/>
      <c r="H176" s="381"/>
      <c r="I176" s="296"/>
      <c r="J176" s="296"/>
      <c r="K176" s="297"/>
      <c r="L176" s="297"/>
      <c r="M176" s="297"/>
      <c r="N176" s="297"/>
      <c r="O176" s="297"/>
      <c r="P176" s="296"/>
    </row>
    <row r="177">
      <c r="B177" s="291"/>
      <c r="C177" s="291"/>
      <c r="D177" s="181"/>
      <c r="E177" s="380"/>
      <c r="F177" s="292"/>
      <c r="G177" s="293"/>
      <c r="H177" s="381"/>
      <c r="I177" s="296"/>
      <c r="J177" s="296"/>
      <c r="K177" s="297"/>
      <c r="L177" s="297"/>
      <c r="M177" s="297"/>
      <c r="N177" s="297"/>
      <c r="O177" s="297"/>
      <c r="P177" s="296"/>
    </row>
    <row r="178">
      <c r="B178" s="291"/>
      <c r="C178" s="291"/>
      <c r="D178" s="181"/>
      <c r="E178" s="380"/>
      <c r="F178" s="292"/>
      <c r="G178" s="293"/>
      <c r="H178" s="381"/>
      <c r="I178" s="296"/>
      <c r="J178" s="296"/>
      <c r="K178" s="297"/>
      <c r="L178" s="297"/>
      <c r="M178" s="297"/>
      <c r="N178" s="297"/>
      <c r="O178" s="297"/>
      <c r="P178" s="296"/>
    </row>
    <row r="179">
      <c r="B179" s="291"/>
      <c r="C179" s="291"/>
      <c r="D179" s="181"/>
      <c r="E179" s="380"/>
      <c r="F179" s="292"/>
      <c r="G179" s="293"/>
      <c r="H179" s="381"/>
      <c r="I179" s="296"/>
      <c r="J179" s="296"/>
      <c r="K179" s="297"/>
      <c r="L179" s="297"/>
      <c r="M179" s="297"/>
      <c r="N179" s="297"/>
      <c r="O179" s="297"/>
      <c r="P179" s="296"/>
    </row>
    <row r="180">
      <c r="B180" s="291"/>
      <c r="C180" s="291"/>
      <c r="D180" s="181"/>
      <c r="E180" s="380"/>
      <c r="F180" s="292"/>
      <c r="G180" s="293"/>
      <c r="H180" s="381"/>
      <c r="I180" s="296"/>
      <c r="J180" s="296"/>
      <c r="K180" s="297"/>
      <c r="L180" s="297"/>
      <c r="M180" s="297"/>
      <c r="N180" s="297"/>
      <c r="O180" s="297"/>
      <c r="P180" s="296"/>
    </row>
    <row r="181">
      <c r="B181" s="291"/>
      <c r="C181" s="291"/>
      <c r="D181" s="181"/>
      <c r="E181" s="380"/>
      <c r="F181" s="292"/>
      <c r="G181" s="293"/>
      <c r="H181" s="381"/>
      <c r="I181" s="296"/>
      <c r="J181" s="296"/>
      <c r="K181" s="297"/>
      <c r="L181" s="297"/>
      <c r="M181" s="297"/>
      <c r="N181" s="297"/>
      <c r="O181" s="297"/>
      <c r="P181" s="296"/>
    </row>
    <row r="182">
      <c r="B182" s="291"/>
      <c r="C182" s="291"/>
      <c r="D182" s="181"/>
      <c r="E182" s="380"/>
      <c r="F182" s="292"/>
      <c r="G182" s="293"/>
      <c r="H182" s="381"/>
      <c r="I182" s="296"/>
      <c r="J182" s="296"/>
      <c r="K182" s="297"/>
      <c r="L182" s="297"/>
      <c r="M182" s="297"/>
      <c r="N182" s="297"/>
      <c r="O182" s="297"/>
      <c r="P182" s="296"/>
    </row>
    <row r="183">
      <c r="B183" s="291"/>
      <c r="C183" s="291"/>
      <c r="D183" s="181"/>
      <c r="E183" s="380"/>
      <c r="F183" s="292"/>
      <c r="G183" s="293"/>
      <c r="H183" s="381"/>
      <c r="I183" s="296"/>
      <c r="J183" s="296"/>
      <c r="K183" s="297"/>
      <c r="L183" s="297"/>
      <c r="M183" s="297"/>
      <c r="N183" s="297"/>
      <c r="O183" s="297"/>
      <c r="P183" s="296"/>
    </row>
    <row r="184">
      <c r="B184" s="291"/>
      <c r="C184" s="291"/>
      <c r="D184" s="181"/>
      <c r="E184" s="380"/>
      <c r="F184" s="292"/>
      <c r="G184" s="293"/>
      <c r="H184" s="381"/>
      <c r="I184" s="296"/>
      <c r="J184" s="296"/>
      <c r="K184" s="297"/>
      <c r="L184" s="297"/>
      <c r="M184" s="297"/>
      <c r="N184" s="297"/>
      <c r="O184" s="297"/>
      <c r="P184" s="296"/>
    </row>
    <row r="185">
      <c r="B185" s="291"/>
      <c r="C185" s="291"/>
      <c r="D185" s="181"/>
      <c r="E185" s="380"/>
      <c r="F185" s="292"/>
      <c r="G185" s="293"/>
      <c r="H185" s="381"/>
      <c r="I185" s="296"/>
      <c r="J185" s="296"/>
      <c r="K185" s="297"/>
      <c r="L185" s="297"/>
      <c r="M185" s="297"/>
      <c r="N185" s="297"/>
      <c r="O185" s="297"/>
      <c r="P185" s="296"/>
    </row>
    <row r="186">
      <c r="B186" s="291"/>
      <c r="C186" s="291"/>
      <c r="D186" s="181"/>
      <c r="E186" s="380"/>
      <c r="F186" s="292"/>
      <c r="G186" s="293"/>
      <c r="H186" s="381"/>
      <c r="I186" s="296"/>
      <c r="J186" s="296"/>
      <c r="K186" s="297"/>
      <c r="L186" s="297"/>
      <c r="M186" s="297"/>
      <c r="N186" s="297"/>
      <c r="O186" s="297"/>
      <c r="P186" s="296"/>
    </row>
    <row r="187">
      <c r="B187" s="291"/>
      <c r="C187" s="291"/>
      <c r="D187" s="181"/>
      <c r="E187" s="380"/>
      <c r="F187" s="292"/>
      <c r="G187" s="293"/>
      <c r="H187" s="381"/>
      <c r="I187" s="296"/>
      <c r="J187" s="296"/>
      <c r="K187" s="297"/>
      <c r="L187" s="297"/>
      <c r="M187" s="297"/>
      <c r="N187" s="297"/>
      <c r="O187" s="297"/>
      <c r="P187" s="296"/>
    </row>
    <row r="188">
      <c r="B188" s="291"/>
      <c r="C188" s="291"/>
      <c r="D188" s="181"/>
      <c r="E188" s="380"/>
      <c r="F188" s="292"/>
      <c r="G188" s="293"/>
      <c r="H188" s="381"/>
      <c r="I188" s="296"/>
      <c r="J188" s="296"/>
      <c r="K188" s="297"/>
      <c r="L188" s="297"/>
      <c r="M188" s="297"/>
      <c r="N188" s="297"/>
      <c r="O188" s="297"/>
      <c r="P188" s="296"/>
    </row>
    <row r="189">
      <c r="B189" s="291"/>
      <c r="C189" s="291"/>
      <c r="D189" s="181"/>
      <c r="E189" s="380"/>
      <c r="F189" s="292"/>
      <c r="G189" s="293"/>
      <c r="H189" s="381"/>
      <c r="I189" s="296"/>
      <c r="J189" s="296"/>
      <c r="K189" s="297"/>
      <c r="L189" s="297"/>
      <c r="M189" s="297"/>
      <c r="N189" s="297"/>
      <c r="O189" s="297"/>
      <c r="P189" s="296"/>
    </row>
    <row r="190">
      <c r="B190" s="291"/>
      <c r="C190" s="291"/>
      <c r="D190" s="181"/>
      <c r="E190" s="380"/>
      <c r="F190" s="292"/>
      <c r="G190" s="293"/>
      <c r="H190" s="381"/>
      <c r="I190" s="296"/>
      <c r="J190" s="296"/>
      <c r="K190" s="297"/>
      <c r="L190" s="297"/>
      <c r="M190" s="297"/>
      <c r="N190" s="297"/>
      <c r="O190" s="297"/>
      <c r="P190" s="296"/>
    </row>
    <row r="191">
      <c r="B191" s="291"/>
      <c r="C191" s="291"/>
      <c r="D191" s="181"/>
      <c r="E191" s="380"/>
      <c r="F191" s="292"/>
      <c r="G191" s="293"/>
      <c r="H191" s="381"/>
      <c r="I191" s="296"/>
      <c r="J191" s="296"/>
      <c r="K191" s="297"/>
      <c r="L191" s="297"/>
      <c r="M191" s="297"/>
      <c r="N191" s="297"/>
      <c r="O191" s="297"/>
      <c r="P191" s="296"/>
    </row>
    <row r="192">
      <c r="B192" s="291"/>
      <c r="C192" s="291"/>
      <c r="D192" s="181"/>
      <c r="E192" s="380"/>
      <c r="F192" s="292"/>
      <c r="G192" s="293"/>
      <c r="H192" s="381"/>
      <c r="I192" s="296"/>
      <c r="J192" s="296"/>
      <c r="K192" s="297"/>
      <c r="L192" s="297"/>
      <c r="M192" s="297"/>
      <c r="N192" s="297"/>
      <c r="O192" s="297"/>
      <c r="P192" s="296"/>
    </row>
    <row r="193">
      <c r="B193" s="291"/>
      <c r="C193" s="291"/>
      <c r="D193" s="181"/>
      <c r="E193" s="380"/>
      <c r="F193" s="292"/>
      <c r="G193" s="293"/>
      <c r="H193" s="381"/>
      <c r="I193" s="296"/>
      <c r="J193" s="296"/>
      <c r="K193" s="297"/>
      <c r="L193" s="297"/>
      <c r="M193" s="297"/>
      <c r="N193" s="297"/>
      <c r="O193" s="297"/>
      <c r="P193" s="296"/>
    </row>
    <row r="194">
      <c r="B194" s="291"/>
      <c r="C194" s="291"/>
      <c r="D194" s="181"/>
      <c r="E194" s="380"/>
      <c r="F194" s="292"/>
      <c r="G194" s="293"/>
      <c r="H194" s="381"/>
      <c r="I194" s="296"/>
      <c r="J194" s="296"/>
      <c r="K194" s="297"/>
      <c r="L194" s="297"/>
      <c r="M194" s="297"/>
      <c r="N194" s="297"/>
      <c r="O194" s="297"/>
      <c r="P194" s="296"/>
    </row>
    <row r="195">
      <c r="B195" s="291"/>
      <c r="C195" s="291"/>
      <c r="D195" s="181"/>
      <c r="E195" s="380"/>
      <c r="F195" s="292"/>
      <c r="G195" s="293"/>
      <c r="H195" s="381"/>
      <c r="I195" s="296"/>
      <c r="J195" s="296"/>
      <c r="K195" s="297"/>
      <c r="L195" s="297"/>
      <c r="M195" s="297"/>
      <c r="N195" s="297"/>
      <c r="O195" s="297"/>
      <c r="P195" s="296"/>
    </row>
    <row r="196">
      <c r="B196" s="291"/>
      <c r="C196" s="291"/>
      <c r="D196" s="181"/>
      <c r="E196" s="380"/>
      <c r="F196" s="292"/>
      <c r="G196" s="293"/>
      <c r="H196" s="381"/>
      <c r="I196" s="296"/>
      <c r="J196" s="296"/>
      <c r="K196" s="297"/>
      <c r="L196" s="297"/>
      <c r="M196" s="297"/>
      <c r="N196" s="297"/>
      <c r="O196" s="297"/>
      <c r="P196" s="296"/>
    </row>
    <row r="197">
      <c r="B197" s="291"/>
      <c r="C197" s="291"/>
      <c r="D197" s="181"/>
      <c r="E197" s="380"/>
      <c r="F197" s="292"/>
      <c r="G197" s="293"/>
      <c r="H197" s="381"/>
      <c r="I197" s="296"/>
      <c r="J197" s="296"/>
      <c r="K197" s="297"/>
      <c r="L197" s="297"/>
      <c r="M197" s="297"/>
      <c r="N197" s="297"/>
      <c r="O197" s="297"/>
      <c r="P197" s="296"/>
    </row>
    <row r="198">
      <c r="B198" s="291"/>
      <c r="C198" s="291"/>
      <c r="D198" s="181"/>
      <c r="E198" s="380"/>
      <c r="F198" s="292"/>
      <c r="G198" s="293"/>
      <c r="H198" s="381"/>
      <c r="I198" s="296"/>
      <c r="J198" s="296"/>
      <c r="K198" s="297"/>
      <c r="L198" s="297"/>
      <c r="M198" s="297"/>
      <c r="N198" s="297"/>
      <c r="O198" s="297"/>
      <c r="P198" s="296"/>
    </row>
    <row r="199">
      <c r="B199" s="291"/>
      <c r="C199" s="291"/>
      <c r="D199" s="181"/>
      <c r="E199" s="380"/>
      <c r="F199" s="292"/>
      <c r="G199" s="293"/>
      <c r="H199" s="381"/>
      <c r="I199" s="296"/>
      <c r="J199" s="296"/>
      <c r="K199" s="297"/>
      <c r="L199" s="297"/>
      <c r="M199" s="297"/>
      <c r="N199" s="297"/>
      <c r="O199" s="297"/>
      <c r="P199" s="296"/>
    </row>
    <row r="200">
      <c r="B200" s="291"/>
      <c r="C200" s="291"/>
      <c r="D200" s="181"/>
      <c r="E200" s="380"/>
      <c r="F200" s="292"/>
      <c r="G200" s="293"/>
      <c r="H200" s="381"/>
      <c r="I200" s="296"/>
      <c r="J200" s="296"/>
      <c r="K200" s="297"/>
      <c r="L200" s="297"/>
      <c r="M200" s="297"/>
      <c r="N200" s="297"/>
      <c r="O200" s="297"/>
      <c r="P200" s="296"/>
    </row>
    <row r="201">
      <c r="B201" s="291"/>
      <c r="C201" s="291"/>
      <c r="D201" s="181"/>
      <c r="E201" s="380"/>
      <c r="F201" s="292"/>
      <c r="G201" s="293"/>
      <c r="H201" s="381"/>
      <c r="I201" s="296"/>
      <c r="J201" s="296"/>
      <c r="K201" s="297"/>
      <c r="L201" s="297"/>
      <c r="M201" s="297"/>
      <c r="N201" s="297"/>
      <c r="O201" s="297"/>
      <c r="P201" s="296"/>
    </row>
    <row r="202">
      <c r="B202" s="291"/>
      <c r="C202" s="291"/>
      <c r="D202" s="181"/>
      <c r="E202" s="380"/>
      <c r="F202" s="292"/>
      <c r="G202" s="293"/>
      <c r="H202" s="381"/>
      <c r="I202" s="296"/>
      <c r="J202" s="296"/>
      <c r="K202" s="297"/>
      <c r="L202" s="297"/>
      <c r="M202" s="297"/>
      <c r="N202" s="297"/>
      <c r="O202" s="297"/>
      <c r="P202" s="296"/>
    </row>
    <row r="203">
      <c r="B203" s="291"/>
      <c r="C203" s="291"/>
      <c r="D203" s="181"/>
      <c r="E203" s="380"/>
      <c r="F203" s="292"/>
      <c r="G203" s="293"/>
      <c r="H203" s="381"/>
      <c r="I203" s="296"/>
      <c r="J203" s="296"/>
      <c r="K203" s="297"/>
      <c r="L203" s="297"/>
      <c r="M203" s="297"/>
      <c r="N203" s="297"/>
      <c r="O203" s="297"/>
      <c r="P203" s="296"/>
    </row>
    <row r="204">
      <c r="B204" s="291"/>
      <c r="C204" s="291"/>
      <c r="D204" s="181"/>
      <c r="E204" s="380"/>
      <c r="F204" s="292"/>
      <c r="G204" s="293"/>
      <c r="H204" s="381"/>
      <c r="I204" s="296"/>
      <c r="J204" s="296"/>
      <c r="K204" s="297"/>
      <c r="L204" s="297"/>
      <c r="M204" s="297"/>
      <c r="N204" s="297"/>
      <c r="O204" s="297"/>
      <c r="P204" s="296"/>
    </row>
    <row r="205">
      <c r="B205" s="291"/>
      <c r="C205" s="291"/>
      <c r="D205" s="181"/>
      <c r="E205" s="380"/>
      <c r="F205" s="292"/>
      <c r="G205" s="293"/>
      <c r="H205" s="381"/>
      <c r="I205" s="296"/>
      <c r="J205" s="296"/>
      <c r="K205" s="297"/>
      <c r="L205" s="297"/>
      <c r="M205" s="297"/>
      <c r="N205" s="297"/>
      <c r="O205" s="297"/>
      <c r="P205" s="296"/>
    </row>
    <row r="206">
      <c r="B206" s="291"/>
      <c r="C206" s="291"/>
      <c r="D206" s="181"/>
      <c r="E206" s="380"/>
      <c r="F206" s="292"/>
      <c r="G206" s="293"/>
      <c r="H206" s="381"/>
      <c r="I206" s="296"/>
      <c r="J206" s="296"/>
      <c r="K206" s="297"/>
      <c r="L206" s="297"/>
      <c r="M206" s="297"/>
      <c r="N206" s="297"/>
      <c r="O206" s="297"/>
      <c r="P206" s="296"/>
    </row>
    <row r="207">
      <c r="B207" s="291"/>
      <c r="C207" s="291"/>
      <c r="D207" s="181"/>
      <c r="E207" s="380"/>
      <c r="F207" s="292"/>
      <c r="G207" s="293"/>
      <c r="H207" s="381"/>
      <c r="I207" s="296"/>
      <c r="J207" s="296"/>
      <c r="K207" s="297"/>
      <c r="L207" s="297"/>
      <c r="M207" s="297"/>
      <c r="N207" s="297"/>
      <c r="O207" s="297"/>
      <c r="P207" s="296"/>
    </row>
    <row r="208">
      <c r="B208" s="291"/>
      <c r="C208" s="291"/>
      <c r="D208" s="181"/>
      <c r="E208" s="380"/>
      <c r="F208" s="292"/>
      <c r="G208" s="293"/>
      <c r="H208" s="381"/>
      <c r="I208" s="296"/>
      <c r="J208" s="296"/>
      <c r="K208" s="297"/>
      <c r="L208" s="297"/>
      <c r="M208" s="297"/>
      <c r="N208" s="297"/>
      <c r="O208" s="297"/>
      <c r="P208" s="296"/>
    </row>
    <row r="209">
      <c r="B209" s="291"/>
      <c r="C209" s="291"/>
      <c r="D209" s="181"/>
      <c r="E209" s="380"/>
      <c r="F209" s="292"/>
      <c r="G209" s="293"/>
      <c r="H209" s="381"/>
      <c r="I209" s="296"/>
      <c r="J209" s="296"/>
      <c r="K209" s="297"/>
      <c r="L209" s="297"/>
      <c r="M209" s="297"/>
      <c r="N209" s="297"/>
      <c r="O209" s="297"/>
      <c r="P209" s="296"/>
    </row>
    <row r="210">
      <c r="B210" s="291"/>
      <c r="C210" s="291"/>
      <c r="D210" s="181"/>
      <c r="E210" s="380"/>
      <c r="F210" s="292"/>
      <c r="G210" s="293"/>
      <c r="H210" s="381"/>
      <c r="I210" s="296"/>
      <c r="J210" s="296"/>
      <c r="K210" s="297"/>
      <c r="L210" s="297"/>
      <c r="M210" s="297"/>
      <c r="N210" s="297"/>
      <c r="O210" s="297"/>
      <c r="P210" s="296"/>
    </row>
    <row r="211">
      <c r="B211" s="291"/>
      <c r="C211" s="291"/>
      <c r="D211" s="181"/>
      <c r="E211" s="380"/>
      <c r="F211" s="292"/>
      <c r="G211" s="293"/>
      <c r="H211" s="381"/>
      <c r="I211" s="296"/>
      <c r="J211" s="296"/>
      <c r="K211" s="297"/>
      <c r="L211" s="297"/>
      <c r="M211" s="297"/>
      <c r="N211" s="297"/>
      <c r="O211" s="297"/>
      <c r="P211" s="296"/>
    </row>
    <row r="212">
      <c r="B212" s="291"/>
      <c r="C212" s="291"/>
      <c r="D212" s="181"/>
      <c r="E212" s="380"/>
      <c r="F212" s="292"/>
      <c r="G212" s="293"/>
      <c r="H212" s="381"/>
      <c r="I212" s="296"/>
      <c r="J212" s="296"/>
      <c r="K212" s="297"/>
      <c r="L212" s="297"/>
      <c r="M212" s="297"/>
      <c r="N212" s="297"/>
      <c r="O212" s="297"/>
      <c r="P212" s="296"/>
    </row>
    <row r="213">
      <c r="B213" s="291"/>
      <c r="C213" s="291"/>
      <c r="D213" s="181"/>
      <c r="E213" s="380"/>
      <c r="F213" s="292"/>
      <c r="G213" s="293"/>
      <c r="H213" s="381"/>
      <c r="I213" s="296"/>
      <c r="J213" s="296"/>
      <c r="K213" s="297"/>
      <c r="L213" s="297"/>
      <c r="M213" s="297"/>
      <c r="N213" s="297"/>
      <c r="O213" s="297"/>
      <c r="P213" s="296"/>
    </row>
    <row r="214">
      <c r="B214" s="291"/>
      <c r="C214" s="291"/>
      <c r="D214" s="181"/>
      <c r="E214" s="380"/>
      <c r="F214" s="292"/>
      <c r="G214" s="293"/>
      <c r="H214" s="381"/>
      <c r="I214" s="296"/>
      <c r="J214" s="296"/>
      <c r="K214" s="297"/>
      <c r="L214" s="297"/>
      <c r="M214" s="297"/>
      <c r="N214" s="297"/>
      <c r="O214" s="297"/>
      <c r="P214" s="296"/>
    </row>
    <row r="215">
      <c r="B215" s="291"/>
      <c r="C215" s="291"/>
      <c r="D215" s="181"/>
      <c r="E215" s="380"/>
      <c r="F215" s="292"/>
      <c r="G215" s="293"/>
      <c r="H215" s="381"/>
      <c r="I215" s="296"/>
      <c r="J215" s="296"/>
      <c r="K215" s="297"/>
      <c r="L215" s="297"/>
      <c r="M215" s="297"/>
      <c r="N215" s="297"/>
      <c r="O215" s="297"/>
      <c r="P215" s="296"/>
    </row>
    <row r="216">
      <c r="B216" s="291"/>
      <c r="C216" s="291"/>
      <c r="D216" s="181"/>
      <c r="E216" s="380"/>
      <c r="F216" s="292"/>
      <c r="G216" s="293"/>
      <c r="H216" s="381"/>
      <c r="I216" s="296"/>
      <c r="J216" s="296"/>
      <c r="K216" s="297"/>
      <c r="L216" s="297"/>
      <c r="M216" s="297"/>
      <c r="N216" s="297"/>
      <c r="O216" s="297"/>
      <c r="P216" s="296"/>
    </row>
    <row r="217">
      <c r="B217" s="291"/>
      <c r="C217" s="291"/>
      <c r="D217" s="181"/>
      <c r="E217" s="380"/>
      <c r="F217" s="292"/>
      <c r="G217" s="293"/>
      <c r="H217" s="381"/>
      <c r="I217" s="296"/>
      <c r="J217" s="296"/>
      <c r="K217" s="297"/>
      <c r="L217" s="297"/>
      <c r="M217" s="297"/>
      <c r="N217" s="297"/>
      <c r="O217" s="297"/>
      <c r="P217" s="296"/>
    </row>
    <row r="218">
      <c r="B218" s="291"/>
      <c r="C218" s="291"/>
      <c r="D218" s="181"/>
      <c r="E218" s="380"/>
      <c r="F218" s="292"/>
      <c r="G218" s="293"/>
      <c r="H218" s="381"/>
      <c r="I218" s="296"/>
      <c r="J218" s="296"/>
      <c r="K218" s="297"/>
      <c r="L218" s="297"/>
      <c r="M218" s="297"/>
      <c r="N218" s="297"/>
      <c r="O218" s="297"/>
      <c r="P218" s="296"/>
    </row>
    <row r="219">
      <c r="B219" s="291"/>
      <c r="C219" s="291"/>
      <c r="D219" s="181"/>
      <c r="E219" s="380"/>
      <c r="F219" s="292"/>
      <c r="G219" s="293"/>
      <c r="H219" s="381"/>
      <c r="I219" s="296"/>
      <c r="J219" s="296"/>
      <c r="K219" s="297"/>
      <c r="L219" s="297"/>
      <c r="M219" s="297"/>
      <c r="N219" s="297"/>
      <c r="O219" s="297"/>
      <c r="P219" s="296"/>
    </row>
    <row r="220">
      <c r="B220" s="291"/>
      <c r="C220" s="291"/>
      <c r="D220" s="181"/>
      <c r="E220" s="380"/>
      <c r="F220" s="292"/>
      <c r="G220" s="293"/>
      <c r="H220" s="381"/>
      <c r="I220" s="296"/>
      <c r="J220" s="296"/>
      <c r="K220" s="297"/>
      <c r="L220" s="297"/>
      <c r="M220" s="297"/>
      <c r="N220" s="297"/>
      <c r="O220" s="297"/>
      <c r="P220" s="296"/>
    </row>
    <row r="221">
      <c r="B221" s="291"/>
      <c r="C221" s="291"/>
      <c r="D221" s="181"/>
      <c r="E221" s="380"/>
      <c r="F221" s="292"/>
      <c r="G221" s="293"/>
      <c r="H221" s="381"/>
      <c r="I221" s="296"/>
      <c r="J221" s="296"/>
      <c r="K221" s="297"/>
      <c r="L221" s="297"/>
      <c r="M221" s="297"/>
      <c r="N221" s="297"/>
      <c r="O221" s="297"/>
      <c r="P221" s="296"/>
    </row>
    <row r="222">
      <c r="B222" s="291"/>
      <c r="C222" s="291"/>
      <c r="D222" s="181"/>
      <c r="E222" s="380"/>
      <c r="F222" s="292"/>
      <c r="G222" s="293"/>
      <c r="H222" s="381"/>
      <c r="I222" s="296"/>
      <c r="J222" s="296"/>
      <c r="K222" s="297"/>
      <c r="L222" s="297"/>
      <c r="M222" s="297"/>
      <c r="N222" s="297"/>
      <c r="O222" s="297"/>
      <c r="P222" s="296"/>
    </row>
    <row r="223">
      <c r="B223" s="291"/>
      <c r="C223" s="291"/>
      <c r="D223" s="181"/>
      <c r="E223" s="380"/>
      <c r="F223" s="292"/>
      <c r="G223" s="293"/>
      <c r="H223" s="381"/>
      <c r="I223" s="296"/>
      <c r="J223" s="296"/>
      <c r="K223" s="297"/>
      <c r="L223" s="297"/>
      <c r="M223" s="297"/>
      <c r="N223" s="297"/>
      <c r="O223" s="297"/>
      <c r="P223" s="296"/>
    </row>
    <row r="224">
      <c r="B224" s="291"/>
      <c r="C224" s="291"/>
      <c r="D224" s="181"/>
      <c r="E224" s="380"/>
      <c r="F224" s="292"/>
      <c r="G224" s="293"/>
      <c r="H224" s="381"/>
      <c r="I224" s="296"/>
      <c r="J224" s="296"/>
      <c r="K224" s="297"/>
      <c r="L224" s="297"/>
      <c r="M224" s="297"/>
      <c r="N224" s="297"/>
      <c r="O224" s="297"/>
      <c r="P224" s="296"/>
    </row>
    <row r="225">
      <c r="B225" s="291"/>
      <c r="C225" s="291"/>
      <c r="D225" s="181"/>
      <c r="E225" s="380"/>
      <c r="F225" s="292"/>
      <c r="G225" s="293"/>
      <c r="H225" s="381"/>
      <c r="I225" s="296"/>
      <c r="J225" s="296"/>
      <c r="K225" s="297"/>
      <c r="L225" s="297"/>
      <c r="M225" s="297"/>
      <c r="N225" s="297"/>
      <c r="O225" s="297"/>
      <c r="P225" s="296"/>
    </row>
    <row r="226">
      <c r="B226" s="291"/>
      <c r="C226" s="291"/>
      <c r="D226" s="181"/>
      <c r="E226" s="380"/>
      <c r="F226" s="292"/>
      <c r="G226" s="293"/>
      <c r="H226" s="381"/>
      <c r="I226" s="296"/>
      <c r="J226" s="296"/>
      <c r="K226" s="297"/>
      <c r="L226" s="297"/>
      <c r="M226" s="297"/>
      <c r="N226" s="297"/>
      <c r="O226" s="297"/>
      <c r="P226" s="296"/>
    </row>
    <row r="227">
      <c r="B227" s="291"/>
      <c r="C227" s="291"/>
      <c r="D227" s="181"/>
      <c r="E227" s="380"/>
      <c r="F227" s="292"/>
      <c r="G227" s="293"/>
      <c r="H227" s="381"/>
      <c r="I227" s="296"/>
      <c r="J227" s="296"/>
      <c r="K227" s="297"/>
      <c r="L227" s="297"/>
      <c r="M227" s="297"/>
      <c r="N227" s="297"/>
      <c r="O227" s="297"/>
      <c r="P227" s="296"/>
    </row>
    <row r="228">
      <c r="B228" s="291"/>
      <c r="C228" s="291"/>
      <c r="D228" s="181"/>
      <c r="E228" s="380"/>
      <c r="F228" s="292"/>
      <c r="G228" s="293"/>
      <c r="H228" s="381"/>
      <c r="I228" s="296"/>
      <c r="J228" s="296"/>
      <c r="K228" s="297"/>
      <c r="L228" s="297"/>
      <c r="M228" s="297"/>
      <c r="N228" s="297"/>
      <c r="O228" s="297"/>
      <c r="P228" s="296"/>
    </row>
    <row r="229">
      <c r="B229" s="291"/>
      <c r="C229" s="291"/>
      <c r="D229" s="181"/>
      <c r="E229" s="380"/>
      <c r="F229" s="292"/>
      <c r="G229" s="293"/>
      <c r="H229" s="381"/>
      <c r="I229" s="296"/>
      <c r="J229" s="296"/>
      <c r="K229" s="297"/>
      <c r="L229" s="297"/>
      <c r="M229" s="297"/>
      <c r="N229" s="297"/>
      <c r="O229" s="297"/>
      <c r="P229" s="296"/>
    </row>
    <row r="230">
      <c r="B230" s="291"/>
      <c r="C230" s="291"/>
      <c r="D230" s="181"/>
      <c r="E230" s="380"/>
      <c r="F230" s="292"/>
      <c r="G230" s="293"/>
      <c r="H230" s="381"/>
      <c r="I230" s="296"/>
      <c r="J230" s="296"/>
      <c r="K230" s="297"/>
      <c r="L230" s="297"/>
      <c r="M230" s="297"/>
      <c r="N230" s="297"/>
      <c r="O230" s="297"/>
      <c r="P230" s="296"/>
    </row>
    <row r="231">
      <c r="B231" s="291"/>
      <c r="C231" s="291"/>
      <c r="D231" s="181"/>
      <c r="E231" s="380"/>
      <c r="F231" s="292"/>
      <c r="G231" s="293"/>
      <c r="H231" s="381"/>
      <c r="I231" s="296"/>
      <c r="J231" s="296"/>
      <c r="K231" s="297"/>
      <c r="L231" s="297"/>
      <c r="M231" s="297"/>
      <c r="N231" s="297"/>
      <c r="O231" s="297"/>
      <c r="P231" s="296"/>
    </row>
    <row r="232">
      <c r="B232" s="291"/>
      <c r="C232" s="291"/>
      <c r="D232" s="181"/>
      <c r="E232" s="380"/>
      <c r="F232" s="292"/>
      <c r="G232" s="293"/>
      <c r="H232" s="381"/>
      <c r="I232" s="296"/>
      <c r="J232" s="296"/>
      <c r="K232" s="297"/>
      <c r="L232" s="297"/>
      <c r="M232" s="297"/>
      <c r="N232" s="297"/>
      <c r="O232" s="297"/>
      <c r="P232" s="296"/>
    </row>
    <row r="233">
      <c r="B233" s="291"/>
      <c r="C233" s="291"/>
      <c r="D233" s="181"/>
      <c r="E233" s="380"/>
      <c r="F233" s="292"/>
      <c r="G233" s="293"/>
      <c r="H233" s="381"/>
      <c r="I233" s="296"/>
      <c r="J233" s="296"/>
      <c r="K233" s="297"/>
      <c r="L233" s="297"/>
      <c r="M233" s="297"/>
      <c r="N233" s="297"/>
      <c r="O233" s="297"/>
      <c r="P233" s="296"/>
    </row>
    <row r="234">
      <c r="B234" s="291"/>
      <c r="C234" s="291"/>
      <c r="D234" s="181"/>
      <c r="E234" s="380"/>
      <c r="F234" s="292"/>
      <c r="G234" s="293"/>
      <c r="H234" s="381"/>
      <c r="I234" s="296"/>
      <c r="J234" s="296"/>
      <c r="K234" s="297"/>
      <c r="L234" s="297"/>
      <c r="M234" s="297"/>
      <c r="N234" s="297"/>
      <c r="O234" s="297"/>
      <c r="P234" s="296"/>
    </row>
    <row r="235">
      <c r="B235" s="291"/>
      <c r="C235" s="291"/>
      <c r="D235" s="181"/>
      <c r="E235" s="380"/>
      <c r="F235" s="292"/>
      <c r="G235" s="293"/>
      <c r="H235" s="381"/>
      <c r="I235" s="296"/>
      <c r="J235" s="296"/>
      <c r="K235" s="297"/>
      <c r="L235" s="297"/>
      <c r="M235" s="297"/>
      <c r="N235" s="297"/>
      <c r="O235" s="297"/>
      <c r="P235" s="296"/>
    </row>
    <row r="236">
      <c r="B236" s="291"/>
      <c r="C236" s="291"/>
      <c r="D236" s="181"/>
      <c r="E236" s="380"/>
      <c r="F236" s="292"/>
      <c r="G236" s="293"/>
      <c r="H236" s="381"/>
      <c r="I236" s="296"/>
      <c r="J236" s="296"/>
      <c r="K236" s="297"/>
      <c r="L236" s="297"/>
      <c r="M236" s="297"/>
      <c r="N236" s="297"/>
      <c r="O236" s="297"/>
      <c r="P236" s="296"/>
    </row>
    <row r="237">
      <c r="B237" s="291"/>
      <c r="C237" s="291"/>
      <c r="D237" s="181"/>
      <c r="E237" s="380"/>
      <c r="F237" s="292"/>
      <c r="G237" s="293"/>
      <c r="H237" s="381"/>
      <c r="I237" s="296"/>
      <c r="J237" s="296"/>
      <c r="K237" s="297"/>
      <c r="L237" s="297"/>
      <c r="M237" s="297"/>
      <c r="N237" s="297"/>
      <c r="O237" s="297"/>
      <c r="P237" s="296"/>
    </row>
    <row r="238">
      <c r="B238" s="291"/>
      <c r="C238" s="291"/>
      <c r="D238" s="181"/>
      <c r="E238" s="380"/>
      <c r="F238" s="292"/>
      <c r="G238" s="293"/>
      <c r="H238" s="381"/>
      <c r="I238" s="296"/>
      <c r="J238" s="296"/>
      <c r="K238" s="297"/>
      <c r="L238" s="297"/>
      <c r="M238" s="297"/>
      <c r="N238" s="297"/>
      <c r="O238" s="297"/>
      <c r="P238" s="296"/>
    </row>
    <row r="239">
      <c r="B239" s="291"/>
      <c r="C239" s="291"/>
      <c r="D239" s="181"/>
      <c r="E239" s="380"/>
      <c r="F239" s="292"/>
      <c r="G239" s="293"/>
      <c r="H239" s="381"/>
      <c r="I239" s="296"/>
      <c r="J239" s="296"/>
      <c r="K239" s="297"/>
      <c r="L239" s="297"/>
      <c r="M239" s="297"/>
      <c r="N239" s="297"/>
      <c r="O239" s="297"/>
      <c r="P239" s="296"/>
    </row>
    <row r="240">
      <c r="B240" s="291"/>
      <c r="C240" s="291"/>
      <c r="D240" s="181"/>
      <c r="E240" s="380"/>
      <c r="F240" s="292"/>
      <c r="G240" s="293"/>
      <c r="H240" s="381"/>
      <c r="I240" s="296"/>
      <c r="J240" s="296"/>
      <c r="K240" s="297"/>
      <c r="L240" s="297"/>
      <c r="M240" s="297"/>
      <c r="N240" s="297"/>
      <c r="O240" s="297"/>
      <c r="P240" s="296"/>
    </row>
    <row r="241">
      <c r="B241" s="291"/>
      <c r="C241" s="291"/>
      <c r="D241" s="181"/>
      <c r="E241" s="380"/>
      <c r="F241" s="292"/>
      <c r="G241" s="293"/>
      <c r="H241" s="381"/>
      <c r="I241" s="296"/>
      <c r="J241" s="296"/>
      <c r="K241" s="297"/>
      <c r="L241" s="297"/>
      <c r="M241" s="297"/>
      <c r="N241" s="297"/>
      <c r="O241" s="297"/>
      <c r="P241" s="296"/>
    </row>
    <row r="242">
      <c r="B242" s="291"/>
      <c r="C242" s="291"/>
      <c r="D242" s="181"/>
      <c r="E242" s="380"/>
      <c r="F242" s="292"/>
      <c r="G242" s="293"/>
      <c r="H242" s="381"/>
      <c r="I242" s="296"/>
      <c r="J242" s="296"/>
      <c r="K242" s="297"/>
      <c r="L242" s="297"/>
      <c r="M242" s="297"/>
      <c r="N242" s="297"/>
      <c r="O242" s="297"/>
      <c r="P242" s="296"/>
    </row>
    <row r="243">
      <c r="B243" s="291"/>
      <c r="C243" s="291"/>
      <c r="D243" s="181"/>
      <c r="E243" s="380"/>
      <c r="F243" s="292"/>
      <c r="G243" s="293"/>
      <c r="H243" s="381"/>
      <c r="I243" s="296"/>
      <c r="J243" s="296"/>
      <c r="K243" s="297"/>
      <c r="L243" s="297"/>
      <c r="M243" s="297"/>
      <c r="N243" s="297"/>
      <c r="O243" s="297"/>
      <c r="P243" s="296"/>
    </row>
    <row r="244">
      <c r="B244" s="291"/>
      <c r="C244" s="291"/>
      <c r="D244" s="181"/>
      <c r="E244" s="380"/>
      <c r="F244" s="292"/>
      <c r="G244" s="293"/>
      <c r="H244" s="381"/>
      <c r="I244" s="296"/>
      <c r="J244" s="296"/>
      <c r="K244" s="297"/>
      <c r="L244" s="297"/>
      <c r="M244" s="297"/>
      <c r="N244" s="297"/>
      <c r="O244" s="297"/>
      <c r="P244" s="296"/>
    </row>
    <row r="245">
      <c r="B245" s="291"/>
      <c r="C245" s="291"/>
      <c r="D245" s="181"/>
      <c r="E245" s="380"/>
      <c r="F245" s="292"/>
      <c r="G245" s="293"/>
      <c r="H245" s="381"/>
      <c r="I245" s="296"/>
      <c r="J245" s="296"/>
      <c r="K245" s="297"/>
      <c r="L245" s="297"/>
      <c r="M245" s="297"/>
      <c r="N245" s="297"/>
      <c r="O245" s="297"/>
      <c r="P245" s="296"/>
    </row>
    <row r="246">
      <c r="B246" s="291"/>
      <c r="C246" s="291"/>
      <c r="D246" s="181"/>
      <c r="E246" s="380"/>
      <c r="F246" s="292"/>
      <c r="G246" s="293"/>
      <c r="H246" s="381"/>
      <c r="I246" s="296"/>
      <c r="J246" s="296"/>
      <c r="K246" s="297"/>
      <c r="L246" s="297"/>
      <c r="M246" s="297"/>
      <c r="N246" s="297"/>
      <c r="O246" s="297"/>
      <c r="P246" s="296"/>
    </row>
    <row r="247">
      <c r="B247" s="291"/>
      <c r="C247" s="291"/>
      <c r="D247" s="181"/>
      <c r="E247" s="380"/>
      <c r="F247" s="292"/>
      <c r="G247" s="293"/>
      <c r="H247" s="381"/>
      <c r="I247" s="296"/>
      <c r="J247" s="296"/>
      <c r="K247" s="297"/>
      <c r="L247" s="297"/>
      <c r="M247" s="297"/>
      <c r="N247" s="297"/>
      <c r="O247" s="297"/>
      <c r="P247" s="296"/>
    </row>
    <row r="248">
      <c r="B248" s="291"/>
      <c r="C248" s="291"/>
      <c r="D248" s="181"/>
      <c r="E248" s="380"/>
      <c r="F248" s="292"/>
      <c r="G248" s="293"/>
      <c r="H248" s="381"/>
      <c r="I248" s="296"/>
      <c r="J248" s="296"/>
      <c r="K248" s="297"/>
      <c r="L248" s="297"/>
      <c r="M248" s="297"/>
      <c r="N248" s="297"/>
      <c r="O248" s="297"/>
      <c r="P248" s="296"/>
    </row>
    <row r="249">
      <c r="B249" s="291"/>
      <c r="C249" s="291"/>
      <c r="D249" s="181"/>
      <c r="E249" s="380"/>
      <c r="F249" s="292"/>
      <c r="G249" s="293"/>
      <c r="H249" s="381"/>
      <c r="I249" s="296"/>
      <c r="J249" s="296"/>
      <c r="K249" s="297"/>
      <c r="L249" s="297"/>
      <c r="M249" s="297"/>
      <c r="N249" s="297"/>
      <c r="O249" s="297"/>
      <c r="P249" s="296"/>
    </row>
    <row r="250">
      <c r="B250" s="291"/>
      <c r="C250" s="291"/>
      <c r="D250" s="181"/>
      <c r="E250" s="380"/>
      <c r="F250" s="292"/>
      <c r="G250" s="293"/>
      <c r="H250" s="381"/>
      <c r="I250" s="296"/>
      <c r="J250" s="296"/>
      <c r="K250" s="297"/>
      <c r="L250" s="297"/>
      <c r="M250" s="297"/>
      <c r="N250" s="297"/>
      <c r="O250" s="297"/>
      <c r="P250" s="296"/>
    </row>
    <row r="251">
      <c r="B251" s="291"/>
      <c r="C251" s="291"/>
      <c r="D251" s="181"/>
      <c r="E251" s="380"/>
      <c r="F251" s="292"/>
      <c r="G251" s="293"/>
      <c r="H251" s="381"/>
      <c r="I251" s="296"/>
      <c r="J251" s="296"/>
      <c r="K251" s="297"/>
      <c r="L251" s="297"/>
      <c r="M251" s="297"/>
      <c r="N251" s="297"/>
      <c r="O251" s="297"/>
      <c r="P251" s="296"/>
    </row>
    <row r="252">
      <c r="B252" s="291"/>
      <c r="C252" s="291"/>
      <c r="D252" s="181"/>
      <c r="E252" s="380"/>
      <c r="F252" s="292"/>
      <c r="G252" s="293"/>
      <c r="H252" s="381"/>
      <c r="I252" s="296"/>
      <c r="J252" s="296"/>
      <c r="K252" s="297"/>
      <c r="L252" s="297"/>
      <c r="M252" s="297"/>
      <c r="N252" s="297"/>
      <c r="O252" s="297"/>
      <c r="P252" s="296"/>
    </row>
    <row r="253">
      <c r="B253" s="291"/>
      <c r="C253" s="291"/>
      <c r="D253" s="181"/>
      <c r="E253" s="380"/>
      <c r="F253" s="292"/>
      <c r="G253" s="293"/>
      <c r="H253" s="381"/>
      <c r="I253" s="296"/>
      <c r="J253" s="296"/>
      <c r="K253" s="297"/>
      <c r="L253" s="297"/>
      <c r="M253" s="297"/>
      <c r="N253" s="297"/>
      <c r="O253" s="297"/>
      <c r="P253" s="296"/>
    </row>
    <row r="254">
      <c r="B254" s="291"/>
      <c r="C254" s="291"/>
      <c r="D254" s="181"/>
      <c r="E254" s="380"/>
      <c r="F254" s="292"/>
      <c r="G254" s="293"/>
      <c r="H254" s="381"/>
      <c r="I254" s="296"/>
      <c r="J254" s="296"/>
      <c r="K254" s="297"/>
      <c r="L254" s="297"/>
      <c r="M254" s="297"/>
      <c r="N254" s="297"/>
      <c r="O254" s="297"/>
      <c r="P254" s="296"/>
    </row>
    <row r="255">
      <c r="B255" s="291"/>
      <c r="C255" s="291"/>
      <c r="D255" s="181"/>
      <c r="E255" s="380"/>
      <c r="F255" s="292"/>
      <c r="G255" s="293"/>
      <c r="H255" s="381"/>
      <c r="I255" s="296"/>
      <c r="J255" s="296"/>
      <c r="K255" s="297"/>
      <c r="L255" s="297"/>
      <c r="M255" s="297"/>
      <c r="N255" s="297"/>
      <c r="O255" s="297"/>
      <c r="P255" s="296"/>
    </row>
    <row r="256">
      <c r="B256" s="291"/>
      <c r="C256" s="291"/>
      <c r="D256" s="181"/>
      <c r="E256" s="380"/>
      <c r="F256" s="292"/>
      <c r="G256" s="293"/>
      <c r="H256" s="381"/>
      <c r="I256" s="296"/>
      <c r="J256" s="296"/>
      <c r="K256" s="297"/>
      <c r="L256" s="297"/>
      <c r="M256" s="297"/>
      <c r="N256" s="297"/>
      <c r="O256" s="297"/>
      <c r="P256" s="296"/>
    </row>
    <row r="257">
      <c r="B257" s="291"/>
      <c r="C257" s="291"/>
      <c r="D257" s="181"/>
      <c r="E257" s="380"/>
      <c r="F257" s="292"/>
      <c r="G257" s="293"/>
      <c r="H257" s="381"/>
      <c r="I257" s="296"/>
      <c r="J257" s="296"/>
      <c r="K257" s="297"/>
      <c r="L257" s="297"/>
      <c r="M257" s="297"/>
      <c r="N257" s="297"/>
      <c r="O257" s="297"/>
      <c r="P257" s="296"/>
    </row>
    <row r="258">
      <c r="B258" s="291"/>
      <c r="C258" s="291"/>
      <c r="D258" s="181"/>
      <c r="E258" s="380"/>
      <c r="F258" s="292"/>
      <c r="G258" s="293"/>
      <c r="H258" s="381"/>
      <c r="I258" s="296"/>
      <c r="J258" s="296"/>
      <c r="K258" s="297"/>
      <c r="L258" s="297"/>
      <c r="M258" s="297"/>
      <c r="N258" s="297"/>
      <c r="O258" s="297"/>
      <c r="P258" s="296"/>
    </row>
    <row r="259">
      <c r="B259" s="291"/>
      <c r="C259" s="291"/>
      <c r="D259" s="181"/>
      <c r="E259" s="380"/>
      <c r="F259" s="292"/>
      <c r="G259" s="293"/>
      <c r="H259" s="381"/>
      <c r="I259" s="296"/>
      <c r="J259" s="296"/>
      <c r="K259" s="297"/>
      <c r="L259" s="297"/>
      <c r="M259" s="297"/>
      <c r="N259" s="297"/>
      <c r="O259" s="297"/>
      <c r="P259" s="296"/>
    </row>
    <row r="260">
      <c r="B260" s="291"/>
      <c r="C260" s="291"/>
      <c r="D260" s="181"/>
      <c r="E260" s="380"/>
      <c r="F260" s="292"/>
      <c r="G260" s="293"/>
      <c r="H260" s="381"/>
      <c r="I260" s="296"/>
      <c r="J260" s="296"/>
      <c r="K260" s="297"/>
      <c r="L260" s="297"/>
      <c r="M260" s="297"/>
      <c r="N260" s="297"/>
      <c r="O260" s="297"/>
      <c r="P260" s="296"/>
    </row>
    <row r="261">
      <c r="B261" s="291"/>
      <c r="C261" s="291"/>
      <c r="D261" s="181"/>
      <c r="E261" s="380"/>
      <c r="F261" s="292"/>
      <c r="G261" s="293"/>
      <c r="H261" s="381"/>
      <c r="I261" s="296"/>
      <c r="J261" s="296"/>
      <c r="K261" s="297"/>
      <c r="L261" s="297"/>
      <c r="M261" s="297"/>
      <c r="N261" s="297"/>
      <c r="O261" s="297"/>
      <c r="P261" s="296"/>
    </row>
    <row r="262">
      <c r="B262" s="291"/>
      <c r="C262" s="291"/>
      <c r="D262" s="181"/>
      <c r="E262" s="380"/>
      <c r="F262" s="292"/>
      <c r="G262" s="293"/>
      <c r="H262" s="381"/>
      <c r="I262" s="296"/>
      <c r="J262" s="296"/>
      <c r="K262" s="297"/>
      <c r="L262" s="297"/>
      <c r="M262" s="297"/>
      <c r="N262" s="297"/>
      <c r="O262" s="297"/>
      <c r="P262" s="296"/>
    </row>
    <row r="263">
      <c r="B263" s="291"/>
      <c r="C263" s="291"/>
      <c r="D263" s="181"/>
      <c r="E263" s="380"/>
      <c r="F263" s="292"/>
      <c r="G263" s="293"/>
      <c r="H263" s="381"/>
      <c r="I263" s="296"/>
      <c r="J263" s="296"/>
      <c r="K263" s="297"/>
      <c r="L263" s="297"/>
      <c r="M263" s="297"/>
      <c r="N263" s="297"/>
      <c r="O263" s="297"/>
      <c r="P263" s="296"/>
    </row>
    <row r="264">
      <c r="B264" s="291"/>
      <c r="C264" s="291"/>
      <c r="D264" s="181"/>
      <c r="E264" s="380"/>
      <c r="F264" s="292"/>
      <c r="G264" s="293"/>
      <c r="H264" s="381"/>
      <c r="I264" s="296"/>
      <c r="J264" s="296"/>
      <c r="K264" s="297"/>
      <c r="L264" s="297"/>
      <c r="M264" s="297"/>
      <c r="N264" s="297"/>
      <c r="O264" s="297"/>
      <c r="P264" s="296"/>
    </row>
    <row r="265">
      <c r="B265" s="291"/>
      <c r="C265" s="291"/>
      <c r="D265" s="181"/>
      <c r="E265" s="380"/>
      <c r="F265" s="292"/>
      <c r="G265" s="293"/>
      <c r="H265" s="381"/>
      <c r="I265" s="296"/>
      <c r="J265" s="296"/>
      <c r="K265" s="297"/>
      <c r="L265" s="297"/>
      <c r="M265" s="297"/>
      <c r="N265" s="297"/>
      <c r="O265" s="297"/>
      <c r="P265" s="296"/>
    </row>
    <row r="266">
      <c r="B266" s="291"/>
      <c r="C266" s="291"/>
      <c r="D266" s="181"/>
      <c r="E266" s="380"/>
      <c r="F266" s="292"/>
      <c r="G266" s="293"/>
      <c r="H266" s="381"/>
      <c r="I266" s="296"/>
      <c r="J266" s="296"/>
      <c r="K266" s="297"/>
      <c r="L266" s="297"/>
      <c r="M266" s="297"/>
      <c r="N266" s="297"/>
      <c r="O266" s="297"/>
      <c r="P266" s="296"/>
    </row>
    <row r="267">
      <c r="B267" s="291"/>
      <c r="C267" s="291"/>
      <c r="D267" s="181"/>
      <c r="E267" s="380"/>
      <c r="F267" s="292"/>
      <c r="G267" s="293"/>
      <c r="H267" s="381"/>
      <c r="I267" s="296"/>
      <c r="J267" s="296"/>
      <c r="K267" s="297"/>
      <c r="L267" s="297"/>
      <c r="M267" s="297"/>
      <c r="N267" s="297"/>
      <c r="O267" s="297"/>
      <c r="P267" s="296"/>
    </row>
    <row r="268">
      <c r="B268" s="291"/>
      <c r="C268" s="291"/>
      <c r="D268" s="181"/>
      <c r="E268" s="380"/>
      <c r="F268" s="292"/>
      <c r="G268" s="293"/>
      <c r="H268" s="381"/>
      <c r="I268" s="296"/>
      <c r="J268" s="296"/>
      <c r="K268" s="297"/>
      <c r="L268" s="297"/>
      <c r="M268" s="297"/>
      <c r="N268" s="297"/>
      <c r="O268" s="297"/>
      <c r="P268" s="296"/>
    </row>
    <row r="269">
      <c r="B269" s="291"/>
      <c r="C269" s="291"/>
      <c r="D269" s="181"/>
      <c r="E269" s="380"/>
      <c r="F269" s="292"/>
      <c r="G269" s="293"/>
      <c r="H269" s="381"/>
      <c r="I269" s="296"/>
      <c r="J269" s="296"/>
      <c r="K269" s="297"/>
      <c r="L269" s="297"/>
      <c r="M269" s="297"/>
      <c r="N269" s="297"/>
      <c r="O269" s="297"/>
      <c r="P269" s="296"/>
    </row>
    <row r="270">
      <c r="B270" s="291"/>
      <c r="C270" s="291"/>
      <c r="D270" s="181"/>
      <c r="E270" s="380"/>
      <c r="F270" s="292"/>
      <c r="G270" s="293"/>
      <c r="H270" s="381"/>
      <c r="I270" s="296"/>
      <c r="J270" s="296"/>
      <c r="K270" s="297"/>
      <c r="L270" s="297"/>
      <c r="M270" s="297"/>
      <c r="N270" s="297"/>
      <c r="O270" s="297"/>
      <c r="P270" s="296"/>
    </row>
    <row r="271">
      <c r="B271" s="291"/>
      <c r="C271" s="291"/>
      <c r="D271" s="181"/>
      <c r="E271" s="380"/>
      <c r="F271" s="292"/>
      <c r="G271" s="293"/>
      <c r="H271" s="381"/>
      <c r="I271" s="296"/>
      <c r="J271" s="296"/>
      <c r="K271" s="297"/>
      <c r="L271" s="297"/>
      <c r="M271" s="297"/>
      <c r="N271" s="297"/>
      <c r="O271" s="297"/>
      <c r="P271" s="296"/>
    </row>
    <row r="272">
      <c r="B272" s="291"/>
      <c r="C272" s="291"/>
      <c r="D272" s="181"/>
      <c r="E272" s="380"/>
      <c r="F272" s="292"/>
      <c r="G272" s="293"/>
      <c r="H272" s="381"/>
      <c r="I272" s="296"/>
      <c r="J272" s="296"/>
      <c r="K272" s="297"/>
      <c r="L272" s="297"/>
      <c r="M272" s="297"/>
      <c r="N272" s="297"/>
      <c r="O272" s="297"/>
      <c r="P272" s="296"/>
    </row>
    <row r="273">
      <c r="B273" s="291"/>
      <c r="C273" s="291"/>
      <c r="D273" s="181"/>
      <c r="E273" s="380"/>
      <c r="F273" s="292"/>
      <c r="G273" s="293"/>
      <c r="H273" s="381"/>
      <c r="I273" s="296"/>
      <c r="J273" s="296"/>
      <c r="K273" s="297"/>
      <c r="L273" s="297"/>
      <c r="M273" s="297"/>
      <c r="N273" s="297"/>
      <c r="O273" s="297"/>
      <c r="P273" s="296"/>
    </row>
    <row r="274">
      <c r="B274" s="291"/>
      <c r="C274" s="291"/>
      <c r="D274" s="181"/>
      <c r="E274" s="380"/>
      <c r="F274" s="292"/>
      <c r="G274" s="293"/>
      <c r="H274" s="381"/>
      <c r="I274" s="296"/>
      <c r="J274" s="296"/>
      <c r="K274" s="297"/>
      <c r="L274" s="297"/>
      <c r="M274" s="297"/>
      <c r="N274" s="297"/>
      <c r="O274" s="297"/>
      <c r="P274" s="296"/>
    </row>
    <row r="275">
      <c r="B275" s="291"/>
      <c r="C275" s="291"/>
      <c r="D275" s="181"/>
      <c r="E275" s="380"/>
      <c r="F275" s="292"/>
      <c r="G275" s="293"/>
      <c r="H275" s="381"/>
      <c r="I275" s="296"/>
      <c r="J275" s="296"/>
      <c r="K275" s="297"/>
      <c r="L275" s="297"/>
      <c r="M275" s="297"/>
      <c r="N275" s="297"/>
      <c r="O275" s="297"/>
      <c r="P275" s="296"/>
    </row>
    <row r="276">
      <c r="B276" s="291"/>
      <c r="C276" s="291"/>
      <c r="D276" s="181"/>
      <c r="E276" s="380"/>
      <c r="F276" s="292"/>
      <c r="G276" s="293"/>
      <c r="H276" s="381"/>
      <c r="I276" s="296"/>
      <c r="J276" s="296"/>
      <c r="K276" s="297"/>
      <c r="L276" s="297"/>
      <c r="M276" s="297"/>
      <c r="N276" s="297"/>
      <c r="O276" s="297"/>
      <c r="P276" s="296"/>
    </row>
    <row r="277">
      <c r="B277" s="291"/>
      <c r="C277" s="291"/>
      <c r="D277" s="181"/>
      <c r="E277" s="380"/>
      <c r="F277" s="292"/>
      <c r="G277" s="293"/>
      <c r="H277" s="381"/>
      <c r="I277" s="296"/>
      <c r="J277" s="296"/>
      <c r="K277" s="297"/>
      <c r="L277" s="297"/>
      <c r="M277" s="297"/>
      <c r="N277" s="297"/>
      <c r="O277" s="297"/>
      <c r="P277" s="296"/>
    </row>
    <row r="278">
      <c r="B278" s="291"/>
      <c r="C278" s="291"/>
      <c r="D278" s="181"/>
      <c r="E278" s="380"/>
      <c r="F278" s="292"/>
      <c r="G278" s="293"/>
      <c r="H278" s="381"/>
      <c r="I278" s="296"/>
      <c r="J278" s="296"/>
      <c r="K278" s="297"/>
      <c r="L278" s="297"/>
      <c r="M278" s="297"/>
      <c r="N278" s="297"/>
      <c r="O278" s="297"/>
      <c r="P278" s="296"/>
    </row>
    <row r="279">
      <c r="B279" s="291"/>
      <c r="C279" s="291"/>
      <c r="D279" s="181"/>
      <c r="E279" s="380"/>
      <c r="F279" s="292"/>
      <c r="G279" s="293"/>
      <c r="H279" s="381"/>
      <c r="I279" s="296"/>
      <c r="J279" s="296"/>
      <c r="K279" s="297"/>
      <c r="L279" s="297"/>
      <c r="M279" s="297"/>
      <c r="N279" s="297"/>
      <c r="O279" s="297"/>
      <c r="P279" s="296"/>
    </row>
    <row r="280">
      <c r="B280" s="291"/>
      <c r="C280" s="291"/>
      <c r="D280" s="181"/>
      <c r="E280" s="380"/>
      <c r="F280" s="292"/>
      <c r="G280" s="293"/>
      <c r="H280" s="381"/>
      <c r="I280" s="296"/>
      <c r="J280" s="296"/>
      <c r="K280" s="297"/>
      <c r="L280" s="297"/>
      <c r="M280" s="297"/>
      <c r="N280" s="297"/>
      <c r="O280" s="297"/>
      <c r="P280" s="296"/>
    </row>
    <row r="281">
      <c r="B281" s="291"/>
      <c r="C281" s="291"/>
      <c r="D281" s="181"/>
      <c r="E281" s="380"/>
      <c r="F281" s="292"/>
      <c r="G281" s="293"/>
      <c r="H281" s="381"/>
      <c r="I281" s="296"/>
      <c r="J281" s="296"/>
      <c r="K281" s="297"/>
      <c r="L281" s="297"/>
      <c r="M281" s="297"/>
      <c r="N281" s="297"/>
      <c r="O281" s="297"/>
      <c r="P281" s="296"/>
    </row>
    <row r="282">
      <c r="B282" s="291"/>
      <c r="C282" s="291"/>
      <c r="D282" s="181"/>
      <c r="E282" s="380"/>
      <c r="F282" s="292"/>
      <c r="G282" s="293"/>
      <c r="H282" s="381"/>
      <c r="I282" s="296"/>
      <c r="J282" s="296"/>
      <c r="K282" s="297"/>
      <c r="L282" s="297"/>
      <c r="M282" s="297"/>
      <c r="N282" s="297"/>
      <c r="O282" s="297"/>
      <c r="P282" s="296"/>
    </row>
    <row r="283">
      <c r="B283" s="291"/>
      <c r="C283" s="291"/>
      <c r="D283" s="181"/>
      <c r="E283" s="380"/>
      <c r="F283" s="292"/>
      <c r="G283" s="293"/>
      <c r="H283" s="381"/>
      <c r="I283" s="296"/>
      <c r="J283" s="296"/>
      <c r="K283" s="297"/>
      <c r="L283" s="297"/>
      <c r="M283" s="297"/>
      <c r="N283" s="297"/>
      <c r="O283" s="297"/>
      <c r="P283" s="296"/>
    </row>
    <row r="284">
      <c r="B284" s="291"/>
      <c r="C284" s="291"/>
      <c r="D284" s="181"/>
      <c r="E284" s="380"/>
      <c r="F284" s="292"/>
      <c r="G284" s="293"/>
      <c r="H284" s="381"/>
      <c r="I284" s="296"/>
      <c r="J284" s="296"/>
      <c r="K284" s="297"/>
      <c r="L284" s="297"/>
      <c r="M284" s="297"/>
      <c r="N284" s="297"/>
      <c r="O284" s="297"/>
      <c r="P284" s="296"/>
    </row>
    <row r="285">
      <c r="B285" s="291"/>
      <c r="C285" s="291"/>
      <c r="D285" s="181"/>
      <c r="E285" s="380"/>
      <c r="F285" s="292"/>
      <c r="G285" s="293"/>
      <c r="H285" s="381"/>
      <c r="I285" s="296"/>
      <c r="J285" s="296"/>
      <c r="K285" s="297"/>
      <c r="L285" s="297"/>
      <c r="M285" s="297"/>
      <c r="N285" s="297"/>
      <c r="O285" s="297"/>
      <c r="P285" s="296"/>
    </row>
    <row r="286">
      <c r="B286" s="291"/>
      <c r="C286" s="291"/>
      <c r="D286" s="181"/>
      <c r="E286" s="380"/>
      <c r="F286" s="292"/>
      <c r="G286" s="293"/>
      <c r="H286" s="381"/>
      <c r="I286" s="296"/>
      <c r="J286" s="296"/>
      <c r="K286" s="297"/>
      <c r="L286" s="297"/>
      <c r="M286" s="297"/>
      <c r="N286" s="297"/>
      <c r="O286" s="297"/>
      <c r="P286" s="296"/>
    </row>
    <row r="287">
      <c r="B287" s="291"/>
      <c r="C287" s="291"/>
      <c r="D287" s="181"/>
      <c r="E287" s="380"/>
      <c r="F287" s="292"/>
      <c r="G287" s="293"/>
      <c r="H287" s="381"/>
      <c r="I287" s="296"/>
      <c r="J287" s="296"/>
      <c r="K287" s="297"/>
      <c r="L287" s="297"/>
      <c r="M287" s="297"/>
      <c r="N287" s="297"/>
      <c r="O287" s="297"/>
      <c r="P287" s="296"/>
    </row>
    <row r="288">
      <c r="B288" s="291"/>
      <c r="C288" s="291"/>
      <c r="D288" s="181"/>
      <c r="E288" s="380"/>
      <c r="F288" s="292"/>
      <c r="G288" s="293"/>
      <c r="H288" s="381"/>
      <c r="I288" s="296"/>
      <c r="J288" s="296"/>
      <c r="K288" s="297"/>
      <c r="L288" s="297"/>
      <c r="M288" s="297"/>
      <c r="N288" s="297"/>
      <c r="O288" s="297"/>
      <c r="P288" s="296"/>
    </row>
    <row r="289">
      <c r="B289" s="291"/>
      <c r="C289" s="291"/>
      <c r="D289" s="181"/>
      <c r="E289" s="380"/>
      <c r="F289" s="292"/>
      <c r="G289" s="293"/>
      <c r="H289" s="381"/>
      <c r="I289" s="296"/>
      <c r="J289" s="296"/>
      <c r="K289" s="297"/>
      <c r="L289" s="297"/>
      <c r="M289" s="297"/>
      <c r="N289" s="297"/>
      <c r="O289" s="297"/>
      <c r="P289" s="296"/>
    </row>
    <row r="290">
      <c r="B290" s="291"/>
      <c r="C290" s="291"/>
      <c r="D290" s="181"/>
      <c r="E290" s="380"/>
      <c r="F290" s="292"/>
      <c r="G290" s="293"/>
      <c r="H290" s="381"/>
      <c r="I290" s="296"/>
      <c r="J290" s="296"/>
      <c r="K290" s="297"/>
      <c r="L290" s="297"/>
      <c r="M290" s="297"/>
      <c r="N290" s="297"/>
      <c r="O290" s="297"/>
      <c r="P290" s="296"/>
    </row>
    <row r="291">
      <c r="B291" s="291"/>
      <c r="C291" s="291"/>
      <c r="D291" s="181"/>
      <c r="E291" s="380"/>
      <c r="F291" s="292"/>
      <c r="G291" s="293"/>
      <c r="H291" s="381"/>
      <c r="I291" s="296"/>
      <c r="J291" s="296"/>
      <c r="K291" s="297"/>
      <c r="L291" s="297"/>
      <c r="M291" s="297"/>
      <c r="N291" s="297"/>
      <c r="O291" s="297"/>
      <c r="P291" s="296"/>
    </row>
    <row r="292">
      <c r="B292" s="291"/>
      <c r="C292" s="291"/>
      <c r="D292" s="181"/>
      <c r="E292" s="380"/>
      <c r="F292" s="292"/>
      <c r="G292" s="293"/>
      <c r="H292" s="381"/>
      <c r="I292" s="296"/>
      <c r="J292" s="296"/>
      <c r="K292" s="297"/>
      <c r="L292" s="297"/>
      <c r="M292" s="297"/>
      <c r="N292" s="297"/>
      <c r="O292" s="297"/>
      <c r="P292" s="296"/>
    </row>
    <row r="293">
      <c r="B293" s="291"/>
      <c r="C293" s="291"/>
      <c r="D293" s="181"/>
      <c r="E293" s="380"/>
      <c r="F293" s="292"/>
      <c r="G293" s="293"/>
      <c r="H293" s="381"/>
      <c r="I293" s="296"/>
      <c r="J293" s="296"/>
      <c r="K293" s="297"/>
      <c r="L293" s="297"/>
      <c r="M293" s="297"/>
      <c r="N293" s="297"/>
      <c r="O293" s="297"/>
      <c r="P293" s="296"/>
    </row>
    <row r="294">
      <c r="B294" s="291"/>
      <c r="C294" s="291"/>
      <c r="D294" s="181"/>
      <c r="E294" s="380"/>
      <c r="F294" s="292"/>
      <c r="G294" s="293"/>
      <c r="H294" s="381"/>
      <c r="I294" s="296"/>
      <c r="J294" s="296"/>
      <c r="K294" s="297"/>
      <c r="L294" s="297"/>
      <c r="M294" s="297"/>
      <c r="N294" s="297"/>
      <c r="O294" s="297"/>
      <c r="P294" s="296"/>
    </row>
    <row r="295">
      <c r="B295" s="291"/>
      <c r="C295" s="291"/>
      <c r="D295" s="181"/>
      <c r="E295" s="380"/>
      <c r="F295" s="292"/>
      <c r="G295" s="293"/>
      <c r="H295" s="381"/>
      <c r="I295" s="296"/>
      <c r="J295" s="296"/>
      <c r="K295" s="297"/>
      <c r="L295" s="297"/>
      <c r="M295" s="297"/>
      <c r="N295" s="297"/>
      <c r="O295" s="297"/>
      <c r="P295" s="296"/>
    </row>
    <row r="296">
      <c r="B296" s="291"/>
      <c r="C296" s="291"/>
      <c r="D296" s="181"/>
      <c r="E296" s="380"/>
      <c r="F296" s="292"/>
      <c r="G296" s="293"/>
      <c r="H296" s="381"/>
      <c r="I296" s="296"/>
      <c r="J296" s="296"/>
      <c r="K296" s="297"/>
      <c r="L296" s="297"/>
      <c r="M296" s="297"/>
      <c r="N296" s="297"/>
      <c r="O296" s="297"/>
      <c r="P296" s="296"/>
    </row>
    <row r="297">
      <c r="B297" s="291"/>
      <c r="C297" s="291"/>
      <c r="D297" s="181"/>
      <c r="E297" s="380"/>
      <c r="F297" s="292"/>
      <c r="G297" s="293"/>
      <c r="H297" s="381"/>
      <c r="I297" s="296"/>
      <c r="J297" s="296"/>
      <c r="K297" s="297"/>
      <c r="L297" s="297"/>
      <c r="M297" s="297"/>
      <c r="N297" s="297"/>
      <c r="O297" s="297"/>
      <c r="P297" s="296"/>
    </row>
    <row r="298">
      <c r="B298" s="291"/>
      <c r="C298" s="291"/>
      <c r="D298" s="181"/>
      <c r="E298" s="380"/>
      <c r="F298" s="292"/>
      <c r="G298" s="293"/>
      <c r="H298" s="381"/>
      <c r="I298" s="296"/>
      <c r="J298" s="296"/>
      <c r="K298" s="297"/>
      <c r="L298" s="297"/>
      <c r="M298" s="297"/>
      <c r="N298" s="297"/>
      <c r="O298" s="297"/>
      <c r="P298" s="296"/>
    </row>
    <row r="299">
      <c r="B299" s="291"/>
      <c r="C299" s="291"/>
      <c r="D299" s="181"/>
      <c r="E299" s="380"/>
      <c r="F299" s="292"/>
      <c r="G299" s="293"/>
      <c r="H299" s="381"/>
      <c r="I299" s="296"/>
      <c r="J299" s="296"/>
      <c r="K299" s="297"/>
      <c r="L299" s="297"/>
      <c r="M299" s="297"/>
      <c r="N299" s="297"/>
      <c r="O299" s="297"/>
      <c r="P299" s="296"/>
    </row>
    <row r="300">
      <c r="B300" s="291"/>
      <c r="C300" s="291"/>
      <c r="D300" s="181"/>
      <c r="E300" s="380"/>
      <c r="F300" s="292"/>
      <c r="G300" s="293"/>
      <c r="H300" s="381"/>
      <c r="I300" s="296"/>
      <c r="J300" s="296"/>
      <c r="K300" s="297"/>
      <c r="L300" s="297"/>
      <c r="M300" s="297"/>
      <c r="N300" s="297"/>
      <c r="O300" s="297"/>
      <c r="P300" s="296"/>
    </row>
    <row r="301">
      <c r="B301" s="291"/>
      <c r="C301" s="291"/>
      <c r="D301" s="181"/>
      <c r="E301" s="380"/>
      <c r="F301" s="292"/>
      <c r="G301" s="293"/>
      <c r="H301" s="381"/>
      <c r="I301" s="296"/>
      <c r="J301" s="296"/>
      <c r="K301" s="297"/>
      <c r="L301" s="297"/>
      <c r="M301" s="297"/>
      <c r="N301" s="297"/>
      <c r="O301" s="297"/>
      <c r="P301" s="296"/>
    </row>
    <row r="302">
      <c r="B302" s="291"/>
      <c r="C302" s="291"/>
      <c r="D302" s="181"/>
      <c r="E302" s="380"/>
      <c r="F302" s="292"/>
      <c r="G302" s="293"/>
      <c r="H302" s="381"/>
      <c r="I302" s="296"/>
      <c r="J302" s="296"/>
      <c r="K302" s="297"/>
      <c r="L302" s="297"/>
      <c r="M302" s="297"/>
      <c r="N302" s="297"/>
      <c r="O302" s="297"/>
      <c r="P302" s="296"/>
    </row>
    <row r="303">
      <c r="B303" s="291"/>
      <c r="C303" s="291"/>
      <c r="D303" s="181"/>
      <c r="E303" s="380"/>
      <c r="F303" s="292"/>
      <c r="G303" s="293"/>
      <c r="H303" s="381"/>
      <c r="I303" s="296"/>
      <c r="J303" s="296"/>
      <c r="K303" s="297"/>
      <c r="L303" s="297"/>
      <c r="M303" s="297"/>
      <c r="N303" s="297"/>
      <c r="O303" s="297"/>
      <c r="P303" s="296"/>
    </row>
    <row r="304">
      <c r="B304" s="291"/>
      <c r="C304" s="291"/>
      <c r="D304" s="181"/>
      <c r="E304" s="380"/>
      <c r="F304" s="292"/>
      <c r="G304" s="293"/>
      <c r="H304" s="381"/>
      <c r="I304" s="296"/>
      <c r="J304" s="296"/>
      <c r="K304" s="297"/>
      <c r="L304" s="297"/>
      <c r="M304" s="297"/>
      <c r="N304" s="297"/>
      <c r="O304" s="297"/>
      <c r="P304" s="296"/>
    </row>
    <row r="305">
      <c r="B305" s="291"/>
      <c r="C305" s="291"/>
      <c r="D305" s="181"/>
      <c r="E305" s="380"/>
      <c r="F305" s="292"/>
      <c r="G305" s="293"/>
      <c r="H305" s="381"/>
      <c r="I305" s="296"/>
      <c r="J305" s="296"/>
      <c r="K305" s="297"/>
      <c r="L305" s="297"/>
      <c r="M305" s="297"/>
      <c r="N305" s="297"/>
      <c r="O305" s="297"/>
      <c r="P305" s="296"/>
    </row>
    <row r="306">
      <c r="B306" s="291"/>
      <c r="C306" s="291"/>
      <c r="D306" s="181"/>
      <c r="E306" s="380"/>
      <c r="F306" s="292"/>
      <c r="G306" s="293"/>
      <c r="H306" s="381"/>
      <c r="I306" s="296"/>
      <c r="J306" s="296"/>
      <c r="K306" s="297"/>
      <c r="L306" s="297"/>
      <c r="M306" s="297"/>
      <c r="N306" s="297"/>
      <c r="O306" s="297"/>
      <c r="P306" s="296"/>
    </row>
    <row r="307">
      <c r="B307" s="291"/>
      <c r="C307" s="291"/>
      <c r="D307" s="181"/>
      <c r="E307" s="380"/>
      <c r="F307" s="292"/>
      <c r="G307" s="293"/>
      <c r="H307" s="381"/>
      <c r="I307" s="296"/>
      <c r="J307" s="296"/>
      <c r="K307" s="297"/>
      <c r="L307" s="297"/>
      <c r="M307" s="297"/>
      <c r="N307" s="297"/>
      <c r="O307" s="297"/>
      <c r="P307" s="296"/>
    </row>
    <row r="308">
      <c r="B308" s="291"/>
      <c r="C308" s="291"/>
      <c r="D308" s="181"/>
      <c r="E308" s="380"/>
      <c r="F308" s="292"/>
      <c r="G308" s="293"/>
      <c r="H308" s="381"/>
      <c r="I308" s="296"/>
      <c r="J308" s="296"/>
      <c r="K308" s="297"/>
      <c r="L308" s="297"/>
      <c r="M308" s="297"/>
      <c r="N308" s="297"/>
      <c r="O308" s="297"/>
      <c r="P308" s="296"/>
    </row>
    <row r="309">
      <c r="B309" s="291"/>
      <c r="C309" s="291"/>
      <c r="D309" s="181"/>
      <c r="E309" s="380"/>
      <c r="F309" s="292"/>
      <c r="G309" s="293"/>
      <c r="H309" s="381"/>
      <c r="I309" s="296"/>
      <c r="J309" s="296"/>
      <c r="K309" s="297"/>
      <c r="L309" s="297"/>
      <c r="M309" s="297"/>
      <c r="N309" s="297"/>
      <c r="O309" s="297"/>
      <c r="P309" s="296"/>
    </row>
    <row r="310">
      <c r="B310" s="291"/>
      <c r="C310" s="291"/>
      <c r="D310" s="181"/>
      <c r="E310" s="380"/>
      <c r="F310" s="292"/>
      <c r="G310" s="293"/>
      <c r="H310" s="381"/>
      <c r="I310" s="296"/>
      <c r="J310" s="296"/>
      <c r="K310" s="297"/>
      <c r="L310" s="297"/>
      <c r="M310" s="297"/>
      <c r="N310" s="297"/>
      <c r="O310" s="297"/>
      <c r="P310" s="296"/>
    </row>
    <row r="311">
      <c r="B311" s="291"/>
      <c r="C311" s="291"/>
      <c r="D311" s="181"/>
      <c r="E311" s="380"/>
      <c r="F311" s="292"/>
      <c r="G311" s="293"/>
      <c r="H311" s="381"/>
      <c r="I311" s="296"/>
      <c r="J311" s="296"/>
      <c r="K311" s="297"/>
      <c r="L311" s="297"/>
      <c r="M311" s="297"/>
      <c r="N311" s="297"/>
      <c r="O311" s="297"/>
      <c r="P311" s="296"/>
    </row>
    <row r="312">
      <c r="B312" s="291"/>
      <c r="C312" s="291"/>
      <c r="D312" s="181"/>
      <c r="E312" s="380"/>
      <c r="F312" s="292"/>
      <c r="G312" s="293"/>
      <c r="H312" s="381"/>
      <c r="I312" s="296"/>
      <c r="J312" s="296"/>
      <c r="K312" s="297"/>
      <c r="L312" s="297"/>
      <c r="M312" s="297"/>
      <c r="N312" s="297"/>
      <c r="O312" s="297"/>
      <c r="P312" s="296"/>
    </row>
    <row r="313">
      <c r="B313" s="291"/>
      <c r="C313" s="291"/>
      <c r="D313" s="181"/>
      <c r="E313" s="380"/>
      <c r="F313" s="292"/>
      <c r="G313" s="293"/>
      <c r="H313" s="381"/>
      <c r="I313" s="296"/>
      <c r="J313" s="296"/>
      <c r="K313" s="297"/>
      <c r="L313" s="297"/>
      <c r="M313" s="297"/>
      <c r="N313" s="297"/>
      <c r="O313" s="297"/>
      <c r="P313" s="296"/>
    </row>
    <row r="314">
      <c r="B314" s="291"/>
      <c r="C314" s="291"/>
      <c r="D314" s="181"/>
      <c r="E314" s="380"/>
      <c r="F314" s="292"/>
      <c r="G314" s="293"/>
      <c r="H314" s="381"/>
      <c r="I314" s="296"/>
      <c r="J314" s="296"/>
      <c r="K314" s="297"/>
      <c r="L314" s="297"/>
      <c r="M314" s="297"/>
      <c r="N314" s="297"/>
      <c r="O314" s="297"/>
      <c r="P314" s="296"/>
    </row>
    <row r="315">
      <c r="B315" s="291"/>
      <c r="C315" s="291"/>
      <c r="D315" s="181"/>
      <c r="E315" s="380"/>
      <c r="F315" s="292"/>
      <c r="G315" s="293"/>
      <c r="H315" s="381"/>
      <c r="I315" s="296"/>
      <c r="J315" s="296"/>
      <c r="K315" s="297"/>
      <c r="L315" s="297"/>
      <c r="M315" s="297"/>
      <c r="N315" s="297"/>
      <c r="O315" s="297"/>
      <c r="P315" s="296"/>
    </row>
    <row r="316">
      <c r="B316" s="291"/>
      <c r="C316" s="291"/>
      <c r="D316" s="181"/>
      <c r="E316" s="380"/>
      <c r="F316" s="292"/>
      <c r="G316" s="293"/>
      <c r="H316" s="381"/>
      <c r="I316" s="296"/>
      <c r="J316" s="296"/>
      <c r="K316" s="297"/>
      <c r="L316" s="297"/>
      <c r="M316" s="297"/>
      <c r="N316" s="297"/>
      <c r="O316" s="297"/>
      <c r="P316" s="296"/>
    </row>
    <row r="317">
      <c r="B317" s="291"/>
      <c r="C317" s="291"/>
      <c r="D317" s="181"/>
      <c r="E317" s="380"/>
      <c r="F317" s="292"/>
      <c r="G317" s="293"/>
      <c r="H317" s="381"/>
      <c r="I317" s="296"/>
      <c r="J317" s="296"/>
      <c r="K317" s="297"/>
      <c r="L317" s="297"/>
      <c r="M317" s="297"/>
      <c r="N317" s="297"/>
      <c r="O317" s="297"/>
      <c r="P317" s="296"/>
    </row>
    <row r="318">
      <c r="B318" s="291"/>
      <c r="C318" s="291"/>
      <c r="D318" s="181"/>
      <c r="E318" s="380"/>
      <c r="F318" s="292"/>
      <c r="G318" s="293"/>
      <c r="H318" s="381"/>
      <c r="I318" s="296"/>
      <c r="J318" s="296"/>
      <c r="K318" s="297"/>
      <c r="L318" s="297"/>
      <c r="M318" s="297"/>
      <c r="N318" s="297"/>
      <c r="O318" s="297"/>
      <c r="P318" s="296"/>
    </row>
    <row r="319">
      <c r="B319" s="291"/>
      <c r="C319" s="291"/>
      <c r="D319" s="181"/>
      <c r="E319" s="380"/>
      <c r="F319" s="292"/>
      <c r="G319" s="293"/>
      <c r="H319" s="381"/>
      <c r="I319" s="296"/>
      <c r="J319" s="296"/>
      <c r="K319" s="297"/>
      <c r="L319" s="297"/>
      <c r="M319" s="297"/>
      <c r="N319" s="297"/>
      <c r="O319" s="297"/>
      <c r="P319" s="296"/>
    </row>
    <row r="320">
      <c r="B320" s="291"/>
      <c r="C320" s="291"/>
      <c r="D320" s="181"/>
      <c r="E320" s="380"/>
      <c r="F320" s="292"/>
      <c r="G320" s="293"/>
      <c r="H320" s="381"/>
      <c r="I320" s="296"/>
      <c r="J320" s="296"/>
      <c r="K320" s="297"/>
      <c r="L320" s="297"/>
      <c r="M320" s="297"/>
      <c r="N320" s="297"/>
      <c r="O320" s="297"/>
      <c r="P320" s="296"/>
    </row>
    <row r="321">
      <c r="B321" s="291"/>
      <c r="C321" s="291"/>
      <c r="D321" s="181"/>
      <c r="E321" s="380"/>
      <c r="F321" s="292"/>
      <c r="G321" s="293"/>
      <c r="H321" s="381"/>
      <c r="I321" s="296"/>
      <c r="J321" s="296"/>
      <c r="K321" s="297"/>
      <c r="L321" s="297"/>
      <c r="M321" s="297"/>
      <c r="N321" s="297"/>
      <c r="O321" s="297"/>
      <c r="P321" s="296"/>
    </row>
    <row r="322">
      <c r="B322" s="291"/>
      <c r="C322" s="291"/>
      <c r="D322" s="181"/>
      <c r="E322" s="380"/>
      <c r="F322" s="292"/>
      <c r="G322" s="293"/>
      <c r="H322" s="381"/>
      <c r="I322" s="296"/>
      <c r="J322" s="296"/>
      <c r="K322" s="297"/>
      <c r="L322" s="297"/>
      <c r="M322" s="297"/>
      <c r="N322" s="297"/>
      <c r="O322" s="297"/>
      <c r="P322" s="296"/>
    </row>
    <row r="323">
      <c r="B323" s="291"/>
      <c r="C323" s="291"/>
      <c r="D323" s="181"/>
      <c r="E323" s="380"/>
      <c r="F323" s="292"/>
      <c r="G323" s="293"/>
      <c r="H323" s="381"/>
      <c r="I323" s="296"/>
      <c r="J323" s="296"/>
      <c r="K323" s="297"/>
      <c r="L323" s="297"/>
      <c r="M323" s="297"/>
      <c r="N323" s="297"/>
      <c r="O323" s="297"/>
      <c r="P323" s="296"/>
    </row>
    <row r="324">
      <c r="B324" s="291"/>
      <c r="C324" s="291"/>
      <c r="D324" s="181"/>
      <c r="E324" s="380"/>
      <c r="F324" s="292"/>
      <c r="G324" s="293"/>
      <c r="H324" s="381"/>
      <c r="I324" s="296"/>
      <c r="J324" s="296"/>
      <c r="K324" s="297"/>
      <c r="L324" s="297"/>
      <c r="M324" s="297"/>
      <c r="N324" s="297"/>
      <c r="O324" s="297"/>
      <c r="P324" s="296"/>
    </row>
    <row r="325">
      <c r="B325" s="291"/>
      <c r="C325" s="291"/>
      <c r="D325" s="181"/>
      <c r="E325" s="380"/>
      <c r="F325" s="292"/>
      <c r="G325" s="293"/>
      <c r="H325" s="381"/>
      <c r="I325" s="296"/>
      <c r="J325" s="296"/>
      <c r="K325" s="297"/>
      <c r="L325" s="297"/>
      <c r="M325" s="297"/>
      <c r="N325" s="297"/>
      <c r="O325" s="297"/>
      <c r="P325" s="296"/>
    </row>
    <row r="326">
      <c r="B326" s="291"/>
      <c r="C326" s="291"/>
      <c r="D326" s="181"/>
      <c r="E326" s="380"/>
      <c r="F326" s="292"/>
      <c r="G326" s="293"/>
      <c r="H326" s="381"/>
      <c r="I326" s="296"/>
      <c r="J326" s="296"/>
      <c r="K326" s="297"/>
      <c r="L326" s="297"/>
      <c r="M326" s="297"/>
      <c r="N326" s="297"/>
      <c r="O326" s="297"/>
      <c r="P326" s="296"/>
    </row>
    <row r="327">
      <c r="B327" s="291"/>
      <c r="C327" s="291"/>
      <c r="D327" s="181"/>
      <c r="E327" s="380"/>
      <c r="F327" s="292"/>
      <c r="G327" s="293"/>
      <c r="H327" s="381"/>
      <c r="I327" s="296"/>
      <c r="J327" s="296"/>
      <c r="K327" s="297"/>
      <c r="L327" s="297"/>
      <c r="M327" s="297"/>
      <c r="N327" s="297"/>
      <c r="O327" s="297"/>
      <c r="P327" s="296"/>
    </row>
    <row r="328">
      <c r="B328" s="291"/>
      <c r="C328" s="291"/>
      <c r="D328" s="181"/>
      <c r="E328" s="380"/>
      <c r="F328" s="292"/>
      <c r="G328" s="293"/>
      <c r="H328" s="381"/>
      <c r="I328" s="296"/>
      <c r="J328" s="296"/>
      <c r="K328" s="297"/>
      <c r="L328" s="297"/>
      <c r="M328" s="297"/>
      <c r="N328" s="297"/>
      <c r="O328" s="297"/>
      <c r="P328" s="296"/>
    </row>
    <row r="329">
      <c r="B329" s="291"/>
      <c r="C329" s="291"/>
      <c r="D329" s="181"/>
      <c r="E329" s="380"/>
      <c r="F329" s="292"/>
      <c r="G329" s="293"/>
      <c r="H329" s="381"/>
      <c r="I329" s="296"/>
      <c r="J329" s="296"/>
      <c r="K329" s="297"/>
      <c r="L329" s="297"/>
      <c r="M329" s="297"/>
      <c r="N329" s="297"/>
      <c r="O329" s="297"/>
      <c r="P329" s="296"/>
    </row>
    <row r="330">
      <c r="B330" s="291"/>
      <c r="C330" s="291"/>
      <c r="D330" s="181"/>
      <c r="E330" s="380"/>
      <c r="F330" s="292"/>
      <c r="G330" s="293"/>
      <c r="H330" s="381"/>
      <c r="I330" s="296"/>
      <c r="J330" s="296"/>
      <c r="K330" s="297"/>
      <c r="L330" s="297"/>
      <c r="M330" s="297"/>
      <c r="N330" s="297"/>
      <c r="O330" s="297"/>
      <c r="P330" s="296"/>
    </row>
    <row r="331">
      <c r="B331" s="291"/>
      <c r="C331" s="291"/>
      <c r="D331" s="181"/>
      <c r="E331" s="380"/>
      <c r="F331" s="292"/>
      <c r="G331" s="293"/>
      <c r="H331" s="381"/>
      <c r="I331" s="296"/>
      <c r="J331" s="296"/>
      <c r="K331" s="297"/>
      <c r="L331" s="297"/>
      <c r="M331" s="297"/>
      <c r="N331" s="297"/>
      <c r="O331" s="297"/>
      <c r="P331" s="296"/>
    </row>
    <row r="332">
      <c r="B332" s="291"/>
      <c r="C332" s="291"/>
      <c r="D332" s="181"/>
      <c r="E332" s="380"/>
      <c r="F332" s="292"/>
      <c r="G332" s="293"/>
      <c r="H332" s="381"/>
      <c r="I332" s="296"/>
      <c r="J332" s="296"/>
      <c r="K332" s="297"/>
      <c r="L332" s="297"/>
      <c r="M332" s="297"/>
      <c r="N332" s="297"/>
      <c r="O332" s="297"/>
      <c r="P332" s="296"/>
    </row>
    <row r="333">
      <c r="B333" s="291"/>
      <c r="C333" s="291"/>
      <c r="D333" s="181"/>
      <c r="E333" s="380"/>
      <c r="F333" s="292"/>
      <c r="G333" s="293"/>
      <c r="H333" s="381"/>
      <c r="I333" s="296"/>
      <c r="J333" s="296"/>
      <c r="K333" s="297"/>
      <c r="L333" s="297"/>
      <c r="M333" s="297"/>
      <c r="N333" s="297"/>
      <c r="O333" s="297"/>
      <c r="P333" s="296"/>
    </row>
    <row r="334">
      <c r="B334" s="291"/>
      <c r="C334" s="291"/>
      <c r="D334" s="181"/>
      <c r="E334" s="380"/>
      <c r="F334" s="292"/>
      <c r="G334" s="293"/>
      <c r="H334" s="381"/>
      <c r="I334" s="296"/>
      <c r="J334" s="296"/>
      <c r="K334" s="297"/>
      <c r="L334" s="297"/>
      <c r="M334" s="297"/>
      <c r="N334" s="297"/>
      <c r="O334" s="297"/>
      <c r="P334" s="296"/>
    </row>
    <row r="335">
      <c r="B335" s="291"/>
      <c r="C335" s="291"/>
      <c r="D335" s="181"/>
      <c r="E335" s="380"/>
      <c r="F335" s="292"/>
      <c r="G335" s="293"/>
      <c r="H335" s="381"/>
      <c r="I335" s="296"/>
      <c r="J335" s="296"/>
      <c r="K335" s="297"/>
      <c r="L335" s="297"/>
      <c r="M335" s="297"/>
      <c r="N335" s="297"/>
      <c r="O335" s="297"/>
      <c r="P335" s="296"/>
    </row>
    <row r="336">
      <c r="B336" s="291"/>
      <c r="C336" s="291"/>
      <c r="D336" s="181"/>
      <c r="E336" s="380"/>
      <c r="F336" s="292"/>
      <c r="G336" s="293"/>
      <c r="H336" s="381"/>
      <c r="I336" s="296"/>
      <c r="J336" s="296"/>
      <c r="K336" s="297"/>
      <c r="L336" s="297"/>
      <c r="M336" s="297"/>
      <c r="N336" s="297"/>
      <c r="O336" s="297"/>
      <c r="P336" s="296"/>
    </row>
    <row r="337">
      <c r="B337" s="291"/>
      <c r="C337" s="291"/>
      <c r="D337" s="181"/>
      <c r="E337" s="380"/>
      <c r="F337" s="292"/>
      <c r="G337" s="293"/>
      <c r="H337" s="381"/>
      <c r="I337" s="296"/>
      <c r="J337" s="296"/>
      <c r="K337" s="297"/>
      <c r="L337" s="297"/>
      <c r="M337" s="297"/>
      <c r="N337" s="297"/>
      <c r="O337" s="297"/>
      <c r="P337" s="296"/>
    </row>
    <row r="338">
      <c r="B338" s="291"/>
      <c r="C338" s="291"/>
      <c r="D338" s="181"/>
      <c r="E338" s="380"/>
      <c r="F338" s="292"/>
      <c r="G338" s="293"/>
      <c r="H338" s="381"/>
      <c r="I338" s="296"/>
      <c r="J338" s="296"/>
      <c r="K338" s="297"/>
      <c r="L338" s="297"/>
      <c r="M338" s="297"/>
      <c r="N338" s="297"/>
      <c r="O338" s="297"/>
      <c r="P338" s="296"/>
    </row>
    <row r="339">
      <c r="B339" s="291"/>
      <c r="C339" s="291"/>
      <c r="D339" s="181"/>
      <c r="E339" s="380"/>
      <c r="F339" s="292"/>
      <c r="G339" s="293"/>
      <c r="H339" s="381"/>
      <c r="I339" s="296"/>
      <c r="J339" s="296"/>
      <c r="K339" s="297"/>
      <c r="L339" s="297"/>
      <c r="M339" s="297"/>
      <c r="N339" s="297"/>
      <c r="O339" s="297"/>
      <c r="P339" s="296"/>
    </row>
    <row r="340">
      <c r="B340" s="291"/>
      <c r="C340" s="291"/>
      <c r="D340" s="181"/>
      <c r="E340" s="380"/>
      <c r="F340" s="292"/>
      <c r="G340" s="293"/>
      <c r="H340" s="381"/>
      <c r="I340" s="296"/>
      <c r="J340" s="296"/>
      <c r="K340" s="297"/>
      <c r="L340" s="297"/>
      <c r="M340" s="297"/>
      <c r="N340" s="297"/>
      <c r="O340" s="297"/>
      <c r="P340" s="296"/>
    </row>
    <row r="341">
      <c r="B341" s="291"/>
      <c r="C341" s="291"/>
      <c r="D341" s="181"/>
      <c r="E341" s="380"/>
      <c r="F341" s="292"/>
      <c r="G341" s="293"/>
      <c r="H341" s="381"/>
      <c r="I341" s="296"/>
      <c r="J341" s="296"/>
      <c r="K341" s="297"/>
      <c r="L341" s="297"/>
      <c r="M341" s="297"/>
      <c r="N341" s="297"/>
      <c r="O341" s="297"/>
      <c r="P341" s="296"/>
    </row>
    <row r="342">
      <c r="B342" s="291"/>
      <c r="C342" s="291"/>
      <c r="D342" s="181"/>
      <c r="E342" s="380"/>
      <c r="F342" s="292"/>
      <c r="G342" s="293"/>
      <c r="H342" s="381"/>
      <c r="I342" s="296"/>
      <c r="J342" s="296"/>
      <c r="K342" s="297"/>
      <c r="L342" s="297"/>
      <c r="M342" s="297"/>
      <c r="N342" s="297"/>
      <c r="O342" s="297"/>
      <c r="P342" s="296"/>
    </row>
    <row r="343">
      <c r="B343" s="291"/>
      <c r="C343" s="291"/>
      <c r="D343" s="181"/>
      <c r="E343" s="380"/>
      <c r="F343" s="292"/>
      <c r="G343" s="293"/>
      <c r="H343" s="381"/>
      <c r="I343" s="296"/>
      <c r="J343" s="296"/>
      <c r="K343" s="297"/>
      <c r="L343" s="297"/>
      <c r="M343" s="297"/>
      <c r="N343" s="297"/>
      <c r="O343" s="297"/>
      <c r="P343" s="296"/>
    </row>
    <row r="344">
      <c r="B344" s="291"/>
      <c r="C344" s="291"/>
      <c r="D344" s="181"/>
      <c r="E344" s="380"/>
      <c r="F344" s="292"/>
      <c r="G344" s="293"/>
      <c r="H344" s="381"/>
      <c r="I344" s="296"/>
      <c r="J344" s="296"/>
      <c r="K344" s="297"/>
      <c r="L344" s="297"/>
      <c r="M344" s="297"/>
      <c r="N344" s="297"/>
      <c r="O344" s="297"/>
      <c r="P344" s="296"/>
    </row>
    <row r="345">
      <c r="B345" s="291"/>
      <c r="C345" s="291"/>
      <c r="D345" s="181"/>
      <c r="E345" s="380"/>
      <c r="F345" s="292"/>
      <c r="G345" s="293"/>
      <c r="H345" s="381"/>
      <c r="I345" s="296"/>
      <c r="J345" s="296"/>
      <c r="K345" s="297"/>
      <c r="L345" s="297"/>
      <c r="M345" s="297"/>
      <c r="N345" s="297"/>
      <c r="O345" s="297"/>
      <c r="P345" s="296"/>
    </row>
    <row r="346">
      <c r="B346" s="291"/>
      <c r="C346" s="291"/>
      <c r="D346" s="181"/>
      <c r="E346" s="380"/>
      <c r="F346" s="292"/>
      <c r="G346" s="293"/>
      <c r="H346" s="381"/>
      <c r="I346" s="296"/>
      <c r="J346" s="296"/>
      <c r="K346" s="297"/>
      <c r="L346" s="297"/>
      <c r="M346" s="297"/>
      <c r="N346" s="297"/>
      <c r="O346" s="297"/>
      <c r="P346" s="296"/>
    </row>
    <row r="347">
      <c r="B347" s="291"/>
      <c r="C347" s="291"/>
      <c r="D347" s="181"/>
      <c r="E347" s="380"/>
      <c r="F347" s="292"/>
      <c r="G347" s="293"/>
      <c r="H347" s="381"/>
      <c r="I347" s="296"/>
      <c r="J347" s="296"/>
      <c r="K347" s="297"/>
      <c r="L347" s="297"/>
      <c r="M347" s="297"/>
      <c r="N347" s="297"/>
      <c r="O347" s="297"/>
      <c r="P347" s="296"/>
    </row>
    <row r="348">
      <c r="B348" s="291"/>
      <c r="C348" s="291"/>
      <c r="D348" s="181"/>
      <c r="E348" s="380"/>
      <c r="F348" s="292"/>
      <c r="G348" s="293"/>
      <c r="H348" s="381"/>
      <c r="I348" s="296"/>
      <c r="J348" s="296"/>
      <c r="K348" s="297"/>
      <c r="L348" s="297"/>
      <c r="M348" s="297"/>
      <c r="N348" s="297"/>
      <c r="O348" s="297"/>
      <c r="P348" s="296"/>
    </row>
    <row r="349">
      <c r="B349" s="291"/>
      <c r="C349" s="291"/>
      <c r="D349" s="181"/>
      <c r="E349" s="380"/>
      <c r="F349" s="292"/>
      <c r="G349" s="293"/>
      <c r="H349" s="381"/>
      <c r="I349" s="296"/>
      <c r="J349" s="296"/>
      <c r="K349" s="297"/>
      <c r="L349" s="297"/>
      <c r="M349" s="297"/>
      <c r="N349" s="297"/>
      <c r="O349" s="297"/>
      <c r="P349" s="296"/>
    </row>
    <row r="350">
      <c r="B350" s="291"/>
      <c r="C350" s="291"/>
      <c r="D350" s="181"/>
      <c r="E350" s="380"/>
      <c r="F350" s="292"/>
      <c r="G350" s="293"/>
      <c r="H350" s="381"/>
      <c r="I350" s="296"/>
      <c r="J350" s="296"/>
      <c r="K350" s="297"/>
      <c r="L350" s="297"/>
      <c r="M350" s="297"/>
      <c r="N350" s="297"/>
      <c r="O350" s="297"/>
      <c r="P350" s="296"/>
    </row>
    <row r="351">
      <c r="B351" s="291"/>
      <c r="C351" s="291"/>
      <c r="D351" s="181"/>
      <c r="E351" s="380"/>
      <c r="F351" s="292"/>
      <c r="G351" s="293"/>
      <c r="H351" s="381"/>
      <c r="I351" s="296"/>
      <c r="J351" s="296"/>
      <c r="K351" s="297"/>
      <c r="L351" s="297"/>
      <c r="M351" s="297"/>
      <c r="N351" s="297"/>
      <c r="O351" s="297"/>
      <c r="P351" s="296"/>
    </row>
    <row r="352">
      <c r="B352" s="291"/>
      <c r="C352" s="291"/>
      <c r="D352" s="181"/>
      <c r="E352" s="380"/>
      <c r="F352" s="292"/>
      <c r="G352" s="293"/>
      <c r="H352" s="381"/>
      <c r="I352" s="296"/>
      <c r="J352" s="296"/>
      <c r="K352" s="297"/>
      <c r="L352" s="297"/>
      <c r="M352" s="297"/>
      <c r="N352" s="297"/>
      <c r="O352" s="297"/>
      <c r="P352" s="296"/>
    </row>
    <row r="353">
      <c r="B353" s="291"/>
      <c r="C353" s="291"/>
      <c r="D353" s="181"/>
      <c r="E353" s="380"/>
      <c r="F353" s="292"/>
      <c r="G353" s="293"/>
      <c r="H353" s="381"/>
      <c r="I353" s="296"/>
      <c r="J353" s="296"/>
      <c r="K353" s="297"/>
      <c r="L353" s="297"/>
      <c r="M353" s="297"/>
      <c r="N353" s="297"/>
      <c r="O353" s="297"/>
      <c r="P353" s="296"/>
    </row>
    <row r="354">
      <c r="B354" s="291"/>
      <c r="C354" s="291"/>
      <c r="D354" s="181"/>
      <c r="E354" s="380"/>
      <c r="F354" s="292"/>
      <c r="G354" s="293"/>
      <c r="H354" s="381"/>
      <c r="I354" s="296"/>
      <c r="J354" s="296"/>
      <c r="K354" s="297"/>
      <c r="L354" s="297"/>
      <c r="M354" s="297"/>
      <c r="N354" s="297"/>
      <c r="O354" s="297"/>
      <c r="P354" s="296"/>
    </row>
    <row r="355">
      <c r="B355" s="291"/>
      <c r="C355" s="291"/>
      <c r="D355" s="181"/>
      <c r="E355" s="380"/>
      <c r="F355" s="292"/>
      <c r="G355" s="293"/>
      <c r="H355" s="381"/>
      <c r="I355" s="296"/>
      <c r="J355" s="296"/>
      <c r="K355" s="297"/>
      <c r="L355" s="297"/>
      <c r="M355" s="297"/>
      <c r="N355" s="297"/>
      <c r="O355" s="297"/>
      <c r="P355" s="296"/>
    </row>
    <row r="356">
      <c r="B356" s="291"/>
      <c r="C356" s="291"/>
      <c r="D356" s="181"/>
      <c r="E356" s="380"/>
      <c r="F356" s="292"/>
      <c r="G356" s="293"/>
      <c r="H356" s="381"/>
      <c r="I356" s="296"/>
      <c r="J356" s="296"/>
      <c r="K356" s="297"/>
      <c r="L356" s="297"/>
      <c r="M356" s="297"/>
      <c r="N356" s="297"/>
      <c r="O356" s="297"/>
      <c r="P356" s="296"/>
    </row>
    <row r="357">
      <c r="B357" s="291"/>
      <c r="C357" s="291"/>
      <c r="D357" s="181"/>
      <c r="E357" s="380"/>
      <c r="F357" s="292"/>
      <c r="G357" s="293"/>
      <c r="H357" s="381"/>
      <c r="I357" s="296"/>
      <c r="J357" s="296"/>
      <c r="K357" s="297"/>
      <c r="L357" s="297"/>
      <c r="M357" s="297"/>
      <c r="N357" s="297"/>
      <c r="O357" s="297"/>
      <c r="P357" s="296"/>
    </row>
    <row r="358">
      <c r="B358" s="291"/>
      <c r="C358" s="291"/>
      <c r="D358" s="181"/>
      <c r="E358" s="380"/>
      <c r="F358" s="292"/>
      <c r="G358" s="293"/>
      <c r="H358" s="381"/>
      <c r="I358" s="296"/>
      <c r="J358" s="296"/>
      <c r="K358" s="297"/>
      <c r="L358" s="297"/>
      <c r="M358" s="297"/>
      <c r="N358" s="297"/>
      <c r="O358" s="297"/>
      <c r="P358" s="296"/>
    </row>
    <row r="359">
      <c r="B359" s="291"/>
      <c r="C359" s="291"/>
      <c r="D359" s="181"/>
      <c r="E359" s="380"/>
      <c r="F359" s="292"/>
      <c r="G359" s="293"/>
      <c r="H359" s="381"/>
      <c r="I359" s="296"/>
      <c r="J359" s="296"/>
      <c r="K359" s="297"/>
      <c r="L359" s="297"/>
      <c r="M359" s="297"/>
      <c r="N359" s="297"/>
      <c r="O359" s="297"/>
      <c r="P359" s="296"/>
    </row>
    <row r="360">
      <c r="B360" s="291"/>
      <c r="C360" s="291"/>
      <c r="D360" s="181"/>
      <c r="E360" s="380"/>
      <c r="F360" s="292"/>
      <c r="G360" s="293"/>
      <c r="H360" s="381"/>
      <c r="I360" s="296"/>
      <c r="J360" s="296"/>
      <c r="K360" s="297"/>
      <c r="L360" s="297"/>
      <c r="M360" s="297"/>
      <c r="N360" s="297"/>
      <c r="O360" s="297"/>
      <c r="P360" s="296"/>
    </row>
    <row r="361">
      <c r="B361" s="291"/>
      <c r="C361" s="291"/>
      <c r="D361" s="181"/>
      <c r="E361" s="380"/>
      <c r="F361" s="292"/>
      <c r="G361" s="293"/>
      <c r="H361" s="381"/>
      <c r="I361" s="296"/>
      <c r="J361" s="296"/>
      <c r="K361" s="297"/>
      <c r="L361" s="297"/>
      <c r="M361" s="297"/>
      <c r="N361" s="297"/>
      <c r="O361" s="297"/>
      <c r="P361" s="296"/>
    </row>
    <row r="362">
      <c r="B362" s="291"/>
      <c r="C362" s="291"/>
      <c r="D362" s="181"/>
      <c r="E362" s="380"/>
      <c r="F362" s="292"/>
      <c r="G362" s="293"/>
      <c r="H362" s="381"/>
      <c r="I362" s="296"/>
      <c r="J362" s="296"/>
      <c r="K362" s="297"/>
      <c r="L362" s="297"/>
      <c r="M362" s="297"/>
      <c r="N362" s="297"/>
      <c r="O362" s="297"/>
      <c r="P362" s="296"/>
    </row>
    <row r="363">
      <c r="B363" s="291"/>
      <c r="C363" s="291"/>
      <c r="D363" s="181"/>
      <c r="E363" s="380"/>
      <c r="F363" s="292"/>
      <c r="G363" s="293"/>
      <c r="H363" s="381"/>
      <c r="I363" s="296"/>
      <c r="J363" s="296"/>
      <c r="K363" s="297"/>
      <c r="L363" s="297"/>
      <c r="M363" s="297"/>
      <c r="N363" s="297"/>
      <c r="O363" s="297"/>
      <c r="P363" s="296"/>
    </row>
    <row r="364">
      <c r="B364" s="291"/>
      <c r="C364" s="291"/>
      <c r="D364" s="181"/>
      <c r="E364" s="380"/>
      <c r="F364" s="292"/>
      <c r="G364" s="293"/>
      <c r="H364" s="381"/>
      <c r="I364" s="296"/>
      <c r="J364" s="296"/>
      <c r="K364" s="297"/>
      <c r="L364" s="297"/>
      <c r="M364" s="297"/>
      <c r="N364" s="297"/>
      <c r="O364" s="297"/>
      <c r="P364" s="296"/>
    </row>
    <row r="365">
      <c r="B365" s="291"/>
      <c r="C365" s="291"/>
      <c r="D365" s="181"/>
      <c r="E365" s="380"/>
      <c r="F365" s="292"/>
      <c r="G365" s="293"/>
      <c r="H365" s="381"/>
      <c r="I365" s="296"/>
      <c r="J365" s="296"/>
      <c r="K365" s="297"/>
      <c r="L365" s="297"/>
      <c r="M365" s="297"/>
      <c r="N365" s="297"/>
      <c r="O365" s="297"/>
      <c r="P365" s="296"/>
    </row>
    <row r="366">
      <c r="B366" s="291"/>
      <c r="C366" s="291"/>
      <c r="D366" s="181"/>
      <c r="E366" s="380"/>
      <c r="F366" s="292"/>
      <c r="G366" s="293"/>
      <c r="H366" s="381"/>
      <c r="I366" s="296"/>
      <c r="J366" s="296"/>
      <c r="K366" s="297"/>
      <c r="L366" s="297"/>
      <c r="M366" s="297"/>
      <c r="N366" s="297"/>
      <c r="O366" s="297"/>
      <c r="P366" s="296"/>
    </row>
    <row r="367">
      <c r="B367" s="291"/>
      <c r="C367" s="291"/>
      <c r="D367" s="181"/>
      <c r="E367" s="380"/>
      <c r="F367" s="292"/>
      <c r="G367" s="293"/>
      <c r="H367" s="381"/>
      <c r="I367" s="296"/>
      <c r="J367" s="296"/>
      <c r="K367" s="297"/>
      <c r="L367" s="297"/>
      <c r="M367" s="297"/>
      <c r="N367" s="297"/>
      <c r="O367" s="297"/>
      <c r="P367" s="296"/>
    </row>
    <row r="368">
      <c r="B368" s="291"/>
      <c r="C368" s="291"/>
      <c r="D368" s="181"/>
      <c r="E368" s="380"/>
      <c r="F368" s="292"/>
      <c r="G368" s="293"/>
      <c r="H368" s="381"/>
      <c r="I368" s="296"/>
      <c r="J368" s="296"/>
      <c r="K368" s="297"/>
      <c r="L368" s="297"/>
      <c r="M368" s="297"/>
      <c r="N368" s="297"/>
      <c r="O368" s="297"/>
      <c r="P368" s="296"/>
    </row>
    <row r="369">
      <c r="B369" s="291"/>
      <c r="C369" s="291"/>
      <c r="D369" s="181"/>
      <c r="E369" s="380"/>
      <c r="F369" s="292"/>
      <c r="G369" s="293"/>
      <c r="H369" s="381"/>
      <c r="I369" s="296"/>
      <c r="J369" s="296"/>
      <c r="K369" s="297"/>
      <c r="L369" s="297"/>
      <c r="M369" s="297"/>
      <c r="N369" s="297"/>
      <c r="O369" s="297"/>
      <c r="P369" s="296"/>
    </row>
    <row r="370">
      <c r="B370" s="291"/>
      <c r="C370" s="291"/>
      <c r="D370" s="181"/>
      <c r="E370" s="380"/>
      <c r="F370" s="292"/>
      <c r="G370" s="293"/>
      <c r="H370" s="381"/>
      <c r="I370" s="296"/>
      <c r="J370" s="296"/>
      <c r="K370" s="297"/>
      <c r="L370" s="297"/>
      <c r="M370" s="297"/>
      <c r="N370" s="297"/>
      <c r="O370" s="297"/>
      <c r="P370" s="296"/>
    </row>
    <row r="371">
      <c r="B371" s="291"/>
      <c r="C371" s="291"/>
      <c r="D371" s="181"/>
      <c r="E371" s="380"/>
      <c r="F371" s="292"/>
      <c r="G371" s="293"/>
      <c r="H371" s="381"/>
      <c r="I371" s="296"/>
      <c r="J371" s="296"/>
      <c r="K371" s="297"/>
      <c r="L371" s="297"/>
      <c r="M371" s="297"/>
      <c r="N371" s="297"/>
      <c r="O371" s="297"/>
      <c r="P371" s="296"/>
    </row>
    <row r="372">
      <c r="B372" s="291"/>
      <c r="C372" s="291"/>
      <c r="D372" s="181"/>
      <c r="E372" s="380"/>
      <c r="F372" s="292"/>
      <c r="G372" s="293"/>
      <c r="H372" s="381"/>
      <c r="I372" s="296"/>
      <c r="J372" s="296"/>
      <c r="K372" s="297"/>
      <c r="L372" s="297"/>
      <c r="M372" s="297"/>
      <c r="N372" s="297"/>
      <c r="O372" s="297"/>
      <c r="P372" s="296"/>
    </row>
    <row r="373">
      <c r="B373" s="291"/>
      <c r="C373" s="291"/>
      <c r="D373" s="181"/>
      <c r="E373" s="380"/>
      <c r="F373" s="292"/>
      <c r="G373" s="293"/>
      <c r="H373" s="381"/>
      <c r="I373" s="296"/>
      <c r="J373" s="296"/>
      <c r="K373" s="297"/>
      <c r="L373" s="297"/>
      <c r="M373" s="297"/>
      <c r="N373" s="297"/>
      <c r="O373" s="297"/>
      <c r="P373" s="296"/>
    </row>
    <row r="374">
      <c r="B374" s="291"/>
      <c r="C374" s="291"/>
      <c r="D374" s="181"/>
      <c r="E374" s="380"/>
      <c r="F374" s="292"/>
      <c r="G374" s="293"/>
      <c r="H374" s="381"/>
      <c r="I374" s="296"/>
      <c r="J374" s="296"/>
      <c r="K374" s="297"/>
      <c r="L374" s="297"/>
      <c r="M374" s="297"/>
      <c r="N374" s="297"/>
      <c r="O374" s="297"/>
      <c r="P374" s="296"/>
    </row>
    <row r="375">
      <c r="B375" s="291"/>
      <c r="C375" s="291"/>
      <c r="D375" s="181"/>
      <c r="E375" s="380"/>
      <c r="F375" s="292"/>
      <c r="G375" s="293"/>
      <c r="H375" s="381"/>
      <c r="I375" s="296"/>
      <c r="J375" s="296"/>
      <c r="K375" s="297"/>
      <c r="L375" s="297"/>
      <c r="M375" s="297"/>
      <c r="N375" s="297"/>
      <c r="O375" s="297"/>
      <c r="P375" s="296"/>
    </row>
    <row r="376">
      <c r="B376" s="291"/>
      <c r="C376" s="291"/>
      <c r="D376" s="181"/>
      <c r="E376" s="380"/>
      <c r="F376" s="292"/>
      <c r="G376" s="293"/>
      <c r="H376" s="381"/>
      <c r="I376" s="296"/>
      <c r="J376" s="296"/>
      <c r="K376" s="297"/>
      <c r="L376" s="297"/>
      <c r="M376" s="297"/>
      <c r="N376" s="297"/>
      <c r="O376" s="297"/>
      <c r="P376" s="296"/>
    </row>
    <row r="377">
      <c r="B377" s="291"/>
      <c r="C377" s="291"/>
      <c r="D377" s="181"/>
      <c r="E377" s="380"/>
      <c r="F377" s="292"/>
      <c r="G377" s="293"/>
      <c r="H377" s="381"/>
      <c r="I377" s="296"/>
      <c r="J377" s="296"/>
      <c r="K377" s="297"/>
      <c r="L377" s="297"/>
      <c r="M377" s="297"/>
      <c r="N377" s="297"/>
      <c r="O377" s="297"/>
      <c r="P377" s="296"/>
    </row>
    <row r="378">
      <c r="B378" s="291"/>
      <c r="C378" s="291"/>
      <c r="D378" s="181"/>
      <c r="E378" s="380"/>
      <c r="F378" s="292"/>
      <c r="G378" s="293"/>
      <c r="H378" s="381"/>
      <c r="I378" s="296"/>
      <c r="J378" s="296"/>
      <c r="K378" s="297"/>
      <c r="L378" s="297"/>
      <c r="M378" s="297"/>
      <c r="N378" s="297"/>
      <c r="O378" s="297"/>
      <c r="P378" s="296"/>
    </row>
    <row r="379">
      <c r="B379" s="291"/>
      <c r="C379" s="291"/>
      <c r="D379" s="181"/>
      <c r="E379" s="380"/>
      <c r="F379" s="292"/>
      <c r="G379" s="293"/>
      <c r="H379" s="381"/>
      <c r="I379" s="296"/>
      <c r="J379" s="296"/>
      <c r="K379" s="297"/>
      <c r="L379" s="297"/>
      <c r="M379" s="297"/>
      <c r="N379" s="297"/>
      <c r="O379" s="297"/>
      <c r="P379" s="296"/>
    </row>
    <row r="380">
      <c r="B380" s="291"/>
      <c r="C380" s="291"/>
      <c r="D380" s="181"/>
      <c r="E380" s="380"/>
      <c r="F380" s="292"/>
      <c r="G380" s="293"/>
      <c r="H380" s="381"/>
      <c r="I380" s="296"/>
      <c r="J380" s="296"/>
      <c r="K380" s="297"/>
      <c r="L380" s="297"/>
      <c r="M380" s="297"/>
      <c r="N380" s="297"/>
      <c r="O380" s="297"/>
      <c r="P380" s="296"/>
    </row>
    <row r="381">
      <c r="B381" s="291"/>
      <c r="C381" s="291"/>
      <c r="D381" s="181"/>
      <c r="E381" s="380"/>
      <c r="F381" s="292"/>
      <c r="G381" s="293"/>
      <c r="H381" s="381"/>
      <c r="I381" s="296"/>
      <c r="J381" s="296"/>
      <c r="K381" s="297"/>
      <c r="L381" s="297"/>
      <c r="M381" s="297"/>
      <c r="N381" s="297"/>
      <c r="O381" s="297"/>
      <c r="P381" s="296"/>
    </row>
    <row r="382">
      <c r="B382" s="291"/>
      <c r="C382" s="291"/>
      <c r="D382" s="181"/>
      <c r="E382" s="380"/>
      <c r="F382" s="292"/>
      <c r="G382" s="293"/>
      <c r="H382" s="381"/>
      <c r="I382" s="296"/>
      <c r="J382" s="296"/>
      <c r="K382" s="297"/>
      <c r="L382" s="297"/>
      <c r="M382" s="297"/>
      <c r="N382" s="297"/>
      <c r="O382" s="297"/>
      <c r="P382" s="296"/>
    </row>
    <row r="383">
      <c r="B383" s="291"/>
      <c r="C383" s="291"/>
      <c r="D383" s="181"/>
      <c r="E383" s="380"/>
      <c r="F383" s="292"/>
      <c r="G383" s="293"/>
      <c r="H383" s="381"/>
      <c r="I383" s="296"/>
      <c r="J383" s="296"/>
      <c r="K383" s="297"/>
      <c r="L383" s="297"/>
      <c r="M383" s="297"/>
      <c r="N383" s="297"/>
      <c r="O383" s="297"/>
      <c r="P383" s="296"/>
    </row>
    <row r="384">
      <c r="B384" s="291"/>
      <c r="C384" s="291"/>
      <c r="D384" s="181"/>
      <c r="E384" s="380"/>
      <c r="F384" s="292"/>
      <c r="G384" s="293"/>
      <c r="H384" s="381"/>
      <c r="I384" s="296"/>
      <c r="J384" s="296"/>
      <c r="K384" s="297"/>
      <c r="L384" s="297"/>
      <c r="M384" s="297"/>
      <c r="N384" s="297"/>
      <c r="O384" s="297"/>
      <c r="P384" s="296"/>
    </row>
    <row r="385">
      <c r="B385" s="291"/>
      <c r="C385" s="291"/>
      <c r="D385" s="181"/>
      <c r="E385" s="380"/>
      <c r="F385" s="292"/>
      <c r="G385" s="293"/>
      <c r="H385" s="381"/>
      <c r="I385" s="296"/>
      <c r="J385" s="296"/>
      <c r="K385" s="297"/>
      <c r="L385" s="297"/>
      <c r="M385" s="297"/>
      <c r="N385" s="297"/>
      <c r="O385" s="297"/>
      <c r="P385" s="296"/>
    </row>
    <row r="386">
      <c r="B386" s="291"/>
      <c r="C386" s="291"/>
      <c r="D386" s="181"/>
      <c r="E386" s="380"/>
      <c r="F386" s="292"/>
      <c r="G386" s="293"/>
      <c r="H386" s="381"/>
      <c r="I386" s="296"/>
      <c r="J386" s="296"/>
      <c r="K386" s="297"/>
      <c r="L386" s="297"/>
      <c r="M386" s="297"/>
      <c r="N386" s="297"/>
      <c r="O386" s="297"/>
      <c r="P386" s="296"/>
    </row>
    <row r="387">
      <c r="B387" s="291"/>
      <c r="C387" s="291"/>
      <c r="D387" s="181"/>
      <c r="E387" s="380"/>
      <c r="F387" s="292"/>
      <c r="G387" s="293"/>
      <c r="H387" s="381"/>
      <c r="I387" s="296"/>
      <c r="J387" s="296"/>
      <c r="K387" s="297"/>
      <c r="L387" s="297"/>
      <c r="M387" s="297"/>
      <c r="N387" s="297"/>
      <c r="O387" s="297"/>
      <c r="P387" s="296"/>
    </row>
    <row r="388">
      <c r="B388" s="291"/>
      <c r="C388" s="291"/>
      <c r="D388" s="181"/>
      <c r="E388" s="380"/>
      <c r="F388" s="292"/>
      <c r="G388" s="293"/>
      <c r="H388" s="381"/>
      <c r="I388" s="296"/>
      <c r="J388" s="296"/>
      <c r="K388" s="297"/>
      <c r="L388" s="297"/>
      <c r="M388" s="297"/>
      <c r="N388" s="297"/>
      <c r="O388" s="297"/>
      <c r="P388" s="296"/>
    </row>
    <row r="389">
      <c r="B389" s="291"/>
      <c r="C389" s="291"/>
      <c r="D389" s="181"/>
      <c r="E389" s="380"/>
      <c r="F389" s="292"/>
      <c r="G389" s="293"/>
      <c r="H389" s="381"/>
      <c r="I389" s="296"/>
      <c r="J389" s="296"/>
      <c r="K389" s="297"/>
      <c r="L389" s="297"/>
      <c r="M389" s="297"/>
      <c r="N389" s="297"/>
      <c r="O389" s="297"/>
      <c r="P389" s="296"/>
    </row>
    <row r="390">
      <c r="B390" s="291"/>
      <c r="C390" s="291"/>
      <c r="D390" s="181"/>
      <c r="E390" s="380"/>
      <c r="F390" s="292"/>
      <c r="G390" s="293"/>
      <c r="H390" s="381"/>
      <c r="I390" s="296"/>
      <c r="J390" s="296"/>
      <c r="K390" s="297"/>
      <c r="L390" s="297"/>
      <c r="M390" s="297"/>
      <c r="N390" s="297"/>
      <c r="O390" s="297"/>
      <c r="P390" s="296"/>
    </row>
    <row r="391">
      <c r="B391" s="291"/>
      <c r="C391" s="291"/>
      <c r="D391" s="181"/>
      <c r="E391" s="380"/>
      <c r="F391" s="292"/>
      <c r="G391" s="293"/>
      <c r="H391" s="381"/>
      <c r="I391" s="296"/>
      <c r="J391" s="296"/>
      <c r="K391" s="297"/>
      <c r="L391" s="297"/>
      <c r="M391" s="297"/>
      <c r="N391" s="297"/>
      <c r="O391" s="297"/>
      <c r="P391" s="296"/>
    </row>
    <row r="392">
      <c r="B392" s="291"/>
      <c r="C392" s="291"/>
      <c r="D392" s="181"/>
      <c r="E392" s="380"/>
      <c r="F392" s="292"/>
      <c r="G392" s="293"/>
      <c r="H392" s="381"/>
      <c r="I392" s="296"/>
      <c r="J392" s="296"/>
      <c r="K392" s="297"/>
      <c r="L392" s="297"/>
      <c r="M392" s="297"/>
      <c r="N392" s="297"/>
      <c r="O392" s="297"/>
      <c r="P392" s="296"/>
    </row>
    <row r="393">
      <c r="B393" s="291"/>
      <c r="C393" s="291"/>
      <c r="D393" s="181"/>
      <c r="E393" s="380"/>
      <c r="F393" s="292"/>
      <c r="G393" s="293"/>
      <c r="H393" s="381"/>
      <c r="I393" s="296"/>
      <c r="J393" s="296"/>
      <c r="K393" s="297"/>
      <c r="L393" s="297"/>
      <c r="M393" s="297"/>
      <c r="N393" s="297"/>
      <c r="O393" s="297"/>
      <c r="P393" s="296"/>
    </row>
    <row r="394">
      <c r="B394" s="291"/>
      <c r="C394" s="291"/>
      <c r="D394" s="181"/>
      <c r="E394" s="380"/>
      <c r="F394" s="292"/>
      <c r="G394" s="293"/>
      <c r="H394" s="381"/>
      <c r="I394" s="296"/>
      <c r="J394" s="296"/>
      <c r="K394" s="297"/>
      <c r="L394" s="297"/>
      <c r="M394" s="297"/>
      <c r="N394" s="297"/>
      <c r="O394" s="297"/>
      <c r="P394" s="296"/>
    </row>
    <row r="395">
      <c r="B395" s="291"/>
      <c r="C395" s="291"/>
      <c r="D395" s="181"/>
      <c r="E395" s="380"/>
      <c r="F395" s="292"/>
      <c r="G395" s="293"/>
      <c r="H395" s="381"/>
      <c r="I395" s="296"/>
      <c r="J395" s="296"/>
      <c r="K395" s="297"/>
      <c r="L395" s="297"/>
      <c r="M395" s="297"/>
      <c r="N395" s="297"/>
      <c r="O395" s="297"/>
      <c r="P395" s="296"/>
    </row>
    <row r="396">
      <c r="B396" s="291"/>
      <c r="C396" s="291"/>
      <c r="D396" s="181"/>
      <c r="E396" s="380"/>
      <c r="F396" s="292"/>
      <c r="G396" s="293"/>
      <c r="H396" s="381"/>
      <c r="I396" s="296"/>
      <c r="J396" s="296"/>
      <c r="K396" s="297"/>
      <c r="L396" s="297"/>
      <c r="M396" s="297"/>
      <c r="N396" s="297"/>
      <c r="O396" s="297"/>
      <c r="P396" s="296"/>
    </row>
    <row r="397">
      <c r="B397" s="291"/>
      <c r="C397" s="291"/>
      <c r="D397" s="181"/>
      <c r="E397" s="380"/>
      <c r="F397" s="292"/>
      <c r="G397" s="293"/>
      <c r="H397" s="381"/>
      <c r="I397" s="296"/>
      <c r="J397" s="296"/>
      <c r="K397" s="297"/>
      <c r="L397" s="297"/>
      <c r="M397" s="297"/>
      <c r="N397" s="297"/>
      <c r="O397" s="297"/>
      <c r="P397" s="296"/>
    </row>
    <row r="398">
      <c r="B398" s="291"/>
      <c r="C398" s="291"/>
      <c r="D398" s="181"/>
      <c r="E398" s="380"/>
      <c r="F398" s="292"/>
      <c r="G398" s="293"/>
      <c r="H398" s="381"/>
      <c r="I398" s="296"/>
      <c r="J398" s="296"/>
      <c r="K398" s="297"/>
      <c r="L398" s="297"/>
      <c r="M398" s="297"/>
      <c r="N398" s="297"/>
      <c r="O398" s="297"/>
      <c r="P398" s="296"/>
    </row>
    <row r="399">
      <c r="B399" s="291"/>
      <c r="C399" s="291"/>
      <c r="D399" s="181"/>
      <c r="E399" s="380"/>
      <c r="F399" s="292"/>
      <c r="G399" s="293"/>
      <c r="H399" s="381"/>
      <c r="I399" s="296"/>
      <c r="J399" s="296"/>
      <c r="K399" s="297"/>
      <c r="L399" s="297"/>
      <c r="M399" s="297"/>
      <c r="N399" s="297"/>
      <c r="O399" s="297"/>
      <c r="P399" s="296"/>
    </row>
    <row r="400">
      <c r="B400" s="291"/>
      <c r="C400" s="291"/>
      <c r="D400" s="181"/>
      <c r="E400" s="380"/>
      <c r="F400" s="292"/>
      <c r="G400" s="293"/>
      <c r="H400" s="381"/>
      <c r="I400" s="296"/>
      <c r="J400" s="296"/>
      <c r="K400" s="297"/>
      <c r="L400" s="297"/>
      <c r="M400" s="297"/>
      <c r="N400" s="297"/>
      <c r="O400" s="297"/>
      <c r="P400" s="296"/>
    </row>
    <row r="401">
      <c r="B401" s="291"/>
      <c r="C401" s="291"/>
      <c r="D401" s="181"/>
      <c r="E401" s="380"/>
      <c r="F401" s="292"/>
      <c r="G401" s="293"/>
      <c r="H401" s="381"/>
      <c r="I401" s="296"/>
      <c r="J401" s="296"/>
      <c r="K401" s="297"/>
      <c r="L401" s="297"/>
      <c r="M401" s="297"/>
      <c r="N401" s="297"/>
      <c r="O401" s="297"/>
      <c r="P401" s="296"/>
    </row>
    <row r="402">
      <c r="B402" s="291"/>
      <c r="C402" s="291"/>
      <c r="D402" s="181"/>
      <c r="E402" s="380"/>
      <c r="F402" s="292"/>
      <c r="G402" s="293"/>
      <c r="H402" s="381"/>
      <c r="I402" s="296"/>
      <c r="J402" s="296"/>
      <c r="K402" s="297"/>
      <c r="L402" s="297"/>
      <c r="M402" s="297"/>
      <c r="N402" s="297"/>
      <c r="O402" s="297"/>
      <c r="P402" s="296"/>
    </row>
    <row r="403">
      <c r="B403" s="291"/>
      <c r="C403" s="291"/>
      <c r="D403" s="181"/>
      <c r="E403" s="380"/>
      <c r="F403" s="292"/>
      <c r="G403" s="293"/>
      <c r="H403" s="381"/>
      <c r="I403" s="296"/>
      <c r="J403" s="296"/>
      <c r="K403" s="297"/>
      <c r="L403" s="297"/>
      <c r="M403" s="297"/>
      <c r="N403" s="297"/>
      <c r="O403" s="297"/>
      <c r="P403" s="296"/>
    </row>
    <row r="404">
      <c r="B404" s="291"/>
      <c r="C404" s="291"/>
      <c r="D404" s="181"/>
      <c r="E404" s="380"/>
      <c r="F404" s="292"/>
      <c r="G404" s="293"/>
      <c r="H404" s="381"/>
      <c r="I404" s="296"/>
      <c r="J404" s="296"/>
      <c r="K404" s="297"/>
      <c r="L404" s="297"/>
      <c r="M404" s="297"/>
      <c r="N404" s="297"/>
      <c r="O404" s="297"/>
      <c r="P404" s="296"/>
    </row>
    <row r="405">
      <c r="B405" s="291"/>
      <c r="C405" s="291"/>
      <c r="D405" s="181"/>
      <c r="E405" s="380"/>
      <c r="F405" s="292"/>
      <c r="G405" s="293"/>
      <c r="H405" s="381"/>
      <c r="I405" s="296"/>
      <c r="J405" s="296"/>
      <c r="K405" s="297"/>
      <c r="L405" s="297"/>
      <c r="M405" s="297"/>
      <c r="N405" s="297"/>
      <c r="O405" s="297"/>
      <c r="P405" s="296"/>
    </row>
    <row r="406">
      <c r="B406" s="291"/>
      <c r="C406" s="291"/>
      <c r="D406" s="181"/>
      <c r="E406" s="380"/>
      <c r="F406" s="292"/>
      <c r="G406" s="293"/>
      <c r="H406" s="381"/>
      <c r="I406" s="296"/>
      <c r="J406" s="296"/>
      <c r="K406" s="297"/>
      <c r="L406" s="297"/>
      <c r="M406" s="297"/>
      <c r="N406" s="297"/>
      <c r="O406" s="297"/>
      <c r="P406" s="296"/>
    </row>
    <row r="407">
      <c r="B407" s="291"/>
      <c r="C407" s="291"/>
      <c r="D407" s="181"/>
      <c r="E407" s="380"/>
      <c r="F407" s="292"/>
      <c r="G407" s="293"/>
      <c r="H407" s="381"/>
      <c r="I407" s="296"/>
      <c r="J407" s="296"/>
      <c r="K407" s="297"/>
      <c r="L407" s="297"/>
      <c r="M407" s="297"/>
      <c r="N407" s="297"/>
      <c r="O407" s="297"/>
      <c r="P407" s="296"/>
    </row>
    <row r="408">
      <c r="B408" s="291"/>
      <c r="C408" s="291"/>
      <c r="D408" s="181"/>
      <c r="E408" s="380"/>
      <c r="F408" s="292"/>
      <c r="G408" s="293"/>
      <c r="H408" s="381"/>
      <c r="I408" s="296"/>
      <c r="J408" s="296"/>
      <c r="K408" s="297"/>
      <c r="L408" s="297"/>
      <c r="M408" s="297"/>
      <c r="N408" s="297"/>
      <c r="O408" s="297"/>
      <c r="P408" s="296"/>
    </row>
    <row r="409">
      <c r="B409" s="291"/>
      <c r="C409" s="291"/>
      <c r="D409" s="181"/>
      <c r="E409" s="380"/>
      <c r="F409" s="292"/>
      <c r="G409" s="293"/>
      <c r="H409" s="381"/>
      <c r="I409" s="296"/>
      <c r="J409" s="296"/>
      <c r="K409" s="297"/>
      <c r="L409" s="297"/>
      <c r="M409" s="297"/>
      <c r="N409" s="297"/>
      <c r="O409" s="297"/>
      <c r="P409" s="296"/>
    </row>
    <row r="410">
      <c r="B410" s="291"/>
      <c r="C410" s="291"/>
      <c r="D410" s="181"/>
      <c r="E410" s="380"/>
      <c r="F410" s="292"/>
      <c r="G410" s="293"/>
      <c r="H410" s="381"/>
      <c r="I410" s="296"/>
      <c r="J410" s="296"/>
      <c r="K410" s="297"/>
      <c r="L410" s="297"/>
      <c r="M410" s="297"/>
      <c r="N410" s="297"/>
      <c r="O410" s="297"/>
      <c r="P410" s="296"/>
    </row>
    <row r="411">
      <c r="B411" s="291"/>
      <c r="C411" s="291"/>
      <c r="D411" s="181"/>
      <c r="E411" s="380"/>
      <c r="F411" s="292"/>
      <c r="G411" s="293"/>
      <c r="H411" s="381"/>
      <c r="I411" s="296"/>
      <c r="J411" s="296"/>
      <c r="K411" s="297"/>
      <c r="L411" s="297"/>
      <c r="M411" s="297"/>
      <c r="N411" s="297"/>
      <c r="O411" s="297"/>
      <c r="P411" s="296"/>
    </row>
    <row r="412">
      <c r="B412" s="291"/>
      <c r="C412" s="291"/>
      <c r="D412" s="181"/>
      <c r="E412" s="380"/>
      <c r="F412" s="292"/>
      <c r="G412" s="293"/>
      <c r="H412" s="381"/>
      <c r="I412" s="296"/>
      <c r="J412" s="296"/>
      <c r="K412" s="297"/>
      <c r="L412" s="297"/>
      <c r="M412" s="297"/>
      <c r="N412" s="297"/>
      <c r="O412" s="297"/>
      <c r="P412" s="296"/>
    </row>
    <row r="413">
      <c r="B413" s="291"/>
      <c r="C413" s="291"/>
      <c r="D413" s="181"/>
      <c r="E413" s="380"/>
      <c r="F413" s="292"/>
      <c r="G413" s="293"/>
      <c r="H413" s="381"/>
      <c r="I413" s="296"/>
      <c r="J413" s="296"/>
      <c r="K413" s="297"/>
      <c r="L413" s="297"/>
      <c r="M413" s="297"/>
      <c r="N413" s="297"/>
      <c r="O413" s="297"/>
      <c r="P413" s="296"/>
    </row>
    <row r="414">
      <c r="B414" s="291"/>
      <c r="C414" s="291"/>
      <c r="D414" s="181"/>
      <c r="E414" s="380"/>
      <c r="F414" s="292"/>
      <c r="G414" s="293"/>
      <c r="H414" s="381"/>
      <c r="I414" s="296"/>
      <c r="J414" s="296"/>
      <c r="K414" s="297"/>
      <c r="L414" s="297"/>
      <c r="M414" s="297"/>
      <c r="N414" s="297"/>
      <c r="O414" s="297"/>
      <c r="P414" s="296"/>
    </row>
    <row r="415">
      <c r="B415" s="291"/>
      <c r="C415" s="291"/>
      <c r="D415" s="181"/>
      <c r="E415" s="380"/>
      <c r="F415" s="292"/>
      <c r="G415" s="293"/>
      <c r="H415" s="381"/>
      <c r="I415" s="296"/>
      <c r="J415" s="296"/>
      <c r="K415" s="297"/>
      <c r="L415" s="297"/>
      <c r="M415" s="297"/>
      <c r="N415" s="297"/>
      <c r="O415" s="297"/>
      <c r="P415" s="296"/>
    </row>
    <row r="416">
      <c r="B416" s="291"/>
      <c r="C416" s="291"/>
      <c r="D416" s="181"/>
      <c r="E416" s="380"/>
      <c r="F416" s="292"/>
      <c r="G416" s="293"/>
      <c r="H416" s="381"/>
      <c r="I416" s="296"/>
      <c r="J416" s="296"/>
      <c r="K416" s="297"/>
      <c r="L416" s="297"/>
      <c r="M416" s="297"/>
      <c r="N416" s="297"/>
      <c r="O416" s="297"/>
      <c r="P416" s="296"/>
    </row>
    <row r="417">
      <c r="B417" s="291"/>
      <c r="C417" s="291"/>
      <c r="D417" s="181"/>
      <c r="E417" s="380"/>
      <c r="F417" s="292"/>
      <c r="G417" s="293"/>
      <c r="H417" s="381"/>
      <c r="I417" s="296"/>
      <c r="J417" s="296"/>
      <c r="K417" s="297"/>
      <c r="L417" s="297"/>
      <c r="M417" s="297"/>
      <c r="N417" s="297"/>
      <c r="O417" s="297"/>
      <c r="P417" s="296"/>
    </row>
    <row r="418">
      <c r="B418" s="291"/>
      <c r="C418" s="291"/>
      <c r="D418" s="181"/>
      <c r="E418" s="380"/>
      <c r="F418" s="292"/>
      <c r="G418" s="293"/>
      <c r="H418" s="381"/>
      <c r="I418" s="296"/>
      <c r="J418" s="296"/>
      <c r="K418" s="297"/>
      <c r="L418" s="297"/>
      <c r="M418" s="297"/>
      <c r="N418" s="297"/>
      <c r="O418" s="297"/>
      <c r="P418" s="296"/>
    </row>
    <row r="419">
      <c r="B419" s="291"/>
      <c r="C419" s="291"/>
      <c r="D419" s="181"/>
      <c r="E419" s="380"/>
      <c r="F419" s="292"/>
      <c r="G419" s="293"/>
      <c r="H419" s="381"/>
      <c r="I419" s="296"/>
      <c r="J419" s="296"/>
      <c r="K419" s="297"/>
      <c r="L419" s="297"/>
      <c r="M419" s="297"/>
      <c r="N419" s="297"/>
      <c r="O419" s="297"/>
      <c r="P419" s="296"/>
    </row>
    <row r="420">
      <c r="B420" s="291"/>
      <c r="C420" s="291"/>
      <c r="D420" s="181"/>
      <c r="E420" s="380"/>
      <c r="F420" s="292"/>
      <c r="G420" s="293"/>
      <c r="H420" s="381"/>
      <c r="I420" s="296"/>
      <c r="J420" s="296"/>
      <c r="K420" s="297"/>
      <c r="L420" s="297"/>
      <c r="M420" s="297"/>
      <c r="N420" s="297"/>
      <c r="O420" s="297"/>
      <c r="P420" s="296"/>
    </row>
    <row r="421">
      <c r="B421" s="291"/>
      <c r="C421" s="291"/>
      <c r="D421" s="181"/>
      <c r="E421" s="380"/>
      <c r="F421" s="292"/>
      <c r="G421" s="293"/>
      <c r="H421" s="381"/>
      <c r="I421" s="296"/>
      <c r="J421" s="296"/>
      <c r="K421" s="297"/>
      <c r="L421" s="297"/>
      <c r="M421" s="297"/>
      <c r="N421" s="297"/>
      <c r="O421" s="297"/>
      <c r="P421" s="296"/>
    </row>
    <row r="422">
      <c r="B422" s="291"/>
      <c r="C422" s="291"/>
      <c r="D422" s="181"/>
      <c r="E422" s="380"/>
      <c r="F422" s="292"/>
      <c r="G422" s="293"/>
      <c r="H422" s="381"/>
      <c r="I422" s="296"/>
      <c r="J422" s="296"/>
      <c r="K422" s="297"/>
      <c r="L422" s="297"/>
      <c r="M422" s="297"/>
      <c r="N422" s="297"/>
      <c r="O422" s="297"/>
      <c r="P422" s="296"/>
    </row>
    <row r="423">
      <c r="B423" s="291"/>
      <c r="C423" s="291"/>
      <c r="D423" s="181"/>
      <c r="E423" s="380"/>
      <c r="F423" s="292"/>
      <c r="G423" s="293"/>
      <c r="H423" s="381"/>
      <c r="I423" s="296"/>
      <c r="J423" s="296"/>
      <c r="K423" s="297"/>
      <c r="L423" s="297"/>
      <c r="M423" s="297"/>
      <c r="N423" s="297"/>
      <c r="O423" s="297"/>
      <c r="P423" s="296"/>
    </row>
    <row r="424">
      <c r="B424" s="291"/>
      <c r="C424" s="291"/>
      <c r="D424" s="181"/>
      <c r="E424" s="380"/>
      <c r="F424" s="292"/>
      <c r="G424" s="293"/>
      <c r="H424" s="381"/>
      <c r="I424" s="296"/>
      <c r="J424" s="296"/>
      <c r="K424" s="297"/>
      <c r="L424" s="297"/>
      <c r="M424" s="297"/>
      <c r="N424" s="297"/>
      <c r="O424" s="297"/>
      <c r="P424" s="296"/>
    </row>
    <row r="425">
      <c r="B425" s="291"/>
      <c r="C425" s="291"/>
      <c r="D425" s="181"/>
      <c r="E425" s="380"/>
      <c r="F425" s="292"/>
      <c r="G425" s="293"/>
      <c r="H425" s="381"/>
      <c r="I425" s="296"/>
      <c r="J425" s="296"/>
      <c r="K425" s="297"/>
      <c r="L425" s="297"/>
      <c r="M425" s="297"/>
      <c r="N425" s="297"/>
      <c r="O425" s="297"/>
      <c r="P425" s="296"/>
    </row>
    <row r="426">
      <c r="B426" s="291"/>
      <c r="C426" s="291"/>
      <c r="D426" s="181"/>
      <c r="E426" s="380"/>
      <c r="F426" s="292"/>
      <c r="G426" s="293"/>
      <c r="H426" s="381"/>
      <c r="I426" s="296"/>
      <c r="J426" s="296"/>
      <c r="K426" s="297"/>
      <c r="L426" s="297"/>
      <c r="M426" s="297"/>
      <c r="N426" s="297"/>
      <c r="O426" s="297"/>
      <c r="P426" s="296"/>
    </row>
    <row r="427">
      <c r="B427" s="291"/>
      <c r="C427" s="291"/>
      <c r="D427" s="181"/>
      <c r="E427" s="380"/>
      <c r="F427" s="292"/>
      <c r="G427" s="293"/>
      <c r="H427" s="381"/>
      <c r="I427" s="296"/>
      <c r="J427" s="296"/>
      <c r="K427" s="297"/>
      <c r="L427" s="297"/>
      <c r="M427" s="297"/>
      <c r="N427" s="297"/>
      <c r="O427" s="297"/>
      <c r="P427" s="296"/>
    </row>
    <row r="428">
      <c r="B428" s="291"/>
      <c r="C428" s="291"/>
      <c r="D428" s="181"/>
      <c r="E428" s="380"/>
      <c r="F428" s="292"/>
      <c r="G428" s="293"/>
      <c r="H428" s="381"/>
      <c r="I428" s="296"/>
      <c r="J428" s="296"/>
      <c r="K428" s="297"/>
      <c r="L428" s="297"/>
      <c r="M428" s="297"/>
      <c r="N428" s="297"/>
      <c r="O428" s="297"/>
      <c r="P428" s="296"/>
    </row>
    <row r="429">
      <c r="B429" s="291"/>
      <c r="C429" s="291"/>
      <c r="D429" s="181"/>
      <c r="E429" s="380"/>
      <c r="F429" s="292"/>
      <c r="G429" s="293"/>
      <c r="H429" s="381"/>
      <c r="I429" s="296"/>
      <c r="J429" s="296"/>
      <c r="K429" s="297"/>
      <c r="L429" s="297"/>
      <c r="M429" s="297"/>
      <c r="N429" s="297"/>
      <c r="O429" s="297"/>
      <c r="P429" s="296"/>
    </row>
    <row r="430">
      <c r="B430" s="291"/>
      <c r="C430" s="291"/>
      <c r="D430" s="181"/>
      <c r="E430" s="380"/>
      <c r="F430" s="292"/>
      <c r="G430" s="293"/>
      <c r="H430" s="381"/>
      <c r="I430" s="296"/>
      <c r="J430" s="296"/>
      <c r="K430" s="297"/>
      <c r="L430" s="297"/>
      <c r="M430" s="297"/>
      <c r="N430" s="297"/>
      <c r="O430" s="297"/>
      <c r="P430" s="296"/>
    </row>
    <row r="431">
      <c r="B431" s="291"/>
      <c r="C431" s="291"/>
      <c r="D431" s="181"/>
      <c r="E431" s="380"/>
      <c r="F431" s="292"/>
      <c r="G431" s="293"/>
      <c r="H431" s="381"/>
      <c r="I431" s="296"/>
      <c r="J431" s="296"/>
      <c r="K431" s="297"/>
      <c r="L431" s="297"/>
      <c r="M431" s="297"/>
      <c r="N431" s="297"/>
      <c r="O431" s="297"/>
      <c r="P431" s="296"/>
    </row>
    <row r="432">
      <c r="B432" s="291"/>
      <c r="C432" s="291"/>
      <c r="D432" s="181"/>
      <c r="E432" s="380"/>
      <c r="F432" s="292"/>
      <c r="G432" s="293"/>
      <c r="H432" s="381"/>
      <c r="I432" s="296"/>
      <c r="J432" s="296"/>
      <c r="K432" s="297"/>
      <c r="L432" s="297"/>
      <c r="M432" s="297"/>
      <c r="N432" s="297"/>
      <c r="O432" s="297"/>
      <c r="P432" s="296"/>
    </row>
    <row r="433">
      <c r="B433" s="291"/>
      <c r="C433" s="291"/>
      <c r="D433" s="181"/>
      <c r="E433" s="380"/>
      <c r="F433" s="292"/>
      <c r="G433" s="293"/>
      <c r="H433" s="381"/>
      <c r="I433" s="296"/>
      <c r="J433" s="296"/>
      <c r="K433" s="297"/>
      <c r="L433" s="297"/>
      <c r="M433" s="297"/>
      <c r="N433" s="297"/>
      <c r="O433" s="297"/>
      <c r="P433" s="296"/>
    </row>
    <row r="434">
      <c r="B434" s="291"/>
      <c r="C434" s="291"/>
      <c r="D434" s="181"/>
      <c r="E434" s="380"/>
      <c r="F434" s="292"/>
      <c r="G434" s="293"/>
      <c r="H434" s="381"/>
      <c r="I434" s="296"/>
      <c r="J434" s="296"/>
      <c r="K434" s="297"/>
      <c r="L434" s="297"/>
      <c r="M434" s="297"/>
      <c r="N434" s="297"/>
      <c r="O434" s="297"/>
      <c r="P434" s="296"/>
    </row>
    <row r="435">
      <c r="B435" s="291"/>
      <c r="C435" s="291"/>
      <c r="D435" s="181"/>
      <c r="E435" s="380"/>
      <c r="F435" s="292"/>
      <c r="G435" s="293"/>
      <c r="H435" s="381"/>
      <c r="I435" s="296"/>
      <c r="J435" s="296"/>
      <c r="K435" s="297"/>
      <c r="L435" s="297"/>
      <c r="M435" s="297"/>
      <c r="N435" s="297"/>
      <c r="O435" s="297"/>
      <c r="P435" s="296"/>
    </row>
    <row r="436">
      <c r="B436" s="291"/>
      <c r="C436" s="291"/>
      <c r="D436" s="181"/>
      <c r="E436" s="380"/>
      <c r="F436" s="292"/>
      <c r="G436" s="293"/>
      <c r="H436" s="381"/>
      <c r="I436" s="296"/>
      <c r="J436" s="296"/>
      <c r="K436" s="297"/>
      <c r="L436" s="297"/>
      <c r="M436" s="297"/>
      <c r="N436" s="297"/>
      <c r="O436" s="297"/>
      <c r="P436" s="296"/>
    </row>
    <row r="437">
      <c r="B437" s="291"/>
      <c r="C437" s="291"/>
      <c r="D437" s="181"/>
      <c r="E437" s="380"/>
      <c r="F437" s="292"/>
      <c r="G437" s="293"/>
      <c r="H437" s="381"/>
      <c r="I437" s="296"/>
      <c r="J437" s="296"/>
      <c r="K437" s="297"/>
      <c r="L437" s="297"/>
      <c r="M437" s="297"/>
      <c r="N437" s="297"/>
      <c r="O437" s="297"/>
      <c r="P437" s="296"/>
    </row>
    <row r="438">
      <c r="B438" s="291"/>
      <c r="C438" s="291"/>
      <c r="D438" s="181"/>
      <c r="E438" s="380"/>
      <c r="F438" s="292"/>
      <c r="G438" s="293"/>
      <c r="H438" s="381"/>
      <c r="I438" s="296"/>
      <c r="J438" s="296"/>
      <c r="K438" s="297"/>
      <c r="L438" s="297"/>
      <c r="M438" s="297"/>
      <c r="N438" s="297"/>
      <c r="O438" s="297"/>
      <c r="P438" s="296"/>
    </row>
    <row r="439">
      <c r="B439" s="291"/>
      <c r="C439" s="291"/>
      <c r="D439" s="181"/>
      <c r="E439" s="380"/>
      <c r="F439" s="292"/>
      <c r="G439" s="293"/>
      <c r="H439" s="381"/>
      <c r="I439" s="296"/>
      <c r="J439" s="296"/>
      <c r="K439" s="297"/>
      <c r="L439" s="297"/>
      <c r="M439" s="297"/>
      <c r="N439" s="297"/>
      <c r="O439" s="297"/>
      <c r="P439" s="296"/>
    </row>
    <row r="440">
      <c r="B440" s="291"/>
      <c r="C440" s="291"/>
      <c r="D440" s="181"/>
      <c r="E440" s="380"/>
      <c r="F440" s="292"/>
      <c r="G440" s="293"/>
      <c r="H440" s="381"/>
      <c r="I440" s="296"/>
      <c r="J440" s="296"/>
      <c r="K440" s="297"/>
      <c r="L440" s="297"/>
      <c r="M440" s="297"/>
      <c r="N440" s="297"/>
      <c r="O440" s="297"/>
      <c r="P440" s="296"/>
    </row>
    <row r="441">
      <c r="B441" s="291"/>
      <c r="C441" s="291"/>
      <c r="D441" s="181"/>
      <c r="E441" s="380"/>
      <c r="F441" s="292"/>
      <c r="G441" s="293"/>
      <c r="H441" s="381"/>
      <c r="I441" s="296"/>
      <c r="J441" s="296"/>
      <c r="K441" s="297"/>
      <c r="L441" s="297"/>
      <c r="M441" s="297"/>
      <c r="N441" s="297"/>
      <c r="O441" s="297"/>
      <c r="P441" s="296"/>
    </row>
    <row r="442">
      <c r="B442" s="291"/>
      <c r="C442" s="291"/>
      <c r="D442" s="181"/>
      <c r="E442" s="380"/>
      <c r="F442" s="292"/>
      <c r="G442" s="293"/>
      <c r="H442" s="381"/>
      <c r="I442" s="296"/>
      <c r="J442" s="296"/>
      <c r="K442" s="297"/>
      <c r="L442" s="297"/>
      <c r="M442" s="297"/>
      <c r="N442" s="297"/>
      <c r="O442" s="297"/>
      <c r="P442" s="296"/>
    </row>
    <row r="443">
      <c r="B443" s="291"/>
      <c r="C443" s="291"/>
      <c r="D443" s="181"/>
      <c r="E443" s="380"/>
      <c r="F443" s="292"/>
      <c r="G443" s="293"/>
      <c r="H443" s="381"/>
      <c r="I443" s="296"/>
      <c r="J443" s="296"/>
      <c r="K443" s="297"/>
      <c r="L443" s="297"/>
      <c r="M443" s="297"/>
      <c r="N443" s="297"/>
      <c r="O443" s="297"/>
      <c r="P443" s="296"/>
    </row>
    <row r="444">
      <c r="B444" s="291"/>
      <c r="C444" s="291"/>
      <c r="D444" s="181"/>
      <c r="E444" s="380"/>
      <c r="F444" s="292"/>
      <c r="G444" s="293"/>
      <c r="H444" s="381"/>
      <c r="I444" s="296"/>
      <c r="J444" s="296"/>
      <c r="K444" s="297"/>
      <c r="L444" s="297"/>
      <c r="M444" s="297"/>
      <c r="N444" s="297"/>
      <c r="O444" s="297"/>
      <c r="P444" s="296"/>
    </row>
    <row r="445">
      <c r="B445" s="291"/>
      <c r="C445" s="291"/>
      <c r="D445" s="181"/>
      <c r="E445" s="380"/>
      <c r="F445" s="292"/>
      <c r="G445" s="293"/>
      <c r="H445" s="381"/>
      <c r="I445" s="296"/>
      <c r="J445" s="296"/>
      <c r="K445" s="297"/>
      <c r="L445" s="297"/>
      <c r="M445" s="297"/>
      <c r="N445" s="297"/>
      <c r="O445" s="297"/>
      <c r="P445" s="296"/>
    </row>
    <row r="446">
      <c r="B446" s="291"/>
      <c r="C446" s="291"/>
      <c r="D446" s="181"/>
      <c r="E446" s="380"/>
      <c r="F446" s="292"/>
      <c r="G446" s="293"/>
      <c r="H446" s="381"/>
      <c r="I446" s="296"/>
      <c r="J446" s="296"/>
      <c r="K446" s="297"/>
      <c r="L446" s="297"/>
      <c r="M446" s="297"/>
      <c r="N446" s="297"/>
      <c r="O446" s="297"/>
      <c r="P446" s="296"/>
    </row>
    <row r="447">
      <c r="B447" s="291"/>
      <c r="C447" s="291"/>
      <c r="D447" s="181"/>
      <c r="E447" s="380"/>
      <c r="F447" s="292"/>
      <c r="G447" s="293"/>
      <c r="H447" s="381"/>
      <c r="I447" s="296"/>
      <c r="J447" s="296"/>
      <c r="K447" s="297"/>
      <c r="L447" s="297"/>
      <c r="M447" s="297"/>
      <c r="N447" s="297"/>
      <c r="O447" s="297"/>
      <c r="P447" s="296"/>
    </row>
    <row r="448">
      <c r="B448" s="291"/>
      <c r="C448" s="291"/>
      <c r="D448" s="181"/>
      <c r="E448" s="380"/>
      <c r="F448" s="292"/>
      <c r="G448" s="293"/>
      <c r="H448" s="381"/>
      <c r="I448" s="296"/>
      <c r="J448" s="296"/>
      <c r="K448" s="297"/>
      <c r="L448" s="297"/>
      <c r="M448" s="297"/>
      <c r="N448" s="297"/>
      <c r="O448" s="297"/>
      <c r="P448" s="296"/>
    </row>
    <row r="449">
      <c r="B449" s="291"/>
      <c r="C449" s="291"/>
      <c r="D449" s="181"/>
      <c r="E449" s="380"/>
      <c r="F449" s="292"/>
      <c r="G449" s="293"/>
      <c r="H449" s="381"/>
      <c r="I449" s="296"/>
      <c r="J449" s="296"/>
      <c r="K449" s="297"/>
      <c r="L449" s="297"/>
      <c r="M449" s="297"/>
      <c r="N449" s="297"/>
      <c r="O449" s="297"/>
      <c r="P449" s="296"/>
    </row>
    <row r="450">
      <c r="B450" s="291"/>
      <c r="C450" s="291"/>
      <c r="D450" s="181"/>
      <c r="E450" s="380"/>
      <c r="F450" s="292"/>
      <c r="G450" s="293"/>
      <c r="H450" s="381"/>
      <c r="I450" s="296"/>
      <c r="J450" s="296"/>
      <c r="K450" s="297"/>
      <c r="L450" s="297"/>
      <c r="M450" s="297"/>
      <c r="N450" s="297"/>
      <c r="O450" s="297"/>
      <c r="P450" s="296"/>
    </row>
    <row r="451">
      <c r="B451" s="291"/>
      <c r="C451" s="291"/>
      <c r="D451" s="181"/>
      <c r="E451" s="380"/>
      <c r="F451" s="292"/>
      <c r="G451" s="293"/>
      <c r="H451" s="381"/>
      <c r="I451" s="296"/>
      <c r="J451" s="296"/>
      <c r="K451" s="297"/>
      <c r="L451" s="297"/>
      <c r="M451" s="297"/>
      <c r="N451" s="297"/>
      <c r="O451" s="297"/>
      <c r="P451" s="296"/>
    </row>
    <row r="452">
      <c r="B452" s="291"/>
      <c r="C452" s="291"/>
      <c r="D452" s="181"/>
      <c r="E452" s="380"/>
      <c r="F452" s="292"/>
      <c r="G452" s="293"/>
      <c r="H452" s="381"/>
      <c r="I452" s="296"/>
      <c r="J452" s="296"/>
      <c r="K452" s="297"/>
      <c r="L452" s="297"/>
      <c r="M452" s="297"/>
      <c r="N452" s="297"/>
      <c r="O452" s="297"/>
      <c r="P452" s="296"/>
    </row>
    <row r="453">
      <c r="B453" s="291"/>
      <c r="C453" s="291"/>
      <c r="D453" s="181"/>
      <c r="E453" s="380"/>
      <c r="F453" s="292"/>
      <c r="G453" s="293"/>
      <c r="H453" s="381"/>
      <c r="I453" s="296"/>
      <c r="J453" s="296"/>
      <c r="K453" s="297"/>
      <c r="L453" s="297"/>
      <c r="M453" s="297"/>
      <c r="N453" s="297"/>
      <c r="O453" s="297"/>
      <c r="P453" s="296"/>
    </row>
    <row r="454">
      <c r="B454" s="291"/>
      <c r="C454" s="291"/>
      <c r="D454" s="181"/>
      <c r="E454" s="380"/>
      <c r="F454" s="292"/>
      <c r="G454" s="293"/>
      <c r="H454" s="381"/>
      <c r="I454" s="296"/>
      <c r="J454" s="296"/>
      <c r="K454" s="297"/>
      <c r="L454" s="297"/>
      <c r="M454" s="297"/>
      <c r="N454" s="297"/>
      <c r="O454" s="297"/>
      <c r="P454" s="296"/>
    </row>
    <row r="455">
      <c r="B455" s="291"/>
      <c r="C455" s="291"/>
      <c r="D455" s="181"/>
      <c r="E455" s="380"/>
      <c r="F455" s="292"/>
      <c r="G455" s="293"/>
      <c r="H455" s="381"/>
      <c r="I455" s="296"/>
      <c r="J455" s="296"/>
      <c r="K455" s="297"/>
      <c r="L455" s="297"/>
      <c r="M455" s="297"/>
      <c r="N455" s="297"/>
      <c r="O455" s="297"/>
      <c r="P455" s="296"/>
    </row>
    <row r="456">
      <c r="B456" s="291"/>
      <c r="C456" s="291"/>
      <c r="D456" s="181"/>
      <c r="E456" s="380"/>
      <c r="F456" s="292"/>
      <c r="G456" s="293"/>
      <c r="H456" s="381"/>
      <c r="I456" s="296"/>
      <c r="J456" s="296"/>
      <c r="K456" s="297"/>
      <c r="L456" s="297"/>
      <c r="M456" s="297"/>
      <c r="N456" s="297"/>
      <c r="O456" s="297"/>
      <c r="P456" s="296"/>
    </row>
    <row r="457">
      <c r="B457" s="291"/>
      <c r="C457" s="291"/>
      <c r="D457" s="181"/>
      <c r="E457" s="380"/>
      <c r="F457" s="292"/>
      <c r="G457" s="293"/>
      <c r="H457" s="381"/>
      <c r="I457" s="296"/>
      <c r="J457" s="296"/>
      <c r="K457" s="297"/>
      <c r="L457" s="297"/>
      <c r="M457" s="297"/>
      <c r="N457" s="297"/>
      <c r="O457" s="297"/>
      <c r="P457" s="296"/>
    </row>
    <row r="458">
      <c r="B458" s="291"/>
      <c r="C458" s="291"/>
      <c r="D458" s="181"/>
      <c r="E458" s="380"/>
      <c r="F458" s="292"/>
      <c r="G458" s="293"/>
      <c r="H458" s="381"/>
      <c r="I458" s="296"/>
      <c r="J458" s="296"/>
      <c r="K458" s="297"/>
      <c r="L458" s="297"/>
      <c r="M458" s="297"/>
      <c r="N458" s="297"/>
      <c r="O458" s="297"/>
      <c r="P458" s="296"/>
    </row>
    <row r="459">
      <c r="B459" s="291"/>
      <c r="C459" s="291"/>
      <c r="D459" s="181"/>
      <c r="E459" s="380"/>
      <c r="F459" s="292"/>
      <c r="G459" s="293"/>
      <c r="H459" s="381"/>
      <c r="I459" s="296"/>
      <c r="J459" s="296"/>
      <c r="K459" s="297"/>
      <c r="L459" s="297"/>
      <c r="M459" s="297"/>
      <c r="N459" s="297"/>
      <c r="O459" s="297"/>
      <c r="P459" s="296"/>
    </row>
    <row r="460">
      <c r="B460" s="291"/>
      <c r="C460" s="291"/>
      <c r="D460" s="181"/>
      <c r="E460" s="380"/>
      <c r="F460" s="292"/>
      <c r="G460" s="293"/>
      <c r="H460" s="381"/>
      <c r="I460" s="296"/>
      <c r="J460" s="296"/>
      <c r="K460" s="297"/>
      <c r="L460" s="297"/>
      <c r="M460" s="297"/>
      <c r="N460" s="297"/>
      <c r="O460" s="297"/>
      <c r="P460" s="296"/>
    </row>
    <row r="461">
      <c r="B461" s="291"/>
      <c r="C461" s="291"/>
      <c r="D461" s="181"/>
      <c r="E461" s="380"/>
      <c r="F461" s="292"/>
      <c r="G461" s="293"/>
      <c r="H461" s="381"/>
      <c r="I461" s="296"/>
      <c r="J461" s="296"/>
      <c r="K461" s="297"/>
      <c r="L461" s="297"/>
      <c r="M461" s="297"/>
      <c r="N461" s="297"/>
      <c r="O461" s="297"/>
      <c r="P461" s="296"/>
    </row>
    <row r="462">
      <c r="B462" s="291"/>
      <c r="C462" s="291"/>
      <c r="D462" s="181"/>
      <c r="E462" s="380"/>
      <c r="F462" s="292"/>
      <c r="G462" s="293"/>
      <c r="H462" s="381"/>
      <c r="I462" s="296"/>
      <c r="J462" s="296"/>
      <c r="K462" s="297"/>
      <c r="L462" s="297"/>
      <c r="M462" s="297"/>
      <c r="N462" s="297"/>
      <c r="O462" s="297"/>
      <c r="P462" s="296"/>
    </row>
    <row r="463">
      <c r="B463" s="291"/>
      <c r="C463" s="291"/>
      <c r="D463" s="181"/>
      <c r="E463" s="380"/>
      <c r="F463" s="292"/>
      <c r="G463" s="293"/>
      <c r="H463" s="381"/>
      <c r="I463" s="296"/>
      <c r="J463" s="296"/>
      <c r="K463" s="297"/>
      <c r="L463" s="297"/>
      <c r="M463" s="297"/>
      <c r="N463" s="297"/>
      <c r="O463" s="297"/>
      <c r="P463" s="296"/>
    </row>
    <row r="464">
      <c r="B464" s="291"/>
      <c r="C464" s="291"/>
      <c r="D464" s="181"/>
      <c r="E464" s="380"/>
      <c r="F464" s="292"/>
      <c r="G464" s="293"/>
      <c r="H464" s="381"/>
      <c r="I464" s="296"/>
      <c r="J464" s="296"/>
      <c r="K464" s="297"/>
      <c r="L464" s="297"/>
      <c r="M464" s="297"/>
      <c r="N464" s="297"/>
      <c r="O464" s="297"/>
      <c r="P464" s="296"/>
    </row>
    <row r="465">
      <c r="B465" s="291"/>
      <c r="C465" s="291"/>
      <c r="D465" s="181"/>
      <c r="E465" s="380"/>
      <c r="F465" s="292"/>
      <c r="G465" s="293"/>
      <c r="H465" s="381"/>
      <c r="I465" s="296"/>
      <c r="J465" s="296"/>
      <c r="K465" s="297"/>
      <c r="L465" s="297"/>
      <c r="M465" s="297"/>
      <c r="N465" s="297"/>
      <c r="O465" s="297"/>
      <c r="P465" s="296"/>
    </row>
    <row r="466">
      <c r="B466" s="291"/>
      <c r="C466" s="291"/>
      <c r="D466" s="181"/>
      <c r="E466" s="380"/>
      <c r="F466" s="292"/>
      <c r="G466" s="293"/>
      <c r="H466" s="381"/>
      <c r="I466" s="296"/>
      <c r="J466" s="296"/>
      <c r="K466" s="297"/>
      <c r="L466" s="297"/>
      <c r="M466" s="297"/>
      <c r="N466" s="297"/>
      <c r="O466" s="297"/>
      <c r="P466" s="296"/>
    </row>
    <row r="467">
      <c r="B467" s="291"/>
      <c r="C467" s="291"/>
      <c r="D467" s="181"/>
      <c r="E467" s="380"/>
      <c r="F467" s="292"/>
      <c r="G467" s="293"/>
      <c r="H467" s="381"/>
      <c r="I467" s="296"/>
      <c r="J467" s="296"/>
      <c r="K467" s="297"/>
      <c r="L467" s="297"/>
      <c r="M467" s="297"/>
      <c r="N467" s="297"/>
      <c r="O467" s="297"/>
      <c r="P467" s="296"/>
    </row>
    <row r="468">
      <c r="B468" s="291"/>
      <c r="C468" s="291"/>
      <c r="D468" s="181"/>
      <c r="E468" s="380"/>
      <c r="F468" s="292"/>
      <c r="G468" s="293"/>
      <c r="H468" s="381"/>
      <c r="I468" s="296"/>
      <c r="J468" s="296"/>
      <c r="K468" s="297"/>
      <c r="L468" s="297"/>
      <c r="M468" s="297"/>
      <c r="N468" s="297"/>
      <c r="O468" s="297"/>
      <c r="P468" s="296"/>
    </row>
    <row r="469">
      <c r="B469" s="291"/>
      <c r="C469" s="291"/>
      <c r="D469" s="181"/>
      <c r="E469" s="380"/>
      <c r="F469" s="292"/>
      <c r="G469" s="293"/>
      <c r="H469" s="381"/>
      <c r="I469" s="296"/>
      <c r="J469" s="296"/>
      <c r="K469" s="297"/>
      <c r="L469" s="297"/>
      <c r="M469" s="297"/>
      <c r="N469" s="297"/>
      <c r="O469" s="297"/>
      <c r="P469" s="296"/>
    </row>
    <row r="470">
      <c r="B470" s="291"/>
      <c r="C470" s="291"/>
      <c r="D470" s="181"/>
      <c r="E470" s="380"/>
      <c r="F470" s="292"/>
      <c r="G470" s="293"/>
      <c r="H470" s="381"/>
      <c r="I470" s="296"/>
      <c r="J470" s="296"/>
      <c r="K470" s="297"/>
      <c r="L470" s="297"/>
      <c r="M470" s="297"/>
      <c r="N470" s="297"/>
      <c r="O470" s="297"/>
      <c r="P470" s="296"/>
    </row>
    <row r="471">
      <c r="B471" s="291"/>
      <c r="C471" s="291"/>
      <c r="D471" s="181"/>
      <c r="E471" s="380"/>
      <c r="F471" s="292"/>
      <c r="G471" s="293"/>
      <c r="H471" s="381"/>
      <c r="I471" s="296"/>
      <c r="J471" s="296"/>
      <c r="K471" s="297"/>
      <c r="L471" s="297"/>
      <c r="M471" s="297"/>
      <c r="N471" s="297"/>
      <c r="O471" s="297"/>
      <c r="P471" s="296"/>
    </row>
    <row r="472">
      <c r="B472" s="291"/>
      <c r="C472" s="291"/>
      <c r="D472" s="181"/>
      <c r="E472" s="380"/>
      <c r="F472" s="292"/>
      <c r="G472" s="293"/>
      <c r="H472" s="381"/>
      <c r="I472" s="296"/>
      <c r="J472" s="296"/>
      <c r="K472" s="297"/>
      <c r="L472" s="297"/>
      <c r="M472" s="297"/>
      <c r="N472" s="297"/>
      <c r="O472" s="297"/>
      <c r="P472" s="296"/>
    </row>
    <row r="473">
      <c r="B473" s="291"/>
      <c r="C473" s="291"/>
      <c r="D473" s="181"/>
      <c r="E473" s="380"/>
      <c r="F473" s="292"/>
      <c r="G473" s="293"/>
      <c r="H473" s="381"/>
      <c r="I473" s="296"/>
      <c r="J473" s="296"/>
      <c r="K473" s="297"/>
      <c r="L473" s="297"/>
      <c r="M473" s="297"/>
      <c r="N473" s="297"/>
      <c r="O473" s="297"/>
      <c r="P473" s="296"/>
    </row>
    <row r="474">
      <c r="B474" s="291"/>
      <c r="C474" s="291"/>
      <c r="D474" s="181"/>
      <c r="E474" s="380"/>
      <c r="F474" s="292"/>
      <c r="G474" s="293"/>
      <c r="H474" s="381"/>
      <c r="I474" s="296"/>
      <c r="J474" s="296"/>
      <c r="K474" s="297"/>
      <c r="L474" s="297"/>
      <c r="M474" s="297"/>
      <c r="N474" s="297"/>
      <c r="O474" s="297"/>
      <c r="P474" s="296"/>
    </row>
    <row r="475">
      <c r="B475" s="291"/>
      <c r="C475" s="291"/>
      <c r="D475" s="181"/>
      <c r="E475" s="380"/>
      <c r="F475" s="292"/>
      <c r="G475" s="293"/>
      <c r="H475" s="381"/>
      <c r="I475" s="296"/>
      <c r="J475" s="296"/>
      <c r="K475" s="297"/>
      <c r="L475" s="297"/>
      <c r="M475" s="297"/>
      <c r="N475" s="297"/>
      <c r="O475" s="297"/>
      <c r="P475" s="296"/>
    </row>
    <row r="476">
      <c r="B476" s="291"/>
      <c r="C476" s="291"/>
      <c r="D476" s="181"/>
      <c r="E476" s="380"/>
      <c r="F476" s="292"/>
      <c r="G476" s="293"/>
      <c r="H476" s="381"/>
      <c r="I476" s="296"/>
      <c r="J476" s="296"/>
      <c r="K476" s="297"/>
      <c r="L476" s="297"/>
      <c r="M476" s="297"/>
      <c r="N476" s="297"/>
      <c r="O476" s="297"/>
      <c r="P476" s="296"/>
    </row>
    <row r="477">
      <c r="B477" s="291"/>
      <c r="C477" s="291"/>
      <c r="D477" s="181"/>
      <c r="E477" s="380"/>
      <c r="F477" s="292"/>
      <c r="G477" s="293"/>
      <c r="H477" s="381"/>
      <c r="I477" s="296"/>
      <c r="J477" s="296"/>
      <c r="K477" s="297"/>
      <c r="L477" s="297"/>
      <c r="M477" s="297"/>
      <c r="N477" s="297"/>
      <c r="O477" s="297"/>
      <c r="P477" s="296"/>
    </row>
    <row r="478">
      <c r="B478" s="291"/>
      <c r="C478" s="291"/>
      <c r="D478" s="181"/>
      <c r="E478" s="380"/>
      <c r="F478" s="292"/>
      <c r="G478" s="293"/>
      <c r="H478" s="381"/>
      <c r="I478" s="296"/>
      <c r="J478" s="296"/>
      <c r="K478" s="297"/>
      <c r="L478" s="297"/>
      <c r="M478" s="297"/>
      <c r="N478" s="297"/>
      <c r="O478" s="297"/>
      <c r="P478" s="296"/>
    </row>
    <row r="479">
      <c r="B479" s="291"/>
      <c r="C479" s="291"/>
      <c r="D479" s="181"/>
      <c r="E479" s="380"/>
      <c r="F479" s="292"/>
      <c r="G479" s="293"/>
      <c r="H479" s="381"/>
      <c r="I479" s="296"/>
      <c r="J479" s="296"/>
      <c r="K479" s="297"/>
      <c r="L479" s="297"/>
      <c r="M479" s="297"/>
      <c r="N479" s="297"/>
      <c r="O479" s="297"/>
      <c r="P479" s="296"/>
    </row>
    <row r="480">
      <c r="B480" s="291"/>
      <c r="C480" s="291"/>
      <c r="D480" s="181"/>
      <c r="E480" s="380"/>
      <c r="F480" s="292"/>
      <c r="G480" s="293"/>
      <c r="H480" s="381"/>
      <c r="I480" s="296"/>
      <c r="J480" s="296"/>
      <c r="K480" s="297"/>
      <c r="L480" s="297"/>
      <c r="M480" s="297"/>
      <c r="N480" s="297"/>
      <c r="O480" s="297"/>
      <c r="P480" s="296"/>
    </row>
    <row r="481">
      <c r="B481" s="291"/>
      <c r="C481" s="291"/>
      <c r="D481" s="181"/>
      <c r="E481" s="380"/>
      <c r="F481" s="292"/>
      <c r="G481" s="293"/>
      <c r="H481" s="381"/>
      <c r="I481" s="296"/>
      <c r="J481" s="296"/>
      <c r="K481" s="297"/>
      <c r="L481" s="297"/>
      <c r="M481" s="297"/>
      <c r="N481" s="297"/>
      <c r="O481" s="297"/>
      <c r="P481" s="296"/>
    </row>
    <row r="482">
      <c r="B482" s="291"/>
      <c r="C482" s="291"/>
      <c r="D482" s="181"/>
      <c r="E482" s="380"/>
      <c r="F482" s="292"/>
      <c r="G482" s="293"/>
      <c r="H482" s="381"/>
      <c r="I482" s="296"/>
      <c r="J482" s="296"/>
      <c r="K482" s="297"/>
      <c r="L482" s="297"/>
      <c r="M482" s="297"/>
      <c r="N482" s="297"/>
      <c r="O482" s="297"/>
      <c r="P482" s="296"/>
    </row>
    <row r="483">
      <c r="B483" s="291"/>
      <c r="C483" s="291"/>
      <c r="D483" s="181"/>
      <c r="E483" s="380"/>
      <c r="F483" s="292"/>
      <c r="G483" s="293"/>
      <c r="H483" s="381"/>
      <c r="I483" s="296"/>
      <c r="J483" s="296"/>
      <c r="K483" s="297"/>
      <c r="L483" s="297"/>
      <c r="M483" s="297"/>
      <c r="N483" s="297"/>
      <c r="O483" s="297"/>
      <c r="P483" s="296"/>
    </row>
    <row r="484">
      <c r="B484" s="291"/>
      <c r="C484" s="291"/>
      <c r="D484" s="181"/>
      <c r="E484" s="380"/>
      <c r="F484" s="292"/>
      <c r="G484" s="293"/>
      <c r="H484" s="381"/>
      <c r="I484" s="296"/>
      <c r="J484" s="296"/>
      <c r="K484" s="297"/>
      <c r="L484" s="297"/>
      <c r="M484" s="297"/>
      <c r="N484" s="297"/>
      <c r="O484" s="297"/>
      <c r="P484" s="296"/>
    </row>
    <row r="485">
      <c r="B485" s="291"/>
      <c r="C485" s="291"/>
      <c r="D485" s="181"/>
      <c r="E485" s="380"/>
      <c r="F485" s="292"/>
      <c r="G485" s="293"/>
      <c r="H485" s="381"/>
      <c r="I485" s="296"/>
      <c r="J485" s="296"/>
      <c r="K485" s="297"/>
      <c r="L485" s="297"/>
      <c r="M485" s="297"/>
      <c r="N485" s="297"/>
      <c r="O485" s="297"/>
      <c r="P485" s="296"/>
    </row>
    <row r="486">
      <c r="B486" s="291"/>
      <c r="C486" s="291"/>
      <c r="D486" s="181"/>
      <c r="E486" s="380"/>
      <c r="F486" s="292"/>
      <c r="G486" s="293"/>
      <c r="H486" s="381"/>
      <c r="I486" s="296"/>
      <c r="J486" s="296"/>
      <c r="K486" s="297"/>
      <c r="L486" s="297"/>
      <c r="M486" s="297"/>
      <c r="N486" s="297"/>
      <c r="O486" s="297"/>
      <c r="P486" s="296"/>
    </row>
    <row r="487">
      <c r="B487" s="291"/>
      <c r="C487" s="291"/>
      <c r="D487" s="181"/>
      <c r="E487" s="380"/>
      <c r="F487" s="292"/>
      <c r="G487" s="293"/>
      <c r="H487" s="381"/>
      <c r="I487" s="296"/>
      <c r="J487" s="296"/>
      <c r="K487" s="297"/>
      <c r="L487" s="297"/>
      <c r="M487" s="297"/>
      <c r="N487" s="297"/>
      <c r="O487" s="297"/>
      <c r="P487" s="296"/>
    </row>
    <row r="488">
      <c r="B488" s="291"/>
      <c r="C488" s="291"/>
      <c r="D488" s="181"/>
      <c r="E488" s="380"/>
      <c r="F488" s="292"/>
      <c r="G488" s="293"/>
      <c r="H488" s="381"/>
      <c r="I488" s="296"/>
      <c r="J488" s="296"/>
      <c r="K488" s="297"/>
      <c r="L488" s="297"/>
      <c r="M488" s="297"/>
      <c r="N488" s="297"/>
      <c r="O488" s="297"/>
      <c r="P488" s="296"/>
    </row>
    <row r="489">
      <c r="B489" s="291"/>
      <c r="C489" s="291"/>
      <c r="D489" s="181"/>
      <c r="E489" s="380"/>
      <c r="F489" s="292"/>
      <c r="G489" s="293"/>
      <c r="H489" s="381"/>
      <c r="I489" s="296"/>
      <c r="J489" s="296"/>
      <c r="K489" s="297"/>
      <c r="L489" s="297"/>
      <c r="M489" s="297"/>
      <c r="N489" s="297"/>
      <c r="O489" s="297"/>
      <c r="P489" s="296"/>
    </row>
    <row r="490">
      <c r="B490" s="291"/>
      <c r="C490" s="291"/>
      <c r="D490" s="181"/>
      <c r="E490" s="380"/>
      <c r="F490" s="292"/>
      <c r="G490" s="293"/>
      <c r="H490" s="381"/>
      <c r="I490" s="296"/>
      <c r="J490" s="296"/>
      <c r="K490" s="297"/>
      <c r="L490" s="297"/>
      <c r="M490" s="297"/>
      <c r="N490" s="297"/>
      <c r="O490" s="297"/>
      <c r="P490" s="296"/>
    </row>
    <row r="491">
      <c r="B491" s="291"/>
      <c r="C491" s="291"/>
      <c r="D491" s="181"/>
      <c r="E491" s="380"/>
      <c r="F491" s="292"/>
      <c r="G491" s="293"/>
      <c r="H491" s="381"/>
      <c r="I491" s="296"/>
      <c r="J491" s="296"/>
      <c r="K491" s="297"/>
      <c r="L491" s="297"/>
      <c r="M491" s="297"/>
      <c r="N491" s="297"/>
      <c r="O491" s="297"/>
      <c r="P491" s="296"/>
    </row>
    <row r="492">
      <c r="B492" s="291"/>
      <c r="C492" s="291"/>
      <c r="D492" s="181"/>
      <c r="E492" s="380"/>
      <c r="F492" s="292"/>
      <c r="G492" s="293"/>
      <c r="H492" s="381"/>
      <c r="I492" s="296"/>
      <c r="J492" s="296"/>
      <c r="K492" s="297"/>
      <c r="L492" s="297"/>
      <c r="M492" s="297"/>
      <c r="N492" s="297"/>
      <c r="O492" s="297"/>
      <c r="P492" s="296"/>
    </row>
    <row r="493">
      <c r="B493" s="291"/>
      <c r="C493" s="291"/>
      <c r="D493" s="181"/>
      <c r="E493" s="380"/>
      <c r="F493" s="292"/>
      <c r="G493" s="293"/>
      <c r="H493" s="381"/>
      <c r="I493" s="296"/>
      <c r="J493" s="296"/>
      <c r="K493" s="297"/>
      <c r="L493" s="297"/>
      <c r="M493" s="297"/>
      <c r="N493" s="297"/>
      <c r="O493" s="297"/>
      <c r="P493" s="296"/>
    </row>
    <row r="494">
      <c r="B494" s="291"/>
      <c r="C494" s="291"/>
      <c r="D494" s="181"/>
      <c r="E494" s="380"/>
      <c r="F494" s="292"/>
      <c r="G494" s="293"/>
      <c r="H494" s="381"/>
      <c r="I494" s="296"/>
      <c r="J494" s="296"/>
      <c r="K494" s="297"/>
      <c r="L494" s="297"/>
      <c r="M494" s="297"/>
      <c r="N494" s="297"/>
      <c r="O494" s="297"/>
      <c r="P494" s="296"/>
    </row>
    <row r="495">
      <c r="B495" s="291"/>
      <c r="C495" s="291"/>
      <c r="D495" s="181"/>
      <c r="E495" s="380"/>
      <c r="F495" s="292"/>
      <c r="G495" s="293"/>
      <c r="H495" s="381"/>
      <c r="I495" s="296"/>
      <c r="J495" s="296"/>
      <c r="K495" s="297"/>
      <c r="L495" s="297"/>
      <c r="M495" s="297"/>
      <c r="N495" s="297"/>
      <c r="O495" s="297"/>
      <c r="P495" s="296"/>
    </row>
    <row r="496">
      <c r="B496" s="291"/>
      <c r="C496" s="291"/>
      <c r="D496" s="181"/>
      <c r="E496" s="380"/>
      <c r="F496" s="292"/>
      <c r="G496" s="293"/>
      <c r="H496" s="381"/>
      <c r="I496" s="296"/>
      <c r="J496" s="296"/>
      <c r="K496" s="297"/>
      <c r="L496" s="297"/>
      <c r="M496" s="297"/>
      <c r="N496" s="297"/>
      <c r="O496" s="297"/>
      <c r="P496" s="296"/>
    </row>
    <row r="497">
      <c r="B497" s="291"/>
      <c r="C497" s="291"/>
      <c r="D497" s="181"/>
      <c r="E497" s="380"/>
      <c r="F497" s="292"/>
      <c r="G497" s="293"/>
      <c r="H497" s="381"/>
      <c r="I497" s="296"/>
      <c r="J497" s="296"/>
      <c r="K497" s="297"/>
      <c r="L497" s="297"/>
      <c r="M497" s="297"/>
      <c r="N497" s="297"/>
      <c r="O497" s="297"/>
      <c r="P497" s="296"/>
    </row>
    <row r="498">
      <c r="B498" s="291"/>
      <c r="C498" s="291"/>
      <c r="D498" s="181"/>
      <c r="E498" s="380"/>
      <c r="F498" s="292"/>
      <c r="G498" s="293"/>
      <c r="H498" s="381"/>
      <c r="I498" s="296"/>
      <c r="J498" s="296"/>
      <c r="K498" s="297"/>
      <c r="L498" s="297"/>
      <c r="M498" s="297"/>
      <c r="N498" s="297"/>
      <c r="O498" s="297"/>
      <c r="P498" s="296"/>
    </row>
    <row r="499">
      <c r="B499" s="291"/>
      <c r="C499" s="291"/>
      <c r="D499" s="181"/>
      <c r="E499" s="380"/>
      <c r="F499" s="292"/>
      <c r="G499" s="293"/>
      <c r="H499" s="381"/>
      <c r="I499" s="296"/>
      <c r="J499" s="296"/>
      <c r="K499" s="297"/>
      <c r="L499" s="297"/>
      <c r="M499" s="297"/>
      <c r="N499" s="297"/>
      <c r="O499" s="297"/>
      <c r="P499" s="296"/>
    </row>
    <row r="500">
      <c r="B500" s="291"/>
      <c r="C500" s="291"/>
      <c r="D500" s="181"/>
      <c r="E500" s="380"/>
      <c r="F500" s="292"/>
      <c r="G500" s="293"/>
      <c r="H500" s="381"/>
      <c r="I500" s="296"/>
      <c r="J500" s="296"/>
      <c r="K500" s="297"/>
      <c r="L500" s="297"/>
      <c r="M500" s="297"/>
      <c r="N500" s="297"/>
      <c r="O500" s="297"/>
      <c r="P500" s="296"/>
    </row>
    <row r="501">
      <c r="B501" s="291"/>
      <c r="C501" s="291"/>
      <c r="D501" s="181"/>
      <c r="E501" s="380"/>
      <c r="F501" s="292"/>
      <c r="G501" s="293"/>
      <c r="H501" s="381"/>
      <c r="I501" s="296"/>
      <c r="J501" s="296"/>
      <c r="K501" s="297"/>
      <c r="L501" s="297"/>
      <c r="M501" s="297"/>
      <c r="N501" s="297"/>
      <c r="O501" s="297"/>
      <c r="P501" s="296"/>
    </row>
    <row r="502">
      <c r="B502" s="291"/>
      <c r="C502" s="291"/>
      <c r="D502" s="181"/>
      <c r="E502" s="380"/>
      <c r="F502" s="292"/>
      <c r="G502" s="293"/>
      <c r="H502" s="381"/>
      <c r="I502" s="296"/>
      <c r="J502" s="296"/>
      <c r="K502" s="297"/>
      <c r="L502" s="297"/>
      <c r="M502" s="297"/>
      <c r="N502" s="297"/>
      <c r="O502" s="297"/>
      <c r="P502" s="296"/>
    </row>
    <row r="503">
      <c r="B503" s="291"/>
      <c r="C503" s="291"/>
      <c r="D503" s="181"/>
      <c r="E503" s="380"/>
      <c r="F503" s="292"/>
      <c r="G503" s="293"/>
      <c r="H503" s="381"/>
      <c r="I503" s="296"/>
      <c r="J503" s="296"/>
      <c r="K503" s="297"/>
      <c r="L503" s="297"/>
      <c r="M503" s="297"/>
      <c r="N503" s="297"/>
      <c r="O503" s="297"/>
      <c r="P503" s="296"/>
    </row>
    <row r="504">
      <c r="B504" s="291"/>
      <c r="C504" s="291"/>
      <c r="D504" s="181"/>
      <c r="E504" s="380"/>
      <c r="F504" s="292"/>
      <c r="G504" s="293"/>
      <c r="H504" s="381"/>
      <c r="I504" s="296"/>
      <c r="J504" s="296"/>
      <c r="K504" s="297"/>
      <c r="L504" s="297"/>
      <c r="M504" s="297"/>
      <c r="N504" s="297"/>
      <c r="O504" s="297"/>
      <c r="P504" s="296"/>
    </row>
    <row r="505">
      <c r="B505" s="291"/>
      <c r="C505" s="291"/>
      <c r="D505" s="181"/>
      <c r="E505" s="380"/>
      <c r="F505" s="292"/>
      <c r="G505" s="293"/>
      <c r="H505" s="381"/>
      <c r="I505" s="296"/>
      <c r="J505" s="296"/>
      <c r="K505" s="297"/>
      <c r="L505" s="297"/>
      <c r="M505" s="297"/>
      <c r="N505" s="297"/>
      <c r="O505" s="297"/>
      <c r="P505" s="296"/>
    </row>
    <row r="506">
      <c r="B506" s="291"/>
      <c r="C506" s="291"/>
      <c r="D506" s="181"/>
      <c r="E506" s="380"/>
      <c r="F506" s="292"/>
      <c r="G506" s="293"/>
      <c r="H506" s="381"/>
      <c r="I506" s="296"/>
      <c r="J506" s="296"/>
      <c r="K506" s="297"/>
      <c r="L506" s="297"/>
      <c r="M506" s="297"/>
      <c r="N506" s="297"/>
      <c r="O506" s="297"/>
      <c r="P506" s="296"/>
    </row>
    <row r="507">
      <c r="B507" s="291"/>
      <c r="C507" s="291"/>
      <c r="D507" s="181"/>
      <c r="E507" s="380"/>
      <c r="F507" s="292"/>
      <c r="G507" s="293"/>
      <c r="H507" s="381"/>
      <c r="I507" s="296"/>
      <c r="J507" s="296"/>
      <c r="K507" s="297"/>
      <c r="L507" s="297"/>
      <c r="M507" s="297"/>
      <c r="N507" s="297"/>
      <c r="O507" s="297"/>
      <c r="P507" s="296"/>
    </row>
    <row r="508">
      <c r="B508" s="291"/>
      <c r="C508" s="291"/>
      <c r="D508" s="181"/>
      <c r="E508" s="380"/>
      <c r="F508" s="292"/>
      <c r="G508" s="293"/>
      <c r="H508" s="381"/>
      <c r="I508" s="296"/>
      <c r="J508" s="296"/>
      <c r="K508" s="297"/>
      <c r="L508" s="297"/>
      <c r="M508" s="297"/>
      <c r="N508" s="297"/>
      <c r="O508" s="297"/>
      <c r="P508" s="296"/>
    </row>
    <row r="509">
      <c r="B509" s="291"/>
      <c r="C509" s="291"/>
      <c r="D509" s="181"/>
      <c r="E509" s="380"/>
      <c r="F509" s="292"/>
      <c r="G509" s="293"/>
      <c r="H509" s="381"/>
      <c r="I509" s="296"/>
      <c r="J509" s="296"/>
      <c r="K509" s="297"/>
      <c r="L509" s="297"/>
      <c r="M509" s="297"/>
      <c r="N509" s="297"/>
      <c r="O509" s="297"/>
      <c r="P509" s="296"/>
    </row>
    <row r="510">
      <c r="B510" s="291"/>
      <c r="C510" s="291"/>
      <c r="D510" s="181"/>
      <c r="E510" s="380"/>
      <c r="F510" s="292"/>
      <c r="G510" s="293"/>
      <c r="H510" s="381"/>
      <c r="I510" s="296"/>
      <c r="J510" s="296"/>
      <c r="K510" s="297"/>
      <c r="L510" s="297"/>
      <c r="M510" s="297"/>
      <c r="N510" s="297"/>
      <c r="O510" s="297"/>
      <c r="P510" s="296"/>
    </row>
    <row r="511">
      <c r="B511" s="291"/>
      <c r="C511" s="291"/>
      <c r="D511" s="181"/>
      <c r="E511" s="380"/>
      <c r="F511" s="292"/>
      <c r="G511" s="293"/>
      <c r="H511" s="381"/>
      <c r="I511" s="296"/>
      <c r="J511" s="296"/>
      <c r="K511" s="297"/>
      <c r="L511" s="297"/>
      <c r="M511" s="297"/>
      <c r="N511" s="297"/>
      <c r="O511" s="297"/>
      <c r="P511" s="296"/>
    </row>
    <row r="512">
      <c r="B512" s="291"/>
      <c r="C512" s="291"/>
      <c r="D512" s="181"/>
      <c r="E512" s="380"/>
      <c r="F512" s="292"/>
      <c r="G512" s="293"/>
      <c r="H512" s="381"/>
      <c r="I512" s="296"/>
      <c r="J512" s="296"/>
      <c r="K512" s="297"/>
      <c r="L512" s="297"/>
      <c r="M512" s="297"/>
      <c r="N512" s="297"/>
      <c r="O512" s="297"/>
      <c r="P512" s="296"/>
    </row>
    <row r="513">
      <c r="B513" s="291"/>
      <c r="C513" s="291"/>
      <c r="D513" s="181"/>
      <c r="E513" s="380"/>
      <c r="F513" s="292"/>
      <c r="G513" s="293"/>
      <c r="H513" s="381"/>
      <c r="I513" s="296"/>
      <c r="J513" s="296"/>
      <c r="K513" s="297"/>
      <c r="L513" s="297"/>
      <c r="M513" s="297"/>
      <c r="N513" s="297"/>
      <c r="O513" s="297"/>
      <c r="P513" s="296"/>
    </row>
    <row r="514">
      <c r="B514" s="291"/>
      <c r="C514" s="291"/>
      <c r="D514" s="181"/>
      <c r="E514" s="380"/>
      <c r="F514" s="292"/>
      <c r="G514" s="293"/>
      <c r="H514" s="381"/>
      <c r="I514" s="296"/>
      <c r="J514" s="296"/>
      <c r="K514" s="297"/>
      <c r="L514" s="297"/>
      <c r="M514" s="297"/>
      <c r="N514" s="297"/>
      <c r="O514" s="297"/>
      <c r="P514" s="296"/>
    </row>
    <row r="515">
      <c r="B515" s="291"/>
      <c r="C515" s="291"/>
      <c r="D515" s="181"/>
      <c r="E515" s="380"/>
      <c r="F515" s="292"/>
      <c r="G515" s="293"/>
      <c r="H515" s="381"/>
      <c r="I515" s="296"/>
      <c r="J515" s="296"/>
      <c r="K515" s="297"/>
      <c r="L515" s="297"/>
      <c r="M515" s="297"/>
      <c r="N515" s="297"/>
      <c r="O515" s="297"/>
      <c r="P515" s="296"/>
    </row>
    <row r="516">
      <c r="B516" s="291"/>
      <c r="C516" s="291"/>
      <c r="D516" s="181"/>
      <c r="E516" s="380"/>
      <c r="F516" s="292"/>
      <c r="G516" s="293"/>
      <c r="H516" s="381"/>
      <c r="I516" s="296"/>
      <c r="J516" s="296"/>
      <c r="K516" s="297"/>
      <c r="L516" s="297"/>
      <c r="M516" s="297"/>
      <c r="N516" s="297"/>
      <c r="O516" s="297"/>
      <c r="P516" s="296"/>
    </row>
    <row r="517">
      <c r="B517" s="291"/>
      <c r="C517" s="291"/>
      <c r="D517" s="181"/>
      <c r="E517" s="380"/>
      <c r="F517" s="292"/>
      <c r="G517" s="293"/>
      <c r="H517" s="381"/>
      <c r="I517" s="296"/>
      <c r="J517" s="296"/>
      <c r="K517" s="297"/>
      <c r="L517" s="297"/>
      <c r="M517" s="297"/>
      <c r="N517" s="297"/>
      <c r="O517" s="297"/>
      <c r="P517" s="296"/>
    </row>
    <row r="518">
      <c r="B518" s="291"/>
      <c r="C518" s="291"/>
      <c r="D518" s="181"/>
      <c r="E518" s="380"/>
      <c r="F518" s="292"/>
      <c r="G518" s="293"/>
      <c r="H518" s="381"/>
      <c r="I518" s="296"/>
      <c r="J518" s="296"/>
      <c r="K518" s="297"/>
      <c r="L518" s="297"/>
      <c r="M518" s="297"/>
      <c r="N518" s="297"/>
      <c r="O518" s="297"/>
      <c r="P518" s="296"/>
    </row>
    <row r="519">
      <c r="B519" s="291"/>
      <c r="C519" s="291"/>
      <c r="D519" s="181"/>
      <c r="E519" s="380"/>
      <c r="F519" s="292"/>
      <c r="G519" s="293"/>
      <c r="H519" s="381"/>
      <c r="I519" s="296"/>
      <c r="J519" s="296"/>
      <c r="K519" s="297"/>
      <c r="L519" s="297"/>
      <c r="M519" s="297"/>
      <c r="N519" s="297"/>
      <c r="O519" s="297"/>
      <c r="P519" s="296"/>
    </row>
    <row r="520">
      <c r="B520" s="291"/>
      <c r="C520" s="291"/>
      <c r="D520" s="181"/>
      <c r="E520" s="380"/>
      <c r="F520" s="292"/>
      <c r="G520" s="293"/>
      <c r="H520" s="381"/>
      <c r="I520" s="296"/>
      <c r="J520" s="296"/>
      <c r="K520" s="297"/>
      <c r="L520" s="297"/>
      <c r="M520" s="297"/>
      <c r="N520" s="297"/>
      <c r="O520" s="297"/>
      <c r="P520" s="296"/>
    </row>
    <row r="521">
      <c r="B521" s="291"/>
      <c r="C521" s="291"/>
      <c r="D521" s="181"/>
      <c r="E521" s="380"/>
      <c r="F521" s="292"/>
      <c r="G521" s="293"/>
      <c r="H521" s="381"/>
      <c r="I521" s="296"/>
      <c r="J521" s="296"/>
      <c r="K521" s="297"/>
      <c r="L521" s="297"/>
      <c r="M521" s="297"/>
      <c r="N521" s="297"/>
      <c r="O521" s="297"/>
      <c r="P521" s="296"/>
    </row>
    <row r="522">
      <c r="B522" s="291"/>
      <c r="C522" s="291"/>
      <c r="D522" s="181"/>
      <c r="E522" s="380"/>
      <c r="F522" s="292"/>
      <c r="G522" s="293"/>
      <c r="H522" s="381"/>
      <c r="I522" s="296"/>
      <c r="J522" s="296"/>
      <c r="K522" s="297"/>
      <c r="L522" s="297"/>
      <c r="M522" s="297"/>
      <c r="N522" s="297"/>
      <c r="O522" s="297"/>
      <c r="P522" s="296"/>
    </row>
    <row r="523">
      <c r="B523" s="291"/>
      <c r="C523" s="291"/>
      <c r="D523" s="181"/>
      <c r="E523" s="380"/>
      <c r="F523" s="292"/>
      <c r="G523" s="293"/>
      <c r="H523" s="381"/>
      <c r="I523" s="296"/>
      <c r="J523" s="296"/>
      <c r="K523" s="297"/>
      <c r="L523" s="297"/>
      <c r="M523" s="297"/>
      <c r="N523" s="297"/>
      <c r="O523" s="297"/>
      <c r="P523" s="296"/>
    </row>
    <row r="524">
      <c r="B524" s="291"/>
      <c r="C524" s="291"/>
      <c r="D524" s="181"/>
      <c r="E524" s="380"/>
      <c r="F524" s="292"/>
      <c r="G524" s="293"/>
      <c r="H524" s="381"/>
      <c r="I524" s="296"/>
      <c r="J524" s="296"/>
      <c r="K524" s="297"/>
      <c r="L524" s="297"/>
      <c r="M524" s="297"/>
      <c r="N524" s="297"/>
      <c r="O524" s="297"/>
      <c r="P524" s="296"/>
    </row>
    <row r="525">
      <c r="B525" s="291"/>
      <c r="C525" s="291"/>
      <c r="D525" s="181"/>
      <c r="E525" s="380"/>
      <c r="F525" s="292"/>
      <c r="G525" s="293"/>
      <c r="H525" s="381"/>
      <c r="I525" s="296"/>
      <c r="J525" s="296"/>
      <c r="K525" s="297"/>
      <c r="L525" s="297"/>
      <c r="M525" s="297"/>
      <c r="N525" s="297"/>
      <c r="O525" s="297"/>
      <c r="P525" s="296"/>
    </row>
    <row r="526">
      <c r="B526" s="291"/>
      <c r="C526" s="291"/>
      <c r="D526" s="181"/>
      <c r="E526" s="380"/>
      <c r="F526" s="292"/>
      <c r="G526" s="293"/>
      <c r="H526" s="381"/>
      <c r="I526" s="296"/>
      <c r="J526" s="296"/>
      <c r="K526" s="297"/>
      <c r="L526" s="297"/>
      <c r="M526" s="297"/>
      <c r="N526" s="297"/>
      <c r="O526" s="297"/>
      <c r="P526" s="296"/>
    </row>
    <row r="527">
      <c r="B527" s="291"/>
      <c r="C527" s="291"/>
      <c r="D527" s="181"/>
      <c r="E527" s="380"/>
      <c r="F527" s="292"/>
      <c r="G527" s="293"/>
      <c r="H527" s="381"/>
      <c r="I527" s="296"/>
      <c r="J527" s="296"/>
      <c r="K527" s="297"/>
      <c r="L527" s="297"/>
      <c r="M527" s="297"/>
      <c r="N527" s="297"/>
      <c r="O527" s="297"/>
      <c r="P527" s="296"/>
    </row>
    <row r="528">
      <c r="B528" s="291"/>
      <c r="C528" s="291"/>
      <c r="D528" s="181"/>
      <c r="E528" s="380"/>
      <c r="F528" s="292"/>
      <c r="G528" s="293"/>
      <c r="H528" s="381"/>
      <c r="I528" s="296"/>
      <c r="J528" s="296"/>
      <c r="K528" s="297"/>
      <c r="L528" s="297"/>
      <c r="M528" s="297"/>
      <c r="N528" s="297"/>
      <c r="O528" s="297"/>
      <c r="P528" s="296"/>
    </row>
    <row r="529">
      <c r="B529" s="291"/>
      <c r="C529" s="291"/>
      <c r="D529" s="181"/>
      <c r="E529" s="380"/>
      <c r="F529" s="292"/>
      <c r="G529" s="293"/>
      <c r="H529" s="381"/>
      <c r="I529" s="296"/>
      <c r="J529" s="296"/>
      <c r="K529" s="297"/>
      <c r="L529" s="297"/>
      <c r="M529" s="297"/>
      <c r="N529" s="297"/>
      <c r="O529" s="297"/>
      <c r="P529" s="296"/>
    </row>
    <row r="530">
      <c r="B530" s="291"/>
      <c r="C530" s="291"/>
      <c r="D530" s="181"/>
      <c r="E530" s="380"/>
      <c r="F530" s="292"/>
      <c r="G530" s="293"/>
      <c r="H530" s="381"/>
      <c r="I530" s="296"/>
      <c r="J530" s="296"/>
      <c r="K530" s="297"/>
      <c r="L530" s="297"/>
      <c r="M530" s="297"/>
      <c r="N530" s="297"/>
      <c r="O530" s="297"/>
      <c r="P530" s="296"/>
    </row>
    <row r="531">
      <c r="B531" s="291"/>
      <c r="C531" s="291"/>
      <c r="D531" s="181"/>
      <c r="E531" s="380"/>
      <c r="F531" s="292"/>
      <c r="G531" s="293"/>
      <c r="H531" s="381"/>
      <c r="I531" s="296"/>
      <c r="J531" s="296"/>
      <c r="K531" s="297"/>
      <c r="L531" s="297"/>
      <c r="M531" s="297"/>
      <c r="N531" s="297"/>
      <c r="O531" s="297"/>
      <c r="P531" s="296"/>
    </row>
    <row r="532">
      <c r="B532" s="291"/>
      <c r="C532" s="291"/>
      <c r="D532" s="181"/>
      <c r="E532" s="380"/>
      <c r="F532" s="292"/>
      <c r="G532" s="293"/>
      <c r="H532" s="381"/>
      <c r="I532" s="296"/>
      <c r="J532" s="296"/>
      <c r="K532" s="297"/>
      <c r="L532" s="297"/>
      <c r="M532" s="297"/>
      <c r="N532" s="297"/>
      <c r="O532" s="297"/>
      <c r="P532" s="296"/>
    </row>
    <row r="533">
      <c r="B533" s="291"/>
      <c r="C533" s="291"/>
      <c r="D533" s="181"/>
      <c r="E533" s="380"/>
      <c r="F533" s="292"/>
      <c r="G533" s="293"/>
      <c r="H533" s="381"/>
      <c r="I533" s="296"/>
      <c r="J533" s="296"/>
      <c r="K533" s="297"/>
      <c r="L533" s="297"/>
      <c r="M533" s="297"/>
      <c r="N533" s="297"/>
      <c r="O533" s="297"/>
      <c r="P533" s="296"/>
    </row>
    <row r="534">
      <c r="B534" s="291"/>
      <c r="C534" s="291"/>
      <c r="D534" s="181"/>
      <c r="E534" s="380"/>
      <c r="F534" s="292"/>
      <c r="G534" s="293"/>
      <c r="H534" s="381"/>
      <c r="I534" s="296"/>
      <c r="J534" s="296"/>
      <c r="K534" s="297"/>
      <c r="L534" s="297"/>
      <c r="M534" s="297"/>
      <c r="N534" s="297"/>
      <c r="O534" s="297"/>
      <c r="P534" s="296"/>
    </row>
    <row r="535">
      <c r="B535" s="291"/>
      <c r="C535" s="291"/>
      <c r="D535" s="181"/>
      <c r="E535" s="380"/>
      <c r="F535" s="292"/>
      <c r="G535" s="293"/>
      <c r="H535" s="381"/>
      <c r="I535" s="296"/>
      <c r="J535" s="296"/>
      <c r="K535" s="297"/>
      <c r="L535" s="297"/>
      <c r="M535" s="297"/>
      <c r="N535" s="297"/>
      <c r="O535" s="297"/>
      <c r="P535" s="296"/>
    </row>
    <row r="536">
      <c r="B536" s="291"/>
      <c r="C536" s="291"/>
      <c r="D536" s="181"/>
      <c r="E536" s="380"/>
      <c r="F536" s="292"/>
      <c r="G536" s="293"/>
      <c r="H536" s="381"/>
      <c r="I536" s="296"/>
      <c r="J536" s="296"/>
      <c r="K536" s="297"/>
      <c r="L536" s="297"/>
      <c r="M536" s="297"/>
      <c r="N536" s="297"/>
      <c r="O536" s="297"/>
      <c r="P536" s="296"/>
    </row>
    <row r="537">
      <c r="B537" s="291"/>
      <c r="C537" s="291"/>
      <c r="D537" s="181"/>
      <c r="E537" s="380"/>
      <c r="F537" s="292"/>
      <c r="G537" s="293"/>
      <c r="H537" s="381"/>
      <c r="I537" s="296"/>
      <c r="J537" s="296"/>
      <c r="K537" s="297"/>
      <c r="L537" s="297"/>
      <c r="M537" s="297"/>
      <c r="N537" s="297"/>
      <c r="O537" s="297"/>
      <c r="P537" s="296"/>
    </row>
    <row r="538">
      <c r="B538" s="291"/>
      <c r="C538" s="291"/>
      <c r="D538" s="181"/>
      <c r="E538" s="380"/>
      <c r="F538" s="292"/>
      <c r="G538" s="293"/>
      <c r="H538" s="381"/>
      <c r="I538" s="296"/>
      <c r="J538" s="296"/>
      <c r="K538" s="297"/>
      <c r="L538" s="297"/>
      <c r="M538" s="297"/>
      <c r="N538" s="297"/>
      <c r="O538" s="297"/>
      <c r="P538" s="296"/>
    </row>
    <row r="539">
      <c r="B539" s="291"/>
      <c r="C539" s="291"/>
      <c r="D539" s="181"/>
      <c r="E539" s="380"/>
      <c r="F539" s="292"/>
      <c r="G539" s="293"/>
      <c r="H539" s="381"/>
      <c r="I539" s="296"/>
      <c r="J539" s="296"/>
      <c r="K539" s="297"/>
      <c r="L539" s="297"/>
      <c r="M539" s="297"/>
      <c r="N539" s="297"/>
      <c r="O539" s="297"/>
      <c r="P539" s="296"/>
    </row>
    <row r="540">
      <c r="B540" s="291"/>
      <c r="C540" s="291"/>
      <c r="D540" s="181"/>
      <c r="E540" s="380"/>
      <c r="F540" s="292"/>
      <c r="G540" s="293"/>
      <c r="H540" s="381"/>
      <c r="I540" s="296"/>
      <c r="J540" s="296"/>
      <c r="K540" s="297"/>
      <c r="L540" s="297"/>
      <c r="M540" s="297"/>
      <c r="N540" s="297"/>
      <c r="O540" s="297"/>
      <c r="P540" s="296"/>
    </row>
    <row r="541">
      <c r="B541" s="291"/>
      <c r="C541" s="291"/>
      <c r="D541" s="181"/>
      <c r="E541" s="380"/>
      <c r="F541" s="292"/>
      <c r="G541" s="293"/>
      <c r="H541" s="381"/>
      <c r="I541" s="296"/>
      <c r="J541" s="296"/>
      <c r="K541" s="297"/>
      <c r="L541" s="297"/>
      <c r="M541" s="297"/>
      <c r="N541" s="297"/>
      <c r="O541" s="297"/>
      <c r="P541" s="296"/>
    </row>
    <row r="542">
      <c r="B542" s="291"/>
      <c r="C542" s="291"/>
      <c r="D542" s="181"/>
      <c r="E542" s="380"/>
      <c r="F542" s="292"/>
      <c r="G542" s="293"/>
      <c r="H542" s="381"/>
      <c r="I542" s="296"/>
      <c r="J542" s="296"/>
      <c r="K542" s="297"/>
      <c r="L542" s="297"/>
      <c r="M542" s="297"/>
      <c r="N542" s="297"/>
      <c r="O542" s="297"/>
      <c r="P542" s="296"/>
    </row>
    <row r="543">
      <c r="B543" s="291"/>
      <c r="C543" s="291"/>
      <c r="D543" s="181"/>
      <c r="E543" s="380"/>
      <c r="F543" s="292"/>
      <c r="G543" s="293"/>
      <c r="H543" s="381"/>
      <c r="I543" s="296"/>
      <c r="J543" s="296"/>
      <c r="K543" s="297"/>
      <c r="L543" s="297"/>
      <c r="M543" s="297"/>
      <c r="N543" s="297"/>
      <c r="O543" s="297"/>
      <c r="P543" s="296"/>
    </row>
    <row r="544">
      <c r="B544" s="291"/>
      <c r="C544" s="291"/>
      <c r="D544" s="181"/>
      <c r="E544" s="380"/>
      <c r="F544" s="292"/>
      <c r="G544" s="293"/>
      <c r="H544" s="381"/>
      <c r="I544" s="296"/>
      <c r="J544" s="296"/>
      <c r="K544" s="297"/>
      <c r="L544" s="297"/>
      <c r="M544" s="297"/>
      <c r="N544" s="297"/>
      <c r="O544" s="297"/>
      <c r="P544" s="296"/>
    </row>
    <row r="545">
      <c r="B545" s="291"/>
      <c r="C545" s="291"/>
      <c r="D545" s="181"/>
      <c r="E545" s="380"/>
      <c r="F545" s="292"/>
      <c r="G545" s="293"/>
      <c r="H545" s="381"/>
      <c r="I545" s="296"/>
      <c r="J545" s="296"/>
      <c r="K545" s="297"/>
      <c r="L545" s="297"/>
      <c r="M545" s="297"/>
      <c r="N545" s="297"/>
      <c r="O545" s="297"/>
      <c r="P545" s="296"/>
    </row>
    <row r="546">
      <c r="B546" s="291"/>
      <c r="C546" s="291"/>
      <c r="D546" s="181"/>
      <c r="E546" s="380"/>
      <c r="F546" s="292"/>
      <c r="G546" s="293"/>
      <c r="H546" s="381"/>
      <c r="I546" s="296"/>
      <c r="J546" s="296"/>
      <c r="K546" s="297"/>
      <c r="L546" s="297"/>
      <c r="M546" s="297"/>
      <c r="N546" s="297"/>
      <c r="O546" s="297"/>
      <c r="P546" s="296"/>
    </row>
    <row r="547">
      <c r="B547" s="291"/>
      <c r="C547" s="291"/>
      <c r="D547" s="181"/>
      <c r="E547" s="380"/>
      <c r="F547" s="292"/>
      <c r="G547" s="293"/>
      <c r="H547" s="381"/>
      <c r="I547" s="296"/>
      <c r="J547" s="296"/>
      <c r="K547" s="297"/>
      <c r="L547" s="297"/>
      <c r="M547" s="297"/>
      <c r="N547" s="297"/>
      <c r="O547" s="297"/>
      <c r="P547" s="296"/>
    </row>
    <row r="548">
      <c r="B548" s="291"/>
      <c r="C548" s="291"/>
      <c r="D548" s="181"/>
      <c r="E548" s="380"/>
      <c r="F548" s="292"/>
      <c r="G548" s="293"/>
      <c r="H548" s="381"/>
      <c r="I548" s="296"/>
      <c r="J548" s="296"/>
      <c r="K548" s="297"/>
      <c r="L548" s="297"/>
      <c r="M548" s="297"/>
      <c r="N548" s="297"/>
      <c r="O548" s="297"/>
      <c r="P548" s="296"/>
    </row>
    <row r="549">
      <c r="B549" s="291"/>
      <c r="C549" s="291"/>
      <c r="D549" s="181"/>
      <c r="E549" s="380"/>
      <c r="F549" s="292"/>
      <c r="G549" s="293"/>
      <c r="H549" s="381"/>
      <c r="I549" s="296"/>
      <c r="J549" s="296"/>
      <c r="K549" s="297"/>
      <c r="L549" s="297"/>
      <c r="M549" s="297"/>
      <c r="N549" s="297"/>
      <c r="O549" s="297"/>
      <c r="P549" s="296"/>
    </row>
    <row r="550">
      <c r="B550" s="291"/>
      <c r="C550" s="291"/>
      <c r="D550" s="181"/>
      <c r="E550" s="380"/>
      <c r="F550" s="292"/>
      <c r="G550" s="293"/>
      <c r="H550" s="381"/>
      <c r="I550" s="296"/>
      <c r="J550" s="296"/>
      <c r="K550" s="297"/>
      <c r="L550" s="297"/>
      <c r="M550" s="297"/>
      <c r="N550" s="297"/>
      <c r="O550" s="297"/>
      <c r="P550" s="296"/>
    </row>
    <row r="551">
      <c r="B551" s="291"/>
      <c r="C551" s="291"/>
      <c r="D551" s="181"/>
      <c r="E551" s="380"/>
      <c r="F551" s="292"/>
      <c r="G551" s="293"/>
      <c r="H551" s="381"/>
      <c r="I551" s="296"/>
      <c r="J551" s="296"/>
      <c r="K551" s="297"/>
      <c r="L551" s="297"/>
      <c r="M551" s="297"/>
      <c r="N551" s="297"/>
      <c r="O551" s="297"/>
      <c r="P551" s="296"/>
    </row>
    <row r="552">
      <c r="B552" s="291"/>
      <c r="C552" s="291"/>
      <c r="D552" s="181"/>
      <c r="E552" s="380"/>
      <c r="F552" s="292"/>
      <c r="G552" s="293"/>
      <c r="H552" s="381"/>
      <c r="I552" s="296"/>
      <c r="J552" s="296"/>
      <c r="K552" s="297"/>
      <c r="L552" s="297"/>
      <c r="M552" s="297"/>
      <c r="N552" s="297"/>
      <c r="O552" s="297"/>
      <c r="P552" s="296"/>
    </row>
    <row r="553">
      <c r="B553" s="291"/>
      <c r="C553" s="291"/>
      <c r="D553" s="181"/>
      <c r="E553" s="380"/>
      <c r="F553" s="292"/>
      <c r="G553" s="293"/>
      <c r="H553" s="381"/>
      <c r="I553" s="296"/>
      <c r="J553" s="296"/>
      <c r="K553" s="297"/>
      <c r="L553" s="297"/>
      <c r="M553" s="297"/>
      <c r="N553" s="297"/>
      <c r="O553" s="297"/>
      <c r="P553" s="296"/>
    </row>
    <row r="554">
      <c r="B554" s="291"/>
      <c r="C554" s="291"/>
      <c r="D554" s="181"/>
      <c r="E554" s="380"/>
      <c r="F554" s="292"/>
      <c r="G554" s="293"/>
      <c r="H554" s="381"/>
      <c r="I554" s="296"/>
      <c r="J554" s="296"/>
      <c r="K554" s="297"/>
      <c r="L554" s="297"/>
      <c r="M554" s="297"/>
      <c r="N554" s="297"/>
      <c r="O554" s="297"/>
      <c r="P554" s="296"/>
    </row>
    <row r="555">
      <c r="B555" s="291"/>
      <c r="C555" s="291"/>
      <c r="D555" s="181"/>
      <c r="E555" s="380"/>
      <c r="F555" s="292"/>
      <c r="G555" s="293"/>
      <c r="H555" s="381"/>
      <c r="I555" s="296"/>
      <c r="J555" s="296"/>
      <c r="K555" s="297"/>
      <c r="L555" s="297"/>
      <c r="M555" s="297"/>
      <c r="N555" s="297"/>
      <c r="O555" s="297"/>
      <c r="P555" s="296"/>
    </row>
    <row r="556">
      <c r="B556" s="291"/>
      <c r="C556" s="291"/>
      <c r="D556" s="181"/>
      <c r="E556" s="380"/>
      <c r="F556" s="292"/>
      <c r="G556" s="293"/>
      <c r="H556" s="381"/>
      <c r="I556" s="296"/>
      <c r="J556" s="296"/>
      <c r="K556" s="297"/>
      <c r="L556" s="297"/>
      <c r="M556" s="297"/>
      <c r="N556" s="297"/>
      <c r="O556" s="297"/>
      <c r="P556" s="296"/>
    </row>
  </sheetData>
  <autoFilter ref="$B$4:$O$57"/>
  <mergeCells count="1">
    <mergeCell ref="B3:D3"/>
  </mergeCells>
  <conditionalFormatting sqref="B5:P556">
    <cfRule type="expression" dxfId="0" priority="1">
      <formula>$H5="1 - Imprescindível"</formula>
    </cfRule>
  </conditionalFormatting>
  <conditionalFormatting sqref="B5:P556">
    <cfRule type="expression" dxfId="1" priority="2">
      <formula>$H5="2 - Importante"</formula>
    </cfRule>
  </conditionalFormatting>
  <conditionalFormatting sqref="B5:P556">
    <cfRule type="expression" dxfId="2" priority="3">
      <formula>$H5="3 - Desejável"</formula>
    </cfRule>
  </conditionalFormatting>
  <conditionalFormatting sqref="B5:P556">
    <cfRule type="expression" dxfId="3" priority="4">
      <formula>$H5="4 - Aguardando"</formula>
    </cfRule>
  </conditionalFormatting>
  <printOptions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1" max="1" width="18.5"/>
    <col customWidth="1" min="2" max="2" width="59.25"/>
    <col customWidth="1" min="3" max="3" width="55.25"/>
  </cols>
  <sheetData>
    <row r="1">
      <c r="A1" s="173" t="s">
        <v>119</v>
      </c>
      <c r="B1" s="174" t="s">
        <v>741</v>
      </c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</row>
    <row r="2">
      <c r="A2" s="173" t="s">
        <v>143</v>
      </c>
      <c r="B2" s="174" t="s">
        <v>742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</row>
    <row r="3">
      <c r="A3" s="382" t="s">
        <v>325</v>
      </c>
      <c r="B3" s="174" t="s">
        <v>743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</row>
    <row r="4">
      <c r="A4" s="180"/>
      <c r="B4" s="181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>
      <c r="A5" s="180"/>
      <c r="B5" s="181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>
      <c r="A6" s="180"/>
      <c r="B6" s="181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</row>
    <row r="7">
      <c r="A7" s="173" t="s">
        <v>115</v>
      </c>
      <c r="B7" s="174" t="s">
        <v>744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</row>
    <row r="8">
      <c r="A8" s="173" t="s">
        <v>245</v>
      </c>
      <c r="B8" s="174" t="s">
        <v>745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</row>
    <row r="9">
      <c r="A9" s="173" t="s">
        <v>1</v>
      </c>
      <c r="B9" s="174" t="s">
        <v>746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</row>
    <row r="10">
      <c r="A10" s="180"/>
      <c r="B10" s="181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</row>
    <row r="11">
      <c r="A11" s="180"/>
      <c r="B11" s="181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</row>
    <row r="12">
      <c r="A12" s="180"/>
      <c r="B12" s="181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</row>
    <row r="13">
      <c r="A13" s="180"/>
      <c r="B13" s="181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</row>
    <row r="14">
      <c r="A14" s="18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</row>
    <row r="15">
      <c r="A15" s="180"/>
      <c r="B15" s="181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</row>
    <row r="16">
      <c r="A16" s="180"/>
      <c r="B16" s="181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</row>
    <row r="17">
      <c r="A17" s="180"/>
      <c r="B17" s="181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>
      <c r="A18" s="180"/>
      <c r="B18" s="181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</row>
    <row r="19">
      <c r="A19" s="180"/>
      <c r="B19" s="181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</row>
    <row r="20">
      <c r="A20" s="180"/>
      <c r="B20" s="181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>
      <c r="A21" s="180"/>
      <c r="B21" s="181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>
      <c r="A22" s="180"/>
      <c r="B22" s="181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</row>
    <row r="23">
      <c r="A23" s="180"/>
      <c r="B23" s="181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>
      <c r="A24" s="180"/>
      <c r="B24" s="181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</row>
    <row r="25">
      <c r="A25" s="180"/>
      <c r="B25" s="181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</row>
    <row r="26">
      <c r="A26" s="180"/>
      <c r="B26" s="181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</row>
    <row r="27">
      <c r="A27" s="180"/>
      <c r="B27" s="181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</row>
    <row r="28">
      <c r="A28" s="180"/>
      <c r="B28" s="181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</row>
    <row r="29">
      <c r="A29" s="180"/>
      <c r="B29" s="181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</row>
    <row r="30">
      <c r="A30" s="180"/>
      <c r="B30" s="181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</row>
    <row r="31">
      <c r="A31" s="180"/>
      <c r="B31" s="181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</row>
    <row r="32">
      <c r="A32" s="180"/>
      <c r="B32" s="181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</row>
    <row r="33">
      <c r="A33" s="180"/>
      <c r="B33" s="181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</row>
    <row r="34">
      <c r="A34" s="180"/>
      <c r="B34" s="181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</row>
    <row r="35">
      <c r="A35" s="180"/>
      <c r="B35" s="181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</row>
    <row r="36">
      <c r="A36" s="180"/>
      <c r="B36" s="181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</row>
    <row r="37">
      <c r="A37" s="180"/>
      <c r="B37" s="181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>
      <c r="A38" s="180"/>
      <c r="B38" s="181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</row>
    <row r="39">
      <c r="A39" s="180"/>
      <c r="B39" s="181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>
      <c r="A40" s="180"/>
      <c r="B40" s="181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</row>
    <row r="41">
      <c r="A41" s="180"/>
      <c r="B41" s="181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</row>
    <row r="42">
      <c r="A42" s="180"/>
      <c r="B42" s="181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</row>
    <row r="43">
      <c r="A43" s="180"/>
      <c r="B43" s="181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>
      <c r="A44" s="180"/>
      <c r="B44" s="181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</row>
    <row r="45">
      <c r="A45" s="180"/>
      <c r="B45" s="181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</row>
    <row r="46">
      <c r="A46" s="180"/>
      <c r="B46" s="181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</row>
    <row r="47">
      <c r="A47" s="180"/>
      <c r="B47" s="181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</row>
    <row r="48">
      <c r="A48" s="180"/>
      <c r="B48" s="181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</row>
    <row r="49">
      <c r="A49" s="180"/>
      <c r="B49" s="181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</row>
    <row r="50">
      <c r="A50" s="180"/>
      <c r="B50" s="181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</row>
    <row r="51">
      <c r="A51" s="180"/>
      <c r="B51" s="181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</row>
    <row r="52">
      <c r="A52" s="180"/>
      <c r="B52" s="181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</row>
    <row r="53">
      <c r="A53" s="180"/>
      <c r="B53" s="181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</row>
    <row r="54">
      <c r="A54" s="180"/>
      <c r="B54" s="181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</row>
    <row r="55">
      <c r="A55" s="180"/>
      <c r="B55" s="181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</row>
    <row r="56">
      <c r="A56" s="180"/>
      <c r="B56" s="181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</row>
    <row r="57">
      <c r="A57" s="180"/>
      <c r="B57" s="181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</row>
    <row r="58">
      <c r="A58" s="180"/>
      <c r="B58" s="181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</row>
    <row r="59">
      <c r="A59" s="180"/>
      <c r="B59" s="181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</row>
    <row r="60">
      <c r="A60" s="180"/>
      <c r="B60" s="181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</row>
    <row r="61">
      <c r="A61" s="180"/>
      <c r="B61" s="181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</row>
    <row r="62">
      <c r="A62" s="180"/>
      <c r="B62" s="181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</row>
    <row r="63">
      <c r="A63" s="180"/>
      <c r="B63" s="181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</row>
    <row r="64">
      <c r="A64" s="180"/>
      <c r="B64" s="181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</row>
    <row r="65">
      <c r="A65" s="180"/>
      <c r="B65" s="181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</row>
    <row r="66">
      <c r="A66" s="180"/>
      <c r="B66" s="181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</row>
    <row r="67">
      <c r="A67" s="180"/>
      <c r="B67" s="181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</row>
    <row r="68">
      <c r="A68" s="180"/>
      <c r="B68" s="181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</row>
    <row r="69">
      <c r="A69" s="180"/>
      <c r="B69" s="181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</row>
    <row r="70">
      <c r="A70" s="180"/>
      <c r="B70" s="181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</row>
    <row r="71">
      <c r="A71" s="180"/>
      <c r="B71" s="181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</row>
    <row r="72">
      <c r="A72" s="180"/>
      <c r="B72" s="181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</row>
    <row r="73">
      <c r="A73" s="180"/>
      <c r="B73" s="181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</row>
    <row r="74">
      <c r="A74" s="180"/>
      <c r="B74" s="181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</row>
    <row r="75">
      <c r="A75" s="180"/>
      <c r="B75" s="181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</row>
    <row r="76">
      <c r="A76" s="180"/>
      <c r="B76" s="181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</row>
    <row r="77">
      <c r="A77" s="180"/>
      <c r="B77" s="181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</row>
    <row r="78">
      <c r="A78" s="180"/>
      <c r="B78" s="181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</row>
    <row r="79">
      <c r="A79" s="180"/>
      <c r="B79" s="181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</row>
    <row r="80">
      <c r="A80" s="180"/>
      <c r="B80" s="181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</row>
    <row r="81">
      <c r="A81" s="180"/>
      <c r="B81" s="181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</row>
    <row r="82">
      <c r="A82" s="180"/>
      <c r="B82" s="181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</row>
    <row r="83">
      <c r="A83" s="180"/>
      <c r="B83" s="181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</row>
    <row r="84">
      <c r="A84" s="180"/>
      <c r="B84" s="181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</row>
    <row r="85">
      <c r="A85" s="180"/>
      <c r="B85" s="181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</row>
    <row r="86">
      <c r="A86" s="180"/>
      <c r="B86" s="181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</row>
    <row r="87">
      <c r="A87" s="180"/>
      <c r="B87" s="181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</row>
    <row r="88">
      <c r="A88" s="180"/>
      <c r="B88" s="181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</row>
    <row r="89">
      <c r="A89" s="180"/>
      <c r="B89" s="181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</row>
    <row r="90">
      <c r="A90" s="180"/>
      <c r="B90" s="181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</row>
    <row r="91">
      <c r="A91" s="180"/>
      <c r="B91" s="181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</row>
    <row r="92">
      <c r="A92" s="180"/>
      <c r="B92" s="181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</row>
    <row r="93">
      <c r="A93" s="180"/>
      <c r="B93" s="181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</row>
    <row r="94">
      <c r="A94" s="180"/>
      <c r="B94" s="181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</row>
    <row r="95">
      <c r="A95" s="180"/>
      <c r="B95" s="181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</row>
    <row r="96">
      <c r="A96" s="180"/>
      <c r="B96" s="181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</row>
    <row r="97">
      <c r="A97" s="180"/>
      <c r="B97" s="181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</row>
    <row r="98">
      <c r="A98" s="180"/>
      <c r="B98" s="181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</row>
    <row r="99">
      <c r="A99" s="180"/>
      <c r="B99" s="181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</row>
    <row r="100">
      <c r="A100" s="180"/>
      <c r="B100" s="181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</row>
    <row r="101">
      <c r="A101" s="180"/>
      <c r="B101" s="181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</row>
    <row r="102">
      <c r="A102" s="180"/>
      <c r="B102" s="181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</row>
    <row r="103">
      <c r="A103" s="180"/>
      <c r="B103" s="181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</row>
    <row r="104">
      <c r="A104" s="180"/>
      <c r="B104" s="181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</row>
    <row r="105">
      <c r="A105" s="180"/>
      <c r="B105" s="181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</row>
    <row r="106">
      <c r="A106" s="180"/>
      <c r="B106" s="181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</row>
    <row r="107">
      <c r="A107" s="180"/>
      <c r="B107" s="181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</row>
    <row r="108">
      <c r="A108" s="180"/>
      <c r="B108" s="181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</row>
    <row r="109">
      <c r="A109" s="180"/>
      <c r="B109" s="181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</row>
    <row r="110">
      <c r="A110" s="180"/>
      <c r="B110" s="181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</row>
    <row r="111">
      <c r="A111" s="180"/>
      <c r="B111" s="181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</row>
    <row r="112">
      <c r="A112" s="180"/>
      <c r="B112" s="181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</row>
    <row r="113">
      <c r="A113" s="180"/>
      <c r="B113" s="181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</row>
    <row r="114">
      <c r="A114" s="180"/>
      <c r="B114" s="181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</row>
    <row r="115">
      <c r="A115" s="180"/>
      <c r="B115" s="181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</row>
    <row r="116">
      <c r="A116" s="180"/>
      <c r="B116" s="181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</row>
    <row r="117">
      <c r="A117" s="180"/>
      <c r="B117" s="181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</row>
    <row r="118">
      <c r="A118" s="180"/>
      <c r="B118" s="181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</row>
    <row r="119">
      <c r="A119" s="180"/>
      <c r="B119" s="181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</row>
    <row r="120">
      <c r="A120" s="180"/>
      <c r="B120" s="181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</row>
    <row r="121">
      <c r="A121" s="180"/>
      <c r="B121" s="181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</row>
    <row r="122">
      <c r="A122" s="180"/>
      <c r="B122" s="181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</row>
    <row r="123">
      <c r="A123" s="180"/>
      <c r="B123" s="181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</row>
    <row r="124">
      <c r="A124" s="180"/>
      <c r="B124" s="181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</row>
    <row r="125">
      <c r="A125" s="180"/>
      <c r="B125" s="181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</row>
    <row r="126">
      <c r="A126" s="180"/>
      <c r="B126" s="181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</row>
    <row r="127">
      <c r="A127" s="180"/>
      <c r="B127" s="181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</row>
    <row r="128">
      <c r="A128" s="180"/>
      <c r="B128" s="181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</row>
    <row r="129">
      <c r="A129" s="180"/>
      <c r="B129" s="181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</row>
    <row r="130">
      <c r="A130" s="180"/>
      <c r="B130" s="181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</row>
    <row r="131">
      <c r="A131" s="180"/>
      <c r="B131" s="181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</row>
    <row r="132">
      <c r="A132" s="180"/>
      <c r="B132" s="181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</row>
    <row r="133">
      <c r="A133" s="180"/>
      <c r="B133" s="181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</row>
    <row r="134">
      <c r="A134" s="180"/>
      <c r="B134" s="181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</row>
    <row r="135">
      <c r="A135" s="180"/>
      <c r="B135" s="181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</row>
    <row r="136">
      <c r="A136" s="180"/>
      <c r="B136" s="181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</row>
    <row r="137">
      <c r="A137" s="180"/>
      <c r="B137" s="181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</row>
    <row r="138">
      <c r="A138" s="180"/>
      <c r="B138" s="181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</row>
    <row r="139">
      <c r="A139" s="180"/>
      <c r="B139" s="181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</row>
    <row r="140">
      <c r="A140" s="180"/>
      <c r="B140" s="181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</row>
    <row r="141">
      <c r="A141" s="180"/>
      <c r="B141" s="181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</row>
    <row r="142">
      <c r="A142" s="180"/>
      <c r="B142" s="181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</row>
    <row r="143">
      <c r="A143" s="180"/>
      <c r="B143" s="181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</row>
    <row r="144">
      <c r="A144" s="180"/>
      <c r="B144" s="181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</row>
    <row r="145">
      <c r="A145" s="180"/>
      <c r="B145" s="181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</row>
    <row r="146">
      <c r="A146" s="180"/>
      <c r="B146" s="181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</row>
    <row r="147">
      <c r="A147" s="180"/>
      <c r="B147" s="181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</row>
    <row r="148">
      <c r="A148" s="180"/>
      <c r="B148" s="181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</row>
    <row r="149">
      <c r="A149" s="180"/>
      <c r="B149" s="181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</row>
    <row r="150">
      <c r="A150" s="180"/>
      <c r="B150" s="181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</row>
    <row r="151">
      <c r="A151" s="180"/>
      <c r="B151" s="181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</row>
    <row r="152">
      <c r="A152" s="180"/>
      <c r="B152" s="181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</row>
    <row r="153">
      <c r="A153" s="180"/>
      <c r="B153" s="181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</row>
    <row r="154">
      <c r="A154" s="180"/>
      <c r="B154" s="181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</row>
    <row r="155">
      <c r="A155" s="180"/>
      <c r="B155" s="181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</row>
    <row r="156">
      <c r="A156" s="180"/>
      <c r="B156" s="181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</row>
    <row r="157">
      <c r="A157" s="180"/>
      <c r="B157" s="181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</row>
    <row r="158">
      <c r="A158" s="180"/>
      <c r="B158" s="181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</row>
    <row r="159">
      <c r="A159" s="180"/>
      <c r="B159" s="181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</row>
    <row r="160">
      <c r="A160" s="180"/>
      <c r="B160" s="181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</row>
    <row r="161">
      <c r="A161" s="180"/>
      <c r="B161" s="181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</row>
    <row r="162">
      <c r="A162" s="180"/>
      <c r="B162" s="181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</row>
    <row r="163">
      <c r="A163" s="180"/>
      <c r="B163" s="181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</row>
    <row r="164">
      <c r="A164" s="180"/>
      <c r="B164" s="181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</row>
    <row r="165">
      <c r="A165" s="180"/>
      <c r="B165" s="181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</row>
    <row r="166">
      <c r="A166" s="180"/>
      <c r="B166" s="181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</row>
    <row r="167">
      <c r="A167" s="180"/>
      <c r="B167" s="181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</row>
    <row r="168">
      <c r="A168" s="180"/>
      <c r="B168" s="181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</row>
    <row r="169">
      <c r="A169" s="180"/>
      <c r="B169" s="181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</row>
    <row r="170">
      <c r="A170" s="180"/>
      <c r="B170" s="181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</row>
    <row r="171">
      <c r="A171" s="180"/>
      <c r="B171" s="181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</row>
    <row r="172">
      <c r="A172" s="180"/>
      <c r="B172" s="181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</row>
    <row r="173">
      <c r="A173" s="180"/>
      <c r="B173" s="181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</row>
    <row r="174">
      <c r="A174" s="180"/>
      <c r="B174" s="181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</row>
    <row r="175">
      <c r="A175" s="180"/>
      <c r="B175" s="181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</row>
    <row r="176">
      <c r="A176" s="180"/>
      <c r="B176" s="181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</row>
    <row r="177">
      <c r="A177" s="180"/>
      <c r="B177" s="181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</row>
    <row r="178">
      <c r="A178" s="180"/>
      <c r="B178" s="181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</row>
    <row r="179">
      <c r="A179" s="180"/>
      <c r="B179" s="181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</row>
    <row r="180">
      <c r="A180" s="180"/>
      <c r="B180" s="181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</row>
    <row r="181">
      <c r="A181" s="180"/>
      <c r="B181" s="181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</row>
    <row r="182">
      <c r="A182" s="180"/>
      <c r="B182" s="181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</row>
    <row r="183">
      <c r="A183" s="180"/>
      <c r="B183" s="181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</row>
    <row r="184">
      <c r="A184" s="180"/>
      <c r="B184" s="181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</row>
    <row r="185">
      <c r="A185" s="180"/>
      <c r="B185" s="181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</row>
    <row r="186">
      <c r="A186" s="180"/>
      <c r="B186" s="181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</row>
    <row r="187">
      <c r="A187" s="180"/>
      <c r="B187" s="181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</row>
    <row r="188">
      <c r="A188" s="180"/>
      <c r="B188" s="181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</row>
    <row r="189">
      <c r="A189" s="180"/>
      <c r="B189" s="181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</row>
    <row r="190">
      <c r="A190" s="180"/>
      <c r="B190" s="181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</row>
    <row r="191">
      <c r="A191" s="180"/>
      <c r="B191" s="181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</row>
    <row r="192">
      <c r="A192" s="180"/>
      <c r="B192" s="181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</row>
    <row r="193">
      <c r="A193" s="180"/>
      <c r="B193" s="181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</row>
    <row r="194">
      <c r="A194" s="180"/>
      <c r="B194" s="181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</row>
    <row r="195">
      <c r="A195" s="180"/>
      <c r="B195" s="181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</row>
    <row r="196">
      <c r="A196" s="180"/>
      <c r="B196" s="181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</row>
    <row r="197">
      <c r="A197" s="180"/>
      <c r="B197" s="181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</row>
    <row r="198">
      <c r="A198" s="180"/>
      <c r="B198" s="181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</row>
    <row r="199">
      <c r="A199" s="180"/>
      <c r="B199" s="181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</row>
    <row r="200">
      <c r="A200" s="180"/>
      <c r="B200" s="181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</row>
    <row r="201">
      <c r="A201" s="180"/>
      <c r="B201" s="181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</row>
    <row r="202">
      <c r="A202" s="180"/>
      <c r="B202" s="181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</row>
    <row r="203">
      <c r="A203" s="180"/>
      <c r="B203" s="181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</row>
    <row r="204">
      <c r="A204" s="180"/>
      <c r="B204" s="181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</row>
    <row r="205">
      <c r="A205" s="180"/>
      <c r="B205" s="181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</row>
    <row r="206">
      <c r="A206" s="180"/>
      <c r="B206" s="181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</row>
    <row r="207">
      <c r="A207" s="180"/>
      <c r="B207" s="181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</row>
    <row r="208">
      <c r="A208" s="180"/>
      <c r="B208" s="181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</row>
    <row r="209">
      <c r="A209" s="180"/>
      <c r="B209" s="181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</row>
    <row r="210">
      <c r="A210" s="180"/>
      <c r="B210" s="181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</row>
    <row r="211">
      <c r="A211" s="180"/>
      <c r="B211" s="181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</row>
    <row r="212">
      <c r="A212" s="180"/>
      <c r="B212" s="181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</row>
    <row r="213">
      <c r="A213" s="180"/>
      <c r="B213" s="181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</row>
    <row r="214">
      <c r="A214" s="180"/>
      <c r="B214" s="181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</row>
    <row r="215">
      <c r="A215" s="180"/>
      <c r="B215" s="181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</row>
    <row r="216">
      <c r="A216" s="180"/>
      <c r="B216" s="181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</row>
    <row r="217">
      <c r="A217" s="180"/>
      <c r="B217" s="181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</row>
    <row r="218">
      <c r="A218" s="180"/>
      <c r="B218" s="181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</row>
    <row r="219">
      <c r="A219" s="180"/>
      <c r="B219" s="181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</row>
    <row r="220">
      <c r="A220" s="180"/>
      <c r="B220" s="181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</row>
    <row r="221">
      <c r="A221" s="180"/>
      <c r="B221" s="181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</row>
    <row r="222">
      <c r="A222" s="180"/>
      <c r="B222" s="181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</row>
    <row r="223">
      <c r="A223" s="180"/>
      <c r="B223" s="181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</row>
    <row r="224">
      <c r="A224" s="180"/>
      <c r="B224" s="181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</row>
    <row r="225">
      <c r="A225" s="180"/>
      <c r="B225" s="181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</row>
    <row r="226">
      <c r="A226" s="180"/>
      <c r="B226" s="181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</row>
    <row r="227">
      <c r="A227" s="180"/>
      <c r="B227" s="181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</row>
    <row r="228">
      <c r="A228" s="180"/>
      <c r="B228" s="181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</row>
    <row r="229">
      <c r="A229" s="180"/>
      <c r="B229" s="181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</row>
    <row r="230">
      <c r="A230" s="180"/>
      <c r="B230" s="181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</row>
    <row r="231">
      <c r="A231" s="180"/>
      <c r="B231" s="181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</row>
    <row r="232">
      <c r="A232" s="180"/>
      <c r="B232" s="181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</row>
    <row r="233">
      <c r="A233" s="180"/>
      <c r="B233" s="181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</row>
    <row r="234">
      <c r="A234" s="180"/>
      <c r="B234" s="181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</row>
    <row r="235">
      <c r="A235" s="180"/>
      <c r="B235" s="181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</row>
    <row r="236">
      <c r="A236" s="180"/>
      <c r="B236" s="181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</row>
    <row r="237">
      <c r="A237" s="180"/>
      <c r="B237" s="181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</row>
    <row r="238">
      <c r="A238" s="180"/>
      <c r="B238" s="181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</row>
    <row r="239">
      <c r="A239" s="180"/>
      <c r="B239" s="181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</row>
    <row r="240">
      <c r="A240" s="180"/>
      <c r="B240" s="181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</row>
    <row r="241">
      <c r="A241" s="180"/>
      <c r="B241" s="181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</row>
    <row r="242">
      <c r="A242" s="180"/>
      <c r="B242" s="181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</row>
    <row r="243">
      <c r="A243" s="180"/>
      <c r="B243" s="181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</row>
    <row r="244">
      <c r="A244" s="180"/>
      <c r="B244" s="181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</row>
    <row r="245">
      <c r="A245" s="180"/>
      <c r="B245" s="181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</row>
    <row r="246">
      <c r="A246" s="180"/>
      <c r="B246" s="181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</row>
    <row r="247">
      <c r="A247" s="180"/>
      <c r="B247" s="181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</row>
    <row r="248">
      <c r="A248" s="180"/>
      <c r="B248" s="181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</row>
    <row r="249">
      <c r="A249" s="180"/>
      <c r="B249" s="181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</row>
    <row r="250">
      <c r="A250" s="180"/>
      <c r="B250" s="181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</row>
    <row r="251">
      <c r="A251" s="180"/>
      <c r="B251" s="181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</row>
    <row r="252">
      <c r="A252" s="180"/>
      <c r="B252" s="181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</row>
    <row r="253">
      <c r="A253" s="180"/>
      <c r="B253" s="181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</row>
    <row r="254">
      <c r="A254" s="180"/>
      <c r="B254" s="181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</row>
    <row r="255">
      <c r="A255" s="180"/>
      <c r="B255" s="181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</row>
    <row r="256">
      <c r="A256" s="180"/>
      <c r="B256" s="181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</row>
    <row r="257">
      <c r="A257" s="180"/>
      <c r="B257" s="181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</row>
    <row r="258">
      <c r="A258" s="180"/>
      <c r="B258" s="181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</row>
    <row r="259">
      <c r="A259" s="180"/>
      <c r="B259" s="181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</row>
    <row r="260">
      <c r="A260" s="180"/>
      <c r="B260" s="181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</row>
    <row r="261">
      <c r="A261" s="180"/>
      <c r="B261" s="181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</row>
    <row r="262">
      <c r="A262" s="180"/>
      <c r="B262" s="181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</row>
    <row r="263">
      <c r="A263" s="180"/>
      <c r="B263" s="181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</row>
    <row r="264">
      <c r="A264" s="180"/>
      <c r="B264" s="181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</row>
    <row r="265">
      <c r="A265" s="180"/>
      <c r="B265" s="181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</row>
    <row r="266">
      <c r="A266" s="180"/>
      <c r="B266" s="181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</row>
    <row r="267">
      <c r="A267" s="180"/>
      <c r="B267" s="181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</row>
    <row r="268">
      <c r="A268" s="180"/>
      <c r="B268" s="181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</row>
    <row r="269">
      <c r="A269" s="180"/>
      <c r="B269" s="181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</row>
    <row r="270">
      <c r="A270" s="180"/>
      <c r="B270" s="181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</row>
    <row r="271">
      <c r="A271" s="180"/>
      <c r="B271" s="181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</row>
    <row r="272">
      <c r="A272" s="180"/>
      <c r="B272" s="181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</row>
    <row r="273">
      <c r="A273" s="180"/>
      <c r="B273" s="181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</row>
    <row r="274">
      <c r="A274" s="180"/>
      <c r="B274" s="181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</row>
    <row r="275">
      <c r="A275" s="180"/>
      <c r="B275" s="181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</row>
    <row r="276">
      <c r="A276" s="180"/>
      <c r="B276" s="181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</row>
    <row r="277">
      <c r="A277" s="180"/>
      <c r="B277" s="181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</row>
    <row r="278">
      <c r="A278" s="180"/>
      <c r="B278" s="181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</row>
    <row r="279">
      <c r="A279" s="180"/>
      <c r="B279" s="181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</row>
    <row r="280">
      <c r="A280" s="180"/>
      <c r="B280" s="181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</row>
    <row r="281">
      <c r="A281" s="180"/>
      <c r="B281" s="181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</row>
    <row r="282">
      <c r="A282" s="180"/>
      <c r="B282" s="181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</row>
    <row r="283">
      <c r="A283" s="180"/>
      <c r="B283" s="181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</row>
    <row r="284">
      <c r="A284" s="180"/>
      <c r="B284" s="181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</row>
    <row r="285">
      <c r="A285" s="180"/>
      <c r="B285" s="181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</row>
    <row r="286">
      <c r="A286" s="180"/>
      <c r="B286" s="181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</row>
    <row r="287">
      <c r="A287" s="180"/>
      <c r="B287" s="181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</row>
    <row r="288">
      <c r="A288" s="180"/>
      <c r="B288" s="181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</row>
    <row r="289">
      <c r="A289" s="180"/>
      <c r="B289" s="181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</row>
    <row r="290">
      <c r="A290" s="180"/>
      <c r="B290" s="181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</row>
    <row r="291">
      <c r="A291" s="180"/>
      <c r="B291" s="181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</row>
    <row r="292">
      <c r="A292" s="180"/>
      <c r="B292" s="181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</row>
    <row r="293">
      <c r="A293" s="180"/>
      <c r="B293" s="181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</row>
    <row r="294">
      <c r="A294" s="180"/>
      <c r="B294" s="181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</row>
    <row r="295">
      <c r="A295" s="180"/>
      <c r="B295" s="181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</row>
    <row r="296">
      <c r="A296" s="180"/>
      <c r="B296" s="181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</row>
    <row r="297">
      <c r="A297" s="180"/>
      <c r="B297" s="181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</row>
    <row r="298">
      <c r="A298" s="180"/>
      <c r="B298" s="181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</row>
    <row r="299">
      <c r="A299" s="180"/>
      <c r="B299" s="181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</row>
    <row r="300">
      <c r="A300" s="180"/>
      <c r="B300" s="181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</row>
    <row r="301">
      <c r="A301" s="180"/>
      <c r="B301" s="181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</row>
    <row r="302">
      <c r="A302" s="180"/>
      <c r="B302" s="181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</row>
    <row r="303">
      <c r="A303" s="180"/>
      <c r="B303" s="181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</row>
    <row r="304">
      <c r="A304" s="180"/>
      <c r="B304" s="181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</row>
    <row r="305">
      <c r="A305" s="180"/>
      <c r="B305" s="181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</row>
    <row r="306">
      <c r="A306" s="180"/>
      <c r="B306" s="181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</row>
    <row r="307">
      <c r="A307" s="180"/>
      <c r="B307" s="181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</row>
    <row r="308">
      <c r="A308" s="180"/>
      <c r="B308" s="181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</row>
    <row r="309">
      <c r="A309" s="180"/>
      <c r="B309" s="181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</row>
    <row r="310">
      <c r="A310" s="180"/>
      <c r="B310" s="181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</row>
    <row r="311">
      <c r="A311" s="180"/>
      <c r="B311" s="181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</row>
    <row r="312">
      <c r="A312" s="180"/>
      <c r="B312" s="181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</row>
    <row r="313">
      <c r="A313" s="180"/>
      <c r="B313" s="181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</row>
    <row r="314">
      <c r="A314" s="180"/>
      <c r="B314" s="181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</row>
    <row r="315">
      <c r="A315" s="180"/>
      <c r="B315" s="181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</row>
    <row r="316">
      <c r="A316" s="180"/>
      <c r="B316" s="181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</row>
    <row r="317">
      <c r="A317" s="180"/>
      <c r="B317" s="181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</row>
    <row r="318">
      <c r="A318" s="180"/>
      <c r="B318" s="181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</row>
    <row r="319">
      <c r="A319" s="180"/>
      <c r="B319" s="181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</row>
    <row r="320">
      <c r="A320" s="180"/>
      <c r="B320" s="181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</row>
    <row r="321">
      <c r="A321" s="180"/>
      <c r="B321" s="181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</row>
    <row r="322">
      <c r="A322" s="180"/>
      <c r="B322" s="181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</row>
    <row r="323">
      <c r="A323" s="180"/>
      <c r="B323" s="181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</row>
    <row r="324">
      <c r="A324" s="180"/>
      <c r="B324" s="181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</row>
    <row r="325">
      <c r="A325" s="180"/>
      <c r="B325" s="181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</row>
    <row r="326">
      <c r="A326" s="180"/>
      <c r="B326" s="181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</row>
    <row r="327">
      <c r="A327" s="180"/>
      <c r="B327" s="181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</row>
    <row r="328">
      <c r="A328" s="180"/>
      <c r="B328" s="181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</row>
    <row r="329">
      <c r="A329" s="180"/>
      <c r="B329" s="181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</row>
    <row r="330">
      <c r="A330" s="180"/>
      <c r="B330" s="181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</row>
    <row r="331">
      <c r="A331" s="180"/>
      <c r="B331" s="181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</row>
    <row r="332">
      <c r="A332" s="180"/>
      <c r="B332" s="181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</row>
    <row r="333">
      <c r="A333" s="180"/>
      <c r="B333" s="181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</row>
    <row r="334">
      <c r="A334" s="180"/>
      <c r="B334" s="181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</row>
    <row r="335">
      <c r="A335" s="180"/>
      <c r="B335" s="181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</row>
    <row r="336">
      <c r="A336" s="180"/>
      <c r="B336" s="181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</row>
    <row r="337">
      <c r="A337" s="180"/>
      <c r="B337" s="181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</row>
    <row r="338">
      <c r="A338" s="180"/>
      <c r="B338" s="181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</row>
    <row r="339">
      <c r="A339" s="180"/>
      <c r="B339" s="181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</row>
    <row r="340">
      <c r="A340" s="180"/>
      <c r="B340" s="181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</row>
    <row r="341">
      <c r="A341" s="180"/>
      <c r="B341" s="181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</row>
    <row r="342">
      <c r="A342" s="180"/>
      <c r="B342" s="181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</row>
    <row r="343">
      <c r="A343" s="180"/>
      <c r="B343" s="181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</row>
    <row r="344">
      <c r="A344" s="180"/>
      <c r="B344" s="181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</row>
    <row r="345">
      <c r="A345" s="180"/>
      <c r="B345" s="181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</row>
    <row r="346">
      <c r="A346" s="180"/>
      <c r="B346" s="181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</row>
    <row r="347">
      <c r="A347" s="180"/>
      <c r="B347" s="181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</row>
    <row r="348">
      <c r="A348" s="180"/>
      <c r="B348" s="181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</row>
    <row r="349">
      <c r="A349" s="180"/>
      <c r="B349" s="181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</row>
    <row r="350">
      <c r="A350" s="180"/>
      <c r="B350" s="181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</row>
    <row r="351">
      <c r="A351" s="180"/>
      <c r="B351" s="181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</row>
    <row r="352">
      <c r="A352" s="180"/>
      <c r="B352" s="181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</row>
    <row r="353">
      <c r="A353" s="180"/>
      <c r="B353" s="181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</row>
    <row r="354">
      <c r="A354" s="180"/>
      <c r="B354" s="181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</row>
    <row r="355">
      <c r="A355" s="180"/>
      <c r="B355" s="181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</row>
    <row r="356">
      <c r="A356" s="180"/>
      <c r="B356" s="181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</row>
    <row r="357">
      <c r="A357" s="180"/>
      <c r="B357" s="181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</row>
    <row r="358">
      <c r="A358" s="180"/>
      <c r="B358" s="181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</row>
    <row r="359">
      <c r="A359" s="180"/>
      <c r="B359" s="181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</row>
    <row r="360">
      <c r="A360" s="180"/>
      <c r="B360" s="181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</row>
    <row r="361">
      <c r="A361" s="180"/>
      <c r="B361" s="181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</row>
    <row r="362">
      <c r="A362" s="180"/>
      <c r="B362" s="181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</row>
    <row r="363">
      <c r="A363" s="180"/>
      <c r="B363" s="181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</row>
    <row r="364">
      <c r="A364" s="180"/>
      <c r="B364" s="181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</row>
    <row r="365">
      <c r="A365" s="180"/>
      <c r="B365" s="181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</row>
    <row r="366">
      <c r="A366" s="180"/>
      <c r="B366" s="181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</row>
    <row r="367">
      <c r="A367" s="180"/>
      <c r="B367" s="181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</row>
    <row r="368">
      <c r="A368" s="180"/>
      <c r="B368" s="181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</row>
    <row r="369">
      <c r="A369" s="180"/>
      <c r="B369" s="181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</row>
    <row r="370">
      <c r="A370" s="180"/>
      <c r="B370" s="181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</row>
    <row r="371">
      <c r="A371" s="180"/>
      <c r="B371" s="181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</row>
    <row r="372">
      <c r="A372" s="180"/>
      <c r="B372" s="181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</row>
    <row r="373">
      <c r="A373" s="180"/>
      <c r="B373" s="181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</row>
    <row r="374">
      <c r="A374" s="180"/>
      <c r="B374" s="181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</row>
    <row r="375">
      <c r="A375" s="180"/>
      <c r="B375" s="181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</row>
    <row r="376">
      <c r="A376" s="180"/>
      <c r="B376" s="181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</row>
    <row r="377">
      <c r="A377" s="180"/>
      <c r="B377" s="181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</row>
    <row r="378">
      <c r="A378" s="180"/>
      <c r="B378" s="181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</row>
    <row r="379">
      <c r="A379" s="180"/>
      <c r="B379" s="181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</row>
    <row r="380">
      <c r="A380" s="180"/>
      <c r="B380" s="181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</row>
    <row r="381">
      <c r="A381" s="180"/>
      <c r="B381" s="181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</row>
    <row r="382">
      <c r="A382" s="180"/>
      <c r="B382" s="181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</row>
    <row r="383">
      <c r="A383" s="180"/>
      <c r="B383" s="181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</row>
    <row r="384">
      <c r="A384" s="180"/>
      <c r="B384" s="181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</row>
    <row r="385">
      <c r="A385" s="180"/>
      <c r="B385" s="181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</row>
    <row r="386">
      <c r="A386" s="180"/>
      <c r="B386" s="181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</row>
    <row r="387">
      <c r="A387" s="180"/>
      <c r="B387" s="181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</row>
    <row r="388">
      <c r="A388" s="180"/>
      <c r="B388" s="181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</row>
    <row r="389">
      <c r="A389" s="180"/>
      <c r="B389" s="181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</row>
    <row r="390">
      <c r="A390" s="180"/>
      <c r="B390" s="181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</row>
    <row r="391">
      <c r="A391" s="180"/>
      <c r="B391" s="181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</row>
    <row r="392">
      <c r="A392" s="180"/>
      <c r="B392" s="181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</row>
    <row r="393">
      <c r="A393" s="180"/>
      <c r="B393" s="181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</row>
    <row r="394">
      <c r="A394" s="180"/>
      <c r="B394" s="181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</row>
    <row r="395">
      <c r="A395" s="180"/>
      <c r="B395" s="181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>
      <c r="A396" s="180"/>
      <c r="B396" s="181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</row>
    <row r="397">
      <c r="A397" s="180"/>
      <c r="B397" s="181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</row>
    <row r="398">
      <c r="A398" s="180"/>
      <c r="B398" s="181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</row>
    <row r="399">
      <c r="A399" s="180"/>
      <c r="B399" s="181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</row>
    <row r="400">
      <c r="A400" s="180"/>
      <c r="B400" s="181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</row>
    <row r="401">
      <c r="A401" s="180"/>
      <c r="B401" s="181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</row>
    <row r="402">
      <c r="A402" s="180"/>
      <c r="B402" s="181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</row>
    <row r="403">
      <c r="A403" s="180"/>
      <c r="B403" s="181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</row>
    <row r="404">
      <c r="A404" s="180"/>
      <c r="B404" s="181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</row>
    <row r="405">
      <c r="A405" s="180"/>
      <c r="B405" s="181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</row>
    <row r="406">
      <c r="A406" s="180"/>
      <c r="B406" s="181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</row>
    <row r="407">
      <c r="A407" s="180"/>
      <c r="B407" s="181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</row>
    <row r="408">
      <c r="A408" s="180"/>
      <c r="B408" s="181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</row>
    <row r="409">
      <c r="A409" s="180"/>
      <c r="B409" s="181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</row>
    <row r="410">
      <c r="A410" s="180"/>
      <c r="B410" s="181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</row>
    <row r="411">
      <c r="A411" s="180"/>
      <c r="B411" s="181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</row>
    <row r="412">
      <c r="A412" s="180"/>
      <c r="B412" s="181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</row>
    <row r="413">
      <c r="A413" s="180"/>
      <c r="B413" s="181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</row>
    <row r="414">
      <c r="A414" s="180"/>
      <c r="B414" s="181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</row>
    <row r="415">
      <c r="A415" s="180"/>
      <c r="B415" s="181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</row>
    <row r="416">
      <c r="A416" s="180"/>
      <c r="B416" s="181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</row>
    <row r="417">
      <c r="A417" s="180"/>
      <c r="B417" s="181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</row>
    <row r="418">
      <c r="A418" s="180"/>
      <c r="B418" s="181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</row>
    <row r="419">
      <c r="A419" s="180"/>
      <c r="B419" s="181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</row>
    <row r="420">
      <c r="A420" s="180"/>
      <c r="B420" s="181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</row>
    <row r="421">
      <c r="A421" s="180"/>
      <c r="B421" s="181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</row>
    <row r="422">
      <c r="A422" s="180"/>
      <c r="B422" s="181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</row>
    <row r="423">
      <c r="A423" s="180"/>
      <c r="B423" s="181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</row>
    <row r="424">
      <c r="A424" s="180"/>
      <c r="B424" s="181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</row>
    <row r="425">
      <c r="A425" s="180"/>
      <c r="B425" s="181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</row>
    <row r="426">
      <c r="A426" s="180"/>
      <c r="B426" s="181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</row>
    <row r="427">
      <c r="A427" s="180"/>
      <c r="B427" s="181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</row>
    <row r="428">
      <c r="A428" s="180"/>
      <c r="B428" s="181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</row>
    <row r="429">
      <c r="A429" s="180"/>
      <c r="B429" s="181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</row>
    <row r="430">
      <c r="A430" s="180"/>
      <c r="B430" s="181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</row>
    <row r="431">
      <c r="A431" s="180"/>
      <c r="B431" s="181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</row>
    <row r="432">
      <c r="A432" s="180"/>
      <c r="B432" s="181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</row>
    <row r="433">
      <c r="A433" s="180"/>
      <c r="B433" s="181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</row>
    <row r="434">
      <c r="A434" s="180"/>
      <c r="B434" s="181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</row>
    <row r="435">
      <c r="A435" s="180"/>
      <c r="B435" s="181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</row>
    <row r="436">
      <c r="A436" s="180"/>
      <c r="B436" s="181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</row>
    <row r="437">
      <c r="A437" s="180"/>
      <c r="B437" s="181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</row>
    <row r="438">
      <c r="A438" s="180"/>
      <c r="B438" s="181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</row>
    <row r="439">
      <c r="A439" s="180"/>
      <c r="B439" s="181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</row>
    <row r="440">
      <c r="A440" s="180"/>
      <c r="B440" s="181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</row>
    <row r="441">
      <c r="A441" s="180"/>
      <c r="B441" s="181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</row>
    <row r="442">
      <c r="A442" s="180"/>
      <c r="B442" s="181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</row>
    <row r="443">
      <c r="A443" s="180"/>
      <c r="B443" s="181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</row>
    <row r="444">
      <c r="A444" s="180"/>
      <c r="B444" s="181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</row>
    <row r="445">
      <c r="A445" s="180"/>
      <c r="B445" s="181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</row>
    <row r="446">
      <c r="A446" s="180"/>
      <c r="B446" s="181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</row>
    <row r="447">
      <c r="A447" s="180"/>
      <c r="B447" s="181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</row>
    <row r="448">
      <c r="A448" s="180"/>
      <c r="B448" s="181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</row>
    <row r="449">
      <c r="A449" s="180"/>
      <c r="B449" s="181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</row>
    <row r="450">
      <c r="A450" s="180"/>
      <c r="B450" s="181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</row>
    <row r="451">
      <c r="A451" s="180"/>
      <c r="B451" s="181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</row>
    <row r="452">
      <c r="A452" s="180"/>
      <c r="B452" s="181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</row>
    <row r="453">
      <c r="A453" s="180"/>
      <c r="B453" s="181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</row>
    <row r="454">
      <c r="A454" s="180"/>
      <c r="B454" s="181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</row>
    <row r="455">
      <c r="A455" s="180"/>
      <c r="B455" s="181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</row>
    <row r="456">
      <c r="A456" s="180"/>
      <c r="B456" s="181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</row>
    <row r="457">
      <c r="A457" s="180"/>
      <c r="B457" s="181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</row>
    <row r="458">
      <c r="A458" s="180"/>
      <c r="B458" s="181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</row>
    <row r="459">
      <c r="A459" s="180"/>
      <c r="B459" s="181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</row>
    <row r="460">
      <c r="A460" s="180"/>
      <c r="B460" s="181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</row>
    <row r="461">
      <c r="A461" s="180"/>
      <c r="B461" s="181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</row>
    <row r="462">
      <c r="A462" s="180"/>
      <c r="B462" s="181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</row>
    <row r="463">
      <c r="A463" s="180"/>
      <c r="B463" s="181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</row>
    <row r="464">
      <c r="A464" s="180"/>
      <c r="B464" s="181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</row>
    <row r="465">
      <c r="A465" s="180"/>
      <c r="B465" s="181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</row>
    <row r="466">
      <c r="A466" s="180"/>
      <c r="B466" s="181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</row>
    <row r="467">
      <c r="A467" s="180"/>
      <c r="B467" s="181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</row>
    <row r="468">
      <c r="A468" s="180"/>
      <c r="B468" s="181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</row>
    <row r="469">
      <c r="A469" s="180"/>
      <c r="B469" s="181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</row>
    <row r="470">
      <c r="A470" s="180"/>
      <c r="B470" s="181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</row>
    <row r="471">
      <c r="A471" s="180"/>
      <c r="B471" s="181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</row>
    <row r="472">
      <c r="A472" s="180"/>
      <c r="B472" s="181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</row>
    <row r="473">
      <c r="A473" s="180"/>
      <c r="B473" s="181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</row>
    <row r="474">
      <c r="A474" s="180"/>
      <c r="B474" s="181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</row>
    <row r="475">
      <c r="A475" s="180"/>
      <c r="B475" s="181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</row>
    <row r="476">
      <c r="A476" s="180"/>
      <c r="B476" s="181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</row>
    <row r="477">
      <c r="A477" s="180"/>
      <c r="B477" s="181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</row>
    <row r="478">
      <c r="A478" s="180"/>
      <c r="B478" s="181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</row>
    <row r="479">
      <c r="A479" s="180"/>
      <c r="B479" s="181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</row>
    <row r="480">
      <c r="A480" s="180"/>
      <c r="B480" s="181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</row>
    <row r="481">
      <c r="A481" s="180"/>
      <c r="B481" s="181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</row>
    <row r="482">
      <c r="A482" s="180"/>
      <c r="B482" s="181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</row>
    <row r="483">
      <c r="A483" s="180"/>
      <c r="B483" s="181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</row>
    <row r="484">
      <c r="A484" s="180"/>
      <c r="B484" s="181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</row>
    <row r="485">
      <c r="A485" s="180"/>
      <c r="B485" s="181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</row>
    <row r="486">
      <c r="A486" s="180"/>
      <c r="B486" s="181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</row>
    <row r="487">
      <c r="A487" s="180"/>
      <c r="B487" s="181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</row>
    <row r="488">
      <c r="A488" s="180"/>
      <c r="B488" s="181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</row>
    <row r="489">
      <c r="A489" s="180"/>
      <c r="B489" s="181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</row>
    <row r="490">
      <c r="A490" s="180"/>
      <c r="B490" s="181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</row>
    <row r="491">
      <c r="A491" s="180"/>
      <c r="B491" s="181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</row>
    <row r="492">
      <c r="A492" s="180"/>
      <c r="B492" s="181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</row>
    <row r="493">
      <c r="A493" s="180"/>
      <c r="B493" s="181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</row>
    <row r="494">
      <c r="A494" s="180"/>
      <c r="B494" s="181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</row>
    <row r="495">
      <c r="A495" s="180"/>
      <c r="B495" s="181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</row>
    <row r="496">
      <c r="A496" s="180"/>
      <c r="B496" s="181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</row>
    <row r="497">
      <c r="A497" s="180"/>
      <c r="B497" s="181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</row>
    <row r="498">
      <c r="A498" s="180"/>
      <c r="B498" s="181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</row>
    <row r="499">
      <c r="A499" s="180"/>
      <c r="B499" s="181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</row>
    <row r="500">
      <c r="A500" s="180"/>
      <c r="B500" s="181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</row>
    <row r="501">
      <c r="A501" s="180"/>
      <c r="B501" s="181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</row>
    <row r="502">
      <c r="A502" s="180"/>
      <c r="B502" s="181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</row>
    <row r="503">
      <c r="A503" s="180"/>
      <c r="B503" s="181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</row>
    <row r="504">
      <c r="A504" s="180"/>
      <c r="B504" s="181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</row>
    <row r="505">
      <c r="A505" s="180"/>
      <c r="B505" s="181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</row>
    <row r="506">
      <c r="A506" s="180"/>
      <c r="B506" s="181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</row>
    <row r="507">
      <c r="A507" s="180"/>
      <c r="B507" s="181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</row>
    <row r="508">
      <c r="A508" s="180"/>
      <c r="B508" s="181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</row>
    <row r="509">
      <c r="A509" s="180"/>
      <c r="B509" s="181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</row>
    <row r="510">
      <c r="A510" s="180"/>
      <c r="B510" s="181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</row>
    <row r="511">
      <c r="A511" s="180"/>
      <c r="B511" s="181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</row>
    <row r="512">
      <c r="A512" s="180"/>
      <c r="B512" s="181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</row>
    <row r="513">
      <c r="A513" s="180"/>
      <c r="B513" s="181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</row>
    <row r="514">
      <c r="A514" s="180"/>
      <c r="B514" s="181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</row>
    <row r="515">
      <c r="A515" s="180"/>
      <c r="B515" s="181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</row>
    <row r="516">
      <c r="A516" s="180"/>
      <c r="B516" s="181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</row>
    <row r="517">
      <c r="A517" s="180"/>
      <c r="B517" s="181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</row>
    <row r="518">
      <c r="A518" s="180"/>
      <c r="B518" s="181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</row>
    <row r="519">
      <c r="A519" s="180"/>
      <c r="B519" s="181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</row>
    <row r="520">
      <c r="A520" s="180"/>
      <c r="B520" s="181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</row>
    <row r="521">
      <c r="A521" s="180"/>
      <c r="B521" s="181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</row>
    <row r="522">
      <c r="A522" s="180"/>
      <c r="B522" s="181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</row>
    <row r="523">
      <c r="A523" s="180"/>
      <c r="B523" s="181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</row>
    <row r="524">
      <c r="A524" s="180"/>
      <c r="B524" s="181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</row>
    <row r="525">
      <c r="A525" s="180"/>
      <c r="B525" s="181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</row>
    <row r="526">
      <c r="A526" s="180"/>
      <c r="B526" s="181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</row>
    <row r="527">
      <c r="A527" s="180"/>
      <c r="B527" s="181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</row>
    <row r="528">
      <c r="A528" s="180"/>
      <c r="B528" s="181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</row>
    <row r="529">
      <c r="A529" s="180"/>
      <c r="B529" s="181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</row>
    <row r="530">
      <c r="A530" s="180"/>
      <c r="B530" s="181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</row>
    <row r="531">
      <c r="A531" s="180"/>
      <c r="B531" s="181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</row>
    <row r="532">
      <c r="A532" s="180"/>
      <c r="B532" s="181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</row>
    <row r="533">
      <c r="A533" s="180"/>
      <c r="B533" s="181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</row>
    <row r="534">
      <c r="A534" s="180"/>
      <c r="B534" s="181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</row>
    <row r="535">
      <c r="A535" s="180"/>
      <c r="B535" s="181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</row>
    <row r="536">
      <c r="A536" s="180"/>
      <c r="B536" s="181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</row>
    <row r="537">
      <c r="A537" s="180"/>
      <c r="B537" s="181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</row>
    <row r="538">
      <c r="A538" s="180"/>
      <c r="B538" s="181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</row>
    <row r="539">
      <c r="A539" s="180"/>
      <c r="B539" s="181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</row>
    <row r="540">
      <c r="A540" s="180"/>
      <c r="B540" s="181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</row>
    <row r="541">
      <c r="A541" s="180"/>
      <c r="B541" s="181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</row>
    <row r="542">
      <c r="A542" s="180"/>
      <c r="B542" s="181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</row>
    <row r="543">
      <c r="A543" s="180"/>
      <c r="B543" s="181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</row>
    <row r="544">
      <c r="A544" s="180"/>
      <c r="B544" s="181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</row>
    <row r="545">
      <c r="A545" s="180"/>
      <c r="B545" s="181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</row>
    <row r="546">
      <c r="A546" s="180"/>
      <c r="B546" s="181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</row>
    <row r="547">
      <c r="A547" s="180"/>
      <c r="B547" s="181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</row>
    <row r="548">
      <c r="A548" s="180"/>
      <c r="B548" s="181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</row>
    <row r="549">
      <c r="A549" s="180"/>
      <c r="B549" s="181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</row>
    <row r="550">
      <c r="A550" s="180"/>
      <c r="B550" s="181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</row>
    <row r="551">
      <c r="A551" s="180"/>
      <c r="B551" s="181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</row>
    <row r="552">
      <c r="A552" s="180"/>
      <c r="B552" s="181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</row>
    <row r="553">
      <c r="A553" s="180"/>
      <c r="B553" s="181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</row>
    <row r="554">
      <c r="A554" s="180"/>
      <c r="B554" s="181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</row>
    <row r="555">
      <c r="A555" s="180"/>
      <c r="B555" s="181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</row>
    <row r="556">
      <c r="A556" s="180"/>
      <c r="B556" s="181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</row>
    <row r="557">
      <c r="A557" s="180"/>
      <c r="B557" s="181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</row>
    <row r="558">
      <c r="A558" s="180"/>
      <c r="B558" s="181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</row>
    <row r="559">
      <c r="A559" s="180"/>
      <c r="B559" s="181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</row>
    <row r="560">
      <c r="A560" s="180"/>
      <c r="B560" s="181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</row>
    <row r="561">
      <c r="A561" s="180"/>
      <c r="B561" s="181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</row>
    <row r="562">
      <c r="A562" s="180"/>
      <c r="B562" s="181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</row>
    <row r="563">
      <c r="A563" s="180"/>
      <c r="B563" s="181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</row>
    <row r="564">
      <c r="A564" s="180"/>
      <c r="B564" s="181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</row>
    <row r="565">
      <c r="A565" s="180"/>
      <c r="B565" s="181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</row>
    <row r="566">
      <c r="A566" s="180"/>
      <c r="B566" s="181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</row>
    <row r="567">
      <c r="A567" s="180"/>
      <c r="B567" s="181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</row>
    <row r="568">
      <c r="A568" s="180"/>
      <c r="B568" s="181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</row>
    <row r="569">
      <c r="A569" s="180"/>
      <c r="B569" s="181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</row>
    <row r="570">
      <c r="A570" s="180"/>
      <c r="B570" s="181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</row>
    <row r="571">
      <c r="A571" s="180"/>
      <c r="B571" s="181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</row>
    <row r="572">
      <c r="A572" s="180"/>
      <c r="B572" s="181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</row>
    <row r="573">
      <c r="A573" s="180"/>
      <c r="B573" s="181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</row>
    <row r="574">
      <c r="A574" s="180"/>
      <c r="B574" s="181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</row>
    <row r="575">
      <c r="A575" s="180"/>
      <c r="B575" s="181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</row>
    <row r="576">
      <c r="A576" s="180"/>
      <c r="B576" s="181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</row>
    <row r="577">
      <c r="A577" s="180"/>
      <c r="B577" s="181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</row>
    <row r="578">
      <c r="A578" s="180"/>
      <c r="B578" s="181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</row>
    <row r="579">
      <c r="A579" s="180"/>
      <c r="B579" s="181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</row>
    <row r="580">
      <c r="A580" s="180"/>
      <c r="B580" s="181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</row>
    <row r="581">
      <c r="A581" s="180"/>
      <c r="B581" s="181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</row>
    <row r="582">
      <c r="A582" s="180"/>
      <c r="B582" s="181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</row>
    <row r="583">
      <c r="A583" s="180"/>
      <c r="B583" s="181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</row>
    <row r="584">
      <c r="A584" s="180"/>
      <c r="B584" s="181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</row>
    <row r="585">
      <c r="A585" s="180"/>
      <c r="B585" s="181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</row>
    <row r="586">
      <c r="A586" s="180"/>
      <c r="B586" s="181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</row>
    <row r="587">
      <c r="A587" s="180"/>
      <c r="B587" s="181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</row>
    <row r="588">
      <c r="A588" s="180"/>
      <c r="B588" s="181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</row>
    <row r="589">
      <c r="A589" s="180"/>
      <c r="B589" s="181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</row>
    <row r="590">
      <c r="A590" s="180"/>
      <c r="B590" s="181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</row>
    <row r="591">
      <c r="A591" s="180"/>
      <c r="B591" s="181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</row>
    <row r="592">
      <c r="A592" s="180"/>
      <c r="B592" s="181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</row>
    <row r="593">
      <c r="A593" s="180"/>
      <c r="B593" s="181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</row>
    <row r="594">
      <c r="A594" s="180"/>
      <c r="B594" s="181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</row>
    <row r="595">
      <c r="A595" s="180"/>
      <c r="B595" s="181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</row>
    <row r="596">
      <c r="A596" s="180"/>
      <c r="B596" s="181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</row>
    <row r="597">
      <c r="A597" s="180"/>
      <c r="B597" s="181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</row>
    <row r="598">
      <c r="A598" s="180"/>
      <c r="B598" s="181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</row>
    <row r="599">
      <c r="A599" s="180"/>
      <c r="B599" s="181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</row>
    <row r="600">
      <c r="A600" s="180"/>
      <c r="B600" s="181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</row>
    <row r="601">
      <c r="A601" s="180"/>
      <c r="B601" s="181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</row>
    <row r="602">
      <c r="A602" s="180"/>
      <c r="B602" s="181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</row>
    <row r="603">
      <c r="A603" s="180"/>
      <c r="B603" s="181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</row>
    <row r="604">
      <c r="A604" s="180"/>
      <c r="B604" s="181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</row>
    <row r="605">
      <c r="A605" s="180"/>
      <c r="B605" s="181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</row>
    <row r="606">
      <c r="A606" s="180"/>
      <c r="B606" s="181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</row>
    <row r="607">
      <c r="A607" s="180"/>
      <c r="B607" s="181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</row>
    <row r="608">
      <c r="A608" s="180"/>
      <c r="B608" s="181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</row>
    <row r="609">
      <c r="A609" s="180"/>
      <c r="B609" s="181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</row>
    <row r="610">
      <c r="A610" s="180"/>
      <c r="B610" s="181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</row>
    <row r="611">
      <c r="A611" s="180"/>
      <c r="B611" s="181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</row>
    <row r="612">
      <c r="A612" s="180"/>
      <c r="B612" s="181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</row>
    <row r="613">
      <c r="A613" s="180"/>
      <c r="B613" s="181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</row>
    <row r="614">
      <c r="A614" s="180"/>
      <c r="B614" s="181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</row>
    <row r="615">
      <c r="A615" s="180"/>
      <c r="B615" s="181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</row>
    <row r="616">
      <c r="A616" s="180"/>
      <c r="B616" s="181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</row>
    <row r="617">
      <c r="A617" s="180"/>
      <c r="B617" s="181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</row>
    <row r="618">
      <c r="A618" s="180"/>
      <c r="B618" s="181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</row>
    <row r="619">
      <c r="A619" s="180"/>
      <c r="B619" s="181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</row>
    <row r="620">
      <c r="A620" s="180"/>
      <c r="B620" s="181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</row>
    <row r="621">
      <c r="A621" s="180"/>
      <c r="B621" s="181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</row>
    <row r="622">
      <c r="A622" s="180"/>
      <c r="B622" s="181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</row>
    <row r="623">
      <c r="A623" s="180"/>
      <c r="B623" s="181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</row>
    <row r="624">
      <c r="A624" s="180"/>
      <c r="B624" s="181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</row>
    <row r="625">
      <c r="A625" s="180"/>
      <c r="B625" s="181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</row>
    <row r="626">
      <c r="A626" s="180"/>
      <c r="B626" s="181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</row>
    <row r="627">
      <c r="A627" s="180"/>
      <c r="B627" s="181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</row>
    <row r="628">
      <c r="A628" s="180"/>
      <c r="B628" s="181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</row>
    <row r="629">
      <c r="A629" s="180"/>
      <c r="B629" s="181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</row>
    <row r="630">
      <c r="A630" s="180"/>
      <c r="B630" s="181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</row>
    <row r="631">
      <c r="A631" s="180"/>
      <c r="B631" s="181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</row>
    <row r="632">
      <c r="A632" s="180"/>
      <c r="B632" s="181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</row>
    <row r="633">
      <c r="A633" s="180"/>
      <c r="B633" s="181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</row>
    <row r="634">
      <c r="A634" s="180"/>
      <c r="B634" s="181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</row>
    <row r="635">
      <c r="A635" s="180"/>
      <c r="B635" s="181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</row>
    <row r="636">
      <c r="A636" s="180"/>
      <c r="B636" s="181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</row>
    <row r="637">
      <c r="A637" s="180"/>
      <c r="B637" s="181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</row>
    <row r="638">
      <c r="A638" s="180"/>
      <c r="B638" s="181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</row>
    <row r="639">
      <c r="A639" s="180"/>
      <c r="B639" s="181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</row>
    <row r="640">
      <c r="A640" s="180"/>
      <c r="B640" s="181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</row>
    <row r="641">
      <c r="A641" s="180"/>
      <c r="B641" s="181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</row>
    <row r="642">
      <c r="A642" s="180"/>
      <c r="B642" s="181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</row>
    <row r="643">
      <c r="A643" s="180"/>
      <c r="B643" s="181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</row>
    <row r="644">
      <c r="A644" s="180"/>
      <c r="B644" s="181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</row>
    <row r="645">
      <c r="A645" s="180"/>
      <c r="B645" s="181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</row>
    <row r="646">
      <c r="A646" s="180"/>
      <c r="B646" s="181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</row>
    <row r="647">
      <c r="A647" s="180"/>
      <c r="B647" s="181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</row>
    <row r="648">
      <c r="A648" s="180"/>
      <c r="B648" s="181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</row>
    <row r="649">
      <c r="A649" s="180"/>
      <c r="B649" s="181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</row>
    <row r="650">
      <c r="A650" s="180"/>
      <c r="B650" s="181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</row>
    <row r="651">
      <c r="A651" s="180"/>
      <c r="B651" s="181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</row>
    <row r="652">
      <c r="A652" s="180"/>
      <c r="B652" s="181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</row>
    <row r="653">
      <c r="A653" s="180"/>
      <c r="B653" s="181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</row>
    <row r="654">
      <c r="A654" s="180"/>
      <c r="B654" s="181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</row>
    <row r="655">
      <c r="A655" s="180"/>
      <c r="B655" s="181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</row>
    <row r="656">
      <c r="A656" s="180"/>
      <c r="B656" s="181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</row>
    <row r="657">
      <c r="A657" s="180"/>
      <c r="B657" s="181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</row>
    <row r="658">
      <c r="A658" s="180"/>
      <c r="B658" s="181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</row>
    <row r="659">
      <c r="A659" s="180"/>
      <c r="B659" s="181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</row>
    <row r="660">
      <c r="A660" s="180"/>
      <c r="B660" s="181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</row>
    <row r="661">
      <c r="A661" s="180"/>
      <c r="B661" s="181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</row>
    <row r="662">
      <c r="A662" s="180"/>
      <c r="B662" s="181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</row>
    <row r="663">
      <c r="A663" s="180"/>
      <c r="B663" s="181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</row>
    <row r="664">
      <c r="A664" s="180"/>
      <c r="B664" s="181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</row>
    <row r="665">
      <c r="A665" s="180"/>
      <c r="B665" s="181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</row>
    <row r="666">
      <c r="A666" s="180"/>
      <c r="B666" s="181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</row>
    <row r="667">
      <c r="A667" s="180"/>
      <c r="B667" s="181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</row>
    <row r="668">
      <c r="A668" s="180"/>
      <c r="B668" s="181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</row>
    <row r="669">
      <c r="A669" s="180"/>
      <c r="B669" s="181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</row>
    <row r="670">
      <c r="A670" s="180"/>
      <c r="B670" s="181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</row>
    <row r="671">
      <c r="A671" s="180"/>
      <c r="B671" s="181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</row>
    <row r="672">
      <c r="A672" s="180"/>
      <c r="B672" s="181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</row>
    <row r="673">
      <c r="A673" s="180"/>
      <c r="B673" s="181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</row>
    <row r="674">
      <c r="A674" s="180"/>
      <c r="B674" s="181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</row>
    <row r="675">
      <c r="A675" s="180"/>
      <c r="B675" s="181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</row>
    <row r="676">
      <c r="A676" s="180"/>
      <c r="B676" s="181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</row>
    <row r="677">
      <c r="A677" s="180"/>
      <c r="B677" s="181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</row>
    <row r="678">
      <c r="A678" s="180"/>
      <c r="B678" s="181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</row>
    <row r="679">
      <c r="A679" s="180"/>
      <c r="B679" s="181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</row>
    <row r="680">
      <c r="A680" s="180"/>
      <c r="B680" s="181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</row>
    <row r="681">
      <c r="A681" s="180"/>
      <c r="B681" s="181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</row>
    <row r="682">
      <c r="A682" s="180"/>
      <c r="B682" s="181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</row>
    <row r="683">
      <c r="A683" s="180"/>
      <c r="B683" s="181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</row>
    <row r="684">
      <c r="A684" s="180"/>
      <c r="B684" s="181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</row>
    <row r="685">
      <c r="A685" s="180"/>
      <c r="B685" s="181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</row>
    <row r="686">
      <c r="A686" s="180"/>
      <c r="B686" s="181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</row>
    <row r="687">
      <c r="A687" s="180"/>
      <c r="B687" s="181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</row>
    <row r="688">
      <c r="A688" s="180"/>
      <c r="B688" s="181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</row>
    <row r="689">
      <c r="A689" s="180"/>
      <c r="B689" s="181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</row>
    <row r="690">
      <c r="A690" s="180"/>
      <c r="B690" s="181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</row>
    <row r="691">
      <c r="A691" s="180"/>
      <c r="B691" s="181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</row>
    <row r="692">
      <c r="A692" s="180"/>
      <c r="B692" s="181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</row>
    <row r="693">
      <c r="A693" s="180"/>
      <c r="B693" s="181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</row>
    <row r="694">
      <c r="A694" s="180"/>
      <c r="B694" s="181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</row>
    <row r="695">
      <c r="A695" s="180"/>
      <c r="B695" s="181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</row>
    <row r="696">
      <c r="A696" s="180"/>
      <c r="B696" s="181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</row>
    <row r="697">
      <c r="A697" s="180"/>
      <c r="B697" s="181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</row>
    <row r="698">
      <c r="A698" s="180"/>
      <c r="B698" s="181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</row>
    <row r="699">
      <c r="A699" s="180"/>
      <c r="B699" s="181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</row>
    <row r="700">
      <c r="A700" s="180"/>
      <c r="B700" s="181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</row>
    <row r="701">
      <c r="A701" s="180"/>
      <c r="B701" s="181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</row>
    <row r="702">
      <c r="A702" s="180"/>
      <c r="B702" s="181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</row>
    <row r="703">
      <c r="A703" s="180"/>
      <c r="B703" s="181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</row>
    <row r="704">
      <c r="A704" s="180"/>
      <c r="B704" s="181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</row>
    <row r="705">
      <c r="A705" s="180"/>
      <c r="B705" s="181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</row>
    <row r="706">
      <c r="A706" s="180"/>
      <c r="B706" s="181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</row>
    <row r="707">
      <c r="A707" s="180"/>
      <c r="B707" s="181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</row>
    <row r="708">
      <c r="A708" s="180"/>
      <c r="B708" s="181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</row>
    <row r="709">
      <c r="A709" s="180"/>
      <c r="B709" s="181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</row>
    <row r="710">
      <c r="A710" s="180"/>
      <c r="B710" s="181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</row>
    <row r="711">
      <c r="A711" s="180"/>
      <c r="B711" s="181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</row>
    <row r="712">
      <c r="A712" s="180"/>
      <c r="B712" s="181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</row>
    <row r="713">
      <c r="A713" s="180"/>
      <c r="B713" s="181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</row>
    <row r="714">
      <c r="A714" s="180"/>
      <c r="B714" s="181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</row>
    <row r="715">
      <c r="A715" s="180"/>
      <c r="B715" s="181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</row>
    <row r="716">
      <c r="A716" s="180"/>
      <c r="B716" s="181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</row>
    <row r="717">
      <c r="A717" s="180"/>
      <c r="B717" s="181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</row>
    <row r="718">
      <c r="A718" s="180"/>
      <c r="B718" s="181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</row>
    <row r="719">
      <c r="A719" s="180"/>
      <c r="B719" s="181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</row>
    <row r="720">
      <c r="A720" s="180"/>
      <c r="B720" s="181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</row>
    <row r="721">
      <c r="A721" s="180"/>
      <c r="B721" s="181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</row>
    <row r="722">
      <c r="A722" s="180"/>
      <c r="B722" s="181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</row>
    <row r="723">
      <c r="A723" s="180"/>
      <c r="B723" s="181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</row>
    <row r="724">
      <c r="A724" s="180"/>
      <c r="B724" s="181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</row>
    <row r="725">
      <c r="A725" s="180"/>
      <c r="B725" s="181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</row>
    <row r="726">
      <c r="A726" s="180"/>
      <c r="B726" s="181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</row>
    <row r="727">
      <c r="A727" s="180"/>
      <c r="B727" s="181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</row>
    <row r="728">
      <c r="A728" s="180"/>
      <c r="B728" s="181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</row>
    <row r="729">
      <c r="A729" s="180"/>
      <c r="B729" s="181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</row>
    <row r="730">
      <c r="A730" s="180"/>
      <c r="B730" s="181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</row>
    <row r="731">
      <c r="A731" s="180"/>
      <c r="B731" s="181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</row>
    <row r="732">
      <c r="A732" s="180"/>
      <c r="B732" s="181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</row>
    <row r="733">
      <c r="A733" s="180"/>
      <c r="B733" s="181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</row>
    <row r="734">
      <c r="A734" s="180"/>
      <c r="B734" s="181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</row>
    <row r="735">
      <c r="A735" s="180"/>
      <c r="B735" s="181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</row>
    <row r="736">
      <c r="A736" s="180"/>
      <c r="B736" s="181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</row>
    <row r="737">
      <c r="A737" s="180"/>
      <c r="B737" s="181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</row>
    <row r="738">
      <c r="A738" s="180"/>
      <c r="B738" s="181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</row>
    <row r="739">
      <c r="A739" s="180"/>
      <c r="B739" s="181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</row>
    <row r="740">
      <c r="A740" s="180"/>
      <c r="B740" s="181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</row>
    <row r="741">
      <c r="A741" s="180"/>
      <c r="B741" s="181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</row>
    <row r="742">
      <c r="A742" s="180"/>
      <c r="B742" s="181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</row>
    <row r="743">
      <c r="A743" s="180"/>
      <c r="B743" s="181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</row>
    <row r="744">
      <c r="A744" s="180"/>
      <c r="B744" s="181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</row>
    <row r="745">
      <c r="A745" s="180"/>
      <c r="B745" s="181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</row>
    <row r="746">
      <c r="A746" s="180"/>
      <c r="B746" s="181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</row>
    <row r="747">
      <c r="A747" s="180"/>
      <c r="B747" s="181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</row>
    <row r="748">
      <c r="A748" s="180"/>
      <c r="B748" s="181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</row>
    <row r="749">
      <c r="A749" s="180"/>
      <c r="B749" s="181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</row>
    <row r="750">
      <c r="A750" s="180"/>
      <c r="B750" s="181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</row>
    <row r="751">
      <c r="A751" s="180"/>
      <c r="B751" s="181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</row>
    <row r="752">
      <c r="A752" s="180"/>
      <c r="B752" s="181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</row>
    <row r="753">
      <c r="A753" s="180"/>
      <c r="B753" s="181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</row>
    <row r="754">
      <c r="A754" s="180"/>
      <c r="B754" s="181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</row>
    <row r="755">
      <c r="A755" s="180"/>
      <c r="B755" s="181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</row>
    <row r="756">
      <c r="A756" s="180"/>
      <c r="B756" s="181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</row>
    <row r="757">
      <c r="A757" s="180"/>
      <c r="B757" s="181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</row>
    <row r="758">
      <c r="A758" s="180"/>
      <c r="B758" s="181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</row>
    <row r="759">
      <c r="A759" s="180"/>
      <c r="B759" s="181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</row>
    <row r="760">
      <c r="A760" s="180"/>
      <c r="B760" s="181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</row>
    <row r="761">
      <c r="A761" s="180"/>
      <c r="B761" s="181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</row>
    <row r="762">
      <c r="A762" s="180"/>
      <c r="B762" s="181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</row>
    <row r="763">
      <c r="A763" s="180"/>
      <c r="B763" s="181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</row>
    <row r="764">
      <c r="A764" s="180"/>
      <c r="B764" s="181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</row>
    <row r="765">
      <c r="A765" s="180"/>
      <c r="B765" s="181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</row>
    <row r="766">
      <c r="A766" s="180"/>
      <c r="B766" s="181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</row>
    <row r="767">
      <c r="A767" s="180"/>
      <c r="B767" s="181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</row>
    <row r="768">
      <c r="A768" s="180"/>
      <c r="B768" s="181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</row>
    <row r="769">
      <c r="A769" s="180"/>
      <c r="B769" s="181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</row>
    <row r="770">
      <c r="A770" s="180"/>
      <c r="B770" s="181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</row>
    <row r="771">
      <c r="A771" s="180"/>
      <c r="B771" s="181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</row>
    <row r="772">
      <c r="A772" s="180"/>
      <c r="B772" s="181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</row>
    <row r="773">
      <c r="A773" s="180"/>
      <c r="B773" s="181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</row>
    <row r="774">
      <c r="A774" s="180"/>
      <c r="B774" s="181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</row>
    <row r="775">
      <c r="A775" s="180"/>
      <c r="B775" s="181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</row>
    <row r="776">
      <c r="A776" s="180"/>
      <c r="B776" s="181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</row>
    <row r="777">
      <c r="A777" s="180"/>
      <c r="B777" s="181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</row>
    <row r="778">
      <c r="A778" s="180"/>
      <c r="B778" s="181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</row>
    <row r="779">
      <c r="A779" s="180"/>
      <c r="B779" s="181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</row>
    <row r="780">
      <c r="A780" s="180"/>
      <c r="B780" s="181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</row>
    <row r="781">
      <c r="A781" s="180"/>
      <c r="B781" s="181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</row>
    <row r="782">
      <c r="A782" s="180"/>
      <c r="B782" s="181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</row>
    <row r="783">
      <c r="A783" s="180"/>
      <c r="B783" s="181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</row>
    <row r="784">
      <c r="A784" s="180"/>
      <c r="B784" s="181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</row>
    <row r="785">
      <c r="A785" s="180"/>
      <c r="B785" s="181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</row>
    <row r="786">
      <c r="A786" s="180"/>
      <c r="B786" s="181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</row>
    <row r="787">
      <c r="A787" s="180"/>
      <c r="B787" s="181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</row>
    <row r="788">
      <c r="A788" s="180"/>
      <c r="B788" s="181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</row>
    <row r="789">
      <c r="A789" s="180"/>
      <c r="B789" s="181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</row>
    <row r="790">
      <c r="A790" s="180"/>
      <c r="B790" s="181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</row>
    <row r="791">
      <c r="A791" s="180"/>
      <c r="B791" s="181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</row>
    <row r="792">
      <c r="A792" s="180"/>
      <c r="B792" s="181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</row>
    <row r="793">
      <c r="A793" s="180"/>
      <c r="B793" s="181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</row>
    <row r="794">
      <c r="A794" s="180"/>
      <c r="B794" s="181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</row>
    <row r="795">
      <c r="A795" s="180"/>
      <c r="B795" s="181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</row>
    <row r="796">
      <c r="A796" s="180"/>
      <c r="B796" s="181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</row>
    <row r="797">
      <c r="A797" s="180"/>
      <c r="B797" s="181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</row>
    <row r="798">
      <c r="A798" s="180"/>
      <c r="B798" s="181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</row>
    <row r="799">
      <c r="A799" s="180"/>
      <c r="B799" s="181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</row>
    <row r="800">
      <c r="A800" s="180"/>
      <c r="B800" s="181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</row>
    <row r="801">
      <c r="A801" s="180"/>
      <c r="B801" s="181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</row>
    <row r="802">
      <c r="A802" s="180"/>
      <c r="B802" s="181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</row>
    <row r="803">
      <c r="A803" s="180"/>
      <c r="B803" s="181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</row>
    <row r="804">
      <c r="A804" s="180"/>
      <c r="B804" s="181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</row>
    <row r="805">
      <c r="A805" s="180"/>
      <c r="B805" s="181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</row>
    <row r="806">
      <c r="A806" s="180"/>
      <c r="B806" s="181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</row>
    <row r="807">
      <c r="A807" s="180"/>
      <c r="B807" s="181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</row>
    <row r="808">
      <c r="A808" s="180"/>
      <c r="B808" s="181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</row>
    <row r="809">
      <c r="A809" s="180"/>
      <c r="B809" s="181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</row>
    <row r="810">
      <c r="A810" s="180"/>
      <c r="B810" s="181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</row>
    <row r="811">
      <c r="A811" s="180"/>
      <c r="B811" s="181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</row>
    <row r="812">
      <c r="A812" s="180"/>
      <c r="B812" s="181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</row>
    <row r="813">
      <c r="A813" s="180"/>
      <c r="B813" s="181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</row>
    <row r="814">
      <c r="A814" s="180"/>
      <c r="B814" s="181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</row>
    <row r="815">
      <c r="A815" s="180"/>
      <c r="B815" s="181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</row>
    <row r="816">
      <c r="A816" s="180"/>
      <c r="B816" s="181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</row>
    <row r="817">
      <c r="A817" s="180"/>
      <c r="B817" s="181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</row>
    <row r="818">
      <c r="A818" s="180"/>
      <c r="B818" s="181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</row>
    <row r="819">
      <c r="A819" s="180"/>
      <c r="B819" s="181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</row>
    <row r="820">
      <c r="A820" s="180"/>
      <c r="B820" s="181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</row>
    <row r="821">
      <c r="A821" s="180"/>
      <c r="B821" s="181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</row>
    <row r="822">
      <c r="A822" s="180"/>
      <c r="B822" s="181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</row>
    <row r="823">
      <c r="A823" s="180"/>
      <c r="B823" s="181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</row>
    <row r="824">
      <c r="A824" s="180"/>
      <c r="B824" s="181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</row>
    <row r="825">
      <c r="A825" s="180"/>
      <c r="B825" s="181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</row>
    <row r="826">
      <c r="A826" s="180"/>
      <c r="B826" s="181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</row>
    <row r="827">
      <c r="A827" s="180"/>
      <c r="B827" s="181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</row>
    <row r="828">
      <c r="A828" s="180"/>
      <c r="B828" s="181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</row>
    <row r="829">
      <c r="A829" s="180"/>
      <c r="B829" s="181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</row>
    <row r="830">
      <c r="A830" s="180"/>
      <c r="B830" s="181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</row>
    <row r="831">
      <c r="A831" s="180"/>
      <c r="B831" s="181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</row>
    <row r="832">
      <c r="A832" s="180"/>
      <c r="B832" s="181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</row>
    <row r="833">
      <c r="A833" s="180"/>
      <c r="B833" s="181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</row>
    <row r="834">
      <c r="A834" s="180"/>
      <c r="B834" s="181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</row>
    <row r="835">
      <c r="A835" s="180"/>
      <c r="B835" s="181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</row>
    <row r="836">
      <c r="A836" s="180"/>
      <c r="B836" s="181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</row>
    <row r="837">
      <c r="A837" s="180"/>
      <c r="B837" s="181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</row>
    <row r="838">
      <c r="A838" s="180"/>
      <c r="B838" s="181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</row>
    <row r="839">
      <c r="A839" s="180"/>
      <c r="B839" s="181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</row>
    <row r="840">
      <c r="A840" s="180"/>
      <c r="B840" s="181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</row>
    <row r="841">
      <c r="A841" s="180"/>
      <c r="B841" s="181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</row>
    <row r="842">
      <c r="A842" s="180"/>
      <c r="B842" s="181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</row>
    <row r="843">
      <c r="A843" s="180"/>
      <c r="B843" s="181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</row>
    <row r="844">
      <c r="A844" s="180"/>
      <c r="B844" s="181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</row>
    <row r="845">
      <c r="A845" s="180"/>
      <c r="B845" s="181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</row>
    <row r="846">
      <c r="A846" s="180"/>
      <c r="B846" s="181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</row>
    <row r="847">
      <c r="A847" s="180"/>
      <c r="B847" s="181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</row>
    <row r="848">
      <c r="A848" s="180"/>
      <c r="B848" s="181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</row>
    <row r="849">
      <c r="A849" s="180"/>
      <c r="B849" s="181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</row>
    <row r="850">
      <c r="A850" s="180"/>
      <c r="B850" s="181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</row>
    <row r="851">
      <c r="A851" s="180"/>
      <c r="B851" s="181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</row>
    <row r="852">
      <c r="A852" s="180"/>
      <c r="B852" s="181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</row>
    <row r="853">
      <c r="A853" s="180"/>
      <c r="B853" s="181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</row>
    <row r="854">
      <c r="A854" s="180"/>
      <c r="B854" s="181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</row>
    <row r="855">
      <c r="A855" s="180"/>
      <c r="B855" s="181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</row>
    <row r="856">
      <c r="A856" s="180"/>
      <c r="B856" s="181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</row>
    <row r="857">
      <c r="A857" s="180"/>
      <c r="B857" s="181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</row>
    <row r="858">
      <c r="A858" s="180"/>
      <c r="B858" s="181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</row>
    <row r="859">
      <c r="A859" s="180"/>
      <c r="B859" s="181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</row>
    <row r="860">
      <c r="A860" s="180"/>
      <c r="B860" s="181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</row>
    <row r="861">
      <c r="A861" s="180"/>
      <c r="B861" s="181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</row>
    <row r="862">
      <c r="A862" s="180"/>
      <c r="B862" s="181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</row>
    <row r="863">
      <c r="A863" s="180"/>
      <c r="B863" s="181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</row>
    <row r="864">
      <c r="A864" s="180"/>
      <c r="B864" s="181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</row>
    <row r="865">
      <c r="A865" s="180"/>
      <c r="B865" s="181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</row>
    <row r="866">
      <c r="A866" s="180"/>
      <c r="B866" s="181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</row>
    <row r="867">
      <c r="A867" s="180"/>
      <c r="B867" s="181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</row>
    <row r="868">
      <c r="A868" s="180"/>
      <c r="B868" s="181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</row>
    <row r="869">
      <c r="A869" s="180"/>
      <c r="B869" s="181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</row>
    <row r="870">
      <c r="A870" s="180"/>
      <c r="B870" s="181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</row>
    <row r="871">
      <c r="A871" s="180"/>
      <c r="B871" s="181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</row>
    <row r="872">
      <c r="A872" s="180"/>
      <c r="B872" s="181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</row>
    <row r="873">
      <c r="A873" s="180"/>
      <c r="B873" s="181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</row>
    <row r="874">
      <c r="A874" s="180"/>
      <c r="B874" s="181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</row>
    <row r="875">
      <c r="A875" s="180"/>
      <c r="B875" s="181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</row>
    <row r="876">
      <c r="A876" s="180"/>
      <c r="B876" s="181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</row>
    <row r="877">
      <c r="A877" s="180"/>
      <c r="B877" s="181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</row>
    <row r="878">
      <c r="A878" s="180"/>
      <c r="B878" s="181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</row>
    <row r="879">
      <c r="A879" s="180"/>
      <c r="B879" s="181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</row>
    <row r="880">
      <c r="A880" s="180"/>
      <c r="B880" s="181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</row>
    <row r="881">
      <c r="A881" s="180"/>
      <c r="B881" s="181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</row>
    <row r="882">
      <c r="A882" s="180"/>
      <c r="B882" s="181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</row>
    <row r="883">
      <c r="A883" s="180"/>
      <c r="B883" s="181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</row>
    <row r="884">
      <c r="A884" s="180"/>
      <c r="B884" s="181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</row>
    <row r="885">
      <c r="A885" s="180"/>
      <c r="B885" s="181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</row>
    <row r="886">
      <c r="A886" s="180"/>
      <c r="B886" s="181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</row>
    <row r="887">
      <c r="A887" s="180"/>
      <c r="B887" s="181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</row>
    <row r="888">
      <c r="A888" s="180"/>
      <c r="B888" s="181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</row>
    <row r="889">
      <c r="A889" s="180"/>
      <c r="B889" s="181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</row>
    <row r="890">
      <c r="A890" s="180"/>
      <c r="B890" s="181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</row>
    <row r="891">
      <c r="A891" s="180"/>
      <c r="B891" s="181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</row>
    <row r="892">
      <c r="A892" s="180"/>
      <c r="B892" s="181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</row>
    <row r="893">
      <c r="A893" s="180"/>
      <c r="B893" s="181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</row>
    <row r="894">
      <c r="A894" s="180"/>
      <c r="B894" s="181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</row>
    <row r="895">
      <c r="A895" s="180"/>
      <c r="B895" s="181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</row>
    <row r="896">
      <c r="A896" s="180"/>
      <c r="B896" s="181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</row>
    <row r="897">
      <c r="A897" s="180"/>
      <c r="B897" s="181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</row>
    <row r="898">
      <c r="A898" s="180"/>
      <c r="B898" s="181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</row>
    <row r="899">
      <c r="A899" s="180"/>
      <c r="B899" s="181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</row>
    <row r="900">
      <c r="A900" s="180"/>
      <c r="B900" s="181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</row>
    <row r="901">
      <c r="A901" s="180"/>
      <c r="B901" s="181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</row>
    <row r="902">
      <c r="A902" s="180"/>
      <c r="B902" s="181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</row>
    <row r="903">
      <c r="A903" s="180"/>
      <c r="B903" s="181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</row>
    <row r="904">
      <c r="A904" s="180"/>
      <c r="B904" s="181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</row>
    <row r="905">
      <c r="A905" s="180"/>
      <c r="B905" s="181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</row>
    <row r="906">
      <c r="A906" s="180"/>
      <c r="B906" s="181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</row>
    <row r="907">
      <c r="A907" s="180"/>
      <c r="B907" s="181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</row>
    <row r="908">
      <c r="A908" s="180"/>
      <c r="B908" s="181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</row>
    <row r="909">
      <c r="A909" s="180"/>
      <c r="B909" s="181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</row>
    <row r="910">
      <c r="A910" s="180"/>
      <c r="B910" s="181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</row>
    <row r="911">
      <c r="A911" s="180"/>
      <c r="B911" s="181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</row>
    <row r="912">
      <c r="A912" s="180"/>
      <c r="B912" s="181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</row>
    <row r="913">
      <c r="A913" s="180"/>
      <c r="B913" s="181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</row>
    <row r="914">
      <c r="A914" s="180"/>
      <c r="B914" s="181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</row>
    <row r="915">
      <c r="A915" s="180"/>
      <c r="B915" s="181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</row>
    <row r="916">
      <c r="A916" s="180"/>
      <c r="B916" s="181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</row>
    <row r="917">
      <c r="A917" s="180"/>
      <c r="B917" s="181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</row>
    <row r="918">
      <c r="A918" s="180"/>
      <c r="B918" s="181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</row>
    <row r="919">
      <c r="A919" s="180"/>
      <c r="B919" s="181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</row>
    <row r="920">
      <c r="A920" s="180"/>
      <c r="B920" s="181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</row>
    <row r="921">
      <c r="A921" s="180"/>
      <c r="B921" s="181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</row>
    <row r="922">
      <c r="A922" s="180"/>
      <c r="B922" s="181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</row>
    <row r="923">
      <c r="A923" s="180"/>
      <c r="B923" s="181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</row>
    <row r="924">
      <c r="A924" s="180"/>
      <c r="B924" s="181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</row>
    <row r="925">
      <c r="A925" s="180"/>
      <c r="B925" s="181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</row>
    <row r="926">
      <c r="A926" s="180"/>
      <c r="B926" s="181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</row>
    <row r="927">
      <c r="A927" s="180"/>
      <c r="B927" s="181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</row>
    <row r="928">
      <c r="A928" s="180"/>
      <c r="B928" s="181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</row>
    <row r="929">
      <c r="A929" s="180"/>
      <c r="B929" s="181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</row>
    <row r="930">
      <c r="A930" s="180"/>
      <c r="B930" s="181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</row>
    <row r="931">
      <c r="A931" s="180"/>
      <c r="B931" s="181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</row>
    <row r="932">
      <c r="A932" s="180"/>
      <c r="B932" s="181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</row>
    <row r="933">
      <c r="A933" s="180"/>
      <c r="B933" s="181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</row>
    <row r="934">
      <c r="A934" s="180"/>
      <c r="B934" s="181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</row>
    <row r="935">
      <c r="A935" s="180"/>
      <c r="B935" s="181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</row>
    <row r="936">
      <c r="A936" s="180"/>
      <c r="B936" s="181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</row>
    <row r="937">
      <c r="A937" s="180"/>
      <c r="B937" s="181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</row>
    <row r="938">
      <c r="A938" s="180"/>
      <c r="B938" s="181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</row>
    <row r="939">
      <c r="A939" s="180"/>
      <c r="B939" s="181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</row>
    <row r="940">
      <c r="A940" s="180"/>
      <c r="B940" s="181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</row>
    <row r="941">
      <c r="A941" s="180"/>
      <c r="B941" s="181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</row>
    <row r="942">
      <c r="A942" s="180"/>
      <c r="B942" s="181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</row>
    <row r="943">
      <c r="A943" s="180"/>
      <c r="B943" s="181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</row>
    <row r="944">
      <c r="A944" s="180"/>
      <c r="B944" s="181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</row>
    <row r="945">
      <c r="A945" s="180"/>
      <c r="B945" s="181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</row>
    <row r="946">
      <c r="A946" s="180"/>
      <c r="B946" s="181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</row>
    <row r="947">
      <c r="A947" s="180"/>
      <c r="B947" s="181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</row>
    <row r="948">
      <c r="A948" s="180"/>
      <c r="B948" s="181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</row>
    <row r="949">
      <c r="A949" s="180"/>
      <c r="B949" s="181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</row>
    <row r="950">
      <c r="A950" s="180"/>
      <c r="B950" s="181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</row>
    <row r="951">
      <c r="A951" s="180"/>
      <c r="B951" s="181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</row>
    <row r="952">
      <c r="A952" s="180"/>
      <c r="B952" s="181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</row>
    <row r="953">
      <c r="A953" s="180"/>
      <c r="B953" s="181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</row>
    <row r="954">
      <c r="A954" s="180"/>
      <c r="B954" s="181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</row>
    <row r="955">
      <c r="A955" s="180"/>
      <c r="B955" s="181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</row>
    <row r="956">
      <c r="A956" s="180"/>
      <c r="B956" s="181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</row>
    <row r="957">
      <c r="A957" s="180"/>
      <c r="B957" s="181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</row>
    <row r="958">
      <c r="A958" s="180"/>
      <c r="B958" s="181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</row>
    <row r="959">
      <c r="A959" s="180"/>
      <c r="B959" s="181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</row>
    <row r="960">
      <c r="A960" s="180"/>
      <c r="B960" s="181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</row>
    <row r="961">
      <c r="A961" s="180"/>
      <c r="B961" s="181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</row>
    <row r="962">
      <c r="A962" s="180"/>
      <c r="B962" s="181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</row>
    <row r="963">
      <c r="A963" s="180"/>
      <c r="B963" s="181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</row>
    <row r="964">
      <c r="A964" s="180"/>
      <c r="B964" s="181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</row>
    <row r="965">
      <c r="A965" s="180"/>
      <c r="B965" s="181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</row>
    <row r="966">
      <c r="A966" s="180"/>
      <c r="B966" s="181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</row>
    <row r="967">
      <c r="A967" s="180"/>
      <c r="B967" s="181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</row>
    <row r="968">
      <c r="A968" s="180"/>
      <c r="B968" s="181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</row>
    <row r="969">
      <c r="A969" s="180"/>
      <c r="B969" s="181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</row>
    <row r="970">
      <c r="A970" s="180"/>
      <c r="B970" s="181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</row>
    <row r="971">
      <c r="A971" s="180"/>
      <c r="B971" s="181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</row>
    <row r="972">
      <c r="A972" s="180"/>
      <c r="B972" s="181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</row>
    <row r="973">
      <c r="A973" s="180"/>
      <c r="B973" s="181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</row>
    <row r="974">
      <c r="A974" s="180"/>
      <c r="B974" s="181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</row>
    <row r="975">
      <c r="A975" s="180"/>
      <c r="B975" s="181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</row>
    <row r="976">
      <c r="A976" s="180"/>
      <c r="B976" s="181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</row>
    <row r="977">
      <c r="A977" s="180"/>
      <c r="B977" s="181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</row>
    <row r="978">
      <c r="A978" s="180"/>
      <c r="B978" s="181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</row>
    <row r="979">
      <c r="A979" s="180"/>
      <c r="B979" s="181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</row>
    <row r="980">
      <c r="A980" s="180"/>
      <c r="B980" s="181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</row>
    <row r="981">
      <c r="A981" s="180"/>
      <c r="B981" s="181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</row>
    <row r="982">
      <c r="A982" s="180"/>
      <c r="B982" s="181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</row>
    <row r="983">
      <c r="A983" s="180"/>
      <c r="B983" s="181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</row>
    <row r="984">
      <c r="A984" s="180"/>
      <c r="B984" s="181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</row>
    <row r="985">
      <c r="A985" s="180"/>
      <c r="B985" s="181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</row>
    <row r="986">
      <c r="A986" s="180"/>
      <c r="B986" s="181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</row>
    <row r="987">
      <c r="A987" s="180"/>
      <c r="B987" s="181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</row>
    <row r="988">
      <c r="A988" s="180"/>
      <c r="B988" s="181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</row>
    <row r="989">
      <c r="A989" s="180"/>
      <c r="B989" s="181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</row>
    <row r="990">
      <c r="A990" s="180"/>
      <c r="B990" s="181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</row>
    <row r="991">
      <c r="A991" s="180"/>
      <c r="B991" s="181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</row>
    <row r="992">
      <c r="A992" s="180"/>
      <c r="B992" s="181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1" max="26" width="4.88"/>
  </cols>
  <sheetData>
    <row r="1">
      <c r="A1" s="218">
        <v>1.0</v>
      </c>
      <c r="B1" s="218">
        <v>2.0</v>
      </c>
      <c r="C1" s="218">
        <v>3.0</v>
      </c>
      <c r="D1" s="218">
        <v>4.0</v>
      </c>
      <c r="E1" s="218">
        <v>5.0</v>
      </c>
      <c r="F1" s="218">
        <v>6.0</v>
      </c>
      <c r="G1" s="218">
        <v>7.0</v>
      </c>
      <c r="H1" s="218">
        <v>8.0</v>
      </c>
      <c r="I1" s="218">
        <v>9.0</v>
      </c>
      <c r="J1" s="218">
        <v>10.0</v>
      </c>
      <c r="K1" s="218">
        <v>11.0</v>
      </c>
      <c r="L1" s="218">
        <v>12.0</v>
      </c>
      <c r="M1" s="218">
        <v>13.0</v>
      </c>
      <c r="N1" s="218">
        <v>14.0</v>
      </c>
      <c r="O1" s="218">
        <v>15.0</v>
      </c>
      <c r="P1" s="218">
        <v>16.0</v>
      </c>
      <c r="Q1" s="218">
        <v>17.0</v>
      </c>
      <c r="R1" s="218">
        <v>18.0</v>
      </c>
      <c r="S1" s="218">
        <v>19.0</v>
      </c>
      <c r="T1" s="218">
        <v>20.0</v>
      </c>
      <c r="U1" s="218">
        <v>21.0</v>
      </c>
      <c r="V1" s="218">
        <v>22.0</v>
      </c>
      <c r="W1" s="218">
        <v>23.0</v>
      </c>
      <c r="X1" s="218">
        <v>24.0</v>
      </c>
      <c r="Y1" s="218">
        <v>25.0</v>
      </c>
      <c r="Z1" s="218">
        <v>26.0</v>
      </c>
    </row>
    <row r="2">
      <c r="A2" s="218">
        <v>27.0</v>
      </c>
      <c r="B2" s="218">
        <v>28.0</v>
      </c>
      <c r="C2" s="218">
        <v>29.0</v>
      </c>
      <c r="D2" s="218">
        <v>30.0</v>
      </c>
      <c r="E2" s="218">
        <v>31.0</v>
      </c>
      <c r="F2" s="218">
        <v>32.0</v>
      </c>
      <c r="G2" s="218">
        <v>33.0</v>
      </c>
      <c r="H2" s="218">
        <v>34.0</v>
      </c>
      <c r="I2" s="218">
        <v>35.0</v>
      </c>
      <c r="J2" s="218">
        <v>36.0</v>
      </c>
      <c r="K2" s="218">
        <v>37.0</v>
      </c>
      <c r="L2" s="218">
        <v>38.0</v>
      </c>
      <c r="M2" s="218">
        <v>39.0</v>
      </c>
      <c r="N2" s="218">
        <v>40.0</v>
      </c>
      <c r="O2" s="218">
        <v>41.0</v>
      </c>
      <c r="P2" s="218">
        <v>42.0</v>
      </c>
      <c r="Q2" s="218">
        <v>43.0</v>
      </c>
      <c r="R2" s="218">
        <v>44.0</v>
      </c>
      <c r="S2" s="218">
        <v>45.0</v>
      </c>
      <c r="T2" s="218">
        <v>46.0</v>
      </c>
      <c r="U2" s="218">
        <v>47.0</v>
      </c>
      <c r="V2" s="218">
        <v>48.0</v>
      </c>
      <c r="W2" s="218">
        <v>49.0</v>
      </c>
      <c r="X2" s="218">
        <v>50.0</v>
      </c>
      <c r="Y2" s="218">
        <v>51.0</v>
      </c>
      <c r="Z2" s="218">
        <v>52.0</v>
      </c>
    </row>
    <row r="3">
      <c r="A3" s="218">
        <v>53.0</v>
      </c>
      <c r="B3" s="218">
        <v>54.0</v>
      </c>
      <c r="C3" s="218">
        <v>55.0</v>
      </c>
      <c r="D3" s="218">
        <v>56.0</v>
      </c>
      <c r="E3" s="218">
        <v>57.0</v>
      </c>
      <c r="F3" s="218">
        <v>58.0</v>
      </c>
      <c r="G3" s="218">
        <v>59.0</v>
      </c>
      <c r="H3" s="218">
        <v>60.0</v>
      </c>
      <c r="I3" s="218">
        <v>61.0</v>
      </c>
      <c r="J3" s="218">
        <v>62.0</v>
      </c>
      <c r="K3" s="218">
        <v>63.0</v>
      </c>
      <c r="L3" s="218">
        <v>64.0</v>
      </c>
      <c r="M3" s="218">
        <v>65.0</v>
      </c>
      <c r="N3" s="218">
        <v>66.0</v>
      </c>
      <c r="O3" s="218">
        <v>67.0</v>
      </c>
      <c r="P3" s="218">
        <v>68.0</v>
      </c>
      <c r="Q3" s="218">
        <v>69.0</v>
      </c>
      <c r="R3" s="218">
        <v>70.0</v>
      </c>
      <c r="S3" s="218">
        <v>71.0</v>
      </c>
      <c r="T3" s="218">
        <v>72.0</v>
      </c>
      <c r="U3" s="218">
        <v>73.0</v>
      </c>
      <c r="V3" s="218">
        <v>74.0</v>
      </c>
      <c r="W3" s="218">
        <v>75.0</v>
      </c>
      <c r="X3" s="218">
        <v>76.0</v>
      </c>
      <c r="Y3" s="218">
        <v>77.0</v>
      </c>
      <c r="Z3" s="218">
        <v>78.0</v>
      </c>
    </row>
    <row r="4">
      <c r="A4" s="218">
        <v>78.0</v>
      </c>
      <c r="B4" s="218">
        <v>79.0</v>
      </c>
      <c r="C4" s="218">
        <v>80.0</v>
      </c>
      <c r="D4" s="218">
        <v>81.0</v>
      </c>
      <c r="E4" s="218">
        <v>82.0</v>
      </c>
      <c r="F4" s="218">
        <v>83.0</v>
      </c>
      <c r="G4" s="218">
        <v>84.0</v>
      </c>
      <c r="H4" s="218">
        <v>85.0</v>
      </c>
      <c r="I4" s="218">
        <v>86.0</v>
      </c>
      <c r="J4" s="218">
        <v>87.0</v>
      </c>
      <c r="K4" s="218">
        <v>88.0</v>
      </c>
      <c r="L4" s="218">
        <v>89.0</v>
      </c>
      <c r="M4" s="218">
        <v>90.0</v>
      </c>
      <c r="N4" s="218">
        <v>91.0</v>
      </c>
      <c r="O4" s="218">
        <v>92.0</v>
      </c>
      <c r="P4" s="218">
        <v>93.0</v>
      </c>
      <c r="Q4" s="218">
        <v>94.0</v>
      </c>
      <c r="R4" s="218">
        <v>95.0</v>
      </c>
      <c r="S4" s="218">
        <v>96.0</v>
      </c>
      <c r="T4" s="218">
        <v>97.0</v>
      </c>
      <c r="U4" s="218">
        <v>98.0</v>
      </c>
      <c r="V4" s="218">
        <v>99.0</v>
      </c>
      <c r="W4" s="218">
        <v>100.0</v>
      </c>
      <c r="X4" s="218">
        <v>101.0</v>
      </c>
      <c r="Y4" s="218">
        <v>102.0</v>
      </c>
      <c r="Z4" s="218">
        <v>103.0</v>
      </c>
    </row>
    <row r="5">
      <c r="A5" s="218"/>
    </row>
    <row r="6">
      <c r="A6" s="218"/>
    </row>
    <row r="7">
      <c r="A7" s="218"/>
    </row>
    <row r="8">
      <c r="A8" s="218"/>
    </row>
    <row r="9">
      <c r="A9" s="218"/>
    </row>
    <row r="10">
      <c r="A10" s="218"/>
    </row>
    <row r="11">
      <c r="A11" s="218"/>
    </row>
    <row r="12">
      <c r="A12" s="218"/>
    </row>
    <row r="13">
      <c r="A13" s="218"/>
    </row>
    <row r="14">
      <c r="A14" s="218"/>
    </row>
    <row r="15">
      <c r="A15" s="218"/>
    </row>
    <row r="16">
      <c r="A16" s="218"/>
      <c r="M16" s="383"/>
    </row>
    <row r="17">
      <c r="A17" s="218"/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sheetData>
    <row r="1">
      <c r="A1" s="218">
        <v>15002.0</v>
      </c>
      <c r="B1" s="222">
        <v>302531.0</v>
      </c>
    </row>
    <row r="2">
      <c r="A2" s="218">
        <v>15004.0</v>
      </c>
      <c r="B2" s="222">
        <v>56966.0</v>
      </c>
    </row>
    <row r="3">
      <c r="A3" s="218">
        <v>15005.0</v>
      </c>
      <c r="B3" s="222">
        <v>149006.0</v>
      </c>
    </row>
    <row r="4">
      <c r="A4" s="218">
        <v>15006.0</v>
      </c>
      <c r="B4" s="222">
        <v>145771.0</v>
      </c>
    </row>
    <row r="5">
      <c r="A5" s="218">
        <v>15007.0</v>
      </c>
      <c r="B5" s="222">
        <v>53748.0</v>
      </c>
    </row>
    <row r="6">
      <c r="A6" s="218">
        <v>15009.0</v>
      </c>
      <c r="B6" s="222">
        <v>60357.0</v>
      </c>
    </row>
    <row r="7">
      <c r="A7" s="218">
        <v>15011.0</v>
      </c>
      <c r="B7" s="222">
        <v>21428.0</v>
      </c>
    </row>
    <row r="8">
      <c r="A8" s="218">
        <v>15017.0</v>
      </c>
      <c r="B8" s="222">
        <v>57834.0</v>
      </c>
    </row>
    <row r="9">
      <c r="A9" s="218">
        <v>15018.0</v>
      </c>
      <c r="B9" s="222">
        <v>79675.0</v>
      </c>
    </row>
    <row r="10">
      <c r="A10" s="218">
        <v>15019.0</v>
      </c>
      <c r="B10" s="222">
        <v>133105.0</v>
      </c>
    </row>
    <row r="11">
      <c r="A11" s="218">
        <v>15028.0</v>
      </c>
      <c r="B11" s="222">
        <v>35294.0</v>
      </c>
    </row>
    <row r="12">
      <c r="A12" s="218">
        <v>15033.0</v>
      </c>
      <c r="B12" s="222">
        <v>209476.0</v>
      </c>
    </row>
    <row r="13">
      <c r="A13" s="218">
        <v>15038.0</v>
      </c>
      <c r="B13" s="222">
        <v>4728.0</v>
      </c>
    </row>
    <row r="14">
      <c r="A14" s="218">
        <v>15039.0</v>
      </c>
      <c r="B14" s="222">
        <v>399980.0</v>
      </c>
    </row>
    <row r="15">
      <c r="A15" s="218">
        <v>15055.0</v>
      </c>
      <c r="B15" s="222">
        <v>3436.0</v>
      </c>
    </row>
    <row r="16">
      <c r="A16" s="218">
        <v>15056.0</v>
      </c>
      <c r="B16" s="222">
        <v>666792.0</v>
      </c>
    </row>
    <row r="17">
      <c r="A17" s="218">
        <v>15057.0</v>
      </c>
      <c r="B17" s="222">
        <v>20930.0</v>
      </c>
    </row>
    <row r="18">
      <c r="A18" s="218">
        <v>15058.0</v>
      </c>
      <c r="B18" s="222">
        <v>21956.0</v>
      </c>
    </row>
    <row r="19">
      <c r="A19" s="218">
        <v>15059.0</v>
      </c>
      <c r="B19" s="222">
        <v>297122.0</v>
      </c>
    </row>
    <row r="20">
      <c r="A20" s="218">
        <v>15060.0</v>
      </c>
      <c r="B20" s="222">
        <v>869167.0</v>
      </c>
    </row>
    <row r="21">
      <c r="A21" s="218">
        <v>15062.0</v>
      </c>
      <c r="B21" s="222">
        <v>201334.0</v>
      </c>
    </row>
    <row r="22">
      <c r="A22" s="218">
        <v>15063.0</v>
      </c>
      <c r="B22" s="222">
        <v>47153.0</v>
      </c>
    </row>
    <row r="23">
      <c r="A23" s="218">
        <v>15065.0</v>
      </c>
      <c r="B23" s="222">
        <v>22725.0</v>
      </c>
    </row>
    <row r="24">
      <c r="A24" s="218">
        <v>15066.0</v>
      </c>
      <c r="B24" s="222">
        <v>88729.0</v>
      </c>
    </row>
    <row r="25">
      <c r="A25" s="218">
        <v>15067.0</v>
      </c>
      <c r="B25" s="222">
        <v>7017.0</v>
      </c>
    </row>
    <row r="26">
      <c r="A26" s="218">
        <v>15068.0</v>
      </c>
      <c r="B26" s="222">
        <v>41213.0</v>
      </c>
    </row>
    <row r="27">
      <c r="A27" s="218">
        <v>15070.0</v>
      </c>
      <c r="B27" s="222">
        <v>161701.0</v>
      </c>
    </row>
    <row r="28">
      <c r="A28" s="218">
        <v>15072.0</v>
      </c>
      <c r="B28" s="222">
        <v>245604.0</v>
      </c>
    </row>
    <row r="29">
      <c r="A29" s="218">
        <v>15077.0</v>
      </c>
      <c r="B29" s="222">
        <v>304695.0</v>
      </c>
    </row>
    <row r="30">
      <c r="A30" s="218">
        <v>15080.0</v>
      </c>
      <c r="B30" s="222">
        <v>255700.0</v>
      </c>
    </row>
    <row r="31">
      <c r="A31" s="218">
        <v>15099.0</v>
      </c>
      <c r="B31" s="222">
        <v>70000.0</v>
      </c>
    </row>
    <row r="32">
      <c r="A32" s="218">
        <v>15101.0</v>
      </c>
      <c r="B32" s="222">
        <v>250000.0</v>
      </c>
    </row>
    <row r="33">
      <c r="A33" s="218">
        <v>15107.0</v>
      </c>
      <c r="B33" s="222">
        <v>44568.0</v>
      </c>
    </row>
    <row r="34">
      <c r="A34" s="218">
        <v>15112.0</v>
      </c>
      <c r="B34" s="222">
        <v>46585.0</v>
      </c>
    </row>
    <row r="35">
      <c r="A35" s="218">
        <v>15139.0</v>
      </c>
      <c r="B35" s="222">
        <v>75000.0</v>
      </c>
    </row>
    <row r="36">
      <c r="A36" s="218">
        <v>15151.0</v>
      </c>
      <c r="B36" s="222">
        <v>196560.0</v>
      </c>
    </row>
    <row r="37">
      <c r="A37" s="218">
        <v>15166.0</v>
      </c>
      <c r="B37" s="222">
        <v>13519.0</v>
      </c>
    </row>
    <row r="38">
      <c r="A38" s="218">
        <v>15178.0</v>
      </c>
      <c r="B38" s="222">
        <v>29824.0</v>
      </c>
    </row>
    <row r="39">
      <c r="A39" s="218">
        <v>15187.0</v>
      </c>
      <c r="B39" s="222">
        <v>16214.0</v>
      </c>
    </row>
    <row r="40">
      <c r="A40" s="218">
        <v>15189.0</v>
      </c>
      <c r="B40" s="222">
        <v>415000.0</v>
      </c>
    </row>
    <row r="41">
      <c r="A41" s="218">
        <v>15190.0</v>
      </c>
      <c r="B41" s="222">
        <v>135850.0</v>
      </c>
    </row>
    <row r="42">
      <c r="A42" s="218">
        <v>15191.0</v>
      </c>
      <c r="B42" s="222">
        <v>600000.0</v>
      </c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showGridLines="0" workbookViewId="0"/>
  </sheetViews>
  <sheetFormatPr customHeight="1" defaultColWidth="12.63" defaultRowHeight="15.75"/>
  <cols>
    <col customWidth="1" min="2" max="2" width="20.38"/>
    <col customWidth="1" min="3" max="3" width="32.0"/>
    <col customWidth="1" min="4" max="4" width="20.38"/>
    <col customWidth="1" min="5" max="5" width="32.0"/>
    <col customWidth="1" min="6" max="6" width="20.38"/>
    <col customWidth="1" min="7" max="7" width="32.0"/>
  </cols>
  <sheetData>
    <row r="1">
      <c r="A1" s="384" t="s">
        <v>747</v>
      </c>
      <c r="B1" s="385" t="s">
        <v>31</v>
      </c>
      <c r="C1" s="385" t="s">
        <v>748</v>
      </c>
      <c r="D1" s="385" t="s">
        <v>749</v>
      </c>
      <c r="E1" s="385" t="s">
        <v>750</v>
      </c>
      <c r="F1" s="385"/>
      <c r="G1" s="385"/>
    </row>
    <row r="2">
      <c r="A2" s="386" t="s">
        <v>173</v>
      </c>
      <c r="B2" s="387" t="s">
        <v>178</v>
      </c>
      <c r="C2" s="387" t="s">
        <v>751</v>
      </c>
      <c r="D2" s="387"/>
      <c r="E2" s="387"/>
      <c r="F2" s="387"/>
      <c r="G2" s="387"/>
    </row>
    <row r="3">
      <c r="A3" s="386" t="s">
        <v>289</v>
      </c>
      <c r="B3" s="387" t="s">
        <v>752</v>
      </c>
      <c r="C3" s="387" t="s">
        <v>753</v>
      </c>
      <c r="D3" s="387"/>
      <c r="E3" s="386"/>
      <c r="F3" s="387" t="s">
        <v>752</v>
      </c>
      <c r="G3" s="388" t="s">
        <v>151</v>
      </c>
    </row>
    <row r="4">
      <c r="A4" s="386" t="s">
        <v>124</v>
      </c>
      <c r="B4" s="387" t="s">
        <v>754</v>
      </c>
      <c r="C4" s="388" t="s">
        <v>755</v>
      </c>
      <c r="D4" s="388" t="s">
        <v>128</v>
      </c>
      <c r="E4" s="387" t="s">
        <v>756</v>
      </c>
      <c r="F4" s="387" t="s">
        <v>754</v>
      </c>
      <c r="G4" s="387" t="s">
        <v>128</v>
      </c>
    </row>
    <row r="5">
      <c r="A5" s="386" t="s">
        <v>757</v>
      </c>
      <c r="B5" s="387" t="s">
        <v>758</v>
      </c>
      <c r="C5" s="386" t="s">
        <v>759</v>
      </c>
      <c r="D5" s="389" t="s">
        <v>176</v>
      </c>
      <c r="E5" s="386"/>
      <c r="F5" s="389"/>
      <c r="G5" s="386"/>
    </row>
    <row r="6">
      <c r="A6" s="386" t="s">
        <v>368</v>
      </c>
      <c r="B6" s="387" t="s">
        <v>370</v>
      </c>
      <c r="C6" s="388" t="s">
        <v>760</v>
      </c>
      <c r="D6" s="387" t="s">
        <v>761</v>
      </c>
      <c r="E6" s="387" t="s">
        <v>762</v>
      </c>
      <c r="F6" s="387"/>
      <c r="G6" s="387"/>
    </row>
    <row r="7">
      <c r="A7" s="387" t="s">
        <v>116</v>
      </c>
      <c r="B7" s="387" t="s">
        <v>763</v>
      </c>
      <c r="C7" s="388" t="s">
        <v>764</v>
      </c>
      <c r="D7" s="387" t="s">
        <v>765</v>
      </c>
      <c r="E7" s="389" t="s">
        <v>766</v>
      </c>
      <c r="F7" s="387"/>
      <c r="G7" s="389"/>
    </row>
  </sheetData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1" max="1" width="30.63"/>
    <col customWidth="1" min="2" max="2" width="79.38"/>
  </cols>
  <sheetData>
    <row r="1" ht="32.25" customHeight="1">
      <c r="A1" s="390" t="s">
        <v>767</v>
      </c>
      <c r="B1" s="340" t="s">
        <v>768</v>
      </c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>
      <c r="A2" s="391" t="s">
        <v>769</v>
      </c>
      <c r="B2" s="392" t="s">
        <v>770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</row>
    <row r="3">
      <c r="A3" s="391" t="s">
        <v>771</v>
      </c>
      <c r="B3" s="392" t="s">
        <v>772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</row>
    <row r="4">
      <c r="A4" s="393" t="s">
        <v>773</v>
      </c>
      <c r="B4" s="394" t="s">
        <v>774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</row>
    <row r="5">
      <c r="A5" s="393" t="s">
        <v>775</v>
      </c>
      <c r="B5" s="394" t="s">
        <v>776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>
      <c r="A6" s="395" t="s">
        <v>777</v>
      </c>
      <c r="B6" s="395" t="s">
        <v>778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</row>
    <row r="7">
      <c r="A7" s="395" t="s">
        <v>779</v>
      </c>
      <c r="B7" s="395" t="s">
        <v>780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</row>
    <row r="8">
      <c r="A8" s="181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</row>
    <row r="9">
      <c r="A9" s="181"/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</row>
    <row r="10">
      <c r="A10" s="181"/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</row>
    <row r="11">
      <c r="A11" s="181"/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</row>
    <row r="12">
      <c r="A12" s="181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</row>
    <row r="13">
      <c r="A13" s="181"/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</row>
    <row r="14">
      <c r="A14" s="181"/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</row>
    <row r="15">
      <c r="A15" s="181"/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</row>
    <row r="16">
      <c r="A16" s="181"/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</row>
    <row r="17">
      <c r="A17" s="181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</row>
    <row r="18">
      <c r="A18" s="181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</row>
    <row r="19">
      <c r="A19" s="181"/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</row>
    <row r="20">
      <c r="A20" s="181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</row>
    <row r="21">
      <c r="A21" s="181"/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</row>
    <row r="22">
      <c r="A22" s="181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</row>
    <row r="23">
      <c r="A23" s="181"/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</row>
    <row r="24">
      <c r="A24" s="181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</row>
    <row r="25">
      <c r="A25" s="181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</row>
    <row r="26">
      <c r="A26" s="181"/>
      <c r="B26" s="180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</row>
    <row r="27">
      <c r="A27" s="181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</row>
    <row r="28">
      <c r="A28" s="181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</row>
    <row r="29">
      <c r="A29" s="181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</row>
    <row r="30">
      <c r="A30" s="181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</row>
    <row r="31">
      <c r="A31" s="181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</row>
    <row r="32">
      <c r="A32" s="181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</row>
    <row r="33">
      <c r="A33" s="181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</row>
    <row r="34">
      <c r="A34" s="181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</row>
    <row r="35">
      <c r="A35" s="181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</row>
    <row r="36">
      <c r="A36" s="181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</row>
    <row r="37">
      <c r="A37" s="181"/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</row>
    <row r="38">
      <c r="A38" s="181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</row>
    <row r="39">
      <c r="A39" s="181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</row>
    <row r="40">
      <c r="A40" s="181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</row>
    <row r="41">
      <c r="A41" s="181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</row>
    <row r="42">
      <c r="A42" s="181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</row>
    <row r="43">
      <c r="A43" s="181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</row>
    <row r="44">
      <c r="A44" s="181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</row>
    <row r="45">
      <c r="A45" s="181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</row>
    <row r="46">
      <c r="A46" s="181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</row>
    <row r="47">
      <c r="A47" s="181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</row>
    <row r="48">
      <c r="A48" s="181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</row>
    <row r="49">
      <c r="A49" s="181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</row>
    <row r="50">
      <c r="A50" s="181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</row>
    <row r="51">
      <c r="A51" s="181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</row>
    <row r="52">
      <c r="A52" s="181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</row>
    <row r="53">
      <c r="A53" s="181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</row>
    <row r="54">
      <c r="A54" s="181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</row>
    <row r="55">
      <c r="A55" s="181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</row>
    <row r="56">
      <c r="A56" s="181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</row>
    <row r="57">
      <c r="A57" s="181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</row>
    <row r="58">
      <c r="A58" s="181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</row>
    <row r="59">
      <c r="A59" s="181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</row>
    <row r="60">
      <c r="A60" s="181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</row>
    <row r="61">
      <c r="A61" s="181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</row>
    <row r="62">
      <c r="A62" s="181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</row>
    <row r="63">
      <c r="A63" s="181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</row>
    <row r="64">
      <c r="A64" s="181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</row>
    <row r="65">
      <c r="A65" s="181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</row>
    <row r="66">
      <c r="A66" s="181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</row>
    <row r="67">
      <c r="A67" s="181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</row>
    <row r="68">
      <c r="A68" s="181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</row>
    <row r="69">
      <c r="A69" s="181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</row>
    <row r="70">
      <c r="A70" s="181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</row>
    <row r="71">
      <c r="A71" s="181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</row>
    <row r="72">
      <c r="A72" s="181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</row>
    <row r="73">
      <c r="A73" s="181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</row>
    <row r="74">
      <c r="A74" s="181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</row>
    <row r="75">
      <c r="A75" s="181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</row>
    <row r="76">
      <c r="A76" s="181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</row>
    <row r="77">
      <c r="A77" s="181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</row>
    <row r="78">
      <c r="A78" s="181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</row>
    <row r="79">
      <c r="A79" s="181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</row>
    <row r="80">
      <c r="A80" s="181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</row>
    <row r="81">
      <c r="A81" s="181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</row>
    <row r="82">
      <c r="A82" s="181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</row>
    <row r="83">
      <c r="A83" s="181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</row>
    <row r="84">
      <c r="A84" s="181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</row>
    <row r="85">
      <c r="A85" s="181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</row>
    <row r="86">
      <c r="A86" s="181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</row>
    <row r="87">
      <c r="A87" s="181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</row>
    <row r="88">
      <c r="A88" s="181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</row>
    <row r="89">
      <c r="A89" s="181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</row>
    <row r="90">
      <c r="A90" s="181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</row>
    <row r="91">
      <c r="A91" s="181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</row>
    <row r="92">
      <c r="A92" s="181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</row>
    <row r="93">
      <c r="A93" s="181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</row>
    <row r="94">
      <c r="A94" s="181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</row>
    <row r="95">
      <c r="A95" s="181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</row>
    <row r="96">
      <c r="A96" s="181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</row>
    <row r="97">
      <c r="A97" s="181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</row>
    <row r="98">
      <c r="A98" s="181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</row>
    <row r="99">
      <c r="A99" s="181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</row>
    <row r="100">
      <c r="A100" s="181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</row>
    <row r="101">
      <c r="A101" s="181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</row>
    <row r="102">
      <c r="A102" s="181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</row>
    <row r="103">
      <c r="A103" s="181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</row>
    <row r="104">
      <c r="A104" s="181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</row>
    <row r="105">
      <c r="A105" s="181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</row>
    <row r="106">
      <c r="A106" s="181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</row>
    <row r="107">
      <c r="A107" s="181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</row>
    <row r="108">
      <c r="A108" s="181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</row>
    <row r="109">
      <c r="A109" s="181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</row>
    <row r="110">
      <c r="A110" s="181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</row>
    <row r="111">
      <c r="A111" s="181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</row>
    <row r="112">
      <c r="A112" s="181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</row>
    <row r="113">
      <c r="A113" s="181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</row>
    <row r="114">
      <c r="A114" s="181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</row>
    <row r="115">
      <c r="A115" s="181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</row>
    <row r="116">
      <c r="A116" s="181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</row>
    <row r="117">
      <c r="A117" s="181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</row>
    <row r="118">
      <c r="A118" s="181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</row>
    <row r="119">
      <c r="A119" s="181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</row>
    <row r="120">
      <c r="A120" s="181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</row>
    <row r="121">
      <c r="A121" s="181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</row>
    <row r="122">
      <c r="A122" s="181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</row>
    <row r="123">
      <c r="A123" s="181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</row>
    <row r="124">
      <c r="A124" s="181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</row>
    <row r="125">
      <c r="A125" s="181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</row>
    <row r="126">
      <c r="A126" s="181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</row>
    <row r="127">
      <c r="A127" s="181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</row>
    <row r="128">
      <c r="A128" s="181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</row>
    <row r="129">
      <c r="A129" s="181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</row>
    <row r="130">
      <c r="A130" s="181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</row>
    <row r="131">
      <c r="A131" s="181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</row>
    <row r="132">
      <c r="A132" s="181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</row>
    <row r="133">
      <c r="A133" s="181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</row>
    <row r="134">
      <c r="A134" s="181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</row>
    <row r="135">
      <c r="A135" s="181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</row>
    <row r="136">
      <c r="A136" s="181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</row>
    <row r="137">
      <c r="A137" s="181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</row>
    <row r="138">
      <c r="A138" s="181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</row>
    <row r="139">
      <c r="A139" s="181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</row>
    <row r="140">
      <c r="A140" s="181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</row>
    <row r="141">
      <c r="A141" s="181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</row>
    <row r="142">
      <c r="A142" s="181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</row>
    <row r="143">
      <c r="A143" s="181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</row>
    <row r="144">
      <c r="A144" s="181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</row>
    <row r="145">
      <c r="A145" s="181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</row>
    <row r="146">
      <c r="A146" s="181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</row>
    <row r="147">
      <c r="A147" s="181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</row>
    <row r="148">
      <c r="A148" s="181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</row>
    <row r="149">
      <c r="A149" s="181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</row>
    <row r="150">
      <c r="A150" s="181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</row>
    <row r="151">
      <c r="A151" s="181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</row>
    <row r="152">
      <c r="A152" s="181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</row>
    <row r="153">
      <c r="A153" s="181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</row>
    <row r="154">
      <c r="A154" s="181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</row>
    <row r="155">
      <c r="A155" s="181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</row>
    <row r="156">
      <c r="A156" s="181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</row>
    <row r="157">
      <c r="A157" s="181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</row>
    <row r="158">
      <c r="A158" s="181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</row>
    <row r="159">
      <c r="A159" s="181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</row>
    <row r="160">
      <c r="A160" s="181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</row>
    <row r="161">
      <c r="A161" s="181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</row>
    <row r="162">
      <c r="A162" s="181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</row>
    <row r="163">
      <c r="A163" s="181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</row>
    <row r="164">
      <c r="A164" s="181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</row>
    <row r="165">
      <c r="A165" s="181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</row>
    <row r="166">
      <c r="A166" s="181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</row>
    <row r="167">
      <c r="A167" s="181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</row>
    <row r="168">
      <c r="A168" s="181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</row>
    <row r="169">
      <c r="A169" s="181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</row>
    <row r="170">
      <c r="A170" s="181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</row>
    <row r="171">
      <c r="A171" s="181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</row>
    <row r="172">
      <c r="A172" s="181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</row>
    <row r="173">
      <c r="A173" s="181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</row>
    <row r="174">
      <c r="A174" s="181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</row>
    <row r="175">
      <c r="A175" s="181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</row>
    <row r="176">
      <c r="A176" s="181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</row>
    <row r="177">
      <c r="A177" s="181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</row>
    <row r="178">
      <c r="A178" s="181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</row>
    <row r="179">
      <c r="A179" s="181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</row>
    <row r="180">
      <c r="A180" s="181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</row>
    <row r="181">
      <c r="A181" s="181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</row>
    <row r="182">
      <c r="A182" s="181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</row>
    <row r="183">
      <c r="A183" s="181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</row>
    <row r="184">
      <c r="A184" s="181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</row>
    <row r="185">
      <c r="A185" s="181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</row>
    <row r="186">
      <c r="A186" s="181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</row>
    <row r="187">
      <c r="A187" s="181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</row>
    <row r="188">
      <c r="A188" s="181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</row>
    <row r="189">
      <c r="A189" s="181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</row>
    <row r="190">
      <c r="A190" s="181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</row>
    <row r="191">
      <c r="A191" s="181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</row>
    <row r="192">
      <c r="A192" s="181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</row>
    <row r="193">
      <c r="A193" s="181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</row>
    <row r="194">
      <c r="A194" s="181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</row>
    <row r="195">
      <c r="A195" s="181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</row>
    <row r="196">
      <c r="A196" s="181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</row>
    <row r="197">
      <c r="A197" s="181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</row>
    <row r="198">
      <c r="A198" s="181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</row>
    <row r="199">
      <c r="A199" s="181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</row>
    <row r="200">
      <c r="A200" s="181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</row>
    <row r="201">
      <c r="A201" s="181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</row>
    <row r="202">
      <c r="A202" s="181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</row>
    <row r="203">
      <c r="A203" s="181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</row>
    <row r="204">
      <c r="A204" s="181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</row>
    <row r="205">
      <c r="A205" s="181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</row>
    <row r="206">
      <c r="A206" s="181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</row>
    <row r="207">
      <c r="A207" s="181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</row>
    <row r="208">
      <c r="A208" s="181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</row>
    <row r="209">
      <c r="A209" s="181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</row>
    <row r="210">
      <c r="A210" s="181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</row>
    <row r="211">
      <c r="A211" s="181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</row>
    <row r="212">
      <c r="A212" s="181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</row>
    <row r="213">
      <c r="A213" s="181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</row>
    <row r="214">
      <c r="A214" s="181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</row>
    <row r="215">
      <c r="A215" s="181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</row>
    <row r="216">
      <c r="A216" s="181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</row>
    <row r="217">
      <c r="A217" s="181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</row>
    <row r="218">
      <c r="A218" s="181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</row>
    <row r="219">
      <c r="A219" s="181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</row>
    <row r="220">
      <c r="A220" s="181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</row>
    <row r="221">
      <c r="A221" s="181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</row>
    <row r="222">
      <c r="A222" s="181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</row>
    <row r="223">
      <c r="A223" s="181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</row>
    <row r="224">
      <c r="A224" s="181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</row>
    <row r="225">
      <c r="A225" s="181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</row>
    <row r="226">
      <c r="A226" s="181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</row>
    <row r="227">
      <c r="A227" s="181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</row>
    <row r="228">
      <c r="A228" s="181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</row>
    <row r="229">
      <c r="A229" s="181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</row>
    <row r="230">
      <c r="A230" s="181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</row>
    <row r="231">
      <c r="A231" s="181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</row>
    <row r="232">
      <c r="A232" s="181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</row>
    <row r="233">
      <c r="A233" s="181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</row>
    <row r="234">
      <c r="A234" s="181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</row>
    <row r="235">
      <c r="A235" s="181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</row>
    <row r="236">
      <c r="A236" s="181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</row>
    <row r="237">
      <c r="A237" s="181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</row>
    <row r="238">
      <c r="A238" s="181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</row>
    <row r="239">
      <c r="A239" s="181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</row>
    <row r="240">
      <c r="A240" s="181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</row>
    <row r="241">
      <c r="A241" s="181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</row>
    <row r="242">
      <c r="A242" s="181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</row>
    <row r="243">
      <c r="A243" s="181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</row>
    <row r="244">
      <c r="A244" s="181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</row>
    <row r="245">
      <c r="A245" s="181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</row>
    <row r="246">
      <c r="A246" s="181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</row>
    <row r="247">
      <c r="A247" s="181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</row>
    <row r="248">
      <c r="A248" s="181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</row>
    <row r="249">
      <c r="A249" s="181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</row>
    <row r="250">
      <c r="A250" s="181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</row>
    <row r="251">
      <c r="A251" s="181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</row>
    <row r="252">
      <c r="A252" s="181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</row>
    <row r="253">
      <c r="A253" s="181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</row>
    <row r="254">
      <c r="A254" s="181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</row>
    <row r="255">
      <c r="A255" s="181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</row>
    <row r="256">
      <c r="A256" s="181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</row>
    <row r="257">
      <c r="A257" s="181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</row>
    <row r="258">
      <c r="A258" s="181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</row>
    <row r="259">
      <c r="A259" s="181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</row>
    <row r="260">
      <c r="A260" s="181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</row>
    <row r="261">
      <c r="A261" s="181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</row>
    <row r="262">
      <c r="A262" s="181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</row>
    <row r="263">
      <c r="A263" s="181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</row>
    <row r="264">
      <c r="A264" s="181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</row>
    <row r="265">
      <c r="A265" s="181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</row>
    <row r="266">
      <c r="A266" s="181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</row>
    <row r="267">
      <c r="A267" s="181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</row>
    <row r="268">
      <c r="A268" s="181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</row>
    <row r="269">
      <c r="A269" s="181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</row>
    <row r="270">
      <c r="A270" s="181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</row>
    <row r="271">
      <c r="A271" s="181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</row>
    <row r="272">
      <c r="A272" s="181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</row>
    <row r="273">
      <c r="A273" s="181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</row>
    <row r="274">
      <c r="A274" s="181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</row>
    <row r="275">
      <c r="A275" s="181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</row>
    <row r="276">
      <c r="A276" s="181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</row>
    <row r="277">
      <c r="A277" s="181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</row>
    <row r="278">
      <c r="A278" s="181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</row>
    <row r="279">
      <c r="A279" s="181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</row>
    <row r="280">
      <c r="A280" s="181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</row>
    <row r="281">
      <c r="A281" s="181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</row>
    <row r="282">
      <c r="A282" s="181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</row>
    <row r="283">
      <c r="A283" s="181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</row>
    <row r="284">
      <c r="A284" s="181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</row>
    <row r="285">
      <c r="A285" s="181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</row>
    <row r="286">
      <c r="A286" s="181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</row>
    <row r="287">
      <c r="A287" s="181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</row>
    <row r="288">
      <c r="A288" s="181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</row>
    <row r="289">
      <c r="A289" s="181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</row>
    <row r="290">
      <c r="A290" s="181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</row>
    <row r="291">
      <c r="A291" s="181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</row>
    <row r="292">
      <c r="A292" s="181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</row>
    <row r="293">
      <c r="A293" s="181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</row>
    <row r="294">
      <c r="A294" s="181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</row>
    <row r="295">
      <c r="A295" s="181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</row>
    <row r="296">
      <c r="A296" s="181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</row>
    <row r="297">
      <c r="A297" s="181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</row>
    <row r="298">
      <c r="A298" s="181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</row>
    <row r="299">
      <c r="A299" s="181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</row>
    <row r="300">
      <c r="A300" s="181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</row>
    <row r="301">
      <c r="A301" s="181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</row>
    <row r="302">
      <c r="A302" s="181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</row>
    <row r="303">
      <c r="A303" s="181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</row>
    <row r="304">
      <c r="A304" s="181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</row>
    <row r="305">
      <c r="A305" s="181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</row>
    <row r="306">
      <c r="A306" s="181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</row>
    <row r="307">
      <c r="A307" s="181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</row>
    <row r="308">
      <c r="A308" s="181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</row>
    <row r="309">
      <c r="A309" s="181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</row>
    <row r="310">
      <c r="A310" s="181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</row>
    <row r="311">
      <c r="A311" s="181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</row>
    <row r="312">
      <c r="A312" s="181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</row>
    <row r="313">
      <c r="A313" s="181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</row>
    <row r="314">
      <c r="A314" s="181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</row>
    <row r="315">
      <c r="A315" s="181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</row>
    <row r="316">
      <c r="A316" s="181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</row>
    <row r="317">
      <c r="A317" s="181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</row>
    <row r="318">
      <c r="A318" s="181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</row>
    <row r="319">
      <c r="A319" s="181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</row>
    <row r="320">
      <c r="A320" s="181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</row>
    <row r="321">
      <c r="A321" s="181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</row>
    <row r="322">
      <c r="A322" s="181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</row>
    <row r="323">
      <c r="A323" s="181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</row>
    <row r="324">
      <c r="A324" s="181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</row>
    <row r="325">
      <c r="A325" s="181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</row>
    <row r="326">
      <c r="A326" s="181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</row>
    <row r="327">
      <c r="A327" s="181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</row>
    <row r="328">
      <c r="A328" s="181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</row>
    <row r="329">
      <c r="A329" s="181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</row>
    <row r="330">
      <c r="A330" s="181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</row>
    <row r="331">
      <c r="A331" s="181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</row>
    <row r="332">
      <c r="A332" s="181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</row>
    <row r="333">
      <c r="A333" s="181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</row>
    <row r="334">
      <c r="A334" s="181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</row>
    <row r="335">
      <c r="A335" s="181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</row>
    <row r="336">
      <c r="A336" s="181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</row>
    <row r="337">
      <c r="A337" s="181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</row>
    <row r="338">
      <c r="A338" s="181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</row>
    <row r="339">
      <c r="A339" s="181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</row>
    <row r="340">
      <c r="A340" s="181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</row>
    <row r="341">
      <c r="A341" s="181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</row>
    <row r="342">
      <c r="A342" s="181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</row>
    <row r="343">
      <c r="A343" s="181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</row>
    <row r="344">
      <c r="A344" s="181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</row>
    <row r="345">
      <c r="A345" s="181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</row>
    <row r="346">
      <c r="A346" s="181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</row>
    <row r="347">
      <c r="A347" s="181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</row>
    <row r="348">
      <c r="A348" s="181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</row>
    <row r="349">
      <c r="A349" s="181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</row>
    <row r="350">
      <c r="A350" s="181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</row>
    <row r="351">
      <c r="A351" s="181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</row>
    <row r="352">
      <c r="A352" s="181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</row>
    <row r="353">
      <c r="A353" s="181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</row>
    <row r="354">
      <c r="A354" s="181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</row>
    <row r="355">
      <c r="A355" s="181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</row>
    <row r="356">
      <c r="A356" s="181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</row>
    <row r="357">
      <c r="A357" s="181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</row>
    <row r="358">
      <c r="A358" s="181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</row>
    <row r="359">
      <c r="A359" s="181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</row>
    <row r="360">
      <c r="A360" s="181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</row>
    <row r="361">
      <c r="A361" s="181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</row>
    <row r="362">
      <c r="A362" s="181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</row>
    <row r="363">
      <c r="A363" s="181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</row>
    <row r="364">
      <c r="A364" s="181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</row>
    <row r="365">
      <c r="A365" s="181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</row>
    <row r="366">
      <c r="A366" s="181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</row>
    <row r="367">
      <c r="A367" s="181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</row>
    <row r="368">
      <c r="A368" s="181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</row>
    <row r="369">
      <c r="A369" s="181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</row>
    <row r="370">
      <c r="A370" s="181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</row>
    <row r="371">
      <c r="A371" s="181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</row>
    <row r="372">
      <c r="A372" s="181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</row>
    <row r="373">
      <c r="A373" s="181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</row>
    <row r="374">
      <c r="A374" s="181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</row>
    <row r="375">
      <c r="A375" s="181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</row>
    <row r="376">
      <c r="A376" s="181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</row>
    <row r="377">
      <c r="A377" s="181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</row>
    <row r="378">
      <c r="A378" s="181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</row>
    <row r="379">
      <c r="A379" s="181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</row>
    <row r="380">
      <c r="A380" s="181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</row>
    <row r="381">
      <c r="A381" s="181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</row>
    <row r="382">
      <c r="A382" s="181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</row>
    <row r="383">
      <c r="A383" s="181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</row>
    <row r="384">
      <c r="A384" s="181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</row>
    <row r="385">
      <c r="A385" s="181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</row>
    <row r="386">
      <c r="A386" s="181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</row>
    <row r="387">
      <c r="A387" s="181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</row>
    <row r="388">
      <c r="A388" s="181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</row>
    <row r="389">
      <c r="A389" s="181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</row>
    <row r="390">
      <c r="A390" s="181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</row>
    <row r="391">
      <c r="A391" s="181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</row>
    <row r="392">
      <c r="A392" s="181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</row>
    <row r="393">
      <c r="A393" s="181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</row>
    <row r="394">
      <c r="A394" s="181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</row>
    <row r="395">
      <c r="A395" s="181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</row>
    <row r="396">
      <c r="A396" s="181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</row>
    <row r="397">
      <c r="A397" s="181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</row>
    <row r="398">
      <c r="A398" s="181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</row>
    <row r="399">
      <c r="A399" s="181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</row>
    <row r="400">
      <c r="A400" s="181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</row>
    <row r="401">
      <c r="A401" s="181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</row>
    <row r="402">
      <c r="A402" s="181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</row>
    <row r="403">
      <c r="A403" s="181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</row>
    <row r="404">
      <c r="A404" s="181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</row>
    <row r="405">
      <c r="A405" s="181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</row>
    <row r="406">
      <c r="A406" s="181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</row>
    <row r="407">
      <c r="A407" s="181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</row>
    <row r="408">
      <c r="A408" s="181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</row>
    <row r="409">
      <c r="A409" s="181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</row>
    <row r="410">
      <c r="A410" s="181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</row>
    <row r="411">
      <c r="A411" s="181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</row>
    <row r="412">
      <c r="A412" s="181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</row>
    <row r="413">
      <c r="A413" s="181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</row>
    <row r="414">
      <c r="A414" s="181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</row>
    <row r="415">
      <c r="A415" s="181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</row>
    <row r="416">
      <c r="A416" s="181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</row>
    <row r="417">
      <c r="A417" s="181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</row>
    <row r="418">
      <c r="A418" s="181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</row>
    <row r="419">
      <c r="A419" s="181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</row>
    <row r="420">
      <c r="A420" s="181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</row>
    <row r="421">
      <c r="A421" s="181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</row>
    <row r="422">
      <c r="A422" s="181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</row>
    <row r="423">
      <c r="A423" s="181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</row>
    <row r="424">
      <c r="A424" s="181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</row>
    <row r="425">
      <c r="A425" s="181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</row>
    <row r="426">
      <c r="A426" s="181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</row>
    <row r="427">
      <c r="A427" s="181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</row>
    <row r="428">
      <c r="A428" s="181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</row>
    <row r="429">
      <c r="A429" s="181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</row>
    <row r="430">
      <c r="A430" s="181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</row>
    <row r="431">
      <c r="A431" s="181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</row>
    <row r="432">
      <c r="A432" s="181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</row>
    <row r="433">
      <c r="A433" s="181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</row>
    <row r="434">
      <c r="A434" s="181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</row>
    <row r="435">
      <c r="A435" s="181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</row>
    <row r="436">
      <c r="A436" s="181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</row>
    <row r="437">
      <c r="A437" s="181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</row>
    <row r="438">
      <c r="A438" s="181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</row>
    <row r="439">
      <c r="A439" s="181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</row>
    <row r="440">
      <c r="A440" s="181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</row>
    <row r="441">
      <c r="A441" s="181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</row>
    <row r="442">
      <c r="A442" s="181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</row>
    <row r="443">
      <c r="A443" s="181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</row>
    <row r="444">
      <c r="A444" s="181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</row>
    <row r="445">
      <c r="A445" s="181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</row>
    <row r="446">
      <c r="A446" s="181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</row>
    <row r="447">
      <c r="A447" s="181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</row>
    <row r="448">
      <c r="A448" s="181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</row>
    <row r="449">
      <c r="A449" s="181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</row>
    <row r="450">
      <c r="A450" s="181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</row>
    <row r="451">
      <c r="A451" s="181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</row>
    <row r="452">
      <c r="A452" s="181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</row>
    <row r="453">
      <c r="A453" s="181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</row>
    <row r="454">
      <c r="A454" s="181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</row>
    <row r="455">
      <c r="A455" s="181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</row>
    <row r="456">
      <c r="A456" s="181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</row>
    <row r="457">
      <c r="A457" s="181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</row>
    <row r="458">
      <c r="A458" s="181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</row>
    <row r="459">
      <c r="A459" s="181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</row>
    <row r="460">
      <c r="A460" s="181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</row>
    <row r="461">
      <c r="A461" s="181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</row>
    <row r="462">
      <c r="A462" s="181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</row>
    <row r="463">
      <c r="A463" s="181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</row>
    <row r="464">
      <c r="A464" s="181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</row>
    <row r="465">
      <c r="A465" s="181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</row>
    <row r="466">
      <c r="A466" s="181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</row>
    <row r="467">
      <c r="A467" s="181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</row>
    <row r="468">
      <c r="A468" s="181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</row>
    <row r="469">
      <c r="A469" s="181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</row>
    <row r="470">
      <c r="A470" s="181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</row>
    <row r="471">
      <c r="A471" s="181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</row>
    <row r="472">
      <c r="A472" s="181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</row>
    <row r="473">
      <c r="A473" s="181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</row>
    <row r="474">
      <c r="A474" s="181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</row>
    <row r="475">
      <c r="A475" s="181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</row>
    <row r="476">
      <c r="A476" s="181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</row>
    <row r="477">
      <c r="A477" s="181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</row>
    <row r="478">
      <c r="A478" s="181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</row>
    <row r="479">
      <c r="A479" s="181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</row>
    <row r="480">
      <c r="A480" s="181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</row>
    <row r="481">
      <c r="A481" s="181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</row>
    <row r="482">
      <c r="A482" s="181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</row>
    <row r="483">
      <c r="A483" s="181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</row>
    <row r="484">
      <c r="A484" s="181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</row>
    <row r="485">
      <c r="A485" s="181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</row>
    <row r="486">
      <c r="A486" s="181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</row>
    <row r="487">
      <c r="A487" s="181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</row>
    <row r="488">
      <c r="A488" s="181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</row>
    <row r="489">
      <c r="A489" s="181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</row>
    <row r="490">
      <c r="A490" s="181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</row>
    <row r="491">
      <c r="A491" s="181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</row>
    <row r="492">
      <c r="A492" s="181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</row>
    <row r="493">
      <c r="A493" s="181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</row>
    <row r="494">
      <c r="A494" s="181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</row>
    <row r="495">
      <c r="A495" s="181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</row>
    <row r="496">
      <c r="A496" s="181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</row>
    <row r="497">
      <c r="A497" s="181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</row>
    <row r="498">
      <c r="A498" s="181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</row>
    <row r="499">
      <c r="A499" s="181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</row>
    <row r="500">
      <c r="A500" s="181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</row>
    <row r="501">
      <c r="A501" s="181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</row>
    <row r="502">
      <c r="A502" s="181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</row>
    <row r="503">
      <c r="A503" s="181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</row>
    <row r="504">
      <c r="A504" s="181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</row>
    <row r="505">
      <c r="A505" s="181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</row>
    <row r="506">
      <c r="A506" s="181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</row>
    <row r="507">
      <c r="A507" s="181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</row>
    <row r="508">
      <c r="A508" s="181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</row>
    <row r="509">
      <c r="A509" s="181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</row>
    <row r="510">
      <c r="A510" s="181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</row>
    <row r="511">
      <c r="A511" s="181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</row>
    <row r="512">
      <c r="A512" s="181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</row>
    <row r="513">
      <c r="A513" s="181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</row>
    <row r="514">
      <c r="A514" s="181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</row>
    <row r="515">
      <c r="A515" s="181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</row>
    <row r="516">
      <c r="A516" s="181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</row>
    <row r="517">
      <c r="A517" s="181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</row>
    <row r="518">
      <c r="A518" s="181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</row>
    <row r="519">
      <c r="A519" s="181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</row>
    <row r="520">
      <c r="A520" s="181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</row>
    <row r="521">
      <c r="A521" s="181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</row>
    <row r="522">
      <c r="A522" s="181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</row>
    <row r="523">
      <c r="A523" s="181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</row>
    <row r="524">
      <c r="A524" s="181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</row>
    <row r="525">
      <c r="A525" s="181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</row>
    <row r="526">
      <c r="A526" s="181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</row>
    <row r="527">
      <c r="A527" s="181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</row>
    <row r="528">
      <c r="A528" s="181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</row>
    <row r="529">
      <c r="A529" s="181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</row>
    <row r="530">
      <c r="A530" s="181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</row>
    <row r="531">
      <c r="A531" s="181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</row>
    <row r="532">
      <c r="A532" s="181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</row>
    <row r="533">
      <c r="A533" s="181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</row>
    <row r="534">
      <c r="A534" s="181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</row>
    <row r="535">
      <c r="A535" s="181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</row>
    <row r="536">
      <c r="A536" s="181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</row>
    <row r="537">
      <c r="A537" s="181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</row>
    <row r="538">
      <c r="A538" s="181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</row>
    <row r="539">
      <c r="A539" s="181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</row>
    <row r="540">
      <c r="A540" s="181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</row>
    <row r="541">
      <c r="A541" s="181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</row>
    <row r="542">
      <c r="A542" s="181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</row>
    <row r="543">
      <c r="A543" s="181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</row>
    <row r="544">
      <c r="A544" s="181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</row>
    <row r="545">
      <c r="A545" s="181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</row>
    <row r="546">
      <c r="A546" s="181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</row>
    <row r="547">
      <c r="A547" s="181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</row>
    <row r="548">
      <c r="A548" s="181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</row>
    <row r="549">
      <c r="A549" s="181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</row>
    <row r="550">
      <c r="A550" s="181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</row>
    <row r="551">
      <c r="A551" s="181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</row>
    <row r="552">
      <c r="A552" s="181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</row>
    <row r="553">
      <c r="A553" s="181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</row>
    <row r="554">
      <c r="A554" s="181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</row>
    <row r="555">
      <c r="A555" s="181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</row>
    <row r="556">
      <c r="A556" s="181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</row>
    <row r="557">
      <c r="A557" s="181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</row>
    <row r="558">
      <c r="A558" s="181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</row>
    <row r="559">
      <c r="A559" s="181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</row>
    <row r="560">
      <c r="A560" s="181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</row>
    <row r="561">
      <c r="A561" s="181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</row>
    <row r="562">
      <c r="A562" s="181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</row>
    <row r="563">
      <c r="A563" s="181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</row>
    <row r="564">
      <c r="A564" s="181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</row>
    <row r="565">
      <c r="A565" s="181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</row>
    <row r="566">
      <c r="A566" s="181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</row>
    <row r="567">
      <c r="A567" s="181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</row>
    <row r="568">
      <c r="A568" s="181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</row>
    <row r="569">
      <c r="A569" s="181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</row>
    <row r="570">
      <c r="A570" s="181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</row>
    <row r="571">
      <c r="A571" s="181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</row>
    <row r="572">
      <c r="A572" s="181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</row>
    <row r="573">
      <c r="A573" s="181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</row>
    <row r="574">
      <c r="A574" s="181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</row>
    <row r="575">
      <c r="A575" s="181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</row>
    <row r="576">
      <c r="A576" s="181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</row>
    <row r="577">
      <c r="A577" s="181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</row>
    <row r="578">
      <c r="A578" s="181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</row>
    <row r="579">
      <c r="A579" s="181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</row>
    <row r="580">
      <c r="A580" s="181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</row>
    <row r="581">
      <c r="A581" s="181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</row>
    <row r="582">
      <c r="A582" s="181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</row>
    <row r="583">
      <c r="A583" s="181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</row>
    <row r="584">
      <c r="A584" s="181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</row>
    <row r="585">
      <c r="A585" s="181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</row>
    <row r="586">
      <c r="A586" s="181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</row>
    <row r="587">
      <c r="A587" s="181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</row>
    <row r="588">
      <c r="A588" s="181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</row>
    <row r="589">
      <c r="A589" s="181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</row>
    <row r="590">
      <c r="A590" s="181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</row>
    <row r="591">
      <c r="A591" s="181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</row>
    <row r="592">
      <c r="A592" s="181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</row>
    <row r="593">
      <c r="A593" s="181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</row>
    <row r="594">
      <c r="A594" s="181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</row>
    <row r="595">
      <c r="A595" s="181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</row>
    <row r="596">
      <c r="A596" s="181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</row>
    <row r="597">
      <c r="A597" s="181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</row>
    <row r="598">
      <c r="A598" s="181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</row>
    <row r="599">
      <c r="A599" s="181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</row>
    <row r="600">
      <c r="A600" s="181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</row>
    <row r="601">
      <c r="A601" s="181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</row>
    <row r="602">
      <c r="A602" s="181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</row>
    <row r="603">
      <c r="A603" s="181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</row>
    <row r="604">
      <c r="A604" s="181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</row>
    <row r="605">
      <c r="A605" s="181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</row>
    <row r="606">
      <c r="A606" s="181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</row>
    <row r="607">
      <c r="A607" s="181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</row>
    <row r="608">
      <c r="A608" s="181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</row>
    <row r="609">
      <c r="A609" s="181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</row>
    <row r="610">
      <c r="A610" s="181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</row>
    <row r="611">
      <c r="A611" s="181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</row>
    <row r="612">
      <c r="A612" s="181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</row>
    <row r="613">
      <c r="A613" s="181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</row>
    <row r="614">
      <c r="A614" s="181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</row>
    <row r="615">
      <c r="A615" s="181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</row>
    <row r="616">
      <c r="A616" s="181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</row>
    <row r="617">
      <c r="A617" s="181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</row>
    <row r="618">
      <c r="A618" s="181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</row>
    <row r="619">
      <c r="A619" s="181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</row>
    <row r="620">
      <c r="A620" s="181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</row>
    <row r="621">
      <c r="A621" s="181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</row>
    <row r="622">
      <c r="A622" s="181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</row>
    <row r="623">
      <c r="A623" s="181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</row>
    <row r="624">
      <c r="A624" s="181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</row>
    <row r="625">
      <c r="A625" s="181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</row>
    <row r="626">
      <c r="A626" s="181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</row>
    <row r="627">
      <c r="A627" s="181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</row>
    <row r="628">
      <c r="A628" s="181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</row>
    <row r="629">
      <c r="A629" s="181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</row>
    <row r="630">
      <c r="A630" s="181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</row>
    <row r="631">
      <c r="A631" s="181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</row>
    <row r="632">
      <c r="A632" s="181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</row>
    <row r="633">
      <c r="A633" s="181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</row>
    <row r="634">
      <c r="A634" s="181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</row>
    <row r="635">
      <c r="A635" s="181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</row>
    <row r="636">
      <c r="A636" s="181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</row>
    <row r="637">
      <c r="A637" s="181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</row>
    <row r="638">
      <c r="A638" s="181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</row>
    <row r="639">
      <c r="A639" s="181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</row>
    <row r="640">
      <c r="A640" s="181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</row>
    <row r="641">
      <c r="A641" s="181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</row>
    <row r="642">
      <c r="A642" s="181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</row>
    <row r="643">
      <c r="A643" s="181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</row>
    <row r="644">
      <c r="A644" s="181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</row>
    <row r="645">
      <c r="A645" s="181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</row>
    <row r="646">
      <c r="A646" s="181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</row>
    <row r="647">
      <c r="A647" s="181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</row>
    <row r="648">
      <c r="A648" s="181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</row>
    <row r="649">
      <c r="A649" s="181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</row>
    <row r="650">
      <c r="A650" s="181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</row>
    <row r="651">
      <c r="A651" s="181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</row>
    <row r="652">
      <c r="A652" s="181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</row>
    <row r="653">
      <c r="A653" s="181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</row>
    <row r="654">
      <c r="A654" s="181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</row>
    <row r="655">
      <c r="A655" s="181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</row>
    <row r="656">
      <c r="A656" s="181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</row>
    <row r="657">
      <c r="A657" s="181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</row>
    <row r="658">
      <c r="A658" s="181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</row>
    <row r="659">
      <c r="A659" s="181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</row>
    <row r="660">
      <c r="A660" s="181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</row>
    <row r="661">
      <c r="A661" s="181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</row>
    <row r="662">
      <c r="A662" s="181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</row>
    <row r="663">
      <c r="A663" s="181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</row>
    <row r="664">
      <c r="A664" s="181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</row>
    <row r="665">
      <c r="A665" s="181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</row>
    <row r="666">
      <c r="A666" s="181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</row>
    <row r="667">
      <c r="A667" s="181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</row>
    <row r="668">
      <c r="A668" s="181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</row>
    <row r="669">
      <c r="A669" s="181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</row>
    <row r="670">
      <c r="A670" s="181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</row>
    <row r="671">
      <c r="A671" s="181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</row>
    <row r="672">
      <c r="A672" s="181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</row>
    <row r="673">
      <c r="A673" s="181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</row>
    <row r="674">
      <c r="A674" s="181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</row>
    <row r="675">
      <c r="A675" s="181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</row>
    <row r="676">
      <c r="A676" s="181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</row>
    <row r="677">
      <c r="A677" s="181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</row>
    <row r="678">
      <c r="A678" s="181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</row>
    <row r="679">
      <c r="A679" s="181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</row>
    <row r="680">
      <c r="A680" s="181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</row>
    <row r="681">
      <c r="A681" s="181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</row>
    <row r="682">
      <c r="A682" s="181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</row>
    <row r="683">
      <c r="A683" s="181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</row>
    <row r="684">
      <c r="A684" s="181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</row>
    <row r="685">
      <c r="A685" s="181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</row>
    <row r="686">
      <c r="A686" s="181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</row>
    <row r="687">
      <c r="A687" s="181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</row>
    <row r="688">
      <c r="A688" s="181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</row>
    <row r="689">
      <c r="A689" s="181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</row>
    <row r="690">
      <c r="A690" s="181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</row>
    <row r="691">
      <c r="A691" s="181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</row>
    <row r="692">
      <c r="A692" s="181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</row>
    <row r="693">
      <c r="A693" s="181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</row>
    <row r="694">
      <c r="A694" s="181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</row>
    <row r="695">
      <c r="A695" s="181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</row>
    <row r="696">
      <c r="A696" s="181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</row>
    <row r="697">
      <c r="A697" s="181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</row>
    <row r="698">
      <c r="A698" s="181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</row>
    <row r="699">
      <c r="A699" s="181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</row>
    <row r="700">
      <c r="A700" s="181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</row>
    <row r="701">
      <c r="A701" s="181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</row>
    <row r="702">
      <c r="A702" s="181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</row>
    <row r="703">
      <c r="A703" s="181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</row>
    <row r="704">
      <c r="A704" s="181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</row>
    <row r="705">
      <c r="A705" s="181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</row>
    <row r="706">
      <c r="A706" s="181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</row>
    <row r="707">
      <c r="A707" s="181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</row>
    <row r="708">
      <c r="A708" s="181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</row>
    <row r="709">
      <c r="A709" s="181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</row>
    <row r="710">
      <c r="A710" s="181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</row>
    <row r="711">
      <c r="A711" s="181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</row>
    <row r="712">
      <c r="A712" s="181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</row>
    <row r="713">
      <c r="A713" s="181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</row>
    <row r="714">
      <c r="A714" s="181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</row>
    <row r="715">
      <c r="A715" s="181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</row>
    <row r="716">
      <c r="A716" s="181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</row>
    <row r="717">
      <c r="A717" s="181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</row>
    <row r="718">
      <c r="A718" s="181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</row>
    <row r="719">
      <c r="A719" s="181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</row>
    <row r="720">
      <c r="A720" s="181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</row>
    <row r="721">
      <c r="A721" s="181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</row>
    <row r="722">
      <c r="A722" s="181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</row>
    <row r="723">
      <c r="A723" s="181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</row>
    <row r="724">
      <c r="A724" s="181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</row>
    <row r="725">
      <c r="A725" s="181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</row>
    <row r="726">
      <c r="A726" s="181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</row>
    <row r="727">
      <c r="A727" s="181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</row>
    <row r="728">
      <c r="A728" s="181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</row>
    <row r="729">
      <c r="A729" s="181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</row>
    <row r="730">
      <c r="A730" s="181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</row>
    <row r="731">
      <c r="A731" s="181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</row>
    <row r="732">
      <c r="A732" s="181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</row>
    <row r="733">
      <c r="A733" s="181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</row>
    <row r="734">
      <c r="A734" s="181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</row>
    <row r="735">
      <c r="A735" s="181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</row>
    <row r="736">
      <c r="A736" s="181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</row>
    <row r="737">
      <c r="A737" s="181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</row>
    <row r="738">
      <c r="A738" s="181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</row>
    <row r="739">
      <c r="A739" s="181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</row>
    <row r="740">
      <c r="A740" s="181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</row>
    <row r="741">
      <c r="A741" s="181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</row>
    <row r="742">
      <c r="A742" s="181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</row>
    <row r="743">
      <c r="A743" s="181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</row>
    <row r="744">
      <c r="A744" s="181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</row>
    <row r="745">
      <c r="A745" s="181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</row>
    <row r="746">
      <c r="A746" s="181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</row>
    <row r="747">
      <c r="A747" s="181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</row>
    <row r="748">
      <c r="A748" s="181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</row>
    <row r="749">
      <c r="A749" s="181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</row>
    <row r="750">
      <c r="A750" s="181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</row>
    <row r="751">
      <c r="A751" s="181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</row>
    <row r="752">
      <c r="A752" s="181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</row>
    <row r="753">
      <c r="A753" s="181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</row>
    <row r="754">
      <c r="A754" s="181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</row>
    <row r="755">
      <c r="A755" s="181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</row>
    <row r="756">
      <c r="A756" s="181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</row>
    <row r="757">
      <c r="A757" s="181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</row>
    <row r="758">
      <c r="A758" s="181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</row>
    <row r="759">
      <c r="A759" s="181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</row>
    <row r="760">
      <c r="A760" s="181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</row>
    <row r="761">
      <c r="A761" s="181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</row>
    <row r="762">
      <c r="A762" s="181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</row>
    <row r="763">
      <c r="A763" s="181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</row>
    <row r="764">
      <c r="A764" s="181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</row>
    <row r="765">
      <c r="A765" s="181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</row>
    <row r="766">
      <c r="A766" s="181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</row>
    <row r="767">
      <c r="A767" s="181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</row>
    <row r="768">
      <c r="A768" s="181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</row>
    <row r="769">
      <c r="A769" s="181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</row>
    <row r="770">
      <c r="A770" s="181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</row>
    <row r="771">
      <c r="A771" s="181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</row>
    <row r="772">
      <c r="A772" s="181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</row>
    <row r="773">
      <c r="A773" s="181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</row>
    <row r="774">
      <c r="A774" s="181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</row>
    <row r="775">
      <c r="A775" s="181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</row>
    <row r="776">
      <c r="A776" s="181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</row>
    <row r="777">
      <c r="A777" s="181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</row>
    <row r="778">
      <c r="A778" s="181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</row>
    <row r="779">
      <c r="A779" s="181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</row>
    <row r="780">
      <c r="A780" s="181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</row>
    <row r="781">
      <c r="A781" s="181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</row>
    <row r="782">
      <c r="A782" s="181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</row>
    <row r="783">
      <c r="A783" s="181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</row>
    <row r="784">
      <c r="A784" s="181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</row>
    <row r="785">
      <c r="A785" s="181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</row>
    <row r="786">
      <c r="A786" s="181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</row>
    <row r="787">
      <c r="A787" s="181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</row>
    <row r="788">
      <c r="A788" s="181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</row>
    <row r="789">
      <c r="A789" s="181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</row>
    <row r="790">
      <c r="A790" s="181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</row>
    <row r="791">
      <c r="A791" s="181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</row>
    <row r="792">
      <c r="A792" s="181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</row>
    <row r="793">
      <c r="A793" s="181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</row>
    <row r="794">
      <c r="A794" s="181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</row>
    <row r="795">
      <c r="A795" s="181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</row>
    <row r="796">
      <c r="A796" s="181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</row>
    <row r="797">
      <c r="A797" s="181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</row>
    <row r="798">
      <c r="A798" s="181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</row>
    <row r="799">
      <c r="A799" s="181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</row>
    <row r="800">
      <c r="A800" s="181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</row>
    <row r="801">
      <c r="A801" s="181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</row>
    <row r="802">
      <c r="A802" s="181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</row>
    <row r="803">
      <c r="A803" s="181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</row>
    <row r="804">
      <c r="A804" s="181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</row>
    <row r="805">
      <c r="A805" s="181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</row>
    <row r="806">
      <c r="A806" s="181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</row>
    <row r="807">
      <c r="A807" s="181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</row>
    <row r="808">
      <c r="A808" s="181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</row>
    <row r="809">
      <c r="A809" s="181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</row>
    <row r="810">
      <c r="A810" s="181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</row>
    <row r="811">
      <c r="A811" s="181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</row>
    <row r="812">
      <c r="A812" s="181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</row>
    <row r="813">
      <c r="A813" s="181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</row>
    <row r="814">
      <c r="A814" s="181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</row>
    <row r="815">
      <c r="A815" s="181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</row>
    <row r="816">
      <c r="A816" s="181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</row>
    <row r="817">
      <c r="A817" s="181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</row>
    <row r="818">
      <c r="A818" s="181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</row>
    <row r="819">
      <c r="A819" s="181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</row>
    <row r="820">
      <c r="A820" s="181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</row>
    <row r="821">
      <c r="A821" s="181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</row>
    <row r="822">
      <c r="A822" s="181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</row>
    <row r="823">
      <c r="A823" s="181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</row>
    <row r="824">
      <c r="A824" s="181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</row>
    <row r="825">
      <c r="A825" s="181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</row>
    <row r="826">
      <c r="A826" s="181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</row>
    <row r="827">
      <c r="A827" s="181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</row>
    <row r="828">
      <c r="A828" s="181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</row>
    <row r="829">
      <c r="A829" s="181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</row>
    <row r="830">
      <c r="A830" s="181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</row>
    <row r="831">
      <c r="A831" s="181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</row>
    <row r="832">
      <c r="A832" s="181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</row>
    <row r="833">
      <c r="A833" s="181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</row>
    <row r="834">
      <c r="A834" s="181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</row>
    <row r="835">
      <c r="A835" s="181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</row>
    <row r="836">
      <c r="A836" s="181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</row>
    <row r="837">
      <c r="A837" s="181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</row>
    <row r="838">
      <c r="A838" s="181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</row>
    <row r="839">
      <c r="A839" s="181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</row>
    <row r="840">
      <c r="A840" s="181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</row>
    <row r="841">
      <c r="A841" s="181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</row>
    <row r="842">
      <c r="A842" s="181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</row>
    <row r="843">
      <c r="A843" s="181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</row>
    <row r="844">
      <c r="A844" s="181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</row>
    <row r="845">
      <c r="A845" s="181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</row>
    <row r="846">
      <c r="A846" s="181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</row>
    <row r="847">
      <c r="A847" s="181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</row>
    <row r="848">
      <c r="A848" s="181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</row>
    <row r="849">
      <c r="A849" s="181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</row>
    <row r="850">
      <c r="A850" s="181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</row>
    <row r="851">
      <c r="A851" s="181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</row>
    <row r="852">
      <c r="A852" s="181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</row>
    <row r="853">
      <c r="A853" s="181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</row>
    <row r="854">
      <c r="A854" s="181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</row>
    <row r="855">
      <c r="A855" s="181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</row>
    <row r="856">
      <c r="A856" s="181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</row>
    <row r="857">
      <c r="A857" s="181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</row>
    <row r="858">
      <c r="A858" s="181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</row>
    <row r="859">
      <c r="A859" s="181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</row>
    <row r="860">
      <c r="A860" s="181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</row>
    <row r="861">
      <c r="A861" s="181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</row>
    <row r="862">
      <c r="A862" s="181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</row>
    <row r="863">
      <c r="A863" s="181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</row>
    <row r="864">
      <c r="A864" s="181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</row>
    <row r="865">
      <c r="A865" s="181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</row>
    <row r="866">
      <c r="A866" s="181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</row>
    <row r="867">
      <c r="A867" s="181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</row>
    <row r="868">
      <c r="A868" s="181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</row>
    <row r="869">
      <c r="A869" s="181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</row>
    <row r="870">
      <c r="A870" s="181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</row>
    <row r="871">
      <c r="A871" s="181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</row>
    <row r="872">
      <c r="A872" s="181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</row>
    <row r="873">
      <c r="A873" s="181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</row>
    <row r="874">
      <c r="A874" s="181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</row>
    <row r="875">
      <c r="A875" s="181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</row>
    <row r="876">
      <c r="A876" s="181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</row>
    <row r="877">
      <c r="A877" s="181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</row>
    <row r="878">
      <c r="A878" s="181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</row>
    <row r="879">
      <c r="A879" s="181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</row>
    <row r="880">
      <c r="A880" s="181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</row>
    <row r="881">
      <c r="A881" s="181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</row>
    <row r="882">
      <c r="A882" s="181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</row>
    <row r="883">
      <c r="A883" s="181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</row>
    <row r="884">
      <c r="A884" s="181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</row>
    <row r="885">
      <c r="A885" s="181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</row>
    <row r="886">
      <c r="A886" s="181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</row>
    <row r="887">
      <c r="A887" s="181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</row>
    <row r="888">
      <c r="A888" s="181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</row>
    <row r="889">
      <c r="A889" s="181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</row>
    <row r="890">
      <c r="A890" s="181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</row>
    <row r="891">
      <c r="A891" s="181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</row>
    <row r="892">
      <c r="A892" s="181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</row>
    <row r="893">
      <c r="A893" s="181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</row>
    <row r="894">
      <c r="A894" s="181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</row>
    <row r="895">
      <c r="A895" s="181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</row>
    <row r="896">
      <c r="A896" s="181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</row>
    <row r="897">
      <c r="A897" s="181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</row>
    <row r="898">
      <c r="A898" s="181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</row>
    <row r="899">
      <c r="A899" s="181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</row>
    <row r="900">
      <c r="A900" s="181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</row>
    <row r="901">
      <c r="A901" s="181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</row>
    <row r="902">
      <c r="A902" s="181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</row>
    <row r="903">
      <c r="A903" s="181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</row>
    <row r="904">
      <c r="A904" s="181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</row>
    <row r="905">
      <c r="A905" s="181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</row>
    <row r="906">
      <c r="A906" s="181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</row>
    <row r="907">
      <c r="A907" s="181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</row>
    <row r="908">
      <c r="A908" s="181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</row>
    <row r="909">
      <c r="A909" s="181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</row>
    <row r="910">
      <c r="A910" s="181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</row>
    <row r="911">
      <c r="A911" s="181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</row>
    <row r="912">
      <c r="A912" s="181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</row>
    <row r="913">
      <c r="A913" s="181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</row>
    <row r="914">
      <c r="A914" s="181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</row>
    <row r="915">
      <c r="A915" s="181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</row>
    <row r="916">
      <c r="A916" s="181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</row>
    <row r="917">
      <c r="A917" s="181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</row>
    <row r="918">
      <c r="A918" s="181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</row>
    <row r="919">
      <c r="A919" s="181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</row>
    <row r="920">
      <c r="A920" s="181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</row>
    <row r="921">
      <c r="A921" s="181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</row>
    <row r="922">
      <c r="A922" s="181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</row>
    <row r="923">
      <c r="A923" s="181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</row>
    <row r="924">
      <c r="A924" s="181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</row>
    <row r="925">
      <c r="A925" s="181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</row>
    <row r="926">
      <c r="A926" s="181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</row>
    <row r="927">
      <c r="A927" s="181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</row>
    <row r="928">
      <c r="A928" s="181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</row>
    <row r="929">
      <c r="A929" s="181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</row>
    <row r="930">
      <c r="A930" s="181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</row>
    <row r="931">
      <c r="A931" s="181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</row>
    <row r="932">
      <c r="A932" s="181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</row>
    <row r="933">
      <c r="A933" s="181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</row>
    <row r="934">
      <c r="A934" s="181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</row>
    <row r="935">
      <c r="A935" s="181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</row>
    <row r="936">
      <c r="A936" s="181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</row>
    <row r="937">
      <c r="A937" s="181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</row>
    <row r="938">
      <c r="A938" s="181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</row>
    <row r="939">
      <c r="A939" s="181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</row>
    <row r="940">
      <c r="A940" s="181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</row>
    <row r="941">
      <c r="A941" s="181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</row>
    <row r="942">
      <c r="A942" s="181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</row>
    <row r="943">
      <c r="A943" s="181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</row>
    <row r="944">
      <c r="A944" s="181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</row>
    <row r="945">
      <c r="A945" s="181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</row>
    <row r="946">
      <c r="A946" s="181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</row>
    <row r="947">
      <c r="A947" s="181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</row>
    <row r="948">
      <c r="A948" s="181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</row>
    <row r="949">
      <c r="A949" s="181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</row>
    <row r="950">
      <c r="A950" s="181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</row>
    <row r="951">
      <c r="A951" s="181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</row>
    <row r="952">
      <c r="A952" s="181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</row>
    <row r="953">
      <c r="A953" s="181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</row>
    <row r="954">
      <c r="A954" s="181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</row>
    <row r="955">
      <c r="A955" s="181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</row>
    <row r="956">
      <c r="A956" s="181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</row>
    <row r="957">
      <c r="A957" s="181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</row>
    <row r="958">
      <c r="A958" s="181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</row>
    <row r="959">
      <c r="A959" s="181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</row>
    <row r="960">
      <c r="A960" s="181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</row>
    <row r="961">
      <c r="A961" s="181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</row>
    <row r="962">
      <c r="A962" s="181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</row>
    <row r="963">
      <c r="A963" s="181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</row>
    <row r="964">
      <c r="A964" s="181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</row>
    <row r="965">
      <c r="A965" s="181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</row>
    <row r="966">
      <c r="A966" s="181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</row>
    <row r="967">
      <c r="A967" s="181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</row>
    <row r="968">
      <c r="A968" s="181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</row>
    <row r="969">
      <c r="A969" s="181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</row>
    <row r="970">
      <c r="A970" s="181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</row>
    <row r="971">
      <c r="A971" s="181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</row>
    <row r="972">
      <c r="A972" s="181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</row>
    <row r="973">
      <c r="A973" s="181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</row>
    <row r="974">
      <c r="A974" s="181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</row>
    <row r="975">
      <c r="A975" s="181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</row>
    <row r="976">
      <c r="A976" s="181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</row>
    <row r="977">
      <c r="A977" s="181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</row>
    <row r="978">
      <c r="A978" s="181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</row>
    <row r="979">
      <c r="A979" s="181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</row>
    <row r="980">
      <c r="A980" s="181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</row>
    <row r="981">
      <c r="A981" s="181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</row>
    <row r="982">
      <c r="A982" s="181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</row>
    <row r="983">
      <c r="A983" s="181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</row>
    <row r="984">
      <c r="A984" s="181"/>
      <c r="B984" s="180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</row>
    <row r="985">
      <c r="A985" s="181"/>
      <c r="B985" s="180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</row>
    <row r="986">
      <c r="A986" s="181"/>
      <c r="B986" s="180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</row>
    <row r="987">
      <c r="A987" s="181"/>
      <c r="B987" s="180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</row>
    <row r="988">
      <c r="A988" s="181"/>
      <c r="B988" s="180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</row>
    <row r="989">
      <c r="A989" s="181"/>
      <c r="B989" s="180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</row>
    <row r="990">
      <c r="A990" s="181"/>
      <c r="B990" s="180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</row>
    <row r="991">
      <c r="A991" s="181"/>
      <c r="B991" s="180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</row>
    <row r="992">
      <c r="A992" s="181"/>
      <c r="B992" s="180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</row>
    <row r="993">
      <c r="A993" s="181"/>
      <c r="B993" s="180"/>
      <c r="C993" s="180"/>
      <c r="D993" s="180"/>
      <c r="E993" s="180"/>
      <c r="F993" s="180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</row>
    <row r="994">
      <c r="A994" s="181"/>
      <c r="B994" s="180"/>
      <c r="C994" s="180"/>
      <c r="D994" s="180"/>
      <c r="E994" s="180"/>
      <c r="F994" s="180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</row>
  </sheetData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8" max="8" width="7.75"/>
    <col customWidth="1" min="9" max="9" width="8.5"/>
    <col customWidth="1" min="10" max="10" width="7.5"/>
  </cols>
  <sheetData>
    <row r="1">
      <c r="A1" s="218" t="s">
        <v>116</v>
      </c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</row>
    <row r="2">
      <c r="A2" s="218" t="s">
        <v>781</v>
      </c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</row>
    <row r="3">
      <c r="A3" s="218" t="s">
        <v>499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</row>
    <row r="4">
      <c r="A4" s="218" t="s">
        <v>459</v>
      </c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</row>
    <row r="5">
      <c r="A5" s="218" t="s">
        <v>782</v>
      </c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</row>
    <row r="6">
      <c r="A6" s="218" t="s">
        <v>783</v>
      </c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</row>
    <row r="7">
      <c r="A7" s="218" t="s">
        <v>784</v>
      </c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  <c r="P7" s="329"/>
    </row>
    <row r="8">
      <c r="A8" s="218" t="s">
        <v>785</v>
      </c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</row>
    <row r="9">
      <c r="A9" s="218" t="s">
        <v>786</v>
      </c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</row>
    <row r="10">
      <c r="A10" s="218" t="s">
        <v>787</v>
      </c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</row>
    <row r="11"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</row>
    <row r="12"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</row>
    <row r="13">
      <c r="E13" s="329"/>
      <c r="F13" s="329"/>
      <c r="G13" s="329"/>
      <c r="H13" s="329"/>
      <c r="I13" s="329"/>
      <c r="J13" s="329"/>
      <c r="K13" s="329"/>
      <c r="L13" s="329"/>
      <c r="M13" s="329"/>
      <c r="N13" s="329"/>
      <c r="O13" s="329"/>
      <c r="P13" s="329"/>
    </row>
    <row r="14"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</row>
    <row r="15">
      <c r="E15" s="329"/>
      <c r="F15" s="329"/>
      <c r="G15" s="329"/>
      <c r="H15" s="329"/>
      <c r="I15" s="329"/>
      <c r="J15" s="329"/>
      <c r="K15" s="329"/>
      <c r="L15" s="329"/>
      <c r="M15" s="329"/>
      <c r="N15" s="329"/>
      <c r="O15" s="329"/>
      <c r="P15" s="329"/>
    </row>
    <row r="16"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</row>
    <row r="17"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</row>
    <row r="18"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</row>
    <row r="19"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</row>
    <row r="20">
      <c r="E20" s="329"/>
      <c r="F20" s="329"/>
      <c r="G20" s="329"/>
      <c r="H20" s="329"/>
      <c r="I20" s="329"/>
      <c r="J20" s="329"/>
      <c r="K20" s="329"/>
      <c r="L20" s="329"/>
      <c r="M20" s="329"/>
      <c r="N20" s="329"/>
      <c r="O20" s="329"/>
      <c r="P20" s="329"/>
    </row>
    <row r="21"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</row>
    <row r="22"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</row>
    <row r="23"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</row>
    <row r="24"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</row>
    <row r="25">
      <c r="E25" s="329"/>
      <c r="F25" s="329"/>
      <c r="G25" s="329"/>
      <c r="H25" s="329"/>
      <c r="I25" s="329"/>
      <c r="J25" s="329"/>
      <c r="K25" s="329"/>
      <c r="L25" s="329"/>
      <c r="M25" s="329"/>
      <c r="N25" s="329"/>
      <c r="O25" s="329"/>
      <c r="P25" s="329"/>
    </row>
    <row r="26"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</row>
    <row r="27"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</row>
    <row r="28"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</row>
    <row r="29"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</row>
    <row r="30"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</row>
    <row r="31"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</row>
    <row r="32"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</row>
    <row r="33"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</row>
    <row r="34">
      <c r="E34" s="329"/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</row>
    <row r="35"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</row>
    <row r="36"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</row>
    <row r="37">
      <c r="E37" s="329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329"/>
    </row>
    <row r="38"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</row>
    <row r="39"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</row>
    <row r="40"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</row>
    <row r="41"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</row>
    <row r="42"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</row>
    <row r="43"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</row>
    <row r="44">
      <c r="E44" s="329"/>
      <c r="F44" s="329"/>
      <c r="G44" s="329"/>
      <c r="H44" s="329"/>
      <c r="I44" s="329"/>
      <c r="J44" s="329"/>
      <c r="K44" s="329"/>
      <c r="L44" s="329"/>
      <c r="M44" s="329"/>
      <c r="N44" s="329"/>
      <c r="O44" s="329"/>
      <c r="P44" s="329"/>
    </row>
    <row r="45"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</row>
    <row r="46"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</row>
    <row r="47"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</row>
    <row r="48"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</row>
    <row r="49"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</row>
    <row r="50">
      <c r="E50" s="329"/>
      <c r="F50" s="329"/>
      <c r="G50" s="329"/>
      <c r="H50" s="329"/>
      <c r="I50" s="329"/>
      <c r="J50" s="329"/>
      <c r="K50" s="329"/>
      <c r="L50" s="329"/>
      <c r="M50" s="329"/>
      <c r="N50" s="329"/>
      <c r="O50" s="329"/>
      <c r="P50" s="329"/>
    </row>
    <row r="51"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</row>
    <row r="52">
      <c r="E52" s="329"/>
      <c r="F52" s="329"/>
      <c r="G52" s="329"/>
      <c r="H52" s="329"/>
      <c r="I52" s="329"/>
      <c r="J52" s="329"/>
      <c r="K52" s="329"/>
      <c r="L52" s="329"/>
      <c r="M52" s="329"/>
      <c r="N52" s="329"/>
      <c r="O52" s="329"/>
      <c r="P52" s="329"/>
    </row>
    <row r="53">
      <c r="E53" s="329"/>
      <c r="F53" s="329"/>
      <c r="G53" s="329"/>
      <c r="H53" s="329"/>
      <c r="I53" s="329"/>
      <c r="J53" s="329"/>
      <c r="K53" s="329"/>
      <c r="L53" s="329"/>
      <c r="M53" s="329"/>
      <c r="N53" s="329"/>
      <c r="O53" s="329"/>
      <c r="P53" s="329"/>
    </row>
    <row r="54">
      <c r="E54" s="329"/>
      <c r="F54" s="329"/>
      <c r="G54" s="329"/>
      <c r="H54" s="329"/>
      <c r="I54" s="329"/>
      <c r="J54" s="329"/>
      <c r="K54" s="329"/>
      <c r="L54" s="329"/>
      <c r="M54" s="329"/>
      <c r="N54" s="329"/>
      <c r="O54" s="329"/>
      <c r="P54" s="329"/>
    </row>
    <row r="55">
      <c r="E55" s="329"/>
      <c r="F55" s="329"/>
      <c r="G55" s="329"/>
      <c r="H55" s="329"/>
      <c r="I55" s="329"/>
      <c r="J55" s="329"/>
      <c r="K55" s="329"/>
      <c r="L55" s="329"/>
      <c r="M55" s="329"/>
      <c r="N55" s="329"/>
      <c r="O55" s="329"/>
      <c r="P55" s="329"/>
    </row>
    <row r="56">
      <c r="E56" s="329"/>
      <c r="F56" s="329"/>
      <c r="G56" s="329"/>
      <c r="H56" s="329"/>
      <c r="I56" s="329"/>
      <c r="J56" s="329"/>
      <c r="K56" s="329"/>
      <c r="L56" s="329"/>
      <c r="M56" s="329"/>
      <c r="N56" s="329"/>
      <c r="O56" s="329"/>
      <c r="P56" s="329"/>
    </row>
    <row r="57">
      <c r="E57" s="329"/>
      <c r="F57" s="329"/>
      <c r="G57" s="329"/>
      <c r="H57" s="329"/>
      <c r="I57" s="329"/>
      <c r="J57" s="329"/>
      <c r="K57" s="329"/>
      <c r="L57" s="329"/>
      <c r="M57" s="329"/>
      <c r="N57" s="329"/>
      <c r="O57" s="329"/>
      <c r="P57" s="329"/>
    </row>
    <row r="58">
      <c r="E58" s="329"/>
      <c r="F58" s="329"/>
      <c r="G58" s="329"/>
      <c r="H58" s="329"/>
      <c r="I58" s="329"/>
      <c r="J58" s="329"/>
      <c r="K58" s="329"/>
      <c r="L58" s="329"/>
      <c r="M58" s="329"/>
      <c r="N58" s="329"/>
      <c r="O58" s="329"/>
      <c r="P58" s="329"/>
    </row>
    <row r="59">
      <c r="E59" s="329"/>
      <c r="F59" s="329"/>
      <c r="G59" s="329"/>
      <c r="H59" s="329"/>
      <c r="I59" s="329"/>
      <c r="J59" s="329"/>
      <c r="K59" s="329"/>
      <c r="L59" s="329"/>
      <c r="M59" s="329"/>
      <c r="N59" s="329"/>
      <c r="O59" s="329"/>
      <c r="P59" s="329"/>
    </row>
    <row r="60"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</row>
    <row r="61">
      <c r="E61" s="329"/>
      <c r="F61" s="329"/>
      <c r="G61" s="329"/>
      <c r="H61" s="329"/>
      <c r="I61" s="329"/>
      <c r="J61" s="329"/>
      <c r="K61" s="329"/>
      <c r="L61" s="329"/>
      <c r="M61" s="329"/>
      <c r="N61" s="329"/>
      <c r="O61" s="329"/>
      <c r="P61" s="329"/>
    </row>
    <row r="62">
      <c r="E62" s="329"/>
      <c r="F62" s="329"/>
      <c r="G62" s="329"/>
      <c r="H62" s="329"/>
      <c r="I62" s="329"/>
      <c r="J62" s="329"/>
      <c r="K62" s="329"/>
      <c r="L62" s="329"/>
      <c r="M62" s="329"/>
      <c r="N62" s="329"/>
      <c r="O62" s="329"/>
      <c r="P62" s="329"/>
    </row>
    <row r="63">
      <c r="E63" s="329"/>
      <c r="F63" s="329"/>
      <c r="G63" s="329"/>
      <c r="H63" s="329"/>
      <c r="I63" s="329"/>
      <c r="J63" s="329"/>
      <c r="K63" s="329"/>
      <c r="L63" s="329"/>
      <c r="M63" s="329"/>
      <c r="N63" s="329"/>
      <c r="O63" s="329"/>
      <c r="P63" s="329"/>
    </row>
    <row r="64">
      <c r="E64" s="329"/>
      <c r="F64" s="329"/>
      <c r="G64" s="329"/>
      <c r="H64" s="329"/>
      <c r="I64" s="329"/>
      <c r="J64" s="329"/>
      <c r="K64" s="329"/>
      <c r="L64" s="329"/>
      <c r="M64" s="329"/>
      <c r="N64" s="329"/>
      <c r="O64" s="329"/>
      <c r="P64" s="329"/>
    </row>
    <row r="65">
      <c r="E65" s="329"/>
      <c r="F65" s="329"/>
      <c r="G65" s="329"/>
      <c r="H65" s="329"/>
      <c r="I65" s="329"/>
      <c r="J65" s="329"/>
      <c r="K65" s="329"/>
      <c r="L65" s="329"/>
      <c r="M65" s="329"/>
      <c r="N65" s="329"/>
      <c r="O65" s="329"/>
      <c r="P65" s="329"/>
    </row>
    <row r="66">
      <c r="E66" s="329"/>
      <c r="F66" s="329"/>
      <c r="G66" s="329"/>
      <c r="H66" s="329"/>
      <c r="I66" s="329"/>
      <c r="J66" s="329"/>
      <c r="K66" s="329"/>
      <c r="L66" s="329"/>
      <c r="M66" s="329"/>
      <c r="N66" s="329"/>
      <c r="O66" s="329"/>
      <c r="P66" s="329"/>
    </row>
    <row r="67">
      <c r="E67" s="329"/>
      <c r="F67" s="329"/>
      <c r="G67" s="329"/>
      <c r="H67" s="329"/>
      <c r="I67" s="329"/>
      <c r="J67" s="329"/>
      <c r="K67" s="329"/>
      <c r="L67" s="329"/>
      <c r="M67" s="329"/>
      <c r="N67" s="329"/>
      <c r="O67" s="329"/>
      <c r="P67" s="329"/>
    </row>
    <row r="68">
      <c r="E68" s="329"/>
      <c r="F68" s="329"/>
      <c r="G68" s="329"/>
      <c r="H68" s="329"/>
      <c r="I68" s="329"/>
      <c r="J68" s="329"/>
      <c r="K68" s="329"/>
      <c r="L68" s="329"/>
      <c r="M68" s="329"/>
      <c r="N68" s="329"/>
      <c r="O68" s="329"/>
      <c r="P68" s="329"/>
    </row>
    <row r="69">
      <c r="E69" s="329"/>
      <c r="F69" s="329"/>
      <c r="G69" s="329"/>
      <c r="H69" s="329"/>
      <c r="I69" s="329"/>
      <c r="J69" s="329"/>
      <c r="K69" s="329"/>
      <c r="L69" s="329"/>
      <c r="M69" s="329"/>
      <c r="N69" s="329"/>
      <c r="O69" s="329"/>
      <c r="P69" s="329"/>
    </row>
    <row r="70">
      <c r="E70" s="329"/>
      <c r="F70" s="329"/>
      <c r="G70" s="329"/>
      <c r="H70" s="329"/>
      <c r="I70" s="329"/>
      <c r="J70" s="329"/>
      <c r="K70" s="329"/>
      <c r="L70" s="329"/>
      <c r="M70" s="329"/>
      <c r="N70" s="329"/>
      <c r="O70" s="329"/>
      <c r="P70" s="329"/>
    </row>
    <row r="71">
      <c r="E71" s="329"/>
      <c r="F71" s="329"/>
      <c r="G71" s="329"/>
      <c r="H71" s="329"/>
      <c r="I71" s="329"/>
      <c r="J71" s="329"/>
      <c r="K71" s="329"/>
      <c r="L71" s="329"/>
      <c r="M71" s="329"/>
      <c r="N71" s="329"/>
      <c r="O71" s="329"/>
      <c r="P71" s="329"/>
    </row>
    <row r="72">
      <c r="E72" s="329"/>
      <c r="F72" s="329"/>
      <c r="G72" s="329"/>
      <c r="H72" s="329"/>
      <c r="I72" s="329"/>
      <c r="J72" s="329"/>
      <c r="K72" s="329"/>
      <c r="L72" s="329"/>
      <c r="M72" s="329"/>
      <c r="N72" s="329"/>
      <c r="O72" s="329"/>
      <c r="P72" s="329"/>
    </row>
    <row r="73">
      <c r="E73" s="329"/>
      <c r="F73" s="329"/>
      <c r="G73" s="329"/>
      <c r="H73" s="329"/>
      <c r="I73" s="329"/>
      <c r="J73" s="329"/>
      <c r="K73" s="329"/>
      <c r="L73" s="329"/>
      <c r="M73" s="329"/>
      <c r="N73" s="329"/>
      <c r="O73" s="329"/>
      <c r="P73" s="329"/>
    </row>
    <row r="74">
      <c r="E74" s="329"/>
      <c r="F74" s="329"/>
      <c r="G74" s="329"/>
      <c r="H74" s="329"/>
      <c r="I74" s="329"/>
      <c r="J74" s="329"/>
      <c r="K74" s="329"/>
      <c r="L74" s="329"/>
      <c r="M74" s="329"/>
      <c r="N74" s="329"/>
      <c r="O74" s="329"/>
      <c r="P74" s="329"/>
    </row>
    <row r="75">
      <c r="E75" s="329"/>
      <c r="F75" s="329"/>
      <c r="G75" s="329"/>
      <c r="H75" s="329"/>
      <c r="I75" s="329"/>
      <c r="J75" s="329"/>
      <c r="K75" s="329"/>
      <c r="L75" s="329"/>
      <c r="M75" s="329"/>
      <c r="N75" s="329"/>
      <c r="O75" s="329"/>
      <c r="P75" s="329"/>
    </row>
    <row r="76">
      <c r="E76" s="329"/>
      <c r="F76" s="329"/>
      <c r="G76" s="329"/>
      <c r="H76" s="329"/>
      <c r="I76" s="329"/>
      <c r="J76" s="329"/>
      <c r="K76" s="329"/>
      <c r="L76" s="329"/>
      <c r="M76" s="329"/>
      <c r="N76" s="329"/>
      <c r="O76" s="329"/>
      <c r="P76" s="329"/>
    </row>
    <row r="77">
      <c r="E77" s="329"/>
      <c r="F77" s="329"/>
      <c r="G77" s="329"/>
      <c r="H77" s="329"/>
      <c r="I77" s="329"/>
      <c r="J77" s="329"/>
      <c r="K77" s="329"/>
      <c r="L77" s="329"/>
      <c r="M77" s="329"/>
      <c r="N77" s="329"/>
      <c r="O77" s="329"/>
      <c r="P77" s="329"/>
    </row>
    <row r="78">
      <c r="E78" s="329"/>
      <c r="F78" s="329"/>
      <c r="G78" s="329"/>
      <c r="H78" s="329"/>
      <c r="I78" s="329"/>
      <c r="J78" s="329"/>
      <c r="K78" s="329"/>
      <c r="L78" s="329"/>
      <c r="M78" s="329"/>
      <c r="N78" s="329"/>
      <c r="O78" s="329"/>
      <c r="P78" s="329"/>
    </row>
    <row r="79"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329"/>
      <c r="P79" s="329"/>
    </row>
    <row r="80">
      <c r="E80" s="329"/>
      <c r="F80" s="329"/>
      <c r="G80" s="329"/>
      <c r="H80" s="329"/>
      <c r="I80" s="329"/>
      <c r="J80" s="329"/>
      <c r="K80" s="329"/>
      <c r="L80" s="329"/>
      <c r="M80" s="329"/>
      <c r="N80" s="329"/>
      <c r="O80" s="329"/>
      <c r="P80" s="329"/>
    </row>
    <row r="81">
      <c r="E81" s="329"/>
      <c r="F81" s="329"/>
      <c r="G81" s="329"/>
      <c r="H81" s="329"/>
      <c r="I81" s="329"/>
      <c r="J81" s="329"/>
      <c r="K81" s="329"/>
      <c r="L81" s="329"/>
      <c r="M81" s="329"/>
      <c r="N81" s="329"/>
      <c r="O81" s="329"/>
      <c r="P81" s="329"/>
    </row>
    <row r="82">
      <c r="E82" s="329"/>
      <c r="F82" s="329"/>
      <c r="G82" s="329"/>
      <c r="H82" s="329"/>
      <c r="I82" s="329"/>
      <c r="J82" s="329"/>
      <c r="K82" s="329"/>
      <c r="L82" s="329"/>
      <c r="M82" s="329"/>
      <c r="N82" s="329"/>
      <c r="O82" s="329"/>
      <c r="P82" s="329"/>
    </row>
    <row r="83">
      <c r="E83" s="329"/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329"/>
    </row>
    <row r="84">
      <c r="E84" s="329"/>
      <c r="F84" s="329"/>
      <c r="G84" s="329"/>
      <c r="H84" s="329"/>
      <c r="I84" s="329"/>
      <c r="J84" s="329"/>
      <c r="K84" s="329"/>
      <c r="L84" s="329"/>
      <c r="M84" s="329"/>
      <c r="N84" s="329"/>
      <c r="O84" s="329"/>
      <c r="P84" s="329"/>
    </row>
    <row r="85">
      <c r="E85" s="329"/>
      <c r="F85" s="329"/>
      <c r="G85" s="329"/>
      <c r="H85" s="329"/>
      <c r="I85" s="329"/>
      <c r="J85" s="329"/>
      <c r="K85" s="329"/>
      <c r="L85" s="329"/>
      <c r="M85" s="329"/>
      <c r="N85" s="329"/>
      <c r="O85" s="329"/>
      <c r="P85" s="329"/>
    </row>
    <row r="86">
      <c r="E86" s="329"/>
      <c r="F86" s="329"/>
      <c r="G86" s="329"/>
      <c r="H86" s="329"/>
      <c r="I86" s="329"/>
      <c r="J86" s="329"/>
      <c r="K86" s="329"/>
      <c r="L86" s="329"/>
      <c r="M86" s="329"/>
      <c r="N86" s="329"/>
      <c r="O86" s="329"/>
      <c r="P86" s="329"/>
    </row>
    <row r="87"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</row>
    <row r="88">
      <c r="E88" s="329"/>
      <c r="F88" s="329"/>
      <c r="G88" s="329"/>
      <c r="H88" s="329"/>
      <c r="I88" s="329"/>
      <c r="J88" s="329"/>
      <c r="K88" s="329"/>
      <c r="L88" s="329"/>
      <c r="M88" s="329"/>
      <c r="N88" s="329"/>
      <c r="O88" s="329"/>
      <c r="P88" s="329"/>
    </row>
    <row r="89"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</row>
    <row r="90">
      <c r="E90" s="329"/>
      <c r="F90" s="329"/>
      <c r="G90" s="329"/>
      <c r="H90" s="329"/>
      <c r="I90" s="329"/>
      <c r="J90" s="329"/>
      <c r="K90" s="329"/>
      <c r="L90" s="329"/>
      <c r="M90" s="329"/>
      <c r="N90" s="329"/>
      <c r="O90" s="329"/>
      <c r="P90" s="329"/>
    </row>
    <row r="91">
      <c r="E91" s="329"/>
      <c r="F91" s="329"/>
      <c r="G91" s="329"/>
      <c r="H91" s="329"/>
      <c r="I91" s="329"/>
      <c r="J91" s="329"/>
      <c r="K91" s="329"/>
      <c r="L91" s="329"/>
      <c r="M91" s="329"/>
      <c r="N91" s="329"/>
      <c r="O91" s="329"/>
      <c r="P91" s="329"/>
    </row>
    <row r="92">
      <c r="E92" s="329"/>
      <c r="F92" s="329"/>
      <c r="G92" s="329"/>
      <c r="H92" s="329"/>
      <c r="I92" s="329"/>
      <c r="J92" s="329"/>
      <c r="K92" s="329"/>
      <c r="L92" s="329"/>
      <c r="M92" s="329"/>
      <c r="N92" s="329"/>
      <c r="O92" s="329"/>
      <c r="P92" s="329"/>
    </row>
    <row r="93">
      <c r="E93" s="329"/>
      <c r="F93" s="329"/>
      <c r="G93" s="329"/>
      <c r="H93" s="329"/>
      <c r="I93" s="329"/>
      <c r="J93" s="329"/>
      <c r="K93" s="329"/>
      <c r="L93" s="329"/>
      <c r="M93" s="329"/>
      <c r="N93" s="329"/>
      <c r="O93" s="329"/>
      <c r="P93" s="329"/>
    </row>
    <row r="94">
      <c r="E94" s="329"/>
      <c r="F94" s="329"/>
      <c r="G94" s="329"/>
      <c r="H94" s="329"/>
      <c r="I94" s="329"/>
      <c r="J94" s="329"/>
      <c r="K94" s="329"/>
      <c r="L94" s="329"/>
      <c r="M94" s="329"/>
      <c r="N94" s="329"/>
      <c r="O94" s="329"/>
      <c r="P94" s="329"/>
    </row>
    <row r="95">
      <c r="E95" s="329"/>
      <c r="F95" s="329"/>
      <c r="G95" s="329"/>
      <c r="H95" s="329"/>
      <c r="I95" s="329"/>
      <c r="J95" s="329"/>
      <c r="K95" s="329"/>
      <c r="L95" s="329"/>
      <c r="M95" s="329"/>
      <c r="N95" s="329"/>
      <c r="O95" s="329"/>
      <c r="P95" s="329"/>
    </row>
    <row r="96">
      <c r="E96" s="329"/>
      <c r="F96" s="329"/>
      <c r="G96" s="329"/>
      <c r="H96" s="329"/>
      <c r="I96" s="329"/>
      <c r="J96" s="329"/>
      <c r="K96" s="329"/>
      <c r="L96" s="329"/>
      <c r="M96" s="329"/>
      <c r="N96" s="329"/>
      <c r="O96" s="329"/>
      <c r="P96" s="329"/>
    </row>
    <row r="97">
      <c r="E97" s="329"/>
      <c r="F97" s="329"/>
      <c r="G97" s="329"/>
      <c r="H97" s="329"/>
      <c r="I97" s="329"/>
      <c r="J97" s="329"/>
      <c r="K97" s="329"/>
      <c r="L97" s="329"/>
      <c r="M97" s="329"/>
      <c r="N97" s="329"/>
      <c r="O97" s="329"/>
      <c r="P97" s="329"/>
    </row>
    <row r="98">
      <c r="E98" s="329"/>
      <c r="F98" s="329"/>
      <c r="G98" s="329"/>
      <c r="H98" s="329"/>
      <c r="I98" s="329"/>
      <c r="J98" s="329"/>
      <c r="K98" s="329"/>
      <c r="L98" s="329"/>
      <c r="M98" s="329"/>
      <c r="N98" s="329"/>
      <c r="O98" s="329"/>
      <c r="P98" s="329"/>
    </row>
    <row r="99">
      <c r="E99" s="329"/>
      <c r="F99" s="329"/>
      <c r="G99" s="329"/>
      <c r="H99" s="329"/>
      <c r="I99" s="329"/>
      <c r="J99" s="329"/>
      <c r="K99" s="329"/>
      <c r="L99" s="329"/>
      <c r="M99" s="329"/>
      <c r="N99" s="329"/>
      <c r="O99" s="329"/>
      <c r="P99" s="329"/>
    </row>
    <row r="100">
      <c r="E100" s="329"/>
      <c r="F100" s="329"/>
      <c r="G100" s="329"/>
      <c r="H100" s="329"/>
      <c r="I100" s="329"/>
      <c r="J100" s="329"/>
      <c r="K100" s="329"/>
      <c r="L100" s="329"/>
      <c r="M100" s="329"/>
      <c r="N100" s="329"/>
      <c r="O100" s="329"/>
      <c r="P100" s="329"/>
    </row>
    <row r="101">
      <c r="E101" s="329"/>
      <c r="F101" s="329"/>
      <c r="G101" s="329"/>
      <c r="H101" s="329"/>
      <c r="I101" s="329"/>
      <c r="J101" s="329"/>
      <c r="K101" s="329"/>
      <c r="L101" s="329"/>
      <c r="M101" s="329"/>
      <c r="N101" s="329"/>
      <c r="O101" s="329"/>
      <c r="P101" s="329"/>
    </row>
    <row r="102">
      <c r="E102" s="329"/>
      <c r="F102" s="329"/>
      <c r="G102" s="329"/>
      <c r="H102" s="329"/>
      <c r="I102" s="329"/>
      <c r="J102" s="329"/>
      <c r="K102" s="329"/>
      <c r="L102" s="329"/>
      <c r="M102" s="329"/>
      <c r="N102" s="329"/>
      <c r="O102" s="329"/>
      <c r="P102" s="329"/>
    </row>
    <row r="103">
      <c r="E103" s="329"/>
      <c r="F103" s="329"/>
      <c r="G103" s="329"/>
      <c r="H103" s="329"/>
      <c r="I103" s="329"/>
      <c r="J103" s="329"/>
      <c r="K103" s="329"/>
      <c r="L103" s="329"/>
      <c r="M103" s="329"/>
      <c r="N103" s="329"/>
      <c r="O103" s="329"/>
      <c r="P103" s="329"/>
    </row>
    <row r="104"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</row>
    <row r="105">
      <c r="E105" s="329"/>
      <c r="F105" s="329"/>
      <c r="G105" s="329"/>
      <c r="H105" s="329"/>
      <c r="I105" s="329"/>
      <c r="J105" s="329"/>
      <c r="K105" s="329"/>
      <c r="L105" s="329"/>
      <c r="M105" s="329"/>
      <c r="N105" s="329"/>
      <c r="O105" s="329"/>
      <c r="P105" s="329"/>
    </row>
    <row r="106">
      <c r="E106" s="329"/>
      <c r="F106" s="329"/>
      <c r="G106" s="329"/>
      <c r="H106" s="329"/>
      <c r="I106" s="329"/>
      <c r="J106" s="329"/>
      <c r="K106" s="329"/>
      <c r="L106" s="329"/>
      <c r="M106" s="329"/>
      <c r="N106" s="329"/>
      <c r="O106" s="329"/>
      <c r="P106" s="329"/>
    </row>
    <row r="107">
      <c r="E107" s="329"/>
      <c r="F107" s="329"/>
      <c r="G107" s="329"/>
      <c r="H107" s="329"/>
      <c r="I107" s="329"/>
      <c r="J107" s="329"/>
      <c r="K107" s="329"/>
      <c r="L107" s="329"/>
      <c r="M107" s="329"/>
      <c r="N107" s="329"/>
      <c r="O107" s="329"/>
      <c r="P107" s="329"/>
    </row>
    <row r="108">
      <c r="E108" s="329"/>
      <c r="F108" s="329"/>
      <c r="G108" s="329"/>
      <c r="H108" s="329"/>
      <c r="I108" s="329"/>
      <c r="J108" s="329"/>
      <c r="K108" s="329"/>
      <c r="L108" s="329"/>
      <c r="M108" s="329"/>
      <c r="N108" s="329"/>
      <c r="O108" s="329"/>
      <c r="P108" s="329"/>
    </row>
    <row r="109">
      <c r="E109" s="329"/>
      <c r="F109" s="329"/>
      <c r="G109" s="329"/>
      <c r="H109" s="329"/>
      <c r="I109" s="329"/>
      <c r="J109" s="329"/>
      <c r="K109" s="329"/>
      <c r="L109" s="329"/>
      <c r="M109" s="329"/>
      <c r="N109" s="329"/>
      <c r="O109" s="329"/>
      <c r="P109" s="329"/>
    </row>
    <row r="110">
      <c r="E110" s="329"/>
      <c r="F110" s="329"/>
      <c r="G110" s="329"/>
      <c r="H110" s="329"/>
      <c r="I110" s="329"/>
      <c r="J110" s="329"/>
      <c r="K110" s="329"/>
      <c r="L110" s="329"/>
      <c r="M110" s="329"/>
      <c r="N110" s="329"/>
      <c r="O110" s="329"/>
      <c r="P110" s="329"/>
    </row>
    <row r="111"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</row>
    <row r="112">
      <c r="E112" s="329"/>
      <c r="F112" s="329"/>
      <c r="G112" s="329"/>
      <c r="H112" s="329"/>
      <c r="I112" s="329"/>
      <c r="J112" s="329"/>
      <c r="K112" s="329"/>
      <c r="L112" s="329"/>
      <c r="M112" s="329"/>
      <c r="N112" s="329"/>
      <c r="O112" s="329"/>
      <c r="P112" s="329"/>
    </row>
    <row r="113">
      <c r="E113" s="329"/>
      <c r="F113" s="329"/>
      <c r="G113" s="329"/>
      <c r="H113" s="329"/>
      <c r="I113" s="329"/>
      <c r="J113" s="329"/>
      <c r="K113" s="329"/>
      <c r="L113" s="329"/>
      <c r="M113" s="329"/>
      <c r="N113" s="329"/>
      <c r="O113" s="329"/>
      <c r="P113" s="329"/>
    </row>
    <row r="114">
      <c r="E114" s="329"/>
      <c r="F114" s="329"/>
      <c r="G114" s="329"/>
      <c r="H114" s="329"/>
      <c r="I114" s="329"/>
      <c r="J114" s="329"/>
      <c r="K114" s="329"/>
      <c r="L114" s="329"/>
      <c r="M114" s="329"/>
      <c r="N114" s="329"/>
      <c r="O114" s="329"/>
      <c r="P114" s="329"/>
    </row>
    <row r="115">
      <c r="E115" s="329"/>
      <c r="F115" s="329"/>
      <c r="G115" s="329"/>
      <c r="H115" s="329"/>
      <c r="I115" s="329"/>
      <c r="J115" s="329"/>
      <c r="K115" s="329"/>
      <c r="L115" s="329"/>
      <c r="M115" s="329"/>
      <c r="N115" s="329"/>
      <c r="O115" s="329"/>
      <c r="P115" s="329"/>
    </row>
    <row r="116">
      <c r="E116" s="329"/>
      <c r="F116" s="329"/>
      <c r="G116" s="329"/>
      <c r="H116" s="329"/>
      <c r="I116" s="329"/>
      <c r="J116" s="329"/>
      <c r="K116" s="329"/>
      <c r="L116" s="329"/>
      <c r="M116" s="329"/>
      <c r="N116" s="329"/>
      <c r="O116" s="329"/>
      <c r="P116" s="329"/>
    </row>
    <row r="117">
      <c r="E117" s="329"/>
      <c r="F117" s="329"/>
      <c r="G117" s="329"/>
      <c r="H117" s="329"/>
      <c r="I117" s="329"/>
      <c r="J117" s="329"/>
      <c r="K117" s="329"/>
      <c r="L117" s="329"/>
      <c r="M117" s="329"/>
      <c r="N117" s="329"/>
      <c r="O117" s="329"/>
      <c r="P117" s="329"/>
    </row>
    <row r="118">
      <c r="E118" s="329"/>
      <c r="F118" s="329"/>
      <c r="G118" s="329"/>
      <c r="H118" s="329"/>
      <c r="I118" s="329"/>
      <c r="J118" s="329"/>
      <c r="K118" s="329"/>
      <c r="L118" s="329"/>
      <c r="M118" s="329"/>
      <c r="N118" s="329"/>
      <c r="O118" s="329"/>
      <c r="P118" s="329"/>
    </row>
    <row r="119">
      <c r="E119" s="329"/>
      <c r="F119" s="329"/>
      <c r="G119" s="329"/>
      <c r="H119" s="329"/>
      <c r="I119" s="329"/>
      <c r="J119" s="329"/>
      <c r="K119" s="329"/>
      <c r="L119" s="329"/>
      <c r="M119" s="329"/>
      <c r="N119" s="329"/>
      <c r="O119" s="329"/>
      <c r="P119" s="329"/>
    </row>
    <row r="120"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329"/>
      <c r="P120" s="329"/>
    </row>
    <row r="121"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</row>
    <row r="122">
      <c r="E122" s="329"/>
      <c r="F122" s="329"/>
      <c r="G122" s="329"/>
      <c r="H122" s="329"/>
      <c r="I122" s="329"/>
      <c r="J122" s="329"/>
      <c r="K122" s="329"/>
      <c r="L122" s="329"/>
      <c r="M122" s="329"/>
      <c r="N122" s="329"/>
      <c r="O122" s="329"/>
      <c r="P122" s="329"/>
    </row>
    <row r="123">
      <c r="E123" s="329"/>
      <c r="F123" s="329"/>
      <c r="G123" s="329"/>
      <c r="H123" s="329"/>
      <c r="I123" s="329"/>
      <c r="J123" s="329"/>
      <c r="K123" s="329"/>
      <c r="L123" s="329"/>
      <c r="M123" s="329"/>
      <c r="N123" s="329"/>
      <c r="O123" s="329"/>
      <c r="P123" s="329"/>
    </row>
    <row r="124">
      <c r="E124" s="329"/>
      <c r="F124" s="329"/>
      <c r="G124" s="329"/>
      <c r="H124" s="329"/>
      <c r="I124" s="329"/>
      <c r="J124" s="329"/>
      <c r="K124" s="329"/>
      <c r="L124" s="329"/>
      <c r="M124" s="329"/>
      <c r="N124" s="329"/>
      <c r="O124" s="329"/>
      <c r="P124" s="329"/>
    </row>
    <row r="125">
      <c r="E125" s="329"/>
      <c r="F125" s="329"/>
      <c r="G125" s="329"/>
      <c r="H125" s="329"/>
      <c r="I125" s="329"/>
      <c r="J125" s="329"/>
      <c r="K125" s="329"/>
      <c r="L125" s="329"/>
      <c r="M125" s="329"/>
      <c r="N125" s="329"/>
      <c r="O125" s="329"/>
      <c r="P125" s="329"/>
    </row>
    <row r="126">
      <c r="E126" s="329"/>
      <c r="F126" s="329"/>
      <c r="G126" s="329"/>
      <c r="H126" s="329"/>
      <c r="I126" s="329"/>
      <c r="J126" s="329"/>
      <c r="K126" s="329"/>
      <c r="L126" s="329"/>
      <c r="M126" s="329"/>
      <c r="N126" s="329"/>
      <c r="O126" s="329"/>
      <c r="P126" s="329"/>
    </row>
    <row r="127">
      <c r="E127" s="329"/>
      <c r="F127" s="329"/>
      <c r="G127" s="329"/>
      <c r="H127" s="329"/>
      <c r="I127" s="329"/>
      <c r="J127" s="329"/>
      <c r="K127" s="329"/>
      <c r="L127" s="329"/>
      <c r="M127" s="329"/>
      <c r="N127" s="329"/>
      <c r="O127" s="329"/>
      <c r="P127" s="329"/>
    </row>
    <row r="128">
      <c r="E128" s="329"/>
      <c r="F128" s="329"/>
      <c r="G128" s="329"/>
      <c r="H128" s="329"/>
      <c r="I128" s="329"/>
      <c r="J128" s="329"/>
      <c r="K128" s="329"/>
      <c r="L128" s="329"/>
      <c r="M128" s="329"/>
      <c r="N128" s="329"/>
      <c r="O128" s="329"/>
      <c r="P128" s="329"/>
    </row>
    <row r="129">
      <c r="E129" s="329"/>
      <c r="F129" s="329"/>
      <c r="G129" s="329"/>
      <c r="H129" s="329"/>
      <c r="I129" s="329"/>
      <c r="J129" s="329"/>
      <c r="K129" s="329"/>
      <c r="L129" s="329"/>
      <c r="M129" s="329"/>
      <c r="N129" s="329"/>
      <c r="O129" s="329"/>
      <c r="P129" s="329"/>
    </row>
    <row r="130"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</row>
    <row r="131">
      <c r="E131" s="329"/>
      <c r="F131" s="329"/>
      <c r="G131" s="329"/>
      <c r="H131" s="329"/>
      <c r="I131" s="329"/>
      <c r="J131" s="329"/>
      <c r="K131" s="329"/>
      <c r="L131" s="329"/>
      <c r="M131" s="329"/>
      <c r="N131" s="329"/>
      <c r="O131" s="329"/>
      <c r="P131" s="329"/>
    </row>
    <row r="132">
      <c r="E132" s="329"/>
      <c r="F132" s="329"/>
      <c r="G132" s="329"/>
      <c r="H132" s="329"/>
      <c r="I132" s="329"/>
      <c r="J132" s="329"/>
      <c r="K132" s="329"/>
      <c r="L132" s="329"/>
      <c r="M132" s="329"/>
      <c r="N132" s="329"/>
      <c r="O132" s="329"/>
      <c r="P132" s="329"/>
    </row>
    <row r="133">
      <c r="E133" s="329"/>
      <c r="F133" s="329"/>
      <c r="G133" s="329"/>
      <c r="H133" s="329"/>
      <c r="I133" s="329"/>
      <c r="J133" s="329"/>
      <c r="K133" s="329"/>
      <c r="L133" s="329"/>
      <c r="M133" s="329"/>
      <c r="N133" s="329"/>
      <c r="O133" s="329"/>
      <c r="P133" s="329"/>
    </row>
    <row r="134">
      <c r="E134" s="329"/>
      <c r="F134" s="329"/>
      <c r="G134" s="329"/>
      <c r="H134" s="329"/>
      <c r="I134" s="329"/>
      <c r="J134" s="329"/>
      <c r="K134" s="329"/>
      <c r="L134" s="329"/>
      <c r="M134" s="329"/>
      <c r="N134" s="329"/>
      <c r="O134" s="329"/>
      <c r="P134" s="329"/>
    </row>
    <row r="135">
      <c r="E135" s="329"/>
      <c r="F135" s="329"/>
      <c r="G135" s="329"/>
      <c r="H135" s="329"/>
      <c r="I135" s="329"/>
      <c r="J135" s="329"/>
      <c r="K135" s="329"/>
      <c r="L135" s="329"/>
      <c r="M135" s="329"/>
      <c r="N135" s="329"/>
      <c r="O135" s="329"/>
      <c r="P135" s="329"/>
    </row>
    <row r="136">
      <c r="E136" s="329"/>
      <c r="F136" s="329"/>
      <c r="G136" s="329"/>
      <c r="H136" s="329"/>
      <c r="I136" s="329"/>
      <c r="J136" s="329"/>
      <c r="K136" s="329"/>
      <c r="L136" s="329"/>
      <c r="M136" s="329"/>
      <c r="N136" s="329"/>
      <c r="O136" s="329"/>
      <c r="P136" s="329"/>
    </row>
    <row r="137">
      <c r="E137" s="329"/>
      <c r="F137" s="329"/>
      <c r="G137" s="329"/>
      <c r="H137" s="329"/>
      <c r="I137" s="329"/>
      <c r="J137" s="329"/>
      <c r="K137" s="329"/>
      <c r="L137" s="329"/>
      <c r="M137" s="329"/>
      <c r="N137" s="329"/>
      <c r="O137" s="329"/>
      <c r="P137" s="329"/>
    </row>
    <row r="138">
      <c r="E138" s="329"/>
      <c r="F138" s="329"/>
      <c r="G138" s="329"/>
      <c r="H138" s="329"/>
      <c r="I138" s="329"/>
      <c r="J138" s="329"/>
      <c r="K138" s="329"/>
      <c r="L138" s="329"/>
      <c r="M138" s="329"/>
      <c r="N138" s="329"/>
      <c r="O138" s="329"/>
      <c r="P138" s="329"/>
    </row>
    <row r="139">
      <c r="E139" s="329"/>
      <c r="F139" s="329"/>
      <c r="G139" s="329"/>
      <c r="H139" s="329"/>
      <c r="I139" s="329"/>
      <c r="J139" s="329"/>
      <c r="K139" s="329"/>
      <c r="L139" s="329"/>
      <c r="M139" s="329"/>
      <c r="N139" s="329"/>
      <c r="O139" s="329"/>
      <c r="P139" s="329"/>
    </row>
    <row r="140">
      <c r="E140" s="329"/>
      <c r="F140" s="329"/>
      <c r="G140" s="329"/>
      <c r="H140" s="329"/>
      <c r="I140" s="329"/>
      <c r="J140" s="329"/>
      <c r="K140" s="329"/>
      <c r="L140" s="329"/>
      <c r="M140" s="329"/>
      <c r="N140" s="329"/>
      <c r="O140" s="329"/>
      <c r="P140" s="329"/>
    </row>
    <row r="141">
      <c r="E141" s="329"/>
      <c r="F141" s="329"/>
      <c r="G141" s="329"/>
      <c r="H141" s="329"/>
      <c r="I141" s="329"/>
      <c r="J141" s="329"/>
      <c r="K141" s="329"/>
      <c r="L141" s="329"/>
      <c r="M141" s="329"/>
      <c r="N141" s="329"/>
      <c r="O141" s="329"/>
      <c r="P141" s="329"/>
    </row>
    <row r="142">
      <c r="E142" s="329"/>
      <c r="F142" s="329"/>
      <c r="G142" s="329"/>
      <c r="H142" s="329"/>
      <c r="I142" s="329"/>
      <c r="J142" s="329"/>
      <c r="K142" s="329"/>
      <c r="L142" s="329"/>
      <c r="M142" s="329"/>
      <c r="N142" s="329"/>
      <c r="O142" s="329"/>
      <c r="P142" s="329"/>
    </row>
    <row r="143">
      <c r="E143" s="329"/>
      <c r="F143" s="329"/>
      <c r="G143" s="329"/>
      <c r="H143" s="329"/>
      <c r="I143" s="329"/>
      <c r="J143" s="329"/>
      <c r="K143" s="329"/>
      <c r="L143" s="329"/>
      <c r="M143" s="329"/>
      <c r="N143" s="329"/>
      <c r="O143" s="329"/>
      <c r="P143" s="329"/>
    </row>
    <row r="144">
      <c r="E144" s="329"/>
      <c r="F144" s="329"/>
      <c r="G144" s="329"/>
      <c r="H144" s="329"/>
      <c r="I144" s="329"/>
      <c r="J144" s="329"/>
      <c r="K144" s="329"/>
      <c r="L144" s="329"/>
      <c r="M144" s="329"/>
      <c r="N144" s="329"/>
      <c r="O144" s="329"/>
      <c r="P144" s="329"/>
    </row>
    <row r="145">
      <c r="E145" s="329"/>
      <c r="F145" s="329"/>
      <c r="G145" s="329"/>
      <c r="H145" s="329"/>
      <c r="I145" s="329"/>
      <c r="J145" s="329"/>
      <c r="K145" s="329"/>
      <c r="L145" s="329"/>
      <c r="M145" s="329"/>
      <c r="N145" s="329"/>
      <c r="O145" s="329"/>
      <c r="P145" s="329"/>
    </row>
    <row r="146">
      <c r="E146" s="329"/>
      <c r="F146" s="329"/>
      <c r="G146" s="329"/>
      <c r="H146" s="329"/>
      <c r="I146" s="329"/>
      <c r="J146" s="329"/>
      <c r="K146" s="329"/>
      <c r="L146" s="329"/>
      <c r="M146" s="329"/>
      <c r="N146" s="329"/>
      <c r="O146" s="329"/>
      <c r="P146" s="329"/>
    </row>
    <row r="147"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329"/>
    </row>
    <row r="148">
      <c r="E148" s="329"/>
      <c r="F148" s="329"/>
      <c r="G148" s="329"/>
      <c r="H148" s="329"/>
      <c r="I148" s="329"/>
      <c r="J148" s="329"/>
      <c r="K148" s="329"/>
      <c r="L148" s="329"/>
      <c r="M148" s="329"/>
      <c r="N148" s="329"/>
      <c r="O148" s="329"/>
      <c r="P148" s="329"/>
    </row>
    <row r="149">
      <c r="E149" s="329"/>
      <c r="F149" s="329"/>
      <c r="G149" s="329"/>
      <c r="H149" s="329"/>
      <c r="I149" s="329"/>
      <c r="J149" s="329"/>
      <c r="K149" s="329"/>
      <c r="L149" s="329"/>
      <c r="M149" s="329"/>
      <c r="N149" s="329"/>
      <c r="O149" s="329"/>
      <c r="P149" s="329"/>
    </row>
    <row r="150"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329"/>
      <c r="P150" s="329"/>
    </row>
    <row r="151"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</row>
    <row r="152">
      <c r="E152" s="329"/>
      <c r="F152" s="329"/>
      <c r="G152" s="329"/>
      <c r="H152" s="329"/>
      <c r="I152" s="329"/>
      <c r="J152" s="329"/>
      <c r="K152" s="329"/>
      <c r="L152" s="329"/>
      <c r="M152" s="329"/>
      <c r="N152" s="329"/>
      <c r="O152" s="329"/>
      <c r="P152" s="329"/>
    </row>
    <row r="153">
      <c r="E153" s="329"/>
      <c r="F153" s="329"/>
      <c r="G153" s="329"/>
      <c r="H153" s="329"/>
      <c r="I153" s="329"/>
      <c r="J153" s="329"/>
      <c r="K153" s="329"/>
      <c r="L153" s="329"/>
      <c r="M153" s="329"/>
      <c r="N153" s="329"/>
      <c r="O153" s="329"/>
      <c r="P153" s="329"/>
    </row>
    <row r="154">
      <c r="E154" s="329"/>
      <c r="F154" s="329"/>
      <c r="G154" s="329"/>
      <c r="H154" s="329"/>
      <c r="I154" s="329"/>
      <c r="J154" s="329"/>
      <c r="K154" s="329"/>
      <c r="L154" s="329"/>
      <c r="M154" s="329"/>
      <c r="N154" s="329"/>
      <c r="O154" s="329"/>
      <c r="P154" s="329"/>
    </row>
    <row r="155"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</row>
    <row r="156">
      <c r="E156" s="329"/>
      <c r="F156" s="329"/>
      <c r="G156" s="329"/>
      <c r="H156" s="329"/>
      <c r="I156" s="329"/>
      <c r="J156" s="329"/>
      <c r="K156" s="329"/>
      <c r="L156" s="329"/>
      <c r="M156" s="329"/>
      <c r="N156" s="329"/>
      <c r="O156" s="329"/>
      <c r="P156" s="329"/>
    </row>
    <row r="157">
      <c r="E157" s="329"/>
      <c r="F157" s="329"/>
      <c r="G157" s="329"/>
      <c r="H157" s="329"/>
      <c r="I157" s="329"/>
      <c r="J157" s="329"/>
      <c r="K157" s="329"/>
      <c r="L157" s="329"/>
      <c r="M157" s="329"/>
      <c r="N157" s="329"/>
      <c r="O157" s="329"/>
      <c r="P157" s="329"/>
    </row>
    <row r="158">
      <c r="E158" s="329"/>
      <c r="F158" s="329"/>
      <c r="G158" s="329"/>
      <c r="H158" s="329"/>
      <c r="I158" s="329"/>
      <c r="J158" s="329"/>
      <c r="K158" s="329"/>
      <c r="L158" s="329"/>
      <c r="M158" s="329"/>
      <c r="N158" s="329"/>
      <c r="O158" s="329"/>
      <c r="P158" s="329"/>
    </row>
    <row r="159">
      <c r="E159" s="329"/>
      <c r="F159" s="329"/>
      <c r="G159" s="329"/>
      <c r="H159" s="329"/>
      <c r="I159" s="329"/>
      <c r="J159" s="329"/>
      <c r="K159" s="329"/>
      <c r="L159" s="329"/>
      <c r="M159" s="329"/>
      <c r="N159" s="329"/>
      <c r="O159" s="329"/>
      <c r="P159" s="329"/>
    </row>
    <row r="160">
      <c r="E160" s="329"/>
      <c r="F160" s="329"/>
      <c r="G160" s="329"/>
      <c r="H160" s="329"/>
      <c r="I160" s="329"/>
      <c r="J160" s="329"/>
      <c r="K160" s="329"/>
      <c r="L160" s="329"/>
      <c r="M160" s="329"/>
      <c r="N160" s="329"/>
      <c r="O160" s="329"/>
      <c r="P160" s="329"/>
    </row>
    <row r="161">
      <c r="E161" s="329"/>
      <c r="F161" s="329"/>
      <c r="G161" s="329"/>
      <c r="H161" s="329"/>
      <c r="I161" s="329"/>
      <c r="J161" s="329"/>
      <c r="K161" s="329"/>
      <c r="L161" s="329"/>
      <c r="M161" s="329"/>
      <c r="N161" s="329"/>
      <c r="O161" s="329"/>
      <c r="P161" s="329"/>
    </row>
    <row r="162">
      <c r="E162" s="329"/>
      <c r="F162" s="329"/>
      <c r="G162" s="329"/>
      <c r="H162" s="329"/>
      <c r="I162" s="329"/>
      <c r="J162" s="329"/>
      <c r="K162" s="329"/>
      <c r="L162" s="329"/>
      <c r="M162" s="329"/>
      <c r="N162" s="329"/>
      <c r="O162" s="329"/>
      <c r="P162" s="329"/>
    </row>
    <row r="163">
      <c r="E163" s="329"/>
      <c r="F163" s="329"/>
      <c r="G163" s="329"/>
      <c r="H163" s="329"/>
      <c r="I163" s="329"/>
      <c r="J163" s="329"/>
      <c r="K163" s="329"/>
      <c r="L163" s="329"/>
      <c r="M163" s="329"/>
      <c r="N163" s="329"/>
      <c r="O163" s="329"/>
      <c r="P163" s="329"/>
    </row>
    <row r="164">
      <c r="E164" s="329"/>
      <c r="F164" s="329"/>
      <c r="G164" s="329"/>
      <c r="H164" s="329"/>
      <c r="I164" s="329"/>
      <c r="J164" s="329"/>
      <c r="K164" s="329"/>
      <c r="L164" s="329"/>
      <c r="M164" s="329"/>
      <c r="N164" s="329"/>
      <c r="O164" s="329"/>
      <c r="P164" s="329"/>
    </row>
    <row r="165">
      <c r="E165" s="329"/>
      <c r="F165" s="329"/>
      <c r="G165" s="329"/>
      <c r="H165" s="329"/>
      <c r="I165" s="329"/>
      <c r="J165" s="329"/>
      <c r="K165" s="329"/>
      <c r="L165" s="329"/>
      <c r="M165" s="329"/>
      <c r="N165" s="329"/>
      <c r="O165" s="329"/>
      <c r="P165" s="329"/>
    </row>
    <row r="166">
      <c r="E166" s="329"/>
      <c r="F166" s="329"/>
      <c r="G166" s="329"/>
      <c r="H166" s="329"/>
      <c r="I166" s="329"/>
      <c r="J166" s="329"/>
      <c r="K166" s="329"/>
      <c r="L166" s="329"/>
      <c r="M166" s="329"/>
      <c r="N166" s="329"/>
      <c r="O166" s="329"/>
      <c r="P166" s="329"/>
    </row>
    <row r="167">
      <c r="E167" s="329"/>
      <c r="F167" s="329"/>
      <c r="G167" s="329"/>
      <c r="H167" s="329"/>
      <c r="I167" s="329"/>
      <c r="J167" s="329"/>
      <c r="K167" s="329"/>
      <c r="L167" s="329"/>
      <c r="M167" s="329"/>
      <c r="N167" s="329"/>
      <c r="O167" s="329"/>
      <c r="P167" s="329"/>
    </row>
    <row r="168">
      <c r="E168" s="329"/>
      <c r="F168" s="329"/>
      <c r="G168" s="329"/>
      <c r="H168" s="329"/>
      <c r="I168" s="329"/>
      <c r="J168" s="329"/>
      <c r="K168" s="329"/>
      <c r="L168" s="329"/>
      <c r="M168" s="329"/>
      <c r="N168" s="329"/>
      <c r="O168" s="329"/>
      <c r="P168" s="329"/>
    </row>
    <row r="169">
      <c r="E169" s="329"/>
      <c r="F169" s="329"/>
      <c r="G169" s="329"/>
      <c r="H169" s="329"/>
      <c r="I169" s="329"/>
      <c r="J169" s="329"/>
      <c r="K169" s="329"/>
      <c r="L169" s="329"/>
      <c r="M169" s="329"/>
      <c r="N169" s="329"/>
      <c r="O169" s="329"/>
      <c r="P169" s="329"/>
    </row>
    <row r="170"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</row>
    <row r="171">
      <c r="E171" s="329"/>
      <c r="F171" s="329"/>
      <c r="G171" s="329"/>
      <c r="H171" s="329"/>
      <c r="I171" s="329"/>
      <c r="J171" s="329"/>
      <c r="K171" s="329"/>
      <c r="L171" s="329"/>
      <c r="M171" s="329"/>
      <c r="N171" s="329"/>
      <c r="O171" s="329"/>
      <c r="P171" s="329"/>
    </row>
    <row r="172">
      <c r="E172" s="329"/>
      <c r="F172" s="329"/>
      <c r="G172" s="329"/>
      <c r="H172" s="329"/>
      <c r="I172" s="329"/>
      <c r="J172" s="329"/>
      <c r="K172" s="329"/>
      <c r="L172" s="329"/>
      <c r="M172" s="329"/>
      <c r="N172" s="329"/>
      <c r="O172" s="329"/>
      <c r="P172" s="329"/>
    </row>
    <row r="173">
      <c r="E173" s="329"/>
      <c r="F173" s="329"/>
      <c r="G173" s="329"/>
      <c r="H173" s="329"/>
      <c r="I173" s="329"/>
      <c r="J173" s="329"/>
      <c r="K173" s="329"/>
      <c r="L173" s="329"/>
      <c r="M173" s="329"/>
      <c r="N173" s="329"/>
      <c r="O173" s="329"/>
      <c r="P173" s="329"/>
    </row>
    <row r="174"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</row>
    <row r="175">
      <c r="E175" s="329"/>
      <c r="F175" s="329"/>
      <c r="G175" s="329"/>
      <c r="H175" s="329"/>
      <c r="I175" s="329"/>
      <c r="J175" s="329"/>
      <c r="K175" s="329"/>
      <c r="L175" s="329"/>
      <c r="M175" s="329"/>
      <c r="N175" s="329"/>
      <c r="O175" s="329"/>
      <c r="P175" s="329"/>
    </row>
    <row r="176">
      <c r="E176" s="329"/>
      <c r="F176" s="329"/>
      <c r="G176" s="329"/>
      <c r="H176" s="329"/>
      <c r="I176" s="329"/>
      <c r="J176" s="329"/>
      <c r="K176" s="329"/>
      <c r="L176" s="329"/>
      <c r="M176" s="329"/>
      <c r="N176" s="329"/>
      <c r="O176" s="329"/>
      <c r="P176" s="329"/>
    </row>
    <row r="177">
      <c r="E177" s="329"/>
      <c r="F177" s="329"/>
      <c r="G177" s="329"/>
      <c r="H177" s="329"/>
      <c r="I177" s="329"/>
      <c r="J177" s="329"/>
      <c r="K177" s="329"/>
      <c r="L177" s="329"/>
      <c r="M177" s="329"/>
      <c r="N177" s="329"/>
      <c r="O177" s="329"/>
      <c r="P177" s="329"/>
    </row>
    <row r="178">
      <c r="E178" s="329"/>
      <c r="F178" s="329"/>
      <c r="G178" s="329"/>
      <c r="H178" s="329"/>
      <c r="I178" s="329"/>
      <c r="J178" s="329"/>
      <c r="K178" s="329"/>
      <c r="L178" s="329"/>
      <c r="M178" s="329"/>
      <c r="N178" s="329"/>
      <c r="O178" s="329"/>
      <c r="P178" s="329"/>
    </row>
    <row r="179">
      <c r="E179" s="329"/>
      <c r="F179" s="329"/>
      <c r="G179" s="329"/>
      <c r="H179" s="329"/>
      <c r="I179" s="329"/>
      <c r="J179" s="329"/>
      <c r="K179" s="329"/>
      <c r="L179" s="329"/>
      <c r="M179" s="329"/>
      <c r="N179" s="329"/>
      <c r="O179" s="329"/>
      <c r="P179" s="329"/>
    </row>
    <row r="180">
      <c r="E180" s="329"/>
      <c r="F180" s="329"/>
      <c r="G180" s="329"/>
      <c r="H180" s="329"/>
      <c r="I180" s="329"/>
      <c r="J180" s="329"/>
      <c r="K180" s="329"/>
      <c r="L180" s="329"/>
      <c r="M180" s="329"/>
      <c r="N180" s="329"/>
      <c r="O180" s="329"/>
      <c r="P180" s="329"/>
    </row>
    <row r="181">
      <c r="E181" s="329"/>
      <c r="F181" s="329"/>
      <c r="G181" s="329"/>
      <c r="H181" s="329"/>
      <c r="I181" s="329"/>
      <c r="J181" s="329"/>
      <c r="K181" s="329"/>
      <c r="L181" s="329"/>
      <c r="M181" s="329"/>
      <c r="N181" s="329"/>
      <c r="O181" s="329"/>
      <c r="P181" s="329"/>
    </row>
    <row r="182">
      <c r="E182" s="329"/>
      <c r="F182" s="329"/>
      <c r="G182" s="329"/>
      <c r="H182" s="329"/>
      <c r="I182" s="329"/>
      <c r="J182" s="329"/>
      <c r="K182" s="329"/>
      <c r="L182" s="329"/>
      <c r="M182" s="329"/>
      <c r="N182" s="329"/>
      <c r="O182" s="329"/>
      <c r="P182" s="329"/>
    </row>
    <row r="183">
      <c r="E183" s="329"/>
      <c r="F183" s="329"/>
      <c r="G183" s="329"/>
      <c r="H183" s="329"/>
      <c r="I183" s="329"/>
      <c r="J183" s="329"/>
      <c r="K183" s="329"/>
      <c r="L183" s="329"/>
      <c r="M183" s="329"/>
      <c r="N183" s="329"/>
      <c r="O183" s="329"/>
      <c r="P183" s="329"/>
    </row>
    <row r="184">
      <c r="E184" s="329"/>
      <c r="F184" s="329"/>
      <c r="G184" s="329"/>
      <c r="H184" s="329"/>
      <c r="I184" s="329"/>
      <c r="J184" s="329"/>
      <c r="K184" s="329"/>
      <c r="L184" s="329"/>
      <c r="M184" s="329"/>
      <c r="N184" s="329"/>
      <c r="O184" s="329"/>
      <c r="P184" s="329"/>
    </row>
    <row r="185">
      <c r="E185" s="329"/>
      <c r="F185" s="329"/>
      <c r="G185" s="329"/>
      <c r="H185" s="329"/>
      <c r="I185" s="329"/>
      <c r="J185" s="329"/>
      <c r="K185" s="329"/>
      <c r="L185" s="329"/>
      <c r="M185" s="329"/>
      <c r="N185" s="329"/>
      <c r="O185" s="329"/>
      <c r="P185" s="329"/>
    </row>
    <row r="186">
      <c r="E186" s="329"/>
      <c r="F186" s="329"/>
      <c r="G186" s="329"/>
      <c r="H186" s="329"/>
      <c r="I186" s="329"/>
      <c r="J186" s="329"/>
      <c r="K186" s="329"/>
      <c r="L186" s="329"/>
      <c r="M186" s="329"/>
      <c r="N186" s="329"/>
      <c r="O186" s="329"/>
      <c r="P186" s="329"/>
    </row>
    <row r="187">
      <c r="E187" s="329"/>
      <c r="F187" s="329"/>
      <c r="G187" s="329"/>
      <c r="H187" s="329"/>
      <c r="I187" s="329"/>
      <c r="J187" s="329"/>
      <c r="K187" s="329"/>
      <c r="L187" s="329"/>
      <c r="M187" s="329"/>
      <c r="N187" s="329"/>
      <c r="O187" s="329"/>
      <c r="P187" s="329"/>
    </row>
    <row r="188">
      <c r="E188" s="329"/>
      <c r="F188" s="329"/>
      <c r="G188" s="329"/>
      <c r="H188" s="329"/>
      <c r="I188" s="329"/>
      <c r="J188" s="329"/>
      <c r="K188" s="329"/>
      <c r="L188" s="329"/>
      <c r="M188" s="329"/>
      <c r="N188" s="329"/>
      <c r="O188" s="329"/>
      <c r="P188" s="329"/>
    </row>
    <row r="189">
      <c r="E189" s="329"/>
      <c r="F189" s="329"/>
      <c r="G189" s="329"/>
      <c r="H189" s="329"/>
      <c r="I189" s="329"/>
      <c r="J189" s="329"/>
      <c r="K189" s="329"/>
      <c r="L189" s="329"/>
      <c r="M189" s="329"/>
      <c r="N189" s="329"/>
      <c r="O189" s="329"/>
      <c r="P189" s="329"/>
    </row>
    <row r="190">
      <c r="E190" s="329"/>
      <c r="F190" s="329"/>
      <c r="G190" s="329"/>
      <c r="H190" s="329"/>
      <c r="I190" s="329"/>
      <c r="J190" s="329"/>
      <c r="K190" s="329"/>
      <c r="L190" s="329"/>
      <c r="M190" s="329"/>
      <c r="N190" s="329"/>
      <c r="O190" s="329"/>
      <c r="P190" s="329"/>
    </row>
    <row r="191">
      <c r="E191" s="329"/>
      <c r="F191" s="329"/>
      <c r="G191" s="329"/>
      <c r="H191" s="329"/>
      <c r="I191" s="329"/>
      <c r="J191" s="329"/>
      <c r="K191" s="329"/>
      <c r="L191" s="329"/>
      <c r="M191" s="329"/>
      <c r="N191" s="329"/>
      <c r="O191" s="329"/>
      <c r="P191" s="329"/>
    </row>
    <row r="192">
      <c r="E192" s="329"/>
      <c r="F192" s="329"/>
      <c r="G192" s="329"/>
      <c r="H192" s="329"/>
      <c r="I192" s="329"/>
      <c r="J192" s="329"/>
      <c r="K192" s="329"/>
      <c r="L192" s="329"/>
      <c r="M192" s="329"/>
      <c r="N192" s="329"/>
      <c r="O192" s="329"/>
      <c r="P192" s="329"/>
    </row>
    <row r="193">
      <c r="E193" s="329"/>
      <c r="F193" s="329"/>
      <c r="G193" s="329"/>
      <c r="H193" s="329"/>
      <c r="I193" s="329"/>
      <c r="J193" s="329"/>
      <c r="K193" s="329"/>
      <c r="L193" s="329"/>
      <c r="M193" s="329"/>
      <c r="N193" s="329"/>
      <c r="O193" s="329"/>
      <c r="P193" s="329"/>
    </row>
    <row r="194">
      <c r="E194" s="329"/>
      <c r="F194" s="329"/>
      <c r="G194" s="329"/>
      <c r="H194" s="329"/>
      <c r="I194" s="329"/>
      <c r="J194" s="329"/>
      <c r="K194" s="329"/>
      <c r="L194" s="329"/>
      <c r="M194" s="329"/>
      <c r="N194" s="329"/>
      <c r="O194" s="329"/>
      <c r="P194" s="329"/>
    </row>
    <row r="195">
      <c r="E195" s="329"/>
      <c r="F195" s="329"/>
      <c r="G195" s="329"/>
      <c r="H195" s="329"/>
      <c r="I195" s="329"/>
      <c r="J195" s="329"/>
      <c r="K195" s="329"/>
      <c r="L195" s="329"/>
      <c r="M195" s="329"/>
      <c r="N195" s="329"/>
      <c r="O195" s="329"/>
      <c r="P195" s="329"/>
    </row>
    <row r="196">
      <c r="E196" s="329"/>
      <c r="F196" s="329"/>
      <c r="G196" s="329"/>
      <c r="H196" s="329"/>
      <c r="I196" s="329"/>
      <c r="J196" s="329"/>
      <c r="K196" s="329"/>
      <c r="L196" s="329"/>
      <c r="M196" s="329"/>
      <c r="N196" s="329"/>
      <c r="O196" s="329"/>
      <c r="P196" s="329"/>
    </row>
    <row r="197">
      <c r="E197" s="329"/>
      <c r="F197" s="329"/>
      <c r="G197" s="329"/>
      <c r="H197" s="329"/>
      <c r="I197" s="329"/>
      <c r="J197" s="329"/>
      <c r="K197" s="329"/>
      <c r="L197" s="329"/>
      <c r="M197" s="329"/>
      <c r="N197" s="329"/>
      <c r="O197" s="329"/>
      <c r="P197" s="329"/>
    </row>
    <row r="198">
      <c r="E198" s="329"/>
      <c r="F198" s="329"/>
      <c r="G198" s="329"/>
      <c r="H198" s="329"/>
      <c r="I198" s="329"/>
      <c r="J198" s="329"/>
      <c r="K198" s="329"/>
      <c r="L198" s="329"/>
      <c r="M198" s="329"/>
      <c r="N198" s="329"/>
      <c r="O198" s="329"/>
      <c r="P198" s="329"/>
    </row>
    <row r="199">
      <c r="E199" s="329"/>
      <c r="F199" s="329"/>
      <c r="G199" s="329"/>
      <c r="H199" s="329"/>
      <c r="I199" s="329"/>
      <c r="J199" s="329"/>
      <c r="K199" s="329"/>
      <c r="L199" s="329"/>
      <c r="M199" s="329"/>
      <c r="N199" s="329"/>
      <c r="O199" s="329"/>
      <c r="P199" s="329"/>
    </row>
    <row r="200">
      <c r="E200" s="329"/>
      <c r="F200" s="329"/>
      <c r="G200" s="329"/>
      <c r="H200" s="329"/>
      <c r="I200" s="329"/>
      <c r="J200" s="329"/>
      <c r="K200" s="329"/>
      <c r="L200" s="329"/>
      <c r="M200" s="329"/>
      <c r="N200" s="329"/>
      <c r="O200" s="329"/>
      <c r="P200" s="329"/>
    </row>
    <row r="201">
      <c r="E201" s="329"/>
      <c r="F201" s="329"/>
      <c r="G201" s="329"/>
      <c r="H201" s="329"/>
      <c r="I201" s="329"/>
      <c r="J201" s="329"/>
      <c r="K201" s="329"/>
      <c r="L201" s="329"/>
      <c r="M201" s="329"/>
      <c r="N201" s="329"/>
      <c r="O201" s="329"/>
      <c r="P201" s="329"/>
    </row>
    <row r="202">
      <c r="E202" s="329"/>
      <c r="F202" s="329"/>
      <c r="G202" s="329"/>
      <c r="H202" s="329"/>
      <c r="I202" s="329"/>
      <c r="J202" s="329"/>
      <c r="K202" s="329"/>
      <c r="L202" s="329"/>
      <c r="M202" s="329"/>
      <c r="N202" s="329"/>
      <c r="O202" s="329"/>
      <c r="P202" s="329"/>
    </row>
    <row r="203">
      <c r="E203" s="329"/>
      <c r="F203" s="329"/>
      <c r="G203" s="329"/>
      <c r="H203" s="329"/>
      <c r="I203" s="329"/>
      <c r="J203" s="329"/>
      <c r="K203" s="329"/>
      <c r="L203" s="329"/>
      <c r="M203" s="329"/>
      <c r="N203" s="329"/>
      <c r="O203" s="329"/>
      <c r="P203" s="329"/>
    </row>
    <row r="204">
      <c r="E204" s="329"/>
      <c r="F204" s="329"/>
      <c r="G204" s="329"/>
      <c r="H204" s="329"/>
      <c r="I204" s="329"/>
      <c r="J204" s="329"/>
      <c r="K204" s="329"/>
      <c r="L204" s="329"/>
      <c r="M204" s="329"/>
      <c r="N204" s="329"/>
      <c r="O204" s="329"/>
      <c r="P204" s="329"/>
    </row>
    <row r="205">
      <c r="E205" s="329"/>
      <c r="F205" s="329"/>
      <c r="G205" s="329"/>
      <c r="H205" s="329"/>
      <c r="I205" s="329"/>
      <c r="J205" s="329"/>
      <c r="K205" s="329"/>
      <c r="L205" s="329"/>
      <c r="M205" s="329"/>
      <c r="N205" s="329"/>
      <c r="O205" s="329"/>
      <c r="P205" s="329"/>
    </row>
    <row r="206">
      <c r="E206" s="329"/>
      <c r="F206" s="329"/>
      <c r="G206" s="329"/>
      <c r="H206" s="329"/>
      <c r="I206" s="329"/>
      <c r="J206" s="329"/>
      <c r="K206" s="329"/>
      <c r="L206" s="329"/>
      <c r="M206" s="329"/>
      <c r="N206" s="329"/>
      <c r="O206" s="329"/>
      <c r="P206" s="329"/>
    </row>
    <row r="207">
      <c r="E207" s="329"/>
      <c r="F207" s="329"/>
      <c r="G207" s="329"/>
      <c r="H207" s="329"/>
      <c r="I207" s="329"/>
      <c r="J207" s="329"/>
      <c r="K207" s="329"/>
      <c r="L207" s="329"/>
      <c r="M207" s="329"/>
      <c r="N207" s="329"/>
      <c r="O207" s="329"/>
      <c r="P207" s="329"/>
    </row>
    <row r="208">
      <c r="E208" s="329"/>
      <c r="F208" s="329"/>
      <c r="G208" s="329"/>
      <c r="H208" s="329"/>
      <c r="I208" s="329"/>
      <c r="J208" s="329"/>
      <c r="K208" s="329"/>
      <c r="L208" s="329"/>
      <c r="M208" s="329"/>
      <c r="N208" s="329"/>
      <c r="O208" s="329"/>
      <c r="P208" s="329"/>
    </row>
    <row r="209">
      <c r="E209" s="329"/>
      <c r="F209" s="329"/>
      <c r="G209" s="329"/>
      <c r="H209" s="329"/>
      <c r="I209" s="329"/>
      <c r="J209" s="329"/>
      <c r="K209" s="329"/>
      <c r="L209" s="329"/>
      <c r="M209" s="329"/>
      <c r="N209" s="329"/>
      <c r="O209" s="329"/>
      <c r="P209" s="329"/>
    </row>
    <row r="210">
      <c r="E210" s="329"/>
      <c r="F210" s="329"/>
      <c r="G210" s="329"/>
      <c r="H210" s="329"/>
      <c r="I210" s="329"/>
      <c r="J210" s="329"/>
      <c r="K210" s="329"/>
      <c r="L210" s="329"/>
      <c r="M210" s="329"/>
      <c r="N210" s="329"/>
      <c r="O210" s="329"/>
      <c r="P210" s="329"/>
    </row>
    <row r="211">
      <c r="E211" s="329"/>
      <c r="F211" s="329"/>
      <c r="G211" s="329"/>
      <c r="H211" s="329"/>
      <c r="I211" s="329"/>
      <c r="J211" s="329"/>
      <c r="K211" s="329"/>
      <c r="L211" s="329"/>
      <c r="M211" s="329"/>
      <c r="N211" s="329"/>
      <c r="O211" s="329"/>
      <c r="P211" s="329"/>
    </row>
    <row r="212">
      <c r="E212" s="329"/>
      <c r="F212" s="329"/>
      <c r="G212" s="329"/>
      <c r="H212" s="329"/>
      <c r="I212" s="329"/>
      <c r="J212" s="329"/>
      <c r="K212" s="329"/>
      <c r="L212" s="329"/>
      <c r="M212" s="329"/>
      <c r="N212" s="329"/>
      <c r="O212" s="329"/>
      <c r="P212" s="329"/>
    </row>
    <row r="213">
      <c r="E213" s="329"/>
      <c r="F213" s="329"/>
      <c r="G213" s="329"/>
      <c r="H213" s="329"/>
      <c r="I213" s="329"/>
      <c r="J213" s="329"/>
      <c r="K213" s="329"/>
      <c r="L213" s="329"/>
      <c r="M213" s="329"/>
      <c r="N213" s="329"/>
      <c r="O213" s="329"/>
      <c r="P213" s="329"/>
    </row>
    <row r="214">
      <c r="E214" s="329"/>
      <c r="F214" s="329"/>
      <c r="G214" s="329"/>
      <c r="H214" s="329"/>
      <c r="I214" s="329"/>
      <c r="J214" s="329"/>
      <c r="K214" s="329"/>
      <c r="L214" s="329"/>
      <c r="M214" s="329"/>
      <c r="N214" s="329"/>
      <c r="O214" s="329"/>
      <c r="P214" s="329"/>
    </row>
    <row r="215">
      <c r="E215" s="329"/>
      <c r="F215" s="329"/>
      <c r="G215" s="329"/>
      <c r="H215" s="329"/>
      <c r="I215" s="329"/>
      <c r="J215" s="329"/>
      <c r="K215" s="329"/>
      <c r="L215" s="329"/>
      <c r="M215" s="329"/>
      <c r="N215" s="329"/>
      <c r="O215" s="329"/>
      <c r="P215" s="329"/>
    </row>
    <row r="216">
      <c r="E216" s="329"/>
      <c r="F216" s="329"/>
      <c r="G216" s="329"/>
      <c r="H216" s="329"/>
      <c r="I216" s="329"/>
      <c r="J216" s="329"/>
      <c r="K216" s="329"/>
      <c r="L216" s="329"/>
      <c r="M216" s="329"/>
      <c r="N216" s="329"/>
      <c r="O216" s="329"/>
      <c r="P216" s="329"/>
    </row>
    <row r="217">
      <c r="E217" s="329"/>
      <c r="F217" s="329"/>
      <c r="G217" s="329"/>
      <c r="H217" s="329"/>
      <c r="I217" s="329"/>
      <c r="J217" s="329"/>
      <c r="K217" s="329"/>
      <c r="L217" s="329"/>
      <c r="M217" s="329"/>
      <c r="N217" s="329"/>
      <c r="O217" s="329"/>
      <c r="P217" s="329"/>
    </row>
    <row r="218">
      <c r="E218" s="329"/>
      <c r="F218" s="329"/>
      <c r="G218" s="329"/>
      <c r="H218" s="329"/>
      <c r="I218" s="329"/>
      <c r="J218" s="329"/>
      <c r="K218" s="329"/>
      <c r="L218" s="329"/>
      <c r="M218" s="329"/>
      <c r="N218" s="329"/>
      <c r="O218" s="329"/>
      <c r="P218" s="329"/>
    </row>
    <row r="219"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329"/>
    </row>
    <row r="220">
      <c r="E220" s="329"/>
      <c r="F220" s="329"/>
      <c r="G220" s="329"/>
      <c r="H220" s="329"/>
      <c r="I220" s="329"/>
      <c r="J220" s="329"/>
      <c r="K220" s="329"/>
      <c r="L220" s="329"/>
      <c r="M220" s="329"/>
      <c r="N220" s="329"/>
      <c r="O220" s="329"/>
      <c r="P220" s="329"/>
    </row>
    <row r="221">
      <c r="E221" s="329"/>
      <c r="F221" s="329"/>
      <c r="G221" s="329"/>
      <c r="H221" s="329"/>
      <c r="I221" s="329"/>
      <c r="J221" s="329"/>
      <c r="K221" s="329"/>
      <c r="L221" s="329"/>
      <c r="M221" s="329"/>
      <c r="N221" s="329"/>
      <c r="O221" s="329"/>
      <c r="P221" s="329"/>
    </row>
    <row r="222">
      <c r="E222" s="329"/>
      <c r="F222" s="329"/>
      <c r="G222" s="329"/>
      <c r="H222" s="329"/>
      <c r="I222" s="329"/>
      <c r="J222" s="329"/>
      <c r="K222" s="329"/>
      <c r="L222" s="329"/>
      <c r="M222" s="329"/>
      <c r="N222" s="329"/>
      <c r="O222" s="329"/>
      <c r="P222" s="329"/>
    </row>
    <row r="223">
      <c r="E223" s="329"/>
      <c r="F223" s="329"/>
      <c r="G223" s="329"/>
      <c r="H223" s="329"/>
      <c r="I223" s="329"/>
      <c r="J223" s="329"/>
      <c r="K223" s="329"/>
      <c r="L223" s="329"/>
      <c r="M223" s="329"/>
      <c r="N223" s="329"/>
      <c r="O223" s="329"/>
      <c r="P223" s="329"/>
    </row>
    <row r="224">
      <c r="E224" s="329"/>
      <c r="F224" s="329"/>
      <c r="G224" s="329"/>
      <c r="H224" s="329"/>
      <c r="I224" s="329"/>
      <c r="J224" s="329"/>
      <c r="K224" s="329"/>
      <c r="L224" s="329"/>
      <c r="M224" s="329"/>
      <c r="N224" s="329"/>
      <c r="O224" s="329"/>
      <c r="P224" s="329"/>
    </row>
    <row r="225">
      <c r="E225" s="329"/>
      <c r="F225" s="329"/>
      <c r="G225" s="329"/>
      <c r="H225" s="329"/>
      <c r="I225" s="329"/>
      <c r="J225" s="329"/>
      <c r="K225" s="329"/>
      <c r="L225" s="329"/>
      <c r="M225" s="329"/>
      <c r="N225" s="329"/>
      <c r="O225" s="329"/>
      <c r="P225" s="329"/>
    </row>
    <row r="226">
      <c r="E226" s="329"/>
      <c r="F226" s="329"/>
      <c r="G226" s="329"/>
      <c r="H226" s="329"/>
      <c r="I226" s="329"/>
      <c r="J226" s="329"/>
      <c r="K226" s="329"/>
      <c r="L226" s="329"/>
      <c r="M226" s="329"/>
      <c r="N226" s="329"/>
      <c r="O226" s="329"/>
      <c r="P226" s="329"/>
    </row>
    <row r="227">
      <c r="E227" s="329"/>
      <c r="F227" s="329"/>
      <c r="G227" s="329"/>
      <c r="H227" s="329"/>
      <c r="I227" s="329"/>
      <c r="J227" s="329"/>
      <c r="K227" s="329"/>
      <c r="L227" s="329"/>
      <c r="M227" s="329"/>
      <c r="N227" s="329"/>
      <c r="O227" s="329"/>
      <c r="P227" s="329"/>
    </row>
    <row r="228">
      <c r="E228" s="329"/>
      <c r="F228" s="329"/>
      <c r="G228" s="329"/>
      <c r="H228" s="329"/>
      <c r="I228" s="329"/>
      <c r="J228" s="329"/>
      <c r="K228" s="329"/>
      <c r="L228" s="329"/>
      <c r="M228" s="329"/>
      <c r="N228" s="329"/>
      <c r="O228" s="329"/>
      <c r="P228" s="329"/>
    </row>
    <row r="229"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29"/>
    </row>
    <row r="230">
      <c r="E230" s="329"/>
      <c r="F230" s="329"/>
      <c r="G230" s="329"/>
      <c r="H230" s="329"/>
      <c r="I230" s="329"/>
      <c r="J230" s="329"/>
      <c r="K230" s="329"/>
      <c r="L230" s="329"/>
      <c r="M230" s="329"/>
      <c r="N230" s="329"/>
      <c r="O230" s="329"/>
      <c r="P230" s="329"/>
    </row>
    <row r="231">
      <c r="E231" s="329"/>
      <c r="F231" s="329"/>
      <c r="G231" s="329"/>
      <c r="H231" s="329"/>
      <c r="I231" s="329"/>
      <c r="J231" s="329"/>
      <c r="K231" s="329"/>
      <c r="L231" s="329"/>
      <c r="M231" s="329"/>
      <c r="N231" s="329"/>
      <c r="O231" s="329"/>
      <c r="P231" s="329"/>
    </row>
    <row r="232">
      <c r="E232" s="329"/>
      <c r="F232" s="329"/>
      <c r="G232" s="329"/>
      <c r="H232" s="329"/>
      <c r="I232" s="329"/>
      <c r="J232" s="329"/>
      <c r="K232" s="329"/>
      <c r="L232" s="329"/>
      <c r="M232" s="329"/>
      <c r="N232" s="329"/>
      <c r="O232" s="329"/>
      <c r="P232" s="329"/>
    </row>
    <row r="233">
      <c r="E233" s="329"/>
      <c r="F233" s="329"/>
      <c r="G233" s="329"/>
      <c r="H233" s="329"/>
      <c r="I233" s="329"/>
      <c r="J233" s="329"/>
      <c r="K233" s="329"/>
      <c r="L233" s="329"/>
      <c r="M233" s="329"/>
      <c r="N233" s="329"/>
      <c r="O233" s="329"/>
      <c r="P233" s="329"/>
    </row>
    <row r="234">
      <c r="E234" s="329"/>
      <c r="F234" s="329"/>
      <c r="G234" s="329"/>
      <c r="H234" s="329"/>
      <c r="I234" s="329"/>
      <c r="J234" s="329"/>
      <c r="K234" s="329"/>
      <c r="L234" s="329"/>
      <c r="M234" s="329"/>
      <c r="N234" s="329"/>
      <c r="O234" s="329"/>
      <c r="P234" s="329"/>
    </row>
    <row r="235">
      <c r="E235" s="329"/>
      <c r="F235" s="329"/>
      <c r="G235" s="329"/>
      <c r="H235" s="329"/>
      <c r="I235" s="329"/>
      <c r="J235" s="329"/>
      <c r="K235" s="329"/>
      <c r="L235" s="329"/>
      <c r="M235" s="329"/>
      <c r="N235" s="329"/>
      <c r="O235" s="329"/>
      <c r="P235" s="329"/>
    </row>
    <row r="236">
      <c r="E236" s="329"/>
      <c r="F236" s="329"/>
      <c r="G236" s="329"/>
      <c r="H236" s="329"/>
      <c r="I236" s="329"/>
      <c r="J236" s="329"/>
      <c r="K236" s="329"/>
      <c r="L236" s="329"/>
      <c r="M236" s="329"/>
      <c r="N236" s="329"/>
      <c r="O236" s="329"/>
      <c r="P236" s="329"/>
    </row>
    <row r="237">
      <c r="E237" s="329"/>
      <c r="F237" s="329"/>
      <c r="G237" s="329"/>
      <c r="H237" s="329"/>
      <c r="I237" s="329"/>
      <c r="J237" s="329"/>
      <c r="K237" s="329"/>
      <c r="L237" s="329"/>
      <c r="M237" s="329"/>
      <c r="N237" s="329"/>
      <c r="O237" s="329"/>
      <c r="P237" s="329"/>
    </row>
    <row r="238">
      <c r="E238" s="329"/>
      <c r="F238" s="329"/>
      <c r="G238" s="329"/>
      <c r="H238" s="329"/>
      <c r="I238" s="329"/>
      <c r="J238" s="329"/>
      <c r="K238" s="329"/>
      <c r="L238" s="329"/>
      <c r="M238" s="329"/>
      <c r="N238" s="329"/>
      <c r="O238" s="329"/>
      <c r="P238" s="329"/>
    </row>
    <row r="239">
      <c r="E239" s="329"/>
      <c r="F239" s="329"/>
      <c r="G239" s="329"/>
      <c r="H239" s="329"/>
      <c r="I239" s="329"/>
      <c r="J239" s="329"/>
      <c r="K239" s="329"/>
      <c r="L239" s="329"/>
      <c r="M239" s="329"/>
      <c r="N239" s="329"/>
      <c r="O239" s="329"/>
      <c r="P239" s="329"/>
    </row>
    <row r="240">
      <c r="E240" s="329"/>
      <c r="F240" s="329"/>
      <c r="G240" s="329"/>
      <c r="H240" s="329"/>
      <c r="I240" s="329"/>
      <c r="J240" s="329"/>
      <c r="K240" s="329"/>
      <c r="L240" s="329"/>
      <c r="M240" s="329"/>
      <c r="N240" s="329"/>
      <c r="O240" s="329"/>
      <c r="P240" s="329"/>
    </row>
    <row r="241">
      <c r="E241" s="329"/>
      <c r="F241" s="329"/>
      <c r="G241" s="329"/>
      <c r="H241" s="329"/>
      <c r="I241" s="329"/>
      <c r="J241" s="329"/>
      <c r="K241" s="329"/>
      <c r="L241" s="329"/>
      <c r="M241" s="329"/>
      <c r="N241" s="329"/>
      <c r="O241" s="329"/>
      <c r="P241" s="329"/>
    </row>
    <row r="242">
      <c r="E242" s="329"/>
      <c r="F242" s="329"/>
      <c r="G242" s="329"/>
      <c r="H242" s="329"/>
      <c r="I242" s="329"/>
      <c r="J242" s="329"/>
      <c r="K242" s="329"/>
      <c r="L242" s="329"/>
      <c r="M242" s="329"/>
      <c r="N242" s="329"/>
      <c r="O242" s="329"/>
      <c r="P242" s="329"/>
    </row>
    <row r="243">
      <c r="E243" s="329"/>
      <c r="F243" s="329"/>
      <c r="G243" s="329"/>
      <c r="H243" s="329"/>
      <c r="I243" s="329"/>
      <c r="J243" s="329"/>
      <c r="K243" s="329"/>
      <c r="L243" s="329"/>
      <c r="M243" s="329"/>
      <c r="N243" s="329"/>
      <c r="O243" s="329"/>
      <c r="P243" s="329"/>
    </row>
    <row r="244">
      <c r="E244" s="329"/>
      <c r="F244" s="329"/>
      <c r="G244" s="329"/>
      <c r="H244" s="329"/>
      <c r="I244" s="329"/>
      <c r="J244" s="329"/>
      <c r="K244" s="329"/>
      <c r="L244" s="329"/>
      <c r="M244" s="329"/>
      <c r="N244" s="329"/>
      <c r="O244" s="329"/>
      <c r="P244" s="329"/>
    </row>
    <row r="245">
      <c r="E245" s="329"/>
      <c r="F245" s="329"/>
      <c r="G245" s="329"/>
      <c r="H245" s="329"/>
      <c r="I245" s="329"/>
      <c r="J245" s="329"/>
      <c r="K245" s="329"/>
      <c r="L245" s="329"/>
      <c r="M245" s="329"/>
      <c r="N245" s="329"/>
      <c r="O245" s="329"/>
      <c r="P245" s="329"/>
    </row>
    <row r="246">
      <c r="E246" s="329"/>
      <c r="F246" s="329"/>
      <c r="G246" s="329"/>
      <c r="H246" s="329"/>
      <c r="I246" s="329"/>
      <c r="J246" s="329"/>
      <c r="K246" s="329"/>
      <c r="L246" s="329"/>
      <c r="M246" s="329"/>
      <c r="N246" s="329"/>
      <c r="O246" s="329"/>
      <c r="P246" s="329"/>
    </row>
    <row r="247">
      <c r="E247" s="329"/>
      <c r="F247" s="329"/>
      <c r="G247" s="329"/>
      <c r="H247" s="329"/>
      <c r="I247" s="329"/>
      <c r="J247" s="329"/>
      <c r="K247" s="329"/>
      <c r="L247" s="329"/>
      <c r="M247" s="329"/>
      <c r="N247" s="329"/>
      <c r="O247" s="329"/>
      <c r="P247" s="329"/>
    </row>
    <row r="248">
      <c r="E248" s="329"/>
      <c r="F248" s="329"/>
      <c r="G248" s="329"/>
      <c r="H248" s="329"/>
      <c r="I248" s="329"/>
      <c r="J248" s="329"/>
      <c r="K248" s="329"/>
      <c r="L248" s="329"/>
      <c r="M248" s="329"/>
      <c r="N248" s="329"/>
      <c r="O248" s="329"/>
      <c r="P248" s="329"/>
    </row>
    <row r="249">
      <c r="E249" s="329"/>
      <c r="F249" s="329"/>
      <c r="G249" s="329"/>
      <c r="H249" s="329"/>
      <c r="I249" s="329"/>
      <c r="J249" s="329"/>
      <c r="K249" s="329"/>
      <c r="L249" s="329"/>
      <c r="M249" s="329"/>
      <c r="N249" s="329"/>
      <c r="O249" s="329"/>
      <c r="P249" s="329"/>
    </row>
    <row r="250">
      <c r="E250" s="329"/>
      <c r="F250" s="329"/>
      <c r="G250" s="329"/>
      <c r="H250" s="329"/>
      <c r="I250" s="329"/>
      <c r="J250" s="329"/>
      <c r="K250" s="329"/>
      <c r="L250" s="329"/>
      <c r="M250" s="329"/>
      <c r="N250" s="329"/>
      <c r="O250" s="329"/>
      <c r="P250" s="329"/>
    </row>
    <row r="251">
      <c r="E251" s="329"/>
      <c r="F251" s="329"/>
      <c r="G251" s="329"/>
      <c r="H251" s="329"/>
      <c r="I251" s="329"/>
      <c r="J251" s="329"/>
      <c r="K251" s="329"/>
      <c r="L251" s="329"/>
      <c r="M251" s="329"/>
      <c r="N251" s="329"/>
      <c r="O251" s="329"/>
      <c r="P251" s="329"/>
    </row>
    <row r="252">
      <c r="E252" s="329"/>
      <c r="F252" s="329"/>
      <c r="G252" s="329"/>
      <c r="H252" s="329"/>
      <c r="I252" s="329"/>
      <c r="J252" s="329"/>
      <c r="K252" s="329"/>
      <c r="L252" s="329"/>
      <c r="M252" s="329"/>
      <c r="N252" s="329"/>
      <c r="O252" s="329"/>
      <c r="P252" s="329"/>
    </row>
    <row r="253">
      <c r="E253" s="329"/>
      <c r="F253" s="329"/>
      <c r="G253" s="329"/>
      <c r="H253" s="329"/>
      <c r="I253" s="329"/>
      <c r="J253" s="329"/>
      <c r="K253" s="329"/>
      <c r="L253" s="329"/>
      <c r="M253" s="329"/>
      <c r="N253" s="329"/>
      <c r="O253" s="329"/>
      <c r="P253" s="329"/>
    </row>
    <row r="254">
      <c r="E254" s="329"/>
      <c r="F254" s="329"/>
      <c r="G254" s="329"/>
      <c r="H254" s="329"/>
      <c r="I254" s="329"/>
      <c r="J254" s="329"/>
      <c r="K254" s="329"/>
      <c r="L254" s="329"/>
      <c r="M254" s="329"/>
      <c r="N254" s="329"/>
      <c r="O254" s="329"/>
      <c r="P254" s="329"/>
    </row>
    <row r="255">
      <c r="E255" s="329"/>
      <c r="F255" s="329"/>
      <c r="G255" s="329"/>
      <c r="H255" s="329"/>
      <c r="I255" s="329"/>
      <c r="J255" s="329"/>
      <c r="K255" s="329"/>
      <c r="L255" s="329"/>
      <c r="M255" s="329"/>
      <c r="N255" s="329"/>
      <c r="O255" s="329"/>
      <c r="P255" s="329"/>
    </row>
    <row r="256">
      <c r="E256" s="329"/>
      <c r="F256" s="329"/>
      <c r="G256" s="329"/>
      <c r="H256" s="329"/>
      <c r="I256" s="329"/>
      <c r="J256" s="329"/>
      <c r="K256" s="329"/>
      <c r="L256" s="329"/>
      <c r="M256" s="329"/>
      <c r="N256" s="329"/>
      <c r="O256" s="329"/>
      <c r="P256" s="329"/>
    </row>
    <row r="257">
      <c r="E257" s="329"/>
      <c r="F257" s="329"/>
      <c r="G257" s="329"/>
      <c r="H257" s="329"/>
      <c r="I257" s="329"/>
      <c r="J257" s="329"/>
      <c r="K257" s="329"/>
      <c r="L257" s="329"/>
      <c r="M257" s="329"/>
      <c r="N257" s="329"/>
      <c r="O257" s="329"/>
      <c r="P257" s="329"/>
    </row>
    <row r="258">
      <c r="E258" s="329"/>
      <c r="F258" s="329"/>
      <c r="G258" s="329"/>
      <c r="H258" s="329"/>
      <c r="I258" s="329"/>
      <c r="J258" s="329"/>
      <c r="K258" s="329"/>
      <c r="L258" s="329"/>
      <c r="M258" s="329"/>
      <c r="N258" s="329"/>
      <c r="O258" s="329"/>
      <c r="P258" s="329"/>
    </row>
    <row r="259"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329"/>
    </row>
    <row r="260">
      <c r="E260" s="329"/>
      <c r="F260" s="329"/>
      <c r="G260" s="329"/>
      <c r="H260" s="329"/>
      <c r="I260" s="329"/>
      <c r="J260" s="329"/>
      <c r="K260" s="329"/>
      <c r="L260" s="329"/>
      <c r="M260" s="329"/>
      <c r="N260" s="329"/>
      <c r="O260" s="329"/>
      <c r="P260" s="329"/>
    </row>
    <row r="261"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</row>
    <row r="262">
      <c r="E262" s="329"/>
      <c r="F262" s="329"/>
      <c r="G262" s="329"/>
      <c r="H262" s="329"/>
      <c r="I262" s="329"/>
      <c r="J262" s="329"/>
      <c r="K262" s="329"/>
      <c r="L262" s="329"/>
      <c r="M262" s="329"/>
      <c r="N262" s="329"/>
      <c r="O262" s="329"/>
      <c r="P262" s="329"/>
    </row>
    <row r="263">
      <c r="E263" s="329"/>
      <c r="F263" s="329"/>
      <c r="G263" s="329"/>
      <c r="H263" s="329"/>
      <c r="I263" s="329"/>
      <c r="J263" s="329"/>
      <c r="K263" s="329"/>
      <c r="L263" s="329"/>
      <c r="M263" s="329"/>
      <c r="N263" s="329"/>
      <c r="O263" s="329"/>
      <c r="P263" s="329"/>
    </row>
    <row r="264">
      <c r="E264" s="329"/>
      <c r="F264" s="329"/>
      <c r="G264" s="329"/>
      <c r="H264" s="329"/>
      <c r="I264" s="329"/>
      <c r="J264" s="329"/>
      <c r="K264" s="329"/>
      <c r="L264" s="329"/>
      <c r="M264" s="329"/>
      <c r="N264" s="329"/>
      <c r="O264" s="329"/>
      <c r="P264" s="329"/>
    </row>
    <row r="265">
      <c r="E265" s="329"/>
      <c r="F265" s="329"/>
      <c r="G265" s="329"/>
      <c r="H265" s="329"/>
      <c r="I265" s="329"/>
      <c r="J265" s="329"/>
      <c r="K265" s="329"/>
      <c r="L265" s="329"/>
      <c r="M265" s="329"/>
      <c r="N265" s="329"/>
      <c r="O265" s="329"/>
      <c r="P265" s="329"/>
    </row>
    <row r="266">
      <c r="E266" s="329"/>
      <c r="F266" s="329"/>
      <c r="G266" s="329"/>
      <c r="H266" s="329"/>
      <c r="I266" s="329"/>
      <c r="J266" s="329"/>
      <c r="K266" s="329"/>
      <c r="L266" s="329"/>
      <c r="M266" s="329"/>
      <c r="N266" s="329"/>
      <c r="O266" s="329"/>
      <c r="P266" s="329"/>
    </row>
    <row r="267">
      <c r="E267" s="329"/>
      <c r="F267" s="329"/>
      <c r="G267" s="329"/>
      <c r="H267" s="329"/>
      <c r="I267" s="329"/>
      <c r="J267" s="329"/>
      <c r="K267" s="329"/>
      <c r="L267" s="329"/>
      <c r="M267" s="329"/>
      <c r="N267" s="329"/>
      <c r="O267" s="329"/>
      <c r="P267" s="329"/>
    </row>
    <row r="268">
      <c r="E268" s="329"/>
      <c r="F268" s="329"/>
      <c r="G268" s="329"/>
      <c r="H268" s="329"/>
      <c r="I268" s="329"/>
      <c r="J268" s="329"/>
      <c r="K268" s="329"/>
      <c r="L268" s="329"/>
      <c r="M268" s="329"/>
      <c r="N268" s="329"/>
      <c r="O268" s="329"/>
      <c r="P268" s="329"/>
    </row>
    <row r="269">
      <c r="E269" s="329"/>
      <c r="F269" s="329"/>
      <c r="G269" s="329"/>
      <c r="H269" s="329"/>
      <c r="I269" s="329"/>
      <c r="J269" s="329"/>
      <c r="K269" s="329"/>
      <c r="L269" s="329"/>
      <c r="M269" s="329"/>
      <c r="N269" s="329"/>
      <c r="O269" s="329"/>
      <c r="P269" s="329"/>
    </row>
    <row r="270">
      <c r="E270" s="329"/>
      <c r="F270" s="329"/>
      <c r="G270" s="329"/>
      <c r="H270" s="329"/>
      <c r="I270" s="329"/>
      <c r="J270" s="329"/>
      <c r="K270" s="329"/>
      <c r="L270" s="329"/>
      <c r="M270" s="329"/>
      <c r="N270" s="329"/>
      <c r="O270" s="329"/>
      <c r="P270" s="329"/>
    </row>
    <row r="271">
      <c r="E271" s="329"/>
      <c r="F271" s="329"/>
      <c r="G271" s="329"/>
      <c r="H271" s="329"/>
      <c r="I271" s="329"/>
      <c r="J271" s="329"/>
      <c r="K271" s="329"/>
      <c r="L271" s="329"/>
      <c r="M271" s="329"/>
      <c r="N271" s="329"/>
      <c r="O271" s="329"/>
      <c r="P271" s="329"/>
    </row>
    <row r="272">
      <c r="E272" s="329"/>
      <c r="F272" s="329"/>
      <c r="G272" s="329"/>
      <c r="H272" s="329"/>
      <c r="I272" s="329"/>
      <c r="J272" s="329"/>
      <c r="K272" s="329"/>
      <c r="L272" s="329"/>
      <c r="M272" s="329"/>
      <c r="N272" s="329"/>
      <c r="O272" s="329"/>
      <c r="P272" s="329"/>
    </row>
    <row r="273">
      <c r="E273" s="329"/>
      <c r="F273" s="329"/>
      <c r="G273" s="329"/>
      <c r="H273" s="329"/>
      <c r="I273" s="329"/>
      <c r="J273" s="329"/>
      <c r="K273" s="329"/>
      <c r="L273" s="329"/>
      <c r="M273" s="329"/>
      <c r="N273" s="329"/>
      <c r="O273" s="329"/>
      <c r="P273" s="329"/>
    </row>
    <row r="274">
      <c r="E274" s="329"/>
      <c r="F274" s="329"/>
      <c r="G274" s="329"/>
      <c r="H274" s="329"/>
      <c r="I274" s="329"/>
      <c r="J274" s="329"/>
      <c r="K274" s="329"/>
      <c r="L274" s="329"/>
      <c r="M274" s="329"/>
      <c r="N274" s="329"/>
      <c r="O274" s="329"/>
      <c r="P274" s="329"/>
    </row>
    <row r="275">
      <c r="E275" s="329"/>
      <c r="F275" s="329"/>
      <c r="G275" s="329"/>
      <c r="H275" s="329"/>
      <c r="I275" s="329"/>
      <c r="J275" s="329"/>
      <c r="K275" s="329"/>
      <c r="L275" s="329"/>
      <c r="M275" s="329"/>
      <c r="N275" s="329"/>
      <c r="O275" s="329"/>
      <c r="P275" s="329"/>
    </row>
    <row r="276">
      <c r="E276" s="329"/>
      <c r="F276" s="329"/>
      <c r="G276" s="329"/>
      <c r="H276" s="329"/>
      <c r="I276" s="329"/>
      <c r="J276" s="329"/>
      <c r="K276" s="329"/>
      <c r="L276" s="329"/>
      <c r="M276" s="329"/>
      <c r="N276" s="329"/>
      <c r="O276" s="329"/>
      <c r="P276" s="329"/>
    </row>
    <row r="277">
      <c r="E277" s="329"/>
      <c r="F277" s="329"/>
      <c r="G277" s="329"/>
      <c r="H277" s="329"/>
      <c r="I277" s="329"/>
      <c r="J277" s="329"/>
      <c r="K277" s="329"/>
      <c r="L277" s="329"/>
      <c r="M277" s="329"/>
      <c r="N277" s="329"/>
      <c r="O277" s="329"/>
      <c r="P277" s="329"/>
    </row>
    <row r="278">
      <c r="E278" s="329"/>
      <c r="F278" s="329"/>
      <c r="G278" s="329"/>
      <c r="H278" s="329"/>
      <c r="I278" s="329"/>
      <c r="J278" s="329"/>
      <c r="K278" s="329"/>
      <c r="L278" s="329"/>
      <c r="M278" s="329"/>
      <c r="N278" s="329"/>
      <c r="O278" s="329"/>
      <c r="P278" s="329"/>
    </row>
    <row r="279">
      <c r="E279" s="329"/>
      <c r="F279" s="329"/>
      <c r="G279" s="329"/>
      <c r="H279" s="329"/>
      <c r="I279" s="329"/>
      <c r="J279" s="329"/>
      <c r="K279" s="329"/>
      <c r="L279" s="329"/>
      <c r="M279" s="329"/>
      <c r="N279" s="329"/>
      <c r="O279" s="329"/>
      <c r="P279" s="329"/>
    </row>
    <row r="280">
      <c r="E280" s="329"/>
      <c r="F280" s="329"/>
      <c r="G280" s="329"/>
      <c r="H280" s="329"/>
      <c r="I280" s="329"/>
      <c r="J280" s="329"/>
      <c r="K280" s="329"/>
      <c r="L280" s="329"/>
      <c r="M280" s="329"/>
      <c r="N280" s="329"/>
      <c r="O280" s="329"/>
      <c r="P280" s="329"/>
    </row>
    <row r="281">
      <c r="E281" s="329"/>
      <c r="F281" s="329"/>
      <c r="G281" s="329"/>
      <c r="H281" s="329"/>
      <c r="I281" s="329"/>
      <c r="J281" s="329"/>
      <c r="K281" s="329"/>
      <c r="L281" s="329"/>
      <c r="M281" s="329"/>
      <c r="N281" s="329"/>
      <c r="O281" s="329"/>
      <c r="P281" s="329"/>
    </row>
    <row r="282">
      <c r="E282" s="329"/>
      <c r="F282" s="329"/>
      <c r="G282" s="329"/>
      <c r="H282" s="329"/>
      <c r="I282" s="329"/>
      <c r="J282" s="329"/>
      <c r="K282" s="329"/>
      <c r="L282" s="329"/>
      <c r="M282" s="329"/>
      <c r="N282" s="329"/>
      <c r="O282" s="329"/>
      <c r="P282" s="329"/>
    </row>
    <row r="283">
      <c r="E283" s="329"/>
      <c r="F283" s="329"/>
      <c r="G283" s="329"/>
      <c r="H283" s="329"/>
      <c r="I283" s="329"/>
      <c r="J283" s="329"/>
      <c r="K283" s="329"/>
      <c r="L283" s="329"/>
      <c r="M283" s="329"/>
      <c r="N283" s="329"/>
      <c r="O283" s="329"/>
      <c r="P283" s="329"/>
    </row>
    <row r="284">
      <c r="E284" s="329"/>
      <c r="F284" s="329"/>
      <c r="G284" s="329"/>
      <c r="H284" s="329"/>
      <c r="I284" s="329"/>
      <c r="J284" s="329"/>
      <c r="K284" s="329"/>
      <c r="L284" s="329"/>
      <c r="M284" s="329"/>
      <c r="N284" s="329"/>
      <c r="O284" s="329"/>
      <c r="P284" s="329"/>
    </row>
    <row r="285">
      <c r="E285" s="329"/>
      <c r="F285" s="329"/>
      <c r="G285" s="329"/>
      <c r="H285" s="329"/>
      <c r="I285" s="329"/>
      <c r="J285" s="329"/>
      <c r="K285" s="329"/>
      <c r="L285" s="329"/>
      <c r="M285" s="329"/>
      <c r="N285" s="329"/>
      <c r="O285" s="329"/>
      <c r="P285" s="329"/>
    </row>
    <row r="286">
      <c r="E286" s="329"/>
      <c r="F286" s="329"/>
      <c r="G286" s="329"/>
      <c r="H286" s="329"/>
      <c r="I286" s="329"/>
      <c r="J286" s="329"/>
      <c r="K286" s="329"/>
      <c r="L286" s="329"/>
      <c r="M286" s="329"/>
      <c r="N286" s="329"/>
      <c r="O286" s="329"/>
      <c r="P286" s="329"/>
    </row>
    <row r="287">
      <c r="E287" s="329"/>
      <c r="F287" s="329"/>
      <c r="G287" s="329"/>
      <c r="H287" s="329"/>
      <c r="I287" s="329"/>
      <c r="J287" s="329"/>
      <c r="K287" s="329"/>
      <c r="L287" s="329"/>
      <c r="M287" s="329"/>
      <c r="N287" s="329"/>
      <c r="O287" s="329"/>
      <c r="P287" s="329"/>
    </row>
    <row r="288">
      <c r="E288" s="329"/>
      <c r="F288" s="329"/>
      <c r="G288" s="329"/>
      <c r="H288" s="329"/>
      <c r="I288" s="329"/>
      <c r="J288" s="329"/>
      <c r="K288" s="329"/>
      <c r="L288" s="329"/>
      <c r="M288" s="329"/>
      <c r="N288" s="329"/>
      <c r="O288" s="329"/>
      <c r="P288" s="329"/>
    </row>
    <row r="289">
      <c r="E289" s="329"/>
      <c r="F289" s="329"/>
      <c r="G289" s="329"/>
      <c r="H289" s="329"/>
      <c r="I289" s="329"/>
      <c r="J289" s="329"/>
      <c r="K289" s="329"/>
      <c r="L289" s="329"/>
      <c r="M289" s="329"/>
      <c r="N289" s="329"/>
      <c r="O289" s="329"/>
      <c r="P289" s="329"/>
    </row>
    <row r="290">
      <c r="E290" s="329"/>
      <c r="F290" s="329"/>
      <c r="G290" s="329"/>
      <c r="H290" s="329"/>
      <c r="I290" s="329"/>
      <c r="J290" s="329"/>
      <c r="K290" s="329"/>
      <c r="L290" s="329"/>
      <c r="M290" s="329"/>
      <c r="N290" s="329"/>
      <c r="O290" s="329"/>
      <c r="P290" s="329"/>
    </row>
    <row r="291">
      <c r="E291" s="329"/>
      <c r="F291" s="329"/>
      <c r="G291" s="329"/>
      <c r="H291" s="329"/>
      <c r="I291" s="329"/>
      <c r="J291" s="329"/>
      <c r="K291" s="329"/>
      <c r="L291" s="329"/>
      <c r="M291" s="329"/>
      <c r="N291" s="329"/>
      <c r="O291" s="329"/>
      <c r="P291" s="329"/>
    </row>
    <row r="292">
      <c r="E292" s="329"/>
      <c r="F292" s="329"/>
      <c r="G292" s="329"/>
      <c r="H292" s="329"/>
      <c r="I292" s="329"/>
      <c r="J292" s="329"/>
      <c r="K292" s="329"/>
      <c r="L292" s="329"/>
      <c r="M292" s="329"/>
      <c r="N292" s="329"/>
      <c r="O292" s="329"/>
      <c r="P292" s="329"/>
    </row>
    <row r="293">
      <c r="E293" s="329"/>
      <c r="F293" s="329"/>
      <c r="G293" s="329"/>
      <c r="H293" s="329"/>
      <c r="I293" s="329"/>
      <c r="J293" s="329"/>
      <c r="K293" s="329"/>
      <c r="L293" s="329"/>
      <c r="M293" s="329"/>
      <c r="N293" s="329"/>
      <c r="O293" s="329"/>
      <c r="P293" s="329"/>
    </row>
    <row r="294">
      <c r="E294" s="329"/>
      <c r="F294" s="329"/>
      <c r="G294" s="329"/>
      <c r="H294" s="329"/>
      <c r="I294" s="329"/>
      <c r="J294" s="329"/>
      <c r="K294" s="329"/>
      <c r="L294" s="329"/>
      <c r="M294" s="329"/>
      <c r="N294" s="329"/>
      <c r="O294" s="329"/>
      <c r="P294" s="329"/>
    </row>
    <row r="295">
      <c r="E295" s="329"/>
      <c r="F295" s="329"/>
      <c r="G295" s="329"/>
      <c r="H295" s="329"/>
      <c r="I295" s="329"/>
      <c r="J295" s="329"/>
      <c r="K295" s="329"/>
      <c r="L295" s="329"/>
      <c r="M295" s="329"/>
      <c r="N295" s="329"/>
      <c r="O295" s="329"/>
      <c r="P295" s="329"/>
    </row>
    <row r="296">
      <c r="E296" s="329"/>
      <c r="F296" s="329"/>
      <c r="G296" s="329"/>
      <c r="H296" s="329"/>
      <c r="I296" s="329"/>
      <c r="J296" s="329"/>
      <c r="K296" s="329"/>
      <c r="L296" s="329"/>
      <c r="M296" s="329"/>
      <c r="N296" s="329"/>
      <c r="O296" s="329"/>
      <c r="P296" s="329"/>
    </row>
    <row r="297">
      <c r="E297" s="329"/>
      <c r="F297" s="329"/>
      <c r="G297" s="329"/>
      <c r="H297" s="329"/>
      <c r="I297" s="329"/>
      <c r="J297" s="329"/>
      <c r="K297" s="329"/>
      <c r="L297" s="329"/>
      <c r="M297" s="329"/>
      <c r="N297" s="329"/>
      <c r="O297" s="329"/>
      <c r="P297" s="329"/>
    </row>
    <row r="298">
      <c r="E298" s="329"/>
      <c r="F298" s="329"/>
      <c r="G298" s="329"/>
      <c r="H298" s="329"/>
      <c r="I298" s="329"/>
      <c r="J298" s="329"/>
      <c r="K298" s="329"/>
      <c r="L298" s="329"/>
      <c r="M298" s="329"/>
      <c r="N298" s="329"/>
      <c r="O298" s="329"/>
      <c r="P298" s="329"/>
    </row>
    <row r="299">
      <c r="E299" s="329"/>
      <c r="F299" s="329"/>
      <c r="G299" s="329"/>
      <c r="H299" s="329"/>
      <c r="I299" s="329"/>
      <c r="J299" s="329"/>
      <c r="K299" s="329"/>
      <c r="L299" s="329"/>
      <c r="M299" s="329"/>
      <c r="N299" s="329"/>
      <c r="O299" s="329"/>
      <c r="P299" s="329"/>
    </row>
    <row r="300">
      <c r="E300" s="329"/>
      <c r="F300" s="329"/>
      <c r="G300" s="329"/>
      <c r="H300" s="329"/>
      <c r="I300" s="329"/>
      <c r="J300" s="329"/>
      <c r="K300" s="329"/>
      <c r="L300" s="329"/>
      <c r="M300" s="329"/>
      <c r="N300" s="329"/>
      <c r="O300" s="329"/>
      <c r="P300" s="329"/>
    </row>
    <row r="301">
      <c r="E301" s="329"/>
      <c r="F301" s="329"/>
      <c r="G301" s="329"/>
      <c r="H301" s="329"/>
      <c r="I301" s="329"/>
      <c r="J301" s="329"/>
      <c r="K301" s="329"/>
      <c r="L301" s="329"/>
      <c r="M301" s="329"/>
      <c r="N301" s="329"/>
      <c r="O301" s="329"/>
      <c r="P301" s="329"/>
    </row>
    <row r="302">
      <c r="E302" s="329"/>
      <c r="F302" s="329"/>
      <c r="G302" s="329"/>
      <c r="H302" s="329"/>
      <c r="I302" s="329"/>
      <c r="J302" s="329"/>
      <c r="K302" s="329"/>
      <c r="L302" s="329"/>
      <c r="M302" s="329"/>
      <c r="N302" s="329"/>
      <c r="O302" s="329"/>
      <c r="P302" s="329"/>
    </row>
    <row r="303">
      <c r="E303" s="329"/>
      <c r="F303" s="329"/>
      <c r="G303" s="329"/>
      <c r="H303" s="329"/>
      <c r="I303" s="329"/>
      <c r="J303" s="329"/>
      <c r="K303" s="329"/>
      <c r="L303" s="329"/>
      <c r="M303" s="329"/>
      <c r="N303" s="329"/>
      <c r="O303" s="329"/>
      <c r="P303" s="329"/>
    </row>
    <row r="304">
      <c r="E304" s="329"/>
      <c r="F304" s="329"/>
      <c r="G304" s="329"/>
      <c r="H304" s="329"/>
      <c r="I304" s="329"/>
      <c r="J304" s="329"/>
      <c r="K304" s="329"/>
      <c r="L304" s="329"/>
      <c r="M304" s="329"/>
      <c r="N304" s="329"/>
      <c r="O304" s="329"/>
      <c r="P304" s="329"/>
    </row>
    <row r="305">
      <c r="E305" s="329"/>
      <c r="F305" s="329"/>
      <c r="G305" s="329"/>
      <c r="H305" s="329"/>
      <c r="I305" s="329"/>
      <c r="J305" s="329"/>
      <c r="K305" s="329"/>
      <c r="L305" s="329"/>
      <c r="M305" s="329"/>
      <c r="N305" s="329"/>
      <c r="O305" s="329"/>
      <c r="P305" s="329"/>
    </row>
    <row r="306">
      <c r="E306" s="329"/>
      <c r="F306" s="329"/>
      <c r="G306" s="329"/>
      <c r="H306" s="329"/>
      <c r="I306" s="329"/>
      <c r="J306" s="329"/>
      <c r="K306" s="329"/>
      <c r="L306" s="329"/>
      <c r="M306" s="329"/>
      <c r="N306" s="329"/>
      <c r="O306" s="329"/>
      <c r="P306" s="329"/>
    </row>
    <row r="307">
      <c r="E307" s="329"/>
      <c r="F307" s="329"/>
      <c r="G307" s="329"/>
      <c r="H307" s="329"/>
      <c r="I307" s="329"/>
      <c r="J307" s="329"/>
      <c r="K307" s="329"/>
      <c r="L307" s="329"/>
      <c r="M307" s="329"/>
      <c r="N307" s="329"/>
      <c r="O307" s="329"/>
      <c r="P307" s="329"/>
    </row>
    <row r="308">
      <c r="E308" s="329"/>
      <c r="F308" s="329"/>
      <c r="G308" s="329"/>
      <c r="H308" s="329"/>
      <c r="I308" s="329"/>
      <c r="J308" s="329"/>
      <c r="K308" s="329"/>
      <c r="L308" s="329"/>
      <c r="M308" s="329"/>
      <c r="N308" s="329"/>
      <c r="O308" s="329"/>
      <c r="P308" s="329"/>
    </row>
    <row r="309">
      <c r="E309" s="329"/>
      <c r="F309" s="329"/>
      <c r="G309" s="329"/>
      <c r="H309" s="329"/>
      <c r="I309" s="329"/>
      <c r="J309" s="329"/>
      <c r="K309" s="329"/>
      <c r="L309" s="329"/>
      <c r="M309" s="329"/>
      <c r="N309" s="329"/>
      <c r="O309" s="329"/>
      <c r="P309" s="329"/>
    </row>
    <row r="310">
      <c r="E310" s="329"/>
      <c r="F310" s="329"/>
      <c r="G310" s="329"/>
      <c r="H310" s="329"/>
      <c r="I310" s="329"/>
      <c r="J310" s="329"/>
      <c r="K310" s="329"/>
      <c r="L310" s="329"/>
      <c r="M310" s="329"/>
      <c r="N310" s="329"/>
      <c r="O310" s="329"/>
      <c r="P310" s="329"/>
    </row>
    <row r="311">
      <c r="E311" s="329"/>
      <c r="F311" s="329"/>
      <c r="G311" s="329"/>
      <c r="H311" s="329"/>
      <c r="I311" s="329"/>
      <c r="J311" s="329"/>
      <c r="K311" s="329"/>
      <c r="L311" s="329"/>
      <c r="M311" s="329"/>
      <c r="N311" s="329"/>
      <c r="O311" s="329"/>
      <c r="P311" s="329"/>
    </row>
    <row r="312">
      <c r="E312" s="329"/>
      <c r="F312" s="329"/>
      <c r="G312" s="329"/>
      <c r="H312" s="329"/>
      <c r="I312" s="329"/>
      <c r="J312" s="329"/>
      <c r="K312" s="329"/>
      <c r="L312" s="329"/>
      <c r="M312" s="329"/>
      <c r="N312" s="329"/>
      <c r="O312" s="329"/>
      <c r="P312" s="329"/>
    </row>
    <row r="313">
      <c r="E313" s="329"/>
      <c r="F313" s="329"/>
      <c r="G313" s="329"/>
      <c r="H313" s="329"/>
      <c r="I313" s="329"/>
      <c r="J313" s="329"/>
      <c r="K313" s="329"/>
      <c r="L313" s="329"/>
      <c r="M313" s="329"/>
      <c r="N313" s="329"/>
      <c r="O313" s="329"/>
      <c r="P313" s="329"/>
    </row>
    <row r="314">
      <c r="E314" s="329"/>
      <c r="F314" s="329"/>
      <c r="G314" s="329"/>
      <c r="H314" s="329"/>
      <c r="I314" s="329"/>
      <c r="J314" s="329"/>
      <c r="K314" s="329"/>
      <c r="L314" s="329"/>
      <c r="M314" s="329"/>
      <c r="N314" s="329"/>
      <c r="O314" s="329"/>
      <c r="P314" s="329"/>
    </row>
    <row r="315">
      <c r="E315" s="329"/>
      <c r="F315" s="329"/>
      <c r="G315" s="329"/>
      <c r="H315" s="329"/>
      <c r="I315" s="329"/>
      <c r="J315" s="329"/>
      <c r="K315" s="329"/>
      <c r="L315" s="329"/>
      <c r="M315" s="329"/>
      <c r="N315" s="329"/>
      <c r="O315" s="329"/>
      <c r="P315" s="329"/>
    </row>
    <row r="316">
      <c r="E316" s="329"/>
      <c r="F316" s="329"/>
      <c r="G316" s="329"/>
      <c r="H316" s="329"/>
      <c r="I316" s="329"/>
      <c r="J316" s="329"/>
      <c r="K316" s="329"/>
      <c r="L316" s="329"/>
      <c r="M316" s="329"/>
      <c r="N316" s="329"/>
      <c r="O316" s="329"/>
      <c r="P316" s="329"/>
    </row>
    <row r="317">
      <c r="E317" s="329"/>
      <c r="F317" s="329"/>
      <c r="G317" s="329"/>
      <c r="H317" s="329"/>
      <c r="I317" s="329"/>
      <c r="J317" s="329"/>
      <c r="K317" s="329"/>
      <c r="L317" s="329"/>
      <c r="M317" s="329"/>
      <c r="N317" s="329"/>
      <c r="O317" s="329"/>
      <c r="P317" s="329"/>
    </row>
    <row r="318">
      <c r="E318" s="329"/>
      <c r="F318" s="329"/>
      <c r="G318" s="329"/>
      <c r="H318" s="329"/>
      <c r="I318" s="329"/>
      <c r="J318" s="329"/>
      <c r="K318" s="329"/>
      <c r="L318" s="329"/>
      <c r="M318" s="329"/>
      <c r="N318" s="329"/>
      <c r="O318" s="329"/>
      <c r="P318" s="329"/>
    </row>
    <row r="319">
      <c r="E319" s="329"/>
      <c r="F319" s="329"/>
      <c r="G319" s="329"/>
      <c r="H319" s="329"/>
      <c r="I319" s="329"/>
      <c r="J319" s="329"/>
      <c r="K319" s="329"/>
      <c r="L319" s="329"/>
      <c r="M319" s="329"/>
      <c r="N319" s="329"/>
      <c r="O319" s="329"/>
      <c r="P319" s="329"/>
    </row>
    <row r="320">
      <c r="E320" s="329"/>
      <c r="F320" s="329"/>
      <c r="G320" s="329"/>
      <c r="H320" s="329"/>
      <c r="I320" s="329"/>
      <c r="J320" s="329"/>
      <c r="K320" s="329"/>
      <c r="L320" s="329"/>
      <c r="M320" s="329"/>
      <c r="N320" s="329"/>
      <c r="O320" s="329"/>
      <c r="P320" s="329"/>
    </row>
    <row r="321">
      <c r="E321" s="329"/>
      <c r="F321" s="329"/>
      <c r="G321" s="329"/>
      <c r="H321" s="329"/>
      <c r="I321" s="329"/>
      <c r="J321" s="329"/>
      <c r="K321" s="329"/>
      <c r="L321" s="329"/>
      <c r="M321" s="329"/>
      <c r="N321" s="329"/>
      <c r="O321" s="329"/>
      <c r="P321" s="329"/>
    </row>
    <row r="322">
      <c r="E322" s="329"/>
      <c r="F322" s="329"/>
      <c r="G322" s="329"/>
      <c r="H322" s="329"/>
      <c r="I322" s="329"/>
      <c r="J322" s="329"/>
      <c r="K322" s="329"/>
      <c r="L322" s="329"/>
      <c r="M322" s="329"/>
      <c r="N322" s="329"/>
      <c r="O322" s="329"/>
      <c r="P322" s="329"/>
    </row>
    <row r="323">
      <c r="E323" s="329"/>
      <c r="F323" s="329"/>
      <c r="G323" s="329"/>
      <c r="H323" s="329"/>
      <c r="I323" s="329"/>
      <c r="J323" s="329"/>
      <c r="K323" s="329"/>
      <c r="L323" s="329"/>
      <c r="M323" s="329"/>
      <c r="N323" s="329"/>
      <c r="O323" s="329"/>
      <c r="P323" s="329"/>
    </row>
    <row r="324">
      <c r="E324" s="329"/>
      <c r="F324" s="329"/>
      <c r="G324" s="329"/>
      <c r="H324" s="329"/>
      <c r="I324" s="329"/>
      <c r="J324" s="329"/>
      <c r="K324" s="329"/>
      <c r="L324" s="329"/>
      <c r="M324" s="329"/>
      <c r="N324" s="329"/>
      <c r="O324" s="329"/>
      <c r="P324" s="329"/>
    </row>
    <row r="325">
      <c r="E325" s="329"/>
      <c r="F325" s="329"/>
      <c r="G325" s="329"/>
      <c r="H325" s="329"/>
      <c r="I325" s="329"/>
      <c r="J325" s="329"/>
      <c r="K325" s="329"/>
      <c r="L325" s="329"/>
      <c r="M325" s="329"/>
      <c r="N325" s="329"/>
      <c r="O325" s="329"/>
      <c r="P325" s="329"/>
    </row>
    <row r="326">
      <c r="E326" s="329"/>
      <c r="F326" s="329"/>
      <c r="G326" s="329"/>
      <c r="H326" s="329"/>
      <c r="I326" s="329"/>
      <c r="J326" s="329"/>
      <c r="K326" s="329"/>
      <c r="L326" s="329"/>
      <c r="M326" s="329"/>
      <c r="N326" s="329"/>
      <c r="O326" s="329"/>
      <c r="P326" s="329"/>
    </row>
    <row r="327">
      <c r="E327" s="329"/>
      <c r="F327" s="329"/>
      <c r="G327" s="329"/>
      <c r="H327" s="329"/>
      <c r="I327" s="329"/>
      <c r="J327" s="329"/>
      <c r="K327" s="329"/>
      <c r="L327" s="329"/>
      <c r="M327" s="329"/>
      <c r="N327" s="329"/>
      <c r="O327" s="329"/>
      <c r="P327" s="329"/>
    </row>
    <row r="328">
      <c r="E328" s="329"/>
      <c r="F328" s="329"/>
      <c r="G328" s="329"/>
      <c r="H328" s="329"/>
      <c r="I328" s="329"/>
      <c r="J328" s="329"/>
      <c r="K328" s="329"/>
      <c r="L328" s="329"/>
      <c r="M328" s="329"/>
      <c r="N328" s="329"/>
      <c r="O328" s="329"/>
      <c r="P328" s="329"/>
    </row>
    <row r="329">
      <c r="E329" s="329"/>
      <c r="F329" s="329"/>
      <c r="G329" s="329"/>
      <c r="H329" s="329"/>
      <c r="I329" s="329"/>
      <c r="J329" s="329"/>
      <c r="K329" s="329"/>
      <c r="L329" s="329"/>
      <c r="M329" s="329"/>
      <c r="N329" s="329"/>
      <c r="O329" s="329"/>
      <c r="P329" s="329"/>
    </row>
    <row r="330">
      <c r="E330" s="329"/>
      <c r="F330" s="329"/>
      <c r="G330" s="329"/>
      <c r="H330" s="329"/>
      <c r="I330" s="329"/>
      <c r="J330" s="329"/>
      <c r="K330" s="329"/>
      <c r="L330" s="329"/>
      <c r="M330" s="329"/>
      <c r="N330" s="329"/>
      <c r="O330" s="329"/>
      <c r="P330" s="329"/>
    </row>
    <row r="331">
      <c r="E331" s="329"/>
      <c r="F331" s="329"/>
      <c r="G331" s="329"/>
      <c r="H331" s="329"/>
      <c r="I331" s="329"/>
      <c r="J331" s="329"/>
      <c r="K331" s="329"/>
      <c r="L331" s="329"/>
      <c r="M331" s="329"/>
      <c r="N331" s="329"/>
      <c r="O331" s="329"/>
      <c r="P331" s="329"/>
    </row>
    <row r="332">
      <c r="E332" s="329"/>
      <c r="F332" s="329"/>
      <c r="G332" s="329"/>
      <c r="H332" s="329"/>
      <c r="I332" s="329"/>
      <c r="J332" s="329"/>
      <c r="K332" s="329"/>
      <c r="L332" s="329"/>
      <c r="M332" s="329"/>
      <c r="N332" s="329"/>
      <c r="O332" s="329"/>
      <c r="P332" s="329"/>
    </row>
    <row r="333">
      <c r="E333" s="329"/>
      <c r="F333" s="329"/>
      <c r="G333" s="329"/>
      <c r="H333" s="329"/>
      <c r="I333" s="329"/>
      <c r="J333" s="329"/>
      <c r="K333" s="329"/>
      <c r="L333" s="329"/>
      <c r="M333" s="329"/>
      <c r="N333" s="329"/>
      <c r="O333" s="329"/>
      <c r="P333" s="329"/>
    </row>
    <row r="334">
      <c r="E334" s="329"/>
      <c r="F334" s="329"/>
      <c r="G334" s="329"/>
      <c r="H334" s="329"/>
      <c r="I334" s="329"/>
      <c r="J334" s="329"/>
      <c r="K334" s="329"/>
      <c r="L334" s="329"/>
      <c r="M334" s="329"/>
      <c r="N334" s="329"/>
      <c r="O334" s="329"/>
      <c r="P334" s="329"/>
    </row>
    <row r="335">
      <c r="E335" s="329"/>
      <c r="F335" s="329"/>
      <c r="G335" s="329"/>
      <c r="H335" s="329"/>
      <c r="I335" s="329"/>
      <c r="J335" s="329"/>
      <c r="K335" s="329"/>
      <c r="L335" s="329"/>
      <c r="M335" s="329"/>
      <c r="N335" s="329"/>
      <c r="O335" s="329"/>
      <c r="P335" s="329"/>
    </row>
    <row r="336">
      <c r="E336" s="329"/>
      <c r="F336" s="329"/>
      <c r="G336" s="329"/>
      <c r="H336" s="329"/>
      <c r="I336" s="329"/>
      <c r="J336" s="329"/>
      <c r="K336" s="329"/>
      <c r="L336" s="329"/>
      <c r="M336" s="329"/>
      <c r="N336" s="329"/>
      <c r="O336" s="329"/>
      <c r="P336" s="329"/>
    </row>
    <row r="337">
      <c r="E337" s="329"/>
      <c r="F337" s="329"/>
      <c r="G337" s="329"/>
      <c r="H337" s="329"/>
      <c r="I337" s="329"/>
      <c r="J337" s="329"/>
      <c r="K337" s="329"/>
      <c r="L337" s="329"/>
      <c r="M337" s="329"/>
      <c r="N337" s="329"/>
      <c r="O337" s="329"/>
      <c r="P337" s="329"/>
    </row>
    <row r="338">
      <c r="E338" s="329"/>
      <c r="F338" s="329"/>
      <c r="G338" s="329"/>
      <c r="H338" s="329"/>
      <c r="I338" s="329"/>
      <c r="J338" s="329"/>
      <c r="K338" s="329"/>
      <c r="L338" s="329"/>
      <c r="M338" s="329"/>
      <c r="N338" s="329"/>
      <c r="O338" s="329"/>
      <c r="P338" s="329"/>
    </row>
    <row r="339">
      <c r="E339" s="329"/>
      <c r="F339" s="329"/>
      <c r="G339" s="329"/>
      <c r="H339" s="329"/>
      <c r="I339" s="329"/>
      <c r="J339" s="329"/>
      <c r="K339" s="329"/>
      <c r="L339" s="329"/>
      <c r="M339" s="329"/>
      <c r="N339" s="329"/>
      <c r="O339" s="329"/>
      <c r="P339" s="329"/>
    </row>
    <row r="340">
      <c r="E340" s="329"/>
      <c r="F340" s="329"/>
      <c r="G340" s="329"/>
      <c r="H340" s="329"/>
      <c r="I340" s="329"/>
      <c r="J340" s="329"/>
      <c r="K340" s="329"/>
      <c r="L340" s="329"/>
      <c r="M340" s="329"/>
      <c r="N340" s="329"/>
      <c r="O340" s="329"/>
      <c r="P340" s="329"/>
    </row>
    <row r="341">
      <c r="E341" s="329"/>
      <c r="F341" s="329"/>
      <c r="G341" s="329"/>
      <c r="H341" s="329"/>
      <c r="I341" s="329"/>
      <c r="J341" s="329"/>
      <c r="K341" s="329"/>
      <c r="L341" s="329"/>
      <c r="M341" s="329"/>
      <c r="N341" s="329"/>
      <c r="O341" s="329"/>
      <c r="P341" s="329"/>
    </row>
    <row r="342">
      <c r="E342" s="329"/>
      <c r="F342" s="329"/>
      <c r="G342" s="329"/>
      <c r="H342" s="329"/>
      <c r="I342" s="329"/>
      <c r="J342" s="329"/>
      <c r="K342" s="329"/>
      <c r="L342" s="329"/>
      <c r="M342" s="329"/>
      <c r="N342" s="329"/>
      <c r="O342" s="329"/>
      <c r="P342" s="329"/>
    </row>
    <row r="343">
      <c r="E343" s="329"/>
      <c r="F343" s="329"/>
      <c r="G343" s="329"/>
      <c r="H343" s="329"/>
      <c r="I343" s="329"/>
      <c r="J343" s="329"/>
      <c r="K343" s="329"/>
      <c r="L343" s="329"/>
      <c r="M343" s="329"/>
      <c r="N343" s="329"/>
      <c r="O343" s="329"/>
      <c r="P343" s="329"/>
    </row>
    <row r="344">
      <c r="E344" s="329"/>
      <c r="F344" s="329"/>
      <c r="G344" s="329"/>
      <c r="H344" s="329"/>
      <c r="I344" s="329"/>
      <c r="J344" s="329"/>
      <c r="K344" s="329"/>
      <c r="L344" s="329"/>
      <c r="M344" s="329"/>
      <c r="N344" s="329"/>
      <c r="O344" s="329"/>
      <c r="P344" s="329"/>
    </row>
    <row r="345">
      <c r="E345" s="329"/>
      <c r="F345" s="329"/>
      <c r="G345" s="329"/>
      <c r="H345" s="329"/>
      <c r="I345" s="329"/>
      <c r="J345" s="329"/>
      <c r="K345" s="329"/>
      <c r="L345" s="329"/>
      <c r="M345" s="329"/>
      <c r="N345" s="329"/>
      <c r="O345" s="329"/>
      <c r="P345" s="329"/>
    </row>
    <row r="346">
      <c r="E346" s="329"/>
      <c r="F346" s="329"/>
      <c r="G346" s="329"/>
      <c r="H346" s="329"/>
      <c r="I346" s="329"/>
      <c r="J346" s="329"/>
      <c r="K346" s="329"/>
      <c r="L346" s="329"/>
      <c r="M346" s="329"/>
      <c r="N346" s="329"/>
      <c r="O346" s="329"/>
      <c r="P346" s="329"/>
    </row>
    <row r="347">
      <c r="E347" s="329"/>
      <c r="F347" s="329"/>
      <c r="G347" s="329"/>
      <c r="H347" s="329"/>
      <c r="I347" s="329"/>
      <c r="J347" s="329"/>
      <c r="K347" s="329"/>
      <c r="L347" s="329"/>
      <c r="M347" s="329"/>
      <c r="N347" s="329"/>
      <c r="O347" s="329"/>
      <c r="P347" s="329"/>
    </row>
    <row r="348">
      <c r="E348" s="329"/>
      <c r="F348" s="329"/>
      <c r="G348" s="329"/>
      <c r="H348" s="329"/>
      <c r="I348" s="329"/>
      <c r="J348" s="329"/>
      <c r="K348" s="329"/>
      <c r="L348" s="329"/>
      <c r="M348" s="329"/>
      <c r="N348" s="329"/>
      <c r="O348" s="329"/>
      <c r="P348" s="329"/>
    </row>
    <row r="349">
      <c r="E349" s="329"/>
      <c r="F349" s="329"/>
      <c r="G349" s="329"/>
      <c r="H349" s="329"/>
      <c r="I349" s="329"/>
      <c r="J349" s="329"/>
      <c r="K349" s="329"/>
      <c r="L349" s="329"/>
      <c r="M349" s="329"/>
      <c r="N349" s="329"/>
      <c r="O349" s="329"/>
      <c r="P349" s="329"/>
    </row>
    <row r="350">
      <c r="E350" s="329"/>
      <c r="F350" s="329"/>
      <c r="G350" s="329"/>
      <c r="H350" s="329"/>
      <c r="I350" s="329"/>
      <c r="J350" s="329"/>
      <c r="K350" s="329"/>
      <c r="L350" s="329"/>
      <c r="M350" s="329"/>
      <c r="N350" s="329"/>
      <c r="O350" s="329"/>
      <c r="P350" s="329"/>
    </row>
    <row r="351">
      <c r="E351" s="329"/>
      <c r="F351" s="329"/>
      <c r="G351" s="329"/>
      <c r="H351" s="329"/>
      <c r="I351" s="329"/>
      <c r="J351" s="329"/>
      <c r="K351" s="329"/>
      <c r="L351" s="329"/>
      <c r="M351" s="329"/>
      <c r="N351" s="329"/>
      <c r="O351" s="329"/>
      <c r="P351" s="329"/>
    </row>
    <row r="352">
      <c r="E352" s="329"/>
      <c r="F352" s="329"/>
      <c r="G352" s="329"/>
      <c r="H352" s="329"/>
      <c r="I352" s="329"/>
      <c r="J352" s="329"/>
      <c r="K352" s="329"/>
      <c r="L352" s="329"/>
      <c r="M352" s="329"/>
      <c r="N352" s="329"/>
      <c r="O352" s="329"/>
      <c r="P352" s="329"/>
    </row>
    <row r="353">
      <c r="E353" s="329"/>
      <c r="F353" s="329"/>
      <c r="G353" s="329"/>
      <c r="H353" s="329"/>
      <c r="I353" s="329"/>
      <c r="J353" s="329"/>
      <c r="K353" s="329"/>
      <c r="L353" s="329"/>
      <c r="M353" s="329"/>
      <c r="N353" s="329"/>
      <c r="O353" s="329"/>
      <c r="P353" s="329"/>
    </row>
    <row r="354">
      <c r="E354" s="329"/>
      <c r="F354" s="329"/>
      <c r="G354" s="329"/>
      <c r="H354" s="329"/>
      <c r="I354" s="329"/>
      <c r="J354" s="329"/>
      <c r="K354" s="329"/>
      <c r="L354" s="329"/>
      <c r="M354" s="329"/>
      <c r="N354" s="329"/>
      <c r="O354" s="329"/>
      <c r="P354" s="329"/>
    </row>
    <row r="355">
      <c r="E355" s="329"/>
      <c r="F355" s="329"/>
      <c r="G355" s="329"/>
      <c r="H355" s="329"/>
      <c r="I355" s="329"/>
      <c r="J355" s="329"/>
      <c r="K355" s="329"/>
      <c r="L355" s="329"/>
      <c r="M355" s="329"/>
      <c r="N355" s="329"/>
      <c r="O355" s="329"/>
      <c r="P355" s="329"/>
    </row>
    <row r="356">
      <c r="E356" s="329"/>
      <c r="F356" s="329"/>
      <c r="G356" s="329"/>
      <c r="H356" s="329"/>
      <c r="I356" s="329"/>
      <c r="J356" s="329"/>
      <c r="K356" s="329"/>
      <c r="L356" s="329"/>
      <c r="M356" s="329"/>
      <c r="N356" s="329"/>
      <c r="O356" s="329"/>
      <c r="P356" s="329"/>
    </row>
    <row r="357">
      <c r="E357" s="329"/>
      <c r="F357" s="329"/>
      <c r="G357" s="329"/>
      <c r="H357" s="329"/>
      <c r="I357" s="329"/>
      <c r="J357" s="329"/>
      <c r="K357" s="329"/>
      <c r="L357" s="329"/>
      <c r="M357" s="329"/>
      <c r="N357" s="329"/>
      <c r="O357" s="329"/>
      <c r="P357" s="329"/>
    </row>
    <row r="358">
      <c r="E358" s="329"/>
      <c r="F358" s="329"/>
      <c r="G358" s="329"/>
      <c r="H358" s="329"/>
      <c r="I358" s="329"/>
      <c r="J358" s="329"/>
      <c r="K358" s="329"/>
      <c r="L358" s="329"/>
      <c r="M358" s="329"/>
      <c r="N358" s="329"/>
      <c r="O358" s="329"/>
      <c r="P358" s="329"/>
    </row>
    <row r="359">
      <c r="E359" s="329"/>
      <c r="F359" s="329"/>
      <c r="G359" s="329"/>
      <c r="H359" s="329"/>
      <c r="I359" s="329"/>
      <c r="J359" s="329"/>
      <c r="K359" s="329"/>
      <c r="L359" s="329"/>
      <c r="M359" s="329"/>
      <c r="N359" s="329"/>
      <c r="O359" s="329"/>
      <c r="P359" s="329"/>
    </row>
    <row r="360">
      <c r="E360" s="329"/>
      <c r="F360" s="329"/>
      <c r="G360" s="329"/>
      <c r="H360" s="329"/>
      <c r="I360" s="329"/>
      <c r="J360" s="329"/>
      <c r="K360" s="329"/>
      <c r="L360" s="329"/>
      <c r="M360" s="329"/>
      <c r="N360" s="329"/>
      <c r="O360" s="329"/>
      <c r="P360" s="329"/>
    </row>
    <row r="361">
      <c r="E361" s="329"/>
      <c r="F361" s="329"/>
      <c r="G361" s="329"/>
      <c r="H361" s="329"/>
      <c r="I361" s="329"/>
      <c r="J361" s="329"/>
      <c r="K361" s="329"/>
      <c r="L361" s="329"/>
      <c r="M361" s="329"/>
      <c r="N361" s="329"/>
      <c r="O361" s="329"/>
      <c r="P361" s="329"/>
    </row>
    <row r="362">
      <c r="E362" s="329"/>
      <c r="F362" s="329"/>
      <c r="G362" s="329"/>
      <c r="H362" s="329"/>
      <c r="I362" s="329"/>
      <c r="J362" s="329"/>
      <c r="K362" s="329"/>
      <c r="L362" s="329"/>
      <c r="M362" s="329"/>
      <c r="N362" s="329"/>
      <c r="O362" s="329"/>
      <c r="P362" s="329"/>
    </row>
    <row r="363"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</row>
    <row r="364">
      <c r="E364" s="329"/>
      <c r="F364" s="329"/>
      <c r="G364" s="329"/>
      <c r="H364" s="329"/>
      <c r="I364" s="329"/>
      <c r="J364" s="329"/>
      <c r="K364" s="329"/>
      <c r="L364" s="329"/>
      <c r="M364" s="329"/>
      <c r="N364" s="329"/>
      <c r="O364" s="329"/>
      <c r="P364" s="329"/>
    </row>
    <row r="365">
      <c r="E365" s="329"/>
      <c r="F365" s="329"/>
      <c r="G365" s="329"/>
      <c r="H365" s="329"/>
      <c r="I365" s="329"/>
      <c r="J365" s="329"/>
      <c r="K365" s="329"/>
      <c r="L365" s="329"/>
      <c r="M365" s="329"/>
      <c r="N365" s="329"/>
      <c r="O365" s="329"/>
      <c r="P365" s="329"/>
    </row>
    <row r="366">
      <c r="E366" s="329"/>
      <c r="F366" s="329"/>
      <c r="G366" s="329"/>
      <c r="H366" s="329"/>
      <c r="I366" s="329"/>
      <c r="J366" s="329"/>
      <c r="K366" s="329"/>
      <c r="L366" s="329"/>
      <c r="M366" s="329"/>
      <c r="N366" s="329"/>
      <c r="O366" s="329"/>
      <c r="P366" s="329"/>
    </row>
    <row r="367">
      <c r="E367" s="329"/>
      <c r="F367" s="329"/>
      <c r="G367" s="329"/>
      <c r="H367" s="329"/>
      <c r="I367" s="329"/>
      <c r="J367" s="329"/>
      <c r="K367" s="329"/>
      <c r="L367" s="329"/>
      <c r="M367" s="329"/>
      <c r="N367" s="329"/>
      <c r="O367" s="329"/>
      <c r="P367" s="329"/>
    </row>
    <row r="368">
      <c r="E368" s="329"/>
      <c r="F368" s="329"/>
      <c r="G368" s="329"/>
      <c r="H368" s="329"/>
      <c r="I368" s="329"/>
      <c r="J368" s="329"/>
      <c r="K368" s="329"/>
      <c r="L368" s="329"/>
      <c r="M368" s="329"/>
      <c r="N368" s="329"/>
      <c r="O368" s="329"/>
      <c r="P368" s="329"/>
    </row>
    <row r="369">
      <c r="E369" s="329"/>
      <c r="F369" s="329"/>
      <c r="G369" s="329"/>
      <c r="H369" s="329"/>
      <c r="I369" s="329"/>
      <c r="J369" s="329"/>
      <c r="K369" s="329"/>
      <c r="L369" s="329"/>
      <c r="M369" s="329"/>
      <c r="N369" s="329"/>
      <c r="O369" s="329"/>
      <c r="P369" s="329"/>
    </row>
    <row r="370">
      <c r="E370" s="329"/>
      <c r="F370" s="329"/>
      <c r="G370" s="329"/>
      <c r="H370" s="329"/>
      <c r="I370" s="329"/>
      <c r="J370" s="329"/>
      <c r="K370" s="329"/>
      <c r="L370" s="329"/>
      <c r="M370" s="329"/>
      <c r="N370" s="329"/>
      <c r="O370" s="329"/>
      <c r="P370" s="329"/>
    </row>
    <row r="371">
      <c r="E371" s="329"/>
      <c r="F371" s="329"/>
      <c r="G371" s="329"/>
      <c r="H371" s="329"/>
      <c r="I371" s="329"/>
      <c r="J371" s="329"/>
      <c r="K371" s="329"/>
      <c r="L371" s="329"/>
      <c r="M371" s="329"/>
      <c r="N371" s="329"/>
      <c r="O371" s="329"/>
      <c r="P371" s="329"/>
    </row>
    <row r="372">
      <c r="E372" s="329"/>
      <c r="F372" s="329"/>
      <c r="G372" s="329"/>
      <c r="H372" s="329"/>
      <c r="I372" s="329"/>
      <c r="J372" s="329"/>
      <c r="K372" s="329"/>
      <c r="L372" s="329"/>
      <c r="M372" s="329"/>
      <c r="N372" s="329"/>
      <c r="O372" s="329"/>
      <c r="P372" s="329"/>
    </row>
    <row r="373">
      <c r="E373" s="329"/>
      <c r="F373" s="329"/>
      <c r="G373" s="329"/>
      <c r="H373" s="329"/>
      <c r="I373" s="329"/>
      <c r="J373" s="329"/>
      <c r="K373" s="329"/>
      <c r="L373" s="329"/>
      <c r="M373" s="329"/>
      <c r="N373" s="329"/>
      <c r="O373" s="329"/>
      <c r="P373" s="329"/>
    </row>
    <row r="374">
      <c r="E374" s="329"/>
      <c r="F374" s="329"/>
      <c r="G374" s="329"/>
      <c r="H374" s="329"/>
      <c r="I374" s="329"/>
      <c r="J374" s="329"/>
      <c r="K374" s="329"/>
      <c r="L374" s="329"/>
      <c r="M374" s="329"/>
      <c r="N374" s="329"/>
      <c r="O374" s="329"/>
      <c r="P374" s="329"/>
    </row>
    <row r="375">
      <c r="E375" s="329"/>
      <c r="F375" s="329"/>
      <c r="G375" s="329"/>
      <c r="H375" s="329"/>
      <c r="I375" s="329"/>
      <c r="J375" s="329"/>
      <c r="K375" s="329"/>
      <c r="L375" s="329"/>
      <c r="M375" s="329"/>
      <c r="N375" s="329"/>
      <c r="O375" s="329"/>
      <c r="P375" s="329"/>
    </row>
    <row r="376">
      <c r="E376" s="329"/>
      <c r="F376" s="329"/>
      <c r="G376" s="329"/>
      <c r="H376" s="329"/>
      <c r="I376" s="329"/>
      <c r="J376" s="329"/>
      <c r="K376" s="329"/>
      <c r="L376" s="329"/>
      <c r="M376" s="329"/>
      <c r="N376" s="329"/>
      <c r="O376" s="329"/>
      <c r="P376" s="329"/>
    </row>
    <row r="377">
      <c r="E377" s="329"/>
      <c r="F377" s="329"/>
      <c r="G377" s="329"/>
      <c r="H377" s="329"/>
      <c r="I377" s="329"/>
      <c r="J377" s="329"/>
      <c r="K377" s="329"/>
      <c r="L377" s="329"/>
      <c r="M377" s="329"/>
      <c r="N377" s="329"/>
      <c r="O377" s="329"/>
      <c r="P377" s="329"/>
    </row>
    <row r="378">
      <c r="E378" s="329"/>
      <c r="F378" s="329"/>
      <c r="G378" s="329"/>
      <c r="H378" s="329"/>
      <c r="I378" s="329"/>
      <c r="J378" s="329"/>
      <c r="K378" s="329"/>
      <c r="L378" s="329"/>
      <c r="M378" s="329"/>
      <c r="N378" s="329"/>
      <c r="O378" s="329"/>
      <c r="P378" s="329"/>
    </row>
    <row r="379">
      <c r="E379" s="329"/>
      <c r="F379" s="329"/>
      <c r="G379" s="329"/>
      <c r="H379" s="329"/>
      <c r="I379" s="329"/>
      <c r="J379" s="329"/>
      <c r="K379" s="329"/>
      <c r="L379" s="329"/>
      <c r="M379" s="329"/>
      <c r="N379" s="329"/>
      <c r="O379" s="329"/>
      <c r="P379" s="329"/>
    </row>
    <row r="380"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329"/>
    </row>
    <row r="381">
      <c r="E381" s="329"/>
      <c r="F381" s="329"/>
      <c r="G381" s="329"/>
      <c r="H381" s="329"/>
      <c r="I381" s="329"/>
      <c r="J381" s="329"/>
      <c r="K381" s="329"/>
      <c r="L381" s="329"/>
      <c r="M381" s="329"/>
      <c r="N381" s="329"/>
      <c r="O381" s="329"/>
      <c r="P381" s="329"/>
    </row>
    <row r="382">
      <c r="E382" s="329"/>
      <c r="F382" s="329"/>
      <c r="G382" s="329"/>
      <c r="H382" s="329"/>
      <c r="I382" s="329"/>
      <c r="J382" s="329"/>
      <c r="K382" s="329"/>
      <c r="L382" s="329"/>
      <c r="M382" s="329"/>
      <c r="N382" s="329"/>
      <c r="O382" s="329"/>
      <c r="P382" s="329"/>
    </row>
    <row r="383">
      <c r="E383" s="329"/>
      <c r="F383" s="329"/>
      <c r="G383" s="329"/>
      <c r="H383" s="329"/>
      <c r="I383" s="329"/>
      <c r="J383" s="329"/>
      <c r="K383" s="329"/>
      <c r="L383" s="329"/>
      <c r="M383" s="329"/>
      <c r="N383" s="329"/>
      <c r="O383" s="329"/>
      <c r="P383" s="329"/>
    </row>
    <row r="384">
      <c r="E384" s="329"/>
      <c r="F384" s="329"/>
      <c r="G384" s="329"/>
      <c r="H384" s="329"/>
      <c r="I384" s="329"/>
      <c r="J384" s="329"/>
      <c r="K384" s="329"/>
      <c r="L384" s="329"/>
      <c r="M384" s="329"/>
      <c r="N384" s="329"/>
      <c r="O384" s="329"/>
      <c r="P384" s="329"/>
    </row>
    <row r="385">
      <c r="E385" s="329"/>
      <c r="F385" s="329"/>
      <c r="G385" s="329"/>
      <c r="H385" s="329"/>
      <c r="I385" s="329"/>
      <c r="J385" s="329"/>
      <c r="K385" s="329"/>
      <c r="L385" s="329"/>
      <c r="M385" s="329"/>
      <c r="N385" s="329"/>
      <c r="O385" s="329"/>
      <c r="P385" s="329"/>
    </row>
    <row r="386">
      <c r="E386" s="329"/>
      <c r="F386" s="329"/>
      <c r="G386" s="329"/>
      <c r="H386" s="329"/>
      <c r="I386" s="329"/>
      <c r="J386" s="329"/>
      <c r="K386" s="329"/>
      <c r="L386" s="329"/>
      <c r="M386" s="329"/>
      <c r="N386" s="329"/>
      <c r="O386" s="329"/>
      <c r="P386" s="329"/>
    </row>
    <row r="387">
      <c r="E387" s="329"/>
      <c r="F387" s="329"/>
      <c r="G387" s="329"/>
      <c r="H387" s="329"/>
      <c r="I387" s="329"/>
      <c r="J387" s="329"/>
      <c r="K387" s="329"/>
      <c r="L387" s="329"/>
      <c r="M387" s="329"/>
      <c r="N387" s="329"/>
      <c r="O387" s="329"/>
      <c r="P387" s="329"/>
    </row>
    <row r="388">
      <c r="E388" s="329"/>
      <c r="F388" s="329"/>
      <c r="G388" s="329"/>
      <c r="H388" s="329"/>
      <c r="I388" s="329"/>
      <c r="J388" s="329"/>
      <c r="K388" s="329"/>
      <c r="L388" s="329"/>
      <c r="M388" s="329"/>
      <c r="N388" s="329"/>
      <c r="O388" s="329"/>
      <c r="P388" s="329"/>
    </row>
    <row r="389">
      <c r="E389" s="329"/>
      <c r="F389" s="329"/>
      <c r="G389" s="329"/>
      <c r="H389" s="329"/>
      <c r="I389" s="329"/>
      <c r="J389" s="329"/>
      <c r="K389" s="329"/>
      <c r="L389" s="329"/>
      <c r="M389" s="329"/>
      <c r="N389" s="329"/>
      <c r="O389" s="329"/>
      <c r="P389" s="329"/>
    </row>
    <row r="390">
      <c r="E390" s="329"/>
      <c r="F390" s="329"/>
      <c r="G390" s="329"/>
      <c r="H390" s="329"/>
      <c r="I390" s="329"/>
      <c r="J390" s="329"/>
      <c r="K390" s="329"/>
      <c r="L390" s="329"/>
      <c r="M390" s="329"/>
      <c r="N390" s="329"/>
      <c r="O390" s="329"/>
      <c r="P390" s="329"/>
    </row>
    <row r="391">
      <c r="E391" s="329"/>
      <c r="F391" s="329"/>
      <c r="G391" s="329"/>
      <c r="H391" s="329"/>
      <c r="I391" s="329"/>
      <c r="J391" s="329"/>
      <c r="K391" s="329"/>
      <c r="L391" s="329"/>
      <c r="M391" s="329"/>
      <c r="N391" s="329"/>
      <c r="O391" s="329"/>
      <c r="P391" s="329"/>
    </row>
    <row r="392">
      <c r="E392" s="329"/>
      <c r="F392" s="329"/>
      <c r="G392" s="329"/>
      <c r="H392" s="329"/>
      <c r="I392" s="329"/>
      <c r="J392" s="329"/>
      <c r="K392" s="329"/>
      <c r="L392" s="329"/>
      <c r="M392" s="329"/>
      <c r="N392" s="329"/>
      <c r="O392" s="329"/>
      <c r="P392" s="329"/>
    </row>
    <row r="393">
      <c r="E393" s="329"/>
      <c r="F393" s="329"/>
      <c r="G393" s="329"/>
      <c r="H393" s="329"/>
      <c r="I393" s="329"/>
      <c r="J393" s="329"/>
      <c r="K393" s="329"/>
      <c r="L393" s="329"/>
      <c r="M393" s="329"/>
      <c r="N393" s="329"/>
      <c r="O393" s="329"/>
      <c r="P393" s="329"/>
    </row>
    <row r="394">
      <c r="E394" s="329"/>
      <c r="F394" s="329"/>
      <c r="G394" s="329"/>
      <c r="H394" s="329"/>
      <c r="I394" s="329"/>
      <c r="J394" s="329"/>
      <c r="K394" s="329"/>
      <c r="L394" s="329"/>
      <c r="M394" s="329"/>
      <c r="N394" s="329"/>
      <c r="O394" s="329"/>
      <c r="P394" s="329"/>
    </row>
    <row r="395">
      <c r="E395" s="329"/>
      <c r="F395" s="329"/>
      <c r="G395" s="329"/>
      <c r="H395" s="329"/>
      <c r="I395" s="329"/>
      <c r="J395" s="329"/>
      <c r="K395" s="329"/>
      <c r="L395" s="329"/>
      <c r="M395" s="329"/>
      <c r="N395" s="329"/>
      <c r="O395" s="329"/>
      <c r="P395" s="329"/>
    </row>
    <row r="396">
      <c r="E396" s="329"/>
      <c r="F396" s="329"/>
      <c r="G396" s="329"/>
      <c r="H396" s="329"/>
      <c r="I396" s="329"/>
      <c r="J396" s="329"/>
      <c r="K396" s="329"/>
      <c r="L396" s="329"/>
      <c r="M396" s="329"/>
      <c r="N396" s="329"/>
      <c r="O396" s="329"/>
      <c r="P396" s="329"/>
    </row>
    <row r="397">
      <c r="E397" s="329"/>
      <c r="F397" s="329"/>
      <c r="G397" s="329"/>
      <c r="H397" s="329"/>
      <c r="I397" s="329"/>
      <c r="J397" s="329"/>
      <c r="K397" s="329"/>
      <c r="L397" s="329"/>
      <c r="M397" s="329"/>
      <c r="N397" s="329"/>
      <c r="O397" s="329"/>
      <c r="P397" s="329"/>
    </row>
    <row r="398">
      <c r="E398" s="329"/>
      <c r="F398" s="329"/>
      <c r="G398" s="329"/>
      <c r="H398" s="329"/>
      <c r="I398" s="329"/>
      <c r="J398" s="329"/>
      <c r="K398" s="329"/>
      <c r="L398" s="329"/>
      <c r="M398" s="329"/>
      <c r="N398" s="329"/>
      <c r="O398" s="329"/>
      <c r="P398" s="329"/>
    </row>
    <row r="399">
      <c r="E399" s="329"/>
      <c r="F399" s="329"/>
      <c r="G399" s="329"/>
      <c r="H399" s="329"/>
      <c r="I399" s="329"/>
      <c r="J399" s="329"/>
      <c r="K399" s="329"/>
      <c r="L399" s="329"/>
      <c r="M399" s="329"/>
      <c r="N399" s="329"/>
      <c r="O399" s="329"/>
      <c r="P399" s="329"/>
    </row>
    <row r="400">
      <c r="E400" s="329"/>
      <c r="F400" s="329"/>
      <c r="G400" s="329"/>
      <c r="H400" s="329"/>
      <c r="I400" s="329"/>
      <c r="J400" s="329"/>
      <c r="K400" s="329"/>
      <c r="L400" s="329"/>
      <c r="M400" s="329"/>
      <c r="N400" s="329"/>
      <c r="O400" s="329"/>
      <c r="P400" s="329"/>
    </row>
    <row r="401">
      <c r="E401" s="329"/>
      <c r="F401" s="329"/>
      <c r="G401" s="329"/>
      <c r="H401" s="329"/>
      <c r="I401" s="329"/>
      <c r="J401" s="329"/>
      <c r="K401" s="329"/>
      <c r="L401" s="329"/>
      <c r="M401" s="329"/>
      <c r="N401" s="329"/>
      <c r="O401" s="329"/>
      <c r="P401" s="329"/>
    </row>
    <row r="402">
      <c r="E402" s="329"/>
      <c r="F402" s="329"/>
      <c r="G402" s="329"/>
      <c r="H402" s="329"/>
      <c r="I402" s="329"/>
      <c r="J402" s="329"/>
      <c r="K402" s="329"/>
      <c r="L402" s="329"/>
      <c r="M402" s="329"/>
      <c r="N402" s="329"/>
      <c r="O402" s="329"/>
      <c r="P402" s="329"/>
    </row>
    <row r="403">
      <c r="E403" s="329"/>
      <c r="F403" s="329"/>
      <c r="G403" s="329"/>
      <c r="H403" s="329"/>
      <c r="I403" s="329"/>
      <c r="J403" s="329"/>
      <c r="K403" s="329"/>
      <c r="L403" s="329"/>
      <c r="M403" s="329"/>
      <c r="N403" s="329"/>
      <c r="O403" s="329"/>
      <c r="P403" s="329"/>
    </row>
    <row r="404">
      <c r="E404" s="329"/>
      <c r="F404" s="329"/>
      <c r="G404" s="329"/>
      <c r="H404" s="329"/>
      <c r="I404" s="329"/>
      <c r="J404" s="329"/>
      <c r="K404" s="329"/>
      <c r="L404" s="329"/>
      <c r="M404" s="329"/>
      <c r="N404" s="329"/>
      <c r="O404" s="329"/>
      <c r="P404" s="329"/>
    </row>
    <row r="405">
      <c r="E405" s="329"/>
      <c r="F405" s="329"/>
      <c r="G405" s="329"/>
      <c r="H405" s="329"/>
      <c r="I405" s="329"/>
      <c r="J405" s="329"/>
      <c r="K405" s="329"/>
      <c r="L405" s="329"/>
      <c r="M405" s="329"/>
      <c r="N405" s="329"/>
      <c r="O405" s="329"/>
      <c r="P405" s="329"/>
    </row>
    <row r="406">
      <c r="E406" s="329"/>
      <c r="F406" s="329"/>
      <c r="G406" s="329"/>
      <c r="H406" s="329"/>
      <c r="I406" s="329"/>
      <c r="J406" s="329"/>
      <c r="K406" s="329"/>
      <c r="L406" s="329"/>
      <c r="M406" s="329"/>
      <c r="N406" s="329"/>
      <c r="O406" s="329"/>
      <c r="P406" s="329"/>
    </row>
    <row r="407">
      <c r="E407" s="329"/>
      <c r="F407" s="329"/>
      <c r="G407" s="329"/>
      <c r="H407" s="329"/>
      <c r="I407" s="329"/>
      <c r="J407" s="329"/>
      <c r="K407" s="329"/>
      <c r="L407" s="329"/>
      <c r="M407" s="329"/>
      <c r="N407" s="329"/>
      <c r="O407" s="329"/>
      <c r="P407" s="329"/>
    </row>
    <row r="408">
      <c r="E408" s="329"/>
      <c r="F408" s="329"/>
      <c r="G408" s="329"/>
      <c r="H408" s="329"/>
      <c r="I408" s="329"/>
      <c r="J408" s="329"/>
      <c r="K408" s="329"/>
      <c r="L408" s="329"/>
      <c r="M408" s="329"/>
      <c r="N408" s="329"/>
      <c r="O408" s="329"/>
      <c r="P408" s="329"/>
    </row>
    <row r="409">
      <c r="E409" s="329"/>
      <c r="F409" s="329"/>
      <c r="G409" s="329"/>
      <c r="H409" s="329"/>
      <c r="I409" s="329"/>
      <c r="J409" s="329"/>
      <c r="K409" s="329"/>
      <c r="L409" s="329"/>
      <c r="M409" s="329"/>
      <c r="N409" s="329"/>
      <c r="O409" s="329"/>
      <c r="P409" s="329"/>
    </row>
    <row r="410">
      <c r="E410" s="329"/>
      <c r="F410" s="329"/>
      <c r="G410" s="329"/>
      <c r="H410" s="329"/>
      <c r="I410" s="329"/>
      <c r="J410" s="329"/>
      <c r="K410" s="329"/>
      <c r="L410" s="329"/>
      <c r="M410" s="329"/>
      <c r="N410" s="329"/>
      <c r="O410" s="329"/>
      <c r="P410" s="329"/>
    </row>
    <row r="411">
      <c r="E411" s="329"/>
      <c r="F411" s="329"/>
      <c r="G411" s="329"/>
      <c r="H411" s="329"/>
      <c r="I411" s="329"/>
      <c r="J411" s="329"/>
      <c r="K411" s="329"/>
      <c r="L411" s="329"/>
      <c r="M411" s="329"/>
      <c r="N411" s="329"/>
      <c r="O411" s="329"/>
      <c r="P411" s="329"/>
    </row>
    <row r="412">
      <c r="E412" s="329"/>
      <c r="F412" s="329"/>
      <c r="G412" s="329"/>
      <c r="H412" s="329"/>
      <c r="I412" s="329"/>
      <c r="J412" s="329"/>
      <c r="K412" s="329"/>
      <c r="L412" s="329"/>
      <c r="M412" s="329"/>
      <c r="N412" s="329"/>
      <c r="O412" s="329"/>
      <c r="P412" s="329"/>
    </row>
    <row r="413">
      <c r="E413" s="329"/>
      <c r="F413" s="329"/>
      <c r="G413" s="329"/>
      <c r="H413" s="329"/>
      <c r="I413" s="329"/>
      <c r="J413" s="329"/>
      <c r="K413" s="329"/>
      <c r="L413" s="329"/>
      <c r="M413" s="329"/>
      <c r="N413" s="329"/>
      <c r="O413" s="329"/>
      <c r="P413" s="329"/>
    </row>
    <row r="414">
      <c r="E414" s="329"/>
      <c r="F414" s="329"/>
      <c r="G414" s="329"/>
      <c r="H414" s="329"/>
      <c r="I414" s="329"/>
      <c r="J414" s="329"/>
      <c r="K414" s="329"/>
      <c r="L414" s="329"/>
      <c r="M414" s="329"/>
      <c r="N414" s="329"/>
      <c r="O414" s="329"/>
      <c r="P414" s="329"/>
    </row>
    <row r="415">
      <c r="E415" s="329"/>
      <c r="F415" s="329"/>
      <c r="G415" s="329"/>
      <c r="H415" s="329"/>
      <c r="I415" s="329"/>
      <c r="J415" s="329"/>
      <c r="K415" s="329"/>
      <c r="L415" s="329"/>
      <c r="M415" s="329"/>
      <c r="N415" s="329"/>
      <c r="O415" s="329"/>
      <c r="P415" s="329"/>
    </row>
    <row r="416">
      <c r="E416" s="329"/>
      <c r="F416" s="329"/>
      <c r="G416" s="329"/>
      <c r="H416" s="329"/>
      <c r="I416" s="329"/>
      <c r="J416" s="329"/>
      <c r="K416" s="329"/>
      <c r="L416" s="329"/>
      <c r="M416" s="329"/>
      <c r="N416" s="329"/>
      <c r="O416" s="329"/>
      <c r="P416" s="329"/>
    </row>
    <row r="417">
      <c r="E417" s="329"/>
      <c r="F417" s="329"/>
      <c r="G417" s="329"/>
      <c r="H417" s="329"/>
      <c r="I417" s="329"/>
      <c r="J417" s="329"/>
      <c r="K417" s="329"/>
      <c r="L417" s="329"/>
      <c r="M417" s="329"/>
      <c r="N417" s="329"/>
      <c r="O417" s="329"/>
      <c r="P417" s="329"/>
    </row>
    <row r="418">
      <c r="E418" s="329"/>
      <c r="F418" s="329"/>
      <c r="G418" s="329"/>
      <c r="H418" s="329"/>
      <c r="I418" s="329"/>
      <c r="J418" s="329"/>
      <c r="K418" s="329"/>
      <c r="L418" s="329"/>
      <c r="M418" s="329"/>
      <c r="N418" s="329"/>
      <c r="O418" s="329"/>
      <c r="P418" s="329"/>
    </row>
    <row r="419">
      <c r="E419" s="329"/>
      <c r="F419" s="329"/>
      <c r="G419" s="329"/>
      <c r="H419" s="329"/>
      <c r="I419" s="329"/>
      <c r="J419" s="329"/>
      <c r="K419" s="329"/>
      <c r="L419" s="329"/>
      <c r="M419" s="329"/>
      <c r="N419" s="329"/>
      <c r="O419" s="329"/>
      <c r="P419" s="329"/>
    </row>
    <row r="420"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329"/>
    </row>
    <row r="421">
      <c r="E421" s="329"/>
      <c r="F421" s="329"/>
      <c r="G421" s="329"/>
      <c r="H421" s="329"/>
      <c r="I421" s="329"/>
      <c r="J421" s="329"/>
      <c r="K421" s="329"/>
      <c r="L421" s="329"/>
      <c r="M421" s="329"/>
      <c r="N421" s="329"/>
      <c r="O421" s="329"/>
      <c r="P421" s="329"/>
    </row>
    <row r="422">
      <c r="E422" s="329"/>
      <c r="F422" s="329"/>
      <c r="G422" s="329"/>
      <c r="H422" s="329"/>
      <c r="I422" s="329"/>
      <c r="J422" s="329"/>
      <c r="K422" s="329"/>
      <c r="L422" s="329"/>
      <c r="M422" s="329"/>
      <c r="N422" s="329"/>
      <c r="O422" s="329"/>
      <c r="P422" s="329"/>
    </row>
    <row r="423">
      <c r="E423" s="329"/>
      <c r="F423" s="329"/>
      <c r="G423" s="329"/>
      <c r="H423" s="329"/>
      <c r="I423" s="329"/>
      <c r="J423" s="329"/>
      <c r="K423" s="329"/>
      <c r="L423" s="329"/>
      <c r="M423" s="329"/>
      <c r="N423" s="329"/>
      <c r="O423" s="329"/>
      <c r="P423" s="329"/>
    </row>
    <row r="424">
      <c r="E424" s="329"/>
      <c r="F424" s="329"/>
      <c r="G424" s="329"/>
      <c r="H424" s="329"/>
      <c r="I424" s="329"/>
      <c r="J424" s="329"/>
      <c r="K424" s="329"/>
      <c r="L424" s="329"/>
      <c r="M424" s="329"/>
      <c r="N424" s="329"/>
      <c r="O424" s="329"/>
      <c r="P424" s="329"/>
    </row>
    <row r="425">
      <c r="E425" s="329"/>
      <c r="F425" s="329"/>
      <c r="G425" s="329"/>
      <c r="H425" s="329"/>
      <c r="I425" s="329"/>
      <c r="J425" s="329"/>
      <c r="K425" s="329"/>
      <c r="L425" s="329"/>
      <c r="M425" s="329"/>
      <c r="N425" s="329"/>
      <c r="O425" s="329"/>
      <c r="P425" s="329"/>
    </row>
    <row r="426">
      <c r="E426" s="329"/>
      <c r="F426" s="329"/>
      <c r="G426" s="329"/>
      <c r="H426" s="329"/>
      <c r="I426" s="329"/>
      <c r="J426" s="329"/>
      <c r="K426" s="329"/>
      <c r="L426" s="329"/>
      <c r="M426" s="329"/>
      <c r="N426" s="329"/>
      <c r="O426" s="329"/>
      <c r="P426" s="329"/>
    </row>
    <row r="427">
      <c r="E427" s="329"/>
      <c r="F427" s="329"/>
      <c r="G427" s="329"/>
      <c r="H427" s="329"/>
      <c r="I427" s="329"/>
      <c r="J427" s="329"/>
      <c r="K427" s="329"/>
      <c r="L427" s="329"/>
      <c r="M427" s="329"/>
      <c r="N427" s="329"/>
      <c r="O427" s="329"/>
      <c r="P427" s="329"/>
    </row>
    <row r="428">
      <c r="E428" s="329"/>
      <c r="F428" s="329"/>
      <c r="G428" s="329"/>
      <c r="H428" s="329"/>
      <c r="I428" s="329"/>
      <c r="J428" s="329"/>
      <c r="K428" s="329"/>
      <c r="L428" s="329"/>
      <c r="M428" s="329"/>
      <c r="N428" s="329"/>
      <c r="O428" s="329"/>
      <c r="P428" s="329"/>
    </row>
    <row r="429">
      <c r="E429" s="329"/>
      <c r="F429" s="329"/>
      <c r="G429" s="329"/>
      <c r="H429" s="329"/>
      <c r="I429" s="329"/>
      <c r="J429" s="329"/>
      <c r="K429" s="329"/>
      <c r="L429" s="329"/>
      <c r="M429" s="329"/>
      <c r="N429" s="329"/>
      <c r="O429" s="329"/>
      <c r="P429" s="329"/>
    </row>
    <row r="430">
      <c r="E430" s="329"/>
      <c r="F430" s="329"/>
      <c r="G430" s="329"/>
      <c r="H430" s="329"/>
      <c r="I430" s="329"/>
      <c r="J430" s="329"/>
      <c r="K430" s="329"/>
      <c r="L430" s="329"/>
      <c r="M430" s="329"/>
      <c r="N430" s="329"/>
      <c r="O430" s="329"/>
      <c r="P430" s="329"/>
    </row>
    <row r="431"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329"/>
    </row>
    <row r="432">
      <c r="E432" s="329"/>
      <c r="F432" s="329"/>
      <c r="G432" s="329"/>
      <c r="H432" s="329"/>
      <c r="I432" s="329"/>
      <c r="J432" s="329"/>
      <c r="K432" s="329"/>
      <c r="L432" s="329"/>
      <c r="M432" s="329"/>
      <c r="N432" s="329"/>
      <c r="O432" s="329"/>
      <c r="P432" s="329"/>
    </row>
    <row r="433">
      <c r="E433" s="329"/>
      <c r="F433" s="329"/>
      <c r="G433" s="329"/>
      <c r="H433" s="329"/>
      <c r="I433" s="329"/>
      <c r="J433" s="329"/>
      <c r="K433" s="329"/>
      <c r="L433" s="329"/>
      <c r="M433" s="329"/>
      <c r="N433" s="329"/>
      <c r="O433" s="329"/>
      <c r="P433" s="329"/>
    </row>
    <row r="434">
      <c r="E434" s="329"/>
      <c r="F434" s="329"/>
      <c r="G434" s="329"/>
      <c r="H434" s="329"/>
      <c r="I434" s="329"/>
      <c r="J434" s="329"/>
      <c r="K434" s="329"/>
      <c r="L434" s="329"/>
      <c r="M434" s="329"/>
      <c r="N434" s="329"/>
      <c r="O434" s="329"/>
      <c r="P434" s="329"/>
    </row>
    <row r="435">
      <c r="E435" s="329"/>
      <c r="F435" s="329"/>
      <c r="G435" s="329"/>
      <c r="H435" s="329"/>
      <c r="I435" s="329"/>
      <c r="J435" s="329"/>
      <c r="K435" s="329"/>
      <c r="L435" s="329"/>
      <c r="M435" s="329"/>
      <c r="N435" s="329"/>
      <c r="O435" s="329"/>
      <c r="P435" s="329"/>
    </row>
    <row r="436">
      <c r="E436" s="329"/>
      <c r="F436" s="329"/>
      <c r="G436" s="329"/>
      <c r="H436" s="329"/>
      <c r="I436" s="329"/>
      <c r="J436" s="329"/>
      <c r="K436" s="329"/>
      <c r="L436" s="329"/>
      <c r="M436" s="329"/>
      <c r="N436" s="329"/>
      <c r="O436" s="329"/>
      <c r="P436" s="329"/>
    </row>
    <row r="437"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329"/>
    </row>
    <row r="438"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329"/>
    </row>
    <row r="439"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329"/>
    </row>
    <row r="440"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  <c r="P440" s="329"/>
    </row>
    <row r="441">
      <c r="E441" s="329"/>
      <c r="F441" s="329"/>
      <c r="G441" s="329"/>
      <c r="H441" s="329"/>
      <c r="I441" s="329"/>
      <c r="J441" s="329"/>
      <c r="K441" s="329"/>
      <c r="L441" s="329"/>
      <c r="M441" s="329"/>
      <c r="N441" s="329"/>
      <c r="O441" s="329"/>
      <c r="P441" s="329"/>
    </row>
    <row r="442">
      <c r="E442" s="329"/>
      <c r="F442" s="329"/>
      <c r="G442" s="329"/>
      <c r="H442" s="329"/>
      <c r="I442" s="329"/>
      <c r="J442" s="329"/>
      <c r="K442" s="329"/>
      <c r="L442" s="329"/>
      <c r="M442" s="329"/>
      <c r="N442" s="329"/>
      <c r="O442" s="329"/>
      <c r="P442" s="329"/>
    </row>
    <row r="443">
      <c r="E443" s="329"/>
      <c r="F443" s="329"/>
      <c r="G443" s="329"/>
      <c r="H443" s="329"/>
      <c r="I443" s="329"/>
      <c r="J443" s="329"/>
      <c r="K443" s="329"/>
      <c r="L443" s="329"/>
      <c r="M443" s="329"/>
      <c r="N443" s="329"/>
      <c r="O443" s="329"/>
      <c r="P443" s="329"/>
    </row>
    <row r="444">
      <c r="E444" s="329"/>
      <c r="F444" s="329"/>
      <c r="G444" s="329"/>
      <c r="H444" s="329"/>
      <c r="I444" s="329"/>
      <c r="J444" s="329"/>
      <c r="K444" s="329"/>
      <c r="L444" s="329"/>
      <c r="M444" s="329"/>
      <c r="N444" s="329"/>
      <c r="O444" s="329"/>
      <c r="P444" s="329"/>
    </row>
    <row r="445">
      <c r="E445" s="329"/>
      <c r="F445" s="329"/>
      <c r="G445" s="329"/>
      <c r="H445" s="329"/>
      <c r="I445" s="329"/>
      <c r="J445" s="329"/>
      <c r="K445" s="329"/>
      <c r="L445" s="329"/>
      <c r="M445" s="329"/>
      <c r="N445" s="329"/>
      <c r="O445" s="329"/>
      <c r="P445" s="329"/>
    </row>
    <row r="446">
      <c r="E446" s="329"/>
      <c r="F446" s="329"/>
      <c r="G446" s="329"/>
      <c r="H446" s="329"/>
      <c r="I446" s="329"/>
      <c r="J446" s="329"/>
      <c r="K446" s="329"/>
      <c r="L446" s="329"/>
      <c r="M446" s="329"/>
      <c r="N446" s="329"/>
      <c r="O446" s="329"/>
      <c r="P446" s="329"/>
    </row>
    <row r="447">
      <c r="E447" s="329"/>
      <c r="F447" s="329"/>
      <c r="G447" s="329"/>
      <c r="H447" s="329"/>
      <c r="I447" s="329"/>
      <c r="J447" s="329"/>
      <c r="K447" s="329"/>
      <c r="L447" s="329"/>
      <c r="M447" s="329"/>
      <c r="N447" s="329"/>
      <c r="O447" s="329"/>
      <c r="P447" s="329"/>
    </row>
    <row r="448">
      <c r="E448" s="329"/>
      <c r="F448" s="329"/>
      <c r="G448" s="329"/>
      <c r="H448" s="329"/>
      <c r="I448" s="329"/>
      <c r="J448" s="329"/>
      <c r="K448" s="329"/>
      <c r="L448" s="329"/>
      <c r="M448" s="329"/>
      <c r="N448" s="329"/>
      <c r="O448" s="329"/>
      <c r="P448" s="329"/>
    </row>
    <row r="449">
      <c r="E449" s="329"/>
      <c r="F449" s="329"/>
      <c r="G449" s="329"/>
      <c r="H449" s="329"/>
      <c r="I449" s="329"/>
      <c r="J449" s="329"/>
      <c r="K449" s="329"/>
      <c r="L449" s="329"/>
      <c r="M449" s="329"/>
      <c r="N449" s="329"/>
      <c r="O449" s="329"/>
      <c r="P449" s="329"/>
    </row>
    <row r="450">
      <c r="E450" s="329"/>
      <c r="F450" s="329"/>
      <c r="G450" s="329"/>
      <c r="H450" s="329"/>
      <c r="I450" s="329"/>
      <c r="J450" s="329"/>
      <c r="K450" s="329"/>
      <c r="L450" s="329"/>
      <c r="M450" s="329"/>
      <c r="N450" s="329"/>
      <c r="O450" s="329"/>
      <c r="P450" s="329"/>
    </row>
    <row r="451">
      <c r="E451" s="329"/>
      <c r="F451" s="329"/>
      <c r="G451" s="329"/>
      <c r="H451" s="329"/>
      <c r="I451" s="329"/>
      <c r="J451" s="329"/>
      <c r="K451" s="329"/>
      <c r="L451" s="329"/>
      <c r="M451" s="329"/>
      <c r="N451" s="329"/>
      <c r="O451" s="329"/>
      <c r="P451" s="329"/>
    </row>
    <row r="452">
      <c r="E452" s="329"/>
      <c r="F452" s="329"/>
      <c r="G452" s="329"/>
      <c r="H452" s="329"/>
      <c r="I452" s="329"/>
      <c r="J452" s="329"/>
      <c r="K452" s="329"/>
      <c r="L452" s="329"/>
      <c r="M452" s="329"/>
      <c r="N452" s="329"/>
      <c r="O452" s="329"/>
      <c r="P452" s="329"/>
    </row>
    <row r="453">
      <c r="E453" s="329"/>
      <c r="F453" s="329"/>
      <c r="G453" s="329"/>
      <c r="H453" s="329"/>
      <c r="I453" s="329"/>
      <c r="J453" s="329"/>
      <c r="K453" s="329"/>
      <c r="L453" s="329"/>
      <c r="M453" s="329"/>
      <c r="N453" s="329"/>
      <c r="O453" s="329"/>
      <c r="P453" s="329"/>
    </row>
    <row r="454">
      <c r="E454" s="329"/>
      <c r="F454" s="329"/>
      <c r="G454" s="329"/>
      <c r="H454" s="329"/>
      <c r="I454" s="329"/>
      <c r="J454" s="329"/>
      <c r="K454" s="329"/>
      <c r="L454" s="329"/>
      <c r="M454" s="329"/>
      <c r="N454" s="329"/>
      <c r="O454" s="329"/>
      <c r="P454" s="329"/>
    </row>
    <row r="455">
      <c r="E455" s="329"/>
      <c r="F455" s="329"/>
      <c r="G455" s="329"/>
      <c r="H455" s="329"/>
      <c r="I455" s="329"/>
      <c r="J455" s="329"/>
      <c r="K455" s="329"/>
      <c r="L455" s="329"/>
      <c r="M455" s="329"/>
      <c r="N455" s="329"/>
      <c r="O455" s="329"/>
      <c r="P455" s="329"/>
    </row>
    <row r="456">
      <c r="E456" s="329"/>
      <c r="F456" s="329"/>
      <c r="G456" s="329"/>
      <c r="H456" s="329"/>
      <c r="I456" s="329"/>
      <c r="J456" s="329"/>
      <c r="K456" s="329"/>
      <c r="L456" s="329"/>
      <c r="M456" s="329"/>
      <c r="N456" s="329"/>
      <c r="O456" s="329"/>
      <c r="P456" s="329"/>
    </row>
    <row r="457">
      <c r="E457" s="329"/>
      <c r="F457" s="329"/>
      <c r="G457" s="329"/>
      <c r="H457" s="329"/>
      <c r="I457" s="329"/>
      <c r="J457" s="329"/>
      <c r="K457" s="329"/>
      <c r="L457" s="329"/>
      <c r="M457" s="329"/>
      <c r="N457" s="329"/>
      <c r="O457" s="329"/>
      <c r="P457" s="329"/>
    </row>
    <row r="458">
      <c r="E458" s="329"/>
      <c r="F458" s="329"/>
      <c r="G458" s="329"/>
      <c r="H458" s="329"/>
      <c r="I458" s="329"/>
      <c r="J458" s="329"/>
      <c r="K458" s="329"/>
      <c r="L458" s="329"/>
      <c r="M458" s="329"/>
      <c r="N458" s="329"/>
      <c r="O458" s="329"/>
      <c r="P458" s="329"/>
    </row>
    <row r="459">
      <c r="E459" s="329"/>
      <c r="F459" s="329"/>
      <c r="G459" s="329"/>
      <c r="H459" s="329"/>
      <c r="I459" s="329"/>
      <c r="J459" s="329"/>
      <c r="K459" s="329"/>
      <c r="L459" s="329"/>
      <c r="M459" s="329"/>
      <c r="N459" s="329"/>
      <c r="O459" s="329"/>
      <c r="P459" s="329"/>
    </row>
    <row r="460">
      <c r="E460" s="329"/>
      <c r="F460" s="329"/>
      <c r="G460" s="329"/>
      <c r="H460" s="329"/>
      <c r="I460" s="329"/>
      <c r="J460" s="329"/>
      <c r="K460" s="329"/>
      <c r="L460" s="329"/>
      <c r="M460" s="329"/>
      <c r="N460" s="329"/>
      <c r="O460" s="329"/>
      <c r="P460" s="329"/>
    </row>
    <row r="461">
      <c r="E461" s="329"/>
      <c r="F461" s="329"/>
      <c r="G461" s="329"/>
      <c r="H461" s="329"/>
      <c r="I461" s="329"/>
      <c r="J461" s="329"/>
      <c r="K461" s="329"/>
      <c r="L461" s="329"/>
      <c r="M461" s="329"/>
      <c r="N461" s="329"/>
      <c r="O461" s="329"/>
      <c r="P461" s="329"/>
    </row>
    <row r="462">
      <c r="E462" s="329"/>
      <c r="F462" s="329"/>
      <c r="G462" s="329"/>
      <c r="H462" s="329"/>
      <c r="I462" s="329"/>
      <c r="J462" s="329"/>
      <c r="K462" s="329"/>
      <c r="L462" s="329"/>
      <c r="M462" s="329"/>
      <c r="N462" s="329"/>
      <c r="O462" s="329"/>
      <c r="P462" s="329"/>
    </row>
    <row r="463">
      <c r="E463" s="329"/>
      <c r="F463" s="329"/>
      <c r="G463" s="329"/>
      <c r="H463" s="329"/>
      <c r="I463" s="329"/>
      <c r="J463" s="329"/>
      <c r="K463" s="329"/>
      <c r="L463" s="329"/>
      <c r="M463" s="329"/>
      <c r="N463" s="329"/>
      <c r="O463" s="329"/>
      <c r="P463" s="329"/>
    </row>
    <row r="464">
      <c r="E464" s="329"/>
      <c r="F464" s="329"/>
      <c r="G464" s="329"/>
      <c r="H464" s="329"/>
      <c r="I464" s="329"/>
      <c r="J464" s="329"/>
      <c r="K464" s="329"/>
      <c r="L464" s="329"/>
      <c r="M464" s="329"/>
      <c r="N464" s="329"/>
      <c r="O464" s="329"/>
      <c r="P464" s="329"/>
    </row>
    <row r="465">
      <c r="E465" s="329"/>
      <c r="F465" s="329"/>
      <c r="G465" s="329"/>
      <c r="H465" s="329"/>
      <c r="I465" s="329"/>
      <c r="J465" s="329"/>
      <c r="K465" s="329"/>
      <c r="L465" s="329"/>
      <c r="M465" s="329"/>
      <c r="N465" s="329"/>
      <c r="O465" s="329"/>
      <c r="P465" s="329"/>
    </row>
    <row r="466">
      <c r="E466" s="329"/>
      <c r="F466" s="329"/>
      <c r="G466" s="329"/>
      <c r="H466" s="329"/>
      <c r="I466" s="329"/>
      <c r="J466" s="329"/>
      <c r="K466" s="329"/>
      <c r="L466" s="329"/>
      <c r="M466" s="329"/>
      <c r="N466" s="329"/>
      <c r="O466" s="329"/>
      <c r="P466" s="329"/>
    </row>
    <row r="467">
      <c r="E467" s="329"/>
      <c r="F467" s="329"/>
      <c r="G467" s="329"/>
      <c r="H467" s="329"/>
      <c r="I467" s="329"/>
      <c r="J467" s="329"/>
      <c r="K467" s="329"/>
      <c r="L467" s="329"/>
      <c r="M467" s="329"/>
      <c r="N467" s="329"/>
      <c r="O467" s="329"/>
      <c r="P467" s="329"/>
    </row>
    <row r="468">
      <c r="E468" s="329"/>
      <c r="F468" s="329"/>
      <c r="G468" s="329"/>
      <c r="H468" s="329"/>
      <c r="I468" s="329"/>
      <c r="J468" s="329"/>
      <c r="K468" s="329"/>
      <c r="L468" s="329"/>
      <c r="M468" s="329"/>
      <c r="N468" s="329"/>
      <c r="O468" s="329"/>
      <c r="P468" s="329"/>
    </row>
    <row r="469">
      <c r="E469" s="329"/>
      <c r="F469" s="329"/>
      <c r="G469" s="329"/>
      <c r="H469" s="329"/>
      <c r="I469" s="329"/>
      <c r="J469" s="329"/>
      <c r="K469" s="329"/>
      <c r="L469" s="329"/>
      <c r="M469" s="329"/>
      <c r="N469" s="329"/>
      <c r="O469" s="329"/>
      <c r="P469" s="329"/>
    </row>
    <row r="470">
      <c r="E470" s="329"/>
      <c r="F470" s="329"/>
      <c r="G470" s="329"/>
      <c r="H470" s="329"/>
      <c r="I470" s="329"/>
      <c r="J470" s="329"/>
      <c r="K470" s="329"/>
      <c r="L470" s="329"/>
      <c r="M470" s="329"/>
      <c r="N470" s="329"/>
      <c r="O470" s="329"/>
      <c r="P470" s="329"/>
    </row>
    <row r="471">
      <c r="E471" s="329"/>
      <c r="F471" s="329"/>
      <c r="G471" s="329"/>
      <c r="H471" s="329"/>
      <c r="I471" s="329"/>
      <c r="J471" s="329"/>
      <c r="K471" s="329"/>
      <c r="L471" s="329"/>
      <c r="M471" s="329"/>
      <c r="N471" s="329"/>
      <c r="O471" s="329"/>
      <c r="P471" s="329"/>
    </row>
    <row r="472">
      <c r="E472" s="329"/>
      <c r="F472" s="329"/>
      <c r="G472" s="329"/>
      <c r="H472" s="329"/>
      <c r="I472" s="329"/>
      <c r="J472" s="329"/>
      <c r="K472" s="329"/>
      <c r="L472" s="329"/>
      <c r="M472" s="329"/>
      <c r="N472" s="329"/>
      <c r="O472" s="329"/>
      <c r="P472" s="329"/>
    </row>
    <row r="473">
      <c r="E473" s="329"/>
      <c r="F473" s="329"/>
      <c r="G473" s="329"/>
      <c r="H473" s="329"/>
      <c r="I473" s="329"/>
      <c r="J473" s="329"/>
      <c r="K473" s="329"/>
      <c r="L473" s="329"/>
      <c r="M473" s="329"/>
      <c r="N473" s="329"/>
      <c r="O473" s="329"/>
      <c r="P473" s="329"/>
    </row>
    <row r="474">
      <c r="E474" s="329"/>
      <c r="F474" s="329"/>
      <c r="G474" s="329"/>
      <c r="H474" s="329"/>
      <c r="I474" s="329"/>
      <c r="J474" s="329"/>
      <c r="K474" s="329"/>
      <c r="L474" s="329"/>
      <c r="M474" s="329"/>
      <c r="N474" s="329"/>
      <c r="O474" s="329"/>
      <c r="P474" s="329"/>
    </row>
    <row r="475">
      <c r="E475" s="329"/>
      <c r="F475" s="329"/>
      <c r="G475" s="329"/>
      <c r="H475" s="329"/>
      <c r="I475" s="329"/>
      <c r="J475" s="329"/>
      <c r="K475" s="329"/>
      <c r="L475" s="329"/>
      <c r="M475" s="329"/>
      <c r="N475" s="329"/>
      <c r="O475" s="329"/>
      <c r="P475" s="329"/>
    </row>
    <row r="476">
      <c r="E476" s="329"/>
      <c r="F476" s="329"/>
      <c r="G476" s="329"/>
      <c r="H476" s="329"/>
      <c r="I476" s="329"/>
      <c r="J476" s="329"/>
      <c r="K476" s="329"/>
      <c r="L476" s="329"/>
      <c r="M476" s="329"/>
      <c r="N476" s="329"/>
      <c r="O476" s="329"/>
      <c r="P476" s="329"/>
    </row>
    <row r="477">
      <c r="E477" s="329"/>
      <c r="F477" s="329"/>
      <c r="G477" s="329"/>
      <c r="H477" s="329"/>
      <c r="I477" s="329"/>
      <c r="J477" s="329"/>
      <c r="K477" s="329"/>
      <c r="L477" s="329"/>
      <c r="M477" s="329"/>
      <c r="N477" s="329"/>
      <c r="O477" s="329"/>
      <c r="P477" s="329"/>
    </row>
    <row r="478">
      <c r="E478" s="329"/>
      <c r="F478" s="329"/>
      <c r="G478" s="329"/>
      <c r="H478" s="329"/>
      <c r="I478" s="329"/>
      <c r="J478" s="329"/>
      <c r="K478" s="329"/>
      <c r="L478" s="329"/>
      <c r="M478" s="329"/>
      <c r="N478" s="329"/>
      <c r="O478" s="329"/>
      <c r="P478" s="329"/>
    </row>
    <row r="479">
      <c r="E479" s="329"/>
      <c r="F479" s="329"/>
      <c r="G479" s="329"/>
      <c r="H479" s="329"/>
      <c r="I479" s="329"/>
      <c r="J479" s="329"/>
      <c r="K479" s="329"/>
      <c r="L479" s="329"/>
      <c r="M479" s="329"/>
      <c r="N479" s="329"/>
      <c r="O479" s="329"/>
      <c r="P479" s="329"/>
    </row>
    <row r="480">
      <c r="E480" s="329"/>
      <c r="F480" s="329"/>
      <c r="G480" s="329"/>
      <c r="H480" s="329"/>
      <c r="I480" s="329"/>
      <c r="J480" s="329"/>
      <c r="K480" s="329"/>
      <c r="L480" s="329"/>
      <c r="M480" s="329"/>
      <c r="N480" s="329"/>
      <c r="O480" s="329"/>
      <c r="P480" s="329"/>
    </row>
    <row r="481">
      <c r="E481" s="329"/>
      <c r="F481" s="329"/>
      <c r="G481" s="329"/>
      <c r="H481" s="329"/>
      <c r="I481" s="329"/>
      <c r="J481" s="329"/>
      <c r="K481" s="329"/>
      <c r="L481" s="329"/>
      <c r="M481" s="329"/>
      <c r="N481" s="329"/>
      <c r="O481" s="329"/>
      <c r="P481" s="329"/>
    </row>
    <row r="482">
      <c r="E482" s="329"/>
      <c r="F482" s="329"/>
      <c r="G482" s="329"/>
      <c r="H482" s="329"/>
      <c r="I482" s="329"/>
      <c r="J482" s="329"/>
      <c r="K482" s="329"/>
      <c r="L482" s="329"/>
      <c r="M482" s="329"/>
      <c r="N482" s="329"/>
      <c r="O482" s="329"/>
      <c r="P482" s="329"/>
    </row>
    <row r="483">
      <c r="E483" s="329"/>
      <c r="F483" s="329"/>
      <c r="G483" s="329"/>
      <c r="H483" s="329"/>
      <c r="I483" s="329"/>
      <c r="J483" s="329"/>
      <c r="K483" s="329"/>
      <c r="L483" s="329"/>
      <c r="M483" s="329"/>
      <c r="N483" s="329"/>
      <c r="O483" s="329"/>
      <c r="P483" s="329"/>
    </row>
    <row r="484">
      <c r="E484" s="329"/>
      <c r="F484" s="329"/>
      <c r="G484" s="329"/>
      <c r="H484" s="329"/>
      <c r="I484" s="329"/>
      <c r="J484" s="329"/>
      <c r="K484" s="329"/>
      <c r="L484" s="329"/>
      <c r="M484" s="329"/>
      <c r="N484" s="329"/>
      <c r="O484" s="329"/>
      <c r="P484" s="329"/>
    </row>
    <row r="485">
      <c r="E485" s="329"/>
      <c r="F485" s="329"/>
      <c r="G485" s="329"/>
      <c r="H485" s="329"/>
      <c r="I485" s="329"/>
      <c r="J485" s="329"/>
      <c r="K485" s="329"/>
      <c r="L485" s="329"/>
      <c r="M485" s="329"/>
      <c r="N485" s="329"/>
      <c r="O485" s="329"/>
      <c r="P485" s="329"/>
    </row>
    <row r="486">
      <c r="E486" s="329"/>
      <c r="F486" s="329"/>
      <c r="G486" s="329"/>
      <c r="H486" s="329"/>
      <c r="I486" s="329"/>
      <c r="J486" s="329"/>
      <c r="K486" s="329"/>
      <c r="L486" s="329"/>
      <c r="M486" s="329"/>
      <c r="N486" s="329"/>
      <c r="O486" s="329"/>
      <c r="P486" s="329"/>
    </row>
    <row r="487">
      <c r="E487" s="329"/>
      <c r="F487" s="329"/>
      <c r="G487" s="329"/>
      <c r="H487" s="329"/>
      <c r="I487" s="329"/>
      <c r="J487" s="329"/>
      <c r="K487" s="329"/>
      <c r="L487" s="329"/>
      <c r="M487" s="329"/>
      <c r="N487" s="329"/>
      <c r="O487" s="329"/>
      <c r="P487" s="329"/>
    </row>
    <row r="488">
      <c r="E488" s="329"/>
      <c r="F488" s="329"/>
      <c r="G488" s="329"/>
      <c r="H488" s="329"/>
      <c r="I488" s="329"/>
      <c r="J488" s="329"/>
      <c r="K488" s="329"/>
      <c r="L488" s="329"/>
      <c r="M488" s="329"/>
      <c r="N488" s="329"/>
      <c r="O488" s="329"/>
      <c r="P488" s="329"/>
    </row>
    <row r="489">
      <c r="E489" s="329"/>
      <c r="F489" s="329"/>
      <c r="G489" s="329"/>
      <c r="H489" s="329"/>
      <c r="I489" s="329"/>
      <c r="J489" s="329"/>
      <c r="K489" s="329"/>
      <c r="L489" s="329"/>
      <c r="M489" s="329"/>
      <c r="N489" s="329"/>
      <c r="O489" s="329"/>
      <c r="P489" s="329"/>
    </row>
    <row r="490">
      <c r="E490" s="329"/>
      <c r="F490" s="329"/>
      <c r="G490" s="329"/>
      <c r="H490" s="329"/>
      <c r="I490" s="329"/>
      <c r="J490" s="329"/>
      <c r="K490" s="329"/>
      <c r="L490" s="329"/>
      <c r="M490" s="329"/>
      <c r="N490" s="329"/>
      <c r="O490" s="329"/>
      <c r="P490" s="329"/>
    </row>
    <row r="491">
      <c r="E491" s="329"/>
      <c r="F491" s="329"/>
      <c r="G491" s="329"/>
      <c r="H491" s="329"/>
      <c r="I491" s="329"/>
      <c r="J491" s="329"/>
      <c r="K491" s="329"/>
      <c r="L491" s="329"/>
      <c r="M491" s="329"/>
      <c r="N491" s="329"/>
      <c r="O491" s="329"/>
      <c r="P491" s="329"/>
    </row>
    <row r="492">
      <c r="E492" s="329"/>
      <c r="F492" s="329"/>
      <c r="G492" s="329"/>
      <c r="H492" s="329"/>
      <c r="I492" s="329"/>
      <c r="J492" s="329"/>
      <c r="K492" s="329"/>
      <c r="L492" s="329"/>
      <c r="M492" s="329"/>
      <c r="N492" s="329"/>
      <c r="O492" s="329"/>
      <c r="P492" s="329"/>
    </row>
    <row r="493">
      <c r="E493" s="329"/>
      <c r="F493" s="329"/>
      <c r="G493" s="329"/>
      <c r="H493" s="329"/>
      <c r="I493" s="329"/>
      <c r="J493" s="329"/>
      <c r="K493" s="329"/>
      <c r="L493" s="329"/>
      <c r="M493" s="329"/>
      <c r="N493" s="329"/>
      <c r="O493" s="329"/>
      <c r="P493" s="329"/>
    </row>
    <row r="494">
      <c r="E494" s="329"/>
      <c r="F494" s="329"/>
      <c r="G494" s="329"/>
      <c r="H494" s="329"/>
      <c r="I494" s="329"/>
      <c r="J494" s="329"/>
      <c r="K494" s="329"/>
      <c r="L494" s="329"/>
      <c r="M494" s="329"/>
      <c r="N494" s="329"/>
      <c r="O494" s="329"/>
      <c r="P494" s="329"/>
    </row>
    <row r="495">
      <c r="E495" s="329"/>
      <c r="F495" s="329"/>
      <c r="G495" s="329"/>
      <c r="H495" s="329"/>
      <c r="I495" s="329"/>
      <c r="J495" s="329"/>
      <c r="K495" s="329"/>
      <c r="L495" s="329"/>
      <c r="M495" s="329"/>
      <c r="N495" s="329"/>
      <c r="O495" s="329"/>
      <c r="P495" s="329"/>
    </row>
    <row r="496">
      <c r="E496" s="329"/>
      <c r="F496" s="329"/>
      <c r="G496" s="329"/>
      <c r="H496" s="329"/>
      <c r="I496" s="329"/>
      <c r="J496" s="329"/>
      <c r="K496" s="329"/>
      <c r="L496" s="329"/>
      <c r="M496" s="329"/>
      <c r="N496" s="329"/>
      <c r="O496" s="329"/>
      <c r="P496" s="329"/>
    </row>
    <row r="497">
      <c r="E497" s="329"/>
      <c r="F497" s="329"/>
      <c r="G497" s="329"/>
      <c r="H497" s="329"/>
      <c r="I497" s="329"/>
      <c r="J497" s="329"/>
      <c r="K497" s="329"/>
      <c r="L497" s="329"/>
      <c r="M497" s="329"/>
      <c r="N497" s="329"/>
      <c r="O497" s="329"/>
      <c r="P497" s="329"/>
    </row>
    <row r="498">
      <c r="E498" s="329"/>
      <c r="F498" s="329"/>
      <c r="G498" s="329"/>
      <c r="H498" s="329"/>
      <c r="I498" s="329"/>
      <c r="J498" s="329"/>
      <c r="K498" s="329"/>
      <c r="L498" s="329"/>
      <c r="M498" s="329"/>
      <c r="N498" s="329"/>
      <c r="O498" s="329"/>
      <c r="P498" s="329"/>
    </row>
    <row r="499">
      <c r="E499" s="329"/>
      <c r="F499" s="329"/>
      <c r="G499" s="329"/>
      <c r="H499" s="329"/>
      <c r="I499" s="329"/>
      <c r="J499" s="329"/>
      <c r="K499" s="329"/>
      <c r="L499" s="329"/>
      <c r="M499" s="329"/>
      <c r="N499" s="329"/>
      <c r="O499" s="329"/>
      <c r="P499" s="329"/>
    </row>
    <row r="500">
      <c r="E500" s="329"/>
      <c r="F500" s="329"/>
      <c r="G500" s="329"/>
      <c r="H500" s="329"/>
      <c r="I500" s="329"/>
      <c r="J500" s="329"/>
      <c r="K500" s="329"/>
      <c r="L500" s="329"/>
      <c r="M500" s="329"/>
      <c r="N500" s="329"/>
      <c r="O500" s="329"/>
      <c r="P500" s="329"/>
    </row>
    <row r="501">
      <c r="E501" s="329"/>
      <c r="F501" s="329"/>
      <c r="G501" s="329"/>
      <c r="H501" s="329"/>
      <c r="I501" s="329"/>
      <c r="J501" s="329"/>
      <c r="K501" s="329"/>
      <c r="L501" s="329"/>
      <c r="M501" s="329"/>
      <c r="N501" s="329"/>
      <c r="O501" s="329"/>
      <c r="P501" s="329"/>
    </row>
    <row r="502">
      <c r="E502" s="329"/>
      <c r="F502" s="329"/>
      <c r="G502" s="329"/>
      <c r="H502" s="329"/>
      <c r="I502" s="329"/>
      <c r="J502" s="329"/>
      <c r="K502" s="329"/>
      <c r="L502" s="329"/>
      <c r="M502" s="329"/>
      <c r="N502" s="329"/>
      <c r="O502" s="329"/>
      <c r="P502" s="329"/>
    </row>
    <row r="503">
      <c r="E503" s="329"/>
      <c r="F503" s="329"/>
      <c r="G503" s="329"/>
      <c r="H503" s="329"/>
      <c r="I503" s="329"/>
      <c r="J503" s="329"/>
      <c r="K503" s="329"/>
      <c r="L503" s="329"/>
      <c r="M503" s="329"/>
      <c r="N503" s="329"/>
      <c r="O503" s="329"/>
      <c r="P503" s="329"/>
    </row>
    <row r="504">
      <c r="E504" s="329"/>
      <c r="F504" s="329"/>
      <c r="G504" s="329"/>
      <c r="H504" s="329"/>
      <c r="I504" s="329"/>
      <c r="J504" s="329"/>
      <c r="K504" s="329"/>
      <c r="L504" s="329"/>
      <c r="M504" s="329"/>
      <c r="N504" s="329"/>
      <c r="O504" s="329"/>
      <c r="P504" s="329"/>
    </row>
    <row r="505">
      <c r="E505" s="329"/>
      <c r="F505" s="329"/>
      <c r="G505" s="329"/>
      <c r="H505" s="329"/>
      <c r="I505" s="329"/>
      <c r="J505" s="329"/>
      <c r="K505" s="329"/>
      <c r="L505" s="329"/>
      <c r="M505" s="329"/>
      <c r="N505" s="329"/>
      <c r="O505" s="329"/>
      <c r="P505" s="329"/>
    </row>
    <row r="506">
      <c r="E506" s="329"/>
      <c r="F506" s="329"/>
      <c r="G506" s="329"/>
      <c r="H506" s="329"/>
      <c r="I506" s="329"/>
      <c r="J506" s="329"/>
      <c r="K506" s="329"/>
      <c r="L506" s="329"/>
      <c r="M506" s="329"/>
      <c r="N506" s="329"/>
      <c r="O506" s="329"/>
      <c r="P506" s="329"/>
    </row>
    <row r="507">
      <c r="E507" s="329"/>
      <c r="F507" s="329"/>
      <c r="G507" s="329"/>
      <c r="H507" s="329"/>
      <c r="I507" s="329"/>
      <c r="J507" s="329"/>
      <c r="K507" s="329"/>
      <c r="L507" s="329"/>
      <c r="M507" s="329"/>
      <c r="N507" s="329"/>
      <c r="O507" s="329"/>
      <c r="P507" s="329"/>
    </row>
    <row r="508">
      <c r="E508" s="329"/>
      <c r="F508" s="329"/>
      <c r="G508" s="329"/>
      <c r="H508" s="329"/>
      <c r="I508" s="329"/>
      <c r="J508" s="329"/>
      <c r="K508" s="329"/>
      <c r="L508" s="329"/>
      <c r="M508" s="329"/>
      <c r="N508" s="329"/>
      <c r="O508" s="329"/>
      <c r="P508" s="329"/>
    </row>
    <row r="509">
      <c r="E509" s="329"/>
      <c r="F509" s="329"/>
      <c r="G509" s="329"/>
      <c r="H509" s="329"/>
      <c r="I509" s="329"/>
      <c r="J509" s="329"/>
      <c r="K509" s="329"/>
      <c r="L509" s="329"/>
      <c r="M509" s="329"/>
      <c r="N509" s="329"/>
      <c r="O509" s="329"/>
      <c r="P509" s="329"/>
    </row>
    <row r="510">
      <c r="E510" s="329"/>
      <c r="F510" s="329"/>
      <c r="G510" s="329"/>
      <c r="H510" s="329"/>
      <c r="I510" s="329"/>
      <c r="J510" s="329"/>
      <c r="K510" s="329"/>
      <c r="L510" s="329"/>
      <c r="M510" s="329"/>
      <c r="N510" s="329"/>
      <c r="O510" s="329"/>
      <c r="P510" s="329"/>
    </row>
    <row r="511">
      <c r="E511" s="329"/>
      <c r="F511" s="329"/>
      <c r="G511" s="329"/>
      <c r="H511" s="329"/>
      <c r="I511" s="329"/>
      <c r="J511" s="329"/>
      <c r="K511" s="329"/>
      <c r="L511" s="329"/>
      <c r="M511" s="329"/>
      <c r="N511" s="329"/>
      <c r="O511" s="329"/>
      <c r="P511" s="329"/>
    </row>
    <row r="512">
      <c r="E512" s="329"/>
      <c r="F512" s="329"/>
      <c r="G512" s="329"/>
      <c r="H512" s="329"/>
      <c r="I512" s="329"/>
      <c r="J512" s="329"/>
      <c r="K512" s="329"/>
      <c r="L512" s="329"/>
      <c r="M512" s="329"/>
      <c r="N512" s="329"/>
      <c r="O512" s="329"/>
      <c r="P512" s="329"/>
    </row>
    <row r="513">
      <c r="E513" s="329"/>
      <c r="F513" s="329"/>
      <c r="G513" s="329"/>
      <c r="H513" s="329"/>
      <c r="I513" s="329"/>
      <c r="J513" s="329"/>
      <c r="K513" s="329"/>
      <c r="L513" s="329"/>
      <c r="M513" s="329"/>
      <c r="N513" s="329"/>
      <c r="O513" s="329"/>
      <c r="P513" s="329"/>
    </row>
    <row r="514">
      <c r="E514" s="329"/>
      <c r="F514" s="329"/>
      <c r="G514" s="329"/>
      <c r="H514" s="329"/>
      <c r="I514" s="329"/>
      <c r="J514" s="329"/>
      <c r="K514" s="329"/>
      <c r="L514" s="329"/>
      <c r="M514" s="329"/>
      <c r="N514" s="329"/>
      <c r="O514" s="329"/>
      <c r="P514" s="329"/>
    </row>
    <row r="515">
      <c r="E515" s="329"/>
      <c r="F515" s="329"/>
      <c r="G515" s="329"/>
      <c r="H515" s="329"/>
      <c r="I515" s="329"/>
      <c r="J515" s="329"/>
      <c r="K515" s="329"/>
      <c r="L515" s="329"/>
      <c r="M515" s="329"/>
      <c r="N515" s="329"/>
      <c r="O515" s="329"/>
      <c r="P515" s="329"/>
    </row>
    <row r="516">
      <c r="E516" s="329"/>
      <c r="F516" s="329"/>
      <c r="G516" s="329"/>
      <c r="H516" s="329"/>
      <c r="I516" s="329"/>
      <c r="J516" s="329"/>
      <c r="K516" s="329"/>
      <c r="L516" s="329"/>
      <c r="M516" s="329"/>
      <c r="N516" s="329"/>
      <c r="O516" s="329"/>
      <c r="P516" s="329"/>
    </row>
    <row r="517">
      <c r="E517" s="329"/>
      <c r="F517" s="329"/>
      <c r="G517" s="329"/>
      <c r="H517" s="329"/>
      <c r="I517" s="329"/>
      <c r="J517" s="329"/>
      <c r="K517" s="329"/>
      <c r="L517" s="329"/>
      <c r="M517" s="329"/>
      <c r="N517" s="329"/>
      <c r="O517" s="329"/>
      <c r="P517" s="329"/>
    </row>
    <row r="518">
      <c r="E518" s="329"/>
      <c r="F518" s="329"/>
      <c r="G518" s="329"/>
      <c r="H518" s="329"/>
      <c r="I518" s="329"/>
      <c r="J518" s="329"/>
      <c r="K518" s="329"/>
      <c r="L518" s="329"/>
      <c r="M518" s="329"/>
      <c r="N518" s="329"/>
      <c r="O518" s="329"/>
      <c r="P518" s="329"/>
    </row>
    <row r="519">
      <c r="E519" s="329"/>
      <c r="F519" s="329"/>
      <c r="G519" s="329"/>
      <c r="H519" s="329"/>
      <c r="I519" s="329"/>
      <c r="J519" s="329"/>
      <c r="K519" s="329"/>
      <c r="L519" s="329"/>
      <c r="M519" s="329"/>
      <c r="N519" s="329"/>
      <c r="O519" s="329"/>
      <c r="P519" s="329"/>
    </row>
    <row r="520">
      <c r="E520" s="329"/>
      <c r="F520" s="329"/>
      <c r="G520" s="329"/>
      <c r="H520" s="329"/>
      <c r="I520" s="329"/>
      <c r="J520" s="329"/>
      <c r="K520" s="329"/>
      <c r="L520" s="329"/>
      <c r="M520" s="329"/>
      <c r="N520" s="329"/>
      <c r="O520" s="329"/>
      <c r="P520" s="329"/>
    </row>
    <row r="521">
      <c r="E521" s="329"/>
      <c r="F521" s="329"/>
      <c r="G521" s="329"/>
      <c r="H521" s="329"/>
      <c r="I521" s="329"/>
      <c r="J521" s="329"/>
      <c r="K521" s="329"/>
      <c r="L521" s="329"/>
      <c r="M521" s="329"/>
      <c r="N521" s="329"/>
      <c r="O521" s="329"/>
      <c r="P521" s="329"/>
    </row>
    <row r="522">
      <c r="E522" s="329"/>
      <c r="F522" s="329"/>
      <c r="G522" s="329"/>
      <c r="H522" s="329"/>
      <c r="I522" s="329"/>
      <c r="J522" s="329"/>
      <c r="K522" s="329"/>
      <c r="L522" s="329"/>
      <c r="M522" s="329"/>
      <c r="N522" s="329"/>
      <c r="O522" s="329"/>
      <c r="P522" s="329"/>
    </row>
    <row r="523">
      <c r="E523" s="329"/>
      <c r="F523" s="329"/>
      <c r="G523" s="329"/>
      <c r="H523" s="329"/>
      <c r="I523" s="329"/>
      <c r="J523" s="329"/>
      <c r="K523" s="329"/>
      <c r="L523" s="329"/>
      <c r="M523" s="329"/>
      <c r="N523" s="329"/>
      <c r="O523" s="329"/>
      <c r="P523" s="329"/>
    </row>
    <row r="524">
      <c r="E524" s="329"/>
      <c r="F524" s="329"/>
      <c r="G524" s="329"/>
      <c r="H524" s="329"/>
      <c r="I524" s="329"/>
      <c r="J524" s="329"/>
      <c r="K524" s="329"/>
      <c r="L524" s="329"/>
      <c r="M524" s="329"/>
      <c r="N524" s="329"/>
      <c r="O524" s="329"/>
      <c r="P524" s="329"/>
    </row>
    <row r="525">
      <c r="E525" s="329"/>
      <c r="F525" s="329"/>
      <c r="G525" s="329"/>
      <c r="H525" s="329"/>
      <c r="I525" s="329"/>
      <c r="J525" s="329"/>
      <c r="K525" s="329"/>
      <c r="L525" s="329"/>
      <c r="M525" s="329"/>
      <c r="N525" s="329"/>
      <c r="O525" s="329"/>
      <c r="P525" s="329"/>
    </row>
    <row r="526">
      <c r="E526" s="329"/>
      <c r="F526" s="329"/>
      <c r="G526" s="329"/>
      <c r="H526" s="329"/>
      <c r="I526" s="329"/>
      <c r="J526" s="329"/>
      <c r="K526" s="329"/>
      <c r="L526" s="329"/>
      <c r="M526" s="329"/>
      <c r="N526" s="329"/>
      <c r="O526" s="329"/>
      <c r="P526" s="329"/>
    </row>
    <row r="527">
      <c r="E527" s="329"/>
      <c r="F527" s="329"/>
      <c r="G527" s="329"/>
      <c r="H527" s="329"/>
      <c r="I527" s="329"/>
      <c r="J527" s="329"/>
      <c r="K527" s="329"/>
      <c r="L527" s="329"/>
      <c r="M527" s="329"/>
      <c r="N527" s="329"/>
      <c r="O527" s="329"/>
      <c r="P527" s="329"/>
    </row>
    <row r="528">
      <c r="E528" s="329"/>
      <c r="F528" s="329"/>
      <c r="G528" s="329"/>
      <c r="H528" s="329"/>
      <c r="I528" s="329"/>
      <c r="J528" s="329"/>
      <c r="K528" s="329"/>
      <c r="L528" s="329"/>
      <c r="M528" s="329"/>
      <c r="N528" s="329"/>
      <c r="O528" s="329"/>
      <c r="P528" s="329"/>
    </row>
    <row r="529">
      <c r="E529" s="329"/>
      <c r="F529" s="329"/>
      <c r="G529" s="329"/>
      <c r="H529" s="329"/>
      <c r="I529" s="329"/>
      <c r="J529" s="329"/>
      <c r="K529" s="329"/>
      <c r="L529" s="329"/>
      <c r="M529" s="329"/>
      <c r="N529" s="329"/>
      <c r="O529" s="329"/>
      <c r="P529" s="329"/>
    </row>
    <row r="530">
      <c r="E530" s="329"/>
      <c r="F530" s="329"/>
      <c r="G530" s="329"/>
      <c r="H530" s="329"/>
      <c r="I530" s="329"/>
      <c r="J530" s="329"/>
      <c r="K530" s="329"/>
      <c r="L530" s="329"/>
      <c r="M530" s="329"/>
      <c r="N530" s="329"/>
      <c r="O530" s="329"/>
      <c r="P530" s="329"/>
    </row>
    <row r="531">
      <c r="E531" s="329"/>
      <c r="F531" s="329"/>
      <c r="G531" s="329"/>
      <c r="H531" s="329"/>
      <c r="I531" s="329"/>
      <c r="J531" s="329"/>
      <c r="K531" s="329"/>
      <c r="L531" s="329"/>
      <c r="M531" s="329"/>
      <c r="N531" s="329"/>
      <c r="O531" s="329"/>
      <c r="P531" s="329"/>
    </row>
    <row r="532">
      <c r="E532" s="329"/>
      <c r="F532" s="329"/>
      <c r="G532" s="329"/>
      <c r="H532" s="329"/>
      <c r="I532" s="329"/>
      <c r="J532" s="329"/>
      <c r="K532" s="329"/>
      <c r="L532" s="329"/>
      <c r="M532" s="329"/>
      <c r="N532" s="329"/>
      <c r="O532" s="329"/>
      <c r="P532" s="329"/>
    </row>
    <row r="533">
      <c r="E533" s="329"/>
      <c r="F533" s="329"/>
      <c r="G533" s="329"/>
      <c r="H533" s="329"/>
      <c r="I533" s="329"/>
      <c r="J533" s="329"/>
      <c r="K533" s="329"/>
      <c r="L533" s="329"/>
      <c r="M533" s="329"/>
      <c r="N533" s="329"/>
      <c r="O533" s="329"/>
      <c r="P533" s="329"/>
    </row>
    <row r="534">
      <c r="E534" s="329"/>
      <c r="F534" s="329"/>
      <c r="G534" s="329"/>
      <c r="H534" s="329"/>
      <c r="I534" s="329"/>
      <c r="J534" s="329"/>
      <c r="K534" s="329"/>
      <c r="L534" s="329"/>
      <c r="M534" s="329"/>
      <c r="N534" s="329"/>
      <c r="O534" s="329"/>
      <c r="P534" s="329"/>
    </row>
    <row r="535">
      <c r="E535" s="329"/>
      <c r="F535" s="329"/>
      <c r="G535" s="329"/>
      <c r="H535" s="329"/>
      <c r="I535" s="329"/>
      <c r="J535" s="329"/>
      <c r="K535" s="329"/>
      <c r="L535" s="329"/>
      <c r="M535" s="329"/>
      <c r="N535" s="329"/>
      <c r="O535" s="329"/>
      <c r="P535" s="329"/>
    </row>
    <row r="536">
      <c r="E536" s="329"/>
      <c r="F536" s="329"/>
      <c r="G536" s="329"/>
      <c r="H536" s="329"/>
      <c r="I536" s="329"/>
      <c r="J536" s="329"/>
      <c r="K536" s="329"/>
      <c r="L536" s="329"/>
      <c r="M536" s="329"/>
      <c r="N536" s="329"/>
      <c r="O536" s="329"/>
      <c r="P536" s="329"/>
    </row>
    <row r="537">
      <c r="E537" s="329"/>
      <c r="F537" s="329"/>
      <c r="G537" s="329"/>
      <c r="H537" s="329"/>
      <c r="I537" s="329"/>
      <c r="J537" s="329"/>
      <c r="K537" s="329"/>
      <c r="L537" s="329"/>
      <c r="M537" s="329"/>
      <c r="N537" s="329"/>
      <c r="O537" s="329"/>
      <c r="P537" s="329"/>
    </row>
    <row r="538">
      <c r="E538" s="329"/>
      <c r="F538" s="329"/>
      <c r="G538" s="329"/>
      <c r="H538" s="329"/>
      <c r="I538" s="329"/>
      <c r="J538" s="329"/>
      <c r="K538" s="329"/>
      <c r="L538" s="329"/>
      <c r="M538" s="329"/>
      <c r="N538" s="329"/>
      <c r="O538" s="329"/>
      <c r="P538" s="329"/>
    </row>
    <row r="539">
      <c r="E539" s="329"/>
      <c r="F539" s="329"/>
      <c r="G539" s="329"/>
      <c r="H539" s="329"/>
      <c r="I539" s="329"/>
      <c r="J539" s="329"/>
      <c r="K539" s="329"/>
      <c r="L539" s="329"/>
      <c r="M539" s="329"/>
      <c r="N539" s="329"/>
      <c r="O539" s="329"/>
      <c r="P539" s="329"/>
    </row>
    <row r="540">
      <c r="E540" s="329"/>
      <c r="F540" s="329"/>
      <c r="G540" s="329"/>
      <c r="H540" s="329"/>
      <c r="I540" s="329"/>
      <c r="J540" s="329"/>
      <c r="K540" s="329"/>
      <c r="L540" s="329"/>
      <c r="M540" s="329"/>
      <c r="N540" s="329"/>
      <c r="O540" s="329"/>
      <c r="P540" s="329"/>
    </row>
    <row r="541">
      <c r="E541" s="329"/>
      <c r="F541" s="329"/>
      <c r="G541" s="329"/>
      <c r="H541" s="329"/>
      <c r="I541" s="329"/>
      <c r="J541" s="329"/>
      <c r="K541" s="329"/>
      <c r="L541" s="329"/>
      <c r="M541" s="329"/>
      <c r="N541" s="329"/>
      <c r="O541" s="329"/>
      <c r="P541" s="329"/>
    </row>
    <row r="542">
      <c r="E542" s="329"/>
      <c r="F542" s="329"/>
      <c r="G542" s="329"/>
      <c r="H542" s="329"/>
      <c r="I542" s="329"/>
      <c r="J542" s="329"/>
      <c r="K542" s="329"/>
      <c r="L542" s="329"/>
      <c r="M542" s="329"/>
      <c r="N542" s="329"/>
      <c r="O542" s="329"/>
      <c r="P542" s="329"/>
    </row>
    <row r="543">
      <c r="E543" s="329"/>
      <c r="F543" s="329"/>
      <c r="G543" s="329"/>
      <c r="H543" s="329"/>
      <c r="I543" s="329"/>
      <c r="J543" s="329"/>
      <c r="K543" s="329"/>
      <c r="L543" s="329"/>
      <c r="M543" s="329"/>
      <c r="N543" s="329"/>
      <c r="O543" s="329"/>
      <c r="P543" s="329"/>
    </row>
    <row r="544">
      <c r="E544" s="329"/>
      <c r="F544" s="329"/>
      <c r="G544" s="329"/>
      <c r="H544" s="329"/>
      <c r="I544" s="329"/>
      <c r="J544" s="329"/>
      <c r="K544" s="329"/>
      <c r="L544" s="329"/>
      <c r="M544" s="329"/>
      <c r="N544" s="329"/>
      <c r="O544" s="329"/>
      <c r="P544" s="329"/>
    </row>
    <row r="545">
      <c r="E545" s="329"/>
      <c r="F545" s="329"/>
      <c r="G545" s="329"/>
      <c r="H545" s="329"/>
      <c r="I545" s="329"/>
      <c r="J545" s="329"/>
      <c r="K545" s="329"/>
      <c r="L545" s="329"/>
      <c r="M545" s="329"/>
      <c r="N545" s="329"/>
      <c r="O545" s="329"/>
      <c r="P545" s="329"/>
    </row>
    <row r="546">
      <c r="E546" s="329"/>
      <c r="F546" s="329"/>
      <c r="G546" s="329"/>
      <c r="H546" s="329"/>
      <c r="I546" s="329"/>
      <c r="J546" s="329"/>
      <c r="K546" s="329"/>
      <c r="L546" s="329"/>
      <c r="M546" s="329"/>
      <c r="N546" s="329"/>
      <c r="O546" s="329"/>
      <c r="P546" s="329"/>
    </row>
    <row r="547">
      <c r="E547" s="329"/>
      <c r="F547" s="329"/>
      <c r="G547" s="329"/>
      <c r="H547" s="329"/>
      <c r="I547" s="329"/>
      <c r="J547" s="329"/>
      <c r="K547" s="329"/>
      <c r="L547" s="329"/>
      <c r="M547" s="329"/>
      <c r="N547" s="329"/>
      <c r="O547" s="329"/>
      <c r="P547" s="329"/>
    </row>
    <row r="548"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</row>
    <row r="549">
      <c r="E549" s="329"/>
      <c r="F549" s="329"/>
      <c r="G549" s="329"/>
      <c r="H549" s="329"/>
      <c r="I549" s="329"/>
      <c r="J549" s="329"/>
      <c r="K549" s="329"/>
      <c r="L549" s="329"/>
      <c r="M549" s="329"/>
      <c r="N549" s="329"/>
      <c r="O549" s="329"/>
      <c r="P549" s="329"/>
    </row>
    <row r="550">
      <c r="E550" s="329"/>
      <c r="F550" s="329"/>
      <c r="G550" s="329"/>
      <c r="H550" s="329"/>
      <c r="I550" s="329"/>
      <c r="J550" s="329"/>
      <c r="K550" s="329"/>
      <c r="L550" s="329"/>
      <c r="M550" s="329"/>
      <c r="N550" s="329"/>
      <c r="O550" s="329"/>
      <c r="P550" s="329"/>
    </row>
    <row r="551">
      <c r="E551" s="329"/>
      <c r="F551" s="329"/>
      <c r="G551" s="329"/>
      <c r="H551" s="329"/>
      <c r="I551" s="329"/>
      <c r="J551" s="329"/>
      <c r="K551" s="329"/>
      <c r="L551" s="329"/>
      <c r="M551" s="329"/>
      <c r="N551" s="329"/>
      <c r="O551" s="329"/>
      <c r="P551" s="329"/>
    </row>
    <row r="552">
      <c r="E552" s="329"/>
      <c r="F552" s="329"/>
      <c r="G552" s="329"/>
      <c r="H552" s="329"/>
      <c r="I552" s="329"/>
      <c r="J552" s="329"/>
      <c r="K552" s="329"/>
      <c r="L552" s="329"/>
      <c r="M552" s="329"/>
      <c r="N552" s="329"/>
      <c r="O552" s="329"/>
      <c r="P552" s="329"/>
    </row>
    <row r="553">
      <c r="E553" s="329"/>
      <c r="F553" s="329"/>
      <c r="G553" s="329"/>
      <c r="H553" s="329"/>
      <c r="I553" s="329"/>
      <c r="J553" s="329"/>
      <c r="K553" s="329"/>
      <c r="L553" s="329"/>
      <c r="M553" s="329"/>
      <c r="N553" s="329"/>
      <c r="O553" s="329"/>
      <c r="P553" s="329"/>
    </row>
    <row r="554">
      <c r="E554" s="329"/>
      <c r="F554" s="329"/>
      <c r="G554" s="329"/>
      <c r="H554" s="329"/>
      <c r="I554" s="329"/>
      <c r="J554" s="329"/>
      <c r="K554" s="329"/>
      <c r="L554" s="329"/>
      <c r="M554" s="329"/>
      <c r="N554" s="329"/>
      <c r="O554" s="329"/>
      <c r="P554" s="329"/>
    </row>
    <row r="555">
      <c r="E555" s="329"/>
      <c r="F555" s="329"/>
      <c r="G555" s="329"/>
      <c r="H555" s="329"/>
      <c r="I555" s="329"/>
      <c r="J555" s="329"/>
      <c r="K555" s="329"/>
      <c r="L555" s="329"/>
      <c r="M555" s="329"/>
      <c r="N555" s="329"/>
      <c r="O555" s="329"/>
      <c r="P555" s="329"/>
    </row>
    <row r="556">
      <c r="E556" s="329"/>
      <c r="F556" s="329"/>
      <c r="G556" s="329"/>
      <c r="H556" s="329"/>
      <c r="I556" s="329"/>
      <c r="J556" s="329"/>
      <c r="K556" s="329"/>
      <c r="L556" s="329"/>
      <c r="M556" s="329"/>
      <c r="N556" s="329"/>
      <c r="O556" s="329"/>
      <c r="P556" s="329"/>
    </row>
    <row r="557">
      <c r="E557" s="329"/>
      <c r="F557" s="329"/>
      <c r="G557" s="329"/>
      <c r="H557" s="329"/>
      <c r="I557" s="329"/>
      <c r="J557" s="329"/>
      <c r="K557" s="329"/>
      <c r="L557" s="329"/>
      <c r="M557" s="329"/>
      <c r="N557" s="329"/>
      <c r="O557" s="329"/>
      <c r="P557" s="329"/>
    </row>
    <row r="558">
      <c r="E558" s="329"/>
      <c r="F558" s="329"/>
      <c r="G558" s="329"/>
      <c r="H558" s="329"/>
      <c r="I558" s="329"/>
      <c r="J558" s="329"/>
      <c r="K558" s="329"/>
      <c r="L558" s="329"/>
      <c r="M558" s="329"/>
      <c r="N558" s="329"/>
      <c r="O558" s="329"/>
      <c r="P558" s="329"/>
    </row>
    <row r="559">
      <c r="E559" s="329"/>
      <c r="F559" s="329"/>
      <c r="G559" s="329"/>
      <c r="H559" s="329"/>
      <c r="I559" s="329"/>
      <c r="J559" s="329"/>
      <c r="K559" s="329"/>
      <c r="L559" s="329"/>
      <c r="M559" s="329"/>
      <c r="N559" s="329"/>
      <c r="O559" s="329"/>
      <c r="P559" s="329"/>
    </row>
    <row r="560">
      <c r="E560" s="329"/>
      <c r="F560" s="329"/>
      <c r="G560" s="329"/>
      <c r="H560" s="329"/>
      <c r="I560" s="329"/>
      <c r="J560" s="329"/>
      <c r="K560" s="329"/>
      <c r="L560" s="329"/>
      <c r="M560" s="329"/>
      <c r="N560" s="329"/>
      <c r="O560" s="329"/>
      <c r="P560" s="329"/>
    </row>
    <row r="561">
      <c r="E561" s="329"/>
      <c r="F561" s="329"/>
      <c r="G561" s="329"/>
      <c r="H561" s="329"/>
      <c r="I561" s="329"/>
      <c r="J561" s="329"/>
      <c r="K561" s="329"/>
      <c r="L561" s="329"/>
      <c r="M561" s="329"/>
      <c r="N561" s="329"/>
      <c r="O561" s="329"/>
      <c r="P561" s="329"/>
    </row>
    <row r="562">
      <c r="E562" s="329"/>
      <c r="F562" s="329"/>
      <c r="G562" s="329"/>
      <c r="H562" s="329"/>
      <c r="I562" s="329"/>
      <c r="J562" s="329"/>
      <c r="K562" s="329"/>
      <c r="L562" s="329"/>
      <c r="M562" s="329"/>
      <c r="N562" s="329"/>
      <c r="O562" s="329"/>
      <c r="P562" s="329"/>
    </row>
    <row r="563">
      <c r="E563" s="329"/>
      <c r="F563" s="329"/>
      <c r="G563" s="329"/>
      <c r="H563" s="329"/>
      <c r="I563" s="329"/>
      <c r="J563" s="329"/>
      <c r="K563" s="329"/>
      <c r="L563" s="329"/>
      <c r="M563" s="329"/>
      <c r="N563" s="329"/>
      <c r="O563" s="329"/>
      <c r="P563" s="329"/>
    </row>
    <row r="564">
      <c r="E564" s="329"/>
      <c r="F564" s="329"/>
      <c r="G564" s="329"/>
      <c r="H564" s="329"/>
      <c r="I564" s="329"/>
      <c r="J564" s="329"/>
      <c r="K564" s="329"/>
      <c r="L564" s="329"/>
      <c r="M564" s="329"/>
      <c r="N564" s="329"/>
      <c r="O564" s="329"/>
      <c r="P564" s="329"/>
    </row>
    <row r="565">
      <c r="E565" s="329"/>
      <c r="F565" s="329"/>
      <c r="G565" s="329"/>
      <c r="H565" s="329"/>
      <c r="I565" s="329"/>
      <c r="J565" s="329"/>
      <c r="K565" s="329"/>
      <c r="L565" s="329"/>
      <c r="M565" s="329"/>
      <c r="N565" s="329"/>
      <c r="O565" s="329"/>
      <c r="P565" s="329"/>
    </row>
    <row r="566">
      <c r="E566" s="329"/>
      <c r="F566" s="329"/>
      <c r="G566" s="329"/>
      <c r="H566" s="329"/>
      <c r="I566" s="329"/>
      <c r="J566" s="329"/>
      <c r="K566" s="329"/>
      <c r="L566" s="329"/>
      <c r="M566" s="329"/>
      <c r="N566" s="329"/>
      <c r="O566" s="329"/>
      <c r="P566" s="329"/>
    </row>
    <row r="567">
      <c r="E567" s="329"/>
      <c r="F567" s="329"/>
      <c r="G567" s="329"/>
      <c r="H567" s="329"/>
      <c r="I567" s="329"/>
      <c r="J567" s="329"/>
      <c r="K567" s="329"/>
      <c r="L567" s="329"/>
      <c r="M567" s="329"/>
      <c r="N567" s="329"/>
      <c r="O567" s="329"/>
      <c r="P567" s="329"/>
    </row>
    <row r="568">
      <c r="E568" s="329"/>
      <c r="F568" s="329"/>
      <c r="G568" s="329"/>
      <c r="H568" s="329"/>
      <c r="I568" s="329"/>
      <c r="J568" s="329"/>
      <c r="K568" s="329"/>
      <c r="L568" s="329"/>
      <c r="M568" s="329"/>
      <c r="N568" s="329"/>
      <c r="O568" s="329"/>
      <c r="P568" s="329"/>
    </row>
    <row r="569">
      <c r="E569" s="329"/>
      <c r="F569" s="329"/>
      <c r="G569" s="329"/>
      <c r="H569" s="329"/>
      <c r="I569" s="329"/>
      <c r="J569" s="329"/>
      <c r="K569" s="329"/>
      <c r="L569" s="329"/>
      <c r="M569" s="329"/>
      <c r="N569" s="329"/>
      <c r="O569" s="329"/>
      <c r="P569" s="329"/>
    </row>
    <row r="570">
      <c r="E570" s="329"/>
      <c r="F570" s="329"/>
      <c r="G570" s="329"/>
      <c r="H570" s="329"/>
      <c r="I570" s="329"/>
      <c r="J570" s="329"/>
      <c r="K570" s="329"/>
      <c r="L570" s="329"/>
      <c r="M570" s="329"/>
      <c r="N570" s="329"/>
      <c r="O570" s="329"/>
      <c r="P570" s="329"/>
    </row>
    <row r="571">
      <c r="E571" s="329"/>
      <c r="F571" s="329"/>
      <c r="G571" s="329"/>
      <c r="H571" s="329"/>
      <c r="I571" s="329"/>
      <c r="J571" s="329"/>
      <c r="K571" s="329"/>
      <c r="L571" s="329"/>
      <c r="M571" s="329"/>
      <c r="N571" s="329"/>
      <c r="O571" s="329"/>
      <c r="P571" s="329"/>
    </row>
    <row r="572">
      <c r="E572" s="329"/>
      <c r="F572" s="329"/>
      <c r="G572" s="329"/>
      <c r="H572" s="329"/>
      <c r="I572" s="329"/>
      <c r="J572" s="329"/>
      <c r="K572" s="329"/>
      <c r="L572" s="329"/>
      <c r="M572" s="329"/>
      <c r="N572" s="329"/>
      <c r="O572" s="329"/>
      <c r="P572" s="329"/>
    </row>
    <row r="573">
      <c r="E573" s="329"/>
      <c r="F573" s="329"/>
      <c r="G573" s="329"/>
      <c r="H573" s="329"/>
      <c r="I573" s="329"/>
      <c r="J573" s="329"/>
      <c r="K573" s="329"/>
      <c r="L573" s="329"/>
      <c r="M573" s="329"/>
      <c r="N573" s="329"/>
      <c r="O573" s="329"/>
      <c r="P573" s="329"/>
    </row>
    <row r="574">
      <c r="E574" s="329"/>
      <c r="F574" s="329"/>
      <c r="G574" s="329"/>
      <c r="H574" s="329"/>
      <c r="I574" s="329"/>
      <c r="J574" s="329"/>
      <c r="K574" s="329"/>
      <c r="L574" s="329"/>
      <c r="M574" s="329"/>
      <c r="N574" s="329"/>
      <c r="O574" s="329"/>
      <c r="P574" s="329"/>
    </row>
    <row r="575">
      <c r="E575" s="329"/>
      <c r="F575" s="329"/>
      <c r="G575" s="329"/>
      <c r="H575" s="329"/>
      <c r="I575" s="329"/>
      <c r="J575" s="329"/>
      <c r="K575" s="329"/>
      <c r="L575" s="329"/>
      <c r="M575" s="329"/>
      <c r="N575" s="329"/>
      <c r="O575" s="329"/>
      <c r="P575" s="329"/>
    </row>
    <row r="576">
      <c r="E576" s="329"/>
      <c r="F576" s="329"/>
      <c r="G576" s="329"/>
      <c r="H576" s="329"/>
      <c r="I576" s="329"/>
      <c r="J576" s="329"/>
      <c r="K576" s="329"/>
      <c r="L576" s="329"/>
      <c r="M576" s="329"/>
      <c r="N576" s="329"/>
      <c r="O576" s="329"/>
      <c r="P576" s="329"/>
    </row>
    <row r="577">
      <c r="E577" s="329"/>
      <c r="F577" s="329"/>
      <c r="G577" s="329"/>
      <c r="H577" s="329"/>
      <c r="I577" s="329"/>
      <c r="J577" s="329"/>
      <c r="K577" s="329"/>
      <c r="L577" s="329"/>
      <c r="M577" s="329"/>
      <c r="N577" s="329"/>
      <c r="O577" s="329"/>
      <c r="P577" s="329"/>
    </row>
    <row r="578">
      <c r="E578" s="329"/>
      <c r="F578" s="329"/>
      <c r="G578" s="329"/>
      <c r="H578" s="329"/>
      <c r="I578" s="329"/>
      <c r="J578" s="329"/>
      <c r="K578" s="329"/>
      <c r="L578" s="329"/>
      <c r="M578" s="329"/>
      <c r="N578" s="329"/>
      <c r="O578" s="329"/>
      <c r="P578" s="329"/>
    </row>
    <row r="579">
      <c r="E579" s="329"/>
      <c r="F579" s="329"/>
      <c r="G579" s="329"/>
      <c r="H579" s="329"/>
      <c r="I579" s="329"/>
      <c r="J579" s="329"/>
      <c r="K579" s="329"/>
      <c r="L579" s="329"/>
      <c r="M579" s="329"/>
      <c r="N579" s="329"/>
      <c r="O579" s="329"/>
      <c r="P579" s="329"/>
    </row>
    <row r="580">
      <c r="E580" s="329"/>
      <c r="F580" s="329"/>
      <c r="G580" s="329"/>
      <c r="H580" s="329"/>
      <c r="I580" s="329"/>
      <c r="J580" s="329"/>
      <c r="K580" s="329"/>
      <c r="L580" s="329"/>
      <c r="M580" s="329"/>
      <c r="N580" s="329"/>
      <c r="O580" s="329"/>
      <c r="P580" s="329"/>
    </row>
    <row r="581">
      <c r="E581" s="329"/>
      <c r="F581" s="329"/>
      <c r="G581" s="329"/>
      <c r="H581" s="329"/>
      <c r="I581" s="329"/>
      <c r="J581" s="329"/>
      <c r="K581" s="329"/>
      <c r="L581" s="329"/>
      <c r="M581" s="329"/>
      <c r="N581" s="329"/>
      <c r="O581" s="329"/>
      <c r="P581" s="329"/>
    </row>
    <row r="582"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</row>
    <row r="583">
      <c r="E583" s="329"/>
      <c r="F583" s="329"/>
      <c r="G583" s="329"/>
      <c r="H583" s="329"/>
      <c r="I583" s="329"/>
      <c r="J583" s="329"/>
      <c r="K583" s="329"/>
      <c r="L583" s="329"/>
      <c r="M583" s="329"/>
      <c r="N583" s="329"/>
      <c r="O583" s="329"/>
      <c r="P583" s="329"/>
    </row>
    <row r="584">
      <c r="E584" s="329"/>
      <c r="F584" s="329"/>
      <c r="G584" s="329"/>
      <c r="H584" s="329"/>
      <c r="I584" s="329"/>
      <c r="J584" s="329"/>
      <c r="K584" s="329"/>
      <c r="L584" s="329"/>
      <c r="M584" s="329"/>
      <c r="N584" s="329"/>
      <c r="O584" s="329"/>
      <c r="P584" s="329"/>
    </row>
    <row r="585">
      <c r="E585" s="329"/>
      <c r="F585" s="329"/>
      <c r="G585" s="329"/>
      <c r="H585" s="329"/>
      <c r="I585" s="329"/>
      <c r="J585" s="329"/>
      <c r="K585" s="329"/>
      <c r="L585" s="329"/>
      <c r="M585" s="329"/>
      <c r="N585" s="329"/>
      <c r="O585" s="329"/>
      <c r="P585" s="329"/>
    </row>
    <row r="586">
      <c r="E586" s="329"/>
      <c r="F586" s="329"/>
      <c r="G586" s="329"/>
      <c r="H586" s="329"/>
      <c r="I586" s="329"/>
      <c r="J586" s="329"/>
      <c r="K586" s="329"/>
      <c r="L586" s="329"/>
      <c r="M586" s="329"/>
      <c r="N586" s="329"/>
      <c r="O586" s="329"/>
      <c r="P586" s="329"/>
    </row>
    <row r="587">
      <c r="E587" s="329"/>
      <c r="F587" s="329"/>
      <c r="G587" s="329"/>
      <c r="H587" s="329"/>
      <c r="I587" s="329"/>
      <c r="J587" s="329"/>
      <c r="K587" s="329"/>
      <c r="L587" s="329"/>
      <c r="M587" s="329"/>
      <c r="N587" s="329"/>
      <c r="O587" s="329"/>
      <c r="P587" s="329"/>
    </row>
    <row r="588">
      <c r="E588" s="329"/>
      <c r="F588" s="329"/>
      <c r="G588" s="329"/>
      <c r="H588" s="329"/>
      <c r="I588" s="329"/>
      <c r="J588" s="329"/>
      <c r="K588" s="329"/>
      <c r="L588" s="329"/>
      <c r="M588" s="329"/>
      <c r="N588" s="329"/>
      <c r="O588" s="329"/>
      <c r="P588" s="329"/>
    </row>
    <row r="589">
      <c r="E589" s="329"/>
      <c r="F589" s="329"/>
      <c r="G589" s="329"/>
      <c r="H589" s="329"/>
      <c r="I589" s="329"/>
      <c r="J589" s="329"/>
      <c r="K589" s="329"/>
      <c r="L589" s="329"/>
      <c r="M589" s="329"/>
      <c r="N589" s="329"/>
      <c r="O589" s="329"/>
      <c r="P589" s="329"/>
    </row>
    <row r="590">
      <c r="E590" s="329"/>
      <c r="F590" s="329"/>
      <c r="G590" s="329"/>
      <c r="H590" s="329"/>
      <c r="I590" s="329"/>
      <c r="J590" s="329"/>
      <c r="K590" s="329"/>
      <c r="L590" s="329"/>
      <c r="M590" s="329"/>
      <c r="N590" s="329"/>
      <c r="O590" s="329"/>
      <c r="P590" s="329"/>
    </row>
    <row r="591">
      <c r="E591" s="329"/>
      <c r="F591" s="329"/>
      <c r="G591" s="329"/>
      <c r="H591" s="329"/>
      <c r="I591" s="329"/>
      <c r="J591" s="329"/>
      <c r="K591" s="329"/>
      <c r="L591" s="329"/>
      <c r="M591" s="329"/>
      <c r="N591" s="329"/>
      <c r="O591" s="329"/>
      <c r="P591" s="329"/>
    </row>
    <row r="592">
      <c r="E592" s="329"/>
      <c r="F592" s="329"/>
      <c r="G592" s="329"/>
      <c r="H592" s="329"/>
      <c r="I592" s="329"/>
      <c r="J592" s="329"/>
      <c r="K592" s="329"/>
      <c r="L592" s="329"/>
      <c r="M592" s="329"/>
      <c r="N592" s="329"/>
      <c r="O592" s="329"/>
      <c r="P592" s="329"/>
    </row>
    <row r="593">
      <c r="E593" s="329"/>
      <c r="F593" s="329"/>
      <c r="G593" s="329"/>
      <c r="H593" s="329"/>
      <c r="I593" s="329"/>
      <c r="J593" s="329"/>
      <c r="K593" s="329"/>
      <c r="L593" s="329"/>
      <c r="M593" s="329"/>
      <c r="N593" s="329"/>
      <c r="O593" s="329"/>
      <c r="P593" s="329"/>
    </row>
    <row r="594">
      <c r="E594" s="329"/>
      <c r="F594" s="329"/>
      <c r="G594" s="329"/>
      <c r="H594" s="329"/>
      <c r="I594" s="329"/>
      <c r="J594" s="329"/>
      <c r="K594" s="329"/>
      <c r="L594" s="329"/>
      <c r="M594" s="329"/>
      <c r="N594" s="329"/>
      <c r="O594" s="329"/>
      <c r="P594" s="329"/>
    </row>
    <row r="595">
      <c r="E595" s="329"/>
      <c r="F595" s="329"/>
      <c r="G595" s="329"/>
      <c r="H595" s="329"/>
      <c r="I595" s="329"/>
      <c r="J595" s="329"/>
      <c r="K595" s="329"/>
      <c r="L595" s="329"/>
      <c r="M595" s="329"/>
      <c r="N595" s="329"/>
      <c r="O595" s="329"/>
      <c r="P595" s="329"/>
    </row>
    <row r="596">
      <c r="E596" s="329"/>
      <c r="F596" s="329"/>
      <c r="G596" s="329"/>
      <c r="H596" s="329"/>
      <c r="I596" s="329"/>
      <c r="J596" s="329"/>
      <c r="K596" s="329"/>
      <c r="L596" s="329"/>
      <c r="M596" s="329"/>
      <c r="N596" s="329"/>
      <c r="O596" s="329"/>
      <c r="P596" s="329"/>
    </row>
    <row r="597">
      <c r="E597" s="329"/>
      <c r="F597" s="329"/>
      <c r="G597" s="329"/>
      <c r="H597" s="329"/>
      <c r="I597" s="329"/>
      <c r="J597" s="329"/>
      <c r="K597" s="329"/>
      <c r="L597" s="329"/>
      <c r="M597" s="329"/>
      <c r="N597" s="329"/>
      <c r="O597" s="329"/>
      <c r="P597" s="329"/>
    </row>
    <row r="598">
      <c r="E598" s="329"/>
      <c r="F598" s="329"/>
      <c r="G598" s="329"/>
      <c r="H598" s="329"/>
      <c r="I598" s="329"/>
      <c r="J598" s="329"/>
      <c r="K598" s="329"/>
      <c r="L598" s="329"/>
      <c r="M598" s="329"/>
      <c r="N598" s="329"/>
      <c r="O598" s="329"/>
      <c r="P598" s="329"/>
    </row>
    <row r="599">
      <c r="E599" s="329"/>
      <c r="F599" s="329"/>
      <c r="G599" s="329"/>
      <c r="H599" s="329"/>
      <c r="I599" s="329"/>
      <c r="J599" s="329"/>
      <c r="K599" s="329"/>
      <c r="L599" s="329"/>
      <c r="M599" s="329"/>
      <c r="N599" s="329"/>
      <c r="O599" s="329"/>
      <c r="P599" s="329"/>
    </row>
    <row r="600">
      <c r="E600" s="329"/>
      <c r="F600" s="329"/>
      <c r="G600" s="329"/>
      <c r="H600" s="329"/>
      <c r="I600" s="329"/>
      <c r="J600" s="329"/>
      <c r="K600" s="329"/>
      <c r="L600" s="329"/>
      <c r="M600" s="329"/>
      <c r="N600" s="329"/>
      <c r="O600" s="329"/>
      <c r="P600" s="329"/>
    </row>
    <row r="601">
      <c r="E601" s="329"/>
      <c r="F601" s="329"/>
      <c r="G601" s="329"/>
      <c r="H601" s="329"/>
      <c r="I601" s="329"/>
      <c r="J601" s="329"/>
      <c r="K601" s="329"/>
      <c r="L601" s="329"/>
      <c r="M601" s="329"/>
      <c r="N601" s="329"/>
      <c r="O601" s="329"/>
      <c r="P601" s="329"/>
    </row>
    <row r="602">
      <c r="E602" s="329"/>
      <c r="F602" s="329"/>
      <c r="G602" s="329"/>
      <c r="H602" s="329"/>
      <c r="I602" s="329"/>
      <c r="J602" s="329"/>
      <c r="K602" s="329"/>
      <c r="L602" s="329"/>
      <c r="M602" s="329"/>
      <c r="N602" s="329"/>
      <c r="O602" s="329"/>
      <c r="P602" s="329"/>
    </row>
    <row r="603">
      <c r="E603" s="329"/>
      <c r="F603" s="329"/>
      <c r="G603" s="329"/>
      <c r="H603" s="329"/>
      <c r="I603" s="329"/>
      <c r="J603" s="329"/>
      <c r="K603" s="329"/>
      <c r="L603" s="329"/>
      <c r="M603" s="329"/>
      <c r="N603" s="329"/>
      <c r="O603" s="329"/>
      <c r="P603" s="329"/>
    </row>
    <row r="604">
      <c r="E604" s="329"/>
      <c r="F604" s="329"/>
      <c r="G604" s="329"/>
      <c r="H604" s="329"/>
      <c r="I604" s="329"/>
      <c r="J604" s="329"/>
      <c r="K604" s="329"/>
      <c r="L604" s="329"/>
      <c r="M604" s="329"/>
      <c r="N604" s="329"/>
      <c r="O604" s="329"/>
      <c r="P604" s="329"/>
    </row>
    <row r="605">
      <c r="E605" s="329"/>
      <c r="F605" s="329"/>
      <c r="G605" s="329"/>
      <c r="H605" s="329"/>
      <c r="I605" s="329"/>
      <c r="J605" s="329"/>
      <c r="K605" s="329"/>
      <c r="L605" s="329"/>
      <c r="M605" s="329"/>
      <c r="N605" s="329"/>
      <c r="O605" s="329"/>
      <c r="P605" s="329"/>
    </row>
    <row r="606">
      <c r="E606" s="329"/>
      <c r="F606" s="329"/>
      <c r="G606" s="329"/>
      <c r="H606" s="329"/>
      <c r="I606" s="329"/>
      <c r="J606" s="329"/>
      <c r="K606" s="329"/>
      <c r="L606" s="329"/>
      <c r="M606" s="329"/>
      <c r="N606" s="329"/>
      <c r="O606" s="329"/>
      <c r="P606" s="329"/>
    </row>
    <row r="607">
      <c r="E607" s="329"/>
      <c r="F607" s="329"/>
      <c r="G607" s="329"/>
      <c r="H607" s="329"/>
      <c r="I607" s="329"/>
      <c r="J607" s="329"/>
      <c r="K607" s="329"/>
      <c r="L607" s="329"/>
      <c r="M607" s="329"/>
      <c r="N607" s="329"/>
      <c r="O607" s="329"/>
      <c r="P607" s="329"/>
    </row>
    <row r="608">
      <c r="E608" s="329"/>
      <c r="F608" s="329"/>
      <c r="G608" s="329"/>
      <c r="H608" s="329"/>
      <c r="I608" s="329"/>
      <c r="J608" s="329"/>
      <c r="K608" s="329"/>
      <c r="L608" s="329"/>
      <c r="M608" s="329"/>
      <c r="N608" s="329"/>
      <c r="O608" s="329"/>
      <c r="P608" s="329"/>
    </row>
    <row r="609">
      <c r="E609" s="329"/>
      <c r="F609" s="329"/>
      <c r="G609" s="329"/>
      <c r="H609" s="329"/>
      <c r="I609" s="329"/>
      <c r="J609" s="329"/>
      <c r="K609" s="329"/>
      <c r="L609" s="329"/>
      <c r="M609" s="329"/>
      <c r="N609" s="329"/>
      <c r="O609" s="329"/>
      <c r="P609" s="329"/>
    </row>
    <row r="610">
      <c r="E610" s="329"/>
      <c r="F610" s="329"/>
      <c r="G610" s="329"/>
      <c r="H610" s="329"/>
      <c r="I610" s="329"/>
      <c r="J610" s="329"/>
      <c r="K610" s="329"/>
      <c r="L610" s="329"/>
      <c r="M610" s="329"/>
      <c r="N610" s="329"/>
      <c r="O610" s="329"/>
      <c r="P610" s="329"/>
    </row>
    <row r="611">
      <c r="E611" s="329"/>
      <c r="F611" s="329"/>
      <c r="G611" s="329"/>
      <c r="H611" s="329"/>
      <c r="I611" s="329"/>
      <c r="J611" s="329"/>
      <c r="K611" s="329"/>
      <c r="L611" s="329"/>
      <c r="M611" s="329"/>
      <c r="N611" s="329"/>
      <c r="O611" s="329"/>
      <c r="P611" s="329"/>
    </row>
    <row r="612">
      <c r="E612" s="329"/>
      <c r="F612" s="329"/>
      <c r="G612" s="329"/>
      <c r="H612" s="329"/>
      <c r="I612" s="329"/>
      <c r="J612" s="329"/>
      <c r="K612" s="329"/>
      <c r="L612" s="329"/>
      <c r="M612" s="329"/>
      <c r="N612" s="329"/>
      <c r="O612" s="329"/>
      <c r="P612" s="329"/>
    </row>
    <row r="613">
      <c r="E613" s="329"/>
      <c r="F613" s="329"/>
      <c r="G613" s="329"/>
      <c r="H613" s="329"/>
      <c r="I613" s="329"/>
      <c r="J613" s="329"/>
      <c r="K613" s="329"/>
      <c r="L613" s="329"/>
      <c r="M613" s="329"/>
      <c r="N613" s="329"/>
      <c r="O613" s="329"/>
      <c r="P613" s="329"/>
    </row>
    <row r="614">
      <c r="E614" s="329"/>
      <c r="F614" s="329"/>
      <c r="G614" s="329"/>
      <c r="H614" s="329"/>
      <c r="I614" s="329"/>
      <c r="J614" s="329"/>
      <c r="K614" s="329"/>
      <c r="L614" s="329"/>
      <c r="M614" s="329"/>
      <c r="N614" s="329"/>
      <c r="O614" s="329"/>
      <c r="P614" s="329"/>
    </row>
    <row r="615">
      <c r="E615" s="329"/>
      <c r="F615" s="329"/>
      <c r="G615" s="329"/>
      <c r="H615" s="329"/>
      <c r="I615" s="329"/>
      <c r="J615" s="329"/>
      <c r="K615" s="329"/>
      <c r="L615" s="329"/>
      <c r="M615" s="329"/>
      <c r="N615" s="329"/>
      <c r="O615" s="329"/>
      <c r="P615" s="329"/>
    </row>
    <row r="616"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</row>
    <row r="617">
      <c r="E617" s="329"/>
      <c r="F617" s="329"/>
      <c r="G617" s="329"/>
      <c r="H617" s="329"/>
      <c r="I617" s="329"/>
      <c r="J617" s="329"/>
      <c r="K617" s="329"/>
      <c r="L617" s="329"/>
      <c r="M617" s="329"/>
      <c r="N617" s="329"/>
      <c r="O617" s="329"/>
      <c r="P617" s="329"/>
    </row>
    <row r="618">
      <c r="E618" s="329"/>
      <c r="F618" s="329"/>
      <c r="G618" s="329"/>
      <c r="H618" s="329"/>
      <c r="I618" s="329"/>
      <c r="J618" s="329"/>
      <c r="K618" s="329"/>
      <c r="L618" s="329"/>
      <c r="M618" s="329"/>
      <c r="N618" s="329"/>
      <c r="O618" s="329"/>
      <c r="P618" s="329"/>
    </row>
    <row r="619">
      <c r="E619" s="329"/>
      <c r="F619" s="329"/>
      <c r="G619" s="329"/>
      <c r="H619" s="329"/>
      <c r="I619" s="329"/>
      <c r="J619" s="329"/>
      <c r="K619" s="329"/>
      <c r="L619" s="329"/>
      <c r="M619" s="329"/>
      <c r="N619" s="329"/>
      <c r="O619" s="329"/>
      <c r="P619" s="329"/>
    </row>
    <row r="620">
      <c r="E620" s="329"/>
      <c r="F620" s="329"/>
      <c r="G620" s="329"/>
      <c r="H620" s="329"/>
      <c r="I620" s="329"/>
      <c r="J620" s="329"/>
      <c r="K620" s="329"/>
      <c r="L620" s="329"/>
      <c r="M620" s="329"/>
      <c r="N620" s="329"/>
      <c r="O620" s="329"/>
      <c r="P620" s="329"/>
    </row>
    <row r="621">
      <c r="E621" s="329"/>
      <c r="F621" s="329"/>
      <c r="G621" s="329"/>
      <c r="H621" s="329"/>
      <c r="I621" s="329"/>
      <c r="J621" s="329"/>
      <c r="K621" s="329"/>
      <c r="L621" s="329"/>
      <c r="M621" s="329"/>
      <c r="N621" s="329"/>
      <c r="O621" s="329"/>
      <c r="P621" s="329"/>
    </row>
    <row r="622">
      <c r="E622" s="329"/>
      <c r="F622" s="329"/>
      <c r="G622" s="329"/>
      <c r="H622" s="329"/>
      <c r="I622" s="329"/>
      <c r="J622" s="329"/>
      <c r="K622" s="329"/>
      <c r="L622" s="329"/>
      <c r="M622" s="329"/>
      <c r="N622" s="329"/>
      <c r="O622" s="329"/>
      <c r="P622" s="329"/>
    </row>
    <row r="623">
      <c r="E623" s="329"/>
      <c r="F623" s="329"/>
      <c r="G623" s="329"/>
      <c r="H623" s="329"/>
      <c r="I623" s="329"/>
      <c r="J623" s="329"/>
      <c r="K623" s="329"/>
      <c r="L623" s="329"/>
      <c r="M623" s="329"/>
      <c r="N623" s="329"/>
      <c r="O623" s="329"/>
      <c r="P623" s="329"/>
    </row>
    <row r="624">
      <c r="E624" s="329"/>
      <c r="F624" s="329"/>
      <c r="G624" s="329"/>
      <c r="H624" s="329"/>
      <c r="I624" s="329"/>
      <c r="J624" s="329"/>
      <c r="K624" s="329"/>
      <c r="L624" s="329"/>
      <c r="M624" s="329"/>
      <c r="N624" s="329"/>
      <c r="O624" s="329"/>
      <c r="P624" s="329"/>
    </row>
    <row r="625">
      <c r="E625" s="329"/>
      <c r="F625" s="329"/>
      <c r="G625" s="329"/>
      <c r="H625" s="329"/>
      <c r="I625" s="329"/>
      <c r="J625" s="329"/>
      <c r="K625" s="329"/>
      <c r="L625" s="329"/>
      <c r="M625" s="329"/>
      <c r="N625" s="329"/>
      <c r="O625" s="329"/>
      <c r="P625" s="329"/>
    </row>
    <row r="626">
      <c r="E626" s="329"/>
      <c r="F626" s="329"/>
      <c r="G626" s="329"/>
      <c r="H626" s="329"/>
      <c r="I626" s="329"/>
      <c r="J626" s="329"/>
      <c r="K626" s="329"/>
      <c r="L626" s="329"/>
      <c r="M626" s="329"/>
      <c r="N626" s="329"/>
      <c r="O626" s="329"/>
      <c r="P626" s="329"/>
    </row>
    <row r="627">
      <c r="E627" s="329"/>
      <c r="F627" s="329"/>
      <c r="G627" s="329"/>
      <c r="H627" s="329"/>
      <c r="I627" s="329"/>
      <c r="J627" s="329"/>
      <c r="K627" s="329"/>
      <c r="L627" s="329"/>
      <c r="M627" s="329"/>
      <c r="N627" s="329"/>
      <c r="O627" s="329"/>
      <c r="P627" s="329"/>
    </row>
    <row r="628">
      <c r="E628" s="329"/>
      <c r="F628" s="329"/>
      <c r="G628" s="329"/>
      <c r="H628" s="329"/>
      <c r="I628" s="329"/>
      <c r="J628" s="329"/>
      <c r="K628" s="329"/>
      <c r="L628" s="329"/>
      <c r="M628" s="329"/>
      <c r="N628" s="329"/>
      <c r="O628" s="329"/>
      <c r="P628" s="329"/>
    </row>
    <row r="629">
      <c r="E629" s="329"/>
      <c r="F629" s="329"/>
      <c r="G629" s="329"/>
      <c r="H629" s="329"/>
      <c r="I629" s="329"/>
      <c r="J629" s="329"/>
      <c r="K629" s="329"/>
      <c r="L629" s="329"/>
      <c r="M629" s="329"/>
      <c r="N629" s="329"/>
      <c r="O629" s="329"/>
      <c r="P629" s="329"/>
    </row>
    <row r="630">
      <c r="E630" s="329"/>
      <c r="F630" s="329"/>
      <c r="G630" s="329"/>
      <c r="H630" s="329"/>
      <c r="I630" s="329"/>
      <c r="J630" s="329"/>
      <c r="K630" s="329"/>
      <c r="L630" s="329"/>
      <c r="M630" s="329"/>
      <c r="N630" s="329"/>
      <c r="O630" s="329"/>
      <c r="P630" s="329"/>
    </row>
    <row r="631">
      <c r="E631" s="329"/>
      <c r="F631" s="329"/>
      <c r="G631" s="329"/>
      <c r="H631" s="329"/>
      <c r="I631" s="329"/>
      <c r="J631" s="329"/>
      <c r="K631" s="329"/>
      <c r="L631" s="329"/>
      <c r="M631" s="329"/>
      <c r="N631" s="329"/>
      <c r="O631" s="329"/>
      <c r="P631" s="329"/>
    </row>
    <row r="632">
      <c r="E632" s="329"/>
      <c r="F632" s="329"/>
      <c r="G632" s="329"/>
      <c r="H632" s="329"/>
      <c r="I632" s="329"/>
      <c r="J632" s="329"/>
      <c r="K632" s="329"/>
      <c r="L632" s="329"/>
      <c r="M632" s="329"/>
      <c r="N632" s="329"/>
      <c r="O632" s="329"/>
      <c r="P632" s="329"/>
    </row>
    <row r="633">
      <c r="E633" s="329"/>
      <c r="F633" s="329"/>
      <c r="G633" s="329"/>
      <c r="H633" s="329"/>
      <c r="I633" s="329"/>
      <c r="J633" s="329"/>
      <c r="K633" s="329"/>
      <c r="L633" s="329"/>
      <c r="M633" s="329"/>
      <c r="N633" s="329"/>
      <c r="O633" s="329"/>
      <c r="P633" s="329"/>
    </row>
    <row r="634">
      <c r="E634" s="329"/>
      <c r="F634" s="329"/>
      <c r="G634" s="329"/>
      <c r="H634" s="329"/>
      <c r="I634" s="329"/>
      <c r="J634" s="329"/>
      <c r="K634" s="329"/>
      <c r="L634" s="329"/>
      <c r="M634" s="329"/>
      <c r="N634" s="329"/>
      <c r="O634" s="329"/>
      <c r="P634" s="329"/>
    </row>
    <row r="635">
      <c r="E635" s="329"/>
      <c r="F635" s="329"/>
      <c r="G635" s="329"/>
      <c r="H635" s="329"/>
      <c r="I635" s="329"/>
      <c r="J635" s="329"/>
      <c r="K635" s="329"/>
      <c r="L635" s="329"/>
      <c r="M635" s="329"/>
      <c r="N635" s="329"/>
      <c r="O635" s="329"/>
      <c r="P635" s="329"/>
    </row>
    <row r="636">
      <c r="E636" s="329"/>
      <c r="F636" s="329"/>
      <c r="G636" s="329"/>
      <c r="H636" s="329"/>
      <c r="I636" s="329"/>
      <c r="J636" s="329"/>
      <c r="K636" s="329"/>
      <c r="L636" s="329"/>
      <c r="M636" s="329"/>
      <c r="N636" s="329"/>
      <c r="O636" s="329"/>
      <c r="P636" s="329"/>
    </row>
    <row r="637">
      <c r="E637" s="329"/>
      <c r="F637" s="329"/>
      <c r="G637" s="329"/>
      <c r="H637" s="329"/>
      <c r="I637" s="329"/>
      <c r="J637" s="329"/>
      <c r="K637" s="329"/>
      <c r="L637" s="329"/>
      <c r="M637" s="329"/>
      <c r="N637" s="329"/>
      <c r="O637" s="329"/>
      <c r="P637" s="329"/>
    </row>
    <row r="638">
      <c r="E638" s="329"/>
      <c r="F638" s="329"/>
      <c r="G638" s="329"/>
      <c r="H638" s="329"/>
      <c r="I638" s="329"/>
      <c r="J638" s="329"/>
      <c r="K638" s="329"/>
      <c r="L638" s="329"/>
      <c r="M638" s="329"/>
      <c r="N638" s="329"/>
      <c r="O638" s="329"/>
      <c r="P638" s="329"/>
    </row>
    <row r="639">
      <c r="E639" s="329"/>
      <c r="F639" s="329"/>
      <c r="G639" s="329"/>
      <c r="H639" s="329"/>
      <c r="I639" s="329"/>
      <c r="J639" s="329"/>
      <c r="K639" s="329"/>
      <c r="L639" s="329"/>
      <c r="M639" s="329"/>
      <c r="N639" s="329"/>
      <c r="O639" s="329"/>
      <c r="P639" s="329"/>
    </row>
    <row r="640">
      <c r="E640" s="329"/>
      <c r="F640" s="329"/>
      <c r="G640" s="329"/>
      <c r="H640" s="329"/>
      <c r="I640" s="329"/>
      <c r="J640" s="329"/>
      <c r="K640" s="329"/>
      <c r="L640" s="329"/>
      <c r="M640" s="329"/>
      <c r="N640" s="329"/>
      <c r="O640" s="329"/>
      <c r="P640" s="329"/>
    </row>
    <row r="641">
      <c r="E641" s="329"/>
      <c r="F641" s="329"/>
      <c r="G641" s="329"/>
      <c r="H641" s="329"/>
      <c r="I641" s="329"/>
      <c r="J641" s="329"/>
      <c r="K641" s="329"/>
      <c r="L641" s="329"/>
      <c r="M641" s="329"/>
      <c r="N641" s="329"/>
      <c r="O641" s="329"/>
      <c r="P641" s="329"/>
    </row>
    <row r="642">
      <c r="E642" s="329"/>
      <c r="F642" s="329"/>
      <c r="G642" s="329"/>
      <c r="H642" s="329"/>
      <c r="I642" s="329"/>
      <c r="J642" s="329"/>
      <c r="K642" s="329"/>
      <c r="L642" s="329"/>
      <c r="M642" s="329"/>
      <c r="N642" s="329"/>
      <c r="O642" s="329"/>
      <c r="P642" s="329"/>
    </row>
    <row r="643">
      <c r="E643" s="329"/>
      <c r="F643" s="329"/>
      <c r="G643" s="329"/>
      <c r="H643" s="329"/>
      <c r="I643" s="329"/>
      <c r="J643" s="329"/>
      <c r="K643" s="329"/>
      <c r="L643" s="329"/>
      <c r="M643" s="329"/>
      <c r="N643" s="329"/>
      <c r="O643" s="329"/>
      <c r="P643" s="329"/>
    </row>
    <row r="644">
      <c r="E644" s="329"/>
      <c r="F644" s="329"/>
      <c r="G644" s="329"/>
      <c r="H644" s="329"/>
      <c r="I644" s="329"/>
      <c r="J644" s="329"/>
      <c r="K644" s="329"/>
      <c r="L644" s="329"/>
      <c r="M644" s="329"/>
      <c r="N644" s="329"/>
      <c r="O644" s="329"/>
      <c r="P644" s="329"/>
    </row>
    <row r="645">
      <c r="E645" s="329"/>
      <c r="F645" s="329"/>
      <c r="G645" s="329"/>
      <c r="H645" s="329"/>
      <c r="I645" s="329"/>
      <c r="J645" s="329"/>
      <c r="K645" s="329"/>
      <c r="L645" s="329"/>
      <c r="M645" s="329"/>
      <c r="N645" s="329"/>
      <c r="O645" s="329"/>
      <c r="P645" s="329"/>
    </row>
    <row r="646">
      <c r="E646" s="329"/>
      <c r="F646" s="329"/>
      <c r="G646" s="329"/>
      <c r="H646" s="329"/>
      <c r="I646" s="329"/>
      <c r="J646" s="329"/>
      <c r="K646" s="329"/>
      <c r="L646" s="329"/>
      <c r="M646" s="329"/>
      <c r="N646" s="329"/>
      <c r="O646" s="329"/>
      <c r="P646" s="329"/>
    </row>
    <row r="647">
      <c r="E647" s="329"/>
      <c r="F647" s="329"/>
      <c r="G647" s="329"/>
      <c r="H647" s="329"/>
      <c r="I647" s="329"/>
      <c r="J647" s="329"/>
      <c r="K647" s="329"/>
      <c r="L647" s="329"/>
      <c r="M647" s="329"/>
      <c r="N647" s="329"/>
      <c r="O647" s="329"/>
      <c r="P647" s="329"/>
    </row>
    <row r="648">
      <c r="E648" s="329"/>
      <c r="F648" s="329"/>
      <c r="G648" s="329"/>
      <c r="H648" s="329"/>
      <c r="I648" s="329"/>
      <c r="J648" s="329"/>
      <c r="K648" s="329"/>
      <c r="L648" s="329"/>
      <c r="M648" s="329"/>
      <c r="N648" s="329"/>
      <c r="O648" s="329"/>
      <c r="P648" s="329"/>
    </row>
    <row r="649">
      <c r="E649" s="329"/>
      <c r="F649" s="329"/>
      <c r="G649" s="329"/>
      <c r="H649" s="329"/>
      <c r="I649" s="329"/>
      <c r="J649" s="329"/>
      <c r="K649" s="329"/>
      <c r="L649" s="329"/>
      <c r="M649" s="329"/>
      <c r="N649" s="329"/>
      <c r="O649" s="329"/>
      <c r="P649" s="329"/>
    </row>
    <row r="650"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</row>
    <row r="651">
      <c r="E651" s="329"/>
      <c r="F651" s="329"/>
      <c r="G651" s="329"/>
      <c r="H651" s="329"/>
      <c r="I651" s="329"/>
      <c r="J651" s="329"/>
      <c r="K651" s="329"/>
      <c r="L651" s="329"/>
      <c r="M651" s="329"/>
      <c r="N651" s="329"/>
      <c r="O651" s="329"/>
      <c r="P651" s="329"/>
    </row>
    <row r="652">
      <c r="E652" s="329"/>
      <c r="F652" s="329"/>
      <c r="G652" s="329"/>
      <c r="H652" s="329"/>
      <c r="I652" s="329"/>
      <c r="J652" s="329"/>
      <c r="K652" s="329"/>
      <c r="L652" s="329"/>
      <c r="M652" s="329"/>
      <c r="N652" s="329"/>
      <c r="O652" s="329"/>
      <c r="P652" s="329"/>
    </row>
    <row r="653">
      <c r="E653" s="329"/>
      <c r="F653" s="329"/>
      <c r="G653" s="329"/>
      <c r="H653" s="329"/>
      <c r="I653" s="329"/>
      <c r="J653" s="329"/>
      <c r="K653" s="329"/>
      <c r="L653" s="329"/>
      <c r="M653" s="329"/>
      <c r="N653" s="329"/>
      <c r="O653" s="329"/>
      <c r="P653" s="329"/>
    </row>
    <row r="654">
      <c r="E654" s="329"/>
      <c r="F654" s="329"/>
      <c r="G654" s="329"/>
      <c r="H654" s="329"/>
      <c r="I654" s="329"/>
      <c r="J654" s="329"/>
      <c r="K654" s="329"/>
      <c r="L654" s="329"/>
      <c r="M654" s="329"/>
      <c r="N654" s="329"/>
      <c r="O654" s="329"/>
      <c r="P654" s="329"/>
    </row>
    <row r="655">
      <c r="E655" s="329"/>
      <c r="F655" s="329"/>
      <c r="G655" s="329"/>
      <c r="H655" s="329"/>
      <c r="I655" s="329"/>
      <c r="J655" s="329"/>
      <c r="K655" s="329"/>
      <c r="L655" s="329"/>
      <c r="M655" s="329"/>
      <c r="N655" s="329"/>
      <c r="O655" s="329"/>
      <c r="P655" s="329"/>
    </row>
    <row r="656">
      <c r="E656" s="329"/>
      <c r="F656" s="329"/>
      <c r="G656" s="329"/>
      <c r="H656" s="329"/>
      <c r="I656" s="329"/>
      <c r="J656" s="329"/>
      <c r="K656" s="329"/>
      <c r="L656" s="329"/>
      <c r="M656" s="329"/>
      <c r="N656" s="329"/>
      <c r="O656" s="329"/>
      <c r="P656" s="329"/>
    </row>
    <row r="657">
      <c r="E657" s="329"/>
      <c r="F657" s="329"/>
      <c r="G657" s="329"/>
      <c r="H657" s="329"/>
      <c r="I657" s="329"/>
      <c r="J657" s="329"/>
      <c r="K657" s="329"/>
      <c r="L657" s="329"/>
      <c r="M657" s="329"/>
      <c r="N657" s="329"/>
      <c r="O657" s="329"/>
      <c r="P657" s="329"/>
    </row>
    <row r="658">
      <c r="E658" s="329"/>
      <c r="F658" s="329"/>
      <c r="G658" s="329"/>
      <c r="H658" s="329"/>
      <c r="I658" s="329"/>
      <c r="J658" s="329"/>
      <c r="K658" s="329"/>
      <c r="L658" s="329"/>
      <c r="M658" s="329"/>
      <c r="N658" s="329"/>
      <c r="O658" s="329"/>
      <c r="P658" s="329"/>
    </row>
    <row r="659">
      <c r="E659" s="329"/>
      <c r="F659" s="329"/>
      <c r="G659" s="329"/>
      <c r="H659" s="329"/>
      <c r="I659" s="329"/>
      <c r="J659" s="329"/>
      <c r="K659" s="329"/>
      <c r="L659" s="329"/>
      <c r="M659" s="329"/>
      <c r="N659" s="329"/>
      <c r="O659" s="329"/>
      <c r="P659" s="329"/>
    </row>
    <row r="660">
      <c r="E660" s="329"/>
      <c r="F660" s="329"/>
      <c r="G660" s="329"/>
      <c r="H660" s="329"/>
      <c r="I660" s="329"/>
      <c r="J660" s="329"/>
      <c r="K660" s="329"/>
      <c r="L660" s="329"/>
      <c r="M660" s="329"/>
      <c r="N660" s="329"/>
      <c r="O660" s="329"/>
      <c r="P660" s="329"/>
    </row>
    <row r="661">
      <c r="E661" s="329"/>
      <c r="F661" s="329"/>
      <c r="G661" s="329"/>
      <c r="H661" s="329"/>
      <c r="I661" s="329"/>
      <c r="J661" s="329"/>
      <c r="K661" s="329"/>
      <c r="L661" s="329"/>
      <c r="M661" s="329"/>
      <c r="N661" s="329"/>
      <c r="O661" s="329"/>
      <c r="P661" s="329"/>
    </row>
    <row r="662">
      <c r="E662" s="329"/>
      <c r="F662" s="329"/>
      <c r="G662" s="329"/>
      <c r="H662" s="329"/>
      <c r="I662" s="329"/>
      <c r="J662" s="329"/>
      <c r="K662" s="329"/>
      <c r="L662" s="329"/>
      <c r="M662" s="329"/>
      <c r="N662" s="329"/>
      <c r="O662" s="329"/>
      <c r="P662" s="329"/>
    </row>
    <row r="663">
      <c r="E663" s="329"/>
      <c r="F663" s="329"/>
      <c r="G663" s="329"/>
      <c r="H663" s="329"/>
      <c r="I663" s="329"/>
      <c r="J663" s="329"/>
      <c r="K663" s="329"/>
      <c r="L663" s="329"/>
      <c r="M663" s="329"/>
      <c r="N663" s="329"/>
      <c r="O663" s="329"/>
      <c r="P663" s="329"/>
    </row>
    <row r="664">
      <c r="E664" s="329"/>
      <c r="F664" s="329"/>
      <c r="G664" s="329"/>
      <c r="H664" s="329"/>
      <c r="I664" s="329"/>
      <c r="J664" s="329"/>
      <c r="K664" s="329"/>
      <c r="L664" s="329"/>
      <c r="M664" s="329"/>
      <c r="N664" s="329"/>
      <c r="O664" s="329"/>
      <c r="P664" s="329"/>
    </row>
    <row r="665">
      <c r="E665" s="329"/>
      <c r="F665" s="329"/>
      <c r="G665" s="329"/>
      <c r="H665" s="329"/>
      <c r="I665" s="329"/>
      <c r="J665" s="329"/>
      <c r="K665" s="329"/>
      <c r="L665" s="329"/>
      <c r="M665" s="329"/>
      <c r="N665" s="329"/>
      <c r="O665" s="329"/>
      <c r="P665" s="329"/>
    </row>
    <row r="666">
      <c r="E666" s="329"/>
      <c r="F666" s="329"/>
      <c r="G666" s="329"/>
      <c r="H666" s="329"/>
      <c r="I666" s="329"/>
      <c r="J666" s="329"/>
      <c r="K666" s="329"/>
      <c r="L666" s="329"/>
      <c r="M666" s="329"/>
      <c r="N666" s="329"/>
      <c r="O666" s="329"/>
      <c r="P666" s="329"/>
    </row>
    <row r="667">
      <c r="E667" s="329"/>
      <c r="F667" s="329"/>
      <c r="G667" s="329"/>
      <c r="H667" s="329"/>
      <c r="I667" s="329"/>
      <c r="J667" s="329"/>
      <c r="K667" s="329"/>
      <c r="L667" s="329"/>
      <c r="M667" s="329"/>
      <c r="N667" s="329"/>
      <c r="O667" s="329"/>
      <c r="P667" s="329"/>
    </row>
    <row r="668">
      <c r="E668" s="329"/>
      <c r="F668" s="329"/>
      <c r="G668" s="329"/>
      <c r="H668" s="329"/>
      <c r="I668" s="329"/>
      <c r="J668" s="329"/>
      <c r="K668" s="329"/>
      <c r="L668" s="329"/>
      <c r="M668" s="329"/>
      <c r="N668" s="329"/>
      <c r="O668" s="329"/>
      <c r="P668" s="329"/>
    </row>
    <row r="669">
      <c r="E669" s="329"/>
      <c r="F669" s="329"/>
      <c r="G669" s="329"/>
      <c r="H669" s="329"/>
      <c r="I669" s="329"/>
      <c r="J669" s="329"/>
      <c r="K669" s="329"/>
      <c r="L669" s="329"/>
      <c r="M669" s="329"/>
      <c r="N669" s="329"/>
      <c r="O669" s="329"/>
      <c r="P669" s="329"/>
    </row>
    <row r="670">
      <c r="E670" s="329"/>
      <c r="F670" s="329"/>
      <c r="G670" s="329"/>
      <c r="H670" s="329"/>
      <c r="I670" s="329"/>
      <c r="J670" s="329"/>
      <c r="K670" s="329"/>
      <c r="L670" s="329"/>
      <c r="M670" s="329"/>
      <c r="N670" s="329"/>
      <c r="O670" s="329"/>
      <c r="P670" s="329"/>
    </row>
    <row r="671">
      <c r="E671" s="329"/>
      <c r="F671" s="329"/>
      <c r="G671" s="329"/>
      <c r="H671" s="329"/>
      <c r="I671" s="329"/>
      <c r="J671" s="329"/>
      <c r="K671" s="329"/>
      <c r="L671" s="329"/>
      <c r="M671" s="329"/>
      <c r="N671" s="329"/>
      <c r="O671" s="329"/>
      <c r="P671" s="329"/>
    </row>
    <row r="672">
      <c r="E672" s="329"/>
      <c r="F672" s="329"/>
      <c r="G672" s="329"/>
      <c r="H672" s="329"/>
      <c r="I672" s="329"/>
      <c r="J672" s="329"/>
      <c r="K672" s="329"/>
      <c r="L672" s="329"/>
      <c r="M672" s="329"/>
      <c r="N672" s="329"/>
      <c r="O672" s="329"/>
      <c r="P672" s="329"/>
    </row>
    <row r="673">
      <c r="E673" s="329"/>
      <c r="F673" s="329"/>
      <c r="G673" s="329"/>
      <c r="H673" s="329"/>
      <c r="I673" s="329"/>
      <c r="J673" s="329"/>
      <c r="K673" s="329"/>
      <c r="L673" s="329"/>
      <c r="M673" s="329"/>
      <c r="N673" s="329"/>
      <c r="O673" s="329"/>
      <c r="P673" s="329"/>
    </row>
    <row r="674">
      <c r="E674" s="329"/>
      <c r="F674" s="329"/>
      <c r="G674" s="329"/>
      <c r="H674" s="329"/>
      <c r="I674" s="329"/>
      <c r="J674" s="329"/>
      <c r="K674" s="329"/>
      <c r="L674" s="329"/>
      <c r="M674" s="329"/>
      <c r="N674" s="329"/>
      <c r="O674" s="329"/>
      <c r="P674" s="329"/>
    </row>
    <row r="675">
      <c r="E675" s="329"/>
      <c r="F675" s="329"/>
      <c r="G675" s="329"/>
      <c r="H675" s="329"/>
      <c r="I675" s="329"/>
      <c r="J675" s="329"/>
      <c r="K675" s="329"/>
      <c r="L675" s="329"/>
      <c r="M675" s="329"/>
      <c r="N675" s="329"/>
      <c r="O675" s="329"/>
      <c r="P675" s="329"/>
    </row>
    <row r="676">
      <c r="E676" s="329"/>
      <c r="F676" s="329"/>
      <c r="G676" s="329"/>
      <c r="H676" s="329"/>
      <c r="I676" s="329"/>
      <c r="J676" s="329"/>
      <c r="K676" s="329"/>
      <c r="L676" s="329"/>
      <c r="M676" s="329"/>
      <c r="N676" s="329"/>
      <c r="O676" s="329"/>
      <c r="P676" s="329"/>
    </row>
    <row r="677">
      <c r="E677" s="329"/>
      <c r="F677" s="329"/>
      <c r="G677" s="329"/>
      <c r="H677" s="329"/>
      <c r="I677" s="329"/>
      <c r="J677" s="329"/>
      <c r="K677" s="329"/>
      <c r="L677" s="329"/>
      <c r="M677" s="329"/>
      <c r="N677" s="329"/>
      <c r="O677" s="329"/>
      <c r="P677" s="329"/>
    </row>
    <row r="678">
      <c r="E678" s="329"/>
      <c r="F678" s="329"/>
      <c r="G678" s="329"/>
      <c r="H678" s="329"/>
      <c r="I678" s="329"/>
      <c r="J678" s="329"/>
      <c r="K678" s="329"/>
      <c r="L678" s="329"/>
      <c r="M678" s="329"/>
      <c r="N678" s="329"/>
      <c r="O678" s="329"/>
      <c r="P678" s="329"/>
    </row>
    <row r="679">
      <c r="E679" s="329"/>
      <c r="F679" s="329"/>
      <c r="G679" s="329"/>
      <c r="H679" s="329"/>
      <c r="I679" s="329"/>
      <c r="J679" s="329"/>
      <c r="K679" s="329"/>
      <c r="L679" s="329"/>
      <c r="M679" s="329"/>
      <c r="N679" s="329"/>
      <c r="O679" s="329"/>
      <c r="P679" s="329"/>
    </row>
    <row r="680">
      <c r="E680" s="329"/>
      <c r="F680" s="329"/>
      <c r="G680" s="329"/>
      <c r="H680" s="329"/>
      <c r="I680" s="329"/>
      <c r="J680" s="329"/>
      <c r="K680" s="329"/>
      <c r="L680" s="329"/>
      <c r="M680" s="329"/>
      <c r="N680" s="329"/>
      <c r="O680" s="329"/>
      <c r="P680" s="329"/>
    </row>
    <row r="681">
      <c r="E681" s="329"/>
      <c r="F681" s="329"/>
      <c r="G681" s="329"/>
      <c r="H681" s="329"/>
      <c r="I681" s="329"/>
      <c r="J681" s="329"/>
      <c r="K681" s="329"/>
      <c r="L681" s="329"/>
      <c r="M681" s="329"/>
      <c r="N681" s="329"/>
      <c r="O681" s="329"/>
      <c r="P681" s="329"/>
    </row>
    <row r="682">
      <c r="E682" s="329"/>
      <c r="F682" s="329"/>
      <c r="G682" s="329"/>
      <c r="H682" s="329"/>
      <c r="I682" s="329"/>
      <c r="J682" s="329"/>
      <c r="K682" s="329"/>
      <c r="L682" s="329"/>
      <c r="M682" s="329"/>
      <c r="N682" s="329"/>
      <c r="O682" s="329"/>
      <c r="P682" s="329"/>
    </row>
    <row r="683">
      <c r="E683" s="329"/>
      <c r="F683" s="329"/>
      <c r="G683" s="329"/>
      <c r="H683" s="329"/>
      <c r="I683" s="329"/>
      <c r="J683" s="329"/>
      <c r="K683" s="329"/>
      <c r="L683" s="329"/>
      <c r="M683" s="329"/>
      <c r="N683" s="329"/>
      <c r="O683" s="329"/>
      <c r="P683" s="329"/>
    </row>
    <row r="684"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</row>
    <row r="685">
      <c r="E685" s="329"/>
      <c r="F685" s="329"/>
      <c r="G685" s="329"/>
      <c r="H685" s="329"/>
      <c r="I685" s="329"/>
      <c r="J685" s="329"/>
      <c r="K685" s="329"/>
      <c r="L685" s="329"/>
      <c r="M685" s="329"/>
      <c r="N685" s="329"/>
      <c r="O685" s="329"/>
      <c r="P685" s="329"/>
    </row>
    <row r="686">
      <c r="E686" s="329"/>
      <c r="F686" s="329"/>
      <c r="G686" s="329"/>
      <c r="H686" s="329"/>
      <c r="I686" s="329"/>
      <c r="J686" s="329"/>
      <c r="K686" s="329"/>
      <c r="L686" s="329"/>
      <c r="M686" s="329"/>
      <c r="N686" s="329"/>
      <c r="O686" s="329"/>
      <c r="P686" s="329"/>
    </row>
    <row r="687">
      <c r="E687" s="329"/>
      <c r="F687" s="329"/>
      <c r="G687" s="329"/>
      <c r="H687" s="329"/>
      <c r="I687" s="329"/>
      <c r="J687" s="329"/>
      <c r="K687" s="329"/>
      <c r="L687" s="329"/>
      <c r="M687" s="329"/>
      <c r="N687" s="329"/>
      <c r="O687" s="329"/>
      <c r="P687" s="329"/>
    </row>
    <row r="688">
      <c r="E688" s="329"/>
      <c r="F688" s="329"/>
      <c r="G688" s="329"/>
      <c r="H688" s="329"/>
      <c r="I688" s="329"/>
      <c r="J688" s="329"/>
      <c r="K688" s="329"/>
      <c r="L688" s="329"/>
      <c r="M688" s="329"/>
      <c r="N688" s="329"/>
      <c r="O688" s="329"/>
      <c r="P688" s="329"/>
    </row>
    <row r="689">
      <c r="E689" s="329"/>
      <c r="F689" s="329"/>
      <c r="G689" s="329"/>
      <c r="H689" s="329"/>
      <c r="I689" s="329"/>
      <c r="J689" s="329"/>
      <c r="K689" s="329"/>
      <c r="L689" s="329"/>
      <c r="M689" s="329"/>
      <c r="N689" s="329"/>
      <c r="O689" s="329"/>
      <c r="P689" s="329"/>
    </row>
    <row r="690">
      <c r="E690" s="329"/>
      <c r="F690" s="329"/>
      <c r="G690" s="329"/>
      <c r="H690" s="329"/>
      <c r="I690" s="329"/>
      <c r="J690" s="329"/>
      <c r="K690" s="329"/>
      <c r="L690" s="329"/>
      <c r="M690" s="329"/>
      <c r="N690" s="329"/>
      <c r="O690" s="329"/>
      <c r="P690" s="329"/>
    </row>
    <row r="691">
      <c r="E691" s="329"/>
      <c r="F691" s="329"/>
      <c r="G691" s="329"/>
      <c r="H691" s="329"/>
      <c r="I691" s="329"/>
      <c r="J691" s="329"/>
      <c r="K691" s="329"/>
      <c r="L691" s="329"/>
      <c r="M691" s="329"/>
      <c r="N691" s="329"/>
      <c r="O691" s="329"/>
      <c r="P691" s="329"/>
    </row>
    <row r="692">
      <c r="E692" s="329"/>
      <c r="F692" s="329"/>
      <c r="G692" s="329"/>
      <c r="H692" s="329"/>
      <c r="I692" s="329"/>
      <c r="J692" s="329"/>
      <c r="K692" s="329"/>
      <c r="L692" s="329"/>
      <c r="M692" s="329"/>
      <c r="N692" s="329"/>
      <c r="O692" s="329"/>
      <c r="P692" s="329"/>
    </row>
    <row r="693">
      <c r="E693" s="329"/>
      <c r="F693" s="329"/>
      <c r="G693" s="329"/>
      <c r="H693" s="329"/>
      <c r="I693" s="329"/>
      <c r="J693" s="329"/>
      <c r="K693" s="329"/>
      <c r="L693" s="329"/>
      <c r="M693" s="329"/>
      <c r="N693" s="329"/>
      <c r="O693" s="329"/>
      <c r="P693" s="329"/>
    </row>
    <row r="694">
      <c r="E694" s="329"/>
      <c r="F694" s="329"/>
      <c r="G694" s="329"/>
      <c r="H694" s="329"/>
      <c r="I694" s="329"/>
      <c r="J694" s="329"/>
      <c r="K694" s="329"/>
      <c r="L694" s="329"/>
      <c r="M694" s="329"/>
      <c r="N694" s="329"/>
      <c r="O694" s="329"/>
      <c r="P694" s="329"/>
    </row>
    <row r="695">
      <c r="E695" s="329"/>
      <c r="F695" s="329"/>
      <c r="G695" s="329"/>
      <c r="H695" s="329"/>
      <c r="I695" s="329"/>
      <c r="J695" s="329"/>
      <c r="K695" s="329"/>
      <c r="L695" s="329"/>
      <c r="M695" s="329"/>
      <c r="N695" s="329"/>
      <c r="O695" s="329"/>
      <c r="P695" s="329"/>
    </row>
    <row r="696">
      <c r="E696" s="329"/>
      <c r="F696" s="329"/>
      <c r="G696" s="329"/>
      <c r="H696" s="329"/>
      <c r="I696" s="329"/>
      <c r="J696" s="329"/>
      <c r="K696" s="329"/>
      <c r="L696" s="329"/>
      <c r="M696" s="329"/>
      <c r="N696" s="329"/>
      <c r="O696" s="329"/>
      <c r="P696" s="329"/>
    </row>
    <row r="697">
      <c r="E697" s="329"/>
      <c r="F697" s="329"/>
      <c r="G697" s="329"/>
      <c r="H697" s="329"/>
      <c r="I697" s="329"/>
      <c r="J697" s="329"/>
      <c r="K697" s="329"/>
      <c r="L697" s="329"/>
      <c r="M697" s="329"/>
      <c r="N697" s="329"/>
      <c r="O697" s="329"/>
      <c r="P697" s="329"/>
    </row>
    <row r="698">
      <c r="E698" s="329"/>
      <c r="F698" s="329"/>
      <c r="G698" s="329"/>
      <c r="H698" s="329"/>
      <c r="I698" s="329"/>
      <c r="J698" s="329"/>
      <c r="K698" s="329"/>
      <c r="L698" s="329"/>
      <c r="M698" s="329"/>
      <c r="N698" s="329"/>
      <c r="O698" s="329"/>
      <c r="P698" s="329"/>
    </row>
    <row r="699">
      <c r="E699" s="329"/>
      <c r="F699" s="329"/>
      <c r="G699" s="329"/>
      <c r="H699" s="329"/>
      <c r="I699" s="329"/>
      <c r="J699" s="329"/>
      <c r="K699" s="329"/>
      <c r="L699" s="329"/>
      <c r="M699" s="329"/>
      <c r="N699" s="329"/>
      <c r="O699" s="329"/>
      <c r="P699" s="329"/>
    </row>
    <row r="700">
      <c r="E700" s="329"/>
      <c r="F700" s="329"/>
      <c r="G700" s="329"/>
      <c r="H700" s="329"/>
      <c r="I700" s="329"/>
      <c r="J700" s="329"/>
      <c r="K700" s="329"/>
      <c r="L700" s="329"/>
      <c r="M700" s="329"/>
      <c r="N700" s="329"/>
      <c r="O700" s="329"/>
      <c r="P700" s="329"/>
    </row>
    <row r="701">
      <c r="E701" s="329"/>
      <c r="F701" s="329"/>
      <c r="G701" s="329"/>
      <c r="H701" s="329"/>
      <c r="I701" s="329"/>
      <c r="J701" s="329"/>
      <c r="K701" s="329"/>
      <c r="L701" s="329"/>
      <c r="M701" s="329"/>
      <c r="N701" s="329"/>
      <c r="O701" s="329"/>
      <c r="P701" s="329"/>
    </row>
    <row r="702">
      <c r="E702" s="329"/>
      <c r="F702" s="329"/>
      <c r="G702" s="329"/>
      <c r="H702" s="329"/>
      <c r="I702" s="329"/>
      <c r="J702" s="329"/>
      <c r="K702" s="329"/>
      <c r="L702" s="329"/>
      <c r="M702" s="329"/>
      <c r="N702" s="329"/>
      <c r="O702" s="329"/>
      <c r="P702" s="329"/>
    </row>
    <row r="703">
      <c r="E703" s="329"/>
      <c r="F703" s="329"/>
      <c r="G703" s="329"/>
      <c r="H703" s="329"/>
      <c r="I703" s="329"/>
      <c r="J703" s="329"/>
      <c r="K703" s="329"/>
      <c r="L703" s="329"/>
      <c r="M703" s="329"/>
      <c r="N703" s="329"/>
      <c r="O703" s="329"/>
      <c r="P703" s="329"/>
    </row>
    <row r="704">
      <c r="E704" s="329"/>
      <c r="F704" s="329"/>
      <c r="G704" s="329"/>
      <c r="H704" s="329"/>
      <c r="I704" s="329"/>
      <c r="J704" s="329"/>
      <c r="K704" s="329"/>
      <c r="L704" s="329"/>
      <c r="M704" s="329"/>
      <c r="N704" s="329"/>
      <c r="O704" s="329"/>
      <c r="P704" s="329"/>
    </row>
    <row r="705">
      <c r="E705" s="329"/>
      <c r="F705" s="329"/>
      <c r="G705" s="329"/>
      <c r="H705" s="329"/>
      <c r="I705" s="329"/>
      <c r="J705" s="329"/>
      <c r="K705" s="329"/>
      <c r="L705" s="329"/>
      <c r="M705" s="329"/>
      <c r="N705" s="329"/>
      <c r="O705" s="329"/>
      <c r="P705" s="329"/>
    </row>
    <row r="706">
      <c r="E706" s="329"/>
      <c r="F706" s="329"/>
      <c r="G706" s="329"/>
      <c r="H706" s="329"/>
      <c r="I706" s="329"/>
      <c r="J706" s="329"/>
      <c r="K706" s="329"/>
      <c r="L706" s="329"/>
      <c r="M706" s="329"/>
      <c r="N706" s="329"/>
      <c r="O706" s="329"/>
      <c r="P706" s="329"/>
    </row>
    <row r="707">
      <c r="E707" s="329"/>
      <c r="F707" s="329"/>
      <c r="G707" s="329"/>
      <c r="H707" s="329"/>
      <c r="I707" s="329"/>
      <c r="J707" s="329"/>
      <c r="K707" s="329"/>
      <c r="L707" s="329"/>
      <c r="M707" s="329"/>
      <c r="N707" s="329"/>
      <c r="O707" s="329"/>
      <c r="P707" s="329"/>
    </row>
    <row r="708">
      <c r="E708" s="329"/>
      <c r="F708" s="329"/>
      <c r="G708" s="329"/>
      <c r="H708" s="329"/>
      <c r="I708" s="329"/>
      <c r="J708" s="329"/>
      <c r="K708" s="329"/>
      <c r="L708" s="329"/>
      <c r="M708" s="329"/>
      <c r="N708" s="329"/>
      <c r="O708" s="329"/>
      <c r="P708" s="329"/>
    </row>
    <row r="709">
      <c r="E709" s="329"/>
      <c r="F709" s="329"/>
      <c r="G709" s="329"/>
      <c r="H709" s="329"/>
      <c r="I709" s="329"/>
      <c r="J709" s="329"/>
      <c r="K709" s="329"/>
      <c r="L709" s="329"/>
      <c r="M709" s="329"/>
      <c r="N709" s="329"/>
      <c r="O709" s="329"/>
      <c r="P709" s="329"/>
    </row>
    <row r="710">
      <c r="E710" s="329"/>
      <c r="F710" s="329"/>
      <c r="G710" s="329"/>
      <c r="H710" s="329"/>
      <c r="I710" s="329"/>
      <c r="J710" s="329"/>
      <c r="K710" s="329"/>
      <c r="L710" s="329"/>
      <c r="M710" s="329"/>
      <c r="N710" s="329"/>
      <c r="O710" s="329"/>
      <c r="P710" s="329"/>
    </row>
    <row r="711">
      <c r="E711" s="329"/>
      <c r="F711" s="329"/>
      <c r="G711" s="329"/>
      <c r="H711" s="329"/>
      <c r="I711" s="329"/>
      <c r="J711" s="329"/>
      <c r="K711" s="329"/>
      <c r="L711" s="329"/>
      <c r="M711" s="329"/>
      <c r="N711" s="329"/>
      <c r="O711" s="329"/>
      <c r="P711" s="329"/>
    </row>
    <row r="712">
      <c r="E712" s="329"/>
      <c r="F712" s="329"/>
      <c r="G712" s="329"/>
      <c r="H712" s="329"/>
      <c r="I712" s="329"/>
      <c r="J712" s="329"/>
      <c r="K712" s="329"/>
      <c r="L712" s="329"/>
      <c r="M712" s="329"/>
      <c r="N712" s="329"/>
      <c r="O712" s="329"/>
      <c r="P712" s="329"/>
    </row>
    <row r="713">
      <c r="E713" s="329"/>
      <c r="F713" s="329"/>
      <c r="G713" s="329"/>
      <c r="H713" s="329"/>
      <c r="I713" s="329"/>
      <c r="J713" s="329"/>
      <c r="K713" s="329"/>
      <c r="L713" s="329"/>
      <c r="M713" s="329"/>
      <c r="N713" s="329"/>
      <c r="O713" s="329"/>
      <c r="P713" s="329"/>
    </row>
    <row r="714">
      <c r="E714" s="329"/>
      <c r="F714" s="329"/>
      <c r="G714" s="329"/>
      <c r="H714" s="329"/>
      <c r="I714" s="329"/>
      <c r="J714" s="329"/>
      <c r="K714" s="329"/>
      <c r="L714" s="329"/>
      <c r="M714" s="329"/>
      <c r="N714" s="329"/>
      <c r="O714" s="329"/>
      <c r="P714" s="329"/>
    </row>
    <row r="715">
      <c r="E715" s="329"/>
      <c r="F715" s="329"/>
      <c r="G715" s="329"/>
      <c r="H715" s="329"/>
      <c r="I715" s="329"/>
      <c r="J715" s="329"/>
      <c r="K715" s="329"/>
      <c r="L715" s="329"/>
      <c r="M715" s="329"/>
      <c r="N715" s="329"/>
      <c r="O715" s="329"/>
      <c r="P715" s="329"/>
    </row>
    <row r="716">
      <c r="E716" s="329"/>
      <c r="F716" s="329"/>
      <c r="G716" s="329"/>
      <c r="H716" s="329"/>
      <c r="I716" s="329"/>
      <c r="J716" s="329"/>
      <c r="K716" s="329"/>
      <c r="L716" s="329"/>
      <c r="M716" s="329"/>
      <c r="N716" s="329"/>
      <c r="O716" s="329"/>
      <c r="P716" s="329"/>
    </row>
    <row r="717">
      <c r="E717" s="329"/>
      <c r="F717" s="329"/>
      <c r="G717" s="329"/>
      <c r="H717" s="329"/>
      <c r="I717" s="329"/>
      <c r="J717" s="329"/>
      <c r="K717" s="329"/>
      <c r="L717" s="329"/>
      <c r="M717" s="329"/>
      <c r="N717" s="329"/>
      <c r="O717" s="329"/>
      <c r="P717" s="329"/>
    </row>
    <row r="718">
      <c r="E718" s="329"/>
      <c r="F718" s="329"/>
      <c r="G718" s="329"/>
      <c r="H718" s="329"/>
      <c r="I718" s="329"/>
      <c r="J718" s="329"/>
      <c r="K718" s="329"/>
      <c r="L718" s="329"/>
      <c r="M718" s="329"/>
      <c r="N718" s="329"/>
      <c r="O718" s="329"/>
      <c r="P718" s="329"/>
    </row>
    <row r="719">
      <c r="E719" s="329"/>
      <c r="F719" s="329"/>
      <c r="G719" s="329"/>
      <c r="H719" s="329"/>
      <c r="I719" s="329"/>
      <c r="J719" s="329"/>
      <c r="K719" s="329"/>
      <c r="L719" s="329"/>
      <c r="M719" s="329"/>
      <c r="N719" s="329"/>
      <c r="O719" s="329"/>
      <c r="P719" s="329"/>
    </row>
    <row r="720">
      <c r="E720" s="329"/>
      <c r="F720" s="329"/>
      <c r="G720" s="329"/>
      <c r="H720" s="329"/>
      <c r="I720" s="329"/>
      <c r="J720" s="329"/>
      <c r="K720" s="329"/>
      <c r="L720" s="329"/>
      <c r="M720" s="329"/>
      <c r="N720" s="329"/>
      <c r="O720" s="329"/>
      <c r="P720" s="329"/>
    </row>
    <row r="721">
      <c r="E721" s="329"/>
      <c r="F721" s="329"/>
      <c r="G721" s="329"/>
      <c r="H721" s="329"/>
      <c r="I721" s="329"/>
      <c r="J721" s="329"/>
      <c r="K721" s="329"/>
      <c r="L721" s="329"/>
      <c r="M721" s="329"/>
      <c r="N721" s="329"/>
      <c r="O721" s="329"/>
      <c r="P721" s="329"/>
    </row>
    <row r="722">
      <c r="E722" s="329"/>
      <c r="F722" s="329"/>
      <c r="G722" s="329"/>
      <c r="H722" s="329"/>
      <c r="I722" s="329"/>
      <c r="J722" s="329"/>
      <c r="K722" s="329"/>
      <c r="L722" s="329"/>
      <c r="M722" s="329"/>
      <c r="N722" s="329"/>
      <c r="O722" s="329"/>
      <c r="P722" s="329"/>
    </row>
    <row r="723">
      <c r="E723" s="329"/>
      <c r="F723" s="329"/>
      <c r="G723" s="329"/>
      <c r="H723" s="329"/>
      <c r="I723" s="329"/>
      <c r="J723" s="329"/>
      <c r="K723" s="329"/>
      <c r="L723" s="329"/>
      <c r="M723" s="329"/>
      <c r="N723" s="329"/>
      <c r="O723" s="329"/>
      <c r="P723" s="329"/>
    </row>
    <row r="724">
      <c r="E724" s="329"/>
      <c r="F724" s="329"/>
      <c r="G724" s="329"/>
      <c r="H724" s="329"/>
      <c r="I724" s="329"/>
      <c r="J724" s="329"/>
      <c r="K724" s="329"/>
      <c r="L724" s="329"/>
      <c r="M724" s="329"/>
      <c r="N724" s="329"/>
      <c r="O724" s="329"/>
      <c r="P724" s="329"/>
    </row>
    <row r="725">
      <c r="E725" s="329"/>
      <c r="F725" s="329"/>
      <c r="G725" s="329"/>
      <c r="H725" s="329"/>
      <c r="I725" s="329"/>
      <c r="J725" s="329"/>
      <c r="K725" s="329"/>
      <c r="L725" s="329"/>
      <c r="M725" s="329"/>
      <c r="N725" s="329"/>
      <c r="O725" s="329"/>
      <c r="P725" s="329"/>
    </row>
    <row r="726">
      <c r="E726" s="329"/>
      <c r="F726" s="329"/>
      <c r="G726" s="329"/>
      <c r="H726" s="329"/>
      <c r="I726" s="329"/>
      <c r="J726" s="329"/>
      <c r="K726" s="329"/>
      <c r="L726" s="329"/>
      <c r="M726" s="329"/>
      <c r="N726" s="329"/>
      <c r="O726" s="329"/>
      <c r="P726" s="329"/>
    </row>
    <row r="727">
      <c r="E727" s="329"/>
      <c r="F727" s="329"/>
      <c r="G727" s="329"/>
      <c r="H727" s="329"/>
      <c r="I727" s="329"/>
      <c r="J727" s="329"/>
      <c r="K727" s="329"/>
      <c r="L727" s="329"/>
      <c r="M727" s="329"/>
      <c r="N727" s="329"/>
      <c r="O727" s="329"/>
      <c r="P727" s="329"/>
    </row>
    <row r="728">
      <c r="E728" s="329"/>
      <c r="F728" s="329"/>
      <c r="G728" s="329"/>
      <c r="H728" s="329"/>
      <c r="I728" s="329"/>
      <c r="J728" s="329"/>
      <c r="K728" s="329"/>
      <c r="L728" s="329"/>
      <c r="M728" s="329"/>
      <c r="N728" s="329"/>
      <c r="O728" s="329"/>
      <c r="P728" s="329"/>
    </row>
    <row r="729">
      <c r="E729" s="329"/>
      <c r="F729" s="329"/>
      <c r="G729" s="329"/>
      <c r="H729" s="329"/>
      <c r="I729" s="329"/>
      <c r="J729" s="329"/>
      <c r="K729" s="329"/>
      <c r="L729" s="329"/>
      <c r="M729" s="329"/>
      <c r="N729" s="329"/>
      <c r="O729" s="329"/>
      <c r="P729" s="329"/>
    </row>
    <row r="730">
      <c r="E730" s="329"/>
      <c r="F730" s="329"/>
      <c r="G730" s="329"/>
      <c r="H730" s="329"/>
      <c r="I730" s="329"/>
      <c r="J730" s="329"/>
      <c r="K730" s="329"/>
      <c r="L730" s="329"/>
      <c r="M730" s="329"/>
      <c r="N730" s="329"/>
      <c r="O730" s="329"/>
      <c r="P730" s="329"/>
    </row>
    <row r="731">
      <c r="E731" s="329"/>
      <c r="F731" s="329"/>
      <c r="G731" s="329"/>
      <c r="H731" s="329"/>
      <c r="I731" s="329"/>
      <c r="J731" s="329"/>
      <c r="K731" s="329"/>
      <c r="L731" s="329"/>
      <c r="M731" s="329"/>
      <c r="N731" s="329"/>
      <c r="O731" s="329"/>
      <c r="P731" s="329"/>
    </row>
    <row r="732">
      <c r="E732" s="329"/>
      <c r="F732" s="329"/>
      <c r="G732" s="329"/>
      <c r="H732" s="329"/>
      <c r="I732" s="329"/>
      <c r="J732" s="329"/>
      <c r="K732" s="329"/>
      <c r="L732" s="329"/>
      <c r="M732" s="329"/>
      <c r="N732" s="329"/>
      <c r="O732" s="329"/>
      <c r="P732" s="329"/>
    </row>
    <row r="733">
      <c r="E733" s="329"/>
      <c r="F733" s="329"/>
      <c r="G733" s="329"/>
      <c r="H733" s="329"/>
      <c r="I733" s="329"/>
      <c r="J733" s="329"/>
      <c r="K733" s="329"/>
      <c r="L733" s="329"/>
      <c r="M733" s="329"/>
      <c r="N733" s="329"/>
      <c r="O733" s="329"/>
      <c r="P733" s="329"/>
    </row>
    <row r="734">
      <c r="E734" s="329"/>
      <c r="F734" s="329"/>
      <c r="G734" s="329"/>
      <c r="H734" s="329"/>
      <c r="I734" s="329"/>
      <c r="J734" s="329"/>
      <c r="K734" s="329"/>
      <c r="L734" s="329"/>
      <c r="M734" s="329"/>
      <c r="N734" s="329"/>
      <c r="O734" s="329"/>
      <c r="P734" s="329"/>
    </row>
    <row r="735">
      <c r="E735" s="329"/>
      <c r="F735" s="329"/>
      <c r="G735" s="329"/>
      <c r="H735" s="329"/>
      <c r="I735" s="329"/>
      <c r="J735" s="329"/>
      <c r="K735" s="329"/>
      <c r="L735" s="329"/>
      <c r="M735" s="329"/>
      <c r="N735" s="329"/>
      <c r="O735" s="329"/>
      <c r="P735" s="329"/>
    </row>
    <row r="736">
      <c r="E736" s="329"/>
      <c r="F736" s="329"/>
      <c r="G736" s="329"/>
      <c r="H736" s="329"/>
      <c r="I736" s="329"/>
      <c r="J736" s="329"/>
      <c r="K736" s="329"/>
      <c r="L736" s="329"/>
      <c r="M736" s="329"/>
      <c r="N736" s="329"/>
      <c r="O736" s="329"/>
      <c r="P736" s="329"/>
    </row>
    <row r="737">
      <c r="E737" s="329"/>
      <c r="F737" s="329"/>
      <c r="G737" s="329"/>
      <c r="H737" s="329"/>
      <c r="I737" s="329"/>
      <c r="J737" s="329"/>
      <c r="K737" s="329"/>
      <c r="L737" s="329"/>
      <c r="M737" s="329"/>
      <c r="N737" s="329"/>
      <c r="O737" s="329"/>
      <c r="P737" s="329"/>
    </row>
    <row r="738">
      <c r="E738" s="329"/>
      <c r="F738" s="329"/>
      <c r="G738" s="329"/>
      <c r="H738" s="329"/>
      <c r="I738" s="329"/>
      <c r="J738" s="329"/>
      <c r="K738" s="329"/>
      <c r="L738" s="329"/>
      <c r="M738" s="329"/>
      <c r="N738" s="329"/>
      <c r="O738" s="329"/>
      <c r="P738" s="329"/>
    </row>
    <row r="739">
      <c r="E739" s="329"/>
      <c r="F739" s="329"/>
      <c r="G739" s="329"/>
      <c r="H739" s="329"/>
      <c r="I739" s="329"/>
      <c r="J739" s="329"/>
      <c r="K739" s="329"/>
      <c r="L739" s="329"/>
      <c r="M739" s="329"/>
      <c r="N739" s="329"/>
      <c r="O739" s="329"/>
      <c r="P739" s="329"/>
    </row>
    <row r="740">
      <c r="E740" s="329"/>
      <c r="F740" s="329"/>
      <c r="G740" s="329"/>
      <c r="H740" s="329"/>
      <c r="I740" s="329"/>
      <c r="J740" s="329"/>
      <c r="K740" s="329"/>
      <c r="L740" s="329"/>
      <c r="M740" s="329"/>
      <c r="N740" s="329"/>
      <c r="O740" s="329"/>
      <c r="P740" s="329"/>
    </row>
    <row r="741">
      <c r="E741" s="329"/>
      <c r="F741" s="329"/>
      <c r="G741" s="329"/>
      <c r="H741" s="329"/>
      <c r="I741" s="329"/>
      <c r="J741" s="329"/>
      <c r="K741" s="329"/>
      <c r="L741" s="329"/>
      <c r="M741" s="329"/>
      <c r="N741" s="329"/>
      <c r="O741" s="329"/>
      <c r="P741" s="329"/>
    </row>
    <row r="742">
      <c r="E742" s="329"/>
      <c r="F742" s="329"/>
      <c r="G742" s="329"/>
      <c r="H742" s="329"/>
      <c r="I742" s="329"/>
      <c r="J742" s="329"/>
      <c r="K742" s="329"/>
      <c r="L742" s="329"/>
      <c r="M742" s="329"/>
      <c r="N742" s="329"/>
      <c r="O742" s="329"/>
      <c r="P742" s="329"/>
    </row>
    <row r="743">
      <c r="E743" s="329"/>
      <c r="F743" s="329"/>
      <c r="G743" s="329"/>
      <c r="H743" s="329"/>
      <c r="I743" s="329"/>
      <c r="J743" s="329"/>
      <c r="K743" s="329"/>
      <c r="L743" s="329"/>
      <c r="M743" s="329"/>
      <c r="N743" s="329"/>
      <c r="O743" s="329"/>
      <c r="P743" s="329"/>
    </row>
    <row r="744">
      <c r="E744" s="329"/>
      <c r="F744" s="329"/>
      <c r="G744" s="329"/>
      <c r="H744" s="329"/>
      <c r="I744" s="329"/>
      <c r="J744" s="329"/>
      <c r="K744" s="329"/>
      <c r="L744" s="329"/>
      <c r="M744" s="329"/>
      <c r="N744" s="329"/>
      <c r="O744" s="329"/>
      <c r="P744" s="329"/>
    </row>
    <row r="745">
      <c r="E745" s="329"/>
      <c r="F745" s="329"/>
      <c r="G745" s="329"/>
      <c r="H745" s="329"/>
      <c r="I745" s="329"/>
      <c r="J745" s="329"/>
      <c r="K745" s="329"/>
      <c r="L745" s="329"/>
      <c r="M745" s="329"/>
      <c r="N745" s="329"/>
      <c r="O745" s="329"/>
      <c r="P745" s="329"/>
    </row>
    <row r="746">
      <c r="E746" s="329"/>
      <c r="F746" s="329"/>
      <c r="G746" s="329"/>
      <c r="H746" s="329"/>
      <c r="I746" s="329"/>
      <c r="J746" s="329"/>
      <c r="K746" s="329"/>
      <c r="L746" s="329"/>
      <c r="M746" s="329"/>
      <c r="N746" s="329"/>
      <c r="O746" s="329"/>
      <c r="P746" s="329"/>
    </row>
    <row r="747">
      <c r="E747" s="329"/>
      <c r="F747" s="329"/>
      <c r="G747" s="329"/>
      <c r="H747" s="329"/>
      <c r="I747" s="329"/>
      <c r="J747" s="329"/>
      <c r="K747" s="329"/>
      <c r="L747" s="329"/>
      <c r="M747" s="329"/>
      <c r="N747" s="329"/>
      <c r="O747" s="329"/>
      <c r="P747" s="329"/>
    </row>
    <row r="748">
      <c r="E748" s="329"/>
      <c r="F748" s="329"/>
      <c r="G748" s="329"/>
      <c r="H748" s="329"/>
      <c r="I748" s="329"/>
      <c r="J748" s="329"/>
      <c r="K748" s="329"/>
      <c r="L748" s="329"/>
      <c r="M748" s="329"/>
      <c r="N748" s="329"/>
      <c r="O748" s="329"/>
      <c r="P748" s="329"/>
    </row>
    <row r="749">
      <c r="E749" s="329"/>
      <c r="F749" s="329"/>
      <c r="G749" s="329"/>
      <c r="H749" s="329"/>
      <c r="I749" s="329"/>
      <c r="J749" s="329"/>
      <c r="K749" s="329"/>
      <c r="L749" s="329"/>
      <c r="M749" s="329"/>
      <c r="N749" s="329"/>
      <c r="O749" s="329"/>
      <c r="P749" s="329"/>
    </row>
    <row r="750">
      <c r="E750" s="329"/>
      <c r="F750" s="329"/>
      <c r="G750" s="329"/>
      <c r="H750" s="329"/>
      <c r="I750" s="329"/>
      <c r="J750" s="329"/>
      <c r="K750" s="329"/>
      <c r="L750" s="329"/>
      <c r="M750" s="329"/>
      <c r="N750" s="329"/>
      <c r="O750" s="329"/>
      <c r="P750" s="329"/>
    </row>
    <row r="751">
      <c r="E751" s="329"/>
      <c r="F751" s="329"/>
      <c r="G751" s="329"/>
      <c r="H751" s="329"/>
      <c r="I751" s="329"/>
      <c r="J751" s="329"/>
      <c r="K751" s="329"/>
      <c r="L751" s="329"/>
      <c r="M751" s="329"/>
      <c r="N751" s="329"/>
      <c r="O751" s="329"/>
      <c r="P751" s="329"/>
    </row>
    <row r="752">
      <c r="E752" s="329"/>
      <c r="F752" s="329"/>
      <c r="G752" s="329"/>
      <c r="H752" s="329"/>
      <c r="I752" s="329"/>
      <c r="J752" s="329"/>
      <c r="K752" s="329"/>
      <c r="L752" s="329"/>
      <c r="M752" s="329"/>
      <c r="N752" s="329"/>
      <c r="O752" s="329"/>
      <c r="P752" s="329"/>
    </row>
    <row r="753">
      <c r="E753" s="329"/>
      <c r="F753" s="329"/>
      <c r="G753" s="329"/>
      <c r="H753" s="329"/>
      <c r="I753" s="329"/>
      <c r="J753" s="329"/>
      <c r="K753" s="329"/>
      <c r="L753" s="329"/>
      <c r="M753" s="329"/>
      <c r="N753" s="329"/>
      <c r="O753" s="329"/>
      <c r="P753" s="329"/>
    </row>
    <row r="754">
      <c r="E754" s="329"/>
      <c r="F754" s="329"/>
      <c r="G754" s="329"/>
      <c r="H754" s="329"/>
      <c r="I754" s="329"/>
      <c r="J754" s="329"/>
      <c r="K754" s="329"/>
      <c r="L754" s="329"/>
      <c r="M754" s="329"/>
      <c r="N754" s="329"/>
      <c r="O754" s="329"/>
      <c r="P754" s="329"/>
    </row>
    <row r="755">
      <c r="E755" s="329"/>
      <c r="F755" s="329"/>
      <c r="G755" s="329"/>
      <c r="H755" s="329"/>
      <c r="I755" s="329"/>
      <c r="J755" s="329"/>
      <c r="K755" s="329"/>
      <c r="L755" s="329"/>
      <c r="M755" s="329"/>
      <c r="N755" s="329"/>
      <c r="O755" s="329"/>
      <c r="P755" s="329"/>
    </row>
    <row r="756">
      <c r="E756" s="329"/>
      <c r="F756" s="329"/>
      <c r="G756" s="329"/>
      <c r="H756" s="329"/>
      <c r="I756" s="329"/>
      <c r="J756" s="329"/>
      <c r="K756" s="329"/>
      <c r="L756" s="329"/>
      <c r="M756" s="329"/>
      <c r="N756" s="329"/>
      <c r="O756" s="329"/>
      <c r="P756" s="329"/>
    </row>
    <row r="757">
      <c r="E757" s="329"/>
      <c r="F757" s="329"/>
      <c r="G757" s="329"/>
      <c r="H757" s="329"/>
      <c r="I757" s="329"/>
      <c r="J757" s="329"/>
      <c r="K757" s="329"/>
      <c r="L757" s="329"/>
      <c r="M757" s="329"/>
      <c r="N757" s="329"/>
      <c r="O757" s="329"/>
      <c r="P757" s="329"/>
    </row>
    <row r="758">
      <c r="E758" s="329"/>
      <c r="F758" s="329"/>
      <c r="G758" s="329"/>
      <c r="H758" s="329"/>
      <c r="I758" s="329"/>
      <c r="J758" s="329"/>
      <c r="K758" s="329"/>
      <c r="L758" s="329"/>
      <c r="M758" s="329"/>
      <c r="N758" s="329"/>
      <c r="O758" s="329"/>
      <c r="P758" s="329"/>
    </row>
    <row r="759">
      <c r="E759" s="329"/>
      <c r="F759" s="329"/>
      <c r="G759" s="329"/>
      <c r="H759" s="329"/>
      <c r="I759" s="329"/>
      <c r="J759" s="329"/>
      <c r="K759" s="329"/>
      <c r="L759" s="329"/>
      <c r="M759" s="329"/>
      <c r="N759" s="329"/>
      <c r="O759" s="329"/>
      <c r="P759" s="329"/>
    </row>
    <row r="760">
      <c r="E760" s="329"/>
      <c r="F760" s="329"/>
      <c r="G760" s="329"/>
      <c r="H760" s="329"/>
      <c r="I760" s="329"/>
      <c r="J760" s="329"/>
      <c r="K760" s="329"/>
      <c r="L760" s="329"/>
      <c r="M760" s="329"/>
      <c r="N760" s="329"/>
      <c r="O760" s="329"/>
      <c r="P760" s="329"/>
    </row>
    <row r="761">
      <c r="E761" s="329"/>
      <c r="F761" s="329"/>
      <c r="G761" s="329"/>
      <c r="H761" s="329"/>
      <c r="I761" s="329"/>
      <c r="J761" s="329"/>
      <c r="K761" s="329"/>
      <c r="L761" s="329"/>
      <c r="M761" s="329"/>
      <c r="N761" s="329"/>
      <c r="O761" s="329"/>
      <c r="P761" s="329"/>
    </row>
    <row r="762">
      <c r="E762" s="329"/>
      <c r="F762" s="329"/>
      <c r="G762" s="329"/>
      <c r="H762" s="329"/>
      <c r="I762" s="329"/>
      <c r="J762" s="329"/>
      <c r="K762" s="329"/>
      <c r="L762" s="329"/>
      <c r="M762" s="329"/>
      <c r="N762" s="329"/>
      <c r="O762" s="329"/>
      <c r="P762" s="329"/>
    </row>
    <row r="763">
      <c r="E763" s="329"/>
      <c r="F763" s="329"/>
      <c r="G763" s="329"/>
      <c r="H763" s="329"/>
      <c r="I763" s="329"/>
      <c r="J763" s="329"/>
      <c r="K763" s="329"/>
      <c r="L763" s="329"/>
      <c r="M763" s="329"/>
      <c r="N763" s="329"/>
      <c r="O763" s="329"/>
      <c r="P763" s="329"/>
    </row>
    <row r="764">
      <c r="E764" s="329"/>
      <c r="F764" s="329"/>
      <c r="G764" s="329"/>
      <c r="H764" s="329"/>
      <c r="I764" s="329"/>
      <c r="J764" s="329"/>
      <c r="K764" s="329"/>
      <c r="L764" s="329"/>
      <c r="M764" s="329"/>
      <c r="N764" s="329"/>
      <c r="O764" s="329"/>
      <c r="P764" s="329"/>
    </row>
    <row r="765">
      <c r="E765" s="329"/>
      <c r="F765" s="329"/>
      <c r="G765" s="329"/>
      <c r="H765" s="329"/>
      <c r="I765" s="329"/>
      <c r="J765" s="329"/>
      <c r="K765" s="329"/>
      <c r="L765" s="329"/>
      <c r="M765" s="329"/>
      <c r="N765" s="329"/>
      <c r="O765" s="329"/>
      <c r="P765" s="329"/>
    </row>
    <row r="766">
      <c r="E766" s="329"/>
      <c r="F766" s="329"/>
      <c r="G766" s="329"/>
      <c r="H766" s="329"/>
      <c r="I766" s="329"/>
      <c r="J766" s="329"/>
      <c r="K766" s="329"/>
      <c r="L766" s="329"/>
      <c r="M766" s="329"/>
      <c r="N766" s="329"/>
      <c r="O766" s="329"/>
      <c r="P766" s="329"/>
    </row>
    <row r="767">
      <c r="E767" s="329"/>
      <c r="F767" s="329"/>
      <c r="G767" s="329"/>
      <c r="H767" s="329"/>
      <c r="I767" s="329"/>
      <c r="J767" s="329"/>
      <c r="K767" s="329"/>
      <c r="L767" s="329"/>
      <c r="M767" s="329"/>
      <c r="N767" s="329"/>
      <c r="O767" s="329"/>
      <c r="P767" s="329"/>
    </row>
    <row r="768">
      <c r="E768" s="329"/>
      <c r="F768" s="329"/>
      <c r="G768" s="329"/>
      <c r="H768" s="329"/>
      <c r="I768" s="329"/>
      <c r="J768" s="329"/>
      <c r="K768" s="329"/>
      <c r="L768" s="329"/>
      <c r="M768" s="329"/>
      <c r="N768" s="329"/>
      <c r="O768" s="329"/>
      <c r="P768" s="329"/>
    </row>
    <row r="769">
      <c r="E769" s="329"/>
      <c r="F769" s="329"/>
      <c r="G769" s="329"/>
      <c r="H769" s="329"/>
      <c r="I769" s="329"/>
      <c r="J769" s="329"/>
      <c r="K769" s="329"/>
      <c r="L769" s="329"/>
      <c r="M769" s="329"/>
      <c r="N769" s="329"/>
      <c r="O769" s="329"/>
      <c r="P769" s="329"/>
    </row>
    <row r="770">
      <c r="E770" s="329"/>
      <c r="F770" s="329"/>
      <c r="G770" s="329"/>
      <c r="H770" s="329"/>
      <c r="I770" s="329"/>
      <c r="J770" s="329"/>
      <c r="K770" s="329"/>
      <c r="L770" s="329"/>
      <c r="M770" s="329"/>
      <c r="N770" s="329"/>
      <c r="O770" s="329"/>
      <c r="P770" s="329"/>
    </row>
    <row r="771">
      <c r="E771" s="329"/>
      <c r="F771" s="329"/>
      <c r="G771" s="329"/>
      <c r="H771" s="329"/>
      <c r="I771" s="329"/>
      <c r="J771" s="329"/>
      <c r="K771" s="329"/>
      <c r="L771" s="329"/>
      <c r="M771" s="329"/>
      <c r="N771" s="329"/>
      <c r="O771" s="329"/>
      <c r="P771" s="329"/>
    </row>
    <row r="772">
      <c r="E772" s="329"/>
      <c r="F772" s="329"/>
      <c r="G772" s="329"/>
      <c r="H772" s="329"/>
      <c r="I772" s="329"/>
      <c r="J772" s="329"/>
      <c r="K772" s="329"/>
      <c r="L772" s="329"/>
      <c r="M772" s="329"/>
      <c r="N772" s="329"/>
      <c r="O772" s="329"/>
      <c r="P772" s="329"/>
    </row>
    <row r="773">
      <c r="E773" s="329"/>
      <c r="F773" s="329"/>
      <c r="G773" s="329"/>
      <c r="H773" s="329"/>
      <c r="I773" s="329"/>
      <c r="J773" s="329"/>
      <c r="K773" s="329"/>
      <c r="L773" s="329"/>
      <c r="M773" s="329"/>
      <c r="N773" s="329"/>
      <c r="O773" s="329"/>
      <c r="P773" s="329"/>
    </row>
    <row r="774">
      <c r="E774" s="329"/>
      <c r="F774" s="329"/>
      <c r="G774" s="329"/>
      <c r="H774" s="329"/>
      <c r="I774" s="329"/>
      <c r="J774" s="329"/>
      <c r="K774" s="329"/>
      <c r="L774" s="329"/>
      <c r="M774" s="329"/>
      <c r="N774" s="329"/>
      <c r="O774" s="329"/>
      <c r="P774" s="329"/>
    </row>
    <row r="775">
      <c r="E775" s="329"/>
      <c r="F775" s="329"/>
      <c r="G775" s="329"/>
      <c r="H775" s="329"/>
      <c r="I775" s="329"/>
      <c r="J775" s="329"/>
      <c r="K775" s="329"/>
      <c r="L775" s="329"/>
      <c r="M775" s="329"/>
      <c r="N775" s="329"/>
      <c r="O775" s="329"/>
      <c r="P775" s="329"/>
    </row>
    <row r="776">
      <c r="E776" s="329"/>
      <c r="F776" s="329"/>
      <c r="G776" s="329"/>
      <c r="H776" s="329"/>
      <c r="I776" s="329"/>
      <c r="J776" s="329"/>
      <c r="K776" s="329"/>
      <c r="L776" s="329"/>
      <c r="M776" s="329"/>
      <c r="N776" s="329"/>
      <c r="O776" s="329"/>
      <c r="P776" s="329"/>
    </row>
    <row r="777">
      <c r="E777" s="329"/>
      <c r="F777" s="329"/>
      <c r="G777" s="329"/>
      <c r="H777" s="329"/>
      <c r="I777" s="329"/>
      <c r="J777" s="329"/>
      <c r="K777" s="329"/>
      <c r="L777" s="329"/>
      <c r="M777" s="329"/>
      <c r="N777" s="329"/>
      <c r="O777" s="329"/>
      <c r="P777" s="329"/>
    </row>
    <row r="778">
      <c r="E778" s="329"/>
      <c r="F778" s="329"/>
      <c r="G778" s="329"/>
      <c r="H778" s="329"/>
      <c r="I778" s="329"/>
      <c r="J778" s="329"/>
      <c r="K778" s="329"/>
      <c r="L778" s="329"/>
      <c r="M778" s="329"/>
      <c r="N778" s="329"/>
      <c r="O778" s="329"/>
      <c r="P778" s="329"/>
    </row>
    <row r="779">
      <c r="E779" s="329"/>
      <c r="F779" s="329"/>
      <c r="G779" s="329"/>
      <c r="H779" s="329"/>
      <c r="I779" s="329"/>
      <c r="J779" s="329"/>
      <c r="K779" s="329"/>
      <c r="L779" s="329"/>
      <c r="M779" s="329"/>
      <c r="N779" s="329"/>
      <c r="O779" s="329"/>
      <c r="P779" s="329"/>
    </row>
    <row r="780">
      <c r="E780" s="329"/>
      <c r="F780" s="329"/>
      <c r="G780" s="329"/>
      <c r="H780" s="329"/>
      <c r="I780" s="329"/>
      <c r="J780" s="329"/>
      <c r="K780" s="329"/>
      <c r="L780" s="329"/>
      <c r="M780" s="329"/>
      <c r="N780" s="329"/>
      <c r="O780" s="329"/>
      <c r="P780" s="329"/>
    </row>
    <row r="781">
      <c r="E781" s="329"/>
      <c r="F781" s="329"/>
      <c r="G781" s="329"/>
      <c r="H781" s="329"/>
      <c r="I781" s="329"/>
      <c r="J781" s="329"/>
      <c r="K781" s="329"/>
      <c r="L781" s="329"/>
      <c r="M781" s="329"/>
      <c r="N781" s="329"/>
      <c r="O781" s="329"/>
      <c r="P781" s="329"/>
    </row>
    <row r="782">
      <c r="E782" s="329"/>
      <c r="F782" s="329"/>
      <c r="G782" s="329"/>
      <c r="H782" s="329"/>
      <c r="I782" s="329"/>
      <c r="J782" s="329"/>
      <c r="K782" s="329"/>
      <c r="L782" s="329"/>
      <c r="M782" s="329"/>
      <c r="N782" s="329"/>
      <c r="O782" s="329"/>
      <c r="P782" s="329"/>
    </row>
    <row r="783">
      <c r="E783" s="329"/>
      <c r="F783" s="329"/>
      <c r="G783" s="329"/>
      <c r="H783" s="329"/>
      <c r="I783" s="329"/>
      <c r="J783" s="329"/>
      <c r="K783" s="329"/>
      <c r="L783" s="329"/>
      <c r="M783" s="329"/>
      <c r="N783" s="329"/>
      <c r="O783" s="329"/>
      <c r="P783" s="329"/>
    </row>
    <row r="784">
      <c r="E784" s="329"/>
      <c r="F784" s="329"/>
      <c r="G784" s="329"/>
      <c r="H784" s="329"/>
      <c r="I784" s="329"/>
      <c r="J784" s="329"/>
      <c r="K784" s="329"/>
      <c r="L784" s="329"/>
      <c r="M784" s="329"/>
      <c r="N784" s="329"/>
      <c r="O784" s="329"/>
      <c r="P784" s="329"/>
    </row>
    <row r="785">
      <c r="E785" s="329"/>
      <c r="F785" s="329"/>
      <c r="G785" s="329"/>
      <c r="H785" s="329"/>
      <c r="I785" s="329"/>
      <c r="J785" s="329"/>
      <c r="K785" s="329"/>
      <c r="L785" s="329"/>
      <c r="M785" s="329"/>
      <c r="N785" s="329"/>
      <c r="O785" s="329"/>
      <c r="P785" s="329"/>
    </row>
    <row r="786">
      <c r="E786" s="329"/>
      <c r="F786" s="329"/>
      <c r="G786" s="329"/>
      <c r="H786" s="329"/>
      <c r="I786" s="329"/>
      <c r="J786" s="329"/>
      <c r="K786" s="329"/>
      <c r="L786" s="329"/>
      <c r="M786" s="329"/>
      <c r="N786" s="329"/>
      <c r="O786" s="329"/>
      <c r="P786" s="329"/>
    </row>
    <row r="787">
      <c r="E787" s="329"/>
      <c r="F787" s="329"/>
      <c r="G787" s="329"/>
      <c r="H787" s="329"/>
      <c r="I787" s="329"/>
      <c r="J787" s="329"/>
      <c r="K787" s="329"/>
      <c r="L787" s="329"/>
      <c r="M787" s="329"/>
      <c r="N787" s="329"/>
      <c r="O787" s="329"/>
      <c r="P787" s="329"/>
    </row>
    <row r="788">
      <c r="E788" s="329"/>
      <c r="F788" s="329"/>
      <c r="G788" s="329"/>
      <c r="H788" s="329"/>
      <c r="I788" s="329"/>
      <c r="J788" s="329"/>
      <c r="K788" s="329"/>
      <c r="L788" s="329"/>
      <c r="M788" s="329"/>
      <c r="N788" s="329"/>
      <c r="O788" s="329"/>
      <c r="P788" s="329"/>
    </row>
    <row r="789">
      <c r="E789" s="329"/>
      <c r="F789" s="329"/>
      <c r="G789" s="329"/>
      <c r="H789" s="329"/>
      <c r="I789" s="329"/>
      <c r="J789" s="329"/>
      <c r="K789" s="329"/>
      <c r="L789" s="329"/>
      <c r="M789" s="329"/>
      <c r="N789" s="329"/>
      <c r="O789" s="329"/>
      <c r="P789" s="329"/>
    </row>
    <row r="790">
      <c r="E790" s="329"/>
      <c r="F790" s="329"/>
      <c r="G790" s="329"/>
      <c r="H790" s="329"/>
      <c r="I790" s="329"/>
      <c r="J790" s="329"/>
      <c r="K790" s="329"/>
      <c r="L790" s="329"/>
      <c r="M790" s="329"/>
      <c r="N790" s="329"/>
      <c r="O790" s="329"/>
      <c r="P790" s="329"/>
    </row>
    <row r="791">
      <c r="E791" s="329"/>
      <c r="F791" s="329"/>
      <c r="G791" s="329"/>
      <c r="H791" s="329"/>
      <c r="I791" s="329"/>
      <c r="J791" s="329"/>
      <c r="K791" s="329"/>
      <c r="L791" s="329"/>
      <c r="M791" s="329"/>
      <c r="N791" s="329"/>
      <c r="O791" s="329"/>
      <c r="P791" s="329"/>
    </row>
    <row r="792">
      <c r="E792" s="329"/>
      <c r="F792" s="329"/>
      <c r="G792" s="329"/>
      <c r="H792" s="329"/>
      <c r="I792" s="329"/>
      <c r="J792" s="329"/>
      <c r="K792" s="329"/>
      <c r="L792" s="329"/>
      <c r="M792" s="329"/>
      <c r="N792" s="329"/>
      <c r="O792" s="329"/>
      <c r="P792" s="329"/>
    </row>
    <row r="793"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</row>
    <row r="794">
      <c r="E794" s="329"/>
      <c r="F794" s="329"/>
      <c r="G794" s="329"/>
      <c r="H794" s="329"/>
      <c r="I794" s="329"/>
      <c r="J794" s="329"/>
      <c r="K794" s="329"/>
      <c r="L794" s="329"/>
      <c r="M794" s="329"/>
      <c r="N794" s="329"/>
      <c r="O794" s="329"/>
      <c r="P794" s="329"/>
    </row>
    <row r="795">
      <c r="E795" s="329"/>
      <c r="F795" s="329"/>
      <c r="G795" s="329"/>
      <c r="H795" s="329"/>
      <c r="I795" s="329"/>
      <c r="J795" s="329"/>
      <c r="K795" s="329"/>
      <c r="L795" s="329"/>
      <c r="M795" s="329"/>
      <c r="N795" s="329"/>
      <c r="O795" s="329"/>
      <c r="P795" s="329"/>
    </row>
    <row r="796">
      <c r="E796" s="329"/>
      <c r="F796" s="329"/>
      <c r="G796" s="329"/>
      <c r="H796" s="329"/>
      <c r="I796" s="329"/>
      <c r="J796" s="329"/>
      <c r="K796" s="329"/>
      <c r="L796" s="329"/>
      <c r="M796" s="329"/>
      <c r="N796" s="329"/>
      <c r="O796" s="329"/>
      <c r="P796" s="329"/>
    </row>
    <row r="797">
      <c r="E797" s="329"/>
      <c r="F797" s="329"/>
      <c r="G797" s="329"/>
      <c r="H797" s="329"/>
      <c r="I797" s="329"/>
      <c r="J797" s="329"/>
      <c r="K797" s="329"/>
      <c r="L797" s="329"/>
      <c r="M797" s="329"/>
      <c r="N797" s="329"/>
      <c r="O797" s="329"/>
      <c r="P797" s="329"/>
    </row>
    <row r="798">
      <c r="E798" s="329"/>
      <c r="F798" s="329"/>
      <c r="G798" s="329"/>
      <c r="H798" s="329"/>
      <c r="I798" s="329"/>
      <c r="J798" s="329"/>
      <c r="K798" s="329"/>
      <c r="L798" s="329"/>
      <c r="M798" s="329"/>
      <c r="N798" s="329"/>
      <c r="O798" s="329"/>
      <c r="P798" s="329"/>
    </row>
    <row r="799">
      <c r="E799" s="329"/>
      <c r="F799" s="329"/>
      <c r="G799" s="329"/>
      <c r="H799" s="329"/>
      <c r="I799" s="329"/>
      <c r="J799" s="329"/>
      <c r="K799" s="329"/>
      <c r="L799" s="329"/>
      <c r="M799" s="329"/>
      <c r="N799" s="329"/>
      <c r="O799" s="329"/>
      <c r="P799" s="329"/>
    </row>
    <row r="800">
      <c r="E800" s="329"/>
      <c r="F800" s="329"/>
      <c r="G800" s="329"/>
      <c r="H800" s="329"/>
      <c r="I800" s="329"/>
      <c r="J800" s="329"/>
      <c r="K800" s="329"/>
      <c r="L800" s="329"/>
      <c r="M800" s="329"/>
      <c r="N800" s="329"/>
      <c r="O800" s="329"/>
      <c r="P800" s="329"/>
    </row>
    <row r="801">
      <c r="E801" s="329"/>
      <c r="F801" s="329"/>
      <c r="G801" s="329"/>
      <c r="H801" s="329"/>
      <c r="I801" s="329"/>
      <c r="J801" s="329"/>
      <c r="K801" s="329"/>
      <c r="L801" s="329"/>
      <c r="M801" s="329"/>
      <c r="N801" s="329"/>
      <c r="O801" s="329"/>
      <c r="P801" s="329"/>
    </row>
    <row r="802">
      <c r="E802" s="329"/>
      <c r="F802" s="329"/>
      <c r="G802" s="329"/>
      <c r="H802" s="329"/>
      <c r="I802" s="329"/>
      <c r="J802" s="329"/>
      <c r="K802" s="329"/>
      <c r="L802" s="329"/>
      <c r="M802" s="329"/>
      <c r="N802" s="329"/>
      <c r="O802" s="329"/>
      <c r="P802" s="329"/>
    </row>
    <row r="803">
      <c r="E803" s="329"/>
      <c r="F803" s="329"/>
      <c r="G803" s="329"/>
      <c r="H803" s="329"/>
      <c r="I803" s="329"/>
      <c r="J803" s="329"/>
      <c r="K803" s="329"/>
      <c r="L803" s="329"/>
      <c r="M803" s="329"/>
      <c r="N803" s="329"/>
      <c r="O803" s="329"/>
      <c r="P803" s="329"/>
    </row>
    <row r="804">
      <c r="E804" s="329"/>
      <c r="F804" s="329"/>
      <c r="G804" s="329"/>
      <c r="H804" s="329"/>
      <c r="I804" s="329"/>
      <c r="J804" s="329"/>
      <c r="K804" s="329"/>
      <c r="L804" s="329"/>
      <c r="M804" s="329"/>
      <c r="N804" s="329"/>
      <c r="O804" s="329"/>
      <c r="P804" s="329"/>
    </row>
    <row r="805">
      <c r="E805" s="329"/>
      <c r="F805" s="329"/>
      <c r="G805" s="329"/>
      <c r="H805" s="329"/>
      <c r="I805" s="329"/>
      <c r="J805" s="329"/>
      <c r="K805" s="329"/>
      <c r="L805" s="329"/>
      <c r="M805" s="329"/>
      <c r="N805" s="329"/>
      <c r="O805" s="329"/>
      <c r="P805" s="329"/>
    </row>
    <row r="806">
      <c r="E806" s="329"/>
      <c r="F806" s="329"/>
      <c r="G806" s="329"/>
      <c r="H806" s="329"/>
      <c r="I806" s="329"/>
      <c r="J806" s="329"/>
      <c r="K806" s="329"/>
      <c r="L806" s="329"/>
      <c r="M806" s="329"/>
      <c r="N806" s="329"/>
      <c r="O806" s="329"/>
      <c r="P806" s="329"/>
    </row>
    <row r="807">
      <c r="E807" s="329"/>
      <c r="F807" s="329"/>
      <c r="G807" s="329"/>
      <c r="H807" s="329"/>
      <c r="I807" s="329"/>
      <c r="J807" s="329"/>
      <c r="K807" s="329"/>
      <c r="L807" s="329"/>
      <c r="M807" s="329"/>
      <c r="N807" s="329"/>
      <c r="O807" s="329"/>
      <c r="P807" s="329"/>
    </row>
    <row r="808">
      <c r="E808" s="329"/>
      <c r="F808" s="329"/>
      <c r="G808" s="329"/>
      <c r="H808" s="329"/>
      <c r="I808" s="329"/>
      <c r="J808" s="329"/>
      <c r="K808" s="329"/>
      <c r="L808" s="329"/>
      <c r="M808" s="329"/>
      <c r="N808" s="329"/>
      <c r="O808" s="329"/>
      <c r="P808" s="329"/>
    </row>
    <row r="809">
      <c r="E809" s="329"/>
      <c r="F809" s="329"/>
      <c r="G809" s="329"/>
      <c r="H809" s="329"/>
      <c r="I809" s="329"/>
      <c r="J809" s="329"/>
      <c r="K809" s="329"/>
      <c r="L809" s="329"/>
      <c r="M809" s="329"/>
      <c r="N809" s="329"/>
      <c r="O809" s="329"/>
      <c r="P809" s="329"/>
    </row>
    <row r="810">
      <c r="E810" s="329"/>
      <c r="F810" s="329"/>
      <c r="G810" s="329"/>
      <c r="H810" s="329"/>
      <c r="I810" s="329"/>
      <c r="J810" s="329"/>
      <c r="K810" s="329"/>
      <c r="L810" s="329"/>
      <c r="M810" s="329"/>
      <c r="N810" s="329"/>
      <c r="O810" s="329"/>
      <c r="P810" s="329"/>
    </row>
    <row r="811">
      <c r="E811" s="329"/>
      <c r="F811" s="329"/>
      <c r="G811" s="329"/>
      <c r="H811" s="329"/>
      <c r="I811" s="329"/>
      <c r="J811" s="329"/>
      <c r="K811" s="329"/>
      <c r="L811" s="329"/>
      <c r="M811" s="329"/>
      <c r="N811" s="329"/>
      <c r="O811" s="329"/>
      <c r="P811" s="329"/>
    </row>
    <row r="812">
      <c r="E812" s="329"/>
      <c r="F812" s="329"/>
      <c r="G812" s="329"/>
      <c r="H812" s="329"/>
      <c r="I812" s="329"/>
      <c r="J812" s="329"/>
      <c r="K812" s="329"/>
      <c r="L812" s="329"/>
      <c r="M812" s="329"/>
      <c r="N812" s="329"/>
      <c r="O812" s="329"/>
      <c r="P812" s="329"/>
    </row>
    <row r="813">
      <c r="E813" s="329"/>
      <c r="F813" s="329"/>
      <c r="G813" s="329"/>
      <c r="H813" s="329"/>
      <c r="I813" s="329"/>
      <c r="J813" s="329"/>
      <c r="K813" s="329"/>
      <c r="L813" s="329"/>
      <c r="M813" s="329"/>
      <c r="N813" s="329"/>
      <c r="O813" s="329"/>
      <c r="P813" s="329"/>
    </row>
    <row r="814">
      <c r="E814" s="329"/>
      <c r="F814" s="329"/>
      <c r="G814" s="329"/>
      <c r="H814" s="329"/>
      <c r="I814" s="329"/>
      <c r="J814" s="329"/>
      <c r="K814" s="329"/>
      <c r="L814" s="329"/>
      <c r="M814" s="329"/>
      <c r="N814" s="329"/>
      <c r="O814" s="329"/>
      <c r="P814" s="329"/>
    </row>
    <row r="815">
      <c r="E815" s="329"/>
      <c r="F815" s="329"/>
      <c r="G815" s="329"/>
      <c r="H815" s="329"/>
      <c r="I815" s="329"/>
      <c r="J815" s="329"/>
      <c r="K815" s="329"/>
      <c r="L815" s="329"/>
      <c r="M815" s="329"/>
      <c r="N815" s="329"/>
      <c r="O815" s="329"/>
      <c r="P815" s="329"/>
    </row>
    <row r="816">
      <c r="E816" s="329"/>
      <c r="F816" s="329"/>
      <c r="G816" s="329"/>
      <c r="H816" s="329"/>
      <c r="I816" s="329"/>
      <c r="J816" s="329"/>
      <c r="K816" s="329"/>
      <c r="L816" s="329"/>
      <c r="M816" s="329"/>
      <c r="N816" s="329"/>
      <c r="O816" s="329"/>
      <c r="P816" s="329"/>
    </row>
    <row r="817">
      <c r="E817" s="329"/>
      <c r="F817" s="329"/>
      <c r="G817" s="329"/>
      <c r="H817" s="329"/>
      <c r="I817" s="329"/>
      <c r="J817" s="329"/>
      <c r="K817" s="329"/>
      <c r="L817" s="329"/>
      <c r="M817" s="329"/>
      <c r="N817" s="329"/>
      <c r="O817" s="329"/>
      <c r="P817" s="329"/>
    </row>
    <row r="818">
      <c r="E818" s="329"/>
      <c r="F818" s="329"/>
      <c r="G818" s="329"/>
      <c r="H818" s="329"/>
      <c r="I818" s="329"/>
      <c r="J818" s="329"/>
      <c r="K818" s="329"/>
      <c r="L818" s="329"/>
      <c r="M818" s="329"/>
      <c r="N818" s="329"/>
      <c r="O818" s="329"/>
      <c r="P818" s="329"/>
    </row>
    <row r="819">
      <c r="E819" s="329"/>
      <c r="F819" s="329"/>
      <c r="G819" s="329"/>
      <c r="H819" s="329"/>
      <c r="I819" s="329"/>
      <c r="J819" s="329"/>
      <c r="K819" s="329"/>
      <c r="L819" s="329"/>
      <c r="M819" s="329"/>
      <c r="N819" s="329"/>
      <c r="O819" s="329"/>
      <c r="P819" s="329"/>
    </row>
    <row r="820">
      <c r="E820" s="329"/>
      <c r="F820" s="329"/>
      <c r="G820" s="329"/>
      <c r="H820" s="329"/>
      <c r="I820" s="329"/>
      <c r="J820" s="329"/>
      <c r="K820" s="329"/>
      <c r="L820" s="329"/>
      <c r="M820" s="329"/>
      <c r="N820" s="329"/>
      <c r="O820" s="329"/>
      <c r="P820" s="329"/>
    </row>
    <row r="821">
      <c r="E821" s="329"/>
      <c r="F821" s="329"/>
      <c r="G821" s="329"/>
      <c r="H821" s="329"/>
      <c r="I821" s="329"/>
      <c r="J821" s="329"/>
      <c r="K821" s="329"/>
      <c r="L821" s="329"/>
      <c r="M821" s="329"/>
      <c r="N821" s="329"/>
      <c r="O821" s="329"/>
      <c r="P821" s="329"/>
    </row>
    <row r="822">
      <c r="E822" s="329"/>
      <c r="F822" s="329"/>
      <c r="G822" s="329"/>
      <c r="H822" s="329"/>
      <c r="I822" s="329"/>
      <c r="J822" s="329"/>
      <c r="K822" s="329"/>
      <c r="L822" s="329"/>
      <c r="M822" s="329"/>
      <c r="N822" s="329"/>
      <c r="O822" s="329"/>
      <c r="P822" s="329"/>
    </row>
    <row r="823">
      <c r="E823" s="329"/>
      <c r="F823" s="329"/>
      <c r="G823" s="329"/>
      <c r="H823" s="329"/>
      <c r="I823" s="329"/>
      <c r="J823" s="329"/>
      <c r="K823" s="329"/>
      <c r="L823" s="329"/>
      <c r="M823" s="329"/>
      <c r="N823" s="329"/>
      <c r="O823" s="329"/>
      <c r="P823" s="329"/>
    </row>
    <row r="824">
      <c r="E824" s="329"/>
      <c r="F824" s="329"/>
      <c r="G824" s="329"/>
      <c r="H824" s="329"/>
      <c r="I824" s="329"/>
      <c r="J824" s="329"/>
      <c r="K824" s="329"/>
      <c r="L824" s="329"/>
      <c r="M824" s="329"/>
      <c r="N824" s="329"/>
      <c r="O824" s="329"/>
      <c r="P824" s="329"/>
    </row>
    <row r="825">
      <c r="E825" s="329"/>
      <c r="F825" s="329"/>
      <c r="G825" s="329"/>
      <c r="H825" s="329"/>
      <c r="I825" s="329"/>
      <c r="J825" s="329"/>
      <c r="K825" s="329"/>
      <c r="L825" s="329"/>
      <c r="M825" s="329"/>
      <c r="N825" s="329"/>
      <c r="O825" s="329"/>
      <c r="P825" s="329"/>
    </row>
    <row r="826">
      <c r="E826" s="329"/>
      <c r="F826" s="329"/>
      <c r="G826" s="329"/>
      <c r="H826" s="329"/>
      <c r="I826" s="329"/>
      <c r="J826" s="329"/>
      <c r="K826" s="329"/>
      <c r="L826" s="329"/>
      <c r="M826" s="329"/>
      <c r="N826" s="329"/>
      <c r="O826" s="329"/>
      <c r="P826" s="329"/>
    </row>
    <row r="827">
      <c r="E827" s="329"/>
      <c r="F827" s="329"/>
      <c r="G827" s="329"/>
      <c r="H827" s="329"/>
      <c r="I827" s="329"/>
      <c r="J827" s="329"/>
      <c r="K827" s="329"/>
      <c r="L827" s="329"/>
      <c r="M827" s="329"/>
      <c r="N827" s="329"/>
      <c r="O827" s="329"/>
      <c r="P827" s="329"/>
    </row>
    <row r="828">
      <c r="E828" s="329"/>
      <c r="F828" s="329"/>
      <c r="G828" s="329"/>
      <c r="H828" s="329"/>
      <c r="I828" s="329"/>
      <c r="J828" s="329"/>
      <c r="K828" s="329"/>
      <c r="L828" s="329"/>
      <c r="M828" s="329"/>
      <c r="N828" s="329"/>
      <c r="O828" s="329"/>
      <c r="P828" s="329"/>
    </row>
    <row r="829">
      <c r="E829" s="329"/>
      <c r="F829" s="329"/>
      <c r="G829" s="329"/>
      <c r="H829" s="329"/>
      <c r="I829" s="329"/>
      <c r="J829" s="329"/>
      <c r="K829" s="329"/>
      <c r="L829" s="329"/>
      <c r="M829" s="329"/>
      <c r="N829" s="329"/>
      <c r="O829" s="329"/>
      <c r="P829" s="329"/>
    </row>
    <row r="830">
      <c r="E830" s="329"/>
      <c r="F830" s="329"/>
      <c r="G830" s="329"/>
      <c r="H830" s="329"/>
      <c r="I830" s="329"/>
      <c r="J830" s="329"/>
      <c r="K830" s="329"/>
      <c r="L830" s="329"/>
      <c r="M830" s="329"/>
      <c r="N830" s="329"/>
      <c r="O830" s="329"/>
      <c r="P830" s="329"/>
    </row>
    <row r="831">
      <c r="E831" s="329"/>
      <c r="F831" s="329"/>
      <c r="G831" s="329"/>
      <c r="H831" s="329"/>
      <c r="I831" s="329"/>
      <c r="J831" s="329"/>
      <c r="K831" s="329"/>
      <c r="L831" s="329"/>
      <c r="M831" s="329"/>
      <c r="N831" s="329"/>
      <c r="O831" s="329"/>
      <c r="P831" s="329"/>
    </row>
    <row r="832">
      <c r="E832" s="329"/>
      <c r="F832" s="329"/>
      <c r="G832" s="329"/>
      <c r="H832" s="329"/>
      <c r="I832" s="329"/>
      <c r="J832" s="329"/>
      <c r="K832" s="329"/>
      <c r="L832" s="329"/>
      <c r="M832" s="329"/>
      <c r="N832" s="329"/>
      <c r="O832" s="329"/>
      <c r="P832" s="329"/>
    </row>
    <row r="833">
      <c r="E833" s="329"/>
      <c r="F833" s="329"/>
      <c r="G833" s="329"/>
      <c r="H833" s="329"/>
      <c r="I833" s="329"/>
      <c r="J833" s="329"/>
      <c r="K833" s="329"/>
      <c r="L833" s="329"/>
      <c r="M833" s="329"/>
      <c r="N833" s="329"/>
      <c r="O833" s="329"/>
      <c r="P833" s="329"/>
    </row>
    <row r="834">
      <c r="E834" s="329"/>
      <c r="F834" s="329"/>
      <c r="G834" s="329"/>
      <c r="H834" s="329"/>
      <c r="I834" s="329"/>
      <c r="J834" s="329"/>
      <c r="K834" s="329"/>
      <c r="L834" s="329"/>
      <c r="M834" s="329"/>
      <c r="N834" s="329"/>
      <c r="O834" s="329"/>
      <c r="P834" s="329"/>
    </row>
    <row r="835">
      <c r="E835" s="329"/>
      <c r="F835" s="329"/>
      <c r="G835" s="329"/>
      <c r="H835" s="329"/>
      <c r="I835" s="329"/>
      <c r="J835" s="329"/>
      <c r="K835" s="329"/>
      <c r="L835" s="329"/>
      <c r="M835" s="329"/>
      <c r="N835" s="329"/>
      <c r="O835" s="329"/>
      <c r="P835" s="329"/>
    </row>
    <row r="836">
      <c r="E836" s="329"/>
      <c r="F836" s="329"/>
      <c r="G836" s="329"/>
      <c r="H836" s="329"/>
      <c r="I836" s="329"/>
      <c r="J836" s="329"/>
      <c r="K836" s="329"/>
      <c r="L836" s="329"/>
      <c r="M836" s="329"/>
      <c r="N836" s="329"/>
      <c r="O836" s="329"/>
      <c r="P836" s="329"/>
    </row>
    <row r="837">
      <c r="E837" s="329"/>
      <c r="F837" s="329"/>
      <c r="G837" s="329"/>
      <c r="H837" s="329"/>
      <c r="I837" s="329"/>
      <c r="J837" s="329"/>
      <c r="K837" s="329"/>
      <c r="L837" s="329"/>
      <c r="M837" s="329"/>
      <c r="N837" s="329"/>
      <c r="O837" s="329"/>
      <c r="P837" s="329"/>
    </row>
    <row r="838">
      <c r="E838" s="329"/>
      <c r="F838" s="329"/>
      <c r="G838" s="329"/>
      <c r="H838" s="329"/>
      <c r="I838" s="329"/>
      <c r="J838" s="329"/>
      <c r="K838" s="329"/>
      <c r="L838" s="329"/>
      <c r="M838" s="329"/>
      <c r="N838" s="329"/>
      <c r="O838" s="329"/>
      <c r="P838" s="329"/>
    </row>
    <row r="839">
      <c r="E839" s="329"/>
      <c r="F839" s="329"/>
      <c r="G839" s="329"/>
      <c r="H839" s="329"/>
      <c r="I839" s="329"/>
      <c r="J839" s="329"/>
      <c r="K839" s="329"/>
      <c r="L839" s="329"/>
      <c r="M839" s="329"/>
      <c r="N839" s="329"/>
      <c r="O839" s="329"/>
      <c r="P839" s="329"/>
    </row>
    <row r="840">
      <c r="E840" s="329"/>
      <c r="F840" s="329"/>
      <c r="G840" s="329"/>
      <c r="H840" s="329"/>
      <c r="I840" s="329"/>
      <c r="J840" s="329"/>
      <c r="K840" s="329"/>
      <c r="L840" s="329"/>
      <c r="M840" s="329"/>
      <c r="N840" s="329"/>
      <c r="O840" s="329"/>
      <c r="P840" s="329"/>
    </row>
    <row r="841">
      <c r="E841" s="329"/>
      <c r="F841" s="329"/>
      <c r="G841" s="329"/>
      <c r="H841" s="329"/>
      <c r="I841" s="329"/>
      <c r="J841" s="329"/>
      <c r="K841" s="329"/>
      <c r="L841" s="329"/>
      <c r="M841" s="329"/>
      <c r="N841" s="329"/>
      <c r="O841" s="329"/>
      <c r="P841" s="329"/>
    </row>
    <row r="842">
      <c r="E842" s="329"/>
      <c r="F842" s="329"/>
      <c r="G842" s="329"/>
      <c r="H842" s="329"/>
      <c r="I842" s="329"/>
      <c r="J842" s="329"/>
      <c r="K842" s="329"/>
      <c r="L842" s="329"/>
      <c r="M842" s="329"/>
      <c r="N842" s="329"/>
      <c r="O842" s="329"/>
      <c r="P842" s="329"/>
    </row>
    <row r="843">
      <c r="E843" s="329"/>
      <c r="F843" s="329"/>
      <c r="G843" s="329"/>
      <c r="H843" s="329"/>
      <c r="I843" s="329"/>
      <c r="J843" s="329"/>
      <c r="K843" s="329"/>
      <c r="L843" s="329"/>
      <c r="M843" s="329"/>
      <c r="N843" s="329"/>
      <c r="O843" s="329"/>
      <c r="P843" s="329"/>
    </row>
    <row r="844">
      <c r="E844" s="329"/>
      <c r="F844" s="329"/>
      <c r="G844" s="329"/>
      <c r="H844" s="329"/>
      <c r="I844" s="329"/>
      <c r="J844" s="329"/>
      <c r="K844" s="329"/>
      <c r="L844" s="329"/>
      <c r="M844" s="329"/>
      <c r="N844" s="329"/>
      <c r="O844" s="329"/>
      <c r="P844" s="329"/>
    </row>
    <row r="845">
      <c r="E845" s="329"/>
      <c r="F845" s="329"/>
      <c r="G845" s="329"/>
      <c r="H845" s="329"/>
      <c r="I845" s="329"/>
      <c r="J845" s="329"/>
      <c r="K845" s="329"/>
      <c r="L845" s="329"/>
      <c r="M845" s="329"/>
      <c r="N845" s="329"/>
      <c r="O845" s="329"/>
      <c r="P845" s="329"/>
    </row>
    <row r="846">
      <c r="E846" s="329"/>
      <c r="F846" s="329"/>
      <c r="G846" s="329"/>
      <c r="H846" s="329"/>
      <c r="I846" s="329"/>
      <c r="J846" s="329"/>
      <c r="K846" s="329"/>
      <c r="L846" s="329"/>
      <c r="M846" s="329"/>
      <c r="N846" s="329"/>
      <c r="O846" s="329"/>
      <c r="P846" s="329"/>
    </row>
    <row r="847">
      <c r="E847" s="329"/>
      <c r="F847" s="329"/>
      <c r="G847" s="329"/>
      <c r="H847" s="329"/>
      <c r="I847" s="329"/>
      <c r="J847" s="329"/>
      <c r="K847" s="329"/>
      <c r="L847" s="329"/>
      <c r="M847" s="329"/>
      <c r="N847" s="329"/>
      <c r="O847" s="329"/>
      <c r="P847" s="329"/>
    </row>
    <row r="848">
      <c r="E848" s="329"/>
      <c r="F848" s="329"/>
      <c r="G848" s="329"/>
      <c r="H848" s="329"/>
      <c r="I848" s="329"/>
      <c r="J848" s="329"/>
      <c r="K848" s="329"/>
      <c r="L848" s="329"/>
      <c r="M848" s="329"/>
      <c r="N848" s="329"/>
      <c r="O848" s="329"/>
      <c r="P848" s="329"/>
    </row>
    <row r="849">
      <c r="E849" s="329"/>
      <c r="F849" s="329"/>
      <c r="G849" s="329"/>
      <c r="H849" s="329"/>
      <c r="I849" s="329"/>
      <c r="J849" s="329"/>
      <c r="K849" s="329"/>
      <c r="L849" s="329"/>
      <c r="M849" s="329"/>
      <c r="N849" s="329"/>
      <c r="O849" s="329"/>
      <c r="P849" s="329"/>
    </row>
    <row r="850">
      <c r="E850" s="329"/>
      <c r="F850" s="329"/>
      <c r="G850" s="329"/>
      <c r="H850" s="329"/>
      <c r="I850" s="329"/>
      <c r="J850" s="329"/>
      <c r="K850" s="329"/>
      <c r="L850" s="329"/>
      <c r="M850" s="329"/>
      <c r="N850" s="329"/>
      <c r="O850" s="329"/>
      <c r="P850" s="329"/>
    </row>
    <row r="851">
      <c r="E851" s="329"/>
      <c r="F851" s="329"/>
      <c r="G851" s="329"/>
      <c r="H851" s="329"/>
      <c r="I851" s="329"/>
      <c r="J851" s="329"/>
      <c r="K851" s="329"/>
      <c r="L851" s="329"/>
      <c r="M851" s="329"/>
      <c r="N851" s="329"/>
      <c r="O851" s="329"/>
      <c r="P851" s="329"/>
    </row>
    <row r="852">
      <c r="E852" s="329"/>
      <c r="F852" s="329"/>
      <c r="G852" s="329"/>
      <c r="H852" s="329"/>
      <c r="I852" s="329"/>
      <c r="J852" s="329"/>
      <c r="K852" s="329"/>
      <c r="L852" s="329"/>
      <c r="M852" s="329"/>
      <c r="N852" s="329"/>
      <c r="O852" s="329"/>
      <c r="P852" s="329"/>
    </row>
    <row r="853">
      <c r="E853" s="329"/>
      <c r="F853" s="329"/>
      <c r="G853" s="329"/>
      <c r="H853" s="329"/>
      <c r="I853" s="329"/>
      <c r="J853" s="329"/>
      <c r="K853" s="329"/>
      <c r="L853" s="329"/>
      <c r="M853" s="329"/>
      <c r="N853" s="329"/>
      <c r="O853" s="329"/>
      <c r="P853" s="329"/>
    </row>
    <row r="854">
      <c r="E854" s="329"/>
      <c r="F854" s="329"/>
      <c r="G854" s="329"/>
      <c r="H854" s="329"/>
      <c r="I854" s="329"/>
      <c r="J854" s="329"/>
      <c r="K854" s="329"/>
      <c r="L854" s="329"/>
      <c r="M854" s="329"/>
      <c r="N854" s="329"/>
      <c r="O854" s="329"/>
      <c r="P854" s="329"/>
    </row>
    <row r="855">
      <c r="E855" s="329"/>
      <c r="F855" s="329"/>
      <c r="G855" s="329"/>
      <c r="H855" s="329"/>
      <c r="I855" s="329"/>
      <c r="J855" s="329"/>
      <c r="K855" s="329"/>
      <c r="L855" s="329"/>
      <c r="M855" s="329"/>
      <c r="N855" s="329"/>
      <c r="O855" s="329"/>
      <c r="P855" s="329"/>
    </row>
    <row r="856">
      <c r="E856" s="329"/>
      <c r="F856" s="329"/>
      <c r="G856" s="329"/>
      <c r="H856" s="329"/>
      <c r="I856" s="329"/>
      <c r="J856" s="329"/>
      <c r="K856" s="329"/>
      <c r="L856" s="329"/>
      <c r="M856" s="329"/>
      <c r="N856" s="329"/>
      <c r="O856" s="329"/>
      <c r="P856" s="329"/>
    </row>
    <row r="857">
      <c r="E857" s="329"/>
      <c r="F857" s="329"/>
      <c r="G857" s="329"/>
      <c r="H857" s="329"/>
      <c r="I857" s="329"/>
      <c r="J857" s="329"/>
      <c r="K857" s="329"/>
      <c r="L857" s="329"/>
      <c r="M857" s="329"/>
      <c r="N857" s="329"/>
      <c r="O857" s="329"/>
      <c r="P857" s="329"/>
    </row>
    <row r="858">
      <c r="E858" s="329"/>
      <c r="F858" s="329"/>
      <c r="G858" s="329"/>
      <c r="H858" s="329"/>
      <c r="I858" s="329"/>
      <c r="J858" s="329"/>
      <c r="K858" s="329"/>
      <c r="L858" s="329"/>
      <c r="M858" s="329"/>
      <c r="N858" s="329"/>
      <c r="O858" s="329"/>
      <c r="P858" s="329"/>
    </row>
    <row r="859">
      <c r="E859" s="329"/>
      <c r="F859" s="329"/>
      <c r="G859" s="329"/>
      <c r="H859" s="329"/>
      <c r="I859" s="329"/>
      <c r="J859" s="329"/>
      <c r="K859" s="329"/>
      <c r="L859" s="329"/>
      <c r="M859" s="329"/>
      <c r="N859" s="329"/>
      <c r="O859" s="329"/>
      <c r="P859" s="329"/>
    </row>
    <row r="860">
      <c r="E860" s="329"/>
      <c r="F860" s="329"/>
      <c r="G860" s="329"/>
      <c r="H860" s="329"/>
      <c r="I860" s="329"/>
      <c r="J860" s="329"/>
      <c r="K860" s="329"/>
      <c r="L860" s="329"/>
      <c r="M860" s="329"/>
      <c r="N860" s="329"/>
      <c r="O860" s="329"/>
      <c r="P860" s="329"/>
    </row>
    <row r="861">
      <c r="E861" s="329"/>
      <c r="F861" s="329"/>
      <c r="G861" s="329"/>
      <c r="H861" s="329"/>
      <c r="I861" s="329"/>
      <c r="J861" s="329"/>
      <c r="K861" s="329"/>
      <c r="L861" s="329"/>
      <c r="M861" s="329"/>
      <c r="N861" s="329"/>
      <c r="O861" s="329"/>
      <c r="P861" s="329"/>
    </row>
    <row r="862">
      <c r="E862" s="329"/>
      <c r="F862" s="329"/>
      <c r="G862" s="329"/>
      <c r="H862" s="329"/>
      <c r="I862" s="329"/>
      <c r="J862" s="329"/>
      <c r="K862" s="329"/>
      <c r="L862" s="329"/>
      <c r="M862" s="329"/>
      <c r="N862" s="329"/>
      <c r="O862" s="329"/>
      <c r="P862" s="329"/>
    </row>
    <row r="863">
      <c r="E863" s="329"/>
      <c r="F863" s="329"/>
      <c r="G863" s="329"/>
      <c r="H863" s="329"/>
      <c r="I863" s="329"/>
      <c r="J863" s="329"/>
      <c r="K863" s="329"/>
      <c r="L863" s="329"/>
      <c r="M863" s="329"/>
      <c r="N863" s="329"/>
      <c r="O863" s="329"/>
      <c r="P863" s="329"/>
    </row>
    <row r="864">
      <c r="E864" s="329"/>
      <c r="F864" s="329"/>
      <c r="G864" s="329"/>
      <c r="H864" s="329"/>
      <c r="I864" s="329"/>
      <c r="J864" s="329"/>
      <c r="K864" s="329"/>
      <c r="L864" s="329"/>
      <c r="M864" s="329"/>
      <c r="N864" s="329"/>
      <c r="O864" s="329"/>
      <c r="P864" s="329"/>
    </row>
    <row r="865">
      <c r="E865" s="329"/>
      <c r="F865" s="329"/>
      <c r="G865" s="329"/>
      <c r="H865" s="329"/>
      <c r="I865" s="329"/>
      <c r="J865" s="329"/>
      <c r="K865" s="329"/>
      <c r="L865" s="329"/>
      <c r="M865" s="329"/>
      <c r="N865" s="329"/>
      <c r="O865" s="329"/>
      <c r="P865" s="329"/>
    </row>
    <row r="866">
      <c r="E866" s="329"/>
      <c r="F866" s="329"/>
      <c r="G866" s="329"/>
      <c r="H866" s="329"/>
      <c r="I866" s="329"/>
      <c r="J866" s="329"/>
      <c r="K866" s="329"/>
      <c r="L866" s="329"/>
      <c r="M866" s="329"/>
      <c r="N866" s="329"/>
      <c r="O866" s="329"/>
      <c r="P866" s="329"/>
    </row>
    <row r="867">
      <c r="E867" s="329"/>
      <c r="F867" s="329"/>
      <c r="G867" s="329"/>
      <c r="H867" s="329"/>
      <c r="I867" s="329"/>
      <c r="J867" s="329"/>
      <c r="K867" s="329"/>
      <c r="L867" s="329"/>
      <c r="M867" s="329"/>
      <c r="N867" s="329"/>
      <c r="O867" s="329"/>
      <c r="P867" s="329"/>
    </row>
    <row r="868">
      <c r="E868" s="329"/>
      <c r="F868" s="329"/>
      <c r="G868" s="329"/>
      <c r="H868" s="329"/>
      <c r="I868" s="329"/>
      <c r="J868" s="329"/>
      <c r="K868" s="329"/>
      <c r="L868" s="329"/>
      <c r="M868" s="329"/>
      <c r="N868" s="329"/>
      <c r="O868" s="329"/>
      <c r="P868" s="329"/>
    </row>
    <row r="869">
      <c r="E869" s="329"/>
      <c r="F869" s="329"/>
      <c r="G869" s="329"/>
      <c r="H869" s="329"/>
      <c r="I869" s="329"/>
      <c r="J869" s="329"/>
      <c r="K869" s="329"/>
      <c r="L869" s="329"/>
      <c r="M869" s="329"/>
      <c r="N869" s="329"/>
      <c r="O869" s="329"/>
      <c r="P869" s="329"/>
    </row>
    <row r="870">
      <c r="E870" s="329"/>
      <c r="F870" s="329"/>
      <c r="G870" s="329"/>
      <c r="H870" s="329"/>
      <c r="I870" s="329"/>
      <c r="J870" s="329"/>
      <c r="K870" s="329"/>
      <c r="L870" s="329"/>
      <c r="M870" s="329"/>
      <c r="N870" s="329"/>
      <c r="O870" s="329"/>
      <c r="P870" s="329"/>
    </row>
    <row r="871">
      <c r="E871" s="329"/>
      <c r="F871" s="329"/>
      <c r="G871" s="329"/>
      <c r="H871" s="329"/>
      <c r="I871" s="329"/>
      <c r="J871" s="329"/>
      <c r="K871" s="329"/>
      <c r="L871" s="329"/>
      <c r="M871" s="329"/>
      <c r="N871" s="329"/>
      <c r="O871" s="329"/>
      <c r="P871" s="329"/>
    </row>
    <row r="872">
      <c r="E872" s="329"/>
      <c r="F872" s="329"/>
      <c r="G872" s="329"/>
      <c r="H872" s="329"/>
      <c r="I872" s="329"/>
      <c r="J872" s="329"/>
      <c r="K872" s="329"/>
      <c r="L872" s="329"/>
      <c r="M872" s="329"/>
      <c r="N872" s="329"/>
      <c r="O872" s="329"/>
      <c r="P872" s="329"/>
    </row>
    <row r="873">
      <c r="E873" s="329"/>
      <c r="F873" s="329"/>
      <c r="G873" s="329"/>
      <c r="H873" s="329"/>
      <c r="I873" s="329"/>
      <c r="J873" s="329"/>
      <c r="K873" s="329"/>
      <c r="L873" s="329"/>
      <c r="M873" s="329"/>
      <c r="N873" s="329"/>
      <c r="O873" s="329"/>
      <c r="P873" s="329"/>
    </row>
    <row r="874">
      <c r="E874" s="329"/>
      <c r="F874" s="329"/>
      <c r="G874" s="329"/>
      <c r="H874" s="329"/>
      <c r="I874" s="329"/>
      <c r="J874" s="329"/>
      <c r="K874" s="329"/>
      <c r="L874" s="329"/>
      <c r="M874" s="329"/>
      <c r="N874" s="329"/>
      <c r="O874" s="329"/>
      <c r="P874" s="329"/>
    </row>
    <row r="875">
      <c r="E875" s="329"/>
      <c r="F875" s="329"/>
      <c r="G875" s="329"/>
      <c r="H875" s="329"/>
      <c r="I875" s="329"/>
      <c r="J875" s="329"/>
      <c r="K875" s="329"/>
      <c r="L875" s="329"/>
      <c r="M875" s="329"/>
      <c r="N875" s="329"/>
      <c r="O875" s="329"/>
      <c r="P875" s="329"/>
    </row>
    <row r="876">
      <c r="E876" s="329"/>
      <c r="F876" s="329"/>
      <c r="G876" s="329"/>
      <c r="H876" s="329"/>
      <c r="I876" s="329"/>
      <c r="J876" s="329"/>
      <c r="K876" s="329"/>
      <c r="L876" s="329"/>
      <c r="M876" s="329"/>
      <c r="N876" s="329"/>
      <c r="O876" s="329"/>
      <c r="P876" s="329"/>
    </row>
    <row r="877">
      <c r="E877" s="329"/>
      <c r="F877" s="329"/>
      <c r="G877" s="329"/>
      <c r="H877" s="329"/>
      <c r="I877" s="329"/>
      <c r="J877" s="329"/>
      <c r="K877" s="329"/>
      <c r="L877" s="329"/>
      <c r="M877" s="329"/>
      <c r="N877" s="329"/>
      <c r="O877" s="329"/>
      <c r="P877" s="329"/>
    </row>
    <row r="878">
      <c r="E878" s="329"/>
      <c r="F878" s="329"/>
      <c r="G878" s="329"/>
      <c r="H878" s="329"/>
      <c r="I878" s="329"/>
      <c r="J878" s="329"/>
      <c r="K878" s="329"/>
      <c r="L878" s="329"/>
      <c r="M878" s="329"/>
      <c r="N878" s="329"/>
      <c r="O878" s="329"/>
      <c r="P878" s="329"/>
    </row>
    <row r="879">
      <c r="E879" s="329"/>
      <c r="F879" s="329"/>
      <c r="G879" s="329"/>
      <c r="H879" s="329"/>
      <c r="I879" s="329"/>
      <c r="J879" s="329"/>
      <c r="K879" s="329"/>
      <c r="L879" s="329"/>
      <c r="M879" s="329"/>
      <c r="N879" s="329"/>
      <c r="O879" s="329"/>
      <c r="P879" s="329"/>
    </row>
    <row r="880">
      <c r="E880" s="329"/>
      <c r="F880" s="329"/>
      <c r="G880" s="329"/>
      <c r="H880" s="329"/>
      <c r="I880" s="329"/>
      <c r="J880" s="329"/>
      <c r="K880" s="329"/>
      <c r="L880" s="329"/>
      <c r="M880" s="329"/>
      <c r="N880" s="329"/>
      <c r="O880" s="329"/>
      <c r="P880" s="329"/>
    </row>
    <row r="881">
      <c r="E881" s="329"/>
      <c r="F881" s="329"/>
      <c r="G881" s="329"/>
      <c r="H881" s="329"/>
      <c r="I881" s="329"/>
      <c r="J881" s="329"/>
      <c r="K881" s="329"/>
      <c r="L881" s="329"/>
      <c r="M881" s="329"/>
      <c r="N881" s="329"/>
      <c r="O881" s="329"/>
      <c r="P881" s="329"/>
    </row>
    <row r="882">
      <c r="E882" s="329"/>
      <c r="F882" s="329"/>
      <c r="G882" s="329"/>
      <c r="H882" s="329"/>
      <c r="I882" s="329"/>
      <c r="J882" s="329"/>
      <c r="K882" s="329"/>
      <c r="L882" s="329"/>
      <c r="M882" s="329"/>
      <c r="N882" s="329"/>
      <c r="O882" s="329"/>
      <c r="P882" s="329"/>
    </row>
    <row r="883">
      <c r="E883" s="329"/>
      <c r="F883" s="329"/>
      <c r="G883" s="329"/>
      <c r="H883" s="329"/>
      <c r="I883" s="329"/>
      <c r="J883" s="329"/>
      <c r="K883" s="329"/>
      <c r="L883" s="329"/>
      <c r="M883" s="329"/>
      <c r="N883" s="329"/>
      <c r="O883" s="329"/>
      <c r="P883" s="329"/>
    </row>
    <row r="884">
      <c r="E884" s="329"/>
      <c r="F884" s="329"/>
      <c r="G884" s="329"/>
      <c r="H884" s="329"/>
      <c r="I884" s="329"/>
      <c r="J884" s="329"/>
      <c r="K884" s="329"/>
      <c r="L884" s="329"/>
      <c r="M884" s="329"/>
      <c r="N884" s="329"/>
      <c r="O884" s="329"/>
      <c r="P884" s="329"/>
    </row>
    <row r="885">
      <c r="E885" s="329"/>
      <c r="F885" s="329"/>
      <c r="G885" s="329"/>
      <c r="H885" s="329"/>
      <c r="I885" s="329"/>
      <c r="J885" s="329"/>
      <c r="K885" s="329"/>
      <c r="L885" s="329"/>
      <c r="M885" s="329"/>
      <c r="N885" s="329"/>
      <c r="O885" s="329"/>
      <c r="P885" s="329"/>
    </row>
    <row r="886">
      <c r="E886" s="329"/>
      <c r="F886" s="329"/>
      <c r="G886" s="329"/>
      <c r="H886" s="329"/>
      <c r="I886" s="329"/>
      <c r="J886" s="329"/>
      <c r="K886" s="329"/>
      <c r="L886" s="329"/>
      <c r="M886" s="329"/>
      <c r="N886" s="329"/>
      <c r="O886" s="329"/>
      <c r="P886" s="329"/>
    </row>
    <row r="887">
      <c r="E887" s="329"/>
      <c r="F887" s="329"/>
      <c r="G887" s="329"/>
      <c r="H887" s="329"/>
      <c r="I887" s="329"/>
      <c r="J887" s="329"/>
      <c r="K887" s="329"/>
      <c r="L887" s="329"/>
      <c r="M887" s="329"/>
      <c r="N887" s="329"/>
      <c r="O887" s="329"/>
      <c r="P887" s="329"/>
    </row>
    <row r="888">
      <c r="E888" s="329"/>
      <c r="F888" s="329"/>
      <c r="G888" s="329"/>
      <c r="H888" s="329"/>
      <c r="I888" s="329"/>
      <c r="J888" s="329"/>
      <c r="K888" s="329"/>
      <c r="L888" s="329"/>
      <c r="M888" s="329"/>
      <c r="N888" s="329"/>
      <c r="O888" s="329"/>
      <c r="P888" s="329"/>
    </row>
    <row r="889">
      <c r="E889" s="329"/>
      <c r="F889" s="329"/>
      <c r="G889" s="329"/>
      <c r="H889" s="329"/>
      <c r="I889" s="329"/>
      <c r="J889" s="329"/>
      <c r="K889" s="329"/>
      <c r="L889" s="329"/>
      <c r="M889" s="329"/>
      <c r="N889" s="329"/>
      <c r="O889" s="329"/>
      <c r="P889" s="329"/>
    </row>
    <row r="890">
      <c r="E890" s="329"/>
      <c r="F890" s="329"/>
      <c r="G890" s="329"/>
      <c r="H890" s="329"/>
      <c r="I890" s="329"/>
      <c r="J890" s="329"/>
      <c r="K890" s="329"/>
      <c r="L890" s="329"/>
      <c r="M890" s="329"/>
      <c r="N890" s="329"/>
      <c r="O890" s="329"/>
      <c r="P890" s="329"/>
    </row>
    <row r="891">
      <c r="E891" s="329"/>
      <c r="F891" s="329"/>
      <c r="G891" s="329"/>
      <c r="H891" s="329"/>
      <c r="I891" s="329"/>
      <c r="J891" s="329"/>
      <c r="K891" s="329"/>
      <c r="L891" s="329"/>
      <c r="M891" s="329"/>
      <c r="N891" s="329"/>
      <c r="O891" s="329"/>
      <c r="P891" s="329"/>
    </row>
    <row r="892">
      <c r="E892" s="329"/>
      <c r="F892" s="329"/>
      <c r="G892" s="329"/>
      <c r="H892" s="329"/>
      <c r="I892" s="329"/>
      <c r="J892" s="329"/>
      <c r="K892" s="329"/>
      <c r="L892" s="329"/>
      <c r="M892" s="329"/>
      <c r="N892" s="329"/>
      <c r="O892" s="329"/>
      <c r="P892" s="329"/>
    </row>
    <row r="893">
      <c r="E893" s="329"/>
      <c r="F893" s="329"/>
      <c r="G893" s="329"/>
      <c r="H893" s="329"/>
      <c r="I893" s="329"/>
      <c r="J893" s="329"/>
      <c r="K893" s="329"/>
      <c r="L893" s="329"/>
      <c r="M893" s="329"/>
      <c r="N893" s="329"/>
      <c r="O893" s="329"/>
      <c r="P893" s="329"/>
    </row>
    <row r="894">
      <c r="E894" s="329"/>
      <c r="F894" s="329"/>
      <c r="G894" s="329"/>
      <c r="H894" s="329"/>
      <c r="I894" s="329"/>
      <c r="J894" s="329"/>
      <c r="K894" s="329"/>
      <c r="L894" s="329"/>
      <c r="M894" s="329"/>
      <c r="N894" s="329"/>
      <c r="O894" s="329"/>
      <c r="P894" s="329"/>
    </row>
    <row r="895"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</row>
    <row r="896">
      <c r="E896" s="329"/>
      <c r="F896" s="329"/>
      <c r="G896" s="329"/>
      <c r="H896" s="329"/>
      <c r="I896" s="329"/>
      <c r="J896" s="329"/>
      <c r="K896" s="329"/>
      <c r="L896" s="329"/>
      <c r="M896" s="329"/>
      <c r="N896" s="329"/>
      <c r="O896" s="329"/>
      <c r="P896" s="329"/>
    </row>
    <row r="897">
      <c r="E897" s="329"/>
      <c r="F897" s="329"/>
      <c r="G897" s="329"/>
      <c r="H897" s="329"/>
      <c r="I897" s="329"/>
      <c r="J897" s="329"/>
      <c r="K897" s="329"/>
      <c r="L897" s="329"/>
      <c r="M897" s="329"/>
      <c r="N897" s="329"/>
      <c r="O897" s="329"/>
      <c r="P897" s="329"/>
    </row>
    <row r="898">
      <c r="E898" s="329"/>
      <c r="F898" s="329"/>
      <c r="G898" s="329"/>
      <c r="H898" s="329"/>
      <c r="I898" s="329"/>
      <c r="J898" s="329"/>
      <c r="K898" s="329"/>
      <c r="L898" s="329"/>
      <c r="M898" s="329"/>
      <c r="N898" s="329"/>
      <c r="O898" s="329"/>
      <c r="P898" s="329"/>
    </row>
    <row r="899">
      <c r="E899" s="329"/>
      <c r="F899" s="329"/>
      <c r="G899" s="329"/>
      <c r="H899" s="329"/>
      <c r="I899" s="329"/>
      <c r="J899" s="329"/>
      <c r="K899" s="329"/>
      <c r="L899" s="329"/>
      <c r="M899" s="329"/>
      <c r="N899" s="329"/>
      <c r="O899" s="329"/>
      <c r="P899" s="329"/>
    </row>
    <row r="900">
      <c r="E900" s="329"/>
      <c r="F900" s="329"/>
      <c r="G900" s="329"/>
      <c r="H900" s="329"/>
      <c r="I900" s="329"/>
      <c r="J900" s="329"/>
      <c r="K900" s="329"/>
      <c r="L900" s="329"/>
      <c r="M900" s="329"/>
      <c r="N900" s="329"/>
      <c r="O900" s="329"/>
      <c r="P900" s="329"/>
    </row>
    <row r="901">
      <c r="E901" s="329"/>
      <c r="F901" s="329"/>
      <c r="G901" s="329"/>
      <c r="H901" s="329"/>
      <c r="I901" s="329"/>
      <c r="J901" s="329"/>
      <c r="K901" s="329"/>
      <c r="L901" s="329"/>
      <c r="M901" s="329"/>
      <c r="N901" s="329"/>
      <c r="O901" s="329"/>
      <c r="P901" s="329"/>
    </row>
    <row r="902">
      <c r="E902" s="329"/>
      <c r="F902" s="329"/>
      <c r="G902" s="329"/>
      <c r="H902" s="329"/>
      <c r="I902" s="329"/>
      <c r="J902" s="329"/>
      <c r="K902" s="329"/>
      <c r="L902" s="329"/>
      <c r="M902" s="329"/>
      <c r="N902" s="329"/>
      <c r="O902" s="329"/>
      <c r="P902" s="329"/>
    </row>
    <row r="903">
      <c r="E903" s="329"/>
      <c r="F903" s="329"/>
      <c r="G903" s="329"/>
      <c r="H903" s="329"/>
      <c r="I903" s="329"/>
      <c r="J903" s="329"/>
      <c r="K903" s="329"/>
      <c r="L903" s="329"/>
      <c r="M903" s="329"/>
      <c r="N903" s="329"/>
      <c r="O903" s="329"/>
      <c r="P903" s="329"/>
    </row>
    <row r="904">
      <c r="E904" s="329"/>
      <c r="F904" s="329"/>
      <c r="G904" s="329"/>
      <c r="H904" s="329"/>
      <c r="I904" s="329"/>
      <c r="J904" s="329"/>
      <c r="K904" s="329"/>
      <c r="L904" s="329"/>
      <c r="M904" s="329"/>
      <c r="N904" s="329"/>
      <c r="O904" s="329"/>
      <c r="P904" s="329"/>
    </row>
    <row r="905">
      <c r="E905" s="329"/>
      <c r="F905" s="329"/>
      <c r="G905" s="329"/>
      <c r="H905" s="329"/>
      <c r="I905" s="329"/>
      <c r="J905" s="329"/>
      <c r="K905" s="329"/>
      <c r="L905" s="329"/>
      <c r="M905" s="329"/>
      <c r="N905" s="329"/>
      <c r="O905" s="329"/>
      <c r="P905" s="329"/>
    </row>
    <row r="906">
      <c r="E906" s="329"/>
      <c r="F906" s="329"/>
      <c r="G906" s="329"/>
      <c r="H906" s="329"/>
      <c r="I906" s="329"/>
      <c r="J906" s="329"/>
      <c r="K906" s="329"/>
      <c r="L906" s="329"/>
      <c r="M906" s="329"/>
      <c r="N906" s="329"/>
      <c r="O906" s="329"/>
      <c r="P906" s="329"/>
    </row>
    <row r="907">
      <c r="E907" s="329"/>
      <c r="F907" s="329"/>
      <c r="G907" s="329"/>
      <c r="H907" s="329"/>
      <c r="I907" s="329"/>
      <c r="J907" s="329"/>
      <c r="K907" s="329"/>
      <c r="L907" s="329"/>
      <c r="M907" s="329"/>
      <c r="N907" s="329"/>
      <c r="O907" s="329"/>
      <c r="P907" s="329"/>
    </row>
    <row r="908">
      <c r="E908" s="329"/>
      <c r="F908" s="329"/>
      <c r="G908" s="329"/>
      <c r="H908" s="329"/>
      <c r="I908" s="329"/>
      <c r="J908" s="329"/>
      <c r="K908" s="329"/>
      <c r="L908" s="329"/>
      <c r="M908" s="329"/>
      <c r="N908" s="329"/>
      <c r="O908" s="329"/>
      <c r="P908" s="329"/>
    </row>
    <row r="909">
      <c r="E909" s="329"/>
      <c r="F909" s="329"/>
      <c r="G909" s="329"/>
      <c r="H909" s="329"/>
      <c r="I909" s="329"/>
      <c r="J909" s="329"/>
      <c r="K909" s="329"/>
      <c r="L909" s="329"/>
      <c r="M909" s="329"/>
      <c r="N909" s="329"/>
      <c r="O909" s="329"/>
      <c r="P909" s="329"/>
    </row>
    <row r="910">
      <c r="E910" s="329"/>
      <c r="F910" s="329"/>
      <c r="G910" s="329"/>
      <c r="H910" s="329"/>
      <c r="I910" s="329"/>
      <c r="J910" s="329"/>
      <c r="K910" s="329"/>
      <c r="L910" s="329"/>
      <c r="M910" s="329"/>
      <c r="N910" s="329"/>
      <c r="O910" s="329"/>
      <c r="P910" s="329"/>
    </row>
    <row r="911">
      <c r="E911" s="329"/>
      <c r="F911" s="329"/>
      <c r="G911" s="329"/>
      <c r="H911" s="329"/>
      <c r="I911" s="329"/>
      <c r="J911" s="329"/>
      <c r="K911" s="329"/>
      <c r="L911" s="329"/>
      <c r="M911" s="329"/>
      <c r="N911" s="329"/>
      <c r="O911" s="329"/>
      <c r="P911" s="329"/>
    </row>
    <row r="912">
      <c r="E912" s="329"/>
      <c r="F912" s="329"/>
      <c r="G912" s="329"/>
      <c r="H912" s="329"/>
      <c r="I912" s="329"/>
      <c r="J912" s="329"/>
      <c r="K912" s="329"/>
      <c r="L912" s="329"/>
      <c r="M912" s="329"/>
      <c r="N912" s="329"/>
      <c r="O912" s="329"/>
      <c r="P912" s="329"/>
    </row>
    <row r="913">
      <c r="E913" s="329"/>
      <c r="F913" s="329"/>
      <c r="G913" s="329"/>
      <c r="H913" s="329"/>
      <c r="I913" s="329"/>
      <c r="J913" s="329"/>
      <c r="K913" s="329"/>
      <c r="L913" s="329"/>
      <c r="M913" s="329"/>
      <c r="N913" s="329"/>
      <c r="O913" s="329"/>
      <c r="P913" s="329"/>
    </row>
    <row r="914">
      <c r="E914" s="329"/>
      <c r="F914" s="329"/>
      <c r="G914" s="329"/>
      <c r="H914" s="329"/>
      <c r="I914" s="329"/>
      <c r="J914" s="329"/>
      <c r="K914" s="329"/>
      <c r="L914" s="329"/>
      <c r="M914" s="329"/>
      <c r="N914" s="329"/>
      <c r="O914" s="329"/>
      <c r="P914" s="329"/>
    </row>
    <row r="915">
      <c r="E915" s="329"/>
      <c r="F915" s="329"/>
      <c r="G915" s="329"/>
      <c r="H915" s="329"/>
      <c r="I915" s="329"/>
      <c r="J915" s="329"/>
      <c r="K915" s="329"/>
      <c r="L915" s="329"/>
      <c r="M915" s="329"/>
      <c r="N915" s="329"/>
      <c r="O915" s="329"/>
      <c r="P915" s="329"/>
    </row>
    <row r="916">
      <c r="E916" s="329"/>
      <c r="F916" s="329"/>
      <c r="G916" s="329"/>
      <c r="H916" s="329"/>
      <c r="I916" s="329"/>
      <c r="J916" s="329"/>
      <c r="K916" s="329"/>
      <c r="L916" s="329"/>
      <c r="M916" s="329"/>
      <c r="N916" s="329"/>
      <c r="O916" s="329"/>
      <c r="P916" s="329"/>
    </row>
    <row r="917">
      <c r="E917" s="329"/>
      <c r="F917" s="329"/>
      <c r="G917" s="329"/>
      <c r="H917" s="329"/>
      <c r="I917" s="329"/>
      <c r="J917" s="329"/>
      <c r="K917" s="329"/>
      <c r="L917" s="329"/>
      <c r="M917" s="329"/>
      <c r="N917" s="329"/>
      <c r="O917" s="329"/>
      <c r="P917" s="329"/>
    </row>
    <row r="918">
      <c r="E918" s="329"/>
      <c r="F918" s="329"/>
      <c r="G918" s="329"/>
      <c r="H918" s="329"/>
      <c r="I918" s="329"/>
      <c r="J918" s="329"/>
      <c r="K918" s="329"/>
      <c r="L918" s="329"/>
      <c r="M918" s="329"/>
      <c r="N918" s="329"/>
      <c r="O918" s="329"/>
      <c r="P918" s="329"/>
    </row>
    <row r="919">
      <c r="E919" s="329"/>
      <c r="F919" s="329"/>
      <c r="G919" s="329"/>
      <c r="H919" s="329"/>
      <c r="I919" s="329"/>
      <c r="J919" s="329"/>
      <c r="K919" s="329"/>
      <c r="L919" s="329"/>
      <c r="M919" s="329"/>
      <c r="N919" s="329"/>
      <c r="O919" s="329"/>
      <c r="P919" s="329"/>
    </row>
    <row r="920">
      <c r="E920" s="329"/>
      <c r="F920" s="329"/>
      <c r="G920" s="329"/>
      <c r="H920" s="329"/>
      <c r="I920" s="329"/>
      <c r="J920" s="329"/>
      <c r="K920" s="329"/>
      <c r="L920" s="329"/>
      <c r="M920" s="329"/>
      <c r="N920" s="329"/>
      <c r="O920" s="329"/>
      <c r="P920" s="329"/>
    </row>
    <row r="921">
      <c r="E921" s="329"/>
      <c r="F921" s="329"/>
      <c r="G921" s="329"/>
      <c r="H921" s="329"/>
      <c r="I921" s="329"/>
      <c r="J921" s="329"/>
      <c r="K921" s="329"/>
      <c r="L921" s="329"/>
      <c r="M921" s="329"/>
      <c r="N921" s="329"/>
      <c r="O921" s="329"/>
      <c r="P921" s="329"/>
    </row>
    <row r="922">
      <c r="E922" s="329"/>
      <c r="F922" s="329"/>
      <c r="G922" s="329"/>
      <c r="H922" s="329"/>
      <c r="I922" s="329"/>
      <c r="J922" s="329"/>
      <c r="K922" s="329"/>
      <c r="L922" s="329"/>
      <c r="M922" s="329"/>
      <c r="N922" s="329"/>
      <c r="O922" s="329"/>
      <c r="P922" s="329"/>
    </row>
    <row r="923">
      <c r="E923" s="329"/>
      <c r="F923" s="329"/>
      <c r="G923" s="329"/>
      <c r="H923" s="329"/>
      <c r="I923" s="329"/>
      <c r="J923" s="329"/>
      <c r="K923" s="329"/>
      <c r="L923" s="329"/>
      <c r="M923" s="329"/>
      <c r="N923" s="329"/>
      <c r="O923" s="329"/>
      <c r="P923" s="329"/>
    </row>
    <row r="924">
      <c r="E924" s="329"/>
      <c r="F924" s="329"/>
      <c r="G924" s="329"/>
      <c r="H924" s="329"/>
      <c r="I924" s="329"/>
      <c r="J924" s="329"/>
      <c r="K924" s="329"/>
      <c r="L924" s="329"/>
      <c r="M924" s="329"/>
      <c r="N924" s="329"/>
      <c r="O924" s="329"/>
      <c r="P924" s="329"/>
    </row>
    <row r="925">
      <c r="E925" s="329"/>
      <c r="F925" s="329"/>
      <c r="G925" s="329"/>
      <c r="H925" s="329"/>
      <c r="I925" s="329"/>
      <c r="J925" s="329"/>
      <c r="K925" s="329"/>
      <c r="L925" s="329"/>
      <c r="M925" s="329"/>
      <c r="N925" s="329"/>
      <c r="O925" s="329"/>
      <c r="P925" s="329"/>
    </row>
    <row r="926">
      <c r="E926" s="329"/>
      <c r="F926" s="329"/>
      <c r="G926" s="329"/>
      <c r="H926" s="329"/>
      <c r="I926" s="329"/>
      <c r="J926" s="329"/>
      <c r="K926" s="329"/>
      <c r="L926" s="329"/>
      <c r="M926" s="329"/>
      <c r="N926" s="329"/>
      <c r="O926" s="329"/>
      <c r="P926" s="329"/>
    </row>
    <row r="927">
      <c r="E927" s="329"/>
      <c r="F927" s="329"/>
      <c r="G927" s="329"/>
      <c r="H927" s="329"/>
      <c r="I927" s="329"/>
      <c r="J927" s="329"/>
      <c r="K927" s="329"/>
      <c r="L927" s="329"/>
      <c r="M927" s="329"/>
      <c r="N927" s="329"/>
      <c r="O927" s="329"/>
      <c r="P927" s="329"/>
    </row>
    <row r="928">
      <c r="E928" s="329"/>
      <c r="F928" s="329"/>
      <c r="G928" s="329"/>
      <c r="H928" s="329"/>
      <c r="I928" s="329"/>
      <c r="J928" s="329"/>
      <c r="K928" s="329"/>
      <c r="L928" s="329"/>
      <c r="M928" s="329"/>
      <c r="N928" s="329"/>
      <c r="O928" s="329"/>
      <c r="P928" s="329"/>
    </row>
    <row r="929">
      <c r="E929" s="329"/>
      <c r="F929" s="329"/>
      <c r="G929" s="329"/>
      <c r="H929" s="329"/>
      <c r="I929" s="329"/>
      <c r="J929" s="329"/>
      <c r="K929" s="329"/>
      <c r="L929" s="329"/>
      <c r="M929" s="329"/>
      <c r="N929" s="329"/>
      <c r="O929" s="329"/>
      <c r="P929" s="329"/>
    </row>
    <row r="930">
      <c r="E930" s="329"/>
      <c r="F930" s="329"/>
      <c r="G930" s="329"/>
      <c r="H930" s="329"/>
      <c r="I930" s="329"/>
      <c r="J930" s="329"/>
      <c r="K930" s="329"/>
      <c r="L930" s="329"/>
      <c r="M930" s="329"/>
      <c r="N930" s="329"/>
      <c r="O930" s="329"/>
      <c r="P930" s="329"/>
    </row>
    <row r="931">
      <c r="E931" s="329"/>
      <c r="F931" s="329"/>
      <c r="G931" s="329"/>
      <c r="H931" s="329"/>
      <c r="I931" s="329"/>
      <c r="J931" s="329"/>
      <c r="K931" s="329"/>
      <c r="L931" s="329"/>
      <c r="M931" s="329"/>
      <c r="N931" s="329"/>
      <c r="O931" s="329"/>
      <c r="P931" s="329"/>
    </row>
    <row r="932">
      <c r="E932" s="329"/>
      <c r="F932" s="329"/>
      <c r="G932" s="329"/>
      <c r="H932" s="329"/>
      <c r="I932" s="329"/>
      <c r="J932" s="329"/>
      <c r="K932" s="329"/>
      <c r="L932" s="329"/>
      <c r="M932" s="329"/>
      <c r="N932" s="329"/>
      <c r="O932" s="329"/>
      <c r="P932" s="329"/>
    </row>
    <row r="933">
      <c r="E933" s="329"/>
      <c r="F933" s="329"/>
      <c r="G933" s="329"/>
      <c r="H933" s="329"/>
      <c r="I933" s="329"/>
      <c r="J933" s="329"/>
      <c r="K933" s="329"/>
      <c r="L933" s="329"/>
      <c r="M933" s="329"/>
      <c r="N933" s="329"/>
      <c r="O933" s="329"/>
      <c r="P933" s="329"/>
    </row>
    <row r="934">
      <c r="E934" s="329"/>
      <c r="F934" s="329"/>
      <c r="G934" s="329"/>
      <c r="H934" s="329"/>
      <c r="I934" s="329"/>
      <c r="J934" s="329"/>
      <c r="K934" s="329"/>
      <c r="L934" s="329"/>
      <c r="M934" s="329"/>
      <c r="N934" s="329"/>
      <c r="O934" s="329"/>
      <c r="P934" s="329"/>
    </row>
    <row r="935">
      <c r="E935" s="329"/>
      <c r="F935" s="329"/>
      <c r="G935" s="329"/>
      <c r="H935" s="329"/>
      <c r="I935" s="329"/>
      <c r="J935" s="329"/>
      <c r="K935" s="329"/>
      <c r="L935" s="329"/>
      <c r="M935" s="329"/>
      <c r="N935" s="329"/>
      <c r="O935" s="329"/>
      <c r="P935" s="329"/>
    </row>
    <row r="936">
      <c r="E936" s="329"/>
      <c r="F936" s="329"/>
      <c r="G936" s="329"/>
      <c r="H936" s="329"/>
      <c r="I936" s="329"/>
      <c r="J936" s="329"/>
      <c r="K936" s="329"/>
      <c r="L936" s="329"/>
      <c r="M936" s="329"/>
      <c r="N936" s="329"/>
      <c r="O936" s="329"/>
      <c r="P936" s="329"/>
    </row>
    <row r="937">
      <c r="E937" s="329"/>
      <c r="F937" s="329"/>
      <c r="G937" s="329"/>
      <c r="H937" s="329"/>
      <c r="I937" s="329"/>
      <c r="J937" s="329"/>
      <c r="K937" s="329"/>
      <c r="L937" s="329"/>
      <c r="M937" s="329"/>
      <c r="N937" s="329"/>
      <c r="O937" s="329"/>
      <c r="P937" s="329"/>
    </row>
    <row r="938">
      <c r="E938" s="329"/>
      <c r="F938" s="329"/>
      <c r="G938" s="329"/>
      <c r="H938" s="329"/>
      <c r="I938" s="329"/>
      <c r="J938" s="329"/>
      <c r="K938" s="329"/>
      <c r="L938" s="329"/>
      <c r="M938" s="329"/>
      <c r="N938" s="329"/>
      <c r="O938" s="329"/>
      <c r="P938" s="329"/>
    </row>
    <row r="939">
      <c r="E939" s="329"/>
      <c r="F939" s="329"/>
      <c r="G939" s="329"/>
      <c r="H939" s="329"/>
      <c r="I939" s="329"/>
      <c r="J939" s="329"/>
      <c r="K939" s="329"/>
      <c r="L939" s="329"/>
      <c r="M939" s="329"/>
      <c r="N939" s="329"/>
      <c r="O939" s="329"/>
      <c r="P939" s="329"/>
    </row>
    <row r="940">
      <c r="E940" s="329"/>
      <c r="F940" s="329"/>
      <c r="G940" s="329"/>
      <c r="H940" s="329"/>
      <c r="I940" s="329"/>
      <c r="J940" s="329"/>
      <c r="K940" s="329"/>
      <c r="L940" s="329"/>
      <c r="M940" s="329"/>
      <c r="N940" s="329"/>
      <c r="O940" s="329"/>
      <c r="P940" s="329"/>
    </row>
    <row r="941">
      <c r="E941" s="329"/>
      <c r="F941" s="329"/>
      <c r="G941" s="329"/>
      <c r="H941" s="329"/>
      <c r="I941" s="329"/>
      <c r="J941" s="329"/>
      <c r="K941" s="329"/>
      <c r="L941" s="329"/>
      <c r="M941" s="329"/>
      <c r="N941" s="329"/>
      <c r="O941" s="329"/>
      <c r="P941" s="329"/>
    </row>
    <row r="942">
      <c r="E942" s="329"/>
      <c r="F942" s="329"/>
      <c r="G942" s="329"/>
      <c r="H942" s="329"/>
      <c r="I942" s="329"/>
      <c r="J942" s="329"/>
      <c r="K942" s="329"/>
      <c r="L942" s="329"/>
      <c r="M942" s="329"/>
      <c r="N942" s="329"/>
      <c r="O942" s="329"/>
      <c r="P942" s="329"/>
    </row>
    <row r="943">
      <c r="E943" s="329"/>
      <c r="F943" s="329"/>
      <c r="G943" s="329"/>
      <c r="H943" s="329"/>
      <c r="I943" s="329"/>
      <c r="J943" s="329"/>
      <c r="K943" s="329"/>
      <c r="L943" s="329"/>
      <c r="M943" s="329"/>
      <c r="N943" s="329"/>
      <c r="O943" s="329"/>
      <c r="P943" s="329"/>
    </row>
    <row r="944">
      <c r="E944" s="329"/>
      <c r="F944" s="329"/>
      <c r="G944" s="329"/>
      <c r="H944" s="329"/>
      <c r="I944" s="329"/>
      <c r="J944" s="329"/>
      <c r="K944" s="329"/>
      <c r="L944" s="329"/>
      <c r="M944" s="329"/>
      <c r="N944" s="329"/>
      <c r="O944" s="329"/>
      <c r="P944" s="329"/>
    </row>
    <row r="945">
      <c r="E945" s="329"/>
      <c r="F945" s="329"/>
      <c r="G945" s="329"/>
      <c r="H945" s="329"/>
      <c r="I945" s="329"/>
      <c r="J945" s="329"/>
      <c r="K945" s="329"/>
      <c r="L945" s="329"/>
      <c r="M945" s="329"/>
      <c r="N945" s="329"/>
      <c r="O945" s="329"/>
      <c r="P945" s="329"/>
    </row>
    <row r="946">
      <c r="E946" s="329"/>
      <c r="F946" s="329"/>
      <c r="G946" s="329"/>
      <c r="H946" s="329"/>
      <c r="I946" s="329"/>
      <c r="J946" s="329"/>
      <c r="K946" s="329"/>
      <c r="L946" s="329"/>
      <c r="M946" s="329"/>
      <c r="N946" s="329"/>
      <c r="O946" s="329"/>
      <c r="P946" s="329"/>
    </row>
    <row r="947">
      <c r="E947" s="329"/>
      <c r="F947" s="329"/>
      <c r="G947" s="329"/>
      <c r="H947" s="329"/>
      <c r="I947" s="329"/>
      <c r="J947" s="329"/>
      <c r="K947" s="329"/>
      <c r="L947" s="329"/>
      <c r="M947" s="329"/>
      <c r="N947" s="329"/>
      <c r="O947" s="329"/>
      <c r="P947" s="329"/>
    </row>
    <row r="948">
      <c r="E948" s="329"/>
      <c r="F948" s="329"/>
      <c r="G948" s="329"/>
      <c r="H948" s="329"/>
      <c r="I948" s="329"/>
      <c r="J948" s="329"/>
      <c r="K948" s="329"/>
      <c r="L948" s="329"/>
      <c r="M948" s="329"/>
      <c r="N948" s="329"/>
      <c r="O948" s="329"/>
      <c r="P948" s="329"/>
    </row>
    <row r="949">
      <c r="E949" s="329"/>
      <c r="F949" s="329"/>
      <c r="G949" s="329"/>
      <c r="H949" s="329"/>
      <c r="I949" s="329"/>
      <c r="J949" s="329"/>
      <c r="K949" s="329"/>
      <c r="L949" s="329"/>
      <c r="M949" s="329"/>
      <c r="N949" s="329"/>
      <c r="O949" s="329"/>
      <c r="P949" s="329"/>
    </row>
    <row r="950">
      <c r="E950" s="329"/>
      <c r="F950" s="329"/>
      <c r="G950" s="329"/>
      <c r="H950" s="329"/>
      <c r="I950" s="329"/>
      <c r="J950" s="329"/>
      <c r="K950" s="329"/>
      <c r="L950" s="329"/>
      <c r="M950" s="329"/>
      <c r="N950" s="329"/>
      <c r="O950" s="329"/>
      <c r="P950" s="329"/>
    </row>
    <row r="951">
      <c r="E951" s="329"/>
      <c r="F951" s="329"/>
      <c r="G951" s="329"/>
      <c r="H951" s="329"/>
      <c r="I951" s="329"/>
      <c r="J951" s="329"/>
      <c r="K951" s="329"/>
      <c r="L951" s="329"/>
      <c r="M951" s="329"/>
      <c r="N951" s="329"/>
      <c r="O951" s="329"/>
      <c r="P951" s="329"/>
    </row>
    <row r="952">
      <c r="E952" s="329"/>
      <c r="F952" s="329"/>
      <c r="G952" s="329"/>
      <c r="H952" s="329"/>
      <c r="I952" s="329"/>
      <c r="J952" s="329"/>
      <c r="K952" s="329"/>
      <c r="L952" s="329"/>
      <c r="M952" s="329"/>
      <c r="N952" s="329"/>
      <c r="O952" s="329"/>
      <c r="P952" s="329"/>
    </row>
    <row r="953">
      <c r="E953" s="329"/>
      <c r="F953" s="329"/>
      <c r="G953" s="329"/>
      <c r="H953" s="329"/>
      <c r="I953" s="329"/>
      <c r="J953" s="329"/>
      <c r="K953" s="329"/>
      <c r="L953" s="329"/>
      <c r="M953" s="329"/>
      <c r="N953" s="329"/>
      <c r="O953" s="329"/>
      <c r="P953" s="329"/>
    </row>
    <row r="954">
      <c r="E954" s="329"/>
      <c r="F954" s="329"/>
      <c r="G954" s="329"/>
      <c r="H954" s="329"/>
      <c r="I954" s="329"/>
      <c r="J954" s="329"/>
      <c r="K954" s="329"/>
      <c r="L954" s="329"/>
      <c r="M954" s="329"/>
      <c r="N954" s="329"/>
      <c r="O954" s="329"/>
      <c r="P954" s="329"/>
    </row>
    <row r="955">
      <c r="E955" s="329"/>
      <c r="F955" s="329"/>
      <c r="G955" s="329"/>
      <c r="H955" s="329"/>
      <c r="I955" s="329"/>
      <c r="J955" s="329"/>
      <c r="K955" s="329"/>
      <c r="L955" s="329"/>
      <c r="M955" s="329"/>
      <c r="N955" s="329"/>
      <c r="O955" s="329"/>
      <c r="P955" s="329"/>
    </row>
    <row r="956">
      <c r="E956" s="329"/>
      <c r="F956" s="329"/>
      <c r="G956" s="329"/>
      <c r="H956" s="329"/>
      <c r="I956" s="329"/>
      <c r="J956" s="329"/>
      <c r="K956" s="329"/>
      <c r="L956" s="329"/>
      <c r="M956" s="329"/>
      <c r="N956" s="329"/>
      <c r="O956" s="329"/>
      <c r="P956" s="329"/>
    </row>
    <row r="957">
      <c r="E957" s="329"/>
      <c r="F957" s="329"/>
      <c r="G957" s="329"/>
      <c r="H957" s="329"/>
      <c r="I957" s="329"/>
      <c r="J957" s="329"/>
      <c r="K957" s="329"/>
      <c r="L957" s="329"/>
      <c r="M957" s="329"/>
      <c r="N957" s="329"/>
      <c r="O957" s="329"/>
      <c r="P957" s="329"/>
    </row>
    <row r="958">
      <c r="E958" s="329"/>
      <c r="F958" s="329"/>
      <c r="G958" s="329"/>
      <c r="H958" s="329"/>
      <c r="I958" s="329"/>
      <c r="J958" s="329"/>
      <c r="K958" s="329"/>
      <c r="L958" s="329"/>
      <c r="M958" s="329"/>
      <c r="N958" s="329"/>
      <c r="O958" s="329"/>
      <c r="P958" s="329"/>
    </row>
    <row r="959">
      <c r="E959" s="329"/>
      <c r="F959" s="329"/>
      <c r="G959" s="329"/>
      <c r="H959" s="329"/>
      <c r="I959" s="329"/>
      <c r="J959" s="329"/>
      <c r="K959" s="329"/>
      <c r="L959" s="329"/>
      <c r="M959" s="329"/>
      <c r="N959" s="329"/>
      <c r="O959" s="329"/>
      <c r="P959" s="329"/>
    </row>
    <row r="960">
      <c r="E960" s="329"/>
      <c r="F960" s="329"/>
      <c r="G960" s="329"/>
      <c r="H960" s="329"/>
      <c r="I960" s="329"/>
      <c r="J960" s="329"/>
      <c r="K960" s="329"/>
      <c r="L960" s="329"/>
      <c r="M960" s="329"/>
      <c r="N960" s="329"/>
      <c r="O960" s="329"/>
      <c r="P960" s="329"/>
    </row>
    <row r="961">
      <c r="E961" s="329"/>
      <c r="F961" s="329"/>
      <c r="G961" s="329"/>
      <c r="H961" s="329"/>
      <c r="I961" s="329"/>
      <c r="J961" s="329"/>
      <c r="K961" s="329"/>
      <c r="L961" s="329"/>
      <c r="M961" s="329"/>
      <c r="N961" s="329"/>
      <c r="O961" s="329"/>
      <c r="P961" s="329"/>
    </row>
    <row r="962">
      <c r="E962" s="329"/>
      <c r="F962" s="329"/>
      <c r="G962" s="329"/>
      <c r="H962" s="329"/>
      <c r="I962" s="329"/>
      <c r="J962" s="329"/>
      <c r="K962" s="329"/>
      <c r="L962" s="329"/>
      <c r="M962" s="329"/>
      <c r="N962" s="329"/>
      <c r="O962" s="329"/>
      <c r="P962" s="329"/>
    </row>
    <row r="963">
      <c r="E963" s="329"/>
      <c r="F963" s="329"/>
      <c r="G963" s="329"/>
      <c r="H963" s="329"/>
      <c r="I963" s="329"/>
      <c r="J963" s="329"/>
      <c r="K963" s="329"/>
      <c r="L963" s="329"/>
      <c r="M963" s="329"/>
      <c r="N963" s="329"/>
      <c r="O963" s="329"/>
      <c r="P963" s="329"/>
    </row>
    <row r="964">
      <c r="E964" s="329"/>
      <c r="F964" s="329"/>
      <c r="G964" s="329"/>
      <c r="H964" s="329"/>
      <c r="I964" s="329"/>
      <c r="J964" s="329"/>
      <c r="K964" s="329"/>
      <c r="L964" s="329"/>
      <c r="M964" s="329"/>
      <c r="N964" s="329"/>
      <c r="O964" s="329"/>
      <c r="P964" s="329"/>
    </row>
    <row r="965">
      <c r="E965" s="329"/>
      <c r="F965" s="329"/>
      <c r="G965" s="329"/>
      <c r="H965" s="329"/>
      <c r="I965" s="329"/>
      <c r="J965" s="329"/>
      <c r="K965" s="329"/>
      <c r="L965" s="329"/>
      <c r="M965" s="329"/>
      <c r="N965" s="329"/>
      <c r="O965" s="329"/>
      <c r="P965" s="329"/>
    </row>
    <row r="966">
      <c r="E966" s="329"/>
      <c r="F966" s="329"/>
      <c r="G966" s="329"/>
      <c r="H966" s="329"/>
      <c r="I966" s="329"/>
      <c r="J966" s="329"/>
      <c r="K966" s="329"/>
      <c r="L966" s="329"/>
      <c r="M966" s="329"/>
      <c r="N966" s="329"/>
      <c r="O966" s="329"/>
      <c r="P966" s="329"/>
    </row>
  </sheetData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1" max="1" width="19.63"/>
  </cols>
  <sheetData>
    <row r="1">
      <c r="A1" s="218" t="s">
        <v>144</v>
      </c>
    </row>
    <row r="2">
      <c r="A2" s="218" t="s">
        <v>788</v>
      </c>
    </row>
    <row r="3">
      <c r="A3" s="218" t="s">
        <v>120</v>
      </c>
    </row>
    <row r="4">
      <c r="A4" s="218" t="s">
        <v>514</v>
      </c>
    </row>
    <row r="8">
      <c r="A8" s="396"/>
    </row>
  </sheetData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21.25"/>
    <col customWidth="1" min="2" max="2" width="27.13"/>
  </cols>
  <sheetData>
    <row r="1">
      <c r="A1" s="397" t="s">
        <v>17</v>
      </c>
      <c r="B1" s="397" t="s">
        <v>104</v>
      </c>
      <c r="C1" s="397" t="s">
        <v>789</v>
      </c>
    </row>
    <row r="2">
      <c r="A2" s="398" t="s">
        <v>144</v>
      </c>
      <c r="B2" s="398" t="s">
        <v>452</v>
      </c>
      <c r="C2" s="398">
        <v>60.0</v>
      </c>
    </row>
    <row r="3">
      <c r="A3" s="398"/>
      <c r="B3" s="398" t="s">
        <v>790</v>
      </c>
      <c r="C3" s="398">
        <v>45.0</v>
      </c>
    </row>
    <row r="4">
      <c r="A4" s="398"/>
      <c r="B4" s="398" t="s">
        <v>162</v>
      </c>
      <c r="C4" s="398">
        <v>45.0</v>
      </c>
    </row>
    <row r="5">
      <c r="A5" s="398"/>
      <c r="B5" s="398" t="s">
        <v>791</v>
      </c>
      <c r="C5" s="399">
        <v>184.0</v>
      </c>
    </row>
    <row r="6">
      <c r="A6" s="398"/>
      <c r="B6" s="398" t="s">
        <v>792</v>
      </c>
      <c r="C6" s="398">
        <v>244.0</v>
      </c>
    </row>
    <row r="7">
      <c r="A7" s="398"/>
      <c r="B7" s="398" t="s">
        <v>793</v>
      </c>
      <c r="C7" s="399">
        <v>126.0</v>
      </c>
    </row>
    <row r="8">
      <c r="A8" s="398"/>
      <c r="B8" s="398" t="s">
        <v>794</v>
      </c>
      <c r="C8" s="399">
        <v>123.0</v>
      </c>
    </row>
    <row r="9">
      <c r="A9" s="398"/>
      <c r="B9" s="398" t="s">
        <v>246</v>
      </c>
      <c r="C9" s="398">
        <v>10.0</v>
      </c>
    </row>
    <row r="10">
      <c r="A10" s="398"/>
      <c r="B10" s="398" t="s">
        <v>512</v>
      </c>
      <c r="C10" s="398">
        <v>10.0</v>
      </c>
    </row>
    <row r="11">
      <c r="A11" s="398"/>
      <c r="B11" s="398" t="s">
        <v>418</v>
      </c>
      <c r="C11" s="398">
        <v>10.0</v>
      </c>
    </row>
    <row r="12">
      <c r="A12" s="398"/>
      <c r="B12" s="398" t="s">
        <v>147</v>
      </c>
      <c r="C12" s="398">
        <v>0.0</v>
      </c>
    </row>
    <row r="13">
      <c r="A13" s="398"/>
      <c r="B13" s="398" t="s">
        <v>125</v>
      </c>
      <c r="C13" s="399">
        <v>110.0</v>
      </c>
    </row>
    <row r="14">
      <c r="A14" s="398"/>
      <c r="B14" s="398" t="s">
        <v>795</v>
      </c>
      <c r="C14" s="399">
        <v>187.0</v>
      </c>
    </row>
    <row r="15">
      <c r="A15" s="398"/>
      <c r="B15" s="398" t="s">
        <v>138</v>
      </c>
      <c r="C15" s="398">
        <v>90.0</v>
      </c>
    </row>
    <row r="16">
      <c r="A16" s="398"/>
      <c r="B16" s="398" t="s">
        <v>796</v>
      </c>
      <c r="C16" s="398">
        <v>0.0</v>
      </c>
    </row>
    <row r="17">
      <c r="A17" s="398"/>
      <c r="B17" s="398" t="s">
        <v>797</v>
      </c>
      <c r="C17" s="399">
        <v>175.0</v>
      </c>
    </row>
    <row r="18">
      <c r="A18" s="398"/>
      <c r="B18" s="398" t="s">
        <v>798</v>
      </c>
      <c r="C18" s="398">
        <v>210.0</v>
      </c>
    </row>
    <row r="19">
      <c r="A19" s="398" t="s">
        <v>788</v>
      </c>
      <c r="B19" s="398" t="s">
        <v>799</v>
      </c>
      <c r="C19" s="398">
        <v>0.0</v>
      </c>
    </row>
    <row r="20">
      <c r="A20" s="398" t="s">
        <v>120</v>
      </c>
      <c r="B20" s="400" t="s">
        <v>132</v>
      </c>
      <c r="C20" s="400">
        <v>0.0</v>
      </c>
    </row>
    <row r="21">
      <c r="A21" s="398" t="s">
        <v>514</v>
      </c>
      <c r="B21" s="398" t="s">
        <v>515</v>
      </c>
      <c r="C21" s="400">
        <v>0.0</v>
      </c>
    </row>
    <row r="25">
      <c r="A25" s="396"/>
    </row>
  </sheetData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C1" s="195" t="s">
        <v>550</v>
      </c>
      <c r="D1" s="196" t="s">
        <v>551</v>
      </c>
      <c r="E1" s="197" t="s">
        <v>552</v>
      </c>
      <c r="F1" s="198" t="s">
        <v>553</v>
      </c>
      <c r="G1" s="196" t="s">
        <v>554</v>
      </c>
      <c r="H1" s="196" t="s">
        <v>555</v>
      </c>
    </row>
    <row r="2" hidden="1">
      <c r="C2" s="199">
        <f>IFERROR(__xludf.DUMMYFUNCTION("ARRAYFORMULA(IFERROR(VLOOKUP(A2:A36,IMPORTRANGE(""https://docs.google.com/spreadsheets/d/1vQycHd3uhC4iyUlDWstF94_z5JrG-hPEMMMlzshilIs"",""Consolida!$G:$H""),2,0),0))"),0.0)</f>
        <v>0</v>
      </c>
      <c r="D2" s="199">
        <f>IFERROR(__xludf.DUMMYFUNCTION("ARRAYFORMULA(IFERROR(VLOOKUP(A2:A36,IMPORTRANGE(""https://docs.google.com/spreadsheets/d/1AbBq8a9hOuYN-N3rWE4xvJ7jubn--DGcT04wNXaL7mE"",""RP por Processo!A:B""),2,0),0))"),0.0)</f>
        <v>0</v>
      </c>
      <c r="E2" s="194"/>
      <c r="F2" s="194"/>
      <c r="G2" s="194"/>
      <c r="H2" s="200" t="str">
        <f t="array" ref="H2:H36">HYPERLINK("https://proad.trt12.jus.br/proad/pages/fichadoprocesso.xhtml?faces-redirect=true&amp;numeroProtocolo="&amp;LEFT(A2:A36,FIND("/",A2:A36)-1)&amp;"&amp;numeroAno="&amp;RIGHT(A2:A36,4)&amp;"&amp;tab=tabFichaDocumento",if(A2:A36&lt;&gt;"",A2:A36,""))</f>
        <v/>
      </c>
    </row>
    <row r="3">
      <c r="C3" s="199">
        <f>IFERROR(__xludf.DUMMYFUNCTION("""COMPUTED_VALUE"""),20153.43)</f>
        <v>20153.43</v>
      </c>
      <c r="D3" s="199">
        <f>IFERROR(__xludf.DUMMYFUNCTION("""COMPUTED_VALUE"""),9333.32)</f>
        <v>9333.32</v>
      </c>
      <c r="E3" s="194">
        <f t="shared" ref="E3:E36" si="1">B3+D3</f>
        <v>20153.43</v>
      </c>
      <c r="F3" s="194">
        <f t="shared" ref="F3:F36" si="2">C3</f>
        <v>20153.43</v>
      </c>
      <c r="G3" s="194">
        <f t="shared" ref="G3:G36" si="3">E3-F3</f>
        <v>0</v>
      </c>
      <c r="H3" s="201" t="s">
        <v>390</v>
      </c>
    </row>
    <row r="4">
      <c r="C4" s="199">
        <f>IFERROR(__xludf.DUMMYFUNCTION("""COMPUTED_VALUE"""),0.0)</f>
        <v>0</v>
      </c>
      <c r="D4" s="199">
        <f>IFERROR(__xludf.DUMMYFUNCTION("""COMPUTED_VALUE"""),0.0)</f>
        <v>0</v>
      </c>
      <c r="E4" s="194">
        <f t="shared" si="1"/>
        <v>0</v>
      </c>
      <c r="F4" s="194">
        <f t="shared" si="2"/>
        <v>0</v>
      </c>
      <c r="G4" s="194">
        <f t="shared" si="3"/>
        <v>0</v>
      </c>
      <c r="H4" s="201" t="s">
        <v>317</v>
      </c>
    </row>
    <row r="5">
      <c r="C5" s="199">
        <f>IFERROR(__xludf.DUMMYFUNCTION("""COMPUTED_VALUE"""),112904.24)</f>
        <v>112904.24</v>
      </c>
      <c r="D5" s="199">
        <f>IFERROR(__xludf.DUMMYFUNCTION("""COMPUTED_VALUE"""),43363.43)</f>
        <v>43363.43</v>
      </c>
      <c r="E5" s="194">
        <f t="shared" si="1"/>
        <v>112904.24</v>
      </c>
      <c r="F5" s="194">
        <f t="shared" si="2"/>
        <v>112904.24</v>
      </c>
      <c r="G5" s="194">
        <f t="shared" si="3"/>
        <v>0</v>
      </c>
      <c r="H5" s="201" t="s">
        <v>234</v>
      </c>
    </row>
    <row r="6">
      <c r="C6" s="199">
        <f>IFERROR(__xludf.DUMMYFUNCTION("""COMPUTED_VALUE"""),1978.46)</f>
        <v>1978.46</v>
      </c>
      <c r="D6" s="199">
        <f>IFERROR(__xludf.DUMMYFUNCTION("""COMPUTED_VALUE"""),989.23)</f>
        <v>989.23</v>
      </c>
      <c r="E6" s="194">
        <f t="shared" si="1"/>
        <v>1978.46</v>
      </c>
      <c r="F6" s="194">
        <f t="shared" si="2"/>
        <v>1978.46</v>
      </c>
      <c r="G6" s="194">
        <f t="shared" si="3"/>
        <v>0</v>
      </c>
      <c r="H6" s="201" t="s">
        <v>384</v>
      </c>
    </row>
    <row r="7">
      <c r="C7" s="199">
        <f>IFERROR(__xludf.DUMMYFUNCTION("""COMPUTED_VALUE"""),21040.0)</f>
        <v>21040</v>
      </c>
      <c r="D7" s="199">
        <f>IFERROR(__xludf.DUMMYFUNCTION("""COMPUTED_VALUE"""),10520.0)</f>
        <v>10520</v>
      </c>
      <c r="E7" s="194">
        <f t="shared" si="1"/>
        <v>21040</v>
      </c>
      <c r="F7" s="194">
        <f t="shared" si="2"/>
        <v>21040</v>
      </c>
      <c r="G7" s="194">
        <f t="shared" si="3"/>
        <v>0</v>
      </c>
      <c r="H7" s="201" t="s">
        <v>166</v>
      </c>
    </row>
    <row r="8">
      <c r="C8" s="199">
        <f>IFERROR(__xludf.DUMMYFUNCTION("""COMPUTED_VALUE"""),14954.93)</f>
        <v>14954.93</v>
      </c>
      <c r="D8" s="199">
        <f>IFERROR(__xludf.DUMMYFUNCTION("""COMPUTED_VALUE"""),3723.56)</f>
        <v>3723.56</v>
      </c>
      <c r="E8" s="194">
        <f t="shared" si="1"/>
        <v>14954.93</v>
      </c>
      <c r="F8" s="194">
        <f t="shared" si="2"/>
        <v>14954.93</v>
      </c>
      <c r="G8" s="194">
        <f t="shared" si="3"/>
        <v>0</v>
      </c>
      <c r="H8" s="201" t="s">
        <v>288</v>
      </c>
    </row>
    <row r="9">
      <c r="C9" s="199">
        <f>IFERROR(__xludf.DUMMYFUNCTION("""COMPUTED_VALUE"""),3589.88)</f>
        <v>3589.88</v>
      </c>
      <c r="D9" s="199">
        <f>IFERROR(__xludf.DUMMYFUNCTION("""COMPUTED_VALUE"""),0.0)</f>
        <v>0</v>
      </c>
      <c r="E9" s="194">
        <f t="shared" si="1"/>
        <v>3589.88</v>
      </c>
      <c r="F9" s="194">
        <f t="shared" si="2"/>
        <v>3589.88</v>
      </c>
      <c r="G9" s="194">
        <f t="shared" si="3"/>
        <v>0</v>
      </c>
      <c r="H9" s="201" t="s">
        <v>417</v>
      </c>
    </row>
    <row r="10">
      <c r="C10" s="199">
        <f>IFERROR(__xludf.DUMMYFUNCTION("""COMPUTED_VALUE"""),1185.84)</f>
        <v>1185.84</v>
      </c>
      <c r="D10" s="199">
        <f>IFERROR(__xludf.DUMMYFUNCTION("""COMPUTED_VALUE"""),0.0)</f>
        <v>0</v>
      </c>
      <c r="E10" s="194">
        <f t="shared" si="1"/>
        <v>1185.84</v>
      </c>
      <c r="F10" s="194">
        <f t="shared" si="2"/>
        <v>1185.84</v>
      </c>
      <c r="G10" s="194">
        <f t="shared" si="3"/>
        <v>0</v>
      </c>
      <c r="H10" s="201" t="s">
        <v>172</v>
      </c>
    </row>
    <row r="11">
      <c r="C11" s="199">
        <f>IFERROR(__xludf.DUMMYFUNCTION("""COMPUTED_VALUE"""),0.0)</f>
        <v>0</v>
      </c>
      <c r="D11" s="199">
        <f>IFERROR(__xludf.DUMMYFUNCTION("""COMPUTED_VALUE"""),0.0)</f>
        <v>0</v>
      </c>
      <c r="E11" s="194">
        <f t="shared" si="1"/>
        <v>0</v>
      </c>
      <c r="F11" s="194">
        <f t="shared" si="2"/>
        <v>0</v>
      </c>
      <c r="G11" s="194">
        <f t="shared" si="3"/>
        <v>0</v>
      </c>
      <c r="H11" s="201" t="s">
        <v>456</v>
      </c>
    </row>
    <row r="12">
      <c r="C12" s="199">
        <f>IFERROR(__xludf.DUMMYFUNCTION("""COMPUTED_VALUE"""),2542.16)</f>
        <v>2542.16</v>
      </c>
      <c r="D12" s="199">
        <f>IFERROR(__xludf.DUMMYFUNCTION("""COMPUTED_VALUE"""),635.5400000000001)</f>
        <v>635.54</v>
      </c>
      <c r="E12" s="194">
        <f t="shared" si="1"/>
        <v>2542.16</v>
      </c>
      <c r="F12" s="194">
        <f t="shared" si="2"/>
        <v>2542.16</v>
      </c>
      <c r="G12" s="194">
        <f t="shared" si="3"/>
        <v>0</v>
      </c>
      <c r="H12" s="201" t="s">
        <v>425</v>
      </c>
    </row>
    <row r="13">
      <c r="C13" s="199">
        <f>IFERROR(__xludf.DUMMYFUNCTION("""COMPUTED_VALUE"""),3740.0)</f>
        <v>3740</v>
      </c>
      <c r="D13" s="199">
        <f>IFERROR(__xludf.DUMMYFUNCTION("""COMPUTED_VALUE"""),935.0)</f>
        <v>935</v>
      </c>
      <c r="E13" s="194">
        <f t="shared" si="1"/>
        <v>3740</v>
      </c>
      <c r="F13" s="194">
        <f t="shared" si="2"/>
        <v>3740</v>
      </c>
      <c r="G13" s="194">
        <f t="shared" si="3"/>
        <v>0</v>
      </c>
      <c r="H13" s="201" t="s">
        <v>198</v>
      </c>
    </row>
    <row r="14">
      <c r="C14" s="199">
        <f>IFERROR(__xludf.DUMMYFUNCTION("""COMPUTED_VALUE"""),0.0)</f>
        <v>0</v>
      </c>
      <c r="D14" s="199">
        <f>IFERROR(__xludf.DUMMYFUNCTION("""COMPUTED_VALUE"""),0.0)</f>
        <v>0</v>
      </c>
      <c r="E14" s="194">
        <f t="shared" si="1"/>
        <v>0</v>
      </c>
      <c r="F14" s="194">
        <f t="shared" si="2"/>
        <v>0</v>
      </c>
      <c r="G14" s="194">
        <f t="shared" si="3"/>
        <v>0</v>
      </c>
      <c r="H14" s="201" t="s">
        <v>297</v>
      </c>
    </row>
    <row r="15">
      <c r="C15" s="199">
        <f>IFERROR(__xludf.DUMMYFUNCTION("""COMPUTED_VALUE"""),28732.24)</f>
        <v>28732.24</v>
      </c>
      <c r="D15" s="199">
        <f>IFERROR(__xludf.DUMMYFUNCTION("""COMPUTED_VALUE"""),6562.14)</f>
        <v>6562.14</v>
      </c>
      <c r="E15" s="194">
        <f t="shared" si="1"/>
        <v>28732.24</v>
      </c>
      <c r="F15" s="194">
        <f t="shared" si="2"/>
        <v>28732.24</v>
      </c>
      <c r="G15" s="194">
        <f t="shared" si="3"/>
        <v>0</v>
      </c>
      <c r="H15" s="201" t="s">
        <v>146</v>
      </c>
    </row>
    <row r="16">
      <c r="C16" s="199">
        <f>IFERROR(__xludf.DUMMYFUNCTION("""COMPUTED_VALUE"""),220564.55)</f>
        <v>220564.55</v>
      </c>
      <c r="D16" s="199">
        <f>IFERROR(__xludf.DUMMYFUNCTION("""COMPUTED_VALUE"""),60156.85)</f>
        <v>60156.85</v>
      </c>
      <c r="E16" s="194">
        <f t="shared" si="1"/>
        <v>220564.55</v>
      </c>
      <c r="F16" s="194">
        <f t="shared" si="2"/>
        <v>220564.55</v>
      </c>
      <c r="G16" s="194">
        <f t="shared" si="3"/>
        <v>0</v>
      </c>
      <c r="H16" s="201" t="s">
        <v>206</v>
      </c>
    </row>
    <row r="17">
      <c r="C17" s="199">
        <f>IFERROR(__xludf.DUMMYFUNCTION("""COMPUTED_VALUE"""),3980.0)</f>
        <v>3980</v>
      </c>
      <c r="D17" s="199">
        <f>IFERROR(__xludf.DUMMYFUNCTION("""COMPUTED_VALUE"""),1315.0)</f>
        <v>1315</v>
      </c>
      <c r="E17" s="194">
        <f t="shared" si="1"/>
        <v>5370</v>
      </c>
      <c r="F17" s="194">
        <f t="shared" si="2"/>
        <v>3980</v>
      </c>
      <c r="G17" s="194">
        <f t="shared" si="3"/>
        <v>1390</v>
      </c>
      <c r="H17" s="201" t="s">
        <v>355</v>
      </c>
    </row>
    <row r="18">
      <c r="C18" s="199">
        <f>IFERROR(__xludf.DUMMYFUNCTION("""COMPUTED_VALUE"""),59760.0)</f>
        <v>59760</v>
      </c>
      <c r="D18" s="199">
        <f>IFERROR(__xludf.DUMMYFUNCTION("""COMPUTED_VALUE"""),0.0)</f>
        <v>0</v>
      </c>
      <c r="E18" s="194">
        <f t="shared" si="1"/>
        <v>59760</v>
      </c>
      <c r="F18" s="194">
        <f t="shared" si="2"/>
        <v>59760</v>
      </c>
      <c r="G18" s="194">
        <f t="shared" si="3"/>
        <v>0</v>
      </c>
      <c r="H18" s="201" t="s">
        <v>272</v>
      </c>
    </row>
    <row r="19">
      <c r="C19" s="199">
        <f>IFERROR(__xludf.DUMMYFUNCTION("""COMPUTED_VALUE"""),17772.74)</f>
        <v>17772.74</v>
      </c>
      <c r="D19" s="199">
        <f>IFERROR(__xludf.DUMMYFUNCTION("""COMPUTED_VALUE"""),8886.37)</f>
        <v>8886.37</v>
      </c>
      <c r="E19" s="194">
        <f t="shared" si="1"/>
        <v>17772.74</v>
      </c>
      <c r="F19" s="194">
        <f t="shared" si="2"/>
        <v>17772.74</v>
      </c>
      <c r="G19" s="194">
        <f t="shared" si="3"/>
        <v>0</v>
      </c>
      <c r="H19" s="201" t="s">
        <v>349</v>
      </c>
    </row>
    <row r="20">
      <c r="C20" s="199">
        <f>IFERROR(__xludf.DUMMYFUNCTION("""COMPUTED_VALUE"""),0.0)</f>
        <v>0</v>
      </c>
      <c r="D20" s="199">
        <f>IFERROR(__xludf.DUMMYFUNCTION("""COMPUTED_VALUE"""),0.0)</f>
        <v>0</v>
      </c>
      <c r="E20" s="194">
        <f t="shared" si="1"/>
        <v>0</v>
      </c>
      <c r="F20" s="194">
        <f t="shared" si="2"/>
        <v>0</v>
      </c>
      <c r="G20" s="194">
        <f t="shared" si="3"/>
        <v>0</v>
      </c>
      <c r="H20" s="201" t="s">
        <v>123</v>
      </c>
    </row>
    <row r="21">
      <c r="C21" s="199">
        <f>IFERROR(__xludf.DUMMYFUNCTION("""COMPUTED_VALUE"""),997.48)</f>
        <v>997.48</v>
      </c>
      <c r="D21" s="199">
        <f>IFERROR(__xludf.DUMMYFUNCTION("""COMPUTED_VALUE"""),249.37)</f>
        <v>249.37</v>
      </c>
      <c r="E21" s="194">
        <f t="shared" si="1"/>
        <v>997.48</v>
      </c>
      <c r="F21" s="194">
        <f t="shared" si="2"/>
        <v>997.48</v>
      </c>
      <c r="G21" s="194">
        <f t="shared" si="3"/>
        <v>0</v>
      </c>
      <c r="H21" s="201" t="s">
        <v>461</v>
      </c>
    </row>
    <row r="22">
      <c r="C22" s="199">
        <f>IFERROR(__xludf.DUMMYFUNCTION("""COMPUTED_VALUE"""),187296.0)</f>
        <v>187296</v>
      </c>
      <c r="D22" s="199">
        <f>IFERROR(__xludf.DUMMYFUNCTION("""COMPUTED_VALUE"""),48227.04)</f>
        <v>48227.04</v>
      </c>
      <c r="E22" s="194">
        <f t="shared" si="1"/>
        <v>187296</v>
      </c>
      <c r="F22" s="194">
        <f t="shared" si="2"/>
        <v>187296</v>
      </c>
      <c r="G22" s="194">
        <f t="shared" si="3"/>
        <v>0</v>
      </c>
      <c r="H22" s="201" t="s">
        <v>184</v>
      </c>
    </row>
    <row r="23">
      <c r="C23" s="199">
        <f>IFERROR(__xludf.DUMMYFUNCTION("""COMPUTED_VALUE"""),55648.08)</f>
        <v>55648.08</v>
      </c>
      <c r="D23" s="199">
        <f>IFERROR(__xludf.DUMMYFUNCTION("""COMPUTED_VALUE"""),13912.02)</f>
        <v>13912.02</v>
      </c>
      <c r="E23" s="194">
        <f t="shared" si="1"/>
        <v>55648.08</v>
      </c>
      <c r="F23" s="194">
        <f t="shared" si="2"/>
        <v>55648.08</v>
      </c>
      <c r="G23" s="194">
        <f t="shared" si="3"/>
        <v>0</v>
      </c>
      <c r="H23" s="201" t="s">
        <v>229</v>
      </c>
    </row>
    <row r="24">
      <c r="C24" s="199">
        <f>IFERROR(__xludf.DUMMYFUNCTION("""COMPUTED_VALUE"""),112796.76)</f>
        <v>112796.76</v>
      </c>
      <c r="D24" s="199">
        <f>IFERROR(__xludf.DUMMYFUNCTION("""COMPUTED_VALUE"""),28199.19)</f>
        <v>28199.19</v>
      </c>
      <c r="E24" s="194">
        <f t="shared" si="1"/>
        <v>112796.76</v>
      </c>
      <c r="F24" s="194">
        <f t="shared" si="2"/>
        <v>112796.76</v>
      </c>
      <c r="G24" s="194">
        <f t="shared" si="3"/>
        <v>0</v>
      </c>
      <c r="H24" s="201" t="s">
        <v>440</v>
      </c>
    </row>
    <row r="25">
      <c r="C25" s="199">
        <f>IFERROR(__xludf.DUMMYFUNCTION("""COMPUTED_VALUE"""),14000.0)</f>
        <v>14000</v>
      </c>
      <c r="D25" s="199">
        <f>IFERROR(__xludf.DUMMYFUNCTION("""COMPUTED_VALUE"""),2916.67)</f>
        <v>2916.67</v>
      </c>
      <c r="E25" s="194">
        <f t="shared" si="1"/>
        <v>14000</v>
      </c>
      <c r="F25" s="194">
        <f t="shared" si="2"/>
        <v>14000</v>
      </c>
      <c r="G25" s="194">
        <f t="shared" si="3"/>
        <v>0</v>
      </c>
      <c r="H25" s="201" t="s">
        <v>467</v>
      </c>
    </row>
    <row r="26">
      <c r="C26" s="199">
        <f>IFERROR(__xludf.DUMMYFUNCTION("""COMPUTED_VALUE"""),10742.82)</f>
        <v>10742.82</v>
      </c>
      <c r="D26" s="199">
        <f>IFERROR(__xludf.DUMMYFUNCTION("""COMPUTED_VALUE"""),2699.2)</f>
        <v>2699.2</v>
      </c>
      <c r="E26" s="194">
        <f t="shared" si="1"/>
        <v>10742.82</v>
      </c>
      <c r="F26" s="194">
        <f t="shared" si="2"/>
        <v>10742.82</v>
      </c>
      <c r="G26" s="194">
        <f t="shared" si="3"/>
        <v>0</v>
      </c>
      <c r="H26" s="201" t="s">
        <v>282</v>
      </c>
    </row>
    <row r="27">
      <c r="C27" s="199">
        <f>IFERROR(__xludf.DUMMYFUNCTION("""COMPUTED_VALUE"""),5980.0)</f>
        <v>5980</v>
      </c>
      <c r="D27" s="199">
        <f>IFERROR(__xludf.DUMMYFUNCTION("""COMPUTED_VALUE"""),1495.0)</f>
        <v>1495</v>
      </c>
      <c r="E27" s="194">
        <f t="shared" si="1"/>
        <v>5980</v>
      </c>
      <c r="F27" s="194">
        <f t="shared" si="2"/>
        <v>5980</v>
      </c>
      <c r="G27" s="194">
        <f t="shared" si="3"/>
        <v>0</v>
      </c>
      <c r="H27" s="201" t="s">
        <v>253</v>
      </c>
    </row>
    <row r="28">
      <c r="C28" s="199">
        <f>IFERROR(__xludf.DUMMYFUNCTION("""COMPUTED_VALUE"""),25255.77)</f>
        <v>25255.77</v>
      </c>
      <c r="D28" s="199">
        <f>IFERROR(__xludf.DUMMYFUNCTION("""COMPUTED_VALUE"""),7647.75)</f>
        <v>7647.75</v>
      </c>
      <c r="E28" s="194">
        <f t="shared" si="1"/>
        <v>25255.77</v>
      </c>
      <c r="F28" s="194">
        <f t="shared" si="2"/>
        <v>25255.77</v>
      </c>
      <c r="G28" s="194">
        <f t="shared" si="3"/>
        <v>0</v>
      </c>
      <c r="H28" s="201" t="s">
        <v>334</v>
      </c>
    </row>
    <row r="29">
      <c r="C29" s="199">
        <f>IFERROR(__xludf.DUMMYFUNCTION("""COMPUTED_VALUE"""),3000.0)</f>
        <v>3000</v>
      </c>
      <c r="D29" s="199">
        <f>IFERROR(__xludf.DUMMYFUNCTION("""COMPUTED_VALUE"""),1000.0)</f>
        <v>1000</v>
      </c>
      <c r="E29" s="194">
        <f t="shared" si="1"/>
        <v>4000</v>
      </c>
      <c r="F29" s="194">
        <f t="shared" si="2"/>
        <v>3000</v>
      </c>
      <c r="G29" s="194">
        <f t="shared" si="3"/>
        <v>1000</v>
      </c>
      <c r="H29" s="201" t="s">
        <v>306</v>
      </c>
    </row>
    <row r="30">
      <c r="C30" s="199">
        <f>IFERROR(__xludf.DUMMYFUNCTION("""COMPUTED_VALUE"""),13831.6)</f>
        <v>13831.6</v>
      </c>
      <c r="D30" s="199">
        <f>IFERROR(__xludf.DUMMYFUNCTION("""COMPUTED_VALUE"""),3457.9)</f>
        <v>3457.9</v>
      </c>
      <c r="E30" s="194">
        <f t="shared" si="1"/>
        <v>13831.6</v>
      </c>
      <c r="F30" s="194">
        <f t="shared" si="2"/>
        <v>13831.6</v>
      </c>
      <c r="G30" s="194">
        <f t="shared" si="3"/>
        <v>0</v>
      </c>
      <c r="H30" s="201" t="s">
        <v>221</v>
      </c>
    </row>
    <row r="31">
      <c r="C31" s="199">
        <f>IFERROR(__xludf.DUMMYFUNCTION("""COMPUTED_VALUE"""),6987.1)</f>
        <v>6987.1</v>
      </c>
      <c r="D31" s="199">
        <f>IFERROR(__xludf.DUMMYFUNCTION("""COMPUTED_VALUE"""),1287.1)</f>
        <v>1287.1</v>
      </c>
      <c r="E31" s="194">
        <f t="shared" si="1"/>
        <v>6987.1</v>
      </c>
      <c r="F31" s="194">
        <f t="shared" si="2"/>
        <v>6987.1</v>
      </c>
      <c r="G31" s="194">
        <f t="shared" si="3"/>
        <v>0</v>
      </c>
      <c r="H31" s="201" t="s">
        <v>486</v>
      </c>
    </row>
    <row r="32">
      <c r="C32" s="199">
        <f>IFERROR(__xludf.DUMMYFUNCTION("""COMPUTED_VALUE"""),0.0)</f>
        <v>0</v>
      </c>
      <c r="D32" s="199">
        <f>IFERROR(__xludf.DUMMYFUNCTION("""COMPUTED_VALUE"""),0.0)</f>
        <v>0</v>
      </c>
      <c r="E32" s="194">
        <f t="shared" si="1"/>
        <v>0</v>
      </c>
      <c r="F32" s="194">
        <f t="shared" si="2"/>
        <v>0</v>
      </c>
      <c r="G32" s="194">
        <f t="shared" si="3"/>
        <v>0</v>
      </c>
      <c r="H32" s="201" t="s">
        <v>407</v>
      </c>
    </row>
    <row r="33">
      <c r="C33" s="199">
        <f>IFERROR(__xludf.DUMMYFUNCTION("""COMPUTED_VALUE"""),0.0)</f>
        <v>0</v>
      </c>
      <c r="D33" s="199">
        <f>IFERROR(__xludf.DUMMYFUNCTION("""COMPUTED_VALUE"""),0.0)</f>
        <v>0</v>
      </c>
      <c r="E33" s="194">
        <f t="shared" si="1"/>
        <v>0</v>
      </c>
      <c r="F33" s="194">
        <f t="shared" si="2"/>
        <v>0</v>
      </c>
      <c r="G33" s="194">
        <f t="shared" si="3"/>
        <v>0</v>
      </c>
      <c r="H33" s="201" t="s">
        <v>479</v>
      </c>
    </row>
    <row r="34">
      <c r="C34" s="199">
        <f>IFERROR(__xludf.DUMMYFUNCTION("""COMPUTED_VALUE"""),46800.0)</f>
        <v>46800</v>
      </c>
      <c r="D34" s="199">
        <f>IFERROR(__xludf.DUMMYFUNCTION("""COMPUTED_VALUE"""),15600.0)</f>
        <v>15600</v>
      </c>
      <c r="E34" s="194">
        <f t="shared" si="1"/>
        <v>62400</v>
      </c>
      <c r="F34" s="194">
        <f t="shared" si="2"/>
        <v>46800</v>
      </c>
      <c r="G34" s="194">
        <f t="shared" si="3"/>
        <v>15600</v>
      </c>
      <c r="H34" s="201" t="s">
        <v>260</v>
      </c>
    </row>
    <row r="35">
      <c r="C35" s="199">
        <f>IFERROR(__xludf.DUMMYFUNCTION("""COMPUTED_VALUE"""),104875.4)</f>
        <v>104875.4</v>
      </c>
      <c r="D35" s="199">
        <f>IFERROR(__xludf.DUMMYFUNCTION("""COMPUTED_VALUE"""),52437.7)</f>
        <v>52437.7</v>
      </c>
      <c r="E35" s="194">
        <f t="shared" si="1"/>
        <v>104875.4</v>
      </c>
      <c r="F35" s="194">
        <f t="shared" si="2"/>
        <v>104875.4</v>
      </c>
      <c r="G35" s="194">
        <f t="shared" si="3"/>
        <v>0</v>
      </c>
      <c r="H35" s="201" t="s">
        <v>396</v>
      </c>
    </row>
    <row r="36">
      <c r="C36" s="199">
        <f>IFERROR(__xludf.DUMMYFUNCTION("""COMPUTED_VALUE"""),1411485.4800000002)</f>
        <v>1411485.48</v>
      </c>
      <c r="D36" s="199">
        <f>IFERROR(__xludf.DUMMYFUNCTION("""COMPUTED_VALUE"""),635925.3799999999)</f>
        <v>635925.38</v>
      </c>
      <c r="E36" s="194">
        <f t="shared" si="1"/>
        <v>1429475.48</v>
      </c>
      <c r="F36" s="194">
        <f t="shared" si="2"/>
        <v>1411485.48</v>
      </c>
      <c r="G36" s="194">
        <f t="shared" si="3"/>
        <v>17990</v>
      </c>
      <c r="H36" s="200" t="s">
        <v>556</v>
      </c>
    </row>
  </sheetData>
  <hyperlinks>
    <hyperlink r:id="rId2" ref="H3"/>
    <hyperlink r:id="rId3" ref="H4"/>
    <hyperlink r:id="rId4" ref="H5"/>
    <hyperlink r:id="rId5" ref="H6"/>
    <hyperlink r:id="rId6" ref="H7"/>
    <hyperlink r:id="rId7" ref="H8"/>
    <hyperlink r:id="rId8" ref="H9"/>
    <hyperlink r:id="rId9" ref="H10"/>
    <hyperlink r:id="rId10" ref="H11"/>
    <hyperlink r:id="rId11" ref="H12"/>
    <hyperlink r:id="rId12" ref="H13"/>
    <hyperlink r:id="rId13" ref="H14"/>
    <hyperlink r:id="rId14" ref="H15"/>
    <hyperlink r:id="rId15" ref="H16"/>
    <hyperlink r:id="rId16" ref="H17"/>
    <hyperlink r:id="rId17" ref="H18"/>
    <hyperlink r:id="rId18" ref="H19"/>
    <hyperlink r:id="rId19" ref="H20"/>
    <hyperlink r:id="rId20" ref="H21"/>
    <hyperlink r:id="rId21" ref="H22"/>
    <hyperlink r:id="rId22" ref="H23"/>
    <hyperlink r:id="rId23" ref="H24"/>
    <hyperlink r:id="rId24" ref="H25"/>
    <hyperlink r:id="rId25" ref="H26"/>
    <hyperlink r:id="rId26" ref="H27"/>
    <hyperlink r:id="rId27" ref="H28"/>
    <hyperlink r:id="rId28" ref="H29"/>
    <hyperlink r:id="rId29" ref="H30"/>
    <hyperlink r:id="rId30" ref="H31"/>
    <hyperlink r:id="rId31" ref="H32"/>
    <hyperlink r:id="rId32" ref="H33"/>
    <hyperlink r:id="rId33" ref="H34"/>
    <hyperlink r:id="rId34" ref="H35"/>
  </hyperlinks>
  <drawing r:id="rId35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1" max="1" width="8.25"/>
    <col customWidth="1" min="2" max="2" width="38.75"/>
    <col customWidth="1" min="3" max="3" width="9.0"/>
    <col customWidth="1" min="4" max="4" width="8.25"/>
  </cols>
  <sheetData>
    <row r="1">
      <c r="A1" s="218" t="s">
        <v>167</v>
      </c>
      <c r="B1" s="218" t="s">
        <v>800</v>
      </c>
      <c r="C1" s="218">
        <v>15.0</v>
      </c>
      <c r="D1">
        <f t="shared" ref="D1:D3" si="1">C1/30</f>
        <v>0.5</v>
      </c>
    </row>
    <row r="2">
      <c r="A2" s="218" t="s">
        <v>125</v>
      </c>
      <c r="B2" s="218" t="s">
        <v>801</v>
      </c>
      <c r="C2" s="218">
        <v>112.0</v>
      </c>
      <c r="D2">
        <f t="shared" si="1"/>
        <v>3.733333333</v>
      </c>
    </row>
    <row r="3">
      <c r="A3" s="218" t="s">
        <v>148</v>
      </c>
      <c r="B3" s="218" t="s">
        <v>802</v>
      </c>
      <c r="C3" s="218">
        <v>30.0</v>
      </c>
      <c r="D3">
        <f t="shared" si="1"/>
        <v>1</v>
      </c>
    </row>
    <row r="4">
      <c r="B4" s="218"/>
      <c r="C4" s="218"/>
    </row>
    <row r="7">
      <c r="B7" s="218"/>
      <c r="C7" s="218"/>
    </row>
  </sheetData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24.0"/>
    <col customWidth="1" min="2" max="2" width="54.25"/>
  </cols>
  <sheetData>
    <row r="1">
      <c r="A1" s="340" t="s">
        <v>803</v>
      </c>
      <c r="B1" s="390" t="s">
        <v>804</v>
      </c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>
      <c r="A2" s="401" t="s">
        <v>119</v>
      </c>
      <c r="B2" s="402" t="s">
        <v>805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</row>
    <row r="3">
      <c r="A3" s="401" t="s">
        <v>143</v>
      </c>
      <c r="B3" s="402" t="s">
        <v>806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</row>
    <row r="4">
      <c r="A4" s="401" t="s">
        <v>325</v>
      </c>
      <c r="B4" s="402" t="s">
        <v>807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</row>
    <row r="5">
      <c r="A5" s="403" t="s">
        <v>808</v>
      </c>
      <c r="B5" s="402" t="s">
        <v>809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>
      <c r="A6" s="173"/>
      <c r="B6" s="181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</row>
    <row r="7">
      <c r="A7" s="173"/>
      <c r="B7" s="181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</row>
    <row r="8">
      <c r="A8" s="173"/>
      <c r="B8" s="181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</row>
    <row r="9">
      <c r="A9" s="180"/>
      <c r="B9" s="181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</row>
    <row r="10">
      <c r="A10" s="180"/>
      <c r="B10" s="181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</row>
    <row r="11">
      <c r="A11" s="180"/>
      <c r="B11" s="181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</row>
    <row r="12">
      <c r="A12" s="180"/>
      <c r="B12" s="181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</row>
    <row r="13">
      <c r="A13" s="180"/>
      <c r="B13" s="181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</row>
    <row r="14">
      <c r="A14" s="18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</row>
    <row r="15">
      <c r="A15" s="180"/>
      <c r="B15" s="181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</row>
    <row r="16">
      <c r="A16" s="180"/>
      <c r="B16" s="181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</row>
    <row r="17">
      <c r="A17" s="180"/>
      <c r="B17" s="181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</row>
    <row r="18">
      <c r="A18" s="180"/>
      <c r="B18" s="181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</row>
    <row r="19">
      <c r="A19" s="180"/>
      <c r="B19" s="181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</row>
    <row r="20">
      <c r="A20" s="180"/>
      <c r="B20" s="181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</row>
    <row r="21">
      <c r="A21" s="180"/>
      <c r="B21" s="181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</row>
    <row r="22">
      <c r="A22" s="180"/>
      <c r="B22" s="181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</row>
    <row r="23">
      <c r="A23" s="180"/>
      <c r="B23" s="181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</row>
    <row r="24">
      <c r="A24" s="180"/>
      <c r="B24" s="181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</row>
    <row r="25">
      <c r="A25" s="180"/>
      <c r="B25" s="181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</row>
    <row r="26">
      <c r="A26" s="180"/>
      <c r="B26" s="181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</row>
    <row r="27">
      <c r="A27" s="180"/>
      <c r="B27" s="181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</row>
    <row r="28">
      <c r="A28" s="180"/>
      <c r="B28" s="181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</row>
    <row r="29">
      <c r="A29" s="180"/>
      <c r="B29" s="181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</row>
    <row r="30">
      <c r="A30" s="180"/>
      <c r="B30" s="181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</row>
    <row r="31">
      <c r="A31" s="180"/>
      <c r="B31" s="181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</row>
    <row r="32">
      <c r="A32" s="180"/>
      <c r="B32" s="181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</row>
    <row r="33">
      <c r="A33" s="180"/>
      <c r="B33" s="181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</row>
    <row r="34">
      <c r="A34" s="180"/>
      <c r="B34" s="181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</row>
    <row r="35">
      <c r="A35" s="180"/>
      <c r="B35" s="181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</row>
    <row r="36">
      <c r="A36" s="180"/>
      <c r="B36" s="181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</row>
    <row r="37">
      <c r="A37" s="180"/>
      <c r="B37" s="181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</row>
    <row r="38">
      <c r="A38" s="180"/>
      <c r="B38" s="181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</row>
    <row r="39">
      <c r="A39" s="180"/>
      <c r="B39" s="181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</row>
    <row r="40">
      <c r="A40" s="180"/>
      <c r="B40" s="181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</row>
    <row r="41">
      <c r="A41" s="180"/>
      <c r="B41" s="181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</row>
    <row r="42">
      <c r="A42" s="180"/>
      <c r="B42" s="181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</row>
    <row r="43">
      <c r="A43" s="180"/>
      <c r="B43" s="181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</row>
    <row r="44">
      <c r="A44" s="180"/>
      <c r="B44" s="181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</row>
    <row r="45">
      <c r="A45" s="180"/>
      <c r="B45" s="181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</row>
    <row r="46">
      <c r="A46" s="180"/>
      <c r="B46" s="181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</row>
    <row r="47">
      <c r="A47" s="180"/>
      <c r="B47" s="181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</row>
    <row r="48">
      <c r="A48" s="180"/>
      <c r="B48" s="181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</row>
    <row r="49">
      <c r="A49" s="180"/>
      <c r="B49" s="181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</row>
    <row r="50">
      <c r="A50" s="180"/>
      <c r="B50" s="181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</row>
    <row r="51">
      <c r="A51" s="180"/>
      <c r="B51" s="181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</row>
    <row r="52">
      <c r="A52" s="180"/>
      <c r="B52" s="181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</row>
    <row r="53">
      <c r="A53" s="180"/>
      <c r="B53" s="181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</row>
    <row r="54">
      <c r="A54" s="180"/>
      <c r="B54" s="181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</row>
    <row r="55">
      <c r="A55" s="180"/>
      <c r="B55" s="181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</row>
    <row r="56">
      <c r="A56" s="180"/>
      <c r="B56" s="181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</row>
    <row r="57">
      <c r="A57" s="180"/>
      <c r="B57" s="181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</row>
    <row r="58">
      <c r="A58" s="180"/>
      <c r="B58" s="181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</row>
    <row r="59">
      <c r="A59" s="180"/>
      <c r="B59" s="181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</row>
    <row r="60">
      <c r="A60" s="180"/>
      <c r="B60" s="181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</row>
    <row r="61">
      <c r="A61" s="180"/>
      <c r="B61" s="181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</row>
    <row r="62">
      <c r="A62" s="180"/>
      <c r="B62" s="181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</row>
    <row r="63">
      <c r="A63" s="180"/>
      <c r="B63" s="181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</row>
    <row r="64">
      <c r="A64" s="180"/>
      <c r="B64" s="181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</row>
    <row r="65">
      <c r="A65" s="180"/>
      <c r="B65" s="181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</row>
    <row r="66">
      <c r="A66" s="180"/>
      <c r="B66" s="181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</row>
    <row r="67">
      <c r="A67" s="180"/>
      <c r="B67" s="181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</row>
    <row r="68">
      <c r="A68" s="180"/>
      <c r="B68" s="181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</row>
    <row r="69">
      <c r="A69" s="180"/>
      <c r="B69" s="181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</row>
    <row r="70">
      <c r="A70" s="180"/>
      <c r="B70" s="181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</row>
    <row r="71">
      <c r="A71" s="180"/>
      <c r="B71" s="181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</row>
    <row r="72">
      <c r="A72" s="180"/>
      <c r="B72" s="181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</row>
    <row r="73">
      <c r="A73" s="180"/>
      <c r="B73" s="181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</row>
    <row r="74">
      <c r="A74" s="180"/>
      <c r="B74" s="181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</row>
    <row r="75">
      <c r="A75" s="180"/>
      <c r="B75" s="181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</row>
    <row r="76">
      <c r="A76" s="180"/>
      <c r="B76" s="181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</row>
    <row r="77">
      <c r="A77" s="180"/>
      <c r="B77" s="181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</row>
    <row r="78">
      <c r="A78" s="180"/>
      <c r="B78" s="181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</row>
    <row r="79">
      <c r="A79" s="180"/>
      <c r="B79" s="181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</row>
    <row r="80">
      <c r="A80" s="180"/>
      <c r="B80" s="181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</row>
    <row r="81">
      <c r="A81" s="180"/>
      <c r="B81" s="181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</row>
    <row r="82">
      <c r="A82" s="180"/>
      <c r="B82" s="181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</row>
    <row r="83">
      <c r="A83" s="180"/>
      <c r="B83" s="181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</row>
    <row r="84">
      <c r="A84" s="180"/>
      <c r="B84" s="181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</row>
    <row r="85">
      <c r="A85" s="180"/>
      <c r="B85" s="181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</row>
    <row r="86">
      <c r="A86" s="180"/>
      <c r="B86" s="181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</row>
    <row r="87">
      <c r="A87" s="180"/>
      <c r="B87" s="181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</row>
    <row r="88">
      <c r="A88" s="180"/>
      <c r="B88" s="181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</row>
    <row r="89">
      <c r="A89" s="180"/>
      <c r="B89" s="181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</row>
    <row r="90">
      <c r="A90" s="180"/>
      <c r="B90" s="181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</row>
    <row r="91">
      <c r="A91" s="180"/>
      <c r="B91" s="181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</row>
    <row r="92">
      <c r="A92" s="180"/>
      <c r="B92" s="181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</row>
    <row r="93">
      <c r="A93" s="180"/>
      <c r="B93" s="181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</row>
    <row r="94">
      <c r="A94" s="180"/>
      <c r="B94" s="181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</row>
    <row r="95">
      <c r="A95" s="180"/>
      <c r="B95" s="181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</row>
    <row r="96">
      <c r="A96" s="180"/>
      <c r="B96" s="181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</row>
    <row r="97">
      <c r="A97" s="180"/>
      <c r="B97" s="181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</row>
    <row r="98">
      <c r="A98" s="180"/>
      <c r="B98" s="181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</row>
    <row r="99">
      <c r="A99" s="180"/>
      <c r="B99" s="181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</row>
    <row r="100">
      <c r="A100" s="180"/>
      <c r="B100" s="181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</row>
    <row r="101">
      <c r="A101" s="180"/>
      <c r="B101" s="181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</row>
    <row r="102">
      <c r="A102" s="180"/>
      <c r="B102" s="181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</row>
    <row r="103">
      <c r="A103" s="180"/>
      <c r="B103" s="181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</row>
    <row r="104">
      <c r="A104" s="180"/>
      <c r="B104" s="181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</row>
    <row r="105">
      <c r="A105" s="180"/>
      <c r="B105" s="181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</row>
    <row r="106">
      <c r="A106" s="180"/>
      <c r="B106" s="181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</row>
    <row r="107">
      <c r="A107" s="180"/>
      <c r="B107" s="181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</row>
    <row r="108">
      <c r="A108" s="180"/>
      <c r="B108" s="181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</row>
    <row r="109">
      <c r="A109" s="180"/>
      <c r="B109" s="181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</row>
    <row r="110">
      <c r="A110" s="180"/>
      <c r="B110" s="181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</row>
    <row r="111">
      <c r="A111" s="180"/>
      <c r="B111" s="181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</row>
    <row r="112">
      <c r="A112" s="180"/>
      <c r="B112" s="181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</row>
    <row r="113">
      <c r="A113" s="180"/>
      <c r="B113" s="181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</row>
    <row r="114">
      <c r="A114" s="180"/>
      <c r="B114" s="181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</row>
    <row r="115">
      <c r="A115" s="180"/>
      <c r="B115" s="181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</row>
    <row r="116">
      <c r="A116" s="180"/>
      <c r="B116" s="181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</row>
    <row r="117">
      <c r="A117" s="180"/>
      <c r="B117" s="181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</row>
    <row r="118">
      <c r="A118" s="180"/>
      <c r="B118" s="181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</row>
    <row r="119">
      <c r="A119" s="180"/>
      <c r="B119" s="181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</row>
    <row r="120">
      <c r="A120" s="180"/>
      <c r="B120" s="181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</row>
    <row r="121">
      <c r="A121" s="180"/>
      <c r="B121" s="181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</row>
    <row r="122">
      <c r="A122" s="180"/>
      <c r="B122" s="181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</row>
    <row r="123">
      <c r="A123" s="180"/>
      <c r="B123" s="181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</row>
    <row r="124">
      <c r="A124" s="180"/>
      <c r="B124" s="181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</row>
    <row r="125">
      <c r="A125" s="180"/>
      <c r="B125" s="181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</row>
    <row r="126">
      <c r="A126" s="180"/>
      <c r="B126" s="181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</row>
    <row r="127">
      <c r="A127" s="180"/>
      <c r="B127" s="181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</row>
    <row r="128">
      <c r="A128" s="180"/>
      <c r="B128" s="181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</row>
    <row r="129">
      <c r="A129" s="180"/>
      <c r="B129" s="181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</row>
    <row r="130">
      <c r="A130" s="180"/>
      <c r="B130" s="181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</row>
    <row r="131">
      <c r="A131" s="180"/>
      <c r="B131" s="181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</row>
    <row r="132">
      <c r="A132" s="180"/>
      <c r="B132" s="181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</row>
    <row r="133">
      <c r="A133" s="180"/>
      <c r="B133" s="181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</row>
    <row r="134">
      <c r="A134" s="180"/>
      <c r="B134" s="181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</row>
    <row r="135">
      <c r="A135" s="180"/>
      <c r="B135" s="181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</row>
    <row r="136">
      <c r="A136" s="180"/>
      <c r="B136" s="181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</row>
    <row r="137">
      <c r="A137" s="180"/>
      <c r="B137" s="181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</row>
    <row r="138">
      <c r="A138" s="180"/>
      <c r="B138" s="181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</row>
    <row r="139">
      <c r="A139" s="180"/>
      <c r="B139" s="181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</row>
    <row r="140">
      <c r="A140" s="180"/>
      <c r="B140" s="181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</row>
    <row r="141">
      <c r="A141" s="180"/>
      <c r="B141" s="181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</row>
    <row r="142">
      <c r="A142" s="180"/>
      <c r="B142" s="181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</row>
    <row r="143">
      <c r="A143" s="180"/>
      <c r="B143" s="181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</row>
    <row r="144">
      <c r="A144" s="180"/>
      <c r="B144" s="181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</row>
    <row r="145">
      <c r="A145" s="180"/>
      <c r="B145" s="181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</row>
    <row r="146">
      <c r="A146" s="180"/>
      <c r="B146" s="181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</row>
    <row r="147">
      <c r="A147" s="180"/>
      <c r="B147" s="181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</row>
    <row r="148">
      <c r="A148" s="180"/>
      <c r="B148" s="181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</row>
    <row r="149">
      <c r="A149" s="180"/>
      <c r="B149" s="181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</row>
    <row r="150">
      <c r="A150" s="180"/>
      <c r="B150" s="181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</row>
    <row r="151">
      <c r="A151" s="180"/>
      <c r="B151" s="181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</row>
    <row r="152">
      <c r="A152" s="180"/>
      <c r="B152" s="181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</row>
    <row r="153">
      <c r="A153" s="180"/>
      <c r="B153" s="181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</row>
    <row r="154">
      <c r="A154" s="180"/>
      <c r="B154" s="181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</row>
    <row r="155">
      <c r="A155" s="180"/>
      <c r="B155" s="181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</row>
    <row r="156">
      <c r="A156" s="180"/>
      <c r="B156" s="181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</row>
    <row r="157">
      <c r="A157" s="180"/>
      <c r="B157" s="181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</row>
    <row r="158">
      <c r="A158" s="180"/>
      <c r="B158" s="181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</row>
    <row r="159">
      <c r="A159" s="180"/>
      <c r="B159" s="181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</row>
    <row r="160">
      <c r="A160" s="180"/>
      <c r="B160" s="181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</row>
    <row r="161">
      <c r="A161" s="180"/>
      <c r="B161" s="181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</row>
    <row r="162">
      <c r="A162" s="180"/>
      <c r="B162" s="181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</row>
    <row r="163">
      <c r="A163" s="180"/>
      <c r="B163" s="181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</row>
    <row r="164">
      <c r="A164" s="180"/>
      <c r="B164" s="181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</row>
    <row r="165">
      <c r="A165" s="180"/>
      <c r="B165" s="181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</row>
    <row r="166">
      <c r="A166" s="180"/>
      <c r="B166" s="181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</row>
    <row r="167">
      <c r="A167" s="180"/>
      <c r="B167" s="181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</row>
    <row r="168">
      <c r="A168" s="180"/>
      <c r="B168" s="181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</row>
    <row r="169">
      <c r="A169" s="180"/>
      <c r="B169" s="181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</row>
    <row r="170">
      <c r="A170" s="180"/>
      <c r="B170" s="181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</row>
    <row r="171">
      <c r="A171" s="180"/>
      <c r="B171" s="181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</row>
    <row r="172">
      <c r="A172" s="180"/>
      <c r="B172" s="181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</row>
    <row r="173">
      <c r="A173" s="180"/>
      <c r="B173" s="181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</row>
    <row r="174">
      <c r="A174" s="180"/>
      <c r="B174" s="181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</row>
    <row r="175">
      <c r="A175" s="180"/>
      <c r="B175" s="181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</row>
    <row r="176">
      <c r="A176" s="180"/>
      <c r="B176" s="181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</row>
    <row r="177">
      <c r="A177" s="180"/>
      <c r="B177" s="181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</row>
    <row r="178">
      <c r="A178" s="180"/>
      <c r="B178" s="181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</row>
    <row r="179">
      <c r="A179" s="180"/>
      <c r="B179" s="181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</row>
    <row r="180">
      <c r="A180" s="180"/>
      <c r="B180" s="181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</row>
    <row r="181">
      <c r="A181" s="180"/>
      <c r="B181" s="181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</row>
    <row r="182">
      <c r="A182" s="180"/>
      <c r="B182" s="181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</row>
    <row r="183">
      <c r="A183" s="180"/>
      <c r="B183" s="181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</row>
    <row r="184">
      <c r="A184" s="180"/>
      <c r="B184" s="181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</row>
    <row r="185">
      <c r="A185" s="180"/>
      <c r="B185" s="181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</row>
    <row r="186">
      <c r="A186" s="180"/>
      <c r="B186" s="181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</row>
    <row r="187">
      <c r="A187" s="180"/>
      <c r="B187" s="181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</row>
    <row r="188">
      <c r="A188" s="180"/>
      <c r="B188" s="181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</row>
    <row r="189">
      <c r="A189" s="180"/>
      <c r="B189" s="181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</row>
    <row r="190">
      <c r="A190" s="180"/>
      <c r="B190" s="181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</row>
    <row r="191">
      <c r="A191" s="180"/>
      <c r="B191" s="181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</row>
    <row r="192">
      <c r="A192" s="180"/>
      <c r="B192" s="181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</row>
    <row r="193">
      <c r="A193" s="180"/>
      <c r="B193" s="181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</row>
    <row r="194">
      <c r="A194" s="180"/>
      <c r="B194" s="181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</row>
    <row r="195">
      <c r="A195" s="180"/>
      <c r="B195" s="181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</row>
    <row r="196">
      <c r="A196" s="180"/>
      <c r="B196" s="181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</row>
    <row r="197">
      <c r="A197" s="180"/>
      <c r="B197" s="181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</row>
    <row r="198">
      <c r="A198" s="180"/>
      <c r="B198" s="181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</row>
    <row r="199">
      <c r="A199" s="180"/>
      <c r="B199" s="181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</row>
    <row r="200">
      <c r="A200" s="180"/>
      <c r="B200" s="181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</row>
    <row r="201">
      <c r="A201" s="180"/>
      <c r="B201" s="181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</row>
    <row r="202">
      <c r="A202" s="180"/>
      <c r="B202" s="181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</row>
    <row r="203">
      <c r="A203" s="180"/>
      <c r="B203" s="181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</row>
    <row r="204">
      <c r="A204" s="180"/>
      <c r="B204" s="181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</row>
    <row r="205">
      <c r="A205" s="180"/>
      <c r="B205" s="181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</row>
    <row r="206">
      <c r="A206" s="180"/>
      <c r="B206" s="181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</row>
    <row r="207">
      <c r="A207" s="180"/>
      <c r="B207" s="181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</row>
    <row r="208">
      <c r="A208" s="180"/>
      <c r="B208" s="181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</row>
    <row r="209">
      <c r="A209" s="180"/>
      <c r="B209" s="181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</row>
    <row r="210">
      <c r="A210" s="180"/>
      <c r="B210" s="181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</row>
    <row r="211">
      <c r="A211" s="180"/>
      <c r="B211" s="181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</row>
    <row r="212">
      <c r="A212" s="180"/>
      <c r="B212" s="181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</row>
    <row r="213">
      <c r="A213" s="180"/>
      <c r="B213" s="181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</row>
    <row r="214">
      <c r="A214" s="180"/>
      <c r="B214" s="181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</row>
    <row r="215">
      <c r="A215" s="180"/>
      <c r="B215" s="181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</row>
    <row r="216">
      <c r="A216" s="180"/>
      <c r="B216" s="181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</row>
    <row r="217">
      <c r="A217" s="180"/>
      <c r="B217" s="181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</row>
    <row r="218">
      <c r="A218" s="180"/>
      <c r="B218" s="181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</row>
    <row r="219">
      <c r="A219" s="180"/>
      <c r="B219" s="181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</row>
    <row r="220">
      <c r="A220" s="180"/>
      <c r="B220" s="181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</row>
    <row r="221">
      <c r="A221" s="180"/>
      <c r="B221" s="181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</row>
    <row r="222">
      <c r="A222" s="180"/>
      <c r="B222" s="181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</row>
    <row r="223">
      <c r="A223" s="180"/>
      <c r="B223" s="181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</row>
    <row r="224">
      <c r="A224" s="180"/>
      <c r="B224" s="181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</row>
    <row r="225">
      <c r="A225" s="180"/>
      <c r="B225" s="181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</row>
    <row r="226">
      <c r="A226" s="180"/>
      <c r="B226" s="181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</row>
    <row r="227">
      <c r="A227" s="180"/>
      <c r="B227" s="181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</row>
    <row r="228">
      <c r="A228" s="180"/>
      <c r="B228" s="181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</row>
    <row r="229">
      <c r="A229" s="180"/>
      <c r="B229" s="181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</row>
    <row r="230">
      <c r="A230" s="180"/>
      <c r="B230" s="181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</row>
    <row r="231">
      <c r="A231" s="180"/>
      <c r="B231" s="181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</row>
    <row r="232">
      <c r="A232" s="180"/>
      <c r="B232" s="181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</row>
    <row r="233">
      <c r="A233" s="180"/>
      <c r="B233" s="181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</row>
    <row r="234">
      <c r="A234" s="180"/>
      <c r="B234" s="181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</row>
    <row r="235">
      <c r="A235" s="180"/>
      <c r="B235" s="181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</row>
    <row r="236">
      <c r="A236" s="180"/>
      <c r="B236" s="181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</row>
    <row r="237">
      <c r="A237" s="180"/>
      <c r="B237" s="181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</row>
    <row r="238">
      <c r="A238" s="180"/>
      <c r="B238" s="181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</row>
    <row r="239">
      <c r="A239" s="180"/>
      <c r="B239" s="181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</row>
    <row r="240">
      <c r="A240" s="180"/>
      <c r="B240" s="181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</row>
    <row r="241">
      <c r="A241" s="180"/>
      <c r="B241" s="181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</row>
    <row r="242">
      <c r="A242" s="180"/>
      <c r="B242" s="181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</row>
    <row r="243">
      <c r="A243" s="180"/>
      <c r="B243" s="181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</row>
    <row r="244">
      <c r="A244" s="180"/>
      <c r="B244" s="181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</row>
    <row r="245">
      <c r="A245" s="180"/>
      <c r="B245" s="181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</row>
    <row r="246">
      <c r="A246" s="180"/>
      <c r="B246" s="181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</row>
    <row r="247">
      <c r="A247" s="180"/>
      <c r="B247" s="181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</row>
    <row r="248">
      <c r="A248" s="180"/>
      <c r="B248" s="181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</row>
    <row r="249">
      <c r="A249" s="180"/>
      <c r="B249" s="181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</row>
    <row r="250">
      <c r="A250" s="180"/>
      <c r="B250" s="181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</row>
    <row r="251">
      <c r="A251" s="180"/>
      <c r="B251" s="181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</row>
    <row r="252">
      <c r="A252" s="180"/>
      <c r="B252" s="181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</row>
    <row r="253">
      <c r="A253" s="180"/>
      <c r="B253" s="181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</row>
    <row r="254">
      <c r="A254" s="180"/>
      <c r="B254" s="181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</row>
    <row r="255">
      <c r="A255" s="180"/>
      <c r="B255" s="181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</row>
    <row r="256">
      <c r="A256" s="180"/>
      <c r="B256" s="181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</row>
    <row r="257">
      <c r="A257" s="180"/>
      <c r="B257" s="181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</row>
    <row r="258">
      <c r="A258" s="180"/>
      <c r="B258" s="181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</row>
    <row r="259">
      <c r="A259" s="180"/>
      <c r="B259" s="181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</row>
    <row r="260">
      <c r="A260" s="180"/>
      <c r="B260" s="181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</row>
    <row r="261">
      <c r="A261" s="180"/>
      <c r="B261" s="181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</row>
    <row r="262">
      <c r="A262" s="180"/>
      <c r="B262" s="181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</row>
    <row r="263">
      <c r="A263" s="180"/>
      <c r="B263" s="181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</row>
    <row r="264">
      <c r="A264" s="180"/>
      <c r="B264" s="181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</row>
    <row r="265">
      <c r="A265" s="180"/>
      <c r="B265" s="181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</row>
    <row r="266">
      <c r="A266" s="180"/>
      <c r="B266" s="181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</row>
    <row r="267">
      <c r="A267" s="180"/>
      <c r="B267" s="181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</row>
    <row r="268">
      <c r="A268" s="180"/>
      <c r="B268" s="181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</row>
    <row r="269">
      <c r="A269" s="180"/>
      <c r="B269" s="181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</row>
    <row r="270">
      <c r="A270" s="180"/>
      <c r="B270" s="181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</row>
    <row r="271">
      <c r="A271" s="180"/>
      <c r="B271" s="181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</row>
    <row r="272">
      <c r="A272" s="180"/>
      <c r="B272" s="181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</row>
    <row r="273">
      <c r="A273" s="180"/>
      <c r="B273" s="181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</row>
    <row r="274">
      <c r="A274" s="180"/>
      <c r="B274" s="181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</row>
    <row r="275">
      <c r="A275" s="180"/>
      <c r="B275" s="181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</row>
    <row r="276">
      <c r="A276" s="180"/>
      <c r="B276" s="181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</row>
    <row r="277">
      <c r="A277" s="180"/>
      <c r="B277" s="181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</row>
    <row r="278">
      <c r="A278" s="180"/>
      <c r="B278" s="181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</row>
    <row r="279">
      <c r="A279" s="180"/>
      <c r="B279" s="181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</row>
    <row r="280">
      <c r="A280" s="180"/>
      <c r="B280" s="181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</row>
    <row r="281">
      <c r="A281" s="180"/>
      <c r="B281" s="181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</row>
    <row r="282">
      <c r="A282" s="180"/>
      <c r="B282" s="181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</row>
    <row r="283">
      <c r="A283" s="180"/>
      <c r="B283" s="181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</row>
    <row r="284">
      <c r="A284" s="180"/>
      <c r="B284" s="181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</row>
    <row r="285">
      <c r="A285" s="180"/>
      <c r="B285" s="181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</row>
    <row r="286">
      <c r="A286" s="180"/>
      <c r="B286" s="181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</row>
    <row r="287">
      <c r="A287" s="180"/>
      <c r="B287" s="181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</row>
    <row r="288">
      <c r="A288" s="180"/>
      <c r="B288" s="181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</row>
    <row r="289">
      <c r="A289" s="180"/>
      <c r="B289" s="181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</row>
    <row r="290">
      <c r="A290" s="180"/>
      <c r="B290" s="181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</row>
    <row r="291">
      <c r="A291" s="180"/>
      <c r="B291" s="181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</row>
    <row r="292">
      <c r="A292" s="180"/>
      <c r="B292" s="181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</row>
    <row r="293">
      <c r="A293" s="180"/>
      <c r="B293" s="181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</row>
    <row r="294">
      <c r="A294" s="180"/>
      <c r="B294" s="181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</row>
    <row r="295">
      <c r="A295" s="180"/>
      <c r="B295" s="181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</row>
    <row r="296">
      <c r="A296" s="180"/>
      <c r="B296" s="181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</row>
    <row r="297">
      <c r="A297" s="180"/>
      <c r="B297" s="181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</row>
    <row r="298">
      <c r="A298" s="180"/>
      <c r="B298" s="181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</row>
    <row r="299">
      <c r="A299" s="180"/>
      <c r="B299" s="181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</row>
    <row r="300">
      <c r="A300" s="180"/>
      <c r="B300" s="181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</row>
    <row r="301">
      <c r="A301" s="180"/>
      <c r="B301" s="181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</row>
    <row r="302">
      <c r="A302" s="180"/>
      <c r="B302" s="181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</row>
    <row r="303">
      <c r="A303" s="180"/>
      <c r="B303" s="181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</row>
    <row r="304">
      <c r="A304" s="180"/>
      <c r="B304" s="181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</row>
    <row r="305">
      <c r="A305" s="180"/>
      <c r="B305" s="181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</row>
    <row r="306">
      <c r="A306" s="180"/>
      <c r="B306" s="181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</row>
    <row r="307">
      <c r="A307" s="180"/>
      <c r="B307" s="181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</row>
    <row r="308">
      <c r="A308" s="180"/>
      <c r="B308" s="181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</row>
    <row r="309">
      <c r="A309" s="180"/>
      <c r="B309" s="181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</row>
    <row r="310">
      <c r="A310" s="180"/>
      <c r="B310" s="181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</row>
    <row r="311">
      <c r="A311" s="180"/>
      <c r="B311" s="181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</row>
    <row r="312">
      <c r="A312" s="180"/>
      <c r="B312" s="181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</row>
    <row r="313">
      <c r="A313" s="180"/>
      <c r="B313" s="181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</row>
    <row r="314">
      <c r="A314" s="180"/>
      <c r="B314" s="181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</row>
    <row r="315">
      <c r="A315" s="180"/>
      <c r="B315" s="181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</row>
    <row r="316">
      <c r="A316" s="180"/>
      <c r="B316" s="181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</row>
    <row r="317">
      <c r="A317" s="180"/>
      <c r="B317" s="181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</row>
    <row r="318">
      <c r="A318" s="180"/>
      <c r="B318" s="181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</row>
    <row r="319">
      <c r="A319" s="180"/>
      <c r="B319" s="181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</row>
    <row r="320">
      <c r="A320" s="180"/>
      <c r="B320" s="181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</row>
    <row r="321">
      <c r="A321" s="180"/>
      <c r="B321" s="181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</row>
    <row r="322">
      <c r="A322" s="180"/>
      <c r="B322" s="181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</row>
    <row r="323">
      <c r="A323" s="180"/>
      <c r="B323" s="181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</row>
    <row r="324">
      <c r="A324" s="180"/>
      <c r="B324" s="181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</row>
    <row r="325">
      <c r="A325" s="180"/>
      <c r="B325" s="181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</row>
    <row r="326">
      <c r="A326" s="180"/>
      <c r="B326" s="181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</row>
    <row r="327">
      <c r="A327" s="180"/>
      <c r="B327" s="181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</row>
    <row r="328">
      <c r="A328" s="180"/>
      <c r="B328" s="181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</row>
    <row r="329">
      <c r="A329" s="180"/>
      <c r="B329" s="181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</row>
    <row r="330">
      <c r="A330" s="180"/>
      <c r="B330" s="181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</row>
    <row r="331">
      <c r="A331" s="180"/>
      <c r="B331" s="181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</row>
    <row r="332">
      <c r="A332" s="180"/>
      <c r="B332" s="181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</row>
    <row r="333">
      <c r="A333" s="180"/>
      <c r="B333" s="181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</row>
    <row r="334">
      <c r="A334" s="180"/>
      <c r="B334" s="181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</row>
    <row r="335">
      <c r="A335" s="180"/>
      <c r="B335" s="181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</row>
    <row r="336">
      <c r="A336" s="180"/>
      <c r="B336" s="181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</row>
    <row r="337">
      <c r="A337" s="180"/>
      <c r="B337" s="181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</row>
    <row r="338">
      <c r="A338" s="180"/>
      <c r="B338" s="181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</row>
    <row r="339">
      <c r="A339" s="180"/>
      <c r="B339" s="181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</row>
    <row r="340">
      <c r="A340" s="180"/>
      <c r="B340" s="181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</row>
    <row r="341">
      <c r="A341" s="180"/>
      <c r="B341" s="181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</row>
    <row r="342">
      <c r="A342" s="180"/>
      <c r="B342" s="181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</row>
    <row r="343">
      <c r="A343" s="180"/>
      <c r="B343" s="181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</row>
    <row r="344">
      <c r="A344" s="180"/>
      <c r="B344" s="181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</row>
    <row r="345">
      <c r="A345" s="180"/>
      <c r="B345" s="181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</row>
    <row r="346">
      <c r="A346" s="180"/>
      <c r="B346" s="181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</row>
    <row r="347">
      <c r="A347" s="180"/>
      <c r="B347" s="181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</row>
    <row r="348">
      <c r="A348" s="180"/>
      <c r="B348" s="181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</row>
    <row r="349">
      <c r="A349" s="180"/>
      <c r="B349" s="181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</row>
    <row r="350">
      <c r="A350" s="180"/>
      <c r="B350" s="181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</row>
    <row r="351">
      <c r="A351" s="180"/>
      <c r="B351" s="181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</row>
    <row r="352">
      <c r="A352" s="180"/>
      <c r="B352" s="181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</row>
    <row r="353">
      <c r="A353" s="180"/>
      <c r="B353" s="181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</row>
    <row r="354">
      <c r="A354" s="180"/>
      <c r="B354" s="181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</row>
    <row r="355">
      <c r="A355" s="180"/>
      <c r="B355" s="181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</row>
    <row r="356">
      <c r="A356" s="180"/>
      <c r="B356" s="181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</row>
    <row r="357">
      <c r="A357" s="180"/>
      <c r="B357" s="181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</row>
    <row r="358">
      <c r="A358" s="180"/>
      <c r="B358" s="181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</row>
    <row r="359">
      <c r="A359" s="180"/>
      <c r="B359" s="181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</row>
    <row r="360">
      <c r="A360" s="180"/>
      <c r="B360" s="181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</row>
    <row r="361">
      <c r="A361" s="180"/>
      <c r="B361" s="181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</row>
    <row r="362">
      <c r="A362" s="180"/>
      <c r="B362" s="181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</row>
    <row r="363">
      <c r="A363" s="180"/>
      <c r="B363" s="181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</row>
    <row r="364">
      <c r="A364" s="180"/>
      <c r="B364" s="181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</row>
    <row r="365">
      <c r="A365" s="180"/>
      <c r="B365" s="181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</row>
    <row r="366">
      <c r="A366" s="180"/>
      <c r="B366" s="181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</row>
    <row r="367">
      <c r="A367" s="180"/>
      <c r="B367" s="181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</row>
    <row r="368">
      <c r="A368" s="180"/>
      <c r="B368" s="181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</row>
    <row r="369">
      <c r="A369" s="180"/>
      <c r="B369" s="181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</row>
    <row r="370">
      <c r="A370" s="180"/>
      <c r="B370" s="181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</row>
    <row r="371">
      <c r="A371" s="180"/>
      <c r="B371" s="181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</row>
    <row r="372">
      <c r="A372" s="180"/>
      <c r="B372" s="181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</row>
    <row r="373">
      <c r="A373" s="180"/>
      <c r="B373" s="181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</row>
    <row r="374">
      <c r="A374" s="180"/>
      <c r="B374" s="181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</row>
    <row r="375">
      <c r="A375" s="180"/>
      <c r="B375" s="181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</row>
    <row r="376">
      <c r="A376" s="180"/>
      <c r="B376" s="181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</row>
    <row r="377">
      <c r="A377" s="180"/>
      <c r="B377" s="181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</row>
    <row r="378">
      <c r="A378" s="180"/>
      <c r="B378" s="181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</row>
    <row r="379">
      <c r="A379" s="180"/>
      <c r="B379" s="181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</row>
    <row r="380">
      <c r="A380" s="180"/>
      <c r="B380" s="181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</row>
    <row r="381">
      <c r="A381" s="180"/>
      <c r="B381" s="181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</row>
    <row r="382">
      <c r="A382" s="180"/>
      <c r="B382" s="181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</row>
    <row r="383">
      <c r="A383" s="180"/>
      <c r="B383" s="181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</row>
    <row r="384">
      <c r="A384" s="180"/>
      <c r="B384" s="181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</row>
    <row r="385">
      <c r="A385" s="180"/>
      <c r="B385" s="181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</row>
    <row r="386">
      <c r="A386" s="180"/>
      <c r="B386" s="181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</row>
    <row r="387">
      <c r="A387" s="180"/>
      <c r="B387" s="181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</row>
    <row r="388">
      <c r="A388" s="180"/>
      <c r="B388" s="181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</row>
    <row r="389">
      <c r="A389" s="180"/>
      <c r="B389" s="181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</row>
    <row r="390">
      <c r="A390" s="180"/>
      <c r="B390" s="181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</row>
    <row r="391">
      <c r="A391" s="180"/>
      <c r="B391" s="181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</row>
    <row r="392">
      <c r="A392" s="180"/>
      <c r="B392" s="181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</row>
    <row r="393">
      <c r="A393" s="180"/>
      <c r="B393" s="181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</row>
    <row r="394">
      <c r="A394" s="180"/>
      <c r="B394" s="181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</row>
    <row r="395">
      <c r="A395" s="180"/>
      <c r="B395" s="181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</row>
    <row r="396">
      <c r="A396" s="180"/>
      <c r="B396" s="181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</row>
    <row r="397">
      <c r="A397" s="180"/>
      <c r="B397" s="181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</row>
    <row r="398">
      <c r="A398" s="180"/>
      <c r="B398" s="181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</row>
    <row r="399">
      <c r="A399" s="180"/>
      <c r="B399" s="181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</row>
    <row r="400">
      <c r="A400" s="180"/>
      <c r="B400" s="181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</row>
    <row r="401">
      <c r="A401" s="180"/>
      <c r="B401" s="181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</row>
    <row r="402">
      <c r="A402" s="180"/>
      <c r="B402" s="181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</row>
    <row r="403">
      <c r="A403" s="180"/>
      <c r="B403" s="181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</row>
    <row r="404">
      <c r="A404" s="180"/>
      <c r="B404" s="181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</row>
    <row r="405">
      <c r="A405" s="180"/>
      <c r="B405" s="181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</row>
    <row r="406">
      <c r="A406" s="180"/>
      <c r="B406" s="181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</row>
    <row r="407">
      <c r="A407" s="180"/>
      <c r="B407" s="181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</row>
    <row r="408">
      <c r="A408" s="180"/>
      <c r="B408" s="181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</row>
    <row r="409">
      <c r="A409" s="180"/>
      <c r="B409" s="181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</row>
    <row r="410">
      <c r="A410" s="180"/>
      <c r="B410" s="181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</row>
    <row r="411">
      <c r="A411" s="180"/>
      <c r="B411" s="181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</row>
    <row r="412">
      <c r="A412" s="180"/>
      <c r="B412" s="181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</row>
    <row r="413">
      <c r="A413" s="180"/>
      <c r="B413" s="181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</row>
    <row r="414">
      <c r="A414" s="180"/>
      <c r="B414" s="181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</row>
    <row r="415">
      <c r="A415" s="180"/>
      <c r="B415" s="181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</row>
    <row r="416">
      <c r="A416" s="180"/>
      <c r="B416" s="181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</row>
    <row r="417">
      <c r="A417" s="180"/>
      <c r="B417" s="181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</row>
    <row r="418">
      <c r="A418" s="180"/>
      <c r="B418" s="181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</row>
    <row r="419">
      <c r="A419" s="180"/>
      <c r="B419" s="181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</row>
    <row r="420">
      <c r="A420" s="180"/>
      <c r="B420" s="181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</row>
    <row r="421">
      <c r="A421" s="180"/>
      <c r="B421" s="181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</row>
    <row r="422">
      <c r="A422" s="180"/>
      <c r="B422" s="181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</row>
    <row r="423">
      <c r="A423" s="180"/>
      <c r="B423" s="181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</row>
    <row r="424">
      <c r="A424" s="180"/>
      <c r="B424" s="181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</row>
    <row r="425">
      <c r="A425" s="180"/>
      <c r="B425" s="181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</row>
    <row r="426">
      <c r="A426" s="180"/>
      <c r="B426" s="181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</row>
    <row r="427">
      <c r="A427" s="180"/>
      <c r="B427" s="181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</row>
    <row r="428">
      <c r="A428" s="180"/>
      <c r="B428" s="181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</row>
    <row r="429">
      <c r="A429" s="180"/>
      <c r="B429" s="181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</row>
    <row r="430">
      <c r="A430" s="180"/>
      <c r="B430" s="181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</row>
    <row r="431">
      <c r="A431" s="180"/>
      <c r="B431" s="181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</row>
    <row r="432">
      <c r="A432" s="180"/>
      <c r="B432" s="181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</row>
    <row r="433">
      <c r="A433" s="180"/>
      <c r="B433" s="181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</row>
    <row r="434">
      <c r="A434" s="180"/>
      <c r="B434" s="181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</row>
    <row r="435">
      <c r="A435" s="180"/>
      <c r="B435" s="181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</row>
    <row r="436">
      <c r="A436" s="180"/>
      <c r="B436" s="181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</row>
    <row r="437">
      <c r="A437" s="180"/>
      <c r="B437" s="181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</row>
    <row r="438">
      <c r="A438" s="180"/>
      <c r="B438" s="181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</row>
    <row r="439">
      <c r="A439" s="180"/>
      <c r="B439" s="181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</row>
    <row r="440">
      <c r="A440" s="180"/>
      <c r="B440" s="181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</row>
    <row r="441">
      <c r="A441" s="180"/>
      <c r="B441" s="181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</row>
    <row r="442">
      <c r="A442" s="180"/>
      <c r="B442" s="181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</row>
    <row r="443">
      <c r="A443" s="180"/>
      <c r="B443" s="181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</row>
    <row r="444">
      <c r="A444" s="180"/>
      <c r="B444" s="181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</row>
    <row r="445">
      <c r="A445" s="180"/>
      <c r="B445" s="181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</row>
    <row r="446">
      <c r="A446" s="180"/>
      <c r="B446" s="181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</row>
    <row r="447">
      <c r="A447" s="180"/>
      <c r="B447" s="181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</row>
    <row r="448">
      <c r="A448" s="180"/>
      <c r="B448" s="181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</row>
    <row r="449">
      <c r="A449" s="180"/>
      <c r="B449" s="181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</row>
    <row r="450">
      <c r="A450" s="180"/>
      <c r="B450" s="181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</row>
    <row r="451">
      <c r="A451" s="180"/>
      <c r="B451" s="181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</row>
    <row r="452">
      <c r="A452" s="180"/>
      <c r="B452" s="181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</row>
    <row r="453">
      <c r="A453" s="180"/>
      <c r="B453" s="181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</row>
    <row r="454">
      <c r="A454" s="180"/>
      <c r="B454" s="181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</row>
    <row r="455">
      <c r="A455" s="180"/>
      <c r="B455" s="181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</row>
    <row r="456">
      <c r="A456" s="180"/>
      <c r="B456" s="181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</row>
    <row r="457">
      <c r="A457" s="180"/>
      <c r="B457" s="181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</row>
    <row r="458">
      <c r="A458" s="180"/>
      <c r="B458" s="181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</row>
    <row r="459">
      <c r="A459" s="180"/>
      <c r="B459" s="181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</row>
    <row r="460">
      <c r="A460" s="180"/>
      <c r="B460" s="181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</row>
    <row r="461">
      <c r="A461" s="180"/>
      <c r="B461" s="181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</row>
    <row r="462">
      <c r="A462" s="180"/>
      <c r="B462" s="181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</row>
    <row r="463">
      <c r="A463" s="180"/>
      <c r="B463" s="181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</row>
    <row r="464">
      <c r="A464" s="180"/>
      <c r="B464" s="181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</row>
    <row r="465">
      <c r="A465" s="180"/>
      <c r="B465" s="181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</row>
    <row r="466">
      <c r="A466" s="180"/>
      <c r="B466" s="181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</row>
    <row r="467">
      <c r="A467" s="180"/>
      <c r="B467" s="181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</row>
    <row r="468">
      <c r="A468" s="180"/>
      <c r="B468" s="181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</row>
    <row r="469">
      <c r="A469" s="180"/>
      <c r="B469" s="181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</row>
    <row r="470">
      <c r="A470" s="180"/>
      <c r="B470" s="181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</row>
    <row r="471">
      <c r="A471" s="180"/>
      <c r="B471" s="181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</row>
    <row r="472">
      <c r="A472" s="180"/>
      <c r="B472" s="181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</row>
    <row r="473">
      <c r="A473" s="180"/>
      <c r="B473" s="181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</row>
    <row r="474">
      <c r="A474" s="180"/>
      <c r="B474" s="181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</row>
    <row r="475">
      <c r="A475" s="180"/>
      <c r="B475" s="181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</row>
    <row r="476">
      <c r="A476" s="180"/>
      <c r="B476" s="181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</row>
    <row r="477">
      <c r="A477" s="180"/>
      <c r="B477" s="181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</row>
    <row r="478">
      <c r="A478" s="180"/>
      <c r="B478" s="181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</row>
    <row r="479">
      <c r="A479" s="180"/>
      <c r="B479" s="181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</row>
    <row r="480">
      <c r="A480" s="180"/>
      <c r="B480" s="181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</row>
    <row r="481">
      <c r="A481" s="180"/>
      <c r="B481" s="181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</row>
    <row r="482">
      <c r="A482" s="180"/>
      <c r="B482" s="181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</row>
    <row r="483">
      <c r="A483" s="180"/>
      <c r="B483" s="181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</row>
    <row r="484">
      <c r="A484" s="180"/>
      <c r="B484" s="181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</row>
    <row r="485">
      <c r="A485" s="180"/>
      <c r="B485" s="181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</row>
    <row r="486">
      <c r="A486" s="180"/>
      <c r="B486" s="181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</row>
    <row r="487">
      <c r="A487" s="180"/>
      <c r="B487" s="181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</row>
    <row r="488">
      <c r="A488" s="180"/>
      <c r="B488" s="181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</row>
    <row r="489">
      <c r="A489" s="180"/>
      <c r="B489" s="181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</row>
    <row r="490">
      <c r="A490" s="180"/>
      <c r="B490" s="181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</row>
    <row r="491">
      <c r="A491" s="180"/>
      <c r="B491" s="181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</row>
    <row r="492">
      <c r="A492" s="180"/>
      <c r="B492" s="181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</row>
    <row r="493">
      <c r="A493" s="180"/>
      <c r="B493" s="181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</row>
    <row r="494">
      <c r="A494" s="180"/>
      <c r="B494" s="181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</row>
    <row r="495">
      <c r="A495" s="180"/>
      <c r="B495" s="181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</row>
    <row r="496">
      <c r="A496" s="180"/>
      <c r="B496" s="181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</row>
    <row r="497">
      <c r="A497" s="180"/>
      <c r="B497" s="181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</row>
    <row r="498">
      <c r="A498" s="180"/>
      <c r="B498" s="181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</row>
    <row r="499">
      <c r="A499" s="180"/>
      <c r="B499" s="181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</row>
    <row r="500">
      <c r="A500" s="180"/>
      <c r="B500" s="181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</row>
    <row r="501">
      <c r="A501" s="180"/>
      <c r="B501" s="181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</row>
    <row r="502">
      <c r="A502" s="180"/>
      <c r="B502" s="181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</row>
    <row r="503">
      <c r="A503" s="180"/>
      <c r="B503" s="181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</row>
    <row r="504">
      <c r="A504" s="180"/>
      <c r="B504" s="181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</row>
    <row r="505">
      <c r="A505" s="180"/>
      <c r="B505" s="181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</row>
    <row r="506">
      <c r="A506" s="180"/>
      <c r="B506" s="181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</row>
    <row r="507">
      <c r="A507" s="180"/>
      <c r="B507" s="181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</row>
    <row r="508">
      <c r="A508" s="180"/>
      <c r="B508" s="181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</row>
    <row r="509">
      <c r="A509" s="180"/>
      <c r="B509" s="181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</row>
    <row r="510">
      <c r="A510" s="180"/>
      <c r="B510" s="181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</row>
    <row r="511">
      <c r="A511" s="180"/>
      <c r="B511" s="181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</row>
    <row r="512">
      <c r="A512" s="180"/>
      <c r="B512" s="181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</row>
    <row r="513">
      <c r="A513" s="180"/>
      <c r="B513" s="181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</row>
    <row r="514">
      <c r="A514" s="180"/>
      <c r="B514" s="181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</row>
    <row r="515">
      <c r="A515" s="180"/>
      <c r="B515" s="181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</row>
    <row r="516">
      <c r="A516" s="180"/>
      <c r="B516" s="181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</row>
    <row r="517">
      <c r="A517" s="180"/>
      <c r="B517" s="181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</row>
    <row r="518">
      <c r="A518" s="180"/>
      <c r="B518" s="181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</row>
    <row r="519">
      <c r="A519" s="180"/>
      <c r="B519" s="181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</row>
    <row r="520">
      <c r="A520" s="180"/>
      <c r="B520" s="181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</row>
    <row r="521">
      <c r="A521" s="180"/>
      <c r="B521" s="181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</row>
    <row r="522">
      <c r="A522" s="180"/>
      <c r="B522" s="181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</row>
    <row r="523">
      <c r="A523" s="180"/>
      <c r="B523" s="181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</row>
    <row r="524">
      <c r="A524" s="180"/>
      <c r="B524" s="181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</row>
    <row r="525">
      <c r="A525" s="180"/>
      <c r="B525" s="181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</row>
    <row r="526">
      <c r="A526" s="180"/>
      <c r="B526" s="181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</row>
    <row r="527">
      <c r="A527" s="180"/>
      <c r="B527" s="181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</row>
    <row r="528">
      <c r="A528" s="180"/>
      <c r="B528" s="181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</row>
    <row r="529">
      <c r="A529" s="180"/>
      <c r="B529" s="181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</row>
    <row r="530">
      <c r="A530" s="180"/>
      <c r="B530" s="181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</row>
    <row r="531">
      <c r="A531" s="180"/>
      <c r="B531" s="181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</row>
    <row r="532">
      <c r="A532" s="180"/>
      <c r="B532" s="181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</row>
    <row r="533">
      <c r="A533" s="180"/>
      <c r="B533" s="181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</row>
    <row r="534">
      <c r="A534" s="180"/>
      <c r="B534" s="181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</row>
    <row r="535">
      <c r="A535" s="180"/>
      <c r="B535" s="181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</row>
    <row r="536">
      <c r="A536" s="180"/>
      <c r="B536" s="181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</row>
    <row r="537">
      <c r="A537" s="180"/>
      <c r="B537" s="181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</row>
    <row r="538">
      <c r="A538" s="180"/>
      <c r="B538" s="181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</row>
    <row r="539">
      <c r="A539" s="180"/>
      <c r="B539" s="181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</row>
    <row r="540">
      <c r="A540" s="180"/>
      <c r="B540" s="181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</row>
    <row r="541">
      <c r="A541" s="180"/>
      <c r="B541" s="181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</row>
    <row r="542">
      <c r="A542" s="180"/>
      <c r="B542" s="181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</row>
    <row r="543">
      <c r="A543" s="180"/>
      <c r="B543" s="181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</row>
    <row r="544">
      <c r="A544" s="180"/>
      <c r="B544" s="181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</row>
    <row r="545">
      <c r="A545" s="180"/>
      <c r="B545" s="181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</row>
    <row r="546">
      <c r="A546" s="180"/>
      <c r="B546" s="181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</row>
    <row r="547">
      <c r="A547" s="180"/>
      <c r="B547" s="181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</row>
    <row r="548">
      <c r="A548" s="180"/>
      <c r="B548" s="181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</row>
    <row r="549">
      <c r="A549" s="180"/>
      <c r="B549" s="181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</row>
    <row r="550">
      <c r="A550" s="180"/>
      <c r="B550" s="181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</row>
    <row r="551">
      <c r="A551" s="180"/>
      <c r="B551" s="181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</row>
    <row r="552">
      <c r="A552" s="180"/>
      <c r="B552" s="181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</row>
    <row r="553">
      <c r="A553" s="180"/>
      <c r="B553" s="181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</row>
    <row r="554">
      <c r="A554" s="180"/>
      <c r="B554" s="181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</row>
    <row r="555">
      <c r="A555" s="180"/>
      <c r="B555" s="181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</row>
    <row r="556">
      <c r="A556" s="180"/>
      <c r="B556" s="181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</row>
    <row r="557">
      <c r="A557" s="180"/>
      <c r="B557" s="181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</row>
    <row r="558">
      <c r="A558" s="180"/>
      <c r="B558" s="181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</row>
    <row r="559">
      <c r="A559" s="180"/>
      <c r="B559" s="181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</row>
    <row r="560">
      <c r="A560" s="180"/>
      <c r="B560" s="181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</row>
    <row r="561">
      <c r="A561" s="180"/>
      <c r="B561" s="181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</row>
    <row r="562">
      <c r="A562" s="180"/>
      <c r="B562" s="181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</row>
    <row r="563">
      <c r="A563" s="180"/>
      <c r="B563" s="181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</row>
    <row r="564">
      <c r="A564" s="180"/>
      <c r="B564" s="181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</row>
    <row r="565">
      <c r="A565" s="180"/>
      <c r="B565" s="181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</row>
    <row r="566">
      <c r="A566" s="180"/>
      <c r="B566" s="181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</row>
    <row r="567">
      <c r="A567" s="180"/>
      <c r="B567" s="181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</row>
    <row r="568">
      <c r="A568" s="180"/>
      <c r="B568" s="181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</row>
    <row r="569">
      <c r="A569" s="180"/>
      <c r="B569" s="181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</row>
    <row r="570">
      <c r="A570" s="180"/>
      <c r="B570" s="181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</row>
    <row r="571">
      <c r="A571" s="180"/>
      <c r="B571" s="181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</row>
    <row r="572">
      <c r="A572" s="180"/>
      <c r="B572" s="181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</row>
    <row r="573">
      <c r="A573" s="180"/>
      <c r="B573" s="181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</row>
    <row r="574">
      <c r="A574" s="180"/>
      <c r="B574" s="181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</row>
    <row r="575">
      <c r="A575" s="180"/>
      <c r="B575" s="181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</row>
    <row r="576">
      <c r="A576" s="180"/>
      <c r="B576" s="181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</row>
    <row r="577">
      <c r="A577" s="180"/>
      <c r="B577" s="181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</row>
    <row r="578">
      <c r="A578" s="180"/>
      <c r="B578" s="181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</row>
    <row r="579">
      <c r="A579" s="180"/>
      <c r="B579" s="181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</row>
    <row r="580">
      <c r="A580" s="180"/>
      <c r="B580" s="181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</row>
    <row r="581">
      <c r="A581" s="180"/>
      <c r="B581" s="181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</row>
    <row r="582">
      <c r="A582" s="180"/>
      <c r="B582" s="181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</row>
    <row r="583">
      <c r="A583" s="180"/>
      <c r="B583" s="181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</row>
    <row r="584">
      <c r="A584" s="180"/>
      <c r="B584" s="181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</row>
    <row r="585">
      <c r="A585" s="180"/>
      <c r="B585" s="181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</row>
    <row r="586">
      <c r="A586" s="180"/>
      <c r="B586" s="181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</row>
    <row r="587">
      <c r="A587" s="180"/>
      <c r="B587" s="181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</row>
    <row r="588">
      <c r="A588" s="180"/>
      <c r="B588" s="181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</row>
    <row r="589">
      <c r="A589" s="180"/>
      <c r="B589" s="181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</row>
    <row r="590">
      <c r="A590" s="180"/>
      <c r="B590" s="181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</row>
    <row r="591">
      <c r="A591" s="180"/>
      <c r="B591" s="181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</row>
    <row r="592">
      <c r="A592" s="180"/>
      <c r="B592" s="181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</row>
    <row r="593">
      <c r="A593" s="180"/>
      <c r="B593" s="181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</row>
    <row r="594">
      <c r="A594" s="180"/>
      <c r="B594" s="181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</row>
    <row r="595">
      <c r="A595" s="180"/>
      <c r="B595" s="181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</row>
    <row r="596">
      <c r="A596" s="180"/>
      <c r="B596" s="181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</row>
    <row r="597">
      <c r="A597" s="180"/>
      <c r="B597" s="181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</row>
    <row r="598">
      <c r="A598" s="180"/>
      <c r="B598" s="181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</row>
    <row r="599">
      <c r="A599" s="180"/>
      <c r="B599" s="181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</row>
    <row r="600">
      <c r="A600" s="180"/>
      <c r="B600" s="181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</row>
    <row r="601">
      <c r="A601" s="180"/>
      <c r="B601" s="181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</row>
    <row r="602">
      <c r="A602" s="180"/>
      <c r="B602" s="181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</row>
    <row r="603">
      <c r="A603" s="180"/>
      <c r="B603" s="181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</row>
    <row r="604">
      <c r="A604" s="180"/>
      <c r="B604" s="181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</row>
    <row r="605">
      <c r="A605" s="180"/>
      <c r="B605" s="181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</row>
    <row r="606">
      <c r="A606" s="180"/>
      <c r="B606" s="181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</row>
    <row r="607">
      <c r="A607" s="180"/>
      <c r="B607" s="181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</row>
    <row r="608">
      <c r="A608" s="180"/>
      <c r="B608" s="181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</row>
    <row r="609">
      <c r="A609" s="180"/>
      <c r="B609" s="181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</row>
    <row r="610">
      <c r="A610" s="180"/>
      <c r="B610" s="181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</row>
    <row r="611">
      <c r="A611" s="180"/>
      <c r="B611" s="181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</row>
    <row r="612">
      <c r="A612" s="180"/>
      <c r="B612" s="181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</row>
    <row r="613">
      <c r="A613" s="180"/>
      <c r="B613" s="181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</row>
    <row r="614">
      <c r="A614" s="180"/>
      <c r="B614" s="181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</row>
    <row r="615">
      <c r="A615" s="180"/>
      <c r="B615" s="181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</row>
    <row r="616">
      <c r="A616" s="180"/>
      <c r="B616" s="181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</row>
    <row r="617">
      <c r="A617" s="180"/>
      <c r="B617" s="181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</row>
    <row r="618">
      <c r="A618" s="180"/>
      <c r="B618" s="181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</row>
    <row r="619">
      <c r="A619" s="180"/>
      <c r="B619" s="181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</row>
    <row r="620">
      <c r="A620" s="180"/>
      <c r="B620" s="181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</row>
    <row r="621">
      <c r="A621" s="180"/>
      <c r="B621" s="181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</row>
    <row r="622">
      <c r="A622" s="180"/>
      <c r="B622" s="181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</row>
    <row r="623">
      <c r="A623" s="180"/>
      <c r="B623" s="181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</row>
    <row r="624">
      <c r="A624" s="180"/>
      <c r="B624" s="181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</row>
    <row r="625">
      <c r="A625" s="180"/>
      <c r="B625" s="181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</row>
    <row r="626">
      <c r="A626" s="180"/>
      <c r="B626" s="181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</row>
    <row r="627">
      <c r="A627" s="180"/>
      <c r="B627" s="181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</row>
    <row r="628">
      <c r="A628" s="180"/>
      <c r="B628" s="181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</row>
    <row r="629">
      <c r="A629" s="180"/>
      <c r="B629" s="181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</row>
    <row r="630">
      <c r="A630" s="180"/>
      <c r="B630" s="181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</row>
    <row r="631">
      <c r="A631" s="180"/>
      <c r="B631" s="181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</row>
    <row r="632">
      <c r="A632" s="180"/>
      <c r="B632" s="181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</row>
    <row r="633">
      <c r="A633" s="180"/>
      <c r="B633" s="181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</row>
    <row r="634">
      <c r="A634" s="180"/>
      <c r="B634" s="181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</row>
    <row r="635">
      <c r="A635" s="180"/>
      <c r="B635" s="181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</row>
    <row r="636">
      <c r="A636" s="180"/>
      <c r="B636" s="181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</row>
    <row r="637">
      <c r="A637" s="180"/>
      <c r="B637" s="181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</row>
    <row r="638">
      <c r="A638" s="180"/>
      <c r="B638" s="181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</row>
    <row r="639">
      <c r="A639" s="180"/>
      <c r="B639" s="181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</row>
    <row r="640">
      <c r="A640" s="180"/>
      <c r="B640" s="181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</row>
    <row r="641">
      <c r="A641" s="180"/>
      <c r="B641" s="181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</row>
    <row r="642">
      <c r="A642" s="180"/>
      <c r="B642" s="181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</row>
    <row r="643">
      <c r="A643" s="180"/>
      <c r="B643" s="181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</row>
    <row r="644">
      <c r="A644" s="180"/>
      <c r="B644" s="181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</row>
    <row r="645">
      <c r="A645" s="180"/>
      <c r="B645" s="181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</row>
    <row r="646">
      <c r="A646" s="180"/>
      <c r="B646" s="181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</row>
    <row r="647">
      <c r="A647" s="180"/>
      <c r="B647" s="181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</row>
    <row r="648">
      <c r="A648" s="180"/>
      <c r="B648" s="181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</row>
    <row r="649">
      <c r="A649" s="180"/>
      <c r="B649" s="181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</row>
    <row r="650">
      <c r="A650" s="180"/>
      <c r="B650" s="181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</row>
    <row r="651">
      <c r="A651" s="180"/>
      <c r="B651" s="181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</row>
    <row r="652">
      <c r="A652" s="180"/>
      <c r="B652" s="181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</row>
    <row r="653">
      <c r="A653" s="180"/>
      <c r="B653" s="181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</row>
    <row r="654">
      <c r="A654" s="180"/>
      <c r="B654" s="181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</row>
    <row r="655">
      <c r="A655" s="180"/>
      <c r="B655" s="181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</row>
    <row r="656">
      <c r="A656" s="180"/>
      <c r="B656" s="181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</row>
    <row r="657">
      <c r="A657" s="180"/>
      <c r="B657" s="181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</row>
    <row r="658">
      <c r="A658" s="180"/>
      <c r="B658" s="181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</row>
    <row r="659">
      <c r="A659" s="180"/>
      <c r="B659" s="181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</row>
    <row r="660">
      <c r="A660" s="180"/>
      <c r="B660" s="181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</row>
    <row r="661">
      <c r="A661" s="180"/>
      <c r="B661" s="181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</row>
    <row r="662">
      <c r="A662" s="180"/>
      <c r="B662" s="181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</row>
    <row r="663">
      <c r="A663" s="180"/>
      <c r="B663" s="181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</row>
    <row r="664">
      <c r="A664" s="180"/>
      <c r="B664" s="181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</row>
    <row r="665">
      <c r="A665" s="180"/>
      <c r="B665" s="181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</row>
    <row r="666">
      <c r="A666" s="180"/>
      <c r="B666" s="181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</row>
    <row r="667">
      <c r="A667" s="180"/>
      <c r="B667" s="181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</row>
    <row r="668">
      <c r="A668" s="180"/>
      <c r="B668" s="181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</row>
    <row r="669">
      <c r="A669" s="180"/>
      <c r="B669" s="181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</row>
    <row r="670">
      <c r="A670" s="180"/>
      <c r="B670" s="181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</row>
    <row r="671">
      <c r="A671" s="180"/>
      <c r="B671" s="181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</row>
    <row r="672">
      <c r="A672" s="180"/>
      <c r="B672" s="181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</row>
    <row r="673">
      <c r="A673" s="180"/>
      <c r="B673" s="181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</row>
    <row r="674">
      <c r="A674" s="180"/>
      <c r="B674" s="181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</row>
    <row r="675">
      <c r="A675" s="180"/>
      <c r="B675" s="181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</row>
    <row r="676">
      <c r="A676" s="180"/>
      <c r="B676" s="181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</row>
    <row r="677">
      <c r="A677" s="180"/>
      <c r="B677" s="181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</row>
    <row r="678">
      <c r="A678" s="180"/>
      <c r="B678" s="181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</row>
    <row r="679">
      <c r="A679" s="180"/>
      <c r="B679" s="181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</row>
    <row r="680">
      <c r="A680" s="180"/>
      <c r="B680" s="181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</row>
    <row r="681">
      <c r="A681" s="180"/>
      <c r="B681" s="181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</row>
    <row r="682">
      <c r="A682" s="180"/>
      <c r="B682" s="181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</row>
    <row r="683">
      <c r="A683" s="180"/>
      <c r="B683" s="181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</row>
    <row r="684">
      <c r="A684" s="180"/>
      <c r="B684" s="181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</row>
    <row r="685">
      <c r="A685" s="180"/>
      <c r="B685" s="181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</row>
    <row r="686">
      <c r="A686" s="180"/>
      <c r="B686" s="181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</row>
    <row r="687">
      <c r="A687" s="180"/>
      <c r="B687" s="181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</row>
    <row r="688">
      <c r="A688" s="180"/>
      <c r="B688" s="181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</row>
    <row r="689">
      <c r="A689" s="180"/>
      <c r="B689" s="181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</row>
    <row r="690">
      <c r="A690" s="180"/>
      <c r="B690" s="181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</row>
    <row r="691">
      <c r="A691" s="180"/>
      <c r="B691" s="181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</row>
    <row r="692">
      <c r="A692" s="180"/>
      <c r="B692" s="181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</row>
    <row r="693">
      <c r="A693" s="180"/>
      <c r="B693" s="181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</row>
    <row r="694">
      <c r="A694" s="180"/>
      <c r="B694" s="181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</row>
    <row r="695">
      <c r="A695" s="180"/>
      <c r="B695" s="181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</row>
    <row r="696">
      <c r="A696" s="180"/>
      <c r="B696" s="181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</row>
    <row r="697">
      <c r="A697" s="180"/>
      <c r="B697" s="181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</row>
    <row r="698">
      <c r="A698" s="180"/>
      <c r="B698" s="181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</row>
    <row r="699">
      <c r="A699" s="180"/>
      <c r="B699" s="181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</row>
    <row r="700">
      <c r="A700" s="180"/>
      <c r="B700" s="181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</row>
    <row r="701">
      <c r="A701" s="180"/>
      <c r="B701" s="181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</row>
    <row r="702">
      <c r="A702" s="180"/>
      <c r="B702" s="181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</row>
    <row r="703">
      <c r="A703" s="180"/>
      <c r="B703" s="181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</row>
    <row r="704">
      <c r="A704" s="180"/>
      <c r="B704" s="181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</row>
    <row r="705">
      <c r="A705" s="180"/>
      <c r="B705" s="181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</row>
    <row r="706">
      <c r="A706" s="180"/>
      <c r="B706" s="181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</row>
    <row r="707">
      <c r="A707" s="180"/>
      <c r="B707" s="181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</row>
    <row r="708">
      <c r="A708" s="180"/>
      <c r="B708" s="181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</row>
    <row r="709">
      <c r="A709" s="180"/>
      <c r="B709" s="181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</row>
    <row r="710">
      <c r="A710" s="180"/>
      <c r="B710" s="181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</row>
    <row r="711">
      <c r="A711" s="180"/>
      <c r="B711" s="181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</row>
    <row r="712">
      <c r="A712" s="180"/>
      <c r="B712" s="181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</row>
    <row r="713">
      <c r="A713" s="180"/>
      <c r="B713" s="181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</row>
    <row r="714">
      <c r="A714" s="180"/>
      <c r="B714" s="181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</row>
    <row r="715">
      <c r="A715" s="180"/>
      <c r="B715" s="181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</row>
    <row r="716">
      <c r="A716" s="180"/>
      <c r="B716" s="181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</row>
    <row r="717">
      <c r="A717" s="180"/>
      <c r="B717" s="181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</row>
    <row r="718">
      <c r="A718" s="180"/>
      <c r="B718" s="181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</row>
    <row r="719">
      <c r="A719" s="180"/>
      <c r="B719" s="181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</row>
    <row r="720">
      <c r="A720" s="180"/>
      <c r="B720" s="181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</row>
    <row r="721">
      <c r="A721" s="180"/>
      <c r="B721" s="181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</row>
    <row r="722">
      <c r="A722" s="180"/>
      <c r="B722" s="181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</row>
    <row r="723">
      <c r="A723" s="180"/>
      <c r="B723" s="181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</row>
    <row r="724">
      <c r="A724" s="180"/>
      <c r="B724" s="181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</row>
    <row r="725">
      <c r="A725" s="180"/>
      <c r="B725" s="181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</row>
    <row r="726">
      <c r="A726" s="180"/>
      <c r="B726" s="181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</row>
    <row r="727">
      <c r="A727" s="180"/>
      <c r="B727" s="181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</row>
    <row r="728">
      <c r="A728" s="180"/>
      <c r="B728" s="181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</row>
    <row r="729">
      <c r="A729" s="180"/>
      <c r="B729" s="181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</row>
    <row r="730">
      <c r="A730" s="180"/>
      <c r="B730" s="181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</row>
    <row r="731">
      <c r="A731" s="180"/>
      <c r="B731" s="181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</row>
    <row r="732">
      <c r="A732" s="180"/>
      <c r="B732" s="181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</row>
    <row r="733">
      <c r="A733" s="180"/>
      <c r="B733" s="181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</row>
    <row r="734">
      <c r="A734" s="180"/>
      <c r="B734" s="181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</row>
    <row r="735">
      <c r="A735" s="180"/>
      <c r="B735" s="181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</row>
    <row r="736">
      <c r="A736" s="180"/>
      <c r="B736" s="181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</row>
    <row r="737">
      <c r="A737" s="180"/>
      <c r="B737" s="181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</row>
    <row r="738">
      <c r="A738" s="180"/>
      <c r="B738" s="181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</row>
    <row r="739">
      <c r="A739" s="180"/>
      <c r="B739" s="181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</row>
    <row r="740">
      <c r="A740" s="180"/>
      <c r="B740" s="181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</row>
    <row r="741">
      <c r="A741" s="180"/>
      <c r="B741" s="181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</row>
    <row r="742">
      <c r="A742" s="180"/>
      <c r="B742" s="181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</row>
    <row r="743">
      <c r="A743" s="180"/>
      <c r="B743" s="181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</row>
    <row r="744">
      <c r="A744" s="180"/>
      <c r="B744" s="181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</row>
    <row r="745">
      <c r="A745" s="180"/>
      <c r="B745" s="181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</row>
    <row r="746">
      <c r="A746" s="180"/>
      <c r="B746" s="181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</row>
    <row r="747">
      <c r="A747" s="180"/>
      <c r="B747" s="181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</row>
    <row r="748">
      <c r="A748" s="180"/>
      <c r="B748" s="181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</row>
    <row r="749">
      <c r="A749" s="180"/>
      <c r="B749" s="181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</row>
    <row r="750">
      <c r="A750" s="180"/>
      <c r="B750" s="181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</row>
    <row r="751">
      <c r="A751" s="180"/>
      <c r="B751" s="181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</row>
    <row r="752">
      <c r="A752" s="180"/>
      <c r="B752" s="181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</row>
    <row r="753">
      <c r="A753" s="180"/>
      <c r="B753" s="181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</row>
    <row r="754">
      <c r="A754" s="180"/>
      <c r="B754" s="181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</row>
    <row r="755">
      <c r="A755" s="180"/>
      <c r="B755" s="181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</row>
    <row r="756">
      <c r="A756" s="180"/>
      <c r="B756" s="181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</row>
    <row r="757">
      <c r="A757" s="180"/>
      <c r="B757" s="181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</row>
    <row r="758">
      <c r="A758" s="180"/>
      <c r="B758" s="181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</row>
    <row r="759">
      <c r="A759" s="180"/>
      <c r="B759" s="181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</row>
    <row r="760">
      <c r="A760" s="180"/>
      <c r="B760" s="181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</row>
    <row r="761">
      <c r="A761" s="180"/>
      <c r="B761" s="181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</row>
    <row r="762">
      <c r="A762" s="180"/>
      <c r="B762" s="181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</row>
    <row r="763">
      <c r="A763" s="180"/>
      <c r="B763" s="181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</row>
    <row r="764">
      <c r="A764" s="180"/>
      <c r="B764" s="181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</row>
    <row r="765">
      <c r="A765" s="180"/>
      <c r="B765" s="181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</row>
    <row r="766">
      <c r="A766" s="180"/>
      <c r="B766" s="181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</row>
    <row r="767">
      <c r="A767" s="180"/>
      <c r="B767" s="181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</row>
    <row r="768">
      <c r="A768" s="180"/>
      <c r="B768" s="181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</row>
    <row r="769">
      <c r="A769" s="180"/>
      <c r="B769" s="181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</row>
    <row r="770">
      <c r="A770" s="180"/>
      <c r="B770" s="181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</row>
    <row r="771">
      <c r="A771" s="180"/>
      <c r="B771" s="181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</row>
    <row r="772">
      <c r="A772" s="180"/>
      <c r="B772" s="181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</row>
    <row r="773">
      <c r="A773" s="180"/>
      <c r="B773" s="181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</row>
    <row r="774">
      <c r="A774" s="180"/>
      <c r="B774" s="181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</row>
    <row r="775">
      <c r="A775" s="180"/>
      <c r="B775" s="181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</row>
    <row r="776">
      <c r="A776" s="180"/>
      <c r="B776" s="181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</row>
    <row r="777">
      <c r="A777" s="180"/>
      <c r="B777" s="181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</row>
    <row r="778">
      <c r="A778" s="180"/>
      <c r="B778" s="181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</row>
    <row r="779">
      <c r="A779" s="180"/>
      <c r="B779" s="181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</row>
    <row r="780">
      <c r="A780" s="180"/>
      <c r="B780" s="181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</row>
    <row r="781">
      <c r="A781" s="180"/>
      <c r="B781" s="181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</row>
    <row r="782">
      <c r="A782" s="180"/>
      <c r="B782" s="181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</row>
    <row r="783">
      <c r="A783" s="180"/>
      <c r="B783" s="181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</row>
    <row r="784">
      <c r="A784" s="180"/>
      <c r="B784" s="181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</row>
    <row r="785">
      <c r="A785" s="180"/>
      <c r="B785" s="181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</row>
    <row r="786">
      <c r="A786" s="180"/>
      <c r="B786" s="181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</row>
    <row r="787">
      <c r="A787" s="180"/>
      <c r="B787" s="181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</row>
    <row r="788">
      <c r="A788" s="180"/>
      <c r="B788" s="181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</row>
    <row r="789">
      <c r="A789" s="180"/>
      <c r="B789" s="181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</row>
    <row r="790">
      <c r="A790" s="180"/>
      <c r="B790" s="181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</row>
    <row r="791">
      <c r="A791" s="180"/>
      <c r="B791" s="181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</row>
    <row r="792">
      <c r="A792" s="180"/>
      <c r="B792" s="181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</row>
    <row r="793">
      <c r="A793" s="180"/>
      <c r="B793" s="181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</row>
    <row r="794">
      <c r="A794" s="180"/>
      <c r="B794" s="181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</row>
    <row r="795">
      <c r="A795" s="180"/>
      <c r="B795" s="181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</row>
    <row r="796">
      <c r="A796" s="180"/>
      <c r="B796" s="181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</row>
    <row r="797">
      <c r="A797" s="180"/>
      <c r="B797" s="181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</row>
    <row r="798">
      <c r="A798" s="180"/>
      <c r="B798" s="181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</row>
    <row r="799">
      <c r="A799" s="180"/>
      <c r="B799" s="181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</row>
    <row r="800">
      <c r="A800" s="180"/>
      <c r="B800" s="181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</row>
    <row r="801">
      <c r="A801" s="180"/>
      <c r="B801" s="181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</row>
    <row r="802">
      <c r="A802" s="180"/>
      <c r="B802" s="181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</row>
    <row r="803">
      <c r="A803" s="180"/>
      <c r="B803" s="181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</row>
    <row r="804">
      <c r="A804" s="180"/>
      <c r="B804" s="181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</row>
    <row r="805">
      <c r="A805" s="180"/>
      <c r="B805" s="181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</row>
    <row r="806">
      <c r="A806" s="180"/>
      <c r="B806" s="181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</row>
    <row r="807">
      <c r="A807" s="180"/>
      <c r="B807" s="181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</row>
    <row r="808">
      <c r="A808" s="180"/>
      <c r="B808" s="181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</row>
    <row r="809">
      <c r="A809" s="180"/>
      <c r="B809" s="181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</row>
    <row r="810">
      <c r="A810" s="180"/>
      <c r="B810" s="181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</row>
    <row r="811">
      <c r="A811" s="180"/>
      <c r="B811" s="181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</row>
    <row r="812">
      <c r="A812" s="180"/>
      <c r="B812" s="181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</row>
    <row r="813">
      <c r="A813" s="180"/>
      <c r="B813" s="181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</row>
    <row r="814">
      <c r="A814" s="180"/>
      <c r="B814" s="181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</row>
    <row r="815">
      <c r="A815" s="180"/>
      <c r="B815" s="181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</row>
    <row r="816">
      <c r="A816" s="180"/>
      <c r="B816" s="181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</row>
    <row r="817">
      <c r="A817" s="180"/>
      <c r="B817" s="181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</row>
    <row r="818">
      <c r="A818" s="180"/>
      <c r="B818" s="181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</row>
    <row r="819">
      <c r="A819" s="180"/>
      <c r="B819" s="181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</row>
    <row r="820">
      <c r="A820" s="180"/>
      <c r="B820" s="181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</row>
    <row r="821">
      <c r="A821" s="180"/>
      <c r="B821" s="181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</row>
    <row r="822">
      <c r="A822" s="180"/>
      <c r="B822" s="181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</row>
    <row r="823">
      <c r="A823" s="180"/>
      <c r="B823" s="181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</row>
    <row r="824">
      <c r="A824" s="180"/>
      <c r="B824" s="181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</row>
    <row r="825">
      <c r="A825" s="180"/>
      <c r="B825" s="181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</row>
    <row r="826">
      <c r="A826" s="180"/>
      <c r="B826" s="181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</row>
    <row r="827">
      <c r="A827" s="180"/>
      <c r="B827" s="181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</row>
    <row r="828">
      <c r="A828" s="180"/>
      <c r="B828" s="181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</row>
    <row r="829">
      <c r="A829" s="180"/>
      <c r="B829" s="181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</row>
    <row r="830">
      <c r="A830" s="180"/>
      <c r="B830" s="181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</row>
    <row r="831">
      <c r="A831" s="180"/>
      <c r="B831" s="181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</row>
    <row r="832">
      <c r="A832" s="180"/>
      <c r="B832" s="181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</row>
    <row r="833">
      <c r="A833" s="180"/>
      <c r="B833" s="181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</row>
    <row r="834">
      <c r="A834" s="180"/>
      <c r="B834" s="181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</row>
    <row r="835">
      <c r="A835" s="180"/>
      <c r="B835" s="181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</row>
    <row r="836">
      <c r="A836" s="180"/>
      <c r="B836" s="181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</row>
    <row r="837">
      <c r="A837" s="180"/>
      <c r="B837" s="181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</row>
    <row r="838">
      <c r="A838" s="180"/>
      <c r="B838" s="181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</row>
    <row r="839">
      <c r="A839" s="180"/>
      <c r="B839" s="181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</row>
    <row r="840">
      <c r="A840" s="180"/>
      <c r="B840" s="181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</row>
    <row r="841">
      <c r="A841" s="180"/>
      <c r="B841" s="181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</row>
    <row r="842">
      <c r="A842" s="180"/>
      <c r="B842" s="181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</row>
    <row r="843">
      <c r="A843" s="180"/>
      <c r="B843" s="181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</row>
    <row r="844">
      <c r="A844" s="180"/>
      <c r="B844" s="181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</row>
    <row r="845">
      <c r="A845" s="180"/>
      <c r="B845" s="181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</row>
    <row r="846">
      <c r="A846" s="180"/>
      <c r="B846" s="181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</row>
    <row r="847">
      <c r="A847" s="180"/>
      <c r="B847" s="181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</row>
    <row r="848">
      <c r="A848" s="180"/>
      <c r="B848" s="181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</row>
    <row r="849">
      <c r="A849" s="180"/>
      <c r="B849" s="181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</row>
    <row r="850">
      <c r="A850" s="180"/>
      <c r="B850" s="181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</row>
    <row r="851">
      <c r="A851" s="180"/>
      <c r="B851" s="181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</row>
    <row r="852">
      <c r="A852" s="180"/>
      <c r="B852" s="181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</row>
    <row r="853">
      <c r="A853" s="180"/>
      <c r="B853" s="181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</row>
    <row r="854">
      <c r="A854" s="180"/>
      <c r="B854" s="181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</row>
    <row r="855">
      <c r="A855" s="180"/>
      <c r="B855" s="181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</row>
    <row r="856">
      <c r="A856" s="180"/>
      <c r="B856" s="181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</row>
    <row r="857">
      <c r="A857" s="180"/>
      <c r="B857" s="181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</row>
    <row r="858">
      <c r="A858" s="180"/>
      <c r="B858" s="181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</row>
    <row r="859">
      <c r="A859" s="180"/>
      <c r="B859" s="181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</row>
    <row r="860">
      <c r="A860" s="180"/>
      <c r="B860" s="181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</row>
    <row r="861">
      <c r="A861" s="180"/>
      <c r="B861" s="181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</row>
    <row r="862">
      <c r="A862" s="180"/>
      <c r="B862" s="181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</row>
    <row r="863">
      <c r="A863" s="180"/>
      <c r="B863" s="181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</row>
    <row r="864">
      <c r="A864" s="180"/>
      <c r="B864" s="181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</row>
    <row r="865">
      <c r="A865" s="180"/>
      <c r="B865" s="181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</row>
    <row r="866">
      <c r="A866" s="180"/>
      <c r="B866" s="181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</row>
    <row r="867">
      <c r="A867" s="180"/>
      <c r="B867" s="181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</row>
    <row r="868">
      <c r="A868" s="180"/>
      <c r="B868" s="181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</row>
    <row r="869">
      <c r="A869" s="180"/>
      <c r="B869" s="181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</row>
    <row r="870">
      <c r="A870" s="180"/>
      <c r="B870" s="181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</row>
    <row r="871">
      <c r="A871" s="180"/>
      <c r="B871" s="181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</row>
    <row r="872">
      <c r="A872" s="180"/>
      <c r="B872" s="181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</row>
    <row r="873">
      <c r="A873" s="180"/>
      <c r="B873" s="181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</row>
    <row r="874">
      <c r="A874" s="180"/>
      <c r="B874" s="181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</row>
    <row r="875">
      <c r="A875" s="180"/>
      <c r="B875" s="181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</row>
    <row r="876">
      <c r="A876" s="180"/>
      <c r="B876" s="181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</row>
    <row r="877">
      <c r="A877" s="180"/>
      <c r="B877" s="181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</row>
    <row r="878">
      <c r="A878" s="180"/>
      <c r="B878" s="181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</row>
    <row r="879">
      <c r="A879" s="180"/>
      <c r="B879" s="181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</row>
    <row r="880">
      <c r="A880" s="180"/>
      <c r="B880" s="181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</row>
    <row r="881">
      <c r="A881" s="180"/>
      <c r="B881" s="181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</row>
    <row r="882">
      <c r="A882" s="180"/>
      <c r="B882" s="181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</row>
    <row r="883">
      <c r="A883" s="180"/>
      <c r="B883" s="181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</row>
    <row r="884">
      <c r="A884" s="180"/>
      <c r="B884" s="181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</row>
    <row r="885">
      <c r="A885" s="180"/>
      <c r="B885" s="181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</row>
    <row r="886">
      <c r="A886" s="180"/>
      <c r="B886" s="181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</row>
    <row r="887">
      <c r="A887" s="180"/>
      <c r="B887" s="181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</row>
    <row r="888">
      <c r="A888" s="180"/>
      <c r="B888" s="181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</row>
    <row r="889">
      <c r="A889" s="180"/>
      <c r="B889" s="181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</row>
    <row r="890">
      <c r="A890" s="180"/>
      <c r="B890" s="181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</row>
    <row r="891">
      <c r="A891" s="180"/>
      <c r="B891" s="181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</row>
    <row r="892">
      <c r="A892" s="180"/>
      <c r="B892" s="181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</row>
    <row r="893">
      <c r="A893" s="180"/>
      <c r="B893" s="181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</row>
    <row r="894">
      <c r="A894" s="180"/>
      <c r="B894" s="181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</row>
    <row r="895">
      <c r="A895" s="180"/>
      <c r="B895" s="181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</row>
    <row r="896">
      <c r="A896" s="180"/>
      <c r="B896" s="181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</row>
    <row r="897">
      <c r="A897" s="180"/>
      <c r="B897" s="181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</row>
    <row r="898">
      <c r="A898" s="180"/>
      <c r="B898" s="181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</row>
    <row r="899">
      <c r="A899" s="180"/>
      <c r="B899" s="181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</row>
    <row r="900">
      <c r="A900" s="180"/>
      <c r="B900" s="181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</row>
    <row r="901">
      <c r="A901" s="180"/>
      <c r="B901" s="181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</row>
    <row r="902">
      <c r="A902" s="180"/>
      <c r="B902" s="181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</row>
    <row r="903">
      <c r="A903" s="180"/>
      <c r="B903" s="181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</row>
    <row r="904">
      <c r="A904" s="180"/>
      <c r="B904" s="181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</row>
    <row r="905">
      <c r="A905" s="180"/>
      <c r="B905" s="181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</row>
    <row r="906">
      <c r="A906" s="180"/>
      <c r="B906" s="181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</row>
    <row r="907">
      <c r="A907" s="180"/>
      <c r="B907" s="181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</row>
    <row r="908">
      <c r="A908" s="180"/>
      <c r="B908" s="181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</row>
    <row r="909">
      <c r="A909" s="180"/>
      <c r="B909" s="181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</row>
    <row r="910">
      <c r="A910" s="180"/>
      <c r="B910" s="181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</row>
    <row r="911">
      <c r="A911" s="180"/>
      <c r="B911" s="181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</row>
    <row r="912">
      <c r="A912" s="180"/>
      <c r="B912" s="181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</row>
    <row r="913">
      <c r="A913" s="180"/>
      <c r="B913" s="181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</row>
    <row r="914">
      <c r="A914" s="180"/>
      <c r="B914" s="181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</row>
    <row r="915">
      <c r="A915" s="180"/>
      <c r="B915" s="181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</row>
    <row r="916">
      <c r="A916" s="180"/>
      <c r="B916" s="181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</row>
    <row r="917">
      <c r="A917" s="180"/>
      <c r="B917" s="181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</row>
    <row r="918">
      <c r="A918" s="180"/>
      <c r="B918" s="181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</row>
    <row r="919">
      <c r="A919" s="180"/>
      <c r="B919" s="181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</row>
    <row r="920">
      <c r="A920" s="180"/>
      <c r="B920" s="181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</row>
    <row r="921">
      <c r="A921" s="180"/>
      <c r="B921" s="181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</row>
    <row r="922">
      <c r="A922" s="180"/>
      <c r="B922" s="181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</row>
    <row r="923">
      <c r="A923" s="180"/>
      <c r="B923" s="181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</row>
    <row r="924">
      <c r="A924" s="180"/>
      <c r="B924" s="181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</row>
    <row r="925">
      <c r="A925" s="180"/>
      <c r="B925" s="181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</row>
    <row r="926">
      <c r="A926" s="180"/>
      <c r="B926" s="181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</row>
    <row r="927">
      <c r="A927" s="180"/>
      <c r="B927" s="181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</row>
    <row r="928">
      <c r="A928" s="180"/>
      <c r="B928" s="181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</row>
    <row r="929">
      <c r="A929" s="180"/>
      <c r="B929" s="181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</row>
    <row r="930">
      <c r="A930" s="180"/>
      <c r="B930" s="181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</row>
    <row r="931">
      <c r="A931" s="180"/>
      <c r="B931" s="181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</row>
    <row r="932">
      <c r="A932" s="180"/>
      <c r="B932" s="181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</row>
    <row r="933">
      <c r="A933" s="180"/>
      <c r="B933" s="181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</row>
    <row r="934">
      <c r="A934" s="180"/>
      <c r="B934" s="181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</row>
    <row r="935">
      <c r="A935" s="180"/>
      <c r="B935" s="181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</row>
    <row r="936">
      <c r="A936" s="180"/>
      <c r="B936" s="181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</row>
    <row r="937">
      <c r="A937" s="180"/>
      <c r="B937" s="181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</row>
    <row r="938">
      <c r="A938" s="180"/>
      <c r="B938" s="181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</row>
    <row r="939">
      <c r="A939" s="180"/>
      <c r="B939" s="181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</row>
    <row r="940">
      <c r="A940" s="180"/>
      <c r="B940" s="181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</row>
    <row r="941">
      <c r="A941" s="180"/>
      <c r="B941" s="181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</row>
    <row r="942">
      <c r="A942" s="180"/>
      <c r="B942" s="181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</row>
    <row r="943">
      <c r="A943" s="180"/>
      <c r="B943" s="181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</row>
    <row r="944">
      <c r="A944" s="180"/>
      <c r="B944" s="181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</row>
    <row r="945">
      <c r="A945" s="180"/>
      <c r="B945" s="181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</row>
    <row r="946">
      <c r="A946" s="180"/>
      <c r="B946" s="181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</row>
    <row r="947">
      <c r="A947" s="180"/>
      <c r="B947" s="181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</row>
    <row r="948">
      <c r="A948" s="180"/>
      <c r="B948" s="181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</row>
    <row r="949">
      <c r="A949" s="180"/>
      <c r="B949" s="181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</row>
    <row r="950">
      <c r="A950" s="180"/>
      <c r="B950" s="181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</row>
    <row r="951">
      <c r="A951" s="180"/>
      <c r="B951" s="181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</row>
    <row r="952">
      <c r="A952" s="180"/>
      <c r="B952" s="181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</row>
    <row r="953">
      <c r="A953" s="180"/>
      <c r="B953" s="181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</row>
    <row r="954">
      <c r="A954" s="180"/>
      <c r="B954" s="181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</row>
    <row r="955">
      <c r="A955" s="180"/>
      <c r="B955" s="181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</row>
    <row r="956">
      <c r="A956" s="180"/>
      <c r="B956" s="181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</row>
    <row r="957">
      <c r="A957" s="180"/>
      <c r="B957" s="181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</row>
    <row r="958">
      <c r="A958" s="180"/>
      <c r="B958" s="181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</row>
    <row r="959">
      <c r="A959" s="180"/>
      <c r="B959" s="181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</row>
    <row r="960">
      <c r="A960" s="180"/>
      <c r="B960" s="181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</row>
    <row r="961">
      <c r="A961" s="180"/>
      <c r="B961" s="181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</row>
    <row r="962">
      <c r="A962" s="180"/>
      <c r="B962" s="181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</row>
    <row r="963">
      <c r="A963" s="180"/>
      <c r="B963" s="181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</row>
    <row r="964">
      <c r="A964" s="180"/>
      <c r="B964" s="181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</row>
    <row r="965">
      <c r="A965" s="180"/>
      <c r="B965" s="181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</row>
    <row r="966">
      <c r="A966" s="180"/>
      <c r="B966" s="181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</row>
    <row r="967">
      <c r="A967" s="180"/>
      <c r="B967" s="181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</row>
    <row r="968">
      <c r="A968" s="180"/>
      <c r="B968" s="181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</row>
    <row r="969">
      <c r="A969" s="180"/>
      <c r="B969" s="181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</row>
    <row r="970">
      <c r="A970" s="180"/>
      <c r="B970" s="181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</row>
    <row r="971">
      <c r="A971" s="180"/>
      <c r="B971" s="181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</row>
    <row r="972">
      <c r="A972" s="180"/>
      <c r="B972" s="181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</row>
    <row r="973">
      <c r="A973" s="180"/>
      <c r="B973" s="181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</row>
    <row r="974">
      <c r="A974" s="180"/>
      <c r="B974" s="181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</row>
    <row r="975">
      <c r="A975" s="180"/>
      <c r="B975" s="181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</row>
    <row r="976">
      <c r="A976" s="180"/>
      <c r="B976" s="181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</row>
    <row r="977">
      <c r="A977" s="180"/>
      <c r="B977" s="181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</row>
    <row r="978">
      <c r="A978" s="180"/>
      <c r="B978" s="181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</row>
    <row r="979">
      <c r="A979" s="180"/>
      <c r="B979" s="181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</row>
    <row r="980">
      <c r="A980" s="180"/>
      <c r="B980" s="181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</row>
    <row r="981">
      <c r="A981" s="180"/>
      <c r="B981" s="181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</row>
    <row r="982">
      <c r="A982" s="180"/>
      <c r="B982" s="181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</row>
    <row r="983">
      <c r="A983" s="180"/>
      <c r="B983" s="181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</row>
    <row r="984">
      <c r="A984" s="180"/>
      <c r="B984" s="181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</row>
    <row r="985">
      <c r="A985" s="180"/>
      <c r="B985" s="181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</row>
    <row r="986">
      <c r="A986" s="180"/>
      <c r="B986" s="181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</row>
    <row r="987">
      <c r="A987" s="180"/>
      <c r="B987" s="181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</row>
    <row r="988">
      <c r="A988" s="180"/>
      <c r="B988" s="181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</row>
    <row r="989">
      <c r="A989" s="180"/>
      <c r="B989" s="181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</row>
    <row r="990">
      <c r="A990" s="180"/>
      <c r="B990" s="181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</row>
    <row r="991">
      <c r="A991" s="180"/>
      <c r="B991" s="181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</row>
    <row r="992">
      <c r="A992" s="180"/>
      <c r="B992" s="181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</row>
    <row r="993">
      <c r="A993" s="180"/>
      <c r="B993" s="181"/>
      <c r="C993" s="180"/>
      <c r="D993" s="180"/>
      <c r="E993" s="180"/>
      <c r="F993" s="180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</row>
    <row r="994">
      <c r="A994" s="180"/>
      <c r="B994" s="181"/>
      <c r="C994" s="180"/>
      <c r="D994" s="180"/>
      <c r="E994" s="180"/>
      <c r="F994" s="180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</row>
    <row r="995">
      <c r="A995" s="180"/>
      <c r="B995" s="181"/>
      <c r="C995" s="180"/>
      <c r="D995" s="180"/>
      <c r="E995" s="180"/>
      <c r="F995" s="180"/>
      <c r="G995" s="180"/>
      <c r="H995" s="180"/>
      <c r="I995" s="180"/>
      <c r="J995" s="180"/>
      <c r="K995" s="180"/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</row>
    <row r="996">
      <c r="A996" s="180"/>
      <c r="B996" s="181"/>
      <c r="C996" s="180"/>
      <c r="D996" s="180"/>
      <c r="E996" s="180"/>
      <c r="F996" s="180"/>
      <c r="G996" s="180"/>
      <c r="H996" s="180"/>
      <c r="I996" s="180"/>
      <c r="J996" s="180"/>
      <c r="K996" s="180"/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</row>
    <row r="997">
      <c r="A997" s="180"/>
      <c r="B997" s="181"/>
      <c r="C997" s="180"/>
      <c r="D997" s="180"/>
      <c r="E997" s="180"/>
      <c r="F997" s="180"/>
      <c r="G997" s="180"/>
      <c r="H997" s="180"/>
      <c r="I997" s="180"/>
      <c r="J997" s="180"/>
      <c r="K997" s="180"/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</row>
    <row r="998">
      <c r="A998" s="180"/>
      <c r="B998" s="181"/>
      <c r="C998" s="180"/>
      <c r="D998" s="180"/>
      <c r="E998" s="180"/>
      <c r="F998" s="180"/>
      <c r="G998" s="180"/>
      <c r="H998" s="180"/>
      <c r="I998" s="180"/>
      <c r="J998" s="180"/>
      <c r="K998" s="180"/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</row>
    <row r="999">
      <c r="A999" s="180"/>
      <c r="B999" s="181"/>
      <c r="C999" s="180"/>
      <c r="D999" s="180"/>
      <c r="E999" s="180"/>
      <c r="F999" s="180"/>
      <c r="G999" s="180"/>
      <c r="H999" s="180"/>
      <c r="I999" s="180"/>
      <c r="J999" s="180"/>
      <c r="K999" s="180"/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</row>
    <row r="1000">
      <c r="A1000" s="180"/>
      <c r="B1000" s="181"/>
      <c r="C1000" s="180"/>
      <c r="D1000" s="180"/>
      <c r="E1000" s="180"/>
      <c r="F1000" s="180"/>
      <c r="G1000" s="180"/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</row>
  </sheetData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22.75"/>
  </cols>
  <sheetData>
    <row r="1">
      <c r="A1" s="398" t="s">
        <v>122</v>
      </c>
    </row>
    <row r="2">
      <c r="A2" s="398" t="s">
        <v>326</v>
      </c>
    </row>
    <row r="3">
      <c r="A3" s="398" t="s">
        <v>810</v>
      </c>
    </row>
    <row r="4">
      <c r="A4" s="398" t="s">
        <v>315</v>
      </c>
    </row>
    <row r="5">
      <c r="A5" s="398" t="s">
        <v>811</v>
      </c>
    </row>
    <row r="6">
      <c r="A6" s="398" t="s">
        <v>204</v>
      </c>
    </row>
    <row r="7">
      <c r="A7" s="398" t="s">
        <v>145</v>
      </c>
    </row>
    <row r="8">
      <c r="A8" s="398"/>
    </row>
    <row r="9">
      <c r="A9" s="404"/>
    </row>
    <row r="10">
      <c r="A10" s="398"/>
    </row>
    <row r="11">
      <c r="A11" s="398"/>
    </row>
    <row r="12">
      <c r="A12" s="398"/>
    </row>
    <row r="13">
      <c r="A13" s="398"/>
    </row>
    <row r="14">
      <c r="A14" s="398"/>
    </row>
    <row r="15">
      <c r="A15" s="398"/>
    </row>
    <row r="16">
      <c r="A16" s="398"/>
    </row>
    <row r="17">
      <c r="A17" s="398"/>
    </row>
    <row r="18">
      <c r="A18" s="398"/>
    </row>
    <row r="19">
      <c r="A19" s="404"/>
    </row>
    <row r="20">
      <c r="A20" s="404"/>
    </row>
    <row r="21">
      <c r="A21" s="404"/>
    </row>
    <row r="22">
      <c r="A22" s="404"/>
    </row>
    <row r="23">
      <c r="A23" s="404"/>
    </row>
    <row r="24">
      <c r="A24" s="404"/>
    </row>
    <row r="25">
      <c r="A25" s="404"/>
    </row>
    <row r="26">
      <c r="A26" s="404"/>
    </row>
    <row r="27">
      <c r="A27" s="404"/>
    </row>
    <row r="28">
      <c r="A28" s="404"/>
    </row>
    <row r="29">
      <c r="A29" s="404"/>
    </row>
    <row r="30">
      <c r="A30" s="404"/>
    </row>
    <row r="31">
      <c r="A31" s="404"/>
    </row>
    <row r="32">
      <c r="A32" s="404"/>
    </row>
    <row r="33">
      <c r="A33" s="404"/>
    </row>
    <row r="34">
      <c r="A34" s="404"/>
    </row>
    <row r="35">
      <c r="A35" s="404"/>
    </row>
    <row r="36">
      <c r="A36" s="404"/>
    </row>
    <row r="37">
      <c r="A37" s="404"/>
    </row>
    <row r="38">
      <c r="A38" s="404"/>
    </row>
    <row r="39">
      <c r="A39" s="404"/>
    </row>
    <row r="40">
      <c r="A40" s="404"/>
    </row>
    <row r="41">
      <c r="A41" s="404"/>
    </row>
    <row r="42">
      <c r="A42" s="404"/>
    </row>
    <row r="43">
      <c r="A43" s="404"/>
    </row>
    <row r="44">
      <c r="A44" s="404"/>
    </row>
    <row r="45">
      <c r="A45" s="404"/>
    </row>
    <row r="46">
      <c r="A46" s="404"/>
    </row>
    <row r="47">
      <c r="A47" s="404"/>
    </row>
    <row r="48">
      <c r="A48" s="404"/>
    </row>
    <row r="49">
      <c r="A49" s="404"/>
    </row>
    <row r="50">
      <c r="A50" s="404"/>
    </row>
    <row r="51">
      <c r="A51" s="404"/>
    </row>
    <row r="52">
      <c r="A52" s="404"/>
    </row>
    <row r="53">
      <c r="A53" s="404"/>
    </row>
    <row r="54">
      <c r="A54" s="404"/>
    </row>
    <row r="55">
      <c r="A55" s="404"/>
    </row>
    <row r="56">
      <c r="A56" s="404"/>
    </row>
    <row r="57">
      <c r="A57" s="404"/>
    </row>
    <row r="58">
      <c r="A58" s="404"/>
    </row>
    <row r="59">
      <c r="A59" s="404"/>
    </row>
    <row r="60">
      <c r="A60" s="404"/>
    </row>
    <row r="61">
      <c r="A61" s="404"/>
    </row>
    <row r="62">
      <c r="A62" s="404"/>
    </row>
    <row r="63">
      <c r="A63" s="404"/>
    </row>
    <row r="64">
      <c r="A64" s="404"/>
    </row>
    <row r="65">
      <c r="A65" s="404"/>
    </row>
    <row r="66">
      <c r="A66" s="404"/>
    </row>
    <row r="67">
      <c r="A67" s="404"/>
    </row>
    <row r="68">
      <c r="A68" s="404"/>
    </row>
    <row r="69">
      <c r="A69" s="404"/>
    </row>
    <row r="70">
      <c r="A70" s="404"/>
    </row>
    <row r="71">
      <c r="A71" s="404"/>
    </row>
    <row r="72">
      <c r="A72" s="404"/>
    </row>
    <row r="73">
      <c r="A73" s="404"/>
    </row>
    <row r="74">
      <c r="A74" s="404"/>
    </row>
    <row r="75">
      <c r="A75" s="404"/>
    </row>
    <row r="76">
      <c r="A76" s="404"/>
    </row>
    <row r="77">
      <c r="A77" s="404"/>
    </row>
    <row r="78">
      <c r="A78" s="404"/>
    </row>
    <row r="79">
      <c r="A79" s="404"/>
    </row>
    <row r="80">
      <c r="A80" s="404"/>
    </row>
    <row r="81">
      <c r="A81" s="404"/>
    </row>
    <row r="82">
      <c r="A82" s="404"/>
    </row>
    <row r="83">
      <c r="A83" s="404"/>
    </row>
    <row r="84">
      <c r="A84" s="404"/>
    </row>
    <row r="85">
      <c r="A85" s="404"/>
    </row>
    <row r="86">
      <c r="A86" s="404"/>
    </row>
    <row r="87">
      <c r="A87" s="404"/>
    </row>
    <row r="88">
      <c r="A88" s="404"/>
      <c r="G88" s="405"/>
    </row>
    <row r="89">
      <c r="A89" s="404"/>
      <c r="G89" s="405"/>
    </row>
    <row r="90">
      <c r="A90" s="404"/>
      <c r="G90" s="405"/>
    </row>
    <row r="91">
      <c r="A91" s="404"/>
      <c r="G91" s="405"/>
    </row>
    <row r="92">
      <c r="A92" s="404"/>
      <c r="G92" s="405"/>
    </row>
    <row r="93">
      <c r="A93" s="404"/>
      <c r="G93" s="405"/>
    </row>
    <row r="94">
      <c r="A94" s="404"/>
      <c r="G94" s="405"/>
    </row>
    <row r="95">
      <c r="A95" s="404"/>
      <c r="G95" s="405"/>
    </row>
    <row r="96">
      <c r="A96" s="404"/>
      <c r="G96" s="405"/>
    </row>
    <row r="97">
      <c r="A97" s="404"/>
      <c r="G97" s="405"/>
    </row>
    <row r="98">
      <c r="A98" s="404"/>
      <c r="G98" s="405"/>
    </row>
    <row r="99">
      <c r="A99" s="404"/>
      <c r="G99" s="405"/>
    </row>
    <row r="100">
      <c r="A100" s="404"/>
      <c r="G100" s="405"/>
    </row>
    <row r="101">
      <c r="A101" s="404"/>
      <c r="G101" s="405"/>
    </row>
    <row r="102">
      <c r="A102" s="404"/>
      <c r="G102" s="405"/>
    </row>
    <row r="103">
      <c r="A103" s="404"/>
      <c r="G103" s="405"/>
    </row>
    <row r="104">
      <c r="A104" s="404"/>
      <c r="G104" s="405"/>
    </row>
    <row r="105">
      <c r="A105" s="404"/>
      <c r="G105" s="405"/>
    </row>
    <row r="106">
      <c r="A106" s="404"/>
      <c r="G106" s="405"/>
    </row>
    <row r="107">
      <c r="A107" s="404"/>
      <c r="G107" s="405"/>
    </row>
    <row r="108">
      <c r="A108" s="404"/>
      <c r="G108" s="405"/>
    </row>
    <row r="109">
      <c r="A109" s="404"/>
      <c r="G109" s="405"/>
    </row>
    <row r="110">
      <c r="A110" s="404"/>
      <c r="G110" s="405"/>
    </row>
    <row r="111">
      <c r="A111" s="404"/>
      <c r="G111" s="405"/>
    </row>
    <row r="112">
      <c r="A112" s="404"/>
      <c r="G112" s="405"/>
    </row>
    <row r="113">
      <c r="A113" s="404"/>
      <c r="G113" s="405"/>
    </row>
    <row r="114">
      <c r="A114" s="404"/>
      <c r="G114" s="405"/>
    </row>
    <row r="115">
      <c r="A115" s="404"/>
      <c r="G115" s="405"/>
    </row>
    <row r="116">
      <c r="A116" s="404"/>
      <c r="G116" s="405"/>
    </row>
    <row r="117">
      <c r="A117" s="404"/>
      <c r="G117" s="405"/>
    </row>
    <row r="118">
      <c r="A118" s="404"/>
      <c r="G118" s="405"/>
    </row>
    <row r="119">
      <c r="A119" s="404"/>
      <c r="G119" s="405"/>
    </row>
    <row r="120">
      <c r="A120" s="404"/>
      <c r="G120" s="405"/>
    </row>
    <row r="121">
      <c r="A121" s="404"/>
      <c r="G121" s="405"/>
    </row>
    <row r="122">
      <c r="A122" s="404"/>
      <c r="G122" s="405"/>
    </row>
    <row r="123">
      <c r="A123" s="404"/>
      <c r="G123" s="405"/>
    </row>
    <row r="124">
      <c r="A124" s="404"/>
      <c r="G124" s="405"/>
    </row>
    <row r="125">
      <c r="A125" s="404"/>
      <c r="G125" s="405"/>
    </row>
    <row r="126">
      <c r="A126" s="404"/>
      <c r="G126" s="405"/>
    </row>
    <row r="127">
      <c r="A127" s="404"/>
      <c r="G127" s="405"/>
    </row>
    <row r="128">
      <c r="A128" s="404"/>
      <c r="G128" s="405"/>
    </row>
    <row r="129">
      <c r="A129" s="404"/>
      <c r="G129" s="405"/>
    </row>
    <row r="130">
      <c r="A130" s="404"/>
      <c r="G130" s="405"/>
    </row>
    <row r="131">
      <c r="A131" s="404"/>
      <c r="G131" s="405"/>
    </row>
    <row r="132">
      <c r="A132" s="404"/>
      <c r="G132" s="405"/>
    </row>
    <row r="133">
      <c r="A133" s="404"/>
      <c r="G133" s="405"/>
    </row>
    <row r="134">
      <c r="A134" s="404"/>
      <c r="G134" s="405"/>
    </row>
    <row r="135">
      <c r="A135" s="404"/>
      <c r="G135" s="405"/>
    </row>
    <row r="136">
      <c r="A136" s="404"/>
      <c r="G136" s="405"/>
    </row>
    <row r="137">
      <c r="A137" s="404"/>
      <c r="G137" s="405"/>
    </row>
    <row r="138">
      <c r="A138" s="404"/>
      <c r="G138" s="405"/>
    </row>
    <row r="139">
      <c r="A139" s="404"/>
      <c r="G139" s="405"/>
    </row>
    <row r="140">
      <c r="A140" s="404"/>
      <c r="G140" s="405"/>
    </row>
    <row r="141">
      <c r="A141" s="404"/>
      <c r="G141" s="405"/>
    </row>
    <row r="142">
      <c r="A142" s="404"/>
      <c r="G142" s="405"/>
    </row>
    <row r="143">
      <c r="A143" s="404"/>
      <c r="G143" s="405"/>
    </row>
    <row r="144">
      <c r="A144" s="404"/>
      <c r="G144" s="405"/>
    </row>
    <row r="145">
      <c r="A145" s="404"/>
      <c r="G145" s="405"/>
    </row>
    <row r="146">
      <c r="A146" s="404"/>
      <c r="G146" s="405"/>
    </row>
    <row r="147">
      <c r="A147" s="404"/>
      <c r="G147" s="405"/>
    </row>
    <row r="148">
      <c r="A148" s="404"/>
      <c r="G148" s="405"/>
    </row>
    <row r="149">
      <c r="A149" s="404"/>
      <c r="G149" s="405"/>
    </row>
    <row r="150">
      <c r="A150" s="404"/>
      <c r="G150" s="405"/>
    </row>
    <row r="151">
      <c r="A151" s="404"/>
      <c r="G151" s="405"/>
    </row>
    <row r="152">
      <c r="A152" s="404"/>
      <c r="G152" s="405"/>
    </row>
    <row r="153">
      <c r="A153" s="404"/>
      <c r="G153" s="405"/>
    </row>
    <row r="154">
      <c r="A154" s="404"/>
      <c r="G154" s="405"/>
    </row>
    <row r="155">
      <c r="A155" s="404"/>
      <c r="G155" s="405"/>
    </row>
    <row r="156">
      <c r="A156" s="404"/>
      <c r="G156" s="405"/>
    </row>
    <row r="157">
      <c r="A157" s="404"/>
      <c r="G157" s="405"/>
    </row>
    <row r="158">
      <c r="A158" s="404"/>
      <c r="G158" s="405"/>
    </row>
    <row r="159">
      <c r="A159" s="404"/>
      <c r="G159" s="405"/>
    </row>
    <row r="160">
      <c r="A160" s="404"/>
      <c r="G160" s="405"/>
    </row>
    <row r="161">
      <c r="A161" s="404"/>
      <c r="G161" s="405"/>
    </row>
    <row r="162">
      <c r="A162" s="404"/>
      <c r="G162" s="405"/>
    </row>
    <row r="163">
      <c r="A163" s="404"/>
      <c r="G163" s="405"/>
    </row>
    <row r="164">
      <c r="A164" s="404"/>
      <c r="G164" s="405"/>
    </row>
    <row r="165">
      <c r="A165" s="404"/>
      <c r="G165" s="405"/>
    </row>
    <row r="166">
      <c r="A166" s="404"/>
      <c r="G166" s="405"/>
    </row>
    <row r="167">
      <c r="A167" s="404"/>
      <c r="G167" s="405"/>
    </row>
    <row r="168">
      <c r="A168" s="404"/>
      <c r="G168" s="405"/>
    </row>
    <row r="169">
      <c r="A169" s="404"/>
      <c r="G169" s="405"/>
    </row>
    <row r="170">
      <c r="A170" s="404"/>
      <c r="G170" s="405"/>
    </row>
    <row r="171">
      <c r="A171" s="404"/>
      <c r="G171" s="405"/>
    </row>
    <row r="172">
      <c r="A172" s="404"/>
      <c r="G172" s="405"/>
    </row>
    <row r="173">
      <c r="A173" s="404"/>
      <c r="G173" s="405"/>
    </row>
    <row r="174">
      <c r="A174" s="404"/>
      <c r="G174" s="405"/>
    </row>
    <row r="175">
      <c r="A175" s="404"/>
      <c r="G175" s="405"/>
    </row>
    <row r="176">
      <c r="A176" s="404"/>
      <c r="G176" s="405"/>
    </row>
    <row r="177">
      <c r="A177" s="404"/>
      <c r="G177" s="405"/>
    </row>
    <row r="178">
      <c r="A178" s="404"/>
      <c r="G178" s="405"/>
    </row>
    <row r="179">
      <c r="A179" s="404"/>
      <c r="G179" s="405"/>
    </row>
    <row r="180">
      <c r="A180" s="404"/>
      <c r="G180" s="405"/>
    </row>
    <row r="181">
      <c r="A181" s="404"/>
      <c r="G181" s="405"/>
    </row>
    <row r="182">
      <c r="A182" s="404"/>
      <c r="G182" s="405"/>
    </row>
    <row r="183">
      <c r="A183" s="404"/>
      <c r="G183" s="405"/>
    </row>
    <row r="184">
      <c r="A184" s="404"/>
      <c r="G184" s="405"/>
    </row>
    <row r="185">
      <c r="A185" s="404"/>
      <c r="G185" s="405"/>
    </row>
    <row r="186">
      <c r="A186" s="404"/>
      <c r="G186" s="405"/>
    </row>
    <row r="187">
      <c r="A187" s="404"/>
      <c r="G187" s="405"/>
    </row>
    <row r="188">
      <c r="A188" s="404"/>
      <c r="G188" s="405"/>
    </row>
    <row r="189">
      <c r="A189" s="404"/>
      <c r="G189" s="405"/>
    </row>
    <row r="190">
      <c r="A190" s="404"/>
      <c r="G190" s="405"/>
    </row>
    <row r="191">
      <c r="A191" s="404"/>
      <c r="G191" s="405"/>
    </row>
    <row r="192">
      <c r="A192" s="404"/>
      <c r="G192" s="405"/>
    </row>
    <row r="193">
      <c r="A193" s="404"/>
      <c r="G193" s="405"/>
    </row>
    <row r="194">
      <c r="A194" s="404"/>
      <c r="G194" s="405"/>
    </row>
    <row r="195">
      <c r="A195" s="404"/>
      <c r="G195" s="405"/>
    </row>
    <row r="196">
      <c r="A196" s="404"/>
      <c r="G196" s="405"/>
    </row>
    <row r="197">
      <c r="A197" s="404"/>
      <c r="G197" s="405"/>
    </row>
    <row r="198">
      <c r="A198" s="404"/>
      <c r="G198" s="405"/>
    </row>
    <row r="199">
      <c r="A199" s="404"/>
      <c r="G199" s="405"/>
    </row>
    <row r="200">
      <c r="A200" s="404"/>
      <c r="G200" s="405"/>
    </row>
    <row r="201">
      <c r="A201" s="404"/>
      <c r="G201" s="405"/>
    </row>
    <row r="202">
      <c r="A202" s="404"/>
      <c r="G202" s="405"/>
    </row>
    <row r="203">
      <c r="A203" s="404"/>
      <c r="G203" s="405"/>
    </row>
    <row r="204">
      <c r="A204" s="404"/>
      <c r="G204" s="405"/>
    </row>
    <row r="205">
      <c r="A205" s="404"/>
      <c r="G205" s="405"/>
    </row>
    <row r="206">
      <c r="A206" s="404"/>
      <c r="G206" s="405"/>
    </row>
    <row r="207">
      <c r="A207" s="404"/>
      <c r="G207" s="405"/>
    </row>
    <row r="208">
      <c r="A208" s="404"/>
      <c r="G208" s="405"/>
    </row>
    <row r="209">
      <c r="A209" s="404"/>
      <c r="G209" s="405"/>
    </row>
    <row r="210">
      <c r="A210" s="404"/>
      <c r="G210" s="405"/>
    </row>
    <row r="211">
      <c r="A211" s="404"/>
      <c r="G211" s="405"/>
    </row>
    <row r="212">
      <c r="A212" s="404"/>
      <c r="G212" s="405"/>
    </row>
    <row r="213">
      <c r="A213" s="404"/>
      <c r="G213" s="405"/>
    </row>
    <row r="214">
      <c r="A214" s="404"/>
      <c r="G214" s="405"/>
    </row>
    <row r="215">
      <c r="A215" s="404"/>
      <c r="G215" s="405"/>
    </row>
    <row r="216">
      <c r="A216" s="404"/>
      <c r="G216" s="405"/>
    </row>
    <row r="217">
      <c r="A217" s="404"/>
      <c r="G217" s="405"/>
    </row>
    <row r="218">
      <c r="A218" s="404"/>
      <c r="G218" s="405"/>
    </row>
    <row r="219">
      <c r="A219" s="404"/>
      <c r="G219" s="405"/>
    </row>
    <row r="220">
      <c r="A220" s="404"/>
      <c r="G220" s="405"/>
    </row>
    <row r="221">
      <c r="A221" s="404"/>
      <c r="G221" s="405"/>
    </row>
    <row r="222">
      <c r="A222" s="404"/>
      <c r="G222" s="405"/>
    </row>
    <row r="223">
      <c r="A223" s="404"/>
      <c r="G223" s="405"/>
    </row>
    <row r="224">
      <c r="A224" s="404"/>
      <c r="G224" s="405"/>
    </row>
    <row r="225">
      <c r="A225" s="404"/>
      <c r="G225" s="405"/>
    </row>
    <row r="226">
      <c r="A226" s="404"/>
      <c r="G226" s="405"/>
    </row>
    <row r="227">
      <c r="A227" s="404"/>
      <c r="G227" s="405"/>
    </row>
    <row r="228">
      <c r="A228" s="404"/>
      <c r="G228" s="405"/>
    </row>
    <row r="229">
      <c r="A229" s="404"/>
      <c r="G229" s="405"/>
    </row>
    <row r="230">
      <c r="A230" s="404"/>
      <c r="G230" s="405"/>
    </row>
    <row r="231">
      <c r="A231" s="404"/>
      <c r="G231" s="405"/>
    </row>
    <row r="232">
      <c r="A232" s="404"/>
      <c r="G232" s="405"/>
    </row>
    <row r="233">
      <c r="A233" s="404"/>
      <c r="G233" s="405"/>
    </row>
    <row r="234">
      <c r="A234" s="404"/>
      <c r="G234" s="405"/>
    </row>
    <row r="235">
      <c r="A235" s="404"/>
      <c r="G235" s="405"/>
    </row>
    <row r="236">
      <c r="A236" s="404"/>
      <c r="G236" s="405"/>
    </row>
    <row r="237">
      <c r="A237" s="404"/>
      <c r="G237" s="405"/>
    </row>
    <row r="238">
      <c r="A238" s="404"/>
      <c r="G238" s="405"/>
    </row>
    <row r="239">
      <c r="A239" s="404"/>
      <c r="G239" s="405"/>
    </row>
    <row r="240">
      <c r="A240" s="404"/>
      <c r="G240" s="405"/>
    </row>
    <row r="241">
      <c r="A241" s="404"/>
      <c r="G241" s="405"/>
    </row>
    <row r="242">
      <c r="A242" s="404"/>
      <c r="G242" s="405"/>
    </row>
    <row r="243">
      <c r="A243" s="404"/>
      <c r="G243" s="405"/>
    </row>
    <row r="244">
      <c r="A244" s="404"/>
      <c r="G244" s="405"/>
    </row>
    <row r="245">
      <c r="A245" s="404"/>
      <c r="G245" s="405"/>
    </row>
    <row r="246">
      <c r="A246" s="404"/>
      <c r="G246" s="405"/>
    </row>
    <row r="247">
      <c r="A247" s="404"/>
      <c r="G247" s="405"/>
    </row>
    <row r="248">
      <c r="A248" s="404"/>
      <c r="G248" s="405"/>
    </row>
    <row r="249">
      <c r="A249" s="404"/>
      <c r="G249" s="405"/>
    </row>
    <row r="250">
      <c r="A250" s="404"/>
      <c r="G250" s="405"/>
    </row>
    <row r="251">
      <c r="A251" s="404"/>
      <c r="G251" s="405"/>
    </row>
    <row r="252">
      <c r="A252" s="404"/>
      <c r="G252" s="405"/>
    </row>
    <row r="253">
      <c r="A253" s="404"/>
      <c r="G253" s="405"/>
    </row>
    <row r="254">
      <c r="A254" s="404"/>
      <c r="G254" s="405"/>
    </row>
    <row r="255">
      <c r="A255" s="404"/>
      <c r="G255" s="405"/>
    </row>
    <row r="256">
      <c r="A256" s="404"/>
      <c r="G256" s="405"/>
    </row>
    <row r="257">
      <c r="A257" s="404"/>
      <c r="G257" s="405"/>
    </row>
    <row r="258">
      <c r="A258" s="404"/>
      <c r="G258" s="405"/>
    </row>
    <row r="259">
      <c r="A259" s="404"/>
      <c r="G259" s="405"/>
    </row>
    <row r="260">
      <c r="A260" s="404"/>
      <c r="G260" s="405"/>
    </row>
    <row r="261">
      <c r="A261" s="404"/>
      <c r="G261" s="405"/>
    </row>
    <row r="262">
      <c r="A262" s="404"/>
      <c r="G262" s="405"/>
    </row>
    <row r="263">
      <c r="A263" s="404"/>
      <c r="G263" s="405"/>
    </row>
    <row r="264">
      <c r="A264" s="404"/>
      <c r="G264" s="405"/>
    </row>
    <row r="265">
      <c r="A265" s="404"/>
      <c r="G265" s="405"/>
    </row>
    <row r="266">
      <c r="A266" s="404"/>
      <c r="G266" s="405"/>
    </row>
    <row r="267">
      <c r="A267" s="404"/>
      <c r="G267" s="405"/>
    </row>
    <row r="268">
      <c r="A268" s="404"/>
      <c r="G268" s="405"/>
    </row>
    <row r="269">
      <c r="A269" s="404"/>
      <c r="G269" s="405"/>
    </row>
    <row r="270">
      <c r="A270" s="404"/>
      <c r="G270" s="405"/>
    </row>
    <row r="271">
      <c r="A271" s="404"/>
      <c r="G271" s="405"/>
    </row>
    <row r="272">
      <c r="A272" s="404"/>
      <c r="G272" s="405"/>
    </row>
    <row r="273">
      <c r="A273" s="404"/>
      <c r="G273" s="405"/>
    </row>
    <row r="274">
      <c r="A274" s="404"/>
      <c r="G274" s="405"/>
    </row>
    <row r="275">
      <c r="A275" s="404"/>
      <c r="G275" s="405"/>
    </row>
    <row r="276">
      <c r="A276" s="404"/>
      <c r="G276" s="405"/>
    </row>
    <row r="277">
      <c r="A277" s="404"/>
      <c r="G277" s="405"/>
    </row>
    <row r="278">
      <c r="A278" s="404"/>
      <c r="G278" s="405"/>
    </row>
    <row r="279">
      <c r="A279" s="404"/>
      <c r="G279" s="405"/>
    </row>
    <row r="280">
      <c r="A280" s="404"/>
      <c r="G280" s="405"/>
    </row>
    <row r="281">
      <c r="A281" s="404"/>
      <c r="G281" s="405"/>
    </row>
    <row r="282">
      <c r="A282" s="404"/>
      <c r="G282" s="405"/>
    </row>
    <row r="283">
      <c r="A283" s="404"/>
      <c r="G283" s="405"/>
    </row>
    <row r="284">
      <c r="A284" s="404"/>
      <c r="G284" s="405"/>
    </row>
    <row r="285">
      <c r="A285" s="404"/>
      <c r="G285" s="405"/>
    </row>
    <row r="286">
      <c r="A286" s="404"/>
      <c r="G286" s="405"/>
    </row>
    <row r="287">
      <c r="A287" s="404"/>
      <c r="G287" s="405"/>
    </row>
    <row r="288">
      <c r="A288" s="404"/>
      <c r="G288" s="405"/>
    </row>
    <row r="289">
      <c r="A289" s="404"/>
      <c r="G289" s="405"/>
    </row>
    <row r="290">
      <c r="A290" s="404"/>
      <c r="G290" s="405"/>
    </row>
    <row r="291">
      <c r="A291" s="404"/>
      <c r="G291" s="405"/>
    </row>
    <row r="292">
      <c r="A292" s="404"/>
      <c r="G292" s="405"/>
    </row>
    <row r="293">
      <c r="A293" s="404"/>
      <c r="G293" s="405"/>
    </row>
    <row r="294">
      <c r="A294" s="404"/>
      <c r="G294" s="405"/>
    </row>
    <row r="295">
      <c r="A295" s="404"/>
      <c r="G295" s="405"/>
    </row>
    <row r="296">
      <c r="A296" s="404"/>
      <c r="G296" s="405"/>
    </row>
    <row r="297">
      <c r="A297" s="404"/>
      <c r="G297" s="405"/>
    </row>
    <row r="298">
      <c r="A298" s="404"/>
      <c r="G298" s="405"/>
    </row>
    <row r="299">
      <c r="A299" s="404"/>
      <c r="G299" s="405"/>
    </row>
    <row r="300">
      <c r="A300" s="404"/>
      <c r="G300" s="405"/>
    </row>
    <row r="301">
      <c r="A301" s="404"/>
      <c r="G301" s="405"/>
    </row>
    <row r="302">
      <c r="A302" s="404"/>
      <c r="G302" s="405"/>
    </row>
    <row r="303">
      <c r="A303" s="404"/>
      <c r="G303" s="405"/>
    </row>
    <row r="304">
      <c r="A304" s="404"/>
      <c r="G304" s="405"/>
    </row>
    <row r="305">
      <c r="A305" s="404"/>
      <c r="G305" s="405"/>
    </row>
    <row r="306">
      <c r="A306" s="404"/>
      <c r="G306" s="405"/>
    </row>
    <row r="307">
      <c r="A307" s="404"/>
      <c r="G307" s="405"/>
    </row>
    <row r="308">
      <c r="A308" s="404"/>
      <c r="G308" s="405"/>
    </row>
    <row r="309">
      <c r="A309" s="404"/>
      <c r="G309" s="405"/>
    </row>
    <row r="310">
      <c r="A310" s="404"/>
      <c r="G310" s="405"/>
    </row>
    <row r="311">
      <c r="A311" s="404"/>
      <c r="G311" s="405"/>
    </row>
    <row r="312">
      <c r="A312" s="404"/>
      <c r="G312" s="405"/>
    </row>
    <row r="313">
      <c r="A313" s="404"/>
      <c r="G313" s="405"/>
    </row>
    <row r="314">
      <c r="A314" s="404"/>
      <c r="G314" s="405"/>
    </row>
    <row r="315">
      <c r="A315" s="404"/>
      <c r="G315" s="405"/>
    </row>
    <row r="316">
      <c r="A316" s="404"/>
      <c r="G316" s="405"/>
    </row>
    <row r="317">
      <c r="A317" s="404"/>
      <c r="G317" s="405"/>
    </row>
    <row r="318">
      <c r="A318" s="404"/>
      <c r="G318" s="405"/>
    </row>
    <row r="319">
      <c r="A319" s="404"/>
      <c r="G319" s="405"/>
    </row>
    <row r="320">
      <c r="A320" s="404"/>
      <c r="G320" s="405"/>
    </row>
    <row r="321">
      <c r="A321" s="404"/>
      <c r="G321" s="405"/>
    </row>
    <row r="322">
      <c r="A322" s="404"/>
      <c r="G322" s="405"/>
    </row>
    <row r="323">
      <c r="A323" s="404"/>
      <c r="G323" s="405"/>
    </row>
    <row r="324">
      <c r="A324" s="404"/>
      <c r="G324" s="405"/>
    </row>
    <row r="325">
      <c r="A325" s="404"/>
      <c r="G325" s="405"/>
    </row>
    <row r="326">
      <c r="A326" s="404"/>
      <c r="G326" s="405"/>
    </row>
    <row r="327">
      <c r="A327" s="404"/>
      <c r="G327" s="405"/>
    </row>
    <row r="328">
      <c r="A328" s="404"/>
      <c r="G328" s="405"/>
    </row>
    <row r="329">
      <c r="A329" s="404"/>
      <c r="G329" s="405"/>
    </row>
    <row r="330">
      <c r="A330" s="404"/>
      <c r="G330" s="405"/>
    </row>
    <row r="331">
      <c r="A331" s="404"/>
      <c r="G331" s="405"/>
    </row>
    <row r="332">
      <c r="A332" s="404"/>
      <c r="G332" s="405"/>
    </row>
    <row r="333">
      <c r="A333" s="404"/>
      <c r="G333" s="405"/>
    </row>
    <row r="334">
      <c r="A334" s="404"/>
      <c r="G334" s="405"/>
    </row>
    <row r="335">
      <c r="A335" s="404"/>
      <c r="G335" s="405"/>
    </row>
    <row r="336">
      <c r="A336" s="404"/>
      <c r="G336" s="405"/>
    </row>
    <row r="337">
      <c r="A337" s="404"/>
      <c r="G337" s="405"/>
    </row>
    <row r="338">
      <c r="A338" s="404"/>
      <c r="G338" s="405"/>
    </row>
    <row r="339">
      <c r="A339" s="404"/>
      <c r="G339" s="405"/>
    </row>
    <row r="340">
      <c r="A340" s="404"/>
      <c r="G340" s="405"/>
    </row>
    <row r="341">
      <c r="A341" s="404"/>
      <c r="G341" s="405"/>
    </row>
    <row r="342">
      <c r="A342" s="404"/>
      <c r="G342" s="405"/>
    </row>
    <row r="343">
      <c r="A343" s="404"/>
      <c r="G343" s="405"/>
    </row>
    <row r="344">
      <c r="A344" s="404"/>
      <c r="G344" s="405"/>
    </row>
    <row r="345">
      <c r="A345" s="404"/>
      <c r="G345" s="405"/>
    </row>
    <row r="346">
      <c r="A346" s="404"/>
      <c r="G346" s="405"/>
    </row>
    <row r="347">
      <c r="A347" s="404"/>
      <c r="G347" s="405"/>
    </row>
    <row r="348">
      <c r="A348" s="404"/>
      <c r="G348" s="405"/>
    </row>
    <row r="349">
      <c r="A349" s="404"/>
      <c r="G349" s="405"/>
    </row>
    <row r="350">
      <c r="A350" s="404"/>
      <c r="G350" s="405"/>
    </row>
    <row r="351">
      <c r="A351" s="404"/>
      <c r="G351" s="405"/>
    </row>
    <row r="352">
      <c r="A352" s="404"/>
      <c r="G352" s="405"/>
    </row>
    <row r="353">
      <c r="A353" s="404"/>
      <c r="G353" s="405"/>
    </row>
    <row r="354">
      <c r="A354" s="404"/>
      <c r="G354" s="405"/>
    </row>
    <row r="355">
      <c r="A355" s="404"/>
      <c r="G355" s="405"/>
    </row>
    <row r="356">
      <c r="A356" s="404"/>
      <c r="G356" s="405"/>
    </row>
    <row r="357">
      <c r="A357" s="404"/>
      <c r="G357" s="405"/>
    </row>
    <row r="358">
      <c r="A358" s="404"/>
      <c r="G358" s="405"/>
    </row>
    <row r="359">
      <c r="A359" s="404"/>
      <c r="G359" s="405"/>
    </row>
    <row r="360">
      <c r="A360" s="404"/>
      <c r="G360" s="405"/>
    </row>
    <row r="361">
      <c r="A361" s="404"/>
      <c r="G361" s="405"/>
    </row>
    <row r="362">
      <c r="A362" s="404"/>
      <c r="G362" s="405"/>
    </row>
    <row r="363">
      <c r="A363" s="404"/>
      <c r="G363" s="405"/>
    </row>
    <row r="364">
      <c r="A364" s="404"/>
      <c r="G364" s="405"/>
    </row>
    <row r="365">
      <c r="A365" s="404"/>
      <c r="G365" s="405"/>
    </row>
    <row r="366">
      <c r="A366" s="404"/>
      <c r="G366" s="405"/>
    </row>
    <row r="367">
      <c r="A367" s="404"/>
      <c r="G367" s="405"/>
    </row>
    <row r="368">
      <c r="A368" s="404"/>
      <c r="G368" s="405"/>
    </row>
    <row r="369">
      <c r="A369" s="404"/>
      <c r="G369" s="405"/>
    </row>
    <row r="370">
      <c r="A370" s="404"/>
      <c r="G370" s="405"/>
    </row>
    <row r="371">
      <c r="A371" s="404"/>
      <c r="G371" s="405"/>
    </row>
    <row r="372">
      <c r="A372" s="404"/>
      <c r="G372" s="405"/>
    </row>
    <row r="373">
      <c r="A373" s="404"/>
      <c r="G373" s="405"/>
    </row>
    <row r="374">
      <c r="A374" s="404"/>
      <c r="G374" s="405"/>
    </row>
    <row r="375">
      <c r="A375" s="404"/>
      <c r="G375" s="405"/>
    </row>
    <row r="376">
      <c r="A376" s="404"/>
      <c r="G376" s="405"/>
    </row>
    <row r="377">
      <c r="A377" s="404"/>
      <c r="G377" s="405"/>
    </row>
    <row r="378">
      <c r="A378" s="404"/>
      <c r="G378" s="405"/>
    </row>
    <row r="379">
      <c r="A379" s="404"/>
      <c r="G379" s="405"/>
    </row>
    <row r="380">
      <c r="A380" s="404"/>
      <c r="G380" s="405"/>
    </row>
    <row r="381">
      <c r="A381" s="404"/>
      <c r="G381" s="405"/>
    </row>
    <row r="382">
      <c r="A382" s="404"/>
      <c r="G382" s="405"/>
    </row>
    <row r="383">
      <c r="A383" s="404"/>
      <c r="G383" s="405"/>
    </row>
    <row r="384">
      <c r="A384" s="404"/>
      <c r="G384" s="405"/>
    </row>
    <row r="385">
      <c r="A385" s="404"/>
      <c r="G385" s="405"/>
    </row>
    <row r="386">
      <c r="A386" s="404"/>
      <c r="G386" s="405"/>
    </row>
    <row r="387">
      <c r="A387" s="404"/>
      <c r="G387" s="405"/>
    </row>
    <row r="388">
      <c r="A388" s="404"/>
      <c r="G388" s="405"/>
    </row>
    <row r="389">
      <c r="A389" s="404"/>
      <c r="G389" s="405"/>
    </row>
    <row r="390">
      <c r="A390" s="404"/>
      <c r="G390" s="405"/>
    </row>
    <row r="391">
      <c r="A391" s="404"/>
      <c r="G391" s="405"/>
    </row>
    <row r="392">
      <c r="A392" s="404"/>
      <c r="G392" s="405"/>
    </row>
    <row r="393">
      <c r="A393" s="404"/>
      <c r="G393" s="405"/>
    </row>
    <row r="394">
      <c r="A394" s="404"/>
      <c r="G394" s="405"/>
    </row>
    <row r="395">
      <c r="A395" s="404"/>
      <c r="G395" s="405"/>
    </row>
    <row r="396">
      <c r="A396" s="404"/>
      <c r="G396" s="405"/>
    </row>
    <row r="397">
      <c r="A397" s="404"/>
      <c r="G397" s="405"/>
    </row>
    <row r="398">
      <c r="A398" s="404"/>
      <c r="G398" s="405"/>
    </row>
    <row r="399">
      <c r="A399" s="404"/>
      <c r="G399" s="405"/>
    </row>
    <row r="400">
      <c r="A400" s="404"/>
      <c r="G400" s="405"/>
    </row>
    <row r="401">
      <c r="A401" s="404"/>
      <c r="G401" s="405"/>
    </row>
    <row r="402">
      <c r="A402" s="404"/>
      <c r="G402" s="405"/>
    </row>
    <row r="403">
      <c r="A403" s="404"/>
      <c r="G403" s="405"/>
    </row>
    <row r="404">
      <c r="A404" s="404"/>
      <c r="G404" s="405"/>
    </row>
    <row r="405">
      <c r="A405" s="404"/>
      <c r="G405" s="405"/>
    </row>
    <row r="406">
      <c r="A406" s="404"/>
      <c r="G406" s="405"/>
    </row>
    <row r="407">
      <c r="A407" s="404"/>
      <c r="G407" s="405"/>
    </row>
    <row r="408">
      <c r="A408" s="404"/>
      <c r="G408" s="405"/>
    </row>
    <row r="409">
      <c r="A409" s="404"/>
      <c r="G409" s="405"/>
    </row>
    <row r="410">
      <c r="A410" s="404"/>
      <c r="G410" s="405"/>
    </row>
    <row r="411">
      <c r="A411" s="404"/>
      <c r="G411" s="405"/>
    </row>
    <row r="412">
      <c r="A412" s="404"/>
      <c r="G412" s="405"/>
    </row>
    <row r="413">
      <c r="A413" s="404"/>
      <c r="G413" s="405"/>
    </row>
    <row r="414">
      <c r="A414" s="404"/>
      <c r="G414" s="405"/>
    </row>
    <row r="415">
      <c r="A415" s="404"/>
      <c r="G415" s="405"/>
    </row>
    <row r="416">
      <c r="A416" s="404"/>
      <c r="G416" s="405"/>
    </row>
    <row r="417">
      <c r="A417" s="404"/>
      <c r="G417" s="405"/>
    </row>
    <row r="418">
      <c r="A418" s="404"/>
      <c r="G418" s="405"/>
    </row>
    <row r="419">
      <c r="A419" s="404"/>
      <c r="G419" s="405"/>
    </row>
    <row r="420">
      <c r="A420" s="404"/>
      <c r="G420" s="405"/>
    </row>
    <row r="421">
      <c r="A421" s="404"/>
      <c r="G421" s="405"/>
    </row>
    <row r="422">
      <c r="A422" s="404"/>
      <c r="G422" s="405"/>
    </row>
    <row r="423">
      <c r="A423" s="404"/>
      <c r="G423" s="405"/>
    </row>
    <row r="424">
      <c r="A424" s="404"/>
      <c r="G424" s="405"/>
    </row>
    <row r="425">
      <c r="A425" s="404"/>
      <c r="G425" s="405"/>
    </row>
    <row r="426">
      <c r="A426" s="404"/>
      <c r="G426" s="405"/>
    </row>
    <row r="427">
      <c r="A427" s="404"/>
      <c r="G427" s="405"/>
    </row>
    <row r="428">
      <c r="A428" s="404"/>
      <c r="G428" s="405"/>
    </row>
    <row r="429">
      <c r="A429" s="404"/>
      <c r="G429" s="405"/>
    </row>
    <row r="430">
      <c r="A430" s="404"/>
      <c r="G430" s="405"/>
    </row>
    <row r="431">
      <c r="A431" s="404"/>
      <c r="G431" s="405"/>
    </row>
    <row r="432">
      <c r="A432" s="404"/>
      <c r="G432" s="405"/>
    </row>
    <row r="433">
      <c r="A433" s="404"/>
      <c r="G433" s="405"/>
    </row>
    <row r="434">
      <c r="A434" s="404"/>
      <c r="G434" s="405"/>
    </row>
    <row r="435">
      <c r="A435" s="404"/>
      <c r="G435" s="405"/>
    </row>
    <row r="436">
      <c r="A436" s="404"/>
      <c r="G436" s="405"/>
    </row>
    <row r="437">
      <c r="A437" s="404"/>
      <c r="G437" s="405"/>
    </row>
    <row r="438">
      <c r="A438" s="404"/>
      <c r="G438" s="405"/>
    </row>
    <row r="439">
      <c r="A439" s="404"/>
      <c r="G439" s="405"/>
    </row>
    <row r="440">
      <c r="A440" s="404"/>
      <c r="G440" s="405"/>
    </row>
    <row r="441">
      <c r="A441" s="404"/>
      <c r="G441" s="405"/>
    </row>
    <row r="442">
      <c r="A442" s="404"/>
      <c r="G442" s="405"/>
    </row>
    <row r="443">
      <c r="A443" s="404"/>
      <c r="G443" s="405"/>
    </row>
    <row r="444">
      <c r="A444" s="404"/>
      <c r="G444" s="405"/>
    </row>
    <row r="445">
      <c r="A445" s="404"/>
      <c r="G445" s="405"/>
    </row>
    <row r="446">
      <c r="A446" s="404"/>
      <c r="G446" s="405"/>
    </row>
    <row r="447">
      <c r="A447" s="404"/>
      <c r="G447" s="405"/>
    </row>
    <row r="448">
      <c r="A448" s="404"/>
      <c r="G448" s="405"/>
    </row>
    <row r="449">
      <c r="A449" s="404"/>
      <c r="G449" s="405"/>
    </row>
    <row r="450">
      <c r="A450" s="404"/>
      <c r="G450" s="405"/>
    </row>
    <row r="451">
      <c r="A451" s="404"/>
      <c r="G451" s="405"/>
    </row>
    <row r="452">
      <c r="A452" s="404"/>
      <c r="G452" s="405"/>
    </row>
    <row r="453">
      <c r="A453" s="404"/>
      <c r="G453" s="405"/>
    </row>
    <row r="454">
      <c r="A454" s="404"/>
      <c r="G454" s="405"/>
    </row>
    <row r="455">
      <c r="A455" s="404"/>
      <c r="G455" s="405"/>
    </row>
    <row r="456">
      <c r="A456" s="404"/>
      <c r="G456" s="405"/>
    </row>
    <row r="457">
      <c r="A457" s="404"/>
      <c r="G457" s="405"/>
    </row>
    <row r="458">
      <c r="A458" s="404"/>
      <c r="G458" s="405"/>
    </row>
    <row r="459">
      <c r="A459" s="404"/>
      <c r="G459" s="405"/>
    </row>
    <row r="460">
      <c r="A460" s="404"/>
      <c r="G460" s="405"/>
    </row>
    <row r="461">
      <c r="A461" s="404"/>
      <c r="G461" s="405"/>
    </row>
    <row r="462">
      <c r="A462" s="404"/>
      <c r="G462" s="405"/>
    </row>
    <row r="463">
      <c r="A463" s="404"/>
      <c r="G463" s="405"/>
    </row>
    <row r="464">
      <c r="A464" s="404"/>
      <c r="G464" s="405"/>
    </row>
    <row r="465">
      <c r="A465" s="404"/>
      <c r="G465" s="405"/>
    </row>
    <row r="466">
      <c r="A466" s="404"/>
      <c r="G466" s="405"/>
    </row>
    <row r="467">
      <c r="A467" s="404"/>
      <c r="G467" s="405"/>
    </row>
    <row r="468">
      <c r="A468" s="404"/>
      <c r="G468" s="405"/>
    </row>
    <row r="469">
      <c r="A469" s="404"/>
      <c r="G469" s="405"/>
    </row>
    <row r="470">
      <c r="A470" s="404"/>
      <c r="G470" s="405"/>
    </row>
    <row r="471">
      <c r="A471" s="404"/>
      <c r="G471" s="405"/>
    </row>
    <row r="472">
      <c r="A472" s="404"/>
      <c r="G472" s="405"/>
    </row>
    <row r="473">
      <c r="A473" s="404"/>
      <c r="G473" s="405"/>
    </row>
    <row r="474">
      <c r="A474" s="404"/>
      <c r="G474" s="405"/>
    </row>
    <row r="475">
      <c r="A475" s="404"/>
      <c r="G475" s="405"/>
    </row>
    <row r="476">
      <c r="A476" s="404"/>
      <c r="G476" s="405"/>
    </row>
    <row r="477">
      <c r="A477" s="404"/>
      <c r="G477" s="405"/>
    </row>
    <row r="478">
      <c r="A478" s="404"/>
      <c r="G478" s="405"/>
    </row>
    <row r="479">
      <c r="A479" s="404"/>
      <c r="G479" s="405"/>
    </row>
    <row r="480">
      <c r="A480" s="404"/>
      <c r="G480" s="405"/>
    </row>
    <row r="481">
      <c r="A481" s="404"/>
      <c r="G481" s="405"/>
    </row>
    <row r="482">
      <c r="A482" s="404"/>
      <c r="G482" s="405"/>
    </row>
    <row r="483">
      <c r="A483" s="404"/>
      <c r="G483" s="405"/>
    </row>
    <row r="484">
      <c r="A484" s="404"/>
      <c r="G484" s="405"/>
    </row>
    <row r="485">
      <c r="A485" s="404"/>
      <c r="G485" s="405"/>
    </row>
    <row r="486">
      <c r="A486" s="404"/>
      <c r="G486" s="405"/>
    </row>
    <row r="487">
      <c r="A487" s="404"/>
      <c r="G487" s="405"/>
    </row>
    <row r="488">
      <c r="A488" s="404"/>
      <c r="G488" s="405"/>
    </row>
    <row r="489">
      <c r="A489" s="404"/>
      <c r="G489" s="405"/>
    </row>
    <row r="490">
      <c r="A490" s="404"/>
      <c r="G490" s="405"/>
    </row>
    <row r="491">
      <c r="A491" s="404"/>
      <c r="G491" s="405"/>
    </row>
    <row r="492">
      <c r="A492" s="404"/>
      <c r="G492" s="405"/>
    </row>
    <row r="493">
      <c r="A493" s="404"/>
      <c r="G493" s="405"/>
    </row>
    <row r="494">
      <c r="A494" s="404"/>
      <c r="G494" s="405"/>
    </row>
    <row r="495">
      <c r="A495" s="404"/>
      <c r="G495" s="405"/>
    </row>
    <row r="496">
      <c r="A496" s="404"/>
      <c r="G496" s="405"/>
    </row>
    <row r="497">
      <c r="A497" s="404"/>
      <c r="G497" s="405"/>
    </row>
    <row r="498">
      <c r="A498" s="404"/>
      <c r="G498" s="405"/>
    </row>
    <row r="499">
      <c r="A499" s="404"/>
      <c r="G499" s="405"/>
    </row>
    <row r="500">
      <c r="A500" s="404"/>
      <c r="G500" s="405"/>
    </row>
    <row r="501">
      <c r="A501" s="404"/>
      <c r="G501" s="405"/>
    </row>
    <row r="502">
      <c r="A502" s="404"/>
      <c r="G502" s="405"/>
    </row>
    <row r="503">
      <c r="A503" s="404"/>
      <c r="G503" s="405"/>
    </row>
    <row r="504">
      <c r="A504" s="404"/>
      <c r="G504" s="405"/>
    </row>
    <row r="505">
      <c r="A505" s="404"/>
      <c r="G505" s="405"/>
    </row>
    <row r="506">
      <c r="A506" s="404"/>
      <c r="G506" s="405"/>
    </row>
    <row r="507">
      <c r="A507" s="404"/>
      <c r="G507" s="405"/>
    </row>
    <row r="508">
      <c r="A508" s="404"/>
      <c r="G508" s="405"/>
    </row>
    <row r="509">
      <c r="A509" s="404"/>
      <c r="G509" s="405"/>
    </row>
    <row r="510">
      <c r="A510" s="404"/>
      <c r="G510" s="405"/>
    </row>
    <row r="511">
      <c r="A511" s="404"/>
      <c r="G511" s="405"/>
    </row>
    <row r="512">
      <c r="A512" s="404"/>
      <c r="G512" s="405"/>
    </row>
    <row r="513">
      <c r="A513" s="404"/>
      <c r="G513" s="405"/>
    </row>
    <row r="514">
      <c r="A514" s="404"/>
      <c r="G514" s="405"/>
    </row>
    <row r="515">
      <c r="A515" s="404"/>
      <c r="G515" s="405"/>
    </row>
    <row r="516">
      <c r="A516" s="404"/>
      <c r="G516" s="405"/>
    </row>
    <row r="517">
      <c r="A517" s="404"/>
      <c r="G517" s="405"/>
    </row>
    <row r="518">
      <c r="A518" s="404"/>
      <c r="G518" s="405"/>
    </row>
    <row r="519">
      <c r="A519" s="404"/>
      <c r="G519" s="405"/>
    </row>
    <row r="520">
      <c r="A520" s="404"/>
      <c r="G520" s="405"/>
    </row>
    <row r="521">
      <c r="A521" s="404"/>
      <c r="G521" s="405"/>
    </row>
    <row r="522">
      <c r="A522" s="404"/>
      <c r="G522" s="405"/>
    </row>
    <row r="523">
      <c r="A523" s="404"/>
      <c r="G523" s="405"/>
    </row>
    <row r="524">
      <c r="A524" s="404"/>
      <c r="G524" s="405"/>
    </row>
    <row r="525">
      <c r="A525" s="404"/>
      <c r="G525" s="405"/>
    </row>
    <row r="526">
      <c r="A526" s="404"/>
      <c r="G526" s="405"/>
    </row>
    <row r="527">
      <c r="A527" s="404"/>
      <c r="G527" s="405"/>
    </row>
    <row r="528">
      <c r="A528" s="404"/>
      <c r="G528" s="405"/>
    </row>
    <row r="529">
      <c r="A529" s="404"/>
      <c r="G529" s="405"/>
    </row>
    <row r="530">
      <c r="A530" s="404"/>
      <c r="G530" s="405"/>
    </row>
    <row r="531">
      <c r="A531" s="404"/>
      <c r="G531" s="405"/>
    </row>
    <row r="532">
      <c r="A532" s="404"/>
      <c r="G532" s="405"/>
    </row>
    <row r="533">
      <c r="A533" s="404"/>
      <c r="G533" s="405"/>
    </row>
    <row r="534">
      <c r="A534" s="404"/>
      <c r="G534" s="405"/>
    </row>
    <row r="535">
      <c r="A535" s="404"/>
      <c r="G535" s="405"/>
    </row>
    <row r="536">
      <c r="A536" s="404"/>
      <c r="G536" s="405"/>
    </row>
    <row r="537">
      <c r="A537" s="404"/>
      <c r="G537" s="405"/>
    </row>
    <row r="538">
      <c r="A538" s="404"/>
      <c r="G538" s="405"/>
    </row>
    <row r="539">
      <c r="A539" s="404"/>
      <c r="G539" s="405"/>
    </row>
    <row r="540">
      <c r="A540" s="404"/>
      <c r="G540" s="405"/>
    </row>
    <row r="541">
      <c r="A541" s="404"/>
      <c r="G541" s="405"/>
    </row>
    <row r="542">
      <c r="A542" s="404"/>
      <c r="G542" s="405"/>
    </row>
    <row r="543">
      <c r="A543" s="404"/>
      <c r="G543" s="405"/>
    </row>
    <row r="544">
      <c r="A544" s="404"/>
      <c r="G544" s="405"/>
    </row>
    <row r="545">
      <c r="A545" s="404"/>
      <c r="G545" s="405"/>
    </row>
    <row r="546">
      <c r="A546" s="404"/>
      <c r="G546" s="405"/>
    </row>
    <row r="547">
      <c r="A547" s="404"/>
      <c r="G547" s="405"/>
    </row>
    <row r="548">
      <c r="A548" s="404"/>
      <c r="G548" s="405"/>
    </row>
    <row r="549">
      <c r="A549" s="404"/>
      <c r="G549" s="405"/>
    </row>
    <row r="550">
      <c r="A550" s="404"/>
      <c r="G550" s="405"/>
    </row>
    <row r="551">
      <c r="A551" s="404"/>
      <c r="G551" s="405"/>
    </row>
    <row r="552">
      <c r="A552" s="404"/>
      <c r="G552" s="405"/>
    </row>
    <row r="553">
      <c r="A553" s="404"/>
      <c r="G553" s="405"/>
    </row>
    <row r="554">
      <c r="A554" s="404"/>
      <c r="G554" s="405"/>
    </row>
    <row r="555">
      <c r="A555" s="404"/>
      <c r="G555" s="405"/>
    </row>
    <row r="556">
      <c r="A556" s="404"/>
      <c r="G556" s="405"/>
    </row>
    <row r="557">
      <c r="A557" s="404"/>
      <c r="G557" s="405"/>
    </row>
    <row r="558">
      <c r="A558" s="404"/>
      <c r="G558" s="405"/>
    </row>
    <row r="559">
      <c r="A559" s="404"/>
      <c r="G559" s="405"/>
    </row>
    <row r="560">
      <c r="A560" s="404"/>
      <c r="G560" s="405"/>
    </row>
    <row r="561">
      <c r="A561" s="404"/>
      <c r="G561" s="405"/>
    </row>
    <row r="562">
      <c r="A562" s="404"/>
      <c r="G562" s="405"/>
    </row>
    <row r="563">
      <c r="A563" s="404"/>
      <c r="G563" s="405"/>
    </row>
    <row r="564">
      <c r="A564" s="404"/>
      <c r="G564" s="405"/>
    </row>
    <row r="565">
      <c r="A565" s="404"/>
      <c r="G565" s="405"/>
    </row>
    <row r="566">
      <c r="A566" s="404"/>
      <c r="G566" s="405"/>
    </row>
    <row r="567">
      <c r="A567" s="404"/>
      <c r="G567" s="405"/>
    </row>
    <row r="568">
      <c r="A568" s="404"/>
      <c r="G568" s="405"/>
    </row>
    <row r="569">
      <c r="A569" s="404"/>
      <c r="G569" s="405"/>
    </row>
    <row r="570">
      <c r="A570" s="404"/>
      <c r="G570" s="405"/>
    </row>
    <row r="571">
      <c r="A571" s="404"/>
      <c r="G571" s="405"/>
    </row>
    <row r="572">
      <c r="A572" s="404"/>
      <c r="G572" s="405"/>
    </row>
    <row r="573">
      <c r="A573" s="404"/>
      <c r="G573" s="405"/>
    </row>
    <row r="574">
      <c r="A574" s="404"/>
      <c r="G574" s="405"/>
    </row>
    <row r="575">
      <c r="A575" s="404"/>
      <c r="G575" s="405"/>
    </row>
    <row r="576">
      <c r="A576" s="404"/>
      <c r="G576" s="405"/>
    </row>
    <row r="577">
      <c r="A577" s="404"/>
      <c r="G577" s="405"/>
    </row>
    <row r="578">
      <c r="A578" s="404"/>
      <c r="G578" s="405"/>
    </row>
    <row r="579">
      <c r="A579" s="404"/>
      <c r="G579" s="405"/>
    </row>
    <row r="580">
      <c r="A580" s="404"/>
      <c r="G580" s="405"/>
    </row>
    <row r="581">
      <c r="A581" s="404"/>
      <c r="G581" s="405"/>
    </row>
    <row r="582">
      <c r="A582" s="404"/>
      <c r="G582" s="405"/>
    </row>
    <row r="583">
      <c r="A583" s="404"/>
      <c r="G583" s="405"/>
    </row>
    <row r="584">
      <c r="A584" s="404"/>
      <c r="G584" s="405"/>
    </row>
    <row r="585">
      <c r="A585" s="404"/>
      <c r="G585" s="405"/>
    </row>
    <row r="586">
      <c r="A586" s="404"/>
      <c r="G586" s="405"/>
    </row>
    <row r="587">
      <c r="A587" s="404"/>
      <c r="G587" s="405"/>
    </row>
    <row r="588">
      <c r="A588" s="404"/>
      <c r="G588" s="405"/>
    </row>
    <row r="589">
      <c r="A589" s="404"/>
      <c r="G589" s="405"/>
    </row>
    <row r="590">
      <c r="A590" s="404"/>
      <c r="G590" s="405"/>
    </row>
    <row r="591">
      <c r="A591" s="404"/>
      <c r="G591" s="405"/>
    </row>
    <row r="592">
      <c r="A592" s="404"/>
      <c r="G592" s="405"/>
    </row>
    <row r="593">
      <c r="A593" s="404"/>
      <c r="G593" s="405"/>
    </row>
    <row r="594">
      <c r="A594" s="404"/>
      <c r="G594" s="405"/>
    </row>
    <row r="595">
      <c r="A595" s="404"/>
      <c r="G595" s="405"/>
    </row>
    <row r="596">
      <c r="A596" s="404"/>
      <c r="G596" s="405"/>
    </row>
    <row r="597">
      <c r="A597" s="404"/>
      <c r="G597" s="405"/>
    </row>
    <row r="598">
      <c r="A598" s="404"/>
      <c r="G598" s="405"/>
    </row>
    <row r="599">
      <c r="A599" s="404"/>
      <c r="G599" s="405"/>
    </row>
    <row r="600">
      <c r="A600" s="404"/>
      <c r="G600" s="405"/>
    </row>
    <row r="601">
      <c r="A601" s="404"/>
      <c r="G601" s="405"/>
    </row>
    <row r="602">
      <c r="A602" s="404"/>
      <c r="G602" s="405"/>
    </row>
    <row r="603">
      <c r="A603" s="404"/>
      <c r="G603" s="405"/>
    </row>
    <row r="604">
      <c r="A604" s="404"/>
      <c r="G604" s="405"/>
    </row>
    <row r="605">
      <c r="A605" s="404"/>
      <c r="G605" s="405"/>
    </row>
    <row r="606">
      <c r="A606" s="404"/>
      <c r="G606" s="405"/>
    </row>
    <row r="607">
      <c r="A607" s="404"/>
      <c r="G607" s="405"/>
    </row>
    <row r="608">
      <c r="A608" s="404"/>
      <c r="G608" s="405"/>
    </row>
    <row r="609">
      <c r="A609" s="404"/>
      <c r="G609" s="405"/>
    </row>
    <row r="610">
      <c r="A610" s="404"/>
      <c r="G610" s="405"/>
    </row>
    <row r="611">
      <c r="A611" s="404"/>
      <c r="G611" s="405"/>
    </row>
    <row r="612">
      <c r="A612" s="404"/>
      <c r="G612" s="405"/>
    </row>
    <row r="613">
      <c r="A613" s="404"/>
      <c r="G613" s="405"/>
    </row>
    <row r="614">
      <c r="A614" s="404"/>
      <c r="G614" s="405"/>
    </row>
    <row r="615">
      <c r="A615" s="404"/>
      <c r="G615" s="405"/>
    </row>
    <row r="616">
      <c r="A616" s="404"/>
      <c r="G616" s="405"/>
    </row>
    <row r="617">
      <c r="A617" s="404"/>
      <c r="G617" s="405"/>
    </row>
    <row r="618">
      <c r="A618" s="404"/>
      <c r="G618" s="405"/>
    </row>
    <row r="619">
      <c r="A619" s="404"/>
      <c r="G619" s="405"/>
    </row>
    <row r="620">
      <c r="A620" s="404"/>
      <c r="G620" s="405"/>
    </row>
    <row r="621">
      <c r="A621" s="404"/>
      <c r="G621" s="405"/>
    </row>
    <row r="622">
      <c r="A622" s="404"/>
      <c r="G622" s="405"/>
    </row>
    <row r="623">
      <c r="A623" s="404"/>
      <c r="G623" s="405"/>
    </row>
    <row r="624">
      <c r="A624" s="404"/>
      <c r="G624" s="405"/>
    </row>
    <row r="625">
      <c r="A625" s="404"/>
      <c r="G625" s="405"/>
    </row>
    <row r="626">
      <c r="A626" s="404"/>
      <c r="G626" s="405"/>
    </row>
    <row r="627">
      <c r="A627" s="404"/>
      <c r="G627" s="405"/>
    </row>
    <row r="628">
      <c r="A628" s="404"/>
      <c r="G628" s="405"/>
    </row>
    <row r="629">
      <c r="A629" s="404"/>
      <c r="G629" s="405"/>
    </row>
    <row r="630">
      <c r="A630" s="404"/>
      <c r="G630" s="405"/>
    </row>
    <row r="631">
      <c r="A631" s="404"/>
      <c r="G631" s="405"/>
    </row>
    <row r="632">
      <c r="A632" s="404"/>
      <c r="G632" s="405"/>
    </row>
    <row r="633">
      <c r="A633" s="404"/>
      <c r="G633" s="405"/>
    </row>
    <row r="634">
      <c r="A634" s="404"/>
      <c r="G634" s="405"/>
    </row>
    <row r="635">
      <c r="A635" s="404"/>
      <c r="G635" s="405"/>
    </row>
    <row r="636">
      <c r="A636" s="404"/>
      <c r="G636" s="405"/>
    </row>
    <row r="637">
      <c r="A637" s="404"/>
      <c r="G637" s="405"/>
    </row>
    <row r="638">
      <c r="A638" s="404"/>
      <c r="G638" s="405"/>
    </row>
    <row r="639">
      <c r="A639" s="404"/>
      <c r="G639" s="405"/>
    </row>
    <row r="640">
      <c r="A640" s="404"/>
      <c r="G640" s="405"/>
    </row>
    <row r="641">
      <c r="A641" s="404"/>
      <c r="G641" s="405"/>
    </row>
    <row r="642">
      <c r="A642" s="404"/>
      <c r="G642" s="405"/>
    </row>
    <row r="643">
      <c r="A643" s="404"/>
      <c r="G643" s="405"/>
    </row>
    <row r="644">
      <c r="A644" s="404"/>
      <c r="G644" s="405"/>
    </row>
    <row r="645">
      <c r="A645" s="404"/>
      <c r="G645" s="405"/>
    </row>
    <row r="646">
      <c r="A646" s="404"/>
      <c r="G646" s="405"/>
    </row>
    <row r="647">
      <c r="A647" s="404"/>
      <c r="G647" s="405"/>
    </row>
    <row r="648">
      <c r="A648" s="404"/>
      <c r="G648" s="405"/>
    </row>
    <row r="649">
      <c r="A649" s="404"/>
      <c r="G649" s="405"/>
    </row>
    <row r="650">
      <c r="A650" s="404"/>
      <c r="G650" s="405"/>
    </row>
    <row r="651">
      <c r="A651" s="404"/>
      <c r="G651" s="405"/>
    </row>
    <row r="652">
      <c r="A652" s="404"/>
      <c r="G652" s="405"/>
    </row>
    <row r="653">
      <c r="A653" s="404"/>
      <c r="G653" s="405"/>
    </row>
    <row r="654">
      <c r="A654" s="404"/>
      <c r="G654" s="405"/>
    </row>
    <row r="655">
      <c r="A655" s="404"/>
      <c r="G655" s="405"/>
    </row>
    <row r="656">
      <c r="A656" s="404"/>
      <c r="G656" s="405"/>
    </row>
    <row r="657">
      <c r="A657" s="404"/>
      <c r="G657" s="405"/>
    </row>
    <row r="658">
      <c r="A658" s="404"/>
      <c r="G658" s="405"/>
    </row>
    <row r="659">
      <c r="A659" s="404"/>
      <c r="G659" s="405"/>
    </row>
    <row r="660">
      <c r="A660" s="404"/>
      <c r="G660" s="405"/>
    </row>
    <row r="661">
      <c r="A661" s="404"/>
      <c r="G661" s="405"/>
    </row>
    <row r="662">
      <c r="A662" s="404"/>
      <c r="G662" s="405"/>
    </row>
    <row r="663">
      <c r="A663" s="404"/>
      <c r="G663" s="405"/>
    </row>
    <row r="664">
      <c r="A664" s="404"/>
      <c r="G664" s="405"/>
    </row>
    <row r="665">
      <c r="A665" s="404"/>
      <c r="G665" s="405"/>
    </row>
    <row r="666">
      <c r="A666" s="404"/>
      <c r="G666" s="405"/>
    </row>
    <row r="667">
      <c r="A667" s="404"/>
      <c r="G667" s="405"/>
    </row>
    <row r="668">
      <c r="A668" s="404"/>
      <c r="G668" s="405"/>
    </row>
    <row r="669">
      <c r="A669" s="404"/>
      <c r="G669" s="405"/>
    </row>
    <row r="670">
      <c r="A670" s="404"/>
      <c r="G670" s="405"/>
    </row>
    <row r="671">
      <c r="A671" s="404"/>
      <c r="G671" s="405"/>
    </row>
    <row r="672">
      <c r="A672" s="404"/>
      <c r="G672" s="405"/>
    </row>
    <row r="673">
      <c r="A673" s="404"/>
      <c r="G673" s="405"/>
    </row>
    <row r="674">
      <c r="A674" s="404"/>
      <c r="G674" s="405"/>
    </row>
    <row r="675">
      <c r="A675" s="404"/>
      <c r="G675" s="405"/>
    </row>
    <row r="676">
      <c r="A676" s="404"/>
      <c r="G676" s="405"/>
    </row>
    <row r="677">
      <c r="A677" s="404"/>
      <c r="G677" s="405"/>
    </row>
    <row r="678">
      <c r="A678" s="404"/>
      <c r="G678" s="405"/>
    </row>
    <row r="679">
      <c r="A679" s="404"/>
      <c r="G679" s="405"/>
    </row>
    <row r="680">
      <c r="A680" s="404"/>
      <c r="G680" s="405"/>
    </row>
    <row r="681">
      <c r="A681" s="404"/>
      <c r="G681" s="405"/>
    </row>
    <row r="682">
      <c r="A682" s="404"/>
      <c r="G682" s="405"/>
    </row>
    <row r="683">
      <c r="A683" s="404"/>
      <c r="G683" s="405"/>
    </row>
    <row r="684">
      <c r="A684" s="404"/>
      <c r="G684" s="405"/>
    </row>
    <row r="685">
      <c r="A685" s="404"/>
      <c r="G685" s="405"/>
    </row>
    <row r="686">
      <c r="A686" s="404"/>
      <c r="G686" s="405"/>
    </row>
    <row r="687">
      <c r="A687" s="404"/>
      <c r="G687" s="405"/>
    </row>
    <row r="688">
      <c r="A688" s="404"/>
      <c r="G688" s="405"/>
    </row>
    <row r="689">
      <c r="A689" s="404"/>
      <c r="G689" s="405"/>
    </row>
    <row r="690">
      <c r="A690" s="404"/>
      <c r="G690" s="405"/>
    </row>
    <row r="691">
      <c r="A691" s="404"/>
      <c r="G691" s="405"/>
    </row>
    <row r="692">
      <c r="A692" s="404"/>
      <c r="G692" s="405"/>
    </row>
    <row r="693">
      <c r="A693" s="404"/>
      <c r="G693" s="405"/>
    </row>
    <row r="694">
      <c r="A694" s="404"/>
      <c r="G694" s="405"/>
    </row>
    <row r="695">
      <c r="A695" s="404"/>
      <c r="G695" s="405"/>
    </row>
    <row r="696">
      <c r="A696" s="404"/>
      <c r="G696" s="405"/>
    </row>
    <row r="697">
      <c r="A697" s="404"/>
      <c r="G697" s="405"/>
    </row>
    <row r="698">
      <c r="A698" s="404"/>
      <c r="G698" s="405"/>
    </row>
    <row r="699">
      <c r="A699" s="404"/>
      <c r="G699" s="405"/>
    </row>
    <row r="700">
      <c r="A700" s="404"/>
      <c r="G700" s="405"/>
    </row>
    <row r="701">
      <c r="A701" s="404"/>
      <c r="G701" s="405"/>
    </row>
    <row r="702">
      <c r="A702" s="404"/>
      <c r="G702" s="405"/>
    </row>
    <row r="703">
      <c r="A703" s="404"/>
      <c r="G703" s="405"/>
    </row>
    <row r="704">
      <c r="A704" s="404"/>
      <c r="G704" s="405"/>
    </row>
    <row r="705">
      <c r="A705" s="404"/>
      <c r="G705" s="405"/>
    </row>
    <row r="706">
      <c r="A706" s="404"/>
      <c r="G706" s="405"/>
    </row>
    <row r="707">
      <c r="A707" s="404"/>
      <c r="G707" s="405"/>
    </row>
    <row r="708">
      <c r="A708" s="404"/>
      <c r="G708" s="405"/>
    </row>
    <row r="709">
      <c r="A709" s="404"/>
      <c r="G709" s="405"/>
    </row>
    <row r="710">
      <c r="A710" s="404"/>
      <c r="G710" s="405"/>
    </row>
    <row r="711">
      <c r="A711" s="404"/>
      <c r="G711" s="405"/>
    </row>
    <row r="712">
      <c r="A712" s="404"/>
      <c r="G712" s="405"/>
    </row>
    <row r="713">
      <c r="A713" s="404"/>
      <c r="G713" s="405"/>
    </row>
    <row r="714">
      <c r="A714" s="404"/>
      <c r="G714" s="405"/>
    </row>
    <row r="715">
      <c r="A715" s="404"/>
      <c r="G715" s="405"/>
    </row>
    <row r="716">
      <c r="A716" s="404"/>
      <c r="G716" s="405"/>
    </row>
    <row r="717">
      <c r="A717" s="404"/>
      <c r="G717" s="405"/>
    </row>
    <row r="718">
      <c r="A718" s="404"/>
      <c r="G718" s="405"/>
    </row>
    <row r="719">
      <c r="A719" s="404"/>
      <c r="G719" s="405"/>
    </row>
    <row r="720">
      <c r="A720" s="404"/>
      <c r="G720" s="405"/>
    </row>
    <row r="721">
      <c r="A721" s="404"/>
      <c r="G721" s="405"/>
    </row>
    <row r="722">
      <c r="A722" s="404"/>
      <c r="G722" s="405"/>
    </row>
    <row r="723">
      <c r="A723" s="404"/>
      <c r="G723" s="405"/>
    </row>
    <row r="724">
      <c r="A724" s="404"/>
      <c r="G724" s="405"/>
    </row>
    <row r="725">
      <c r="A725" s="404"/>
      <c r="G725" s="405"/>
    </row>
    <row r="726">
      <c r="A726" s="404"/>
      <c r="G726" s="405"/>
    </row>
    <row r="727">
      <c r="A727" s="404"/>
      <c r="G727" s="405"/>
    </row>
    <row r="728">
      <c r="A728" s="404"/>
      <c r="G728" s="405"/>
    </row>
    <row r="729">
      <c r="A729" s="404"/>
      <c r="G729" s="405"/>
    </row>
    <row r="730">
      <c r="A730" s="404"/>
      <c r="G730" s="405"/>
    </row>
    <row r="731">
      <c r="A731" s="404"/>
      <c r="G731" s="405"/>
    </row>
    <row r="732">
      <c r="A732" s="404"/>
      <c r="G732" s="405"/>
    </row>
    <row r="733">
      <c r="A733" s="404"/>
      <c r="G733" s="405"/>
    </row>
    <row r="734">
      <c r="A734" s="404"/>
      <c r="G734" s="405"/>
    </row>
    <row r="735">
      <c r="A735" s="404"/>
      <c r="G735" s="405"/>
    </row>
    <row r="736">
      <c r="A736" s="404"/>
      <c r="G736" s="405"/>
    </row>
    <row r="737">
      <c r="A737" s="404"/>
      <c r="G737" s="405"/>
    </row>
    <row r="738">
      <c r="A738" s="404"/>
      <c r="G738" s="405"/>
    </row>
    <row r="739">
      <c r="A739" s="404"/>
      <c r="G739" s="405"/>
    </row>
    <row r="740">
      <c r="A740" s="404"/>
      <c r="G740" s="405"/>
    </row>
    <row r="741">
      <c r="A741" s="404"/>
      <c r="G741" s="405"/>
    </row>
    <row r="742">
      <c r="A742" s="404"/>
      <c r="G742" s="405"/>
    </row>
    <row r="743">
      <c r="A743" s="404"/>
      <c r="G743" s="405"/>
    </row>
    <row r="744">
      <c r="A744" s="404"/>
      <c r="G744" s="405"/>
    </row>
    <row r="745">
      <c r="A745" s="404"/>
      <c r="G745" s="405"/>
    </row>
    <row r="746">
      <c r="A746" s="404"/>
      <c r="G746" s="405"/>
    </row>
    <row r="747">
      <c r="A747" s="404"/>
      <c r="G747" s="405"/>
    </row>
    <row r="748">
      <c r="A748" s="404"/>
      <c r="G748" s="405"/>
    </row>
    <row r="749">
      <c r="A749" s="404"/>
      <c r="G749" s="405"/>
    </row>
    <row r="750">
      <c r="A750" s="404"/>
      <c r="G750" s="405"/>
    </row>
    <row r="751">
      <c r="A751" s="404"/>
      <c r="G751" s="405"/>
    </row>
    <row r="752">
      <c r="A752" s="404"/>
      <c r="G752" s="405"/>
    </row>
    <row r="753">
      <c r="A753" s="404"/>
      <c r="G753" s="405"/>
    </row>
    <row r="754">
      <c r="A754" s="404"/>
      <c r="G754" s="405"/>
    </row>
    <row r="755">
      <c r="A755" s="404"/>
      <c r="G755" s="405"/>
    </row>
    <row r="756">
      <c r="A756" s="404"/>
      <c r="G756" s="405"/>
    </row>
    <row r="757">
      <c r="A757" s="404"/>
      <c r="G757" s="405"/>
    </row>
    <row r="758">
      <c r="A758" s="404"/>
      <c r="G758" s="405"/>
    </row>
    <row r="759">
      <c r="A759" s="404"/>
      <c r="G759" s="405"/>
    </row>
    <row r="760">
      <c r="A760" s="404"/>
      <c r="G760" s="405"/>
    </row>
    <row r="761">
      <c r="A761" s="404"/>
      <c r="G761" s="405"/>
    </row>
    <row r="762">
      <c r="A762" s="404"/>
      <c r="G762" s="405"/>
    </row>
    <row r="763">
      <c r="A763" s="404"/>
      <c r="G763" s="405"/>
    </row>
    <row r="764">
      <c r="A764" s="404"/>
      <c r="G764" s="405"/>
    </row>
    <row r="765">
      <c r="A765" s="404"/>
      <c r="G765" s="405"/>
    </row>
    <row r="766">
      <c r="A766" s="404"/>
      <c r="G766" s="405"/>
    </row>
    <row r="767">
      <c r="A767" s="404"/>
      <c r="G767" s="405"/>
    </row>
    <row r="768">
      <c r="A768" s="404"/>
      <c r="G768" s="405"/>
    </row>
    <row r="769">
      <c r="A769" s="404"/>
      <c r="G769" s="405"/>
    </row>
    <row r="770">
      <c r="A770" s="404"/>
      <c r="G770" s="405"/>
    </row>
    <row r="771">
      <c r="A771" s="404"/>
      <c r="G771" s="405"/>
    </row>
    <row r="772">
      <c r="A772" s="404"/>
      <c r="G772" s="405"/>
    </row>
    <row r="773">
      <c r="A773" s="404"/>
      <c r="G773" s="405"/>
    </row>
    <row r="774">
      <c r="A774" s="404"/>
      <c r="G774" s="405"/>
    </row>
    <row r="775">
      <c r="A775" s="404"/>
      <c r="G775" s="405"/>
    </row>
    <row r="776">
      <c r="A776" s="404"/>
      <c r="G776" s="405"/>
    </row>
    <row r="777">
      <c r="A777" s="404"/>
      <c r="G777" s="405"/>
    </row>
    <row r="778">
      <c r="A778" s="404"/>
      <c r="G778" s="405"/>
    </row>
    <row r="779">
      <c r="A779" s="404"/>
      <c r="G779" s="405"/>
    </row>
    <row r="780">
      <c r="A780" s="404"/>
      <c r="G780" s="405"/>
    </row>
    <row r="781">
      <c r="A781" s="404"/>
      <c r="G781" s="405"/>
    </row>
    <row r="782">
      <c r="A782" s="404"/>
      <c r="G782" s="405"/>
    </row>
    <row r="783">
      <c r="A783" s="404"/>
      <c r="G783" s="405"/>
    </row>
    <row r="784">
      <c r="A784" s="404"/>
      <c r="G784" s="405"/>
    </row>
    <row r="785">
      <c r="A785" s="404"/>
      <c r="G785" s="405"/>
    </row>
    <row r="786">
      <c r="A786" s="404"/>
      <c r="G786" s="405"/>
    </row>
    <row r="787">
      <c r="A787" s="404"/>
      <c r="G787" s="405"/>
    </row>
    <row r="788">
      <c r="A788" s="404"/>
      <c r="G788" s="405"/>
    </row>
    <row r="789">
      <c r="A789" s="404"/>
      <c r="G789" s="405"/>
    </row>
    <row r="790">
      <c r="A790" s="404"/>
      <c r="G790" s="405"/>
    </row>
    <row r="791">
      <c r="A791" s="404"/>
      <c r="G791" s="405"/>
    </row>
    <row r="792">
      <c r="A792" s="404"/>
      <c r="G792" s="405"/>
    </row>
    <row r="793">
      <c r="A793" s="404"/>
      <c r="G793" s="405"/>
    </row>
    <row r="794">
      <c r="A794" s="404"/>
      <c r="G794" s="405"/>
    </row>
    <row r="795">
      <c r="A795" s="404"/>
      <c r="G795" s="405"/>
    </row>
    <row r="796">
      <c r="A796" s="404"/>
      <c r="G796" s="405"/>
    </row>
    <row r="797">
      <c r="A797" s="404"/>
      <c r="G797" s="405"/>
    </row>
    <row r="798">
      <c r="A798" s="404"/>
      <c r="G798" s="405"/>
    </row>
    <row r="799">
      <c r="A799" s="404"/>
      <c r="G799" s="405"/>
    </row>
    <row r="800">
      <c r="A800" s="404"/>
      <c r="G800" s="405"/>
    </row>
    <row r="801">
      <c r="A801" s="404"/>
      <c r="G801" s="405"/>
    </row>
    <row r="802">
      <c r="A802" s="404"/>
      <c r="G802" s="405"/>
    </row>
    <row r="803">
      <c r="A803" s="404"/>
      <c r="G803" s="405"/>
    </row>
    <row r="804">
      <c r="A804" s="404"/>
      <c r="G804" s="405"/>
    </row>
    <row r="805">
      <c r="A805" s="404"/>
      <c r="G805" s="405"/>
    </row>
    <row r="806">
      <c r="A806" s="404"/>
      <c r="G806" s="405"/>
    </row>
    <row r="807">
      <c r="A807" s="404"/>
      <c r="G807" s="405"/>
    </row>
    <row r="808">
      <c r="A808" s="404"/>
      <c r="G808" s="405"/>
    </row>
    <row r="809">
      <c r="A809" s="404"/>
      <c r="G809" s="405"/>
    </row>
    <row r="810">
      <c r="A810" s="404"/>
      <c r="G810" s="405"/>
    </row>
    <row r="811">
      <c r="A811" s="404"/>
      <c r="G811" s="405"/>
    </row>
    <row r="812">
      <c r="A812" s="404"/>
      <c r="G812" s="405"/>
    </row>
    <row r="813">
      <c r="A813" s="404"/>
      <c r="G813" s="405"/>
    </row>
    <row r="814">
      <c r="A814" s="404"/>
      <c r="G814" s="405"/>
    </row>
    <row r="815">
      <c r="A815" s="404"/>
      <c r="G815" s="405"/>
    </row>
    <row r="816">
      <c r="A816" s="404"/>
      <c r="G816" s="405"/>
    </row>
    <row r="817">
      <c r="A817" s="404"/>
      <c r="G817" s="405"/>
    </row>
    <row r="818">
      <c r="A818" s="404"/>
      <c r="G818" s="405"/>
    </row>
    <row r="819">
      <c r="A819" s="404"/>
      <c r="G819" s="405"/>
    </row>
    <row r="820">
      <c r="A820" s="404"/>
      <c r="G820" s="405"/>
    </row>
    <row r="821">
      <c r="A821" s="404"/>
      <c r="G821" s="405"/>
    </row>
    <row r="822">
      <c r="A822" s="404"/>
      <c r="G822" s="405"/>
    </row>
    <row r="823">
      <c r="A823" s="404"/>
      <c r="G823" s="405"/>
    </row>
    <row r="824">
      <c r="A824" s="404"/>
      <c r="G824" s="405"/>
    </row>
    <row r="825">
      <c r="A825" s="404"/>
      <c r="G825" s="405"/>
    </row>
    <row r="826">
      <c r="A826" s="404"/>
      <c r="G826" s="405"/>
    </row>
    <row r="827">
      <c r="A827" s="404"/>
      <c r="G827" s="405"/>
    </row>
    <row r="828">
      <c r="A828" s="404"/>
      <c r="G828" s="405"/>
    </row>
    <row r="829">
      <c r="A829" s="404"/>
      <c r="G829" s="405"/>
    </row>
    <row r="830">
      <c r="A830" s="404"/>
      <c r="G830" s="405"/>
    </row>
    <row r="831">
      <c r="A831" s="404"/>
      <c r="G831" s="405"/>
    </row>
    <row r="832">
      <c r="A832" s="404"/>
      <c r="G832" s="405"/>
    </row>
    <row r="833">
      <c r="A833" s="404"/>
      <c r="G833" s="405"/>
    </row>
    <row r="834">
      <c r="A834" s="404"/>
      <c r="G834" s="405"/>
    </row>
    <row r="835">
      <c r="A835" s="404"/>
      <c r="G835" s="405"/>
    </row>
    <row r="836">
      <c r="A836" s="404"/>
      <c r="G836" s="405"/>
    </row>
    <row r="837">
      <c r="A837" s="404"/>
      <c r="G837" s="405"/>
    </row>
    <row r="838">
      <c r="A838" s="404"/>
      <c r="G838" s="405"/>
    </row>
    <row r="839">
      <c r="A839" s="404"/>
      <c r="G839" s="405"/>
    </row>
    <row r="840">
      <c r="A840" s="404"/>
      <c r="G840" s="405"/>
    </row>
    <row r="841">
      <c r="A841" s="404"/>
      <c r="G841" s="405"/>
    </row>
    <row r="842">
      <c r="A842" s="404"/>
      <c r="G842" s="405"/>
    </row>
    <row r="843">
      <c r="A843" s="404"/>
      <c r="G843" s="405"/>
    </row>
    <row r="844">
      <c r="A844" s="404"/>
      <c r="G844" s="405"/>
    </row>
    <row r="845">
      <c r="A845" s="404"/>
      <c r="G845" s="405"/>
    </row>
    <row r="846">
      <c r="A846" s="404"/>
      <c r="G846" s="405"/>
    </row>
    <row r="847">
      <c r="A847" s="404"/>
      <c r="G847" s="405"/>
    </row>
    <row r="848">
      <c r="A848" s="404"/>
      <c r="G848" s="405"/>
    </row>
    <row r="849">
      <c r="A849" s="404"/>
      <c r="G849" s="405"/>
    </row>
    <row r="850">
      <c r="A850" s="404"/>
      <c r="G850" s="405"/>
    </row>
    <row r="851">
      <c r="A851" s="404"/>
      <c r="G851" s="405"/>
    </row>
    <row r="852">
      <c r="A852" s="404"/>
      <c r="G852" s="405"/>
    </row>
    <row r="853">
      <c r="A853" s="404"/>
      <c r="G853" s="405"/>
    </row>
    <row r="854">
      <c r="A854" s="404"/>
      <c r="G854" s="405"/>
    </row>
    <row r="855">
      <c r="A855" s="404"/>
      <c r="G855" s="405"/>
    </row>
    <row r="856">
      <c r="A856" s="404"/>
      <c r="G856" s="405"/>
    </row>
    <row r="857">
      <c r="A857" s="404"/>
      <c r="G857" s="405"/>
    </row>
    <row r="858">
      <c r="A858" s="404"/>
      <c r="G858" s="405"/>
    </row>
    <row r="859">
      <c r="A859" s="404"/>
      <c r="G859" s="405"/>
    </row>
    <row r="860">
      <c r="A860" s="404"/>
      <c r="G860" s="405"/>
    </row>
    <row r="861">
      <c r="A861" s="404"/>
      <c r="G861" s="405"/>
    </row>
    <row r="862">
      <c r="A862" s="404"/>
      <c r="G862" s="405"/>
    </row>
    <row r="863">
      <c r="A863" s="404"/>
      <c r="G863" s="405"/>
    </row>
    <row r="864">
      <c r="A864" s="404"/>
      <c r="G864" s="405"/>
    </row>
    <row r="865">
      <c r="A865" s="404"/>
      <c r="G865" s="405"/>
    </row>
    <row r="866">
      <c r="A866" s="404"/>
      <c r="G866" s="405"/>
    </row>
    <row r="867">
      <c r="A867" s="404"/>
      <c r="G867" s="405"/>
    </row>
    <row r="868">
      <c r="A868" s="404"/>
      <c r="G868" s="405"/>
    </row>
    <row r="869">
      <c r="A869" s="404"/>
      <c r="G869" s="405"/>
    </row>
    <row r="870">
      <c r="A870" s="404"/>
      <c r="G870" s="405"/>
    </row>
    <row r="871">
      <c r="A871" s="404"/>
      <c r="G871" s="405"/>
    </row>
    <row r="872">
      <c r="A872" s="404"/>
      <c r="G872" s="405"/>
    </row>
    <row r="873">
      <c r="A873" s="404"/>
      <c r="G873" s="405"/>
    </row>
    <row r="874">
      <c r="A874" s="404"/>
      <c r="G874" s="405"/>
    </row>
    <row r="875">
      <c r="A875" s="404"/>
      <c r="G875" s="405"/>
    </row>
    <row r="876">
      <c r="A876" s="404"/>
      <c r="G876" s="405"/>
    </row>
    <row r="877">
      <c r="A877" s="404"/>
      <c r="G877" s="405"/>
    </row>
    <row r="878">
      <c r="A878" s="404"/>
      <c r="G878" s="405"/>
    </row>
    <row r="879">
      <c r="A879" s="404"/>
      <c r="G879" s="405"/>
    </row>
    <row r="880">
      <c r="A880" s="404"/>
      <c r="G880" s="405"/>
    </row>
    <row r="881">
      <c r="A881" s="404"/>
      <c r="G881" s="405"/>
    </row>
    <row r="882">
      <c r="A882" s="404"/>
      <c r="G882" s="405"/>
    </row>
    <row r="883">
      <c r="A883" s="404"/>
      <c r="G883" s="405"/>
    </row>
    <row r="884">
      <c r="A884" s="404"/>
      <c r="G884" s="405"/>
    </row>
    <row r="885">
      <c r="A885" s="404"/>
      <c r="G885" s="405"/>
    </row>
    <row r="886">
      <c r="A886" s="404"/>
      <c r="G886" s="405"/>
    </row>
    <row r="887">
      <c r="A887" s="404"/>
      <c r="G887" s="405"/>
    </row>
    <row r="888">
      <c r="A888" s="404"/>
      <c r="G888" s="405"/>
    </row>
    <row r="889">
      <c r="A889" s="404"/>
      <c r="G889" s="405"/>
    </row>
    <row r="890">
      <c r="A890" s="404"/>
      <c r="G890" s="405"/>
    </row>
    <row r="891">
      <c r="A891" s="404"/>
      <c r="G891" s="405"/>
    </row>
    <row r="892">
      <c r="A892" s="404"/>
      <c r="G892" s="405"/>
    </row>
    <row r="893">
      <c r="A893" s="404"/>
      <c r="G893" s="405"/>
    </row>
    <row r="894">
      <c r="A894" s="404"/>
      <c r="G894" s="405"/>
    </row>
    <row r="895">
      <c r="A895" s="404"/>
      <c r="G895" s="405"/>
    </row>
    <row r="896">
      <c r="A896" s="404"/>
      <c r="G896" s="405"/>
    </row>
    <row r="897">
      <c r="A897" s="404"/>
      <c r="G897" s="405"/>
    </row>
    <row r="898">
      <c r="A898" s="404"/>
      <c r="G898" s="405"/>
    </row>
    <row r="899">
      <c r="A899" s="404"/>
      <c r="G899" s="405"/>
    </row>
    <row r="900">
      <c r="A900" s="404"/>
      <c r="G900" s="405"/>
    </row>
    <row r="901">
      <c r="A901" s="404"/>
      <c r="G901" s="405"/>
    </row>
    <row r="902">
      <c r="A902" s="404"/>
      <c r="G902" s="405"/>
    </row>
    <row r="903">
      <c r="A903" s="404"/>
      <c r="G903" s="405"/>
    </row>
    <row r="904">
      <c r="A904" s="404"/>
      <c r="G904" s="405"/>
    </row>
    <row r="905">
      <c r="A905" s="404"/>
      <c r="G905" s="405"/>
    </row>
    <row r="906">
      <c r="A906" s="404"/>
      <c r="G906" s="405"/>
    </row>
    <row r="907">
      <c r="A907" s="404"/>
      <c r="G907" s="405"/>
    </row>
    <row r="908">
      <c r="A908" s="404"/>
      <c r="G908" s="405"/>
    </row>
    <row r="909">
      <c r="A909" s="404"/>
      <c r="G909" s="405"/>
    </row>
    <row r="910">
      <c r="A910" s="404"/>
      <c r="G910" s="405"/>
    </row>
    <row r="911">
      <c r="A911" s="404"/>
      <c r="G911" s="405"/>
    </row>
    <row r="912">
      <c r="A912" s="404"/>
      <c r="G912" s="405"/>
    </row>
    <row r="913">
      <c r="A913" s="404"/>
      <c r="G913" s="405"/>
    </row>
    <row r="914">
      <c r="A914" s="404"/>
      <c r="G914" s="405"/>
    </row>
    <row r="915">
      <c r="A915" s="404"/>
      <c r="G915" s="405"/>
    </row>
    <row r="916">
      <c r="A916" s="404"/>
      <c r="G916" s="405"/>
    </row>
    <row r="917">
      <c r="A917" s="404"/>
      <c r="G917" s="405"/>
    </row>
    <row r="918">
      <c r="A918" s="404"/>
      <c r="G918" s="405"/>
    </row>
    <row r="919">
      <c r="A919" s="404"/>
      <c r="G919" s="405"/>
    </row>
    <row r="920">
      <c r="A920" s="404"/>
      <c r="G920" s="405"/>
    </row>
    <row r="921">
      <c r="A921" s="404"/>
      <c r="G921" s="405"/>
    </row>
    <row r="922">
      <c r="A922" s="404"/>
      <c r="G922" s="405"/>
    </row>
    <row r="923">
      <c r="A923" s="404"/>
      <c r="G923" s="405"/>
    </row>
    <row r="924">
      <c r="A924" s="404"/>
      <c r="G924" s="405"/>
    </row>
    <row r="925">
      <c r="A925" s="404"/>
      <c r="G925" s="405"/>
    </row>
    <row r="926">
      <c r="A926" s="404"/>
      <c r="G926" s="405"/>
    </row>
    <row r="927">
      <c r="A927" s="404"/>
      <c r="G927" s="405"/>
    </row>
    <row r="928">
      <c r="A928" s="404"/>
      <c r="G928" s="405"/>
    </row>
    <row r="929">
      <c r="A929" s="404"/>
      <c r="G929" s="405"/>
    </row>
    <row r="930">
      <c r="A930" s="404"/>
      <c r="G930" s="405"/>
    </row>
    <row r="931">
      <c r="A931" s="404"/>
      <c r="G931" s="405"/>
    </row>
    <row r="932">
      <c r="A932" s="404"/>
      <c r="G932" s="405"/>
    </row>
    <row r="933">
      <c r="A933" s="404"/>
      <c r="G933" s="405"/>
    </row>
    <row r="934">
      <c r="A934" s="404"/>
      <c r="G934" s="405"/>
    </row>
    <row r="935">
      <c r="A935" s="404"/>
      <c r="G935" s="405"/>
    </row>
    <row r="936">
      <c r="A936" s="404"/>
      <c r="G936" s="405"/>
    </row>
    <row r="937">
      <c r="A937" s="404"/>
      <c r="G937" s="405"/>
    </row>
    <row r="938">
      <c r="A938" s="404"/>
      <c r="G938" s="405"/>
    </row>
    <row r="939">
      <c r="A939" s="404"/>
      <c r="G939" s="405"/>
    </row>
    <row r="940">
      <c r="A940" s="404"/>
      <c r="G940" s="405"/>
    </row>
    <row r="941">
      <c r="A941" s="404"/>
      <c r="G941" s="405"/>
    </row>
    <row r="942">
      <c r="A942" s="404"/>
      <c r="G942" s="405"/>
    </row>
    <row r="943">
      <c r="A943" s="404"/>
      <c r="G943" s="405"/>
    </row>
    <row r="944">
      <c r="A944" s="404"/>
      <c r="G944" s="405"/>
    </row>
    <row r="945">
      <c r="A945" s="404"/>
      <c r="G945" s="405"/>
    </row>
    <row r="946">
      <c r="A946" s="404"/>
      <c r="G946" s="405"/>
    </row>
    <row r="947">
      <c r="A947" s="404"/>
      <c r="G947" s="405"/>
    </row>
    <row r="948">
      <c r="A948" s="404"/>
      <c r="G948" s="405"/>
    </row>
    <row r="949">
      <c r="A949" s="404"/>
      <c r="G949" s="405"/>
    </row>
    <row r="950">
      <c r="A950" s="404"/>
      <c r="G950" s="405"/>
    </row>
    <row r="951">
      <c r="A951" s="404"/>
      <c r="G951" s="405"/>
    </row>
    <row r="952">
      <c r="A952" s="404"/>
      <c r="G952" s="405"/>
    </row>
    <row r="953">
      <c r="A953" s="404"/>
      <c r="G953" s="405"/>
    </row>
    <row r="954">
      <c r="A954" s="404"/>
      <c r="G954" s="405"/>
    </row>
    <row r="955">
      <c r="A955" s="404"/>
      <c r="G955" s="405"/>
    </row>
    <row r="956">
      <c r="A956" s="404"/>
      <c r="G956" s="405"/>
    </row>
    <row r="957">
      <c r="A957" s="404"/>
      <c r="G957" s="405"/>
    </row>
    <row r="958">
      <c r="A958" s="404"/>
      <c r="G958" s="405"/>
    </row>
    <row r="959">
      <c r="A959" s="404"/>
      <c r="G959" s="405"/>
    </row>
    <row r="960">
      <c r="A960" s="404"/>
      <c r="G960" s="405"/>
    </row>
    <row r="961">
      <c r="A961" s="404"/>
      <c r="G961" s="405"/>
    </row>
    <row r="962">
      <c r="A962" s="404"/>
      <c r="G962" s="405"/>
    </row>
    <row r="963">
      <c r="A963" s="404"/>
      <c r="G963" s="405"/>
    </row>
    <row r="964">
      <c r="A964" s="404"/>
      <c r="G964" s="405"/>
    </row>
    <row r="965">
      <c r="A965" s="404"/>
      <c r="G965" s="405"/>
    </row>
    <row r="966">
      <c r="A966" s="404"/>
      <c r="G966" s="405"/>
    </row>
    <row r="967">
      <c r="A967" s="404"/>
      <c r="G967" s="405"/>
    </row>
    <row r="968">
      <c r="A968" s="404"/>
      <c r="G968" s="405"/>
    </row>
    <row r="969">
      <c r="A969" s="404"/>
      <c r="G969" s="405"/>
    </row>
    <row r="970">
      <c r="A970" s="404"/>
      <c r="G970" s="405"/>
    </row>
    <row r="971">
      <c r="A971" s="404"/>
      <c r="G971" s="405"/>
    </row>
    <row r="972">
      <c r="A972" s="404"/>
      <c r="G972" s="405"/>
    </row>
    <row r="973">
      <c r="A973" s="404"/>
      <c r="G973" s="405"/>
    </row>
    <row r="974">
      <c r="A974" s="404"/>
      <c r="G974" s="405"/>
    </row>
    <row r="975">
      <c r="A975" s="404"/>
      <c r="G975" s="405"/>
    </row>
    <row r="976">
      <c r="A976" s="404"/>
      <c r="G976" s="405"/>
    </row>
    <row r="977">
      <c r="A977" s="404"/>
      <c r="G977" s="405"/>
    </row>
    <row r="978">
      <c r="A978" s="404"/>
      <c r="G978" s="405"/>
    </row>
    <row r="979">
      <c r="A979" s="404"/>
      <c r="G979" s="405"/>
    </row>
    <row r="980">
      <c r="A980" s="404"/>
      <c r="G980" s="405"/>
    </row>
    <row r="981">
      <c r="A981" s="404"/>
      <c r="G981" s="405"/>
    </row>
    <row r="982">
      <c r="A982" s="404"/>
      <c r="G982" s="405"/>
    </row>
    <row r="983">
      <c r="A983" s="404"/>
      <c r="G983" s="405"/>
    </row>
    <row r="984">
      <c r="A984" s="404"/>
      <c r="G984" s="405"/>
    </row>
    <row r="985">
      <c r="A985" s="404"/>
      <c r="G985" s="405"/>
    </row>
    <row r="986">
      <c r="A986" s="404"/>
      <c r="G986" s="405"/>
    </row>
    <row r="987">
      <c r="A987" s="404"/>
      <c r="G987" s="405"/>
    </row>
    <row r="988">
      <c r="A988" s="404"/>
      <c r="G988" s="405"/>
    </row>
    <row r="989">
      <c r="A989" s="404"/>
      <c r="G989" s="405"/>
    </row>
    <row r="990">
      <c r="A990" s="404"/>
      <c r="G990" s="405"/>
    </row>
  </sheetData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09.75"/>
  </cols>
  <sheetData>
    <row r="1">
      <c r="A1" s="398" t="s">
        <v>244</v>
      </c>
    </row>
    <row r="2">
      <c r="A2" s="398" t="s">
        <v>812</v>
      </c>
    </row>
    <row r="3">
      <c r="A3" s="398" t="s">
        <v>377</v>
      </c>
    </row>
    <row r="4">
      <c r="A4" s="398" t="s">
        <v>813</v>
      </c>
    </row>
    <row r="5">
      <c r="A5" s="398" t="s">
        <v>219</v>
      </c>
    </row>
    <row r="6">
      <c r="A6" s="398" t="s">
        <v>142</v>
      </c>
    </row>
    <row r="7">
      <c r="A7" s="398" t="s">
        <v>814</v>
      </c>
    </row>
    <row r="8">
      <c r="A8" s="398" t="s">
        <v>311</v>
      </c>
    </row>
    <row r="9">
      <c r="A9" s="398" t="s">
        <v>113</v>
      </c>
    </row>
  </sheetData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6.63"/>
    <col customWidth="1" min="2" max="2" width="9.75"/>
    <col customWidth="1" min="3" max="3" width="54.13"/>
    <col customWidth="1" min="4" max="6" width="7.5"/>
    <col customWidth="1" min="7" max="7" width="14.75"/>
  </cols>
  <sheetData>
    <row r="1">
      <c r="A1" s="406"/>
      <c r="B1" s="406"/>
      <c r="C1" s="406"/>
      <c r="D1" s="406"/>
      <c r="E1" s="406"/>
      <c r="F1" s="406"/>
      <c r="G1" s="407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</row>
    <row r="2" ht="24.75" customHeight="1">
      <c r="A2" s="408" t="s">
        <v>815</v>
      </c>
      <c r="B2" s="408" t="s">
        <v>816</v>
      </c>
      <c r="C2" s="408" t="s">
        <v>817</v>
      </c>
      <c r="D2" s="409" t="s">
        <v>818</v>
      </c>
      <c r="E2" s="410"/>
      <c r="F2" s="411"/>
      <c r="G2" s="412" t="s">
        <v>819</v>
      </c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</row>
    <row r="3" ht="19.5" customHeight="1">
      <c r="A3" s="346"/>
      <c r="B3" s="346"/>
      <c r="C3" s="346"/>
      <c r="D3" s="413" t="s">
        <v>328</v>
      </c>
      <c r="E3" s="413" t="s">
        <v>153</v>
      </c>
      <c r="F3" s="413" t="s">
        <v>129</v>
      </c>
      <c r="G3" s="346"/>
      <c r="H3" s="406"/>
      <c r="I3" s="406"/>
      <c r="J3" s="414"/>
      <c r="K3" s="406"/>
      <c r="L3" s="415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</row>
    <row r="4">
      <c r="A4" s="416">
        <v>1.0</v>
      </c>
      <c r="B4" s="416" t="s">
        <v>820</v>
      </c>
      <c r="C4" s="416" t="s">
        <v>821</v>
      </c>
      <c r="D4" s="417">
        <v>250.0</v>
      </c>
      <c r="E4" s="417">
        <v>500.0</v>
      </c>
      <c r="F4" s="417">
        <v>1000.0</v>
      </c>
      <c r="G4" s="418">
        <v>6.0</v>
      </c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</row>
    <row r="5">
      <c r="A5" s="416">
        <v>2.0</v>
      </c>
      <c r="B5" s="416" t="s">
        <v>820</v>
      </c>
      <c r="C5" s="416" t="s">
        <v>822</v>
      </c>
      <c r="D5" s="417">
        <v>500.0</v>
      </c>
      <c r="E5" s="417">
        <v>1000.0</v>
      </c>
      <c r="F5" s="417">
        <v>2000.0</v>
      </c>
      <c r="G5" s="418">
        <v>4.0</v>
      </c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</row>
    <row r="6">
      <c r="A6" s="416">
        <v>3.0</v>
      </c>
      <c r="B6" s="416" t="s">
        <v>820</v>
      </c>
      <c r="C6" s="416" t="s">
        <v>823</v>
      </c>
      <c r="D6" s="417">
        <v>250.0</v>
      </c>
      <c r="E6" s="417">
        <v>500.0</v>
      </c>
      <c r="F6" s="417">
        <v>1000.0</v>
      </c>
      <c r="G6" s="418" t="s">
        <v>824</v>
      </c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</row>
    <row r="7">
      <c r="A7" s="416">
        <v>4.0</v>
      </c>
      <c r="B7" s="416" t="s">
        <v>820</v>
      </c>
      <c r="C7" s="416" t="s">
        <v>825</v>
      </c>
      <c r="D7" s="417">
        <v>0.0</v>
      </c>
      <c r="E7" s="417">
        <v>1000.0</v>
      </c>
      <c r="F7" s="417">
        <v>2000.0</v>
      </c>
      <c r="G7" s="418">
        <v>1.0</v>
      </c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</row>
    <row r="8">
      <c r="A8" s="416">
        <v>5.0</v>
      </c>
      <c r="B8" s="416" t="s">
        <v>826</v>
      </c>
      <c r="C8" s="416" t="s">
        <v>827</v>
      </c>
      <c r="D8" s="417">
        <v>500.0</v>
      </c>
      <c r="E8" s="417">
        <v>250.0</v>
      </c>
      <c r="F8" s="417">
        <v>125.0</v>
      </c>
      <c r="G8" s="418">
        <v>9.0</v>
      </c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</row>
    <row r="9">
      <c r="A9" s="416">
        <v>6.0</v>
      </c>
      <c r="B9" s="416" t="s">
        <v>826</v>
      </c>
      <c r="C9" s="416" t="s">
        <v>828</v>
      </c>
      <c r="D9" s="417">
        <v>500.0</v>
      </c>
      <c r="E9" s="417">
        <v>250.0</v>
      </c>
      <c r="F9" s="417">
        <v>125.0</v>
      </c>
      <c r="G9" s="418" t="s">
        <v>829</v>
      </c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06"/>
      <c r="Z9" s="406"/>
    </row>
    <row r="10">
      <c r="A10" s="416">
        <v>7.0</v>
      </c>
      <c r="B10" s="416" t="s">
        <v>830</v>
      </c>
      <c r="C10" s="416" t="s">
        <v>831</v>
      </c>
      <c r="D10" s="417">
        <v>500.0</v>
      </c>
      <c r="E10" s="417">
        <v>250.0</v>
      </c>
      <c r="F10" s="417">
        <v>125.0</v>
      </c>
      <c r="G10" s="418" t="s">
        <v>832</v>
      </c>
      <c r="H10" s="406"/>
      <c r="I10" s="406"/>
      <c r="J10" s="406"/>
      <c r="K10" s="406"/>
      <c r="L10" s="406"/>
      <c r="M10" s="406"/>
      <c r="N10" s="406"/>
      <c r="O10" s="406"/>
      <c r="P10" s="406"/>
      <c r="Q10" s="406"/>
      <c r="R10" s="406"/>
      <c r="S10" s="406"/>
      <c r="T10" s="406"/>
      <c r="U10" s="406"/>
      <c r="V10" s="406"/>
      <c r="W10" s="406"/>
      <c r="X10" s="406"/>
      <c r="Y10" s="406"/>
      <c r="Z10" s="406"/>
    </row>
    <row r="11">
      <c r="A11" s="416">
        <v>8.0</v>
      </c>
      <c r="B11" s="416" t="s">
        <v>830</v>
      </c>
      <c r="C11" s="416" t="s">
        <v>833</v>
      </c>
      <c r="D11" s="417">
        <v>500.0</v>
      </c>
      <c r="E11" s="417">
        <v>250.0</v>
      </c>
      <c r="F11" s="417">
        <v>125.0</v>
      </c>
      <c r="G11" s="418" t="s">
        <v>834</v>
      </c>
      <c r="H11" s="406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</row>
    <row r="12">
      <c r="A12" s="416">
        <v>9.0</v>
      </c>
      <c r="B12" s="416" t="s">
        <v>830</v>
      </c>
      <c r="C12" s="419" t="s">
        <v>835</v>
      </c>
      <c r="D12" s="417">
        <v>0.0</v>
      </c>
      <c r="E12" s="417">
        <v>500.0</v>
      </c>
      <c r="F12" s="417">
        <v>1000.0</v>
      </c>
      <c r="G12" s="418" t="s">
        <v>836</v>
      </c>
      <c r="H12" s="406"/>
      <c r="I12" s="406"/>
      <c r="J12" s="406"/>
      <c r="K12" s="406"/>
      <c r="L12" s="406"/>
      <c r="M12" s="406"/>
      <c r="N12" s="406"/>
      <c r="O12" s="406"/>
      <c r="P12" s="406"/>
      <c r="Q12" s="406"/>
      <c r="R12" s="406"/>
      <c r="S12" s="406"/>
      <c r="T12" s="406"/>
      <c r="U12" s="406"/>
      <c r="V12" s="406"/>
      <c r="W12" s="406"/>
      <c r="X12" s="406"/>
      <c r="Y12" s="406"/>
      <c r="Z12" s="406"/>
    </row>
    <row r="13">
      <c r="A13" s="406"/>
      <c r="B13" s="406"/>
      <c r="C13" s="406"/>
      <c r="D13" s="406"/>
      <c r="E13" s="406"/>
      <c r="F13" s="406"/>
      <c r="G13" s="407"/>
      <c r="H13" s="406"/>
      <c r="I13" s="406"/>
      <c r="J13" s="406"/>
      <c r="K13" s="406"/>
      <c r="L13" s="406"/>
      <c r="M13" s="406"/>
      <c r="N13" s="406"/>
      <c r="O13" s="406"/>
      <c r="P13" s="406"/>
      <c r="Q13" s="406"/>
      <c r="R13" s="406"/>
      <c r="S13" s="406"/>
      <c r="T13" s="406"/>
      <c r="U13" s="406"/>
      <c r="V13" s="406"/>
      <c r="W13" s="406"/>
      <c r="X13" s="406"/>
      <c r="Y13" s="406"/>
      <c r="Z13" s="406"/>
    </row>
    <row r="14">
      <c r="A14" s="406"/>
      <c r="B14" s="406"/>
      <c r="C14" s="406"/>
      <c r="D14" s="406"/>
      <c r="E14" s="406"/>
      <c r="F14" s="406"/>
      <c r="G14" s="407"/>
      <c r="H14" s="406"/>
      <c r="I14" s="406"/>
      <c r="J14" s="406"/>
      <c r="K14" s="406"/>
      <c r="L14" s="406"/>
      <c r="M14" s="406"/>
      <c r="N14" s="406"/>
      <c r="O14" s="406"/>
      <c r="P14" s="406"/>
      <c r="Q14" s="406"/>
      <c r="R14" s="406"/>
      <c r="S14" s="406"/>
      <c r="T14" s="406"/>
      <c r="U14" s="406"/>
      <c r="V14" s="406"/>
      <c r="W14" s="406"/>
      <c r="X14" s="406"/>
      <c r="Y14" s="406"/>
      <c r="Z14" s="406"/>
    </row>
    <row r="15">
      <c r="A15" s="406"/>
      <c r="B15" s="406"/>
      <c r="C15" s="406"/>
      <c r="D15" s="406"/>
      <c r="E15" s="406"/>
      <c r="F15" s="406"/>
      <c r="G15" s="407"/>
      <c r="H15" s="406"/>
      <c r="I15" s="406"/>
      <c r="J15" s="406"/>
      <c r="K15" s="406"/>
      <c r="L15" s="406"/>
      <c r="M15" s="406"/>
      <c r="N15" s="406"/>
      <c r="O15" s="406"/>
      <c r="P15" s="406"/>
      <c r="Q15" s="406"/>
      <c r="R15" s="406"/>
      <c r="S15" s="406"/>
      <c r="T15" s="406"/>
      <c r="U15" s="406"/>
      <c r="V15" s="406"/>
      <c r="W15" s="406"/>
      <c r="X15" s="406"/>
      <c r="Y15" s="406"/>
      <c r="Z15" s="406"/>
    </row>
    <row r="16">
      <c r="A16" s="406"/>
      <c r="B16" s="406"/>
      <c r="C16" s="406"/>
      <c r="D16" s="406"/>
      <c r="E16" s="406"/>
      <c r="F16" s="406"/>
      <c r="G16" s="407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</row>
    <row r="17">
      <c r="A17" s="406"/>
      <c r="B17" s="406"/>
      <c r="C17" s="406"/>
      <c r="D17" s="406"/>
      <c r="E17" s="406"/>
      <c r="F17" s="406"/>
      <c r="G17" s="407"/>
      <c r="H17" s="406"/>
      <c r="I17" s="406"/>
      <c r="J17" s="406"/>
      <c r="K17" s="406"/>
      <c r="L17" s="406"/>
      <c r="M17" s="406"/>
      <c r="N17" s="406"/>
      <c r="O17" s="406"/>
      <c r="P17" s="406"/>
      <c r="Q17" s="406"/>
      <c r="R17" s="406"/>
      <c r="S17" s="406"/>
      <c r="T17" s="406"/>
      <c r="U17" s="406"/>
      <c r="V17" s="406"/>
      <c r="W17" s="406"/>
      <c r="X17" s="406"/>
      <c r="Y17" s="406"/>
      <c r="Z17" s="406"/>
    </row>
    <row r="18">
      <c r="A18" s="406"/>
      <c r="B18" s="406"/>
      <c r="C18" s="406"/>
      <c r="D18" s="406"/>
      <c r="E18" s="406"/>
      <c r="F18" s="406"/>
      <c r="G18" s="407"/>
      <c r="H18" s="406"/>
      <c r="I18" s="406"/>
      <c r="J18" s="406"/>
      <c r="K18" s="406"/>
      <c r="L18" s="406"/>
      <c r="M18" s="406"/>
      <c r="N18" s="406"/>
      <c r="O18" s="406"/>
      <c r="P18" s="406"/>
      <c r="Q18" s="406"/>
      <c r="R18" s="406"/>
      <c r="S18" s="406"/>
      <c r="T18" s="406"/>
      <c r="U18" s="406"/>
      <c r="V18" s="406"/>
      <c r="W18" s="406"/>
      <c r="X18" s="406"/>
      <c r="Y18" s="406"/>
      <c r="Z18" s="406"/>
    </row>
    <row r="19">
      <c r="A19" s="406"/>
      <c r="B19" s="406"/>
      <c r="C19" s="406"/>
      <c r="D19" s="406"/>
      <c r="E19" s="406"/>
      <c r="F19" s="406"/>
      <c r="G19" s="407"/>
      <c r="H19" s="406"/>
      <c r="I19" s="406"/>
      <c r="J19" s="406"/>
      <c r="K19" s="406"/>
      <c r="L19" s="406"/>
      <c r="M19" s="406"/>
      <c r="N19" s="406"/>
      <c r="O19" s="406"/>
      <c r="P19" s="406"/>
      <c r="Q19" s="406"/>
      <c r="R19" s="406"/>
      <c r="S19" s="406"/>
      <c r="T19" s="406"/>
      <c r="U19" s="406"/>
      <c r="V19" s="406"/>
      <c r="W19" s="406"/>
      <c r="X19" s="406"/>
      <c r="Y19" s="406"/>
      <c r="Z19" s="406"/>
    </row>
    <row r="20">
      <c r="A20" s="406"/>
      <c r="B20" s="406"/>
      <c r="C20" s="406"/>
      <c r="D20" s="406"/>
      <c r="E20" s="406"/>
      <c r="F20" s="406"/>
      <c r="G20" s="407"/>
      <c r="H20" s="406"/>
      <c r="I20" s="406"/>
      <c r="J20" s="406"/>
      <c r="K20" s="406"/>
      <c r="L20" s="406"/>
      <c r="M20" s="406"/>
      <c r="N20" s="406"/>
      <c r="O20" s="406"/>
      <c r="P20" s="406"/>
      <c r="Q20" s="406"/>
      <c r="R20" s="406"/>
      <c r="S20" s="406"/>
      <c r="T20" s="406"/>
      <c r="U20" s="406"/>
      <c r="V20" s="406"/>
      <c r="W20" s="406"/>
      <c r="X20" s="406"/>
      <c r="Y20" s="406"/>
      <c r="Z20" s="406"/>
    </row>
    <row r="21">
      <c r="A21" s="406"/>
      <c r="B21" s="406"/>
      <c r="C21" s="406"/>
      <c r="D21" s="406"/>
      <c r="E21" s="406"/>
      <c r="F21" s="406"/>
      <c r="G21" s="407"/>
      <c r="H21" s="406"/>
      <c r="I21" s="406"/>
      <c r="J21" s="406"/>
      <c r="K21" s="406"/>
      <c r="L21" s="406"/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</row>
    <row r="22">
      <c r="A22" s="406"/>
      <c r="B22" s="406"/>
      <c r="C22" s="406"/>
      <c r="D22" s="406"/>
      <c r="E22" s="406"/>
      <c r="F22" s="406"/>
      <c r="G22" s="407"/>
      <c r="H22" s="406"/>
      <c r="I22" s="406"/>
      <c r="J22" s="406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</row>
    <row r="23">
      <c r="A23" s="406"/>
      <c r="B23" s="406"/>
      <c r="C23" s="406"/>
      <c r="D23" s="406"/>
      <c r="E23" s="406"/>
      <c r="F23" s="406"/>
      <c r="G23" s="407"/>
      <c r="H23" s="406"/>
      <c r="I23" s="406"/>
      <c r="J23" s="406"/>
      <c r="K23" s="406"/>
      <c r="L23" s="406"/>
      <c r="M23" s="40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</row>
    <row r="24">
      <c r="A24" s="406"/>
      <c r="B24" s="406"/>
      <c r="C24" s="406"/>
      <c r="D24" s="406"/>
      <c r="E24" s="406"/>
      <c r="F24" s="406"/>
      <c r="G24" s="407"/>
      <c r="H24" s="406"/>
      <c r="I24" s="406"/>
      <c r="J24" s="406"/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</row>
    <row r="25">
      <c r="A25" s="406"/>
      <c r="B25" s="406"/>
      <c r="C25" s="406"/>
      <c r="D25" s="406"/>
      <c r="E25" s="406"/>
      <c r="F25" s="406"/>
      <c r="G25" s="407"/>
      <c r="H25" s="406"/>
      <c r="I25" s="406"/>
      <c r="J25" s="406"/>
      <c r="K25" s="406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</row>
    <row r="26">
      <c r="A26" s="406"/>
      <c r="B26" s="406"/>
      <c r="C26" s="406"/>
      <c r="D26" s="406"/>
      <c r="E26" s="406"/>
      <c r="F26" s="406"/>
      <c r="G26" s="407"/>
      <c r="H26" s="406"/>
      <c r="I26" s="406"/>
      <c r="J26" s="406"/>
      <c r="K26" s="406"/>
      <c r="L26" s="406"/>
      <c r="M26" s="406"/>
      <c r="N26" s="406"/>
      <c r="O26" s="406"/>
      <c r="P26" s="406"/>
      <c r="Q26" s="406"/>
      <c r="R26" s="406"/>
      <c r="S26" s="406"/>
      <c r="T26" s="406"/>
      <c r="U26" s="406"/>
      <c r="V26" s="406"/>
      <c r="W26" s="406"/>
      <c r="X26" s="406"/>
      <c r="Y26" s="406"/>
      <c r="Z26" s="406"/>
    </row>
    <row r="27">
      <c r="A27" s="406"/>
      <c r="B27" s="406"/>
      <c r="C27" s="406"/>
      <c r="D27" s="406"/>
      <c r="E27" s="406"/>
      <c r="F27" s="406"/>
      <c r="G27" s="407"/>
      <c r="H27" s="406"/>
      <c r="I27" s="406"/>
      <c r="J27" s="406"/>
      <c r="K27" s="406"/>
      <c r="L27" s="406"/>
      <c r="M27" s="406"/>
      <c r="N27" s="406"/>
      <c r="O27" s="406"/>
      <c r="P27" s="406"/>
      <c r="Q27" s="406"/>
      <c r="R27" s="406"/>
      <c r="S27" s="406"/>
      <c r="T27" s="406"/>
      <c r="U27" s="406"/>
      <c r="V27" s="406"/>
      <c r="W27" s="406"/>
      <c r="X27" s="406"/>
      <c r="Y27" s="406"/>
      <c r="Z27" s="406"/>
    </row>
    <row r="28">
      <c r="A28" s="406"/>
      <c r="B28" s="406"/>
      <c r="C28" s="406"/>
      <c r="D28" s="406"/>
      <c r="E28" s="406"/>
      <c r="F28" s="406"/>
      <c r="G28" s="407"/>
      <c r="H28" s="406"/>
      <c r="I28" s="406"/>
      <c r="J28" s="406"/>
      <c r="K28" s="406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</row>
    <row r="29">
      <c r="A29" s="406"/>
      <c r="B29" s="406"/>
      <c r="C29" s="406"/>
      <c r="D29" s="406"/>
      <c r="E29" s="406"/>
      <c r="F29" s="406"/>
      <c r="G29" s="407"/>
      <c r="H29" s="406"/>
      <c r="I29" s="406"/>
      <c r="J29" s="406"/>
      <c r="K29" s="406"/>
      <c r="L29" s="406"/>
      <c r="M29" s="406"/>
      <c r="N29" s="406"/>
      <c r="O29" s="406"/>
      <c r="P29" s="406"/>
      <c r="Q29" s="406"/>
      <c r="R29" s="406"/>
      <c r="S29" s="406"/>
      <c r="T29" s="406"/>
      <c r="U29" s="406"/>
      <c r="V29" s="406"/>
      <c r="W29" s="406"/>
      <c r="X29" s="406"/>
      <c r="Y29" s="406"/>
      <c r="Z29" s="406"/>
    </row>
    <row r="30">
      <c r="A30" s="406"/>
      <c r="B30" s="406"/>
      <c r="C30" s="406"/>
      <c r="D30" s="406"/>
      <c r="E30" s="406"/>
      <c r="F30" s="406"/>
      <c r="G30" s="407"/>
      <c r="H30" s="406"/>
      <c r="I30" s="406"/>
      <c r="J30" s="406"/>
      <c r="K30" s="406"/>
      <c r="L30" s="406"/>
      <c r="M30" s="406"/>
      <c r="N30" s="40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</row>
    <row r="31">
      <c r="A31" s="406"/>
      <c r="B31" s="406"/>
      <c r="C31" s="406"/>
      <c r="D31" s="406"/>
      <c r="E31" s="406"/>
      <c r="F31" s="406"/>
      <c r="G31" s="407"/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</row>
    <row r="32">
      <c r="A32" s="406"/>
      <c r="B32" s="406"/>
      <c r="C32" s="406"/>
      <c r="D32" s="406"/>
      <c r="E32" s="406"/>
      <c r="F32" s="406"/>
      <c r="G32" s="407"/>
      <c r="H32" s="406"/>
      <c r="I32" s="406"/>
      <c r="J32" s="406"/>
      <c r="K32" s="406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6"/>
      <c r="Y32" s="406"/>
      <c r="Z32" s="406"/>
    </row>
    <row r="33">
      <c r="A33" s="406"/>
      <c r="B33" s="406"/>
      <c r="C33" s="406"/>
      <c r="D33" s="406"/>
      <c r="E33" s="406"/>
      <c r="F33" s="406"/>
      <c r="G33" s="407"/>
      <c r="H33" s="406"/>
      <c r="I33" s="406"/>
      <c r="J33" s="406"/>
      <c r="K33" s="406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</row>
    <row r="34">
      <c r="A34" s="406"/>
      <c r="B34" s="406"/>
      <c r="C34" s="406"/>
      <c r="D34" s="406"/>
      <c r="E34" s="406"/>
      <c r="F34" s="406"/>
      <c r="G34" s="407"/>
      <c r="H34" s="406"/>
      <c r="I34" s="406"/>
      <c r="J34" s="406"/>
      <c r="K34" s="406"/>
      <c r="L34" s="406"/>
      <c r="M34" s="406"/>
      <c r="N34" s="406"/>
      <c r="O34" s="406"/>
      <c r="P34" s="406"/>
      <c r="Q34" s="406"/>
      <c r="R34" s="406"/>
      <c r="S34" s="406"/>
      <c r="T34" s="406"/>
      <c r="U34" s="406"/>
      <c r="V34" s="406"/>
      <c r="W34" s="406"/>
      <c r="X34" s="406"/>
      <c r="Y34" s="406"/>
      <c r="Z34" s="406"/>
    </row>
    <row r="35">
      <c r="A35" s="406"/>
      <c r="B35" s="406"/>
      <c r="C35" s="406"/>
      <c r="D35" s="406"/>
      <c r="E35" s="406"/>
      <c r="F35" s="406"/>
      <c r="G35" s="407"/>
      <c r="H35" s="406"/>
      <c r="I35" s="406"/>
      <c r="J35" s="406"/>
      <c r="K35" s="406"/>
      <c r="L35" s="406"/>
      <c r="M35" s="406"/>
      <c r="N35" s="40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</row>
    <row r="36">
      <c r="A36" s="406"/>
      <c r="B36" s="406"/>
      <c r="C36" s="406"/>
      <c r="D36" s="406"/>
      <c r="E36" s="406"/>
      <c r="F36" s="406"/>
      <c r="G36" s="407"/>
      <c r="H36" s="406"/>
      <c r="I36" s="406"/>
      <c r="J36" s="406"/>
      <c r="K36" s="406"/>
      <c r="L36" s="406"/>
      <c r="M36" s="406"/>
      <c r="N36" s="406"/>
      <c r="O36" s="406"/>
      <c r="P36" s="406"/>
      <c r="Q36" s="406"/>
      <c r="R36" s="406"/>
      <c r="S36" s="406"/>
      <c r="T36" s="406"/>
      <c r="U36" s="406"/>
      <c r="V36" s="406"/>
      <c r="W36" s="406"/>
      <c r="X36" s="406"/>
      <c r="Y36" s="406"/>
      <c r="Z36" s="406"/>
    </row>
    <row r="37">
      <c r="A37" s="406"/>
      <c r="B37" s="406"/>
      <c r="C37" s="406"/>
      <c r="D37" s="406"/>
      <c r="E37" s="406"/>
      <c r="F37" s="406"/>
      <c r="G37" s="407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</row>
    <row r="38">
      <c r="A38" s="406"/>
      <c r="B38" s="406"/>
      <c r="C38" s="406"/>
      <c r="D38" s="406"/>
      <c r="E38" s="406"/>
      <c r="F38" s="406"/>
      <c r="G38" s="407"/>
      <c r="H38" s="406"/>
      <c r="I38" s="406"/>
      <c r="J38" s="406"/>
      <c r="K38" s="406"/>
      <c r="L38" s="406"/>
      <c r="M38" s="406"/>
      <c r="N38" s="406"/>
      <c r="O38" s="406"/>
      <c r="P38" s="406"/>
      <c r="Q38" s="406"/>
      <c r="R38" s="406"/>
      <c r="S38" s="406"/>
      <c r="T38" s="406"/>
      <c r="U38" s="406"/>
      <c r="V38" s="406"/>
      <c r="W38" s="406"/>
      <c r="X38" s="406"/>
      <c r="Y38" s="406"/>
      <c r="Z38" s="406"/>
    </row>
    <row r="39">
      <c r="A39" s="406"/>
      <c r="B39" s="406"/>
      <c r="C39" s="406"/>
      <c r="D39" s="406"/>
      <c r="E39" s="406"/>
      <c r="F39" s="406"/>
      <c r="G39" s="407"/>
      <c r="H39" s="406"/>
      <c r="I39" s="406"/>
      <c r="J39" s="406"/>
      <c r="K39" s="406"/>
      <c r="L39" s="406"/>
      <c r="M39" s="406"/>
      <c r="N39" s="406"/>
      <c r="O39" s="406"/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</row>
    <row r="40">
      <c r="A40" s="406"/>
      <c r="B40" s="406"/>
      <c r="C40" s="406"/>
      <c r="D40" s="406"/>
      <c r="E40" s="406"/>
      <c r="F40" s="406"/>
      <c r="G40" s="407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6"/>
      <c r="Y40" s="406"/>
      <c r="Z40" s="406"/>
    </row>
    <row r="41">
      <c r="A41" s="406"/>
      <c r="B41" s="406"/>
      <c r="C41" s="406"/>
      <c r="D41" s="406"/>
      <c r="E41" s="406"/>
      <c r="F41" s="406"/>
      <c r="G41" s="407"/>
      <c r="H41" s="406"/>
      <c r="I41" s="406"/>
      <c r="J41" s="406"/>
      <c r="K41" s="406"/>
      <c r="L41" s="406"/>
      <c r="M41" s="406"/>
      <c r="N41" s="406"/>
      <c r="O41" s="406"/>
      <c r="P41" s="406"/>
      <c r="Q41" s="406"/>
      <c r="R41" s="406"/>
      <c r="S41" s="406"/>
      <c r="T41" s="406"/>
      <c r="U41" s="406"/>
      <c r="V41" s="406"/>
      <c r="W41" s="406"/>
      <c r="X41" s="406"/>
      <c r="Y41" s="406"/>
      <c r="Z41" s="406"/>
    </row>
    <row r="42">
      <c r="A42" s="406"/>
      <c r="B42" s="406"/>
      <c r="C42" s="406"/>
      <c r="D42" s="406"/>
      <c r="E42" s="406"/>
      <c r="F42" s="406"/>
      <c r="G42" s="407"/>
      <c r="H42" s="406"/>
      <c r="I42" s="406"/>
      <c r="J42" s="406"/>
      <c r="K42" s="406"/>
      <c r="L42" s="406"/>
      <c r="M42" s="406"/>
      <c r="N42" s="406"/>
      <c r="O42" s="406"/>
      <c r="P42" s="406"/>
      <c r="Q42" s="406"/>
      <c r="R42" s="406"/>
      <c r="S42" s="406"/>
      <c r="T42" s="406"/>
      <c r="U42" s="406"/>
      <c r="V42" s="406"/>
      <c r="W42" s="406"/>
      <c r="X42" s="406"/>
      <c r="Y42" s="406"/>
      <c r="Z42" s="406"/>
    </row>
    <row r="43">
      <c r="A43" s="406"/>
      <c r="B43" s="406"/>
      <c r="C43" s="406"/>
      <c r="D43" s="406"/>
      <c r="E43" s="406"/>
      <c r="F43" s="406"/>
      <c r="G43" s="407"/>
      <c r="H43" s="406"/>
      <c r="I43" s="406"/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</row>
    <row r="44">
      <c r="A44" s="406"/>
      <c r="B44" s="406"/>
      <c r="C44" s="406"/>
      <c r="D44" s="406"/>
      <c r="E44" s="406"/>
      <c r="F44" s="406"/>
      <c r="G44" s="407"/>
      <c r="H44" s="406"/>
      <c r="I44" s="406"/>
      <c r="J44" s="406"/>
      <c r="K44" s="406"/>
      <c r="L44" s="406"/>
      <c r="M44" s="406"/>
      <c r="N44" s="406"/>
      <c r="O44" s="406"/>
      <c r="P44" s="406"/>
      <c r="Q44" s="406"/>
      <c r="R44" s="406"/>
      <c r="S44" s="406"/>
      <c r="T44" s="406"/>
      <c r="U44" s="406"/>
      <c r="V44" s="406"/>
      <c r="W44" s="406"/>
      <c r="X44" s="406"/>
      <c r="Y44" s="406"/>
      <c r="Z44" s="406"/>
    </row>
    <row r="45">
      <c r="A45" s="406"/>
      <c r="B45" s="406"/>
      <c r="C45" s="406"/>
      <c r="D45" s="406"/>
      <c r="E45" s="406"/>
      <c r="F45" s="406"/>
      <c r="G45" s="407"/>
      <c r="H45" s="406"/>
      <c r="I45" s="406"/>
      <c r="J45" s="406"/>
      <c r="K45" s="406"/>
      <c r="L45" s="406"/>
      <c r="M45" s="406"/>
      <c r="N45" s="406"/>
      <c r="O45" s="406"/>
      <c r="P45" s="406"/>
      <c r="Q45" s="406"/>
      <c r="R45" s="406"/>
      <c r="S45" s="406"/>
      <c r="T45" s="406"/>
      <c r="U45" s="406"/>
      <c r="V45" s="406"/>
      <c r="W45" s="406"/>
      <c r="X45" s="406"/>
      <c r="Y45" s="406"/>
      <c r="Z45" s="406"/>
    </row>
    <row r="46">
      <c r="A46" s="406"/>
      <c r="B46" s="406"/>
      <c r="C46" s="406"/>
      <c r="D46" s="406"/>
      <c r="E46" s="406"/>
      <c r="F46" s="406"/>
      <c r="G46" s="407"/>
      <c r="H46" s="406"/>
      <c r="I46" s="406"/>
      <c r="J46" s="406"/>
      <c r="K46" s="406"/>
      <c r="L46" s="406"/>
      <c r="M46" s="406"/>
      <c r="N46" s="406"/>
      <c r="O46" s="406"/>
      <c r="P46" s="406"/>
      <c r="Q46" s="406"/>
      <c r="R46" s="406"/>
      <c r="S46" s="406"/>
      <c r="T46" s="406"/>
      <c r="U46" s="406"/>
      <c r="V46" s="406"/>
      <c r="W46" s="406"/>
      <c r="X46" s="406"/>
      <c r="Y46" s="406"/>
      <c r="Z46" s="406"/>
    </row>
    <row r="47">
      <c r="A47" s="406"/>
      <c r="B47" s="406"/>
      <c r="C47" s="406"/>
      <c r="D47" s="406"/>
      <c r="E47" s="406"/>
      <c r="F47" s="406"/>
      <c r="G47" s="407"/>
      <c r="H47" s="406"/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6"/>
      <c r="T47" s="406"/>
      <c r="U47" s="406"/>
      <c r="V47" s="406"/>
      <c r="W47" s="406"/>
      <c r="X47" s="406"/>
      <c r="Y47" s="406"/>
      <c r="Z47" s="406"/>
    </row>
    <row r="48">
      <c r="A48" s="406"/>
      <c r="B48" s="406"/>
      <c r="C48" s="406"/>
      <c r="D48" s="406"/>
      <c r="E48" s="406"/>
      <c r="F48" s="406"/>
      <c r="G48" s="407"/>
      <c r="H48" s="406"/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6"/>
      <c r="T48" s="406"/>
      <c r="U48" s="406"/>
      <c r="V48" s="406"/>
      <c r="W48" s="406"/>
      <c r="X48" s="406"/>
      <c r="Y48" s="406"/>
      <c r="Z48" s="406"/>
    </row>
    <row r="49">
      <c r="A49" s="406"/>
      <c r="B49" s="406"/>
      <c r="C49" s="406"/>
      <c r="D49" s="406"/>
      <c r="E49" s="406"/>
      <c r="F49" s="406"/>
      <c r="G49" s="407"/>
      <c r="H49" s="406"/>
      <c r="I49" s="406"/>
      <c r="J49" s="406"/>
      <c r="K49" s="406"/>
      <c r="L49" s="406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406"/>
    </row>
    <row r="50">
      <c r="A50" s="406"/>
      <c r="B50" s="406"/>
      <c r="C50" s="406"/>
      <c r="D50" s="406"/>
      <c r="E50" s="406"/>
      <c r="F50" s="406"/>
      <c r="G50" s="407"/>
      <c r="H50" s="406"/>
      <c r="I50" s="406"/>
      <c r="J50" s="406"/>
      <c r="K50" s="406"/>
      <c r="L50" s="406"/>
      <c r="M50" s="406"/>
      <c r="N50" s="406"/>
      <c r="O50" s="406"/>
      <c r="P50" s="406"/>
      <c r="Q50" s="406"/>
      <c r="R50" s="406"/>
      <c r="S50" s="406"/>
      <c r="T50" s="406"/>
      <c r="U50" s="406"/>
      <c r="V50" s="406"/>
      <c r="W50" s="406"/>
      <c r="X50" s="406"/>
      <c r="Y50" s="406"/>
      <c r="Z50" s="406"/>
    </row>
    <row r="51">
      <c r="A51" s="406"/>
      <c r="B51" s="406"/>
      <c r="C51" s="406"/>
      <c r="D51" s="406"/>
      <c r="E51" s="406"/>
      <c r="F51" s="406"/>
      <c r="G51" s="407"/>
      <c r="H51" s="406"/>
      <c r="I51" s="406"/>
      <c r="J51" s="406"/>
      <c r="K51" s="406"/>
      <c r="L51" s="406"/>
      <c r="M51" s="406"/>
      <c r="N51" s="406"/>
      <c r="O51" s="406"/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6"/>
    </row>
    <row r="52">
      <c r="A52" s="406"/>
      <c r="B52" s="406"/>
      <c r="C52" s="406"/>
      <c r="D52" s="406"/>
      <c r="E52" s="406"/>
      <c r="F52" s="406"/>
      <c r="G52" s="407"/>
      <c r="H52" s="406"/>
      <c r="I52" s="406"/>
      <c r="J52" s="406"/>
      <c r="K52" s="406"/>
      <c r="L52" s="406"/>
      <c r="M52" s="406"/>
      <c r="N52" s="406"/>
      <c r="O52" s="406"/>
      <c r="P52" s="406"/>
      <c r="Q52" s="406"/>
      <c r="R52" s="406"/>
      <c r="S52" s="406"/>
      <c r="T52" s="406"/>
      <c r="U52" s="406"/>
      <c r="V52" s="406"/>
      <c r="W52" s="406"/>
      <c r="X52" s="406"/>
      <c r="Y52" s="406"/>
      <c r="Z52" s="406"/>
    </row>
    <row r="53">
      <c r="A53" s="406"/>
      <c r="B53" s="406"/>
      <c r="C53" s="406"/>
      <c r="D53" s="406"/>
      <c r="E53" s="406"/>
      <c r="F53" s="406"/>
      <c r="G53" s="407"/>
      <c r="H53" s="406"/>
      <c r="I53" s="406"/>
      <c r="J53" s="406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</row>
    <row r="54">
      <c r="A54" s="406"/>
      <c r="B54" s="406"/>
      <c r="C54" s="406"/>
      <c r="D54" s="406"/>
      <c r="E54" s="406"/>
      <c r="F54" s="406"/>
      <c r="G54" s="407"/>
      <c r="H54" s="406"/>
      <c r="I54" s="406"/>
      <c r="J54" s="406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</row>
    <row r="55">
      <c r="A55" s="406"/>
      <c r="B55" s="406"/>
      <c r="C55" s="406"/>
      <c r="D55" s="406"/>
      <c r="E55" s="406"/>
      <c r="F55" s="406"/>
      <c r="G55" s="407"/>
      <c r="H55" s="406"/>
      <c r="I55" s="406"/>
      <c r="J55" s="406"/>
      <c r="K55" s="406"/>
      <c r="L55" s="406"/>
      <c r="M55" s="406"/>
      <c r="N55" s="406"/>
      <c r="O55" s="406"/>
      <c r="P55" s="406"/>
      <c r="Q55" s="406"/>
      <c r="R55" s="406"/>
      <c r="S55" s="406"/>
      <c r="T55" s="406"/>
      <c r="U55" s="406"/>
      <c r="V55" s="406"/>
      <c r="W55" s="406"/>
      <c r="X55" s="406"/>
      <c r="Y55" s="406"/>
      <c r="Z55" s="406"/>
    </row>
    <row r="56">
      <c r="A56" s="406"/>
      <c r="B56" s="406"/>
      <c r="C56" s="406"/>
      <c r="D56" s="406"/>
      <c r="E56" s="406"/>
      <c r="F56" s="406"/>
      <c r="G56" s="407"/>
      <c r="H56" s="406"/>
      <c r="I56" s="406"/>
      <c r="J56" s="406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</row>
    <row r="57">
      <c r="A57" s="406"/>
      <c r="B57" s="406"/>
      <c r="C57" s="406"/>
      <c r="D57" s="406"/>
      <c r="E57" s="406"/>
      <c r="F57" s="406"/>
      <c r="G57" s="407"/>
      <c r="H57" s="406"/>
      <c r="I57" s="406"/>
      <c r="J57" s="406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</row>
    <row r="58">
      <c r="A58" s="406"/>
      <c r="B58" s="406"/>
      <c r="C58" s="406"/>
      <c r="D58" s="406"/>
      <c r="E58" s="406"/>
      <c r="F58" s="406"/>
      <c r="G58" s="407"/>
      <c r="H58" s="406"/>
      <c r="I58" s="406"/>
      <c r="J58" s="406"/>
      <c r="K58" s="406"/>
      <c r="L58" s="406"/>
      <c r="M58" s="406"/>
      <c r="N58" s="406"/>
      <c r="O58" s="406"/>
      <c r="P58" s="406"/>
      <c r="Q58" s="406"/>
      <c r="R58" s="406"/>
      <c r="S58" s="406"/>
      <c r="T58" s="406"/>
      <c r="U58" s="406"/>
      <c r="V58" s="406"/>
      <c r="W58" s="406"/>
      <c r="X58" s="406"/>
      <c r="Y58" s="406"/>
      <c r="Z58" s="406"/>
    </row>
    <row r="59">
      <c r="A59" s="406"/>
      <c r="B59" s="406"/>
      <c r="C59" s="406"/>
      <c r="D59" s="406"/>
      <c r="E59" s="406"/>
      <c r="F59" s="406"/>
      <c r="G59" s="407"/>
      <c r="H59" s="406"/>
      <c r="I59" s="406"/>
      <c r="J59" s="406"/>
      <c r="K59" s="406"/>
      <c r="L59" s="406"/>
      <c r="M59" s="406"/>
      <c r="N59" s="406"/>
      <c r="O59" s="406"/>
      <c r="P59" s="406"/>
      <c r="Q59" s="406"/>
      <c r="R59" s="406"/>
      <c r="S59" s="406"/>
      <c r="T59" s="406"/>
      <c r="U59" s="406"/>
      <c r="V59" s="406"/>
      <c r="W59" s="406"/>
      <c r="X59" s="406"/>
      <c r="Y59" s="406"/>
      <c r="Z59" s="406"/>
    </row>
    <row r="60">
      <c r="A60" s="406"/>
      <c r="B60" s="406"/>
      <c r="C60" s="406"/>
      <c r="D60" s="406"/>
      <c r="E60" s="406"/>
      <c r="F60" s="406"/>
      <c r="G60" s="407"/>
      <c r="H60" s="406"/>
      <c r="I60" s="406"/>
      <c r="J60" s="406"/>
      <c r="K60" s="406"/>
      <c r="L60" s="406"/>
      <c r="M60" s="406"/>
      <c r="N60" s="406"/>
      <c r="O60" s="406"/>
      <c r="P60" s="406"/>
      <c r="Q60" s="406"/>
      <c r="R60" s="406"/>
      <c r="S60" s="406"/>
      <c r="T60" s="406"/>
      <c r="U60" s="406"/>
      <c r="V60" s="406"/>
      <c r="W60" s="406"/>
      <c r="X60" s="406"/>
      <c r="Y60" s="406"/>
      <c r="Z60" s="406"/>
    </row>
    <row r="61">
      <c r="A61" s="406"/>
      <c r="B61" s="406"/>
      <c r="C61" s="406"/>
      <c r="D61" s="406"/>
      <c r="E61" s="406"/>
      <c r="F61" s="406"/>
      <c r="G61" s="407"/>
      <c r="H61" s="406"/>
      <c r="I61" s="406"/>
      <c r="J61" s="406"/>
      <c r="K61" s="406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</row>
    <row r="62">
      <c r="A62" s="406"/>
      <c r="B62" s="406"/>
      <c r="C62" s="406"/>
      <c r="D62" s="406"/>
      <c r="E62" s="406"/>
      <c r="F62" s="406"/>
      <c r="G62" s="407"/>
      <c r="H62" s="406"/>
      <c r="I62" s="406"/>
      <c r="J62" s="40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</row>
    <row r="63">
      <c r="A63" s="406"/>
      <c r="B63" s="406"/>
      <c r="C63" s="406"/>
      <c r="D63" s="406"/>
      <c r="E63" s="406"/>
      <c r="F63" s="406"/>
      <c r="G63" s="407"/>
      <c r="H63" s="406"/>
      <c r="I63" s="406"/>
      <c r="J63" s="406"/>
      <c r="K63" s="406"/>
      <c r="L63" s="406"/>
      <c r="M63" s="406"/>
      <c r="N63" s="406"/>
      <c r="O63" s="406"/>
      <c r="P63" s="406"/>
      <c r="Q63" s="406"/>
      <c r="R63" s="406"/>
      <c r="S63" s="406"/>
      <c r="T63" s="406"/>
      <c r="U63" s="406"/>
      <c r="V63" s="406"/>
      <c r="W63" s="406"/>
      <c r="X63" s="406"/>
      <c r="Y63" s="406"/>
      <c r="Z63" s="406"/>
    </row>
    <row r="64">
      <c r="A64" s="406"/>
      <c r="B64" s="406"/>
      <c r="C64" s="406"/>
      <c r="D64" s="406"/>
      <c r="E64" s="406"/>
      <c r="F64" s="406"/>
      <c r="G64" s="407"/>
      <c r="H64" s="406"/>
      <c r="I64" s="406"/>
      <c r="J64" s="406"/>
      <c r="K64" s="406"/>
      <c r="L64" s="406"/>
      <c r="M64" s="406"/>
      <c r="N64" s="406"/>
      <c r="O64" s="406"/>
      <c r="P64" s="406"/>
      <c r="Q64" s="406"/>
      <c r="R64" s="406"/>
      <c r="S64" s="406"/>
      <c r="T64" s="406"/>
      <c r="U64" s="406"/>
      <c r="V64" s="406"/>
      <c r="W64" s="406"/>
      <c r="X64" s="406"/>
      <c r="Y64" s="406"/>
      <c r="Z64" s="406"/>
    </row>
    <row r="65">
      <c r="A65" s="406"/>
      <c r="B65" s="406"/>
      <c r="C65" s="406"/>
      <c r="D65" s="406"/>
      <c r="E65" s="406"/>
      <c r="F65" s="406"/>
      <c r="G65" s="407"/>
      <c r="H65" s="406"/>
      <c r="I65" s="406"/>
      <c r="J65" s="406"/>
      <c r="K65" s="406"/>
      <c r="L65" s="406"/>
      <c r="M65" s="406"/>
      <c r="N65" s="406"/>
      <c r="O65" s="406"/>
      <c r="P65" s="406"/>
      <c r="Q65" s="406"/>
      <c r="R65" s="406"/>
      <c r="S65" s="406"/>
      <c r="T65" s="406"/>
      <c r="U65" s="406"/>
      <c r="V65" s="406"/>
      <c r="W65" s="406"/>
      <c r="X65" s="406"/>
      <c r="Y65" s="406"/>
      <c r="Z65" s="406"/>
    </row>
    <row r="66">
      <c r="A66" s="406"/>
      <c r="B66" s="406"/>
      <c r="C66" s="406"/>
      <c r="D66" s="406"/>
      <c r="E66" s="406"/>
      <c r="F66" s="406"/>
      <c r="G66" s="407"/>
      <c r="H66" s="406"/>
      <c r="I66" s="406"/>
      <c r="J66" s="406"/>
      <c r="K66" s="406"/>
      <c r="L66" s="406"/>
      <c r="M66" s="406"/>
      <c r="N66" s="406"/>
      <c r="O66" s="406"/>
      <c r="P66" s="406"/>
      <c r="Q66" s="406"/>
      <c r="R66" s="406"/>
      <c r="S66" s="406"/>
      <c r="T66" s="406"/>
      <c r="U66" s="406"/>
      <c r="V66" s="406"/>
      <c r="W66" s="406"/>
      <c r="X66" s="406"/>
      <c r="Y66" s="406"/>
      <c r="Z66" s="406"/>
    </row>
    <row r="67">
      <c r="A67" s="406"/>
      <c r="B67" s="406"/>
      <c r="C67" s="406"/>
      <c r="D67" s="406"/>
      <c r="E67" s="406"/>
      <c r="F67" s="406"/>
      <c r="G67" s="407"/>
      <c r="H67" s="406"/>
      <c r="I67" s="406"/>
      <c r="J67" s="406"/>
      <c r="K67" s="406"/>
      <c r="L67" s="406"/>
      <c r="M67" s="406"/>
      <c r="N67" s="406"/>
      <c r="O67" s="406"/>
      <c r="P67" s="406"/>
      <c r="Q67" s="406"/>
      <c r="R67" s="406"/>
      <c r="S67" s="406"/>
      <c r="T67" s="406"/>
      <c r="U67" s="406"/>
      <c r="V67" s="406"/>
      <c r="W67" s="406"/>
      <c r="X67" s="406"/>
      <c r="Y67" s="406"/>
      <c r="Z67" s="406"/>
    </row>
    <row r="68">
      <c r="A68" s="406"/>
      <c r="B68" s="406"/>
      <c r="C68" s="406"/>
      <c r="D68" s="406"/>
      <c r="E68" s="406"/>
      <c r="F68" s="406"/>
      <c r="G68" s="407"/>
      <c r="H68" s="406"/>
      <c r="I68" s="406"/>
      <c r="J68" s="406"/>
      <c r="K68" s="406"/>
      <c r="L68" s="406"/>
      <c r="M68" s="406"/>
      <c r="N68" s="406"/>
      <c r="O68" s="406"/>
      <c r="P68" s="406"/>
      <c r="Q68" s="406"/>
      <c r="R68" s="406"/>
      <c r="S68" s="406"/>
      <c r="T68" s="406"/>
      <c r="U68" s="406"/>
      <c r="V68" s="406"/>
      <c r="W68" s="406"/>
      <c r="X68" s="406"/>
      <c r="Y68" s="406"/>
      <c r="Z68" s="406"/>
    </row>
    <row r="69">
      <c r="A69" s="406"/>
      <c r="B69" s="406"/>
      <c r="C69" s="406"/>
      <c r="D69" s="406"/>
      <c r="E69" s="406"/>
      <c r="F69" s="406"/>
      <c r="G69" s="407"/>
      <c r="H69" s="406"/>
      <c r="I69" s="406"/>
      <c r="J69" s="406"/>
      <c r="K69" s="406"/>
      <c r="L69" s="406"/>
      <c r="M69" s="406"/>
      <c r="N69" s="406"/>
      <c r="O69" s="406"/>
      <c r="P69" s="406"/>
      <c r="Q69" s="406"/>
      <c r="R69" s="406"/>
      <c r="S69" s="406"/>
      <c r="T69" s="406"/>
      <c r="U69" s="406"/>
      <c r="V69" s="406"/>
      <c r="W69" s="406"/>
      <c r="X69" s="406"/>
      <c r="Y69" s="406"/>
      <c r="Z69" s="406"/>
    </row>
    <row r="70">
      <c r="A70" s="406"/>
      <c r="B70" s="406"/>
      <c r="C70" s="406"/>
      <c r="D70" s="406"/>
      <c r="E70" s="406"/>
      <c r="F70" s="406"/>
      <c r="G70" s="407"/>
      <c r="H70" s="406"/>
      <c r="I70" s="406"/>
      <c r="J70" s="406"/>
      <c r="K70" s="406"/>
      <c r="L70" s="406"/>
      <c r="M70" s="406"/>
      <c r="N70" s="406"/>
      <c r="O70" s="406"/>
      <c r="P70" s="406"/>
      <c r="Q70" s="406"/>
      <c r="R70" s="406"/>
      <c r="S70" s="406"/>
      <c r="T70" s="406"/>
      <c r="U70" s="406"/>
      <c r="V70" s="406"/>
      <c r="W70" s="406"/>
      <c r="X70" s="406"/>
      <c r="Y70" s="406"/>
      <c r="Z70" s="406"/>
    </row>
    <row r="71">
      <c r="A71" s="406"/>
      <c r="B71" s="406"/>
      <c r="C71" s="406"/>
      <c r="D71" s="406"/>
      <c r="E71" s="406"/>
      <c r="F71" s="406"/>
      <c r="G71" s="407"/>
      <c r="H71" s="406"/>
      <c r="I71" s="406"/>
      <c r="J71" s="406"/>
      <c r="K71" s="406"/>
      <c r="L71" s="406"/>
      <c r="M71" s="406"/>
      <c r="N71" s="406"/>
      <c r="O71" s="406"/>
      <c r="P71" s="406"/>
      <c r="Q71" s="406"/>
      <c r="R71" s="406"/>
      <c r="S71" s="406"/>
      <c r="T71" s="406"/>
      <c r="U71" s="406"/>
      <c r="V71" s="406"/>
      <c r="W71" s="406"/>
      <c r="X71" s="406"/>
      <c r="Y71" s="406"/>
      <c r="Z71" s="406"/>
    </row>
    <row r="72">
      <c r="A72" s="406"/>
      <c r="B72" s="406"/>
      <c r="C72" s="406"/>
      <c r="D72" s="406"/>
      <c r="E72" s="406"/>
      <c r="F72" s="406"/>
      <c r="G72" s="407"/>
      <c r="H72" s="406"/>
      <c r="I72" s="406"/>
      <c r="J72" s="406"/>
      <c r="K72" s="406"/>
      <c r="L72" s="406"/>
      <c r="M72" s="406"/>
      <c r="N72" s="406"/>
      <c r="O72" s="406"/>
      <c r="P72" s="406"/>
      <c r="Q72" s="406"/>
      <c r="R72" s="406"/>
      <c r="S72" s="406"/>
      <c r="T72" s="406"/>
      <c r="U72" s="406"/>
      <c r="V72" s="406"/>
      <c r="W72" s="406"/>
      <c r="X72" s="406"/>
      <c r="Y72" s="406"/>
      <c r="Z72" s="406"/>
    </row>
    <row r="73">
      <c r="A73" s="406"/>
      <c r="B73" s="406"/>
      <c r="C73" s="406"/>
      <c r="D73" s="406"/>
      <c r="E73" s="406"/>
      <c r="F73" s="406"/>
      <c r="G73" s="407"/>
      <c r="H73" s="406"/>
      <c r="I73" s="406"/>
      <c r="J73" s="406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</row>
    <row r="74">
      <c r="A74" s="406"/>
      <c r="B74" s="406"/>
      <c r="C74" s="406"/>
      <c r="D74" s="406"/>
      <c r="E74" s="406"/>
      <c r="F74" s="406"/>
      <c r="G74" s="407"/>
      <c r="H74" s="406"/>
      <c r="I74" s="406"/>
      <c r="J74" s="406"/>
      <c r="K74" s="406"/>
      <c r="L74" s="406"/>
      <c r="M74" s="406"/>
      <c r="N74" s="406"/>
      <c r="O74" s="406"/>
      <c r="P74" s="406"/>
      <c r="Q74" s="406"/>
      <c r="R74" s="406"/>
      <c r="S74" s="406"/>
      <c r="T74" s="406"/>
      <c r="U74" s="406"/>
      <c r="V74" s="406"/>
      <c r="W74" s="406"/>
      <c r="X74" s="406"/>
      <c r="Y74" s="406"/>
      <c r="Z74" s="406"/>
    </row>
    <row r="75">
      <c r="A75" s="406"/>
      <c r="B75" s="406"/>
      <c r="C75" s="406"/>
      <c r="D75" s="406"/>
      <c r="E75" s="406"/>
      <c r="F75" s="406"/>
      <c r="G75" s="407"/>
      <c r="H75" s="406"/>
      <c r="I75" s="406"/>
      <c r="J75" s="406"/>
      <c r="K75" s="406"/>
      <c r="L75" s="406"/>
      <c r="M75" s="406"/>
      <c r="N75" s="406"/>
      <c r="O75" s="406"/>
      <c r="P75" s="406"/>
      <c r="Q75" s="406"/>
      <c r="R75" s="406"/>
      <c r="S75" s="406"/>
      <c r="T75" s="406"/>
      <c r="U75" s="406"/>
      <c r="V75" s="406"/>
      <c r="W75" s="406"/>
      <c r="X75" s="406"/>
      <c r="Y75" s="406"/>
      <c r="Z75" s="406"/>
    </row>
    <row r="76">
      <c r="A76" s="406"/>
      <c r="B76" s="406"/>
      <c r="C76" s="406"/>
      <c r="D76" s="406"/>
      <c r="E76" s="406"/>
      <c r="F76" s="406"/>
      <c r="G76" s="407"/>
      <c r="H76" s="406"/>
      <c r="I76" s="406"/>
      <c r="J76" s="406"/>
      <c r="K76" s="406"/>
      <c r="L76" s="406"/>
      <c r="M76" s="406"/>
      <c r="N76" s="406"/>
      <c r="O76" s="406"/>
      <c r="P76" s="406"/>
      <c r="Q76" s="406"/>
      <c r="R76" s="406"/>
      <c r="S76" s="406"/>
      <c r="T76" s="406"/>
      <c r="U76" s="406"/>
      <c r="V76" s="406"/>
      <c r="W76" s="406"/>
      <c r="X76" s="406"/>
      <c r="Y76" s="406"/>
      <c r="Z76" s="406"/>
    </row>
    <row r="77">
      <c r="A77" s="406"/>
      <c r="B77" s="406"/>
      <c r="C77" s="406"/>
      <c r="D77" s="406"/>
      <c r="E77" s="406"/>
      <c r="F77" s="406"/>
      <c r="G77" s="407"/>
      <c r="H77" s="406"/>
      <c r="I77" s="406"/>
      <c r="J77" s="40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406"/>
      <c r="X77" s="406"/>
      <c r="Y77" s="406"/>
      <c r="Z77" s="406"/>
    </row>
    <row r="78">
      <c r="A78" s="406"/>
      <c r="B78" s="406"/>
      <c r="C78" s="406"/>
      <c r="D78" s="406"/>
      <c r="E78" s="406"/>
      <c r="F78" s="406"/>
      <c r="G78" s="407"/>
      <c r="H78" s="406"/>
      <c r="I78" s="406"/>
      <c r="J78" s="406"/>
      <c r="K78" s="406"/>
      <c r="L78" s="406"/>
      <c r="M78" s="406"/>
      <c r="N78" s="406"/>
      <c r="O78" s="406"/>
      <c r="P78" s="406"/>
      <c r="Q78" s="406"/>
      <c r="R78" s="406"/>
      <c r="S78" s="406"/>
      <c r="T78" s="406"/>
      <c r="U78" s="406"/>
      <c r="V78" s="406"/>
      <c r="W78" s="406"/>
      <c r="X78" s="406"/>
      <c r="Y78" s="406"/>
      <c r="Z78" s="406"/>
    </row>
    <row r="79">
      <c r="A79" s="406"/>
      <c r="B79" s="406"/>
      <c r="C79" s="406"/>
      <c r="D79" s="406"/>
      <c r="E79" s="406"/>
      <c r="F79" s="406"/>
      <c r="G79" s="407"/>
      <c r="H79" s="406"/>
      <c r="I79" s="406"/>
      <c r="J79" s="406"/>
      <c r="K79" s="406"/>
      <c r="L79" s="406"/>
      <c r="M79" s="406"/>
      <c r="N79" s="406"/>
      <c r="O79" s="406"/>
      <c r="P79" s="406"/>
      <c r="Q79" s="406"/>
      <c r="R79" s="406"/>
      <c r="S79" s="406"/>
      <c r="T79" s="406"/>
      <c r="U79" s="406"/>
      <c r="V79" s="406"/>
      <c r="W79" s="406"/>
      <c r="X79" s="406"/>
      <c r="Y79" s="406"/>
      <c r="Z79" s="406"/>
    </row>
    <row r="80">
      <c r="A80" s="406"/>
      <c r="B80" s="406"/>
      <c r="C80" s="406"/>
      <c r="D80" s="406"/>
      <c r="E80" s="406"/>
      <c r="F80" s="406"/>
      <c r="G80" s="407"/>
      <c r="H80" s="406"/>
      <c r="I80" s="406"/>
      <c r="J80" s="406"/>
      <c r="K80" s="406"/>
      <c r="L80" s="406"/>
      <c r="M80" s="406"/>
      <c r="N80" s="406"/>
      <c r="O80" s="406"/>
      <c r="P80" s="406"/>
      <c r="Q80" s="406"/>
      <c r="R80" s="406"/>
      <c r="S80" s="406"/>
      <c r="T80" s="406"/>
      <c r="U80" s="406"/>
      <c r="V80" s="406"/>
      <c r="W80" s="406"/>
      <c r="X80" s="406"/>
      <c r="Y80" s="406"/>
      <c r="Z80" s="406"/>
    </row>
    <row r="81">
      <c r="A81" s="406"/>
      <c r="B81" s="406"/>
      <c r="C81" s="406"/>
      <c r="D81" s="406"/>
      <c r="E81" s="406"/>
      <c r="F81" s="406"/>
      <c r="G81" s="407"/>
      <c r="H81" s="406"/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  <c r="Z81" s="406"/>
    </row>
    <row r="82">
      <c r="A82" s="406"/>
      <c r="B82" s="406"/>
      <c r="C82" s="406"/>
      <c r="D82" s="406"/>
      <c r="E82" s="406"/>
      <c r="F82" s="406"/>
      <c r="G82" s="407"/>
      <c r="H82" s="406"/>
      <c r="I82" s="406"/>
      <c r="J82" s="406"/>
      <c r="K82" s="406"/>
      <c r="L82" s="406"/>
      <c r="M82" s="406"/>
      <c r="N82" s="406"/>
      <c r="O82" s="406"/>
      <c r="P82" s="406"/>
      <c r="Q82" s="406"/>
      <c r="R82" s="406"/>
      <c r="S82" s="406"/>
      <c r="T82" s="406"/>
      <c r="U82" s="406"/>
      <c r="V82" s="406"/>
      <c r="W82" s="406"/>
      <c r="X82" s="406"/>
      <c r="Y82" s="406"/>
      <c r="Z82" s="406"/>
    </row>
    <row r="83">
      <c r="A83" s="406"/>
      <c r="B83" s="406"/>
      <c r="C83" s="406"/>
      <c r="D83" s="406"/>
      <c r="E83" s="406"/>
      <c r="F83" s="406"/>
      <c r="G83" s="407"/>
      <c r="H83" s="406"/>
      <c r="I83" s="406"/>
      <c r="J83" s="406"/>
      <c r="K83" s="406"/>
      <c r="L83" s="406"/>
      <c r="M83" s="406"/>
      <c r="N83" s="406"/>
      <c r="O83" s="406"/>
      <c r="P83" s="406"/>
      <c r="Q83" s="406"/>
      <c r="R83" s="406"/>
      <c r="S83" s="406"/>
      <c r="T83" s="406"/>
      <c r="U83" s="406"/>
      <c r="V83" s="406"/>
      <c r="W83" s="406"/>
      <c r="X83" s="406"/>
      <c r="Y83" s="406"/>
      <c r="Z83" s="406"/>
    </row>
    <row r="84">
      <c r="A84" s="406"/>
      <c r="B84" s="406"/>
      <c r="C84" s="406"/>
      <c r="D84" s="406"/>
      <c r="E84" s="406"/>
      <c r="F84" s="406"/>
      <c r="G84" s="407"/>
      <c r="H84" s="406"/>
      <c r="I84" s="406"/>
      <c r="J84" s="406"/>
      <c r="K84" s="406"/>
      <c r="L84" s="406"/>
      <c r="M84" s="406"/>
      <c r="N84" s="406"/>
      <c r="O84" s="406"/>
      <c r="P84" s="406"/>
      <c r="Q84" s="406"/>
      <c r="R84" s="406"/>
      <c r="S84" s="406"/>
      <c r="T84" s="406"/>
      <c r="U84" s="406"/>
      <c r="V84" s="406"/>
      <c r="W84" s="406"/>
      <c r="X84" s="406"/>
      <c r="Y84" s="406"/>
      <c r="Z84" s="406"/>
    </row>
    <row r="85">
      <c r="A85" s="406"/>
      <c r="B85" s="406"/>
      <c r="C85" s="406"/>
      <c r="D85" s="406"/>
      <c r="E85" s="406"/>
      <c r="F85" s="406"/>
      <c r="G85" s="407"/>
      <c r="H85" s="406"/>
      <c r="I85" s="406"/>
      <c r="J85" s="406"/>
      <c r="K85" s="406"/>
      <c r="L85" s="406"/>
      <c r="M85" s="406"/>
      <c r="N85" s="406"/>
      <c r="O85" s="406"/>
      <c r="P85" s="406"/>
      <c r="Q85" s="406"/>
      <c r="R85" s="406"/>
      <c r="S85" s="406"/>
      <c r="T85" s="406"/>
      <c r="U85" s="406"/>
      <c r="V85" s="406"/>
      <c r="W85" s="406"/>
      <c r="X85" s="406"/>
      <c r="Y85" s="406"/>
      <c r="Z85" s="406"/>
    </row>
    <row r="86">
      <c r="A86" s="406"/>
      <c r="B86" s="406"/>
      <c r="C86" s="406"/>
      <c r="D86" s="406"/>
      <c r="E86" s="406"/>
      <c r="F86" s="406"/>
      <c r="G86" s="407"/>
      <c r="H86" s="406"/>
      <c r="I86" s="406"/>
      <c r="J86" s="406"/>
      <c r="K86" s="406"/>
      <c r="L86" s="406"/>
      <c r="M86" s="406"/>
      <c r="N86" s="406"/>
      <c r="O86" s="406"/>
      <c r="P86" s="406"/>
      <c r="Q86" s="406"/>
      <c r="R86" s="406"/>
      <c r="S86" s="406"/>
      <c r="T86" s="406"/>
      <c r="U86" s="406"/>
      <c r="V86" s="406"/>
      <c r="W86" s="406"/>
      <c r="X86" s="406"/>
      <c r="Y86" s="406"/>
      <c r="Z86" s="406"/>
    </row>
    <row r="87">
      <c r="A87" s="406"/>
      <c r="B87" s="406"/>
      <c r="C87" s="406"/>
      <c r="D87" s="406"/>
      <c r="E87" s="406"/>
      <c r="F87" s="406"/>
      <c r="G87" s="407"/>
      <c r="H87" s="406"/>
      <c r="I87" s="406"/>
      <c r="J87" s="406"/>
      <c r="K87" s="406"/>
      <c r="L87" s="406"/>
      <c r="M87" s="406"/>
      <c r="N87" s="406"/>
      <c r="O87" s="406"/>
      <c r="P87" s="406"/>
      <c r="Q87" s="406"/>
      <c r="R87" s="406"/>
      <c r="S87" s="406"/>
      <c r="T87" s="406"/>
      <c r="U87" s="406"/>
      <c r="V87" s="406"/>
      <c r="W87" s="406"/>
      <c r="X87" s="406"/>
      <c r="Y87" s="406"/>
      <c r="Z87" s="406"/>
    </row>
    <row r="88">
      <c r="A88" s="406"/>
      <c r="B88" s="406"/>
      <c r="C88" s="406"/>
      <c r="D88" s="406"/>
      <c r="E88" s="406"/>
      <c r="F88" s="406"/>
      <c r="G88" s="407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  <c r="W88" s="406"/>
      <c r="X88" s="406"/>
      <c r="Y88" s="406"/>
      <c r="Z88" s="406"/>
    </row>
    <row r="89">
      <c r="A89" s="406"/>
      <c r="B89" s="406"/>
      <c r="C89" s="406"/>
      <c r="D89" s="406"/>
      <c r="E89" s="406"/>
      <c r="F89" s="406"/>
      <c r="G89" s="407"/>
      <c r="H89" s="406"/>
      <c r="I89" s="406"/>
      <c r="J89" s="406"/>
      <c r="K89" s="406"/>
      <c r="L89" s="406"/>
      <c r="M89" s="406"/>
      <c r="N89" s="406"/>
      <c r="O89" s="406"/>
      <c r="P89" s="406"/>
      <c r="Q89" s="406"/>
      <c r="R89" s="406"/>
      <c r="S89" s="406"/>
      <c r="T89" s="406"/>
      <c r="U89" s="406"/>
      <c r="V89" s="406"/>
      <c r="W89" s="406"/>
      <c r="X89" s="406"/>
      <c r="Y89" s="406"/>
      <c r="Z89" s="406"/>
    </row>
    <row r="90">
      <c r="A90" s="406"/>
      <c r="B90" s="406"/>
      <c r="C90" s="406"/>
      <c r="D90" s="406"/>
      <c r="E90" s="406"/>
      <c r="F90" s="406"/>
      <c r="G90" s="407"/>
      <c r="H90" s="406"/>
      <c r="I90" s="406"/>
      <c r="J90" s="406"/>
      <c r="K90" s="406"/>
      <c r="L90" s="406"/>
      <c r="M90" s="406"/>
      <c r="N90" s="406"/>
      <c r="O90" s="406"/>
      <c r="P90" s="406"/>
      <c r="Q90" s="406"/>
      <c r="R90" s="406"/>
      <c r="S90" s="406"/>
      <c r="T90" s="406"/>
      <c r="U90" s="406"/>
      <c r="V90" s="406"/>
      <c r="W90" s="406"/>
      <c r="X90" s="406"/>
      <c r="Y90" s="406"/>
      <c r="Z90" s="406"/>
    </row>
    <row r="91">
      <c r="A91" s="406"/>
      <c r="B91" s="406"/>
      <c r="C91" s="406"/>
      <c r="D91" s="406"/>
      <c r="E91" s="406"/>
      <c r="F91" s="406"/>
      <c r="G91" s="407"/>
      <c r="H91" s="406"/>
      <c r="I91" s="406"/>
      <c r="J91" s="406"/>
      <c r="K91" s="406"/>
      <c r="L91" s="406"/>
      <c r="M91" s="406"/>
      <c r="N91" s="406"/>
      <c r="O91" s="406"/>
      <c r="P91" s="406"/>
      <c r="Q91" s="406"/>
      <c r="R91" s="406"/>
      <c r="S91" s="406"/>
      <c r="T91" s="406"/>
      <c r="U91" s="406"/>
      <c r="V91" s="406"/>
      <c r="W91" s="406"/>
      <c r="X91" s="406"/>
      <c r="Y91" s="406"/>
      <c r="Z91" s="406"/>
    </row>
    <row r="92">
      <c r="A92" s="406"/>
      <c r="B92" s="406"/>
      <c r="C92" s="406"/>
      <c r="D92" s="406"/>
      <c r="E92" s="406"/>
      <c r="F92" s="406"/>
      <c r="G92" s="407"/>
      <c r="H92" s="406"/>
      <c r="I92" s="406"/>
      <c r="J92" s="406"/>
      <c r="K92" s="406"/>
      <c r="L92" s="406"/>
      <c r="M92" s="406"/>
      <c r="N92" s="406"/>
      <c r="O92" s="406"/>
      <c r="P92" s="406"/>
      <c r="Q92" s="406"/>
      <c r="R92" s="406"/>
      <c r="S92" s="406"/>
      <c r="T92" s="406"/>
      <c r="U92" s="406"/>
      <c r="V92" s="406"/>
      <c r="W92" s="406"/>
      <c r="X92" s="406"/>
      <c r="Y92" s="406"/>
      <c r="Z92" s="406"/>
    </row>
    <row r="93">
      <c r="A93" s="406"/>
      <c r="B93" s="406"/>
      <c r="C93" s="406"/>
      <c r="D93" s="406"/>
      <c r="E93" s="406"/>
      <c r="F93" s="406"/>
      <c r="G93" s="407"/>
      <c r="H93" s="406"/>
      <c r="I93" s="406"/>
      <c r="J93" s="406"/>
      <c r="K93" s="406"/>
      <c r="L93" s="406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406"/>
    </row>
    <row r="94">
      <c r="A94" s="406"/>
      <c r="B94" s="406"/>
      <c r="C94" s="406"/>
      <c r="D94" s="406"/>
      <c r="E94" s="406"/>
      <c r="F94" s="406"/>
      <c r="G94" s="407"/>
      <c r="H94" s="406"/>
      <c r="I94" s="406"/>
      <c r="J94" s="406"/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</row>
    <row r="95">
      <c r="A95" s="406"/>
      <c r="B95" s="406"/>
      <c r="C95" s="406"/>
      <c r="D95" s="406"/>
      <c r="E95" s="406"/>
      <c r="F95" s="406"/>
      <c r="G95" s="407"/>
      <c r="H95" s="406"/>
      <c r="I95" s="406"/>
      <c r="J95" s="406"/>
      <c r="K95" s="406"/>
      <c r="L95" s="406"/>
      <c r="M95" s="406"/>
      <c r="N95" s="406"/>
      <c r="O95" s="406"/>
      <c r="P95" s="406"/>
      <c r="Q95" s="406"/>
      <c r="R95" s="406"/>
      <c r="S95" s="406"/>
      <c r="T95" s="406"/>
      <c r="U95" s="406"/>
      <c r="V95" s="406"/>
      <c r="W95" s="406"/>
      <c r="X95" s="406"/>
      <c r="Y95" s="406"/>
      <c r="Z95" s="406"/>
    </row>
    <row r="96">
      <c r="A96" s="406"/>
      <c r="B96" s="406"/>
      <c r="C96" s="406"/>
      <c r="D96" s="406"/>
      <c r="E96" s="406"/>
      <c r="F96" s="406"/>
      <c r="G96" s="407"/>
      <c r="H96" s="406"/>
      <c r="I96" s="406"/>
      <c r="J96" s="406"/>
      <c r="K96" s="406"/>
      <c r="L96" s="406"/>
      <c r="M96" s="406"/>
      <c r="N96" s="406"/>
      <c r="O96" s="406"/>
      <c r="P96" s="406"/>
      <c r="Q96" s="406"/>
      <c r="R96" s="406"/>
      <c r="S96" s="406"/>
      <c r="T96" s="406"/>
      <c r="U96" s="406"/>
      <c r="V96" s="406"/>
      <c r="W96" s="406"/>
      <c r="X96" s="406"/>
      <c r="Y96" s="406"/>
      <c r="Z96" s="406"/>
    </row>
    <row r="97">
      <c r="A97" s="406"/>
      <c r="B97" s="406"/>
      <c r="C97" s="406"/>
      <c r="D97" s="406"/>
      <c r="E97" s="406"/>
      <c r="F97" s="406"/>
      <c r="G97" s="407"/>
      <c r="H97" s="406"/>
      <c r="I97" s="406"/>
      <c r="J97" s="406"/>
      <c r="K97" s="406"/>
      <c r="L97" s="406"/>
      <c r="M97" s="406"/>
      <c r="N97" s="406"/>
      <c r="O97" s="406"/>
      <c r="P97" s="406"/>
      <c r="Q97" s="406"/>
      <c r="R97" s="406"/>
      <c r="S97" s="406"/>
      <c r="T97" s="406"/>
      <c r="U97" s="406"/>
      <c r="V97" s="406"/>
      <c r="W97" s="406"/>
      <c r="X97" s="406"/>
      <c r="Y97" s="406"/>
      <c r="Z97" s="406"/>
    </row>
    <row r="98">
      <c r="A98" s="406"/>
      <c r="B98" s="406"/>
      <c r="C98" s="406"/>
      <c r="D98" s="406"/>
      <c r="E98" s="406"/>
      <c r="F98" s="406"/>
      <c r="G98" s="407"/>
      <c r="H98" s="406"/>
      <c r="I98" s="406"/>
      <c r="J98" s="406"/>
      <c r="K98" s="406"/>
      <c r="L98" s="406"/>
      <c r="M98" s="406"/>
      <c r="N98" s="406"/>
      <c r="O98" s="406"/>
      <c r="P98" s="406"/>
      <c r="Q98" s="406"/>
      <c r="R98" s="406"/>
      <c r="S98" s="406"/>
      <c r="T98" s="406"/>
      <c r="U98" s="406"/>
      <c r="V98" s="406"/>
      <c r="W98" s="406"/>
      <c r="X98" s="406"/>
      <c r="Y98" s="406"/>
      <c r="Z98" s="406"/>
    </row>
    <row r="99">
      <c r="A99" s="406"/>
      <c r="B99" s="406"/>
      <c r="C99" s="406"/>
      <c r="D99" s="406"/>
      <c r="E99" s="406"/>
      <c r="F99" s="406"/>
      <c r="G99" s="407"/>
      <c r="H99" s="406"/>
      <c r="I99" s="406"/>
      <c r="J99" s="406"/>
      <c r="K99" s="406"/>
      <c r="L99" s="406"/>
      <c r="M99" s="406"/>
      <c r="N99" s="406"/>
      <c r="O99" s="406"/>
      <c r="P99" s="406"/>
      <c r="Q99" s="406"/>
      <c r="R99" s="406"/>
      <c r="S99" s="406"/>
      <c r="T99" s="406"/>
      <c r="U99" s="406"/>
      <c r="V99" s="406"/>
      <c r="W99" s="406"/>
      <c r="X99" s="406"/>
      <c r="Y99" s="406"/>
      <c r="Z99" s="406"/>
    </row>
    <row r="100">
      <c r="A100" s="406"/>
      <c r="B100" s="406"/>
      <c r="C100" s="406"/>
      <c r="D100" s="406"/>
      <c r="E100" s="406"/>
      <c r="F100" s="406"/>
      <c r="G100" s="407"/>
      <c r="H100" s="406"/>
      <c r="I100" s="406"/>
      <c r="J100" s="406"/>
      <c r="K100" s="406"/>
      <c r="L100" s="406"/>
      <c r="M100" s="406"/>
      <c r="N100" s="406"/>
      <c r="O100" s="406"/>
      <c r="P100" s="406"/>
      <c r="Q100" s="406"/>
      <c r="R100" s="406"/>
      <c r="S100" s="406"/>
      <c r="T100" s="406"/>
      <c r="U100" s="406"/>
      <c r="V100" s="406"/>
      <c r="W100" s="406"/>
      <c r="X100" s="406"/>
      <c r="Y100" s="406"/>
      <c r="Z100" s="406"/>
    </row>
    <row r="101">
      <c r="A101" s="406"/>
      <c r="B101" s="406"/>
      <c r="C101" s="406"/>
      <c r="D101" s="406"/>
      <c r="E101" s="406"/>
      <c r="F101" s="406"/>
      <c r="G101" s="407"/>
      <c r="H101" s="406"/>
      <c r="I101" s="406"/>
      <c r="J101" s="406"/>
      <c r="K101" s="406"/>
      <c r="L101" s="406"/>
      <c r="M101" s="406"/>
      <c r="N101" s="406"/>
      <c r="O101" s="406"/>
      <c r="P101" s="406"/>
      <c r="Q101" s="406"/>
      <c r="R101" s="406"/>
      <c r="S101" s="406"/>
      <c r="T101" s="406"/>
      <c r="U101" s="406"/>
      <c r="V101" s="406"/>
      <c r="W101" s="406"/>
      <c r="X101" s="406"/>
      <c r="Y101" s="406"/>
      <c r="Z101" s="406"/>
    </row>
    <row r="102">
      <c r="A102" s="406"/>
      <c r="B102" s="406"/>
      <c r="C102" s="406"/>
      <c r="D102" s="406"/>
      <c r="E102" s="406"/>
      <c r="F102" s="406"/>
      <c r="G102" s="407"/>
      <c r="H102" s="406"/>
      <c r="I102" s="406"/>
      <c r="J102" s="406"/>
      <c r="K102" s="406"/>
      <c r="L102" s="406"/>
      <c r="M102" s="406"/>
      <c r="N102" s="406"/>
      <c r="O102" s="406"/>
      <c r="P102" s="406"/>
      <c r="Q102" s="406"/>
      <c r="R102" s="406"/>
      <c r="S102" s="406"/>
      <c r="T102" s="406"/>
      <c r="U102" s="406"/>
      <c r="V102" s="406"/>
      <c r="W102" s="406"/>
      <c r="X102" s="406"/>
      <c r="Y102" s="406"/>
      <c r="Z102" s="406"/>
    </row>
    <row r="103">
      <c r="A103" s="406"/>
      <c r="B103" s="406"/>
      <c r="C103" s="406"/>
      <c r="D103" s="406"/>
      <c r="E103" s="406"/>
      <c r="F103" s="406"/>
      <c r="G103" s="407"/>
      <c r="H103" s="406"/>
      <c r="I103" s="406"/>
      <c r="J103" s="406"/>
      <c r="K103" s="406"/>
      <c r="L103" s="406"/>
      <c r="M103" s="406"/>
      <c r="N103" s="406"/>
      <c r="O103" s="406"/>
      <c r="P103" s="406"/>
      <c r="Q103" s="406"/>
      <c r="R103" s="406"/>
      <c r="S103" s="406"/>
      <c r="T103" s="406"/>
      <c r="U103" s="406"/>
      <c r="V103" s="406"/>
      <c r="W103" s="406"/>
      <c r="X103" s="406"/>
      <c r="Y103" s="406"/>
      <c r="Z103" s="406"/>
    </row>
    <row r="104">
      <c r="A104" s="406"/>
      <c r="B104" s="406"/>
      <c r="C104" s="406"/>
      <c r="D104" s="406"/>
      <c r="E104" s="406"/>
      <c r="F104" s="406"/>
      <c r="G104" s="407"/>
      <c r="H104" s="406"/>
      <c r="I104" s="406"/>
      <c r="J104" s="406"/>
      <c r="K104" s="406"/>
      <c r="L104" s="406"/>
      <c r="M104" s="406"/>
      <c r="N104" s="406"/>
      <c r="O104" s="406"/>
      <c r="P104" s="406"/>
      <c r="Q104" s="406"/>
      <c r="R104" s="406"/>
      <c r="S104" s="406"/>
      <c r="T104" s="406"/>
      <c r="U104" s="406"/>
      <c r="V104" s="406"/>
      <c r="W104" s="406"/>
      <c r="X104" s="406"/>
      <c r="Y104" s="406"/>
      <c r="Z104" s="406"/>
    </row>
    <row r="105">
      <c r="A105" s="406"/>
      <c r="B105" s="406"/>
      <c r="C105" s="406"/>
      <c r="D105" s="406"/>
      <c r="E105" s="406"/>
      <c r="F105" s="406"/>
      <c r="G105" s="407"/>
      <c r="H105" s="406"/>
      <c r="I105" s="406"/>
      <c r="J105" s="406"/>
      <c r="K105" s="406"/>
      <c r="L105" s="406"/>
      <c r="M105" s="406"/>
      <c r="N105" s="406"/>
      <c r="O105" s="406"/>
      <c r="P105" s="406"/>
      <c r="Q105" s="406"/>
      <c r="R105" s="406"/>
      <c r="S105" s="406"/>
      <c r="T105" s="406"/>
      <c r="U105" s="406"/>
      <c r="V105" s="406"/>
      <c r="W105" s="406"/>
      <c r="X105" s="406"/>
      <c r="Y105" s="406"/>
      <c r="Z105" s="406"/>
    </row>
    <row r="106">
      <c r="A106" s="406"/>
      <c r="B106" s="406"/>
      <c r="C106" s="406"/>
      <c r="D106" s="406"/>
      <c r="E106" s="406"/>
      <c r="F106" s="406"/>
      <c r="G106" s="407"/>
      <c r="H106" s="406"/>
      <c r="I106" s="406"/>
      <c r="J106" s="406"/>
      <c r="K106" s="406"/>
      <c r="L106" s="406"/>
      <c r="M106" s="406"/>
      <c r="N106" s="406"/>
      <c r="O106" s="406"/>
      <c r="P106" s="406"/>
      <c r="Q106" s="406"/>
      <c r="R106" s="406"/>
      <c r="S106" s="406"/>
      <c r="T106" s="406"/>
      <c r="U106" s="406"/>
      <c r="V106" s="406"/>
      <c r="W106" s="406"/>
      <c r="X106" s="406"/>
      <c r="Y106" s="406"/>
      <c r="Z106" s="406"/>
    </row>
    <row r="107">
      <c r="A107" s="406"/>
      <c r="B107" s="406"/>
      <c r="C107" s="406"/>
      <c r="D107" s="406"/>
      <c r="E107" s="406"/>
      <c r="F107" s="406"/>
      <c r="G107" s="407"/>
      <c r="H107" s="406"/>
      <c r="I107" s="406"/>
      <c r="J107" s="406"/>
      <c r="K107" s="406"/>
      <c r="L107" s="406"/>
      <c r="M107" s="406"/>
      <c r="N107" s="406"/>
      <c r="O107" s="406"/>
      <c r="P107" s="406"/>
      <c r="Q107" s="406"/>
      <c r="R107" s="406"/>
      <c r="S107" s="406"/>
      <c r="T107" s="406"/>
      <c r="U107" s="406"/>
      <c r="V107" s="406"/>
      <c r="W107" s="406"/>
      <c r="X107" s="406"/>
      <c r="Y107" s="406"/>
      <c r="Z107" s="406"/>
    </row>
    <row r="108">
      <c r="A108" s="406"/>
      <c r="B108" s="406"/>
      <c r="C108" s="406"/>
      <c r="D108" s="406"/>
      <c r="E108" s="406"/>
      <c r="F108" s="406"/>
      <c r="G108" s="407"/>
      <c r="H108" s="406"/>
      <c r="I108" s="406"/>
      <c r="J108" s="406"/>
      <c r="K108" s="406"/>
      <c r="L108" s="406"/>
      <c r="M108" s="406"/>
      <c r="N108" s="406"/>
      <c r="O108" s="406"/>
      <c r="P108" s="406"/>
      <c r="Q108" s="406"/>
      <c r="R108" s="406"/>
      <c r="S108" s="406"/>
      <c r="T108" s="406"/>
      <c r="U108" s="406"/>
      <c r="V108" s="406"/>
      <c r="W108" s="406"/>
      <c r="X108" s="406"/>
      <c r="Y108" s="406"/>
      <c r="Z108" s="406"/>
    </row>
    <row r="109">
      <c r="A109" s="406"/>
      <c r="B109" s="406"/>
      <c r="C109" s="406"/>
      <c r="D109" s="406"/>
      <c r="E109" s="406"/>
      <c r="F109" s="406"/>
      <c r="G109" s="407"/>
      <c r="H109" s="406"/>
      <c r="I109" s="406"/>
      <c r="J109" s="406"/>
      <c r="K109" s="406"/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6"/>
      <c r="Y109" s="406"/>
      <c r="Z109" s="406"/>
    </row>
    <row r="110">
      <c r="A110" s="406"/>
      <c r="B110" s="406"/>
      <c r="C110" s="406"/>
      <c r="D110" s="406"/>
      <c r="E110" s="406"/>
      <c r="F110" s="406"/>
      <c r="G110" s="407"/>
      <c r="H110" s="406"/>
      <c r="I110" s="406"/>
      <c r="J110" s="406"/>
      <c r="K110" s="406"/>
      <c r="L110" s="406"/>
      <c r="M110" s="406"/>
      <c r="N110" s="406"/>
      <c r="O110" s="406"/>
      <c r="P110" s="406"/>
      <c r="Q110" s="406"/>
      <c r="R110" s="406"/>
      <c r="S110" s="406"/>
      <c r="T110" s="406"/>
      <c r="U110" s="406"/>
      <c r="V110" s="406"/>
      <c r="W110" s="406"/>
      <c r="X110" s="406"/>
      <c r="Y110" s="406"/>
      <c r="Z110" s="406"/>
    </row>
    <row r="111">
      <c r="A111" s="406"/>
      <c r="B111" s="406"/>
      <c r="C111" s="406"/>
      <c r="D111" s="406"/>
      <c r="E111" s="406"/>
      <c r="F111" s="406"/>
      <c r="G111" s="407"/>
      <c r="H111" s="406"/>
      <c r="I111" s="406"/>
      <c r="J111" s="406"/>
      <c r="K111" s="406"/>
      <c r="L111" s="406"/>
      <c r="M111" s="406"/>
      <c r="N111" s="406"/>
      <c r="O111" s="406"/>
      <c r="P111" s="406"/>
      <c r="Q111" s="406"/>
      <c r="R111" s="406"/>
      <c r="S111" s="406"/>
      <c r="T111" s="406"/>
      <c r="U111" s="406"/>
      <c r="V111" s="406"/>
      <c r="W111" s="406"/>
      <c r="X111" s="406"/>
      <c r="Y111" s="406"/>
      <c r="Z111" s="406"/>
    </row>
    <row r="112">
      <c r="A112" s="406"/>
      <c r="B112" s="406"/>
      <c r="C112" s="406"/>
      <c r="D112" s="406"/>
      <c r="E112" s="406"/>
      <c r="F112" s="406"/>
      <c r="G112" s="407"/>
      <c r="H112" s="406"/>
      <c r="I112" s="406"/>
      <c r="J112" s="406"/>
      <c r="K112" s="406"/>
      <c r="L112" s="406"/>
      <c r="M112" s="406"/>
      <c r="N112" s="406"/>
      <c r="O112" s="406"/>
      <c r="P112" s="406"/>
      <c r="Q112" s="406"/>
      <c r="R112" s="406"/>
      <c r="S112" s="406"/>
      <c r="T112" s="406"/>
      <c r="U112" s="406"/>
      <c r="V112" s="406"/>
      <c r="W112" s="406"/>
      <c r="X112" s="406"/>
      <c r="Y112" s="406"/>
      <c r="Z112" s="406"/>
    </row>
    <row r="113">
      <c r="A113" s="406"/>
      <c r="B113" s="406"/>
      <c r="C113" s="406"/>
      <c r="D113" s="406"/>
      <c r="E113" s="406"/>
      <c r="F113" s="406"/>
      <c r="G113" s="407"/>
      <c r="H113" s="406"/>
      <c r="I113" s="406"/>
      <c r="J113" s="406"/>
      <c r="K113" s="406"/>
      <c r="L113" s="406"/>
      <c r="M113" s="406"/>
      <c r="N113" s="406"/>
      <c r="O113" s="406"/>
      <c r="P113" s="406"/>
      <c r="Q113" s="406"/>
      <c r="R113" s="406"/>
      <c r="S113" s="406"/>
      <c r="T113" s="406"/>
      <c r="U113" s="406"/>
      <c r="V113" s="406"/>
      <c r="W113" s="406"/>
      <c r="X113" s="406"/>
      <c r="Y113" s="406"/>
      <c r="Z113" s="406"/>
    </row>
    <row r="114">
      <c r="A114" s="406"/>
      <c r="B114" s="406"/>
      <c r="C114" s="406"/>
      <c r="D114" s="406"/>
      <c r="E114" s="406"/>
      <c r="F114" s="406"/>
      <c r="G114" s="407"/>
      <c r="H114" s="406"/>
      <c r="I114" s="406"/>
      <c r="J114" s="406"/>
      <c r="K114" s="406"/>
      <c r="L114" s="406"/>
      <c r="M114" s="406"/>
      <c r="N114" s="406"/>
      <c r="O114" s="406"/>
      <c r="P114" s="406"/>
      <c r="Q114" s="406"/>
      <c r="R114" s="406"/>
      <c r="S114" s="406"/>
      <c r="T114" s="406"/>
      <c r="U114" s="406"/>
      <c r="V114" s="406"/>
      <c r="W114" s="406"/>
      <c r="X114" s="406"/>
      <c r="Y114" s="406"/>
      <c r="Z114" s="406"/>
    </row>
    <row r="115">
      <c r="A115" s="406"/>
      <c r="B115" s="406"/>
      <c r="C115" s="406"/>
      <c r="D115" s="406"/>
      <c r="E115" s="406"/>
      <c r="F115" s="406"/>
      <c r="G115" s="407"/>
      <c r="H115" s="406"/>
      <c r="I115" s="406"/>
      <c r="J115" s="406"/>
      <c r="K115" s="406"/>
      <c r="L115" s="406"/>
      <c r="M115" s="406"/>
      <c r="N115" s="406"/>
      <c r="O115" s="406"/>
      <c r="P115" s="406"/>
      <c r="Q115" s="406"/>
      <c r="R115" s="406"/>
      <c r="S115" s="406"/>
      <c r="T115" s="406"/>
      <c r="U115" s="406"/>
      <c r="V115" s="406"/>
      <c r="W115" s="406"/>
      <c r="X115" s="406"/>
      <c r="Y115" s="406"/>
      <c r="Z115" s="406"/>
    </row>
    <row r="116">
      <c r="A116" s="406"/>
      <c r="B116" s="406"/>
      <c r="C116" s="406"/>
      <c r="D116" s="406"/>
      <c r="E116" s="406"/>
      <c r="F116" s="406"/>
      <c r="G116" s="407"/>
      <c r="H116" s="406"/>
      <c r="I116" s="406"/>
      <c r="J116" s="406"/>
      <c r="K116" s="406"/>
      <c r="L116" s="406"/>
      <c r="M116" s="406"/>
      <c r="N116" s="406"/>
      <c r="O116" s="406"/>
      <c r="P116" s="406"/>
      <c r="Q116" s="406"/>
      <c r="R116" s="406"/>
      <c r="S116" s="406"/>
      <c r="T116" s="406"/>
      <c r="U116" s="406"/>
      <c r="V116" s="406"/>
      <c r="W116" s="406"/>
      <c r="X116" s="406"/>
      <c r="Y116" s="406"/>
      <c r="Z116" s="406"/>
    </row>
    <row r="117">
      <c r="A117" s="406"/>
      <c r="B117" s="406"/>
      <c r="C117" s="406"/>
      <c r="D117" s="406"/>
      <c r="E117" s="406"/>
      <c r="F117" s="406"/>
      <c r="G117" s="407"/>
      <c r="H117" s="406"/>
      <c r="I117" s="406"/>
      <c r="J117" s="406"/>
      <c r="K117" s="406"/>
      <c r="L117" s="406"/>
      <c r="M117" s="406"/>
      <c r="N117" s="406"/>
      <c r="O117" s="406"/>
      <c r="P117" s="406"/>
      <c r="Q117" s="406"/>
      <c r="R117" s="406"/>
      <c r="S117" s="406"/>
      <c r="T117" s="406"/>
      <c r="U117" s="406"/>
      <c r="V117" s="406"/>
      <c r="W117" s="406"/>
      <c r="X117" s="406"/>
      <c r="Y117" s="406"/>
      <c r="Z117" s="406"/>
    </row>
    <row r="118">
      <c r="A118" s="406"/>
      <c r="B118" s="406"/>
      <c r="C118" s="406"/>
      <c r="D118" s="406"/>
      <c r="E118" s="406"/>
      <c r="F118" s="406"/>
      <c r="G118" s="407"/>
      <c r="H118" s="406"/>
      <c r="I118" s="406"/>
      <c r="J118" s="406"/>
      <c r="K118" s="406"/>
      <c r="L118" s="406"/>
      <c r="M118" s="406"/>
      <c r="N118" s="406"/>
      <c r="O118" s="406"/>
      <c r="P118" s="406"/>
      <c r="Q118" s="406"/>
      <c r="R118" s="406"/>
      <c r="S118" s="406"/>
      <c r="T118" s="406"/>
      <c r="U118" s="406"/>
      <c r="V118" s="406"/>
      <c r="W118" s="406"/>
      <c r="X118" s="406"/>
      <c r="Y118" s="406"/>
      <c r="Z118" s="406"/>
    </row>
    <row r="119">
      <c r="A119" s="406"/>
      <c r="B119" s="406"/>
      <c r="C119" s="406"/>
      <c r="D119" s="406"/>
      <c r="E119" s="406"/>
      <c r="F119" s="406"/>
      <c r="G119" s="407"/>
      <c r="H119" s="406"/>
      <c r="I119" s="406"/>
      <c r="J119" s="406"/>
      <c r="K119" s="406"/>
      <c r="L119" s="406"/>
      <c r="M119" s="406"/>
      <c r="N119" s="406"/>
      <c r="O119" s="406"/>
      <c r="P119" s="406"/>
      <c r="Q119" s="406"/>
      <c r="R119" s="406"/>
      <c r="S119" s="406"/>
      <c r="T119" s="406"/>
      <c r="U119" s="406"/>
      <c r="V119" s="406"/>
      <c r="W119" s="406"/>
      <c r="X119" s="406"/>
      <c r="Y119" s="406"/>
      <c r="Z119" s="406"/>
    </row>
    <row r="120">
      <c r="A120" s="406"/>
      <c r="B120" s="406"/>
      <c r="C120" s="406"/>
      <c r="D120" s="406"/>
      <c r="E120" s="406"/>
      <c r="F120" s="406"/>
      <c r="G120" s="407"/>
      <c r="H120" s="406"/>
      <c r="I120" s="406"/>
      <c r="J120" s="406"/>
      <c r="K120" s="406"/>
      <c r="L120" s="406"/>
      <c r="M120" s="406"/>
      <c r="N120" s="406"/>
      <c r="O120" s="406"/>
      <c r="P120" s="406"/>
      <c r="Q120" s="406"/>
      <c r="R120" s="406"/>
      <c r="S120" s="406"/>
      <c r="T120" s="406"/>
      <c r="U120" s="406"/>
      <c r="V120" s="406"/>
      <c r="W120" s="406"/>
      <c r="X120" s="406"/>
      <c r="Y120" s="406"/>
      <c r="Z120" s="406"/>
    </row>
    <row r="121">
      <c r="A121" s="406"/>
      <c r="B121" s="406"/>
      <c r="C121" s="406"/>
      <c r="D121" s="406"/>
      <c r="E121" s="406"/>
      <c r="F121" s="406"/>
      <c r="G121" s="407"/>
      <c r="H121" s="406"/>
      <c r="I121" s="406"/>
      <c r="J121" s="406"/>
      <c r="K121" s="406"/>
      <c r="L121" s="406"/>
      <c r="M121" s="406"/>
      <c r="N121" s="406"/>
      <c r="O121" s="406"/>
      <c r="P121" s="406"/>
      <c r="Q121" s="406"/>
      <c r="R121" s="406"/>
      <c r="S121" s="406"/>
      <c r="T121" s="406"/>
      <c r="U121" s="406"/>
      <c r="V121" s="406"/>
      <c r="W121" s="406"/>
      <c r="X121" s="406"/>
      <c r="Y121" s="406"/>
      <c r="Z121" s="406"/>
    </row>
    <row r="122">
      <c r="A122" s="406"/>
      <c r="B122" s="406"/>
      <c r="C122" s="406"/>
      <c r="D122" s="406"/>
      <c r="E122" s="406"/>
      <c r="F122" s="406"/>
      <c r="G122" s="407"/>
      <c r="H122" s="406"/>
      <c r="I122" s="406"/>
      <c r="J122" s="406"/>
      <c r="K122" s="406"/>
      <c r="L122" s="406"/>
      <c r="M122" s="406"/>
      <c r="N122" s="406"/>
      <c r="O122" s="406"/>
      <c r="P122" s="406"/>
      <c r="Q122" s="406"/>
      <c r="R122" s="406"/>
      <c r="S122" s="406"/>
      <c r="T122" s="406"/>
      <c r="U122" s="406"/>
      <c r="V122" s="406"/>
      <c r="W122" s="406"/>
      <c r="X122" s="406"/>
      <c r="Y122" s="406"/>
      <c r="Z122" s="406"/>
    </row>
    <row r="123">
      <c r="A123" s="406"/>
      <c r="B123" s="406"/>
      <c r="C123" s="406"/>
      <c r="D123" s="406"/>
      <c r="E123" s="406"/>
      <c r="F123" s="406"/>
      <c r="G123" s="407"/>
      <c r="H123" s="406"/>
      <c r="I123" s="406"/>
      <c r="J123" s="406"/>
      <c r="K123" s="406"/>
      <c r="L123" s="406"/>
      <c r="M123" s="406"/>
      <c r="N123" s="406"/>
      <c r="O123" s="406"/>
      <c r="P123" s="406"/>
      <c r="Q123" s="406"/>
      <c r="R123" s="406"/>
      <c r="S123" s="406"/>
      <c r="T123" s="406"/>
      <c r="U123" s="406"/>
      <c r="V123" s="406"/>
      <c r="W123" s="406"/>
      <c r="X123" s="406"/>
      <c r="Y123" s="406"/>
      <c r="Z123" s="406"/>
    </row>
    <row r="124">
      <c r="A124" s="406"/>
      <c r="B124" s="406"/>
      <c r="C124" s="406"/>
      <c r="D124" s="406"/>
      <c r="E124" s="406"/>
      <c r="F124" s="406"/>
      <c r="G124" s="407"/>
      <c r="H124" s="406"/>
      <c r="I124" s="406"/>
      <c r="J124" s="406"/>
      <c r="K124" s="406"/>
      <c r="L124" s="406"/>
      <c r="M124" s="406"/>
      <c r="N124" s="406"/>
      <c r="O124" s="406"/>
      <c r="P124" s="406"/>
      <c r="Q124" s="406"/>
      <c r="R124" s="406"/>
      <c r="S124" s="406"/>
      <c r="T124" s="406"/>
      <c r="U124" s="406"/>
      <c r="V124" s="406"/>
      <c r="W124" s="406"/>
      <c r="X124" s="406"/>
      <c r="Y124" s="406"/>
      <c r="Z124" s="406"/>
    </row>
    <row r="125">
      <c r="A125" s="406"/>
      <c r="B125" s="406"/>
      <c r="C125" s="406"/>
      <c r="D125" s="406"/>
      <c r="E125" s="406"/>
      <c r="F125" s="406"/>
      <c r="G125" s="407"/>
      <c r="H125" s="406"/>
      <c r="I125" s="406"/>
      <c r="J125" s="406"/>
      <c r="K125" s="406"/>
      <c r="L125" s="406"/>
      <c r="M125" s="406"/>
      <c r="N125" s="406"/>
      <c r="O125" s="406"/>
      <c r="P125" s="406"/>
      <c r="Q125" s="406"/>
      <c r="R125" s="406"/>
      <c r="S125" s="406"/>
      <c r="T125" s="406"/>
      <c r="U125" s="406"/>
      <c r="V125" s="406"/>
      <c r="W125" s="406"/>
      <c r="X125" s="406"/>
      <c r="Y125" s="406"/>
      <c r="Z125" s="406"/>
    </row>
    <row r="126">
      <c r="A126" s="406"/>
      <c r="B126" s="406"/>
      <c r="C126" s="406"/>
      <c r="D126" s="406"/>
      <c r="E126" s="406"/>
      <c r="F126" s="406"/>
      <c r="G126" s="407"/>
      <c r="H126" s="406"/>
      <c r="I126" s="406"/>
      <c r="J126" s="406"/>
      <c r="K126" s="406"/>
      <c r="L126" s="406"/>
      <c r="M126" s="406"/>
      <c r="N126" s="406"/>
      <c r="O126" s="406"/>
      <c r="P126" s="406"/>
      <c r="Q126" s="406"/>
      <c r="R126" s="406"/>
      <c r="S126" s="406"/>
      <c r="T126" s="406"/>
      <c r="U126" s="406"/>
      <c r="V126" s="406"/>
      <c r="W126" s="406"/>
      <c r="X126" s="406"/>
      <c r="Y126" s="406"/>
      <c r="Z126" s="406"/>
    </row>
    <row r="127">
      <c r="A127" s="406"/>
      <c r="B127" s="406"/>
      <c r="C127" s="406"/>
      <c r="D127" s="406"/>
      <c r="E127" s="406"/>
      <c r="F127" s="406"/>
      <c r="G127" s="407"/>
      <c r="H127" s="406"/>
      <c r="I127" s="406"/>
      <c r="J127" s="406"/>
      <c r="K127" s="406"/>
      <c r="L127" s="406"/>
      <c r="M127" s="406"/>
      <c r="N127" s="406"/>
      <c r="O127" s="406"/>
      <c r="P127" s="406"/>
      <c r="Q127" s="406"/>
      <c r="R127" s="406"/>
      <c r="S127" s="406"/>
      <c r="T127" s="406"/>
      <c r="U127" s="406"/>
      <c r="V127" s="406"/>
      <c r="W127" s="406"/>
      <c r="X127" s="406"/>
      <c r="Y127" s="406"/>
      <c r="Z127" s="406"/>
    </row>
    <row r="128">
      <c r="A128" s="406"/>
      <c r="B128" s="406"/>
      <c r="C128" s="406"/>
      <c r="D128" s="406"/>
      <c r="E128" s="406"/>
      <c r="F128" s="406"/>
      <c r="G128" s="407"/>
      <c r="H128" s="406"/>
      <c r="I128" s="406"/>
      <c r="J128" s="406"/>
      <c r="K128" s="406"/>
      <c r="L128" s="406"/>
      <c r="M128" s="406"/>
      <c r="N128" s="406"/>
      <c r="O128" s="406"/>
      <c r="P128" s="406"/>
      <c r="Q128" s="406"/>
      <c r="R128" s="406"/>
      <c r="S128" s="406"/>
      <c r="T128" s="406"/>
      <c r="U128" s="406"/>
      <c r="V128" s="406"/>
      <c r="W128" s="406"/>
      <c r="X128" s="406"/>
      <c r="Y128" s="406"/>
      <c r="Z128" s="406"/>
    </row>
    <row r="129">
      <c r="A129" s="406"/>
      <c r="B129" s="406"/>
      <c r="C129" s="406"/>
      <c r="D129" s="406"/>
      <c r="E129" s="406"/>
      <c r="F129" s="406"/>
      <c r="G129" s="407"/>
      <c r="H129" s="406"/>
      <c r="I129" s="406"/>
      <c r="J129" s="406"/>
      <c r="K129" s="406"/>
      <c r="L129" s="406"/>
      <c r="M129" s="406"/>
      <c r="N129" s="406"/>
      <c r="O129" s="406"/>
      <c r="P129" s="406"/>
      <c r="Q129" s="406"/>
      <c r="R129" s="406"/>
      <c r="S129" s="406"/>
      <c r="T129" s="406"/>
      <c r="U129" s="406"/>
      <c r="V129" s="406"/>
      <c r="W129" s="406"/>
      <c r="X129" s="406"/>
      <c r="Y129" s="406"/>
      <c r="Z129" s="406"/>
    </row>
    <row r="130">
      <c r="A130" s="406"/>
      <c r="B130" s="406"/>
      <c r="C130" s="406"/>
      <c r="D130" s="406"/>
      <c r="E130" s="406"/>
      <c r="F130" s="406"/>
      <c r="G130" s="407"/>
      <c r="H130" s="406"/>
      <c r="I130" s="406"/>
      <c r="J130" s="406"/>
      <c r="K130" s="406"/>
      <c r="L130" s="406"/>
      <c r="M130" s="406"/>
      <c r="N130" s="406"/>
      <c r="O130" s="406"/>
      <c r="P130" s="406"/>
      <c r="Q130" s="406"/>
      <c r="R130" s="406"/>
      <c r="S130" s="406"/>
      <c r="T130" s="406"/>
      <c r="U130" s="406"/>
      <c r="V130" s="406"/>
      <c r="W130" s="406"/>
      <c r="X130" s="406"/>
      <c r="Y130" s="406"/>
      <c r="Z130" s="406"/>
    </row>
    <row r="131">
      <c r="A131" s="406"/>
      <c r="B131" s="406"/>
      <c r="C131" s="406"/>
      <c r="D131" s="406"/>
      <c r="E131" s="406"/>
      <c r="F131" s="406"/>
      <c r="G131" s="407"/>
      <c r="H131" s="406"/>
      <c r="I131" s="406"/>
      <c r="J131" s="406"/>
      <c r="K131" s="406"/>
      <c r="L131" s="406"/>
      <c r="M131" s="406"/>
      <c r="N131" s="406"/>
      <c r="O131" s="406"/>
      <c r="P131" s="406"/>
      <c r="Q131" s="406"/>
      <c r="R131" s="406"/>
      <c r="S131" s="406"/>
      <c r="T131" s="406"/>
      <c r="U131" s="406"/>
      <c r="V131" s="406"/>
      <c r="W131" s="406"/>
      <c r="X131" s="406"/>
      <c r="Y131" s="406"/>
      <c r="Z131" s="406"/>
    </row>
    <row r="132">
      <c r="A132" s="406"/>
      <c r="B132" s="406"/>
      <c r="C132" s="406"/>
      <c r="D132" s="406"/>
      <c r="E132" s="406"/>
      <c r="F132" s="406"/>
      <c r="G132" s="407"/>
      <c r="H132" s="406"/>
      <c r="I132" s="406"/>
      <c r="J132" s="406"/>
      <c r="K132" s="406"/>
      <c r="L132" s="406"/>
      <c r="M132" s="406"/>
      <c r="N132" s="406"/>
      <c r="O132" s="406"/>
      <c r="P132" s="406"/>
      <c r="Q132" s="406"/>
      <c r="R132" s="406"/>
      <c r="S132" s="406"/>
      <c r="T132" s="406"/>
      <c r="U132" s="406"/>
      <c r="V132" s="406"/>
      <c r="W132" s="406"/>
      <c r="X132" s="406"/>
      <c r="Y132" s="406"/>
      <c r="Z132" s="406"/>
    </row>
    <row r="133">
      <c r="A133" s="406"/>
      <c r="B133" s="406"/>
      <c r="C133" s="406"/>
      <c r="D133" s="406"/>
      <c r="E133" s="406"/>
      <c r="F133" s="406"/>
      <c r="G133" s="407"/>
      <c r="H133" s="406"/>
      <c r="I133" s="406"/>
      <c r="J133" s="406"/>
      <c r="K133" s="406"/>
      <c r="L133" s="406"/>
      <c r="M133" s="406"/>
      <c r="N133" s="406"/>
      <c r="O133" s="406"/>
      <c r="P133" s="406"/>
      <c r="Q133" s="406"/>
      <c r="R133" s="406"/>
      <c r="S133" s="406"/>
      <c r="T133" s="406"/>
      <c r="U133" s="406"/>
      <c r="V133" s="406"/>
      <c r="W133" s="406"/>
      <c r="X133" s="406"/>
      <c r="Y133" s="406"/>
      <c r="Z133" s="406"/>
    </row>
    <row r="134">
      <c r="A134" s="406"/>
      <c r="B134" s="406"/>
      <c r="C134" s="406"/>
      <c r="D134" s="406"/>
      <c r="E134" s="406"/>
      <c r="F134" s="406"/>
      <c r="G134" s="407"/>
      <c r="H134" s="406"/>
      <c r="I134" s="406"/>
      <c r="J134" s="406"/>
      <c r="K134" s="406"/>
      <c r="L134" s="406"/>
      <c r="M134" s="406"/>
      <c r="N134" s="406"/>
      <c r="O134" s="406"/>
      <c r="P134" s="406"/>
      <c r="Q134" s="406"/>
      <c r="R134" s="406"/>
      <c r="S134" s="406"/>
      <c r="T134" s="406"/>
      <c r="U134" s="406"/>
      <c r="V134" s="406"/>
      <c r="W134" s="406"/>
      <c r="X134" s="406"/>
      <c r="Y134" s="406"/>
      <c r="Z134" s="406"/>
    </row>
    <row r="135">
      <c r="A135" s="406"/>
      <c r="B135" s="406"/>
      <c r="C135" s="406"/>
      <c r="D135" s="406"/>
      <c r="E135" s="406"/>
      <c r="F135" s="406"/>
      <c r="G135" s="407"/>
      <c r="H135" s="406"/>
      <c r="I135" s="406"/>
      <c r="J135" s="406"/>
      <c r="K135" s="406"/>
      <c r="L135" s="406"/>
      <c r="M135" s="406"/>
      <c r="N135" s="406"/>
      <c r="O135" s="406"/>
      <c r="P135" s="406"/>
      <c r="Q135" s="406"/>
      <c r="R135" s="406"/>
      <c r="S135" s="406"/>
      <c r="T135" s="406"/>
      <c r="U135" s="406"/>
      <c r="V135" s="406"/>
      <c r="W135" s="406"/>
      <c r="X135" s="406"/>
      <c r="Y135" s="406"/>
      <c r="Z135" s="406"/>
    </row>
    <row r="136">
      <c r="A136" s="406"/>
      <c r="B136" s="406"/>
      <c r="C136" s="406"/>
      <c r="D136" s="406"/>
      <c r="E136" s="406"/>
      <c r="F136" s="406"/>
      <c r="G136" s="407"/>
      <c r="H136" s="406"/>
      <c r="I136" s="406"/>
      <c r="J136" s="406"/>
      <c r="K136" s="406"/>
      <c r="L136" s="406"/>
      <c r="M136" s="406"/>
      <c r="N136" s="406"/>
      <c r="O136" s="406"/>
      <c r="P136" s="406"/>
      <c r="Q136" s="406"/>
      <c r="R136" s="406"/>
      <c r="S136" s="406"/>
      <c r="T136" s="406"/>
      <c r="U136" s="406"/>
      <c r="V136" s="406"/>
      <c r="W136" s="406"/>
      <c r="X136" s="406"/>
      <c r="Y136" s="406"/>
      <c r="Z136" s="406"/>
    </row>
    <row r="137">
      <c r="A137" s="406"/>
      <c r="B137" s="406"/>
      <c r="C137" s="406"/>
      <c r="D137" s="406"/>
      <c r="E137" s="406"/>
      <c r="F137" s="406"/>
      <c r="G137" s="407"/>
      <c r="H137" s="406"/>
      <c r="I137" s="406"/>
      <c r="J137" s="406"/>
      <c r="K137" s="406"/>
      <c r="L137" s="406"/>
      <c r="M137" s="406"/>
      <c r="N137" s="406"/>
      <c r="O137" s="406"/>
      <c r="P137" s="406"/>
      <c r="Q137" s="406"/>
      <c r="R137" s="406"/>
      <c r="S137" s="406"/>
      <c r="T137" s="406"/>
      <c r="U137" s="406"/>
      <c r="V137" s="406"/>
      <c r="W137" s="406"/>
      <c r="X137" s="406"/>
      <c r="Y137" s="406"/>
      <c r="Z137" s="406"/>
    </row>
    <row r="138">
      <c r="A138" s="406"/>
      <c r="B138" s="406"/>
      <c r="C138" s="406"/>
      <c r="D138" s="406"/>
      <c r="E138" s="406"/>
      <c r="F138" s="406"/>
      <c r="G138" s="407"/>
      <c r="H138" s="406"/>
      <c r="I138" s="406"/>
      <c r="J138" s="406"/>
      <c r="K138" s="406"/>
      <c r="L138" s="406"/>
      <c r="M138" s="406"/>
      <c r="N138" s="406"/>
      <c r="O138" s="406"/>
      <c r="P138" s="406"/>
      <c r="Q138" s="406"/>
      <c r="R138" s="406"/>
      <c r="S138" s="406"/>
      <c r="T138" s="406"/>
      <c r="U138" s="406"/>
      <c r="V138" s="406"/>
      <c r="W138" s="406"/>
      <c r="X138" s="406"/>
      <c r="Y138" s="406"/>
      <c r="Z138" s="406"/>
    </row>
    <row r="139">
      <c r="A139" s="406"/>
      <c r="B139" s="406"/>
      <c r="C139" s="406"/>
      <c r="D139" s="406"/>
      <c r="E139" s="406"/>
      <c r="F139" s="406"/>
      <c r="G139" s="407"/>
      <c r="H139" s="406"/>
      <c r="I139" s="406"/>
      <c r="J139" s="406"/>
      <c r="K139" s="406"/>
      <c r="L139" s="406"/>
      <c r="M139" s="406"/>
      <c r="N139" s="406"/>
      <c r="O139" s="406"/>
      <c r="P139" s="406"/>
      <c r="Q139" s="406"/>
      <c r="R139" s="406"/>
      <c r="S139" s="406"/>
      <c r="T139" s="406"/>
      <c r="U139" s="406"/>
      <c r="V139" s="406"/>
      <c r="W139" s="406"/>
      <c r="X139" s="406"/>
      <c r="Y139" s="406"/>
      <c r="Z139" s="406"/>
    </row>
    <row r="140">
      <c r="A140" s="406"/>
      <c r="B140" s="406"/>
      <c r="C140" s="406"/>
      <c r="D140" s="406"/>
      <c r="E140" s="406"/>
      <c r="F140" s="406"/>
      <c r="G140" s="407"/>
      <c r="H140" s="406"/>
      <c r="I140" s="406"/>
      <c r="J140" s="406"/>
      <c r="K140" s="406"/>
      <c r="L140" s="406"/>
      <c r="M140" s="406"/>
      <c r="N140" s="406"/>
      <c r="O140" s="406"/>
      <c r="P140" s="406"/>
      <c r="Q140" s="406"/>
      <c r="R140" s="406"/>
      <c r="S140" s="406"/>
      <c r="T140" s="406"/>
      <c r="U140" s="406"/>
      <c r="V140" s="406"/>
      <c r="W140" s="406"/>
      <c r="X140" s="406"/>
      <c r="Y140" s="406"/>
      <c r="Z140" s="406"/>
    </row>
    <row r="141">
      <c r="A141" s="406"/>
      <c r="B141" s="406"/>
      <c r="C141" s="406"/>
      <c r="D141" s="406"/>
      <c r="E141" s="406"/>
      <c r="F141" s="406"/>
      <c r="G141" s="407"/>
      <c r="H141" s="406"/>
      <c r="I141" s="406"/>
      <c r="J141" s="406"/>
      <c r="K141" s="406"/>
      <c r="L141" s="406"/>
      <c r="M141" s="406"/>
      <c r="N141" s="406"/>
      <c r="O141" s="406"/>
      <c r="P141" s="406"/>
      <c r="Q141" s="406"/>
      <c r="R141" s="406"/>
      <c r="S141" s="406"/>
      <c r="T141" s="406"/>
      <c r="U141" s="406"/>
      <c r="V141" s="406"/>
      <c r="W141" s="406"/>
      <c r="X141" s="406"/>
      <c r="Y141" s="406"/>
      <c r="Z141" s="406"/>
    </row>
    <row r="142">
      <c r="A142" s="406"/>
      <c r="B142" s="406"/>
      <c r="C142" s="406"/>
      <c r="D142" s="406"/>
      <c r="E142" s="406"/>
      <c r="F142" s="406"/>
      <c r="G142" s="407"/>
      <c r="H142" s="406"/>
      <c r="I142" s="406"/>
      <c r="J142" s="406"/>
      <c r="K142" s="406"/>
      <c r="L142" s="406"/>
      <c r="M142" s="406"/>
      <c r="N142" s="406"/>
      <c r="O142" s="406"/>
      <c r="P142" s="406"/>
      <c r="Q142" s="406"/>
      <c r="R142" s="406"/>
      <c r="S142" s="406"/>
      <c r="T142" s="406"/>
      <c r="U142" s="406"/>
      <c r="V142" s="406"/>
      <c r="W142" s="406"/>
      <c r="X142" s="406"/>
      <c r="Y142" s="406"/>
      <c r="Z142" s="406"/>
    </row>
    <row r="143">
      <c r="A143" s="406"/>
      <c r="B143" s="406"/>
      <c r="C143" s="406"/>
      <c r="D143" s="406"/>
      <c r="E143" s="406"/>
      <c r="F143" s="406"/>
      <c r="G143" s="407"/>
      <c r="H143" s="406"/>
      <c r="I143" s="406"/>
      <c r="J143" s="406"/>
      <c r="K143" s="406"/>
      <c r="L143" s="406"/>
      <c r="M143" s="406"/>
      <c r="N143" s="406"/>
      <c r="O143" s="406"/>
      <c r="P143" s="406"/>
      <c r="Q143" s="406"/>
      <c r="R143" s="406"/>
      <c r="S143" s="406"/>
      <c r="T143" s="406"/>
      <c r="U143" s="406"/>
      <c r="V143" s="406"/>
      <c r="W143" s="406"/>
      <c r="X143" s="406"/>
      <c r="Y143" s="406"/>
      <c r="Z143" s="406"/>
    </row>
    <row r="144">
      <c r="A144" s="406"/>
      <c r="B144" s="406"/>
      <c r="C144" s="406"/>
      <c r="D144" s="406"/>
      <c r="E144" s="406"/>
      <c r="F144" s="406"/>
      <c r="G144" s="407"/>
      <c r="H144" s="406"/>
      <c r="I144" s="406"/>
      <c r="J144" s="406"/>
      <c r="K144" s="406"/>
      <c r="L144" s="406"/>
      <c r="M144" s="406"/>
      <c r="N144" s="406"/>
      <c r="O144" s="406"/>
      <c r="P144" s="406"/>
      <c r="Q144" s="406"/>
      <c r="R144" s="406"/>
      <c r="S144" s="406"/>
      <c r="T144" s="406"/>
      <c r="U144" s="406"/>
      <c r="V144" s="406"/>
      <c r="W144" s="406"/>
      <c r="X144" s="406"/>
      <c r="Y144" s="406"/>
      <c r="Z144" s="406"/>
    </row>
    <row r="145">
      <c r="A145" s="406"/>
      <c r="B145" s="406"/>
      <c r="C145" s="406"/>
      <c r="D145" s="406"/>
      <c r="E145" s="406"/>
      <c r="F145" s="406"/>
      <c r="G145" s="407"/>
      <c r="H145" s="406"/>
      <c r="I145" s="406"/>
      <c r="J145" s="406"/>
      <c r="K145" s="406"/>
      <c r="L145" s="406"/>
      <c r="M145" s="406"/>
      <c r="N145" s="406"/>
      <c r="O145" s="406"/>
      <c r="P145" s="406"/>
      <c r="Q145" s="406"/>
      <c r="R145" s="406"/>
      <c r="S145" s="406"/>
      <c r="T145" s="406"/>
      <c r="U145" s="406"/>
      <c r="V145" s="406"/>
      <c r="W145" s="406"/>
      <c r="X145" s="406"/>
      <c r="Y145" s="406"/>
      <c r="Z145" s="406"/>
    </row>
    <row r="146">
      <c r="A146" s="406"/>
      <c r="B146" s="406"/>
      <c r="C146" s="406"/>
      <c r="D146" s="406"/>
      <c r="E146" s="406"/>
      <c r="F146" s="406"/>
      <c r="G146" s="407"/>
      <c r="H146" s="406"/>
      <c r="I146" s="406"/>
      <c r="J146" s="406"/>
      <c r="K146" s="406"/>
      <c r="L146" s="406"/>
      <c r="M146" s="406"/>
      <c r="N146" s="406"/>
      <c r="O146" s="406"/>
      <c r="P146" s="406"/>
      <c r="Q146" s="406"/>
      <c r="R146" s="406"/>
      <c r="S146" s="406"/>
      <c r="T146" s="406"/>
      <c r="U146" s="406"/>
      <c r="V146" s="406"/>
      <c r="W146" s="406"/>
      <c r="X146" s="406"/>
      <c r="Y146" s="406"/>
      <c r="Z146" s="406"/>
    </row>
    <row r="147">
      <c r="A147" s="406"/>
      <c r="B147" s="406"/>
      <c r="C147" s="406"/>
      <c r="D147" s="406"/>
      <c r="E147" s="406"/>
      <c r="F147" s="406"/>
      <c r="G147" s="407"/>
      <c r="H147" s="406"/>
      <c r="I147" s="406"/>
      <c r="J147" s="406"/>
      <c r="K147" s="406"/>
      <c r="L147" s="406"/>
      <c r="M147" s="406"/>
      <c r="N147" s="406"/>
      <c r="O147" s="406"/>
      <c r="P147" s="406"/>
      <c r="Q147" s="406"/>
      <c r="R147" s="406"/>
      <c r="S147" s="406"/>
      <c r="T147" s="406"/>
      <c r="U147" s="406"/>
      <c r="V147" s="406"/>
      <c r="W147" s="406"/>
      <c r="X147" s="406"/>
      <c r="Y147" s="406"/>
      <c r="Z147" s="406"/>
    </row>
    <row r="148">
      <c r="A148" s="406"/>
      <c r="B148" s="406"/>
      <c r="C148" s="406"/>
      <c r="D148" s="406"/>
      <c r="E148" s="406"/>
      <c r="F148" s="406"/>
      <c r="G148" s="407"/>
      <c r="H148" s="406"/>
      <c r="I148" s="406"/>
      <c r="J148" s="406"/>
      <c r="K148" s="406"/>
      <c r="L148" s="406"/>
      <c r="M148" s="406"/>
      <c r="N148" s="406"/>
      <c r="O148" s="406"/>
      <c r="P148" s="406"/>
      <c r="Q148" s="406"/>
      <c r="R148" s="406"/>
      <c r="S148" s="406"/>
      <c r="T148" s="406"/>
      <c r="U148" s="406"/>
      <c r="V148" s="406"/>
      <c r="W148" s="406"/>
      <c r="X148" s="406"/>
      <c r="Y148" s="406"/>
      <c r="Z148" s="406"/>
    </row>
    <row r="149">
      <c r="A149" s="406"/>
      <c r="B149" s="406"/>
      <c r="C149" s="406"/>
      <c r="D149" s="406"/>
      <c r="E149" s="406"/>
      <c r="F149" s="406"/>
      <c r="G149" s="407"/>
      <c r="H149" s="406"/>
      <c r="I149" s="406"/>
      <c r="J149" s="406"/>
      <c r="K149" s="406"/>
      <c r="L149" s="406"/>
      <c r="M149" s="406"/>
      <c r="N149" s="406"/>
      <c r="O149" s="406"/>
      <c r="P149" s="406"/>
      <c r="Q149" s="406"/>
      <c r="R149" s="406"/>
      <c r="S149" s="406"/>
      <c r="T149" s="406"/>
      <c r="U149" s="406"/>
      <c r="V149" s="406"/>
      <c r="W149" s="406"/>
      <c r="X149" s="406"/>
      <c r="Y149" s="406"/>
      <c r="Z149" s="406"/>
    </row>
    <row r="150">
      <c r="A150" s="406"/>
      <c r="B150" s="406"/>
      <c r="C150" s="406"/>
      <c r="D150" s="406"/>
      <c r="E150" s="406"/>
      <c r="F150" s="406"/>
      <c r="G150" s="407"/>
      <c r="H150" s="406"/>
      <c r="I150" s="406"/>
      <c r="J150" s="406"/>
      <c r="K150" s="406"/>
      <c r="L150" s="406"/>
      <c r="M150" s="406"/>
      <c r="N150" s="406"/>
      <c r="O150" s="406"/>
      <c r="P150" s="406"/>
      <c r="Q150" s="406"/>
      <c r="R150" s="406"/>
      <c r="S150" s="406"/>
      <c r="T150" s="406"/>
      <c r="U150" s="406"/>
      <c r="V150" s="406"/>
      <c r="W150" s="406"/>
      <c r="X150" s="406"/>
      <c r="Y150" s="406"/>
      <c r="Z150" s="406"/>
    </row>
    <row r="151">
      <c r="A151" s="406"/>
      <c r="B151" s="406"/>
      <c r="C151" s="406"/>
      <c r="D151" s="406"/>
      <c r="E151" s="406"/>
      <c r="F151" s="406"/>
      <c r="G151" s="407"/>
      <c r="H151" s="406"/>
      <c r="I151" s="406"/>
      <c r="J151" s="406"/>
      <c r="K151" s="406"/>
      <c r="L151" s="406"/>
      <c r="M151" s="406"/>
      <c r="N151" s="406"/>
      <c r="O151" s="406"/>
      <c r="P151" s="406"/>
      <c r="Q151" s="406"/>
      <c r="R151" s="406"/>
      <c r="S151" s="406"/>
      <c r="T151" s="406"/>
      <c r="U151" s="406"/>
      <c r="V151" s="406"/>
      <c r="W151" s="406"/>
      <c r="X151" s="406"/>
      <c r="Y151" s="406"/>
      <c r="Z151" s="406"/>
    </row>
    <row r="152">
      <c r="A152" s="406"/>
      <c r="B152" s="406"/>
      <c r="C152" s="406"/>
      <c r="D152" s="406"/>
      <c r="E152" s="406"/>
      <c r="F152" s="406"/>
      <c r="G152" s="407"/>
      <c r="H152" s="406"/>
      <c r="I152" s="406"/>
      <c r="J152" s="406"/>
      <c r="K152" s="406"/>
      <c r="L152" s="406"/>
      <c r="M152" s="406"/>
      <c r="N152" s="406"/>
      <c r="O152" s="406"/>
      <c r="P152" s="406"/>
      <c r="Q152" s="406"/>
      <c r="R152" s="406"/>
      <c r="S152" s="406"/>
      <c r="T152" s="406"/>
      <c r="U152" s="406"/>
      <c r="V152" s="406"/>
      <c r="W152" s="406"/>
      <c r="X152" s="406"/>
      <c r="Y152" s="406"/>
      <c r="Z152" s="406"/>
    </row>
    <row r="153">
      <c r="A153" s="406"/>
      <c r="B153" s="406"/>
      <c r="C153" s="406"/>
      <c r="D153" s="406"/>
      <c r="E153" s="406"/>
      <c r="F153" s="406"/>
      <c r="G153" s="407"/>
      <c r="H153" s="406"/>
      <c r="I153" s="406"/>
      <c r="J153" s="406"/>
      <c r="K153" s="406"/>
      <c r="L153" s="406"/>
      <c r="M153" s="406"/>
      <c r="N153" s="406"/>
      <c r="O153" s="406"/>
      <c r="P153" s="406"/>
      <c r="Q153" s="406"/>
      <c r="R153" s="406"/>
      <c r="S153" s="406"/>
      <c r="T153" s="406"/>
      <c r="U153" s="406"/>
      <c r="V153" s="406"/>
      <c r="W153" s="406"/>
      <c r="X153" s="406"/>
      <c r="Y153" s="406"/>
      <c r="Z153" s="406"/>
    </row>
    <row r="154">
      <c r="A154" s="406"/>
      <c r="B154" s="406"/>
      <c r="C154" s="406"/>
      <c r="D154" s="406"/>
      <c r="E154" s="406"/>
      <c r="F154" s="406"/>
      <c r="G154" s="407"/>
      <c r="H154" s="406"/>
      <c r="I154" s="406"/>
      <c r="J154" s="406"/>
      <c r="K154" s="406"/>
      <c r="L154" s="406"/>
      <c r="M154" s="406"/>
      <c r="N154" s="406"/>
      <c r="O154" s="406"/>
      <c r="P154" s="406"/>
      <c r="Q154" s="406"/>
      <c r="R154" s="406"/>
      <c r="S154" s="406"/>
      <c r="T154" s="406"/>
      <c r="U154" s="406"/>
      <c r="V154" s="406"/>
      <c r="W154" s="406"/>
      <c r="X154" s="406"/>
      <c r="Y154" s="406"/>
      <c r="Z154" s="406"/>
    </row>
    <row r="155">
      <c r="A155" s="406"/>
      <c r="B155" s="406"/>
      <c r="C155" s="406"/>
      <c r="D155" s="406"/>
      <c r="E155" s="406"/>
      <c r="F155" s="406"/>
      <c r="G155" s="407"/>
      <c r="H155" s="406"/>
      <c r="I155" s="406"/>
      <c r="J155" s="406"/>
      <c r="K155" s="406"/>
      <c r="L155" s="406"/>
      <c r="M155" s="406"/>
      <c r="N155" s="406"/>
      <c r="O155" s="406"/>
      <c r="P155" s="406"/>
      <c r="Q155" s="406"/>
      <c r="R155" s="406"/>
      <c r="S155" s="406"/>
      <c r="T155" s="406"/>
      <c r="U155" s="406"/>
      <c r="V155" s="406"/>
      <c r="W155" s="406"/>
      <c r="X155" s="406"/>
      <c r="Y155" s="406"/>
      <c r="Z155" s="406"/>
    </row>
    <row r="156">
      <c r="A156" s="406"/>
      <c r="B156" s="406"/>
      <c r="C156" s="406"/>
      <c r="D156" s="406"/>
      <c r="E156" s="406"/>
      <c r="F156" s="406"/>
      <c r="G156" s="407"/>
      <c r="H156" s="406"/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6"/>
      <c r="T156" s="406"/>
      <c r="U156" s="406"/>
      <c r="V156" s="406"/>
      <c r="W156" s="406"/>
      <c r="X156" s="406"/>
      <c r="Y156" s="406"/>
      <c r="Z156" s="406"/>
    </row>
    <row r="157">
      <c r="A157" s="406"/>
      <c r="B157" s="406"/>
      <c r="C157" s="406"/>
      <c r="D157" s="406"/>
      <c r="E157" s="406"/>
      <c r="F157" s="406"/>
      <c r="G157" s="407"/>
      <c r="H157" s="406"/>
      <c r="I157" s="406"/>
      <c r="J157" s="406"/>
      <c r="K157" s="406"/>
      <c r="L157" s="406"/>
      <c r="M157" s="406"/>
      <c r="N157" s="406"/>
      <c r="O157" s="406"/>
      <c r="P157" s="406"/>
      <c r="Q157" s="406"/>
      <c r="R157" s="406"/>
      <c r="S157" s="406"/>
      <c r="T157" s="406"/>
      <c r="U157" s="406"/>
      <c r="V157" s="406"/>
      <c r="W157" s="406"/>
      <c r="X157" s="406"/>
      <c r="Y157" s="406"/>
      <c r="Z157" s="406"/>
    </row>
    <row r="158">
      <c r="A158" s="406"/>
      <c r="B158" s="406"/>
      <c r="C158" s="406"/>
      <c r="D158" s="406"/>
      <c r="E158" s="406"/>
      <c r="F158" s="406"/>
      <c r="G158" s="407"/>
      <c r="H158" s="406"/>
      <c r="I158" s="406"/>
      <c r="J158" s="406"/>
      <c r="K158" s="406"/>
      <c r="L158" s="406"/>
      <c r="M158" s="406"/>
      <c r="N158" s="406"/>
      <c r="O158" s="406"/>
      <c r="P158" s="406"/>
      <c r="Q158" s="406"/>
      <c r="R158" s="406"/>
      <c r="S158" s="406"/>
      <c r="T158" s="406"/>
      <c r="U158" s="406"/>
      <c r="V158" s="406"/>
      <c r="W158" s="406"/>
      <c r="X158" s="406"/>
      <c r="Y158" s="406"/>
      <c r="Z158" s="406"/>
    </row>
    <row r="159">
      <c r="A159" s="406"/>
      <c r="B159" s="406"/>
      <c r="C159" s="406"/>
      <c r="D159" s="406"/>
      <c r="E159" s="406"/>
      <c r="F159" s="406"/>
      <c r="G159" s="407"/>
      <c r="H159" s="406"/>
      <c r="I159" s="406"/>
      <c r="J159" s="406"/>
      <c r="K159" s="406"/>
      <c r="L159" s="406"/>
      <c r="M159" s="406"/>
      <c r="N159" s="406"/>
      <c r="O159" s="406"/>
      <c r="P159" s="406"/>
      <c r="Q159" s="406"/>
      <c r="R159" s="406"/>
      <c r="S159" s="406"/>
      <c r="T159" s="406"/>
      <c r="U159" s="406"/>
      <c r="V159" s="406"/>
      <c r="W159" s="406"/>
      <c r="X159" s="406"/>
      <c r="Y159" s="406"/>
      <c r="Z159" s="406"/>
    </row>
    <row r="160">
      <c r="A160" s="406"/>
      <c r="B160" s="406"/>
      <c r="C160" s="406"/>
      <c r="D160" s="406"/>
      <c r="E160" s="406"/>
      <c r="F160" s="406"/>
      <c r="G160" s="407"/>
      <c r="H160" s="406"/>
      <c r="I160" s="406"/>
      <c r="J160" s="406"/>
      <c r="K160" s="406"/>
      <c r="L160" s="406"/>
      <c r="M160" s="406"/>
      <c r="N160" s="406"/>
      <c r="O160" s="406"/>
      <c r="P160" s="406"/>
      <c r="Q160" s="406"/>
      <c r="R160" s="406"/>
      <c r="S160" s="406"/>
      <c r="T160" s="406"/>
      <c r="U160" s="406"/>
      <c r="V160" s="406"/>
      <c r="W160" s="406"/>
      <c r="X160" s="406"/>
      <c r="Y160" s="406"/>
      <c r="Z160" s="406"/>
    </row>
    <row r="161">
      <c r="A161" s="406"/>
      <c r="B161" s="406"/>
      <c r="C161" s="406"/>
      <c r="D161" s="406"/>
      <c r="E161" s="406"/>
      <c r="F161" s="406"/>
      <c r="G161" s="407"/>
      <c r="H161" s="406"/>
      <c r="I161" s="406"/>
      <c r="J161" s="406"/>
      <c r="K161" s="406"/>
      <c r="L161" s="406"/>
      <c r="M161" s="406"/>
      <c r="N161" s="406"/>
      <c r="O161" s="406"/>
      <c r="P161" s="406"/>
      <c r="Q161" s="406"/>
      <c r="R161" s="406"/>
      <c r="S161" s="406"/>
      <c r="T161" s="406"/>
      <c r="U161" s="406"/>
      <c r="V161" s="406"/>
      <c r="W161" s="406"/>
      <c r="X161" s="406"/>
      <c r="Y161" s="406"/>
      <c r="Z161" s="406"/>
    </row>
    <row r="162">
      <c r="A162" s="406"/>
      <c r="B162" s="406"/>
      <c r="C162" s="406"/>
      <c r="D162" s="406"/>
      <c r="E162" s="406"/>
      <c r="F162" s="406"/>
      <c r="G162" s="407"/>
      <c r="H162" s="406"/>
      <c r="I162" s="406"/>
      <c r="J162" s="406"/>
      <c r="K162" s="406"/>
      <c r="L162" s="406"/>
      <c r="M162" s="406"/>
      <c r="N162" s="406"/>
      <c r="O162" s="406"/>
      <c r="P162" s="406"/>
      <c r="Q162" s="406"/>
      <c r="R162" s="406"/>
      <c r="S162" s="406"/>
      <c r="T162" s="406"/>
      <c r="U162" s="406"/>
      <c r="V162" s="406"/>
      <c r="W162" s="406"/>
      <c r="X162" s="406"/>
      <c r="Y162" s="406"/>
      <c r="Z162" s="406"/>
    </row>
    <row r="163">
      <c r="A163" s="406"/>
      <c r="B163" s="406"/>
      <c r="C163" s="406"/>
      <c r="D163" s="406"/>
      <c r="E163" s="406"/>
      <c r="F163" s="406"/>
      <c r="G163" s="407"/>
      <c r="H163" s="406"/>
      <c r="I163" s="406"/>
      <c r="J163" s="406"/>
      <c r="K163" s="406"/>
      <c r="L163" s="406"/>
      <c r="M163" s="406"/>
      <c r="N163" s="406"/>
      <c r="O163" s="406"/>
      <c r="P163" s="406"/>
      <c r="Q163" s="406"/>
      <c r="R163" s="406"/>
      <c r="S163" s="406"/>
      <c r="T163" s="406"/>
      <c r="U163" s="406"/>
      <c r="V163" s="406"/>
      <c r="W163" s="406"/>
      <c r="X163" s="406"/>
      <c r="Y163" s="406"/>
      <c r="Z163" s="406"/>
    </row>
    <row r="164">
      <c r="A164" s="406"/>
      <c r="B164" s="406"/>
      <c r="C164" s="406"/>
      <c r="D164" s="406"/>
      <c r="E164" s="406"/>
      <c r="F164" s="406"/>
      <c r="G164" s="407"/>
      <c r="H164" s="406"/>
      <c r="I164" s="406"/>
      <c r="J164" s="406"/>
      <c r="K164" s="406"/>
      <c r="L164" s="406"/>
      <c r="M164" s="406"/>
      <c r="N164" s="406"/>
      <c r="O164" s="406"/>
      <c r="P164" s="406"/>
      <c r="Q164" s="406"/>
      <c r="R164" s="406"/>
      <c r="S164" s="406"/>
      <c r="T164" s="406"/>
      <c r="U164" s="406"/>
      <c r="V164" s="406"/>
      <c r="W164" s="406"/>
      <c r="X164" s="406"/>
      <c r="Y164" s="406"/>
      <c r="Z164" s="406"/>
    </row>
    <row r="165">
      <c r="A165" s="406"/>
      <c r="B165" s="406"/>
      <c r="C165" s="406"/>
      <c r="D165" s="406"/>
      <c r="E165" s="406"/>
      <c r="F165" s="406"/>
      <c r="G165" s="407"/>
      <c r="H165" s="406"/>
      <c r="I165" s="406"/>
      <c r="J165" s="406"/>
      <c r="K165" s="406"/>
      <c r="L165" s="406"/>
      <c r="M165" s="406"/>
      <c r="N165" s="406"/>
      <c r="O165" s="406"/>
      <c r="P165" s="406"/>
      <c r="Q165" s="406"/>
      <c r="R165" s="406"/>
      <c r="S165" s="406"/>
      <c r="T165" s="406"/>
      <c r="U165" s="406"/>
      <c r="V165" s="406"/>
      <c r="W165" s="406"/>
      <c r="X165" s="406"/>
      <c r="Y165" s="406"/>
      <c r="Z165" s="406"/>
    </row>
    <row r="166">
      <c r="A166" s="406"/>
      <c r="B166" s="406"/>
      <c r="C166" s="406"/>
      <c r="D166" s="406"/>
      <c r="E166" s="406"/>
      <c r="F166" s="406"/>
      <c r="G166" s="407"/>
      <c r="H166" s="406"/>
      <c r="I166" s="406"/>
      <c r="J166" s="406"/>
      <c r="K166" s="406"/>
      <c r="L166" s="406"/>
      <c r="M166" s="406"/>
      <c r="N166" s="406"/>
      <c r="O166" s="406"/>
      <c r="P166" s="406"/>
      <c r="Q166" s="406"/>
      <c r="R166" s="406"/>
      <c r="S166" s="406"/>
      <c r="T166" s="406"/>
      <c r="U166" s="406"/>
      <c r="V166" s="406"/>
      <c r="W166" s="406"/>
      <c r="X166" s="406"/>
      <c r="Y166" s="406"/>
      <c r="Z166" s="406"/>
    </row>
    <row r="167">
      <c r="A167" s="406"/>
      <c r="B167" s="406"/>
      <c r="C167" s="406"/>
      <c r="D167" s="406"/>
      <c r="E167" s="406"/>
      <c r="F167" s="406"/>
      <c r="G167" s="407"/>
      <c r="H167" s="406"/>
      <c r="I167" s="406"/>
      <c r="J167" s="406"/>
      <c r="K167" s="406"/>
      <c r="L167" s="406"/>
      <c r="M167" s="406"/>
      <c r="N167" s="406"/>
      <c r="O167" s="406"/>
      <c r="P167" s="406"/>
      <c r="Q167" s="406"/>
      <c r="R167" s="406"/>
      <c r="S167" s="406"/>
      <c r="T167" s="406"/>
      <c r="U167" s="406"/>
      <c r="V167" s="406"/>
      <c r="W167" s="406"/>
      <c r="X167" s="406"/>
      <c r="Y167" s="406"/>
      <c r="Z167" s="406"/>
    </row>
    <row r="168">
      <c r="A168" s="406"/>
      <c r="B168" s="406"/>
      <c r="C168" s="406"/>
      <c r="D168" s="406"/>
      <c r="E168" s="406"/>
      <c r="F168" s="406"/>
      <c r="G168" s="407"/>
      <c r="H168" s="406"/>
      <c r="I168" s="406"/>
      <c r="J168" s="406"/>
      <c r="K168" s="406"/>
      <c r="L168" s="406"/>
      <c r="M168" s="406"/>
      <c r="N168" s="406"/>
      <c r="O168" s="406"/>
      <c r="P168" s="406"/>
      <c r="Q168" s="406"/>
      <c r="R168" s="406"/>
      <c r="S168" s="406"/>
      <c r="T168" s="406"/>
      <c r="U168" s="406"/>
      <c r="V168" s="406"/>
      <c r="W168" s="406"/>
      <c r="X168" s="406"/>
      <c r="Y168" s="406"/>
      <c r="Z168" s="406"/>
    </row>
    <row r="169">
      <c r="A169" s="406"/>
      <c r="B169" s="406"/>
      <c r="C169" s="406"/>
      <c r="D169" s="406"/>
      <c r="E169" s="406"/>
      <c r="F169" s="406"/>
      <c r="G169" s="407"/>
      <c r="H169" s="406"/>
      <c r="I169" s="406"/>
      <c r="J169" s="406"/>
      <c r="K169" s="406"/>
      <c r="L169" s="406"/>
      <c r="M169" s="406"/>
      <c r="N169" s="406"/>
      <c r="O169" s="406"/>
      <c r="P169" s="406"/>
      <c r="Q169" s="406"/>
      <c r="R169" s="406"/>
      <c r="S169" s="406"/>
      <c r="T169" s="406"/>
      <c r="U169" s="406"/>
      <c r="V169" s="406"/>
      <c r="W169" s="406"/>
      <c r="X169" s="406"/>
      <c r="Y169" s="406"/>
      <c r="Z169" s="406"/>
    </row>
    <row r="170">
      <c r="A170" s="406"/>
      <c r="B170" s="406"/>
      <c r="C170" s="406"/>
      <c r="D170" s="406"/>
      <c r="E170" s="406"/>
      <c r="F170" s="406"/>
      <c r="G170" s="407"/>
      <c r="H170" s="406"/>
      <c r="I170" s="406"/>
      <c r="J170" s="406"/>
      <c r="K170" s="406"/>
      <c r="L170" s="406"/>
      <c r="M170" s="406"/>
      <c r="N170" s="406"/>
      <c r="O170" s="406"/>
      <c r="P170" s="406"/>
      <c r="Q170" s="406"/>
      <c r="R170" s="406"/>
      <c r="S170" s="406"/>
      <c r="T170" s="406"/>
      <c r="U170" s="406"/>
      <c r="V170" s="406"/>
      <c r="W170" s="406"/>
      <c r="X170" s="406"/>
      <c r="Y170" s="406"/>
      <c r="Z170" s="406"/>
    </row>
    <row r="171">
      <c r="A171" s="406"/>
      <c r="B171" s="406"/>
      <c r="C171" s="406"/>
      <c r="D171" s="406"/>
      <c r="E171" s="406"/>
      <c r="F171" s="406"/>
      <c r="G171" s="407"/>
      <c r="H171" s="406"/>
      <c r="I171" s="406"/>
      <c r="J171" s="406"/>
      <c r="K171" s="406"/>
      <c r="L171" s="406"/>
      <c r="M171" s="406"/>
      <c r="N171" s="406"/>
      <c r="O171" s="406"/>
      <c r="P171" s="406"/>
      <c r="Q171" s="406"/>
      <c r="R171" s="406"/>
      <c r="S171" s="406"/>
      <c r="T171" s="406"/>
      <c r="U171" s="406"/>
      <c r="V171" s="406"/>
      <c r="W171" s="406"/>
      <c r="X171" s="406"/>
      <c r="Y171" s="406"/>
      <c r="Z171" s="406"/>
    </row>
    <row r="172">
      <c r="A172" s="406"/>
      <c r="B172" s="406"/>
      <c r="C172" s="406"/>
      <c r="D172" s="406"/>
      <c r="E172" s="406"/>
      <c r="F172" s="406"/>
      <c r="G172" s="407"/>
      <c r="H172" s="406"/>
      <c r="I172" s="406"/>
      <c r="J172" s="406"/>
      <c r="K172" s="406"/>
      <c r="L172" s="406"/>
      <c r="M172" s="406"/>
      <c r="N172" s="406"/>
      <c r="O172" s="406"/>
      <c r="P172" s="406"/>
      <c r="Q172" s="406"/>
      <c r="R172" s="406"/>
      <c r="S172" s="406"/>
      <c r="T172" s="406"/>
      <c r="U172" s="406"/>
      <c r="V172" s="406"/>
      <c r="W172" s="406"/>
      <c r="X172" s="406"/>
      <c r="Y172" s="406"/>
      <c r="Z172" s="406"/>
    </row>
    <row r="173">
      <c r="A173" s="406"/>
      <c r="B173" s="406"/>
      <c r="C173" s="406"/>
      <c r="D173" s="406"/>
      <c r="E173" s="406"/>
      <c r="F173" s="406"/>
      <c r="G173" s="407"/>
      <c r="H173" s="406"/>
      <c r="I173" s="406"/>
      <c r="J173" s="406"/>
      <c r="K173" s="406"/>
      <c r="L173" s="406"/>
      <c r="M173" s="406"/>
      <c r="N173" s="406"/>
      <c r="O173" s="406"/>
      <c r="P173" s="406"/>
      <c r="Q173" s="406"/>
      <c r="R173" s="406"/>
      <c r="S173" s="406"/>
      <c r="T173" s="406"/>
      <c r="U173" s="406"/>
      <c r="V173" s="406"/>
      <c r="W173" s="406"/>
      <c r="X173" s="406"/>
      <c r="Y173" s="406"/>
      <c r="Z173" s="406"/>
    </row>
    <row r="174">
      <c r="A174" s="406"/>
      <c r="B174" s="406"/>
      <c r="C174" s="406"/>
      <c r="D174" s="406"/>
      <c r="E174" s="406"/>
      <c r="F174" s="406"/>
      <c r="G174" s="407"/>
      <c r="H174" s="406"/>
      <c r="I174" s="406"/>
      <c r="J174" s="406"/>
      <c r="K174" s="406"/>
      <c r="L174" s="406"/>
      <c r="M174" s="406"/>
      <c r="N174" s="406"/>
      <c r="O174" s="406"/>
      <c r="P174" s="406"/>
      <c r="Q174" s="406"/>
      <c r="R174" s="406"/>
      <c r="S174" s="406"/>
      <c r="T174" s="406"/>
      <c r="U174" s="406"/>
      <c r="V174" s="406"/>
      <c r="W174" s="406"/>
      <c r="X174" s="406"/>
      <c r="Y174" s="406"/>
      <c r="Z174" s="406"/>
    </row>
    <row r="175">
      <c r="A175" s="406"/>
      <c r="B175" s="406"/>
      <c r="C175" s="406"/>
      <c r="D175" s="406"/>
      <c r="E175" s="406"/>
      <c r="F175" s="406"/>
      <c r="G175" s="407"/>
      <c r="H175" s="406"/>
      <c r="I175" s="406"/>
      <c r="J175" s="406"/>
      <c r="K175" s="406"/>
      <c r="L175" s="406"/>
      <c r="M175" s="406"/>
      <c r="N175" s="406"/>
      <c r="O175" s="406"/>
      <c r="P175" s="406"/>
      <c r="Q175" s="406"/>
      <c r="R175" s="406"/>
      <c r="S175" s="406"/>
      <c r="T175" s="406"/>
      <c r="U175" s="406"/>
      <c r="V175" s="406"/>
      <c r="W175" s="406"/>
      <c r="X175" s="406"/>
      <c r="Y175" s="406"/>
      <c r="Z175" s="406"/>
    </row>
    <row r="176">
      <c r="A176" s="406"/>
      <c r="B176" s="406"/>
      <c r="C176" s="406"/>
      <c r="D176" s="406"/>
      <c r="E176" s="406"/>
      <c r="F176" s="406"/>
      <c r="G176" s="407"/>
      <c r="H176" s="406"/>
      <c r="I176" s="406"/>
      <c r="J176" s="406"/>
      <c r="K176" s="406"/>
      <c r="L176" s="406"/>
      <c r="M176" s="406"/>
      <c r="N176" s="406"/>
      <c r="O176" s="406"/>
      <c r="P176" s="406"/>
      <c r="Q176" s="406"/>
      <c r="R176" s="406"/>
      <c r="S176" s="406"/>
      <c r="T176" s="406"/>
      <c r="U176" s="406"/>
      <c r="V176" s="406"/>
      <c r="W176" s="406"/>
      <c r="X176" s="406"/>
      <c r="Y176" s="406"/>
      <c r="Z176" s="406"/>
    </row>
    <row r="177">
      <c r="A177" s="406"/>
      <c r="B177" s="406"/>
      <c r="C177" s="406"/>
      <c r="D177" s="406"/>
      <c r="E177" s="406"/>
      <c r="F177" s="406"/>
      <c r="G177" s="407"/>
      <c r="H177" s="406"/>
      <c r="I177" s="406"/>
      <c r="J177" s="406"/>
      <c r="K177" s="406"/>
      <c r="L177" s="406"/>
      <c r="M177" s="406"/>
      <c r="N177" s="406"/>
      <c r="O177" s="406"/>
      <c r="P177" s="406"/>
      <c r="Q177" s="406"/>
      <c r="R177" s="406"/>
      <c r="S177" s="406"/>
      <c r="T177" s="406"/>
      <c r="U177" s="406"/>
      <c r="V177" s="406"/>
      <c r="W177" s="406"/>
      <c r="X177" s="406"/>
      <c r="Y177" s="406"/>
      <c r="Z177" s="406"/>
    </row>
    <row r="178">
      <c r="A178" s="406"/>
      <c r="B178" s="406"/>
      <c r="C178" s="406"/>
      <c r="D178" s="406"/>
      <c r="E178" s="406"/>
      <c r="F178" s="406"/>
      <c r="G178" s="407"/>
      <c r="H178" s="406"/>
      <c r="I178" s="406"/>
      <c r="J178" s="406"/>
      <c r="K178" s="406"/>
      <c r="L178" s="406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406"/>
    </row>
    <row r="179">
      <c r="A179" s="406"/>
      <c r="B179" s="406"/>
      <c r="C179" s="406"/>
      <c r="D179" s="406"/>
      <c r="E179" s="406"/>
      <c r="F179" s="406"/>
      <c r="G179" s="407"/>
      <c r="H179" s="406"/>
      <c r="I179" s="406"/>
      <c r="J179" s="406"/>
      <c r="K179" s="406"/>
      <c r="L179" s="406"/>
      <c r="M179" s="406"/>
      <c r="N179" s="406"/>
      <c r="O179" s="406"/>
      <c r="P179" s="406"/>
      <c r="Q179" s="406"/>
      <c r="R179" s="406"/>
      <c r="S179" s="406"/>
      <c r="T179" s="406"/>
      <c r="U179" s="406"/>
      <c r="V179" s="406"/>
      <c r="W179" s="406"/>
      <c r="X179" s="406"/>
      <c r="Y179" s="406"/>
      <c r="Z179" s="406"/>
    </row>
    <row r="180">
      <c r="A180" s="406"/>
      <c r="B180" s="406"/>
      <c r="C180" s="406"/>
      <c r="D180" s="406"/>
      <c r="E180" s="406"/>
      <c r="F180" s="406"/>
      <c r="G180" s="407"/>
      <c r="H180" s="406"/>
      <c r="I180" s="406"/>
      <c r="J180" s="406"/>
      <c r="K180" s="406"/>
      <c r="L180" s="406"/>
      <c r="M180" s="406"/>
      <c r="N180" s="406"/>
      <c r="O180" s="406"/>
      <c r="P180" s="406"/>
      <c r="Q180" s="406"/>
      <c r="R180" s="406"/>
      <c r="S180" s="406"/>
      <c r="T180" s="406"/>
      <c r="U180" s="406"/>
      <c r="V180" s="406"/>
      <c r="W180" s="406"/>
      <c r="X180" s="406"/>
      <c r="Y180" s="406"/>
      <c r="Z180" s="406"/>
    </row>
    <row r="181">
      <c r="A181" s="406"/>
      <c r="B181" s="406"/>
      <c r="C181" s="406"/>
      <c r="D181" s="406"/>
      <c r="E181" s="406"/>
      <c r="F181" s="406"/>
      <c r="G181" s="407"/>
      <c r="H181" s="406"/>
      <c r="I181" s="406"/>
      <c r="J181" s="406"/>
      <c r="K181" s="406"/>
      <c r="L181" s="406"/>
      <c r="M181" s="406"/>
      <c r="N181" s="406"/>
      <c r="O181" s="406"/>
      <c r="P181" s="406"/>
      <c r="Q181" s="406"/>
      <c r="R181" s="406"/>
      <c r="S181" s="406"/>
      <c r="T181" s="406"/>
      <c r="U181" s="406"/>
      <c r="V181" s="406"/>
      <c r="W181" s="406"/>
      <c r="X181" s="406"/>
      <c r="Y181" s="406"/>
      <c r="Z181" s="406"/>
    </row>
    <row r="182">
      <c r="A182" s="406"/>
      <c r="B182" s="406"/>
      <c r="C182" s="406"/>
      <c r="D182" s="406"/>
      <c r="E182" s="406"/>
      <c r="F182" s="406"/>
      <c r="G182" s="407"/>
      <c r="H182" s="406"/>
      <c r="I182" s="406"/>
      <c r="J182" s="406"/>
      <c r="K182" s="406"/>
      <c r="L182" s="406"/>
      <c r="M182" s="406"/>
      <c r="N182" s="406"/>
      <c r="O182" s="406"/>
      <c r="P182" s="406"/>
      <c r="Q182" s="406"/>
      <c r="R182" s="406"/>
      <c r="S182" s="406"/>
      <c r="T182" s="406"/>
      <c r="U182" s="406"/>
      <c r="V182" s="406"/>
      <c r="W182" s="406"/>
      <c r="X182" s="406"/>
      <c r="Y182" s="406"/>
      <c r="Z182" s="406"/>
    </row>
    <row r="183">
      <c r="A183" s="406"/>
      <c r="B183" s="406"/>
      <c r="C183" s="406"/>
      <c r="D183" s="406"/>
      <c r="E183" s="406"/>
      <c r="F183" s="406"/>
      <c r="G183" s="407"/>
      <c r="H183" s="406"/>
      <c r="I183" s="406"/>
      <c r="J183" s="406"/>
      <c r="K183" s="406"/>
      <c r="L183" s="406"/>
      <c r="M183" s="406"/>
      <c r="N183" s="406"/>
      <c r="O183" s="406"/>
      <c r="P183" s="406"/>
      <c r="Q183" s="406"/>
      <c r="R183" s="406"/>
      <c r="S183" s="406"/>
      <c r="T183" s="406"/>
      <c r="U183" s="406"/>
      <c r="V183" s="406"/>
      <c r="W183" s="406"/>
      <c r="X183" s="406"/>
      <c r="Y183" s="406"/>
      <c r="Z183" s="406"/>
    </row>
    <row r="184">
      <c r="A184" s="406"/>
      <c r="B184" s="406"/>
      <c r="C184" s="406"/>
      <c r="D184" s="406"/>
      <c r="E184" s="406"/>
      <c r="F184" s="406"/>
      <c r="G184" s="407"/>
      <c r="H184" s="406"/>
      <c r="I184" s="406"/>
      <c r="J184" s="406"/>
      <c r="K184" s="406"/>
      <c r="L184" s="406"/>
      <c r="M184" s="406"/>
      <c r="N184" s="406"/>
      <c r="O184" s="406"/>
      <c r="P184" s="406"/>
      <c r="Q184" s="406"/>
      <c r="R184" s="406"/>
      <c r="S184" s="406"/>
      <c r="T184" s="406"/>
      <c r="U184" s="406"/>
      <c r="V184" s="406"/>
      <c r="W184" s="406"/>
      <c r="X184" s="406"/>
      <c r="Y184" s="406"/>
      <c r="Z184" s="406"/>
    </row>
    <row r="185">
      <c r="A185" s="406"/>
      <c r="B185" s="406"/>
      <c r="C185" s="406"/>
      <c r="D185" s="406"/>
      <c r="E185" s="406"/>
      <c r="F185" s="406"/>
      <c r="G185" s="407"/>
      <c r="H185" s="406"/>
      <c r="I185" s="406"/>
      <c r="J185" s="406"/>
      <c r="K185" s="406"/>
      <c r="L185" s="406"/>
      <c r="M185" s="406"/>
      <c r="N185" s="406"/>
      <c r="O185" s="406"/>
      <c r="P185" s="406"/>
      <c r="Q185" s="406"/>
      <c r="R185" s="406"/>
      <c r="S185" s="406"/>
      <c r="T185" s="406"/>
      <c r="U185" s="406"/>
      <c r="V185" s="406"/>
      <c r="W185" s="406"/>
      <c r="X185" s="406"/>
      <c r="Y185" s="406"/>
      <c r="Z185" s="406"/>
    </row>
    <row r="186">
      <c r="A186" s="406"/>
      <c r="B186" s="406"/>
      <c r="C186" s="406"/>
      <c r="D186" s="406"/>
      <c r="E186" s="406"/>
      <c r="F186" s="406"/>
      <c r="G186" s="407"/>
      <c r="H186" s="406"/>
      <c r="I186" s="406"/>
      <c r="J186" s="406"/>
      <c r="K186" s="406"/>
      <c r="L186" s="406"/>
      <c r="M186" s="406"/>
      <c r="N186" s="406"/>
      <c r="O186" s="406"/>
      <c r="P186" s="406"/>
      <c r="Q186" s="406"/>
      <c r="R186" s="406"/>
      <c r="S186" s="406"/>
      <c r="T186" s="406"/>
      <c r="U186" s="406"/>
      <c r="V186" s="406"/>
      <c r="W186" s="406"/>
      <c r="X186" s="406"/>
      <c r="Y186" s="406"/>
      <c r="Z186" s="406"/>
    </row>
    <row r="187">
      <c r="A187" s="406"/>
      <c r="B187" s="406"/>
      <c r="C187" s="406"/>
      <c r="D187" s="406"/>
      <c r="E187" s="406"/>
      <c r="F187" s="406"/>
      <c r="G187" s="407"/>
      <c r="H187" s="406"/>
      <c r="I187" s="406"/>
      <c r="J187" s="406"/>
      <c r="K187" s="406"/>
      <c r="L187" s="406"/>
      <c r="M187" s="406"/>
      <c r="N187" s="406"/>
      <c r="O187" s="406"/>
      <c r="P187" s="406"/>
      <c r="Q187" s="406"/>
      <c r="R187" s="406"/>
      <c r="S187" s="406"/>
      <c r="T187" s="406"/>
      <c r="U187" s="406"/>
      <c r="V187" s="406"/>
      <c r="W187" s="406"/>
      <c r="X187" s="406"/>
      <c r="Y187" s="406"/>
      <c r="Z187" s="406"/>
    </row>
    <row r="188">
      <c r="A188" s="406"/>
      <c r="B188" s="406"/>
      <c r="C188" s="406"/>
      <c r="D188" s="406"/>
      <c r="E188" s="406"/>
      <c r="F188" s="406"/>
      <c r="G188" s="407"/>
      <c r="H188" s="406"/>
      <c r="I188" s="406"/>
      <c r="J188" s="406"/>
      <c r="K188" s="406"/>
      <c r="L188" s="406"/>
      <c r="M188" s="406"/>
      <c r="N188" s="406"/>
      <c r="O188" s="406"/>
      <c r="P188" s="406"/>
      <c r="Q188" s="406"/>
      <c r="R188" s="406"/>
      <c r="S188" s="406"/>
      <c r="T188" s="406"/>
      <c r="U188" s="406"/>
      <c r="V188" s="406"/>
      <c r="W188" s="406"/>
      <c r="X188" s="406"/>
      <c r="Y188" s="406"/>
      <c r="Z188" s="406"/>
    </row>
    <row r="189">
      <c r="A189" s="406"/>
      <c r="B189" s="406"/>
      <c r="C189" s="406"/>
      <c r="D189" s="406"/>
      <c r="E189" s="406"/>
      <c r="F189" s="406"/>
      <c r="G189" s="407"/>
      <c r="H189" s="406"/>
      <c r="I189" s="406"/>
      <c r="J189" s="406"/>
      <c r="K189" s="406"/>
      <c r="L189" s="406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406"/>
    </row>
    <row r="190">
      <c r="A190" s="406"/>
      <c r="B190" s="406"/>
      <c r="C190" s="406"/>
      <c r="D190" s="406"/>
      <c r="E190" s="406"/>
      <c r="F190" s="406"/>
      <c r="G190" s="407"/>
      <c r="H190" s="406"/>
      <c r="I190" s="406"/>
      <c r="J190" s="406"/>
      <c r="K190" s="406"/>
      <c r="L190" s="406"/>
      <c r="M190" s="406"/>
      <c r="N190" s="406"/>
      <c r="O190" s="406"/>
      <c r="P190" s="406"/>
      <c r="Q190" s="406"/>
      <c r="R190" s="406"/>
      <c r="S190" s="406"/>
      <c r="T190" s="406"/>
      <c r="U190" s="406"/>
      <c r="V190" s="406"/>
      <c r="W190" s="406"/>
      <c r="X190" s="406"/>
      <c r="Y190" s="406"/>
      <c r="Z190" s="406"/>
    </row>
    <row r="191">
      <c r="A191" s="406"/>
      <c r="B191" s="406"/>
      <c r="C191" s="406"/>
      <c r="D191" s="406"/>
      <c r="E191" s="406"/>
      <c r="F191" s="406"/>
      <c r="G191" s="407"/>
      <c r="H191" s="406"/>
      <c r="I191" s="406"/>
      <c r="J191" s="406"/>
      <c r="K191" s="406"/>
      <c r="L191" s="406"/>
      <c r="M191" s="406"/>
      <c r="N191" s="406"/>
      <c r="O191" s="406"/>
      <c r="P191" s="406"/>
      <c r="Q191" s="406"/>
      <c r="R191" s="406"/>
      <c r="S191" s="406"/>
      <c r="T191" s="406"/>
      <c r="U191" s="406"/>
      <c r="V191" s="406"/>
      <c r="W191" s="406"/>
      <c r="X191" s="406"/>
      <c r="Y191" s="406"/>
      <c r="Z191" s="406"/>
    </row>
    <row r="192">
      <c r="A192" s="406"/>
      <c r="B192" s="406"/>
      <c r="C192" s="406"/>
      <c r="D192" s="406"/>
      <c r="E192" s="406"/>
      <c r="F192" s="406"/>
      <c r="G192" s="407"/>
      <c r="H192" s="406"/>
      <c r="I192" s="406"/>
      <c r="J192" s="406"/>
      <c r="K192" s="406"/>
      <c r="L192" s="406"/>
      <c r="M192" s="406"/>
      <c r="N192" s="406"/>
      <c r="O192" s="406"/>
      <c r="P192" s="406"/>
      <c r="Q192" s="406"/>
      <c r="R192" s="406"/>
      <c r="S192" s="406"/>
      <c r="T192" s="406"/>
      <c r="U192" s="406"/>
      <c r="V192" s="406"/>
      <c r="W192" s="406"/>
      <c r="X192" s="406"/>
      <c r="Y192" s="406"/>
      <c r="Z192" s="406"/>
    </row>
    <row r="193">
      <c r="A193" s="406"/>
      <c r="B193" s="406"/>
      <c r="C193" s="406"/>
      <c r="D193" s="406"/>
      <c r="E193" s="406"/>
      <c r="F193" s="406"/>
      <c r="G193" s="407"/>
      <c r="H193" s="406"/>
      <c r="I193" s="406"/>
      <c r="J193" s="406"/>
      <c r="K193" s="406"/>
      <c r="L193" s="406"/>
      <c r="M193" s="406"/>
      <c r="N193" s="406"/>
      <c r="O193" s="406"/>
      <c r="P193" s="406"/>
      <c r="Q193" s="406"/>
      <c r="R193" s="406"/>
      <c r="S193" s="406"/>
      <c r="T193" s="406"/>
      <c r="U193" s="406"/>
      <c r="V193" s="406"/>
      <c r="W193" s="406"/>
      <c r="X193" s="406"/>
      <c r="Y193" s="406"/>
      <c r="Z193" s="406"/>
    </row>
    <row r="194">
      <c r="A194" s="406"/>
      <c r="B194" s="406"/>
      <c r="C194" s="406"/>
      <c r="D194" s="406"/>
      <c r="E194" s="406"/>
      <c r="F194" s="406"/>
      <c r="G194" s="407"/>
      <c r="H194" s="406"/>
      <c r="I194" s="406"/>
      <c r="J194" s="406"/>
      <c r="K194" s="406"/>
      <c r="L194" s="406"/>
      <c r="M194" s="406"/>
      <c r="N194" s="406"/>
      <c r="O194" s="406"/>
      <c r="P194" s="406"/>
      <c r="Q194" s="406"/>
      <c r="R194" s="406"/>
      <c r="S194" s="406"/>
      <c r="T194" s="406"/>
      <c r="U194" s="406"/>
      <c r="V194" s="406"/>
      <c r="W194" s="406"/>
      <c r="X194" s="406"/>
      <c r="Y194" s="406"/>
      <c r="Z194" s="406"/>
    </row>
    <row r="195">
      <c r="A195" s="406"/>
      <c r="B195" s="406"/>
      <c r="C195" s="406"/>
      <c r="D195" s="406"/>
      <c r="E195" s="406"/>
      <c r="F195" s="406"/>
      <c r="G195" s="407"/>
      <c r="H195" s="406"/>
      <c r="I195" s="406"/>
      <c r="J195" s="406"/>
      <c r="K195" s="406"/>
      <c r="L195" s="406"/>
      <c r="M195" s="406"/>
      <c r="N195" s="406"/>
      <c r="O195" s="406"/>
      <c r="P195" s="406"/>
      <c r="Q195" s="406"/>
      <c r="R195" s="406"/>
      <c r="S195" s="406"/>
      <c r="T195" s="406"/>
      <c r="U195" s="406"/>
      <c r="V195" s="406"/>
      <c r="W195" s="406"/>
      <c r="X195" s="406"/>
      <c r="Y195" s="406"/>
      <c r="Z195" s="406"/>
    </row>
    <row r="196">
      <c r="A196" s="406"/>
      <c r="B196" s="406"/>
      <c r="C196" s="406"/>
      <c r="D196" s="406"/>
      <c r="E196" s="406"/>
      <c r="F196" s="406"/>
      <c r="G196" s="407"/>
      <c r="H196" s="406"/>
      <c r="I196" s="406"/>
      <c r="J196" s="406"/>
      <c r="K196" s="406"/>
      <c r="L196" s="406"/>
      <c r="M196" s="406"/>
      <c r="N196" s="406"/>
      <c r="O196" s="406"/>
      <c r="P196" s="406"/>
      <c r="Q196" s="406"/>
      <c r="R196" s="406"/>
      <c r="S196" s="406"/>
      <c r="T196" s="406"/>
      <c r="U196" s="406"/>
      <c r="V196" s="406"/>
      <c r="W196" s="406"/>
      <c r="X196" s="406"/>
      <c r="Y196" s="406"/>
      <c r="Z196" s="406"/>
    </row>
    <row r="197">
      <c r="A197" s="406"/>
      <c r="B197" s="406"/>
      <c r="C197" s="406"/>
      <c r="D197" s="406"/>
      <c r="E197" s="406"/>
      <c r="F197" s="406"/>
      <c r="G197" s="407"/>
      <c r="H197" s="406"/>
      <c r="I197" s="406"/>
      <c r="J197" s="406"/>
      <c r="K197" s="406"/>
      <c r="L197" s="406"/>
      <c r="M197" s="406"/>
      <c r="N197" s="406"/>
      <c r="O197" s="406"/>
      <c r="P197" s="406"/>
      <c r="Q197" s="406"/>
      <c r="R197" s="406"/>
      <c r="S197" s="406"/>
      <c r="T197" s="406"/>
      <c r="U197" s="406"/>
      <c r="V197" s="406"/>
      <c r="W197" s="406"/>
      <c r="X197" s="406"/>
      <c r="Y197" s="406"/>
      <c r="Z197" s="406"/>
    </row>
    <row r="198">
      <c r="A198" s="406"/>
      <c r="B198" s="406"/>
      <c r="C198" s="406"/>
      <c r="D198" s="406"/>
      <c r="E198" s="406"/>
      <c r="F198" s="406"/>
      <c r="G198" s="407"/>
      <c r="H198" s="406"/>
      <c r="I198" s="406"/>
      <c r="J198" s="406"/>
      <c r="K198" s="406"/>
      <c r="L198" s="406"/>
      <c r="M198" s="406"/>
      <c r="N198" s="406"/>
      <c r="O198" s="406"/>
      <c r="P198" s="406"/>
      <c r="Q198" s="406"/>
      <c r="R198" s="406"/>
      <c r="S198" s="406"/>
      <c r="T198" s="406"/>
      <c r="U198" s="406"/>
      <c r="V198" s="406"/>
      <c r="W198" s="406"/>
      <c r="X198" s="406"/>
      <c r="Y198" s="406"/>
      <c r="Z198" s="406"/>
    </row>
    <row r="199">
      <c r="A199" s="406"/>
      <c r="B199" s="406"/>
      <c r="C199" s="406"/>
      <c r="D199" s="406"/>
      <c r="E199" s="406"/>
      <c r="F199" s="406"/>
      <c r="G199" s="407"/>
      <c r="H199" s="406"/>
      <c r="I199" s="406"/>
      <c r="J199" s="406"/>
      <c r="K199" s="406"/>
      <c r="L199" s="406"/>
      <c r="M199" s="406"/>
      <c r="N199" s="406"/>
      <c r="O199" s="406"/>
      <c r="P199" s="406"/>
      <c r="Q199" s="406"/>
      <c r="R199" s="406"/>
      <c r="S199" s="406"/>
      <c r="T199" s="406"/>
      <c r="U199" s="406"/>
      <c r="V199" s="406"/>
      <c r="W199" s="406"/>
      <c r="X199" s="406"/>
      <c r="Y199" s="406"/>
      <c r="Z199" s="406"/>
    </row>
    <row r="200">
      <c r="A200" s="406"/>
      <c r="B200" s="406"/>
      <c r="C200" s="406"/>
      <c r="D200" s="406"/>
      <c r="E200" s="406"/>
      <c r="F200" s="406"/>
      <c r="G200" s="407"/>
      <c r="H200" s="406"/>
      <c r="I200" s="406"/>
      <c r="J200" s="406"/>
      <c r="K200" s="406"/>
      <c r="L200" s="406"/>
      <c r="M200" s="406"/>
      <c r="N200" s="406"/>
      <c r="O200" s="406"/>
      <c r="P200" s="406"/>
      <c r="Q200" s="406"/>
      <c r="R200" s="406"/>
      <c r="S200" s="406"/>
      <c r="T200" s="406"/>
      <c r="U200" s="406"/>
      <c r="V200" s="406"/>
      <c r="W200" s="406"/>
      <c r="X200" s="406"/>
      <c r="Y200" s="406"/>
      <c r="Z200" s="406"/>
    </row>
    <row r="201">
      <c r="A201" s="406"/>
      <c r="B201" s="406"/>
      <c r="C201" s="406"/>
      <c r="D201" s="406"/>
      <c r="E201" s="406"/>
      <c r="F201" s="406"/>
      <c r="G201" s="407"/>
      <c r="H201" s="406"/>
      <c r="I201" s="406"/>
      <c r="J201" s="406"/>
      <c r="K201" s="406"/>
      <c r="L201" s="406"/>
      <c r="M201" s="406"/>
      <c r="N201" s="406"/>
      <c r="O201" s="406"/>
      <c r="P201" s="406"/>
      <c r="Q201" s="406"/>
      <c r="R201" s="406"/>
      <c r="S201" s="406"/>
      <c r="T201" s="406"/>
      <c r="U201" s="406"/>
      <c r="V201" s="406"/>
      <c r="W201" s="406"/>
      <c r="X201" s="406"/>
      <c r="Y201" s="406"/>
      <c r="Z201" s="406"/>
    </row>
    <row r="202">
      <c r="A202" s="406"/>
      <c r="B202" s="406"/>
      <c r="C202" s="406"/>
      <c r="D202" s="406"/>
      <c r="E202" s="406"/>
      <c r="F202" s="406"/>
      <c r="G202" s="407"/>
      <c r="H202" s="406"/>
      <c r="I202" s="406"/>
      <c r="J202" s="406"/>
      <c r="K202" s="406"/>
      <c r="L202" s="406"/>
      <c r="M202" s="406"/>
      <c r="N202" s="406"/>
      <c r="O202" s="406"/>
      <c r="P202" s="406"/>
      <c r="Q202" s="406"/>
      <c r="R202" s="406"/>
      <c r="S202" s="406"/>
      <c r="T202" s="406"/>
      <c r="U202" s="406"/>
      <c r="V202" s="406"/>
      <c r="W202" s="406"/>
      <c r="X202" s="406"/>
      <c r="Y202" s="406"/>
      <c r="Z202" s="406"/>
    </row>
    <row r="203">
      <c r="A203" s="406"/>
      <c r="B203" s="406"/>
      <c r="C203" s="406"/>
      <c r="D203" s="406"/>
      <c r="E203" s="406"/>
      <c r="F203" s="406"/>
      <c r="G203" s="407"/>
      <c r="H203" s="406"/>
      <c r="I203" s="406"/>
      <c r="J203" s="406"/>
      <c r="K203" s="406"/>
      <c r="L203" s="406"/>
      <c r="M203" s="406"/>
      <c r="N203" s="406"/>
      <c r="O203" s="406"/>
      <c r="P203" s="406"/>
      <c r="Q203" s="406"/>
      <c r="R203" s="406"/>
      <c r="S203" s="406"/>
      <c r="T203" s="406"/>
      <c r="U203" s="406"/>
      <c r="V203" s="406"/>
      <c r="W203" s="406"/>
      <c r="X203" s="406"/>
      <c r="Y203" s="406"/>
      <c r="Z203" s="406"/>
    </row>
    <row r="204">
      <c r="A204" s="406"/>
      <c r="B204" s="406"/>
      <c r="C204" s="406"/>
      <c r="D204" s="406"/>
      <c r="E204" s="406"/>
      <c r="F204" s="406"/>
      <c r="G204" s="407"/>
      <c r="H204" s="406"/>
      <c r="I204" s="406"/>
      <c r="J204" s="406"/>
      <c r="K204" s="406"/>
      <c r="L204" s="406"/>
      <c r="M204" s="406"/>
      <c r="N204" s="406"/>
      <c r="O204" s="406"/>
      <c r="P204" s="406"/>
      <c r="Q204" s="406"/>
      <c r="R204" s="406"/>
      <c r="S204" s="406"/>
      <c r="T204" s="406"/>
      <c r="U204" s="406"/>
      <c r="V204" s="406"/>
      <c r="W204" s="406"/>
      <c r="X204" s="406"/>
      <c r="Y204" s="406"/>
      <c r="Z204" s="406"/>
    </row>
    <row r="205">
      <c r="A205" s="406"/>
      <c r="B205" s="406"/>
      <c r="C205" s="406"/>
      <c r="D205" s="406"/>
      <c r="E205" s="406"/>
      <c r="F205" s="406"/>
      <c r="G205" s="407"/>
      <c r="H205" s="406"/>
      <c r="I205" s="406"/>
      <c r="J205" s="406"/>
      <c r="K205" s="406"/>
      <c r="L205" s="406"/>
      <c r="M205" s="406"/>
      <c r="N205" s="406"/>
      <c r="O205" s="406"/>
      <c r="P205" s="406"/>
      <c r="Q205" s="406"/>
      <c r="R205" s="406"/>
      <c r="S205" s="406"/>
      <c r="T205" s="406"/>
      <c r="U205" s="406"/>
      <c r="V205" s="406"/>
      <c r="W205" s="406"/>
      <c r="X205" s="406"/>
      <c r="Y205" s="406"/>
      <c r="Z205" s="406"/>
    </row>
    <row r="206">
      <c r="A206" s="406"/>
      <c r="B206" s="406"/>
      <c r="C206" s="406"/>
      <c r="D206" s="406"/>
      <c r="E206" s="406"/>
      <c r="F206" s="406"/>
      <c r="G206" s="407"/>
      <c r="H206" s="406"/>
      <c r="I206" s="406"/>
      <c r="J206" s="406"/>
      <c r="K206" s="406"/>
      <c r="L206" s="406"/>
      <c r="M206" s="406"/>
      <c r="N206" s="406"/>
      <c r="O206" s="406"/>
      <c r="P206" s="406"/>
      <c r="Q206" s="406"/>
      <c r="R206" s="406"/>
      <c r="S206" s="406"/>
      <c r="T206" s="406"/>
      <c r="U206" s="406"/>
      <c r="V206" s="406"/>
      <c r="W206" s="406"/>
      <c r="X206" s="406"/>
      <c r="Y206" s="406"/>
      <c r="Z206" s="406"/>
    </row>
    <row r="207">
      <c r="A207" s="406"/>
      <c r="B207" s="406"/>
      <c r="C207" s="406"/>
      <c r="D207" s="406"/>
      <c r="E207" s="406"/>
      <c r="F207" s="406"/>
      <c r="G207" s="407"/>
      <c r="H207" s="406"/>
      <c r="I207" s="406"/>
      <c r="J207" s="406"/>
      <c r="K207" s="406"/>
      <c r="L207" s="406"/>
      <c r="M207" s="406"/>
      <c r="N207" s="406"/>
      <c r="O207" s="406"/>
      <c r="P207" s="406"/>
      <c r="Q207" s="406"/>
      <c r="R207" s="406"/>
      <c r="S207" s="406"/>
      <c r="T207" s="406"/>
      <c r="U207" s="406"/>
      <c r="V207" s="406"/>
      <c r="W207" s="406"/>
      <c r="X207" s="406"/>
      <c r="Y207" s="406"/>
      <c r="Z207" s="406"/>
    </row>
    <row r="208">
      <c r="A208" s="406"/>
      <c r="B208" s="406"/>
      <c r="C208" s="406"/>
      <c r="D208" s="406"/>
      <c r="E208" s="406"/>
      <c r="F208" s="406"/>
      <c r="G208" s="407"/>
      <c r="H208" s="406"/>
      <c r="I208" s="406"/>
      <c r="J208" s="406"/>
      <c r="K208" s="406"/>
      <c r="L208" s="406"/>
      <c r="M208" s="406"/>
      <c r="N208" s="406"/>
      <c r="O208" s="406"/>
      <c r="P208" s="406"/>
      <c r="Q208" s="406"/>
      <c r="R208" s="406"/>
      <c r="S208" s="406"/>
      <c r="T208" s="406"/>
      <c r="U208" s="406"/>
      <c r="V208" s="406"/>
      <c r="W208" s="406"/>
      <c r="X208" s="406"/>
      <c r="Y208" s="406"/>
      <c r="Z208" s="406"/>
    </row>
    <row r="209">
      <c r="A209" s="406"/>
      <c r="B209" s="406"/>
      <c r="C209" s="406"/>
      <c r="D209" s="406"/>
      <c r="E209" s="406"/>
      <c r="F209" s="406"/>
      <c r="G209" s="407"/>
      <c r="H209" s="406"/>
      <c r="I209" s="406"/>
      <c r="J209" s="406"/>
      <c r="K209" s="406"/>
      <c r="L209" s="406"/>
      <c r="M209" s="406"/>
      <c r="N209" s="406"/>
      <c r="O209" s="406"/>
      <c r="P209" s="406"/>
      <c r="Q209" s="406"/>
      <c r="R209" s="406"/>
      <c r="S209" s="406"/>
      <c r="T209" s="406"/>
      <c r="U209" s="406"/>
      <c r="V209" s="406"/>
      <c r="W209" s="406"/>
      <c r="X209" s="406"/>
      <c r="Y209" s="406"/>
      <c r="Z209" s="406"/>
    </row>
    <row r="210">
      <c r="A210" s="406"/>
      <c r="B210" s="406"/>
      <c r="C210" s="406"/>
      <c r="D210" s="406"/>
      <c r="E210" s="406"/>
      <c r="F210" s="406"/>
      <c r="G210" s="407"/>
      <c r="H210" s="406"/>
      <c r="I210" s="406"/>
      <c r="J210" s="406"/>
      <c r="K210" s="406"/>
      <c r="L210" s="406"/>
      <c r="M210" s="406"/>
      <c r="N210" s="406"/>
      <c r="O210" s="406"/>
      <c r="P210" s="406"/>
      <c r="Q210" s="406"/>
      <c r="R210" s="406"/>
      <c r="S210" s="406"/>
      <c r="T210" s="406"/>
      <c r="U210" s="406"/>
      <c r="V210" s="406"/>
      <c r="W210" s="406"/>
      <c r="X210" s="406"/>
      <c r="Y210" s="406"/>
      <c r="Z210" s="406"/>
    </row>
    <row r="211">
      <c r="A211" s="406"/>
      <c r="B211" s="406"/>
      <c r="C211" s="406"/>
      <c r="D211" s="406"/>
      <c r="E211" s="406"/>
      <c r="F211" s="406"/>
      <c r="G211" s="407"/>
      <c r="H211" s="406"/>
      <c r="I211" s="406"/>
      <c r="J211" s="406"/>
      <c r="K211" s="406"/>
      <c r="L211" s="406"/>
      <c r="M211" s="406"/>
      <c r="N211" s="406"/>
      <c r="O211" s="406"/>
      <c r="P211" s="406"/>
      <c r="Q211" s="406"/>
      <c r="R211" s="406"/>
      <c r="S211" s="406"/>
      <c r="T211" s="406"/>
      <c r="U211" s="406"/>
      <c r="V211" s="406"/>
      <c r="W211" s="406"/>
      <c r="X211" s="406"/>
      <c r="Y211" s="406"/>
      <c r="Z211" s="406"/>
    </row>
    <row r="212">
      <c r="A212" s="406"/>
      <c r="B212" s="406"/>
      <c r="C212" s="406"/>
      <c r="D212" s="406"/>
      <c r="E212" s="406"/>
      <c r="F212" s="406"/>
      <c r="G212" s="407"/>
      <c r="H212" s="406"/>
      <c r="I212" s="406"/>
      <c r="J212" s="406"/>
      <c r="K212" s="406"/>
      <c r="L212" s="406"/>
      <c r="M212" s="406"/>
      <c r="N212" s="406"/>
      <c r="O212" s="406"/>
      <c r="P212" s="406"/>
      <c r="Q212" s="406"/>
      <c r="R212" s="406"/>
      <c r="S212" s="406"/>
      <c r="T212" s="406"/>
      <c r="U212" s="406"/>
      <c r="V212" s="406"/>
      <c r="W212" s="406"/>
      <c r="X212" s="406"/>
      <c r="Y212" s="406"/>
      <c r="Z212" s="406"/>
    </row>
    <row r="213">
      <c r="A213" s="406"/>
      <c r="B213" s="406"/>
      <c r="C213" s="406"/>
      <c r="D213" s="406"/>
      <c r="E213" s="406"/>
      <c r="F213" s="406"/>
      <c r="G213" s="407"/>
      <c r="H213" s="406"/>
      <c r="I213" s="406"/>
      <c r="J213" s="406"/>
      <c r="K213" s="406"/>
      <c r="L213" s="406"/>
      <c r="M213" s="406"/>
      <c r="N213" s="406"/>
      <c r="O213" s="406"/>
      <c r="P213" s="406"/>
      <c r="Q213" s="406"/>
      <c r="R213" s="406"/>
      <c r="S213" s="406"/>
      <c r="T213" s="406"/>
      <c r="U213" s="406"/>
      <c r="V213" s="406"/>
      <c r="W213" s="406"/>
      <c r="X213" s="406"/>
      <c r="Y213" s="406"/>
      <c r="Z213" s="406"/>
    </row>
    <row r="214">
      <c r="A214" s="406"/>
      <c r="B214" s="406"/>
      <c r="C214" s="406"/>
      <c r="D214" s="406"/>
      <c r="E214" s="406"/>
      <c r="F214" s="406"/>
      <c r="G214" s="407"/>
      <c r="H214" s="406"/>
      <c r="I214" s="406"/>
      <c r="J214" s="406"/>
      <c r="K214" s="406"/>
      <c r="L214" s="406"/>
      <c r="M214" s="406"/>
      <c r="N214" s="406"/>
      <c r="O214" s="406"/>
      <c r="P214" s="406"/>
      <c r="Q214" s="406"/>
      <c r="R214" s="406"/>
      <c r="S214" s="406"/>
      <c r="T214" s="406"/>
      <c r="U214" s="406"/>
      <c r="V214" s="406"/>
      <c r="W214" s="406"/>
      <c r="X214" s="406"/>
      <c r="Y214" s="406"/>
      <c r="Z214" s="406"/>
    </row>
    <row r="215">
      <c r="A215" s="406"/>
      <c r="B215" s="406"/>
      <c r="C215" s="406"/>
      <c r="D215" s="406"/>
      <c r="E215" s="406"/>
      <c r="F215" s="406"/>
      <c r="G215" s="407"/>
      <c r="H215" s="406"/>
      <c r="I215" s="406"/>
      <c r="J215" s="406"/>
      <c r="K215" s="406"/>
      <c r="L215" s="406"/>
      <c r="M215" s="406"/>
      <c r="N215" s="406"/>
      <c r="O215" s="406"/>
      <c r="P215" s="406"/>
      <c r="Q215" s="406"/>
      <c r="R215" s="406"/>
      <c r="S215" s="406"/>
      <c r="T215" s="406"/>
      <c r="U215" s="406"/>
      <c r="V215" s="406"/>
      <c r="W215" s="406"/>
      <c r="X215" s="406"/>
      <c r="Y215" s="406"/>
      <c r="Z215" s="406"/>
    </row>
    <row r="216">
      <c r="A216" s="406"/>
      <c r="B216" s="406"/>
      <c r="C216" s="406"/>
      <c r="D216" s="406"/>
      <c r="E216" s="406"/>
      <c r="F216" s="406"/>
      <c r="G216" s="407"/>
      <c r="H216" s="406"/>
      <c r="I216" s="406"/>
      <c r="J216" s="406"/>
      <c r="K216" s="406"/>
      <c r="L216" s="406"/>
      <c r="M216" s="406"/>
      <c r="N216" s="406"/>
      <c r="O216" s="406"/>
      <c r="P216" s="406"/>
      <c r="Q216" s="406"/>
      <c r="R216" s="406"/>
      <c r="S216" s="406"/>
      <c r="T216" s="406"/>
      <c r="U216" s="406"/>
      <c r="V216" s="406"/>
      <c r="W216" s="406"/>
      <c r="X216" s="406"/>
      <c r="Y216" s="406"/>
      <c r="Z216" s="406"/>
    </row>
    <row r="217">
      <c r="A217" s="406"/>
      <c r="B217" s="406"/>
      <c r="C217" s="406"/>
      <c r="D217" s="406"/>
      <c r="E217" s="406"/>
      <c r="F217" s="406"/>
      <c r="G217" s="407"/>
      <c r="H217" s="406"/>
      <c r="I217" s="406"/>
      <c r="J217" s="406"/>
      <c r="K217" s="406"/>
      <c r="L217" s="406"/>
      <c r="M217" s="406"/>
      <c r="N217" s="406"/>
      <c r="O217" s="406"/>
      <c r="P217" s="406"/>
      <c r="Q217" s="406"/>
      <c r="R217" s="406"/>
      <c r="S217" s="406"/>
      <c r="T217" s="406"/>
      <c r="U217" s="406"/>
      <c r="V217" s="406"/>
      <c r="W217" s="406"/>
      <c r="X217" s="406"/>
      <c r="Y217" s="406"/>
      <c r="Z217" s="406"/>
    </row>
    <row r="218">
      <c r="A218" s="406"/>
      <c r="B218" s="406"/>
      <c r="C218" s="406"/>
      <c r="D218" s="406"/>
      <c r="E218" s="406"/>
      <c r="F218" s="406"/>
      <c r="G218" s="407"/>
      <c r="H218" s="406"/>
      <c r="I218" s="406"/>
      <c r="J218" s="406"/>
      <c r="K218" s="406"/>
      <c r="L218" s="406"/>
      <c r="M218" s="406"/>
      <c r="N218" s="406"/>
      <c r="O218" s="406"/>
      <c r="P218" s="406"/>
      <c r="Q218" s="406"/>
      <c r="R218" s="406"/>
      <c r="S218" s="406"/>
      <c r="T218" s="406"/>
      <c r="U218" s="406"/>
      <c r="V218" s="406"/>
      <c r="W218" s="406"/>
      <c r="X218" s="406"/>
      <c r="Y218" s="406"/>
      <c r="Z218" s="406"/>
    </row>
    <row r="219">
      <c r="A219" s="406"/>
      <c r="B219" s="406"/>
      <c r="C219" s="406"/>
      <c r="D219" s="406"/>
      <c r="E219" s="406"/>
      <c r="F219" s="406"/>
      <c r="G219" s="407"/>
      <c r="H219" s="406"/>
      <c r="I219" s="406"/>
      <c r="J219" s="406"/>
      <c r="K219" s="406"/>
      <c r="L219" s="406"/>
      <c r="M219" s="406"/>
      <c r="N219" s="406"/>
      <c r="O219" s="406"/>
      <c r="P219" s="406"/>
      <c r="Q219" s="406"/>
      <c r="R219" s="406"/>
      <c r="S219" s="406"/>
      <c r="T219" s="406"/>
      <c r="U219" s="406"/>
      <c r="V219" s="406"/>
      <c r="W219" s="406"/>
      <c r="X219" s="406"/>
      <c r="Y219" s="406"/>
      <c r="Z219" s="406"/>
    </row>
    <row r="220">
      <c r="A220" s="406"/>
      <c r="B220" s="406"/>
      <c r="C220" s="406"/>
      <c r="D220" s="406"/>
      <c r="E220" s="406"/>
      <c r="F220" s="406"/>
      <c r="G220" s="407"/>
      <c r="H220" s="406"/>
      <c r="I220" s="406"/>
      <c r="J220" s="406"/>
      <c r="K220" s="406"/>
      <c r="L220" s="406"/>
      <c r="M220" s="406"/>
      <c r="N220" s="406"/>
      <c r="O220" s="406"/>
      <c r="P220" s="406"/>
      <c r="Q220" s="406"/>
      <c r="R220" s="406"/>
      <c r="S220" s="406"/>
      <c r="T220" s="406"/>
      <c r="U220" s="406"/>
      <c r="V220" s="406"/>
      <c r="W220" s="406"/>
      <c r="X220" s="406"/>
      <c r="Y220" s="406"/>
      <c r="Z220" s="406"/>
    </row>
    <row r="221">
      <c r="A221" s="406"/>
      <c r="B221" s="406"/>
      <c r="C221" s="406"/>
      <c r="D221" s="406"/>
      <c r="E221" s="406"/>
      <c r="F221" s="406"/>
      <c r="G221" s="407"/>
      <c r="H221" s="406"/>
      <c r="I221" s="406"/>
      <c r="J221" s="406"/>
      <c r="K221" s="406"/>
      <c r="L221" s="406"/>
      <c r="M221" s="406"/>
      <c r="N221" s="406"/>
      <c r="O221" s="406"/>
      <c r="P221" s="406"/>
      <c r="Q221" s="406"/>
      <c r="R221" s="406"/>
      <c r="S221" s="406"/>
      <c r="T221" s="406"/>
      <c r="U221" s="406"/>
      <c r="V221" s="406"/>
      <c r="W221" s="406"/>
      <c r="X221" s="406"/>
      <c r="Y221" s="406"/>
      <c r="Z221" s="406"/>
    </row>
    <row r="222">
      <c r="A222" s="406"/>
      <c r="B222" s="406"/>
      <c r="C222" s="406"/>
      <c r="D222" s="406"/>
      <c r="E222" s="406"/>
      <c r="F222" s="406"/>
      <c r="G222" s="407"/>
      <c r="H222" s="406"/>
      <c r="I222" s="406"/>
      <c r="J222" s="406"/>
      <c r="K222" s="406"/>
      <c r="L222" s="406"/>
      <c r="M222" s="406"/>
      <c r="N222" s="406"/>
      <c r="O222" s="406"/>
      <c r="P222" s="406"/>
      <c r="Q222" s="406"/>
      <c r="R222" s="406"/>
      <c r="S222" s="406"/>
      <c r="T222" s="406"/>
      <c r="U222" s="406"/>
      <c r="V222" s="406"/>
      <c r="W222" s="406"/>
      <c r="X222" s="406"/>
      <c r="Y222" s="406"/>
      <c r="Z222" s="406"/>
    </row>
    <row r="223">
      <c r="A223" s="406"/>
      <c r="B223" s="406"/>
      <c r="C223" s="406"/>
      <c r="D223" s="406"/>
      <c r="E223" s="406"/>
      <c r="F223" s="406"/>
      <c r="G223" s="407"/>
      <c r="H223" s="406"/>
      <c r="I223" s="406"/>
      <c r="J223" s="406"/>
      <c r="K223" s="406"/>
      <c r="L223" s="406"/>
      <c r="M223" s="406"/>
      <c r="N223" s="406"/>
      <c r="O223" s="406"/>
      <c r="P223" s="406"/>
      <c r="Q223" s="406"/>
      <c r="R223" s="406"/>
      <c r="S223" s="406"/>
      <c r="T223" s="406"/>
      <c r="U223" s="406"/>
      <c r="V223" s="406"/>
      <c r="W223" s="406"/>
      <c r="X223" s="406"/>
      <c r="Y223" s="406"/>
      <c r="Z223" s="406"/>
    </row>
    <row r="224">
      <c r="A224" s="406"/>
      <c r="B224" s="406"/>
      <c r="C224" s="406"/>
      <c r="D224" s="406"/>
      <c r="E224" s="406"/>
      <c r="F224" s="406"/>
      <c r="G224" s="407"/>
      <c r="H224" s="406"/>
      <c r="I224" s="406"/>
      <c r="J224" s="406"/>
      <c r="K224" s="406"/>
      <c r="L224" s="406"/>
      <c r="M224" s="406"/>
      <c r="N224" s="406"/>
      <c r="O224" s="406"/>
      <c r="P224" s="406"/>
      <c r="Q224" s="406"/>
      <c r="R224" s="406"/>
      <c r="S224" s="406"/>
      <c r="T224" s="406"/>
      <c r="U224" s="406"/>
      <c r="V224" s="406"/>
      <c r="W224" s="406"/>
      <c r="X224" s="406"/>
      <c r="Y224" s="406"/>
      <c r="Z224" s="406"/>
    </row>
    <row r="225">
      <c r="A225" s="406"/>
      <c r="B225" s="406"/>
      <c r="C225" s="406"/>
      <c r="D225" s="406"/>
      <c r="E225" s="406"/>
      <c r="F225" s="406"/>
      <c r="G225" s="407"/>
      <c r="H225" s="406"/>
      <c r="I225" s="406"/>
      <c r="J225" s="406"/>
      <c r="K225" s="406"/>
      <c r="L225" s="406"/>
      <c r="M225" s="406"/>
      <c r="N225" s="406"/>
      <c r="O225" s="406"/>
      <c r="P225" s="406"/>
      <c r="Q225" s="406"/>
      <c r="R225" s="406"/>
      <c r="S225" s="406"/>
      <c r="T225" s="406"/>
      <c r="U225" s="406"/>
      <c r="V225" s="406"/>
      <c r="W225" s="406"/>
      <c r="X225" s="406"/>
      <c r="Y225" s="406"/>
      <c r="Z225" s="406"/>
    </row>
    <row r="226">
      <c r="A226" s="406"/>
      <c r="B226" s="406"/>
      <c r="C226" s="406"/>
      <c r="D226" s="406"/>
      <c r="E226" s="406"/>
      <c r="F226" s="406"/>
      <c r="G226" s="407"/>
      <c r="H226" s="406"/>
      <c r="I226" s="406"/>
      <c r="J226" s="406"/>
      <c r="K226" s="406"/>
      <c r="L226" s="406"/>
      <c r="M226" s="406"/>
      <c r="N226" s="406"/>
      <c r="O226" s="406"/>
      <c r="P226" s="406"/>
      <c r="Q226" s="406"/>
      <c r="R226" s="406"/>
      <c r="S226" s="406"/>
      <c r="T226" s="406"/>
      <c r="U226" s="406"/>
      <c r="V226" s="406"/>
      <c r="W226" s="406"/>
      <c r="X226" s="406"/>
      <c r="Y226" s="406"/>
      <c r="Z226" s="406"/>
    </row>
    <row r="227">
      <c r="A227" s="406"/>
      <c r="B227" s="406"/>
      <c r="C227" s="406"/>
      <c r="D227" s="406"/>
      <c r="E227" s="406"/>
      <c r="F227" s="406"/>
      <c r="G227" s="407"/>
      <c r="H227" s="406"/>
      <c r="I227" s="406"/>
      <c r="J227" s="406"/>
      <c r="K227" s="406"/>
      <c r="L227" s="406"/>
      <c r="M227" s="406"/>
      <c r="N227" s="406"/>
      <c r="O227" s="406"/>
      <c r="P227" s="406"/>
      <c r="Q227" s="406"/>
      <c r="R227" s="406"/>
      <c r="S227" s="406"/>
      <c r="T227" s="406"/>
      <c r="U227" s="406"/>
      <c r="V227" s="406"/>
      <c r="W227" s="406"/>
      <c r="X227" s="406"/>
      <c r="Y227" s="406"/>
      <c r="Z227" s="406"/>
    </row>
    <row r="228">
      <c r="A228" s="406"/>
      <c r="B228" s="406"/>
      <c r="C228" s="406"/>
      <c r="D228" s="406"/>
      <c r="E228" s="406"/>
      <c r="F228" s="406"/>
      <c r="G228" s="407"/>
      <c r="H228" s="406"/>
      <c r="I228" s="406"/>
      <c r="J228" s="406"/>
      <c r="K228" s="406"/>
      <c r="L228" s="406"/>
      <c r="M228" s="406"/>
      <c r="N228" s="406"/>
      <c r="O228" s="406"/>
      <c r="P228" s="406"/>
      <c r="Q228" s="406"/>
      <c r="R228" s="406"/>
      <c r="S228" s="406"/>
      <c r="T228" s="406"/>
      <c r="U228" s="406"/>
      <c r="V228" s="406"/>
      <c r="W228" s="406"/>
      <c r="X228" s="406"/>
      <c r="Y228" s="406"/>
      <c r="Z228" s="406"/>
    </row>
    <row r="229">
      <c r="A229" s="406"/>
      <c r="B229" s="406"/>
      <c r="C229" s="406"/>
      <c r="D229" s="406"/>
      <c r="E229" s="406"/>
      <c r="F229" s="406"/>
      <c r="G229" s="407"/>
      <c r="H229" s="406"/>
      <c r="I229" s="406"/>
      <c r="J229" s="406"/>
      <c r="K229" s="406"/>
      <c r="L229" s="406"/>
      <c r="M229" s="406"/>
      <c r="N229" s="406"/>
      <c r="O229" s="406"/>
      <c r="P229" s="406"/>
      <c r="Q229" s="406"/>
      <c r="R229" s="406"/>
      <c r="S229" s="406"/>
      <c r="T229" s="406"/>
      <c r="U229" s="406"/>
      <c r="V229" s="406"/>
      <c r="W229" s="406"/>
      <c r="X229" s="406"/>
      <c r="Y229" s="406"/>
      <c r="Z229" s="406"/>
    </row>
    <row r="230">
      <c r="A230" s="406"/>
      <c r="B230" s="406"/>
      <c r="C230" s="406"/>
      <c r="D230" s="406"/>
      <c r="E230" s="406"/>
      <c r="F230" s="406"/>
      <c r="G230" s="407"/>
      <c r="H230" s="406"/>
      <c r="I230" s="406"/>
      <c r="J230" s="406"/>
      <c r="K230" s="406"/>
      <c r="L230" s="406"/>
      <c r="M230" s="406"/>
      <c r="N230" s="406"/>
      <c r="O230" s="406"/>
      <c r="P230" s="406"/>
      <c r="Q230" s="406"/>
      <c r="R230" s="406"/>
      <c r="S230" s="406"/>
      <c r="T230" s="406"/>
      <c r="U230" s="406"/>
      <c r="V230" s="406"/>
      <c r="W230" s="406"/>
      <c r="X230" s="406"/>
      <c r="Y230" s="406"/>
      <c r="Z230" s="406"/>
    </row>
    <row r="231">
      <c r="A231" s="406"/>
      <c r="B231" s="406"/>
      <c r="C231" s="406"/>
      <c r="D231" s="406"/>
      <c r="E231" s="406"/>
      <c r="F231" s="406"/>
      <c r="G231" s="407"/>
      <c r="H231" s="406"/>
      <c r="I231" s="406"/>
      <c r="J231" s="406"/>
      <c r="K231" s="406"/>
      <c r="L231" s="406"/>
      <c r="M231" s="406"/>
      <c r="N231" s="406"/>
      <c r="O231" s="406"/>
      <c r="P231" s="406"/>
      <c r="Q231" s="406"/>
      <c r="R231" s="406"/>
      <c r="S231" s="406"/>
      <c r="T231" s="406"/>
      <c r="U231" s="406"/>
      <c r="V231" s="406"/>
      <c r="W231" s="406"/>
      <c r="X231" s="406"/>
      <c r="Y231" s="406"/>
      <c r="Z231" s="406"/>
    </row>
    <row r="232">
      <c r="A232" s="406"/>
      <c r="B232" s="406"/>
      <c r="C232" s="406"/>
      <c r="D232" s="406"/>
      <c r="E232" s="406"/>
      <c r="F232" s="406"/>
      <c r="G232" s="407"/>
      <c r="H232" s="406"/>
      <c r="I232" s="406"/>
      <c r="J232" s="406"/>
      <c r="K232" s="406"/>
      <c r="L232" s="406"/>
      <c r="M232" s="406"/>
      <c r="N232" s="406"/>
      <c r="O232" s="406"/>
      <c r="P232" s="406"/>
      <c r="Q232" s="406"/>
      <c r="R232" s="406"/>
      <c r="S232" s="406"/>
      <c r="T232" s="406"/>
      <c r="U232" s="406"/>
      <c r="V232" s="406"/>
      <c r="W232" s="406"/>
      <c r="X232" s="406"/>
      <c r="Y232" s="406"/>
      <c r="Z232" s="406"/>
    </row>
    <row r="233">
      <c r="A233" s="406"/>
      <c r="B233" s="406"/>
      <c r="C233" s="406"/>
      <c r="D233" s="406"/>
      <c r="E233" s="406"/>
      <c r="F233" s="406"/>
      <c r="G233" s="407"/>
      <c r="H233" s="406"/>
      <c r="I233" s="406"/>
      <c r="J233" s="406"/>
      <c r="K233" s="406"/>
      <c r="L233" s="406"/>
      <c r="M233" s="406"/>
      <c r="N233" s="406"/>
      <c r="O233" s="406"/>
      <c r="P233" s="406"/>
      <c r="Q233" s="406"/>
      <c r="R233" s="406"/>
      <c r="S233" s="406"/>
      <c r="T233" s="406"/>
      <c r="U233" s="406"/>
      <c r="V233" s="406"/>
      <c r="W233" s="406"/>
      <c r="X233" s="406"/>
      <c r="Y233" s="406"/>
      <c r="Z233" s="406"/>
    </row>
    <row r="234">
      <c r="A234" s="406"/>
      <c r="B234" s="406"/>
      <c r="C234" s="406"/>
      <c r="D234" s="406"/>
      <c r="E234" s="406"/>
      <c r="F234" s="406"/>
      <c r="G234" s="407"/>
      <c r="H234" s="406"/>
      <c r="I234" s="406"/>
      <c r="J234" s="406"/>
      <c r="K234" s="406"/>
      <c r="L234" s="406"/>
      <c r="M234" s="406"/>
      <c r="N234" s="406"/>
      <c r="O234" s="406"/>
      <c r="P234" s="406"/>
      <c r="Q234" s="406"/>
      <c r="R234" s="406"/>
      <c r="S234" s="406"/>
      <c r="T234" s="406"/>
      <c r="U234" s="406"/>
      <c r="V234" s="406"/>
      <c r="W234" s="406"/>
      <c r="X234" s="406"/>
      <c r="Y234" s="406"/>
      <c r="Z234" s="406"/>
    </row>
    <row r="235">
      <c r="A235" s="406"/>
      <c r="B235" s="406"/>
      <c r="C235" s="406"/>
      <c r="D235" s="406"/>
      <c r="E235" s="406"/>
      <c r="F235" s="406"/>
      <c r="G235" s="407"/>
      <c r="H235" s="406"/>
      <c r="I235" s="406"/>
      <c r="J235" s="406"/>
      <c r="K235" s="406"/>
      <c r="L235" s="406"/>
      <c r="M235" s="406"/>
      <c r="N235" s="406"/>
      <c r="O235" s="406"/>
      <c r="P235" s="406"/>
      <c r="Q235" s="406"/>
      <c r="R235" s="406"/>
      <c r="S235" s="406"/>
      <c r="T235" s="406"/>
      <c r="U235" s="406"/>
      <c r="V235" s="406"/>
      <c r="W235" s="406"/>
      <c r="X235" s="406"/>
      <c r="Y235" s="406"/>
      <c r="Z235" s="406"/>
    </row>
    <row r="236">
      <c r="A236" s="406"/>
      <c r="B236" s="406"/>
      <c r="C236" s="406"/>
      <c r="D236" s="406"/>
      <c r="E236" s="406"/>
      <c r="F236" s="406"/>
      <c r="G236" s="407"/>
      <c r="H236" s="406"/>
      <c r="I236" s="406"/>
      <c r="J236" s="406"/>
      <c r="K236" s="406"/>
      <c r="L236" s="406"/>
      <c r="M236" s="406"/>
      <c r="N236" s="406"/>
      <c r="O236" s="406"/>
      <c r="P236" s="406"/>
      <c r="Q236" s="406"/>
      <c r="R236" s="406"/>
      <c r="S236" s="406"/>
      <c r="T236" s="406"/>
      <c r="U236" s="406"/>
      <c r="V236" s="406"/>
      <c r="W236" s="406"/>
      <c r="X236" s="406"/>
      <c r="Y236" s="406"/>
      <c r="Z236" s="406"/>
    </row>
    <row r="237">
      <c r="A237" s="406"/>
      <c r="B237" s="406"/>
      <c r="C237" s="406"/>
      <c r="D237" s="406"/>
      <c r="E237" s="406"/>
      <c r="F237" s="406"/>
      <c r="G237" s="407"/>
      <c r="H237" s="406"/>
      <c r="I237" s="406"/>
      <c r="J237" s="406"/>
      <c r="K237" s="406"/>
      <c r="L237" s="406"/>
      <c r="M237" s="406"/>
      <c r="N237" s="406"/>
      <c r="O237" s="406"/>
      <c r="P237" s="406"/>
      <c r="Q237" s="406"/>
      <c r="R237" s="406"/>
      <c r="S237" s="406"/>
      <c r="T237" s="406"/>
      <c r="U237" s="406"/>
      <c r="V237" s="406"/>
      <c r="W237" s="406"/>
      <c r="X237" s="406"/>
      <c r="Y237" s="406"/>
      <c r="Z237" s="406"/>
    </row>
    <row r="238">
      <c r="A238" s="406"/>
      <c r="B238" s="406"/>
      <c r="C238" s="406"/>
      <c r="D238" s="406"/>
      <c r="E238" s="406"/>
      <c r="F238" s="406"/>
      <c r="G238" s="407"/>
      <c r="H238" s="406"/>
      <c r="I238" s="406"/>
      <c r="J238" s="406"/>
      <c r="K238" s="406"/>
      <c r="L238" s="406"/>
      <c r="M238" s="406"/>
      <c r="N238" s="406"/>
      <c r="O238" s="406"/>
      <c r="P238" s="406"/>
      <c r="Q238" s="406"/>
      <c r="R238" s="406"/>
      <c r="S238" s="406"/>
      <c r="T238" s="406"/>
      <c r="U238" s="406"/>
      <c r="V238" s="406"/>
      <c r="W238" s="406"/>
      <c r="X238" s="406"/>
      <c r="Y238" s="406"/>
      <c r="Z238" s="406"/>
    </row>
    <row r="239">
      <c r="A239" s="406"/>
      <c r="B239" s="406"/>
      <c r="C239" s="406"/>
      <c r="D239" s="406"/>
      <c r="E239" s="406"/>
      <c r="F239" s="406"/>
      <c r="G239" s="407"/>
      <c r="H239" s="406"/>
      <c r="I239" s="406"/>
      <c r="J239" s="406"/>
      <c r="K239" s="406"/>
      <c r="L239" s="406"/>
      <c r="M239" s="406"/>
      <c r="N239" s="406"/>
      <c r="O239" s="406"/>
      <c r="P239" s="406"/>
      <c r="Q239" s="406"/>
      <c r="R239" s="406"/>
      <c r="S239" s="406"/>
      <c r="T239" s="406"/>
      <c r="U239" s="406"/>
      <c r="V239" s="406"/>
      <c r="W239" s="406"/>
      <c r="X239" s="406"/>
      <c r="Y239" s="406"/>
      <c r="Z239" s="406"/>
    </row>
    <row r="240">
      <c r="A240" s="406"/>
      <c r="B240" s="406"/>
      <c r="C240" s="406"/>
      <c r="D240" s="406"/>
      <c r="E240" s="406"/>
      <c r="F240" s="406"/>
      <c r="G240" s="407"/>
      <c r="H240" s="406"/>
      <c r="I240" s="406"/>
      <c r="J240" s="406"/>
      <c r="K240" s="406"/>
      <c r="L240" s="406"/>
      <c r="M240" s="406"/>
      <c r="N240" s="406"/>
      <c r="O240" s="406"/>
      <c r="P240" s="406"/>
      <c r="Q240" s="406"/>
      <c r="R240" s="406"/>
      <c r="S240" s="406"/>
      <c r="T240" s="406"/>
      <c r="U240" s="406"/>
      <c r="V240" s="406"/>
      <c r="W240" s="406"/>
      <c r="X240" s="406"/>
      <c r="Y240" s="406"/>
      <c r="Z240" s="406"/>
    </row>
    <row r="241">
      <c r="A241" s="406"/>
      <c r="B241" s="406"/>
      <c r="C241" s="406"/>
      <c r="D241" s="406"/>
      <c r="E241" s="406"/>
      <c r="F241" s="406"/>
      <c r="G241" s="407"/>
      <c r="H241" s="406"/>
      <c r="I241" s="406"/>
      <c r="J241" s="406"/>
      <c r="K241" s="406"/>
      <c r="L241" s="406"/>
      <c r="M241" s="406"/>
      <c r="N241" s="406"/>
      <c r="O241" s="406"/>
      <c r="P241" s="406"/>
      <c r="Q241" s="406"/>
      <c r="R241" s="406"/>
      <c r="S241" s="406"/>
      <c r="T241" s="406"/>
      <c r="U241" s="406"/>
      <c r="V241" s="406"/>
      <c r="W241" s="406"/>
      <c r="X241" s="406"/>
      <c r="Y241" s="406"/>
      <c r="Z241" s="406"/>
    </row>
    <row r="242">
      <c r="A242" s="406"/>
      <c r="B242" s="406"/>
      <c r="C242" s="406"/>
      <c r="D242" s="406"/>
      <c r="E242" s="406"/>
      <c r="F242" s="406"/>
      <c r="G242" s="407"/>
      <c r="H242" s="406"/>
      <c r="I242" s="406"/>
      <c r="J242" s="406"/>
      <c r="K242" s="406"/>
      <c r="L242" s="406"/>
      <c r="M242" s="406"/>
      <c r="N242" s="406"/>
      <c r="O242" s="406"/>
      <c r="P242" s="406"/>
      <c r="Q242" s="406"/>
      <c r="R242" s="406"/>
      <c r="S242" s="406"/>
      <c r="T242" s="406"/>
      <c r="U242" s="406"/>
      <c r="V242" s="406"/>
      <c r="W242" s="406"/>
      <c r="X242" s="406"/>
      <c r="Y242" s="406"/>
      <c r="Z242" s="406"/>
    </row>
    <row r="243">
      <c r="A243" s="406"/>
      <c r="B243" s="406"/>
      <c r="C243" s="406"/>
      <c r="D243" s="406"/>
      <c r="E243" s="406"/>
      <c r="F243" s="406"/>
      <c r="G243" s="407"/>
      <c r="H243" s="406"/>
      <c r="I243" s="406"/>
      <c r="J243" s="406"/>
      <c r="K243" s="406"/>
      <c r="L243" s="406"/>
      <c r="M243" s="406"/>
      <c r="N243" s="406"/>
      <c r="O243" s="406"/>
      <c r="P243" s="406"/>
      <c r="Q243" s="406"/>
      <c r="R243" s="406"/>
      <c r="S243" s="406"/>
      <c r="T243" s="406"/>
      <c r="U243" s="406"/>
      <c r="V243" s="406"/>
      <c r="W243" s="406"/>
      <c r="X243" s="406"/>
      <c r="Y243" s="406"/>
      <c r="Z243" s="406"/>
    </row>
    <row r="244">
      <c r="A244" s="406"/>
      <c r="B244" s="406"/>
      <c r="C244" s="406"/>
      <c r="D244" s="406"/>
      <c r="E244" s="406"/>
      <c r="F244" s="406"/>
      <c r="G244" s="407"/>
      <c r="H244" s="406"/>
      <c r="I244" s="406"/>
      <c r="J244" s="406"/>
      <c r="K244" s="406"/>
      <c r="L244" s="406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406"/>
    </row>
    <row r="245">
      <c r="A245" s="406"/>
      <c r="B245" s="406"/>
      <c r="C245" s="406"/>
      <c r="D245" s="406"/>
      <c r="E245" s="406"/>
      <c r="F245" s="406"/>
      <c r="G245" s="407"/>
      <c r="H245" s="406"/>
      <c r="I245" s="406"/>
      <c r="J245" s="406"/>
      <c r="K245" s="406"/>
      <c r="L245" s="406"/>
      <c r="M245" s="406"/>
      <c r="N245" s="406"/>
      <c r="O245" s="406"/>
      <c r="P245" s="406"/>
      <c r="Q245" s="406"/>
      <c r="R245" s="406"/>
      <c r="S245" s="406"/>
      <c r="T245" s="406"/>
      <c r="U245" s="406"/>
      <c r="V245" s="406"/>
      <c r="W245" s="406"/>
      <c r="X245" s="406"/>
      <c r="Y245" s="406"/>
      <c r="Z245" s="406"/>
    </row>
    <row r="246">
      <c r="A246" s="406"/>
      <c r="B246" s="406"/>
      <c r="C246" s="406"/>
      <c r="D246" s="406"/>
      <c r="E246" s="406"/>
      <c r="F246" s="406"/>
      <c r="G246" s="407"/>
      <c r="H246" s="406"/>
      <c r="I246" s="406"/>
      <c r="J246" s="406"/>
      <c r="K246" s="406"/>
      <c r="L246" s="406"/>
      <c r="M246" s="406"/>
      <c r="N246" s="406"/>
      <c r="O246" s="406"/>
      <c r="P246" s="406"/>
      <c r="Q246" s="406"/>
      <c r="R246" s="406"/>
      <c r="S246" s="406"/>
      <c r="T246" s="406"/>
      <c r="U246" s="406"/>
      <c r="V246" s="406"/>
      <c r="W246" s="406"/>
      <c r="X246" s="406"/>
      <c r="Y246" s="406"/>
      <c r="Z246" s="406"/>
    </row>
    <row r="247">
      <c r="A247" s="406"/>
      <c r="B247" s="406"/>
      <c r="C247" s="406"/>
      <c r="D247" s="406"/>
      <c r="E247" s="406"/>
      <c r="F247" s="406"/>
      <c r="G247" s="407"/>
      <c r="H247" s="406"/>
      <c r="I247" s="406"/>
      <c r="J247" s="406"/>
      <c r="K247" s="406"/>
      <c r="L247" s="406"/>
      <c r="M247" s="406"/>
      <c r="N247" s="406"/>
      <c r="O247" s="406"/>
      <c r="P247" s="406"/>
      <c r="Q247" s="406"/>
      <c r="R247" s="406"/>
      <c r="S247" s="406"/>
      <c r="T247" s="406"/>
      <c r="U247" s="406"/>
      <c r="V247" s="406"/>
      <c r="W247" s="406"/>
      <c r="X247" s="406"/>
      <c r="Y247" s="406"/>
      <c r="Z247" s="406"/>
    </row>
    <row r="248">
      <c r="A248" s="406"/>
      <c r="B248" s="406"/>
      <c r="C248" s="406"/>
      <c r="D248" s="406"/>
      <c r="E248" s="406"/>
      <c r="F248" s="406"/>
      <c r="G248" s="407"/>
      <c r="H248" s="406"/>
      <c r="I248" s="406"/>
      <c r="J248" s="406"/>
      <c r="K248" s="406"/>
      <c r="L248" s="406"/>
      <c r="M248" s="406"/>
      <c r="N248" s="406"/>
      <c r="O248" s="406"/>
      <c r="P248" s="406"/>
      <c r="Q248" s="406"/>
      <c r="R248" s="406"/>
      <c r="S248" s="406"/>
      <c r="T248" s="406"/>
      <c r="U248" s="406"/>
      <c r="V248" s="406"/>
      <c r="W248" s="406"/>
      <c r="X248" s="406"/>
      <c r="Y248" s="406"/>
      <c r="Z248" s="406"/>
    </row>
    <row r="249">
      <c r="A249" s="406"/>
      <c r="B249" s="406"/>
      <c r="C249" s="406"/>
      <c r="D249" s="406"/>
      <c r="E249" s="406"/>
      <c r="F249" s="406"/>
      <c r="G249" s="407"/>
      <c r="H249" s="406"/>
      <c r="I249" s="406"/>
      <c r="J249" s="406"/>
      <c r="K249" s="406"/>
      <c r="L249" s="406"/>
      <c r="M249" s="406"/>
      <c r="N249" s="406"/>
      <c r="O249" s="406"/>
      <c r="P249" s="406"/>
      <c r="Q249" s="406"/>
      <c r="R249" s="406"/>
      <c r="S249" s="406"/>
      <c r="T249" s="406"/>
      <c r="U249" s="406"/>
      <c r="V249" s="406"/>
      <c r="W249" s="406"/>
      <c r="X249" s="406"/>
      <c r="Y249" s="406"/>
      <c r="Z249" s="406"/>
    </row>
    <row r="250">
      <c r="A250" s="406"/>
      <c r="B250" s="406"/>
      <c r="C250" s="406"/>
      <c r="D250" s="406"/>
      <c r="E250" s="406"/>
      <c r="F250" s="406"/>
      <c r="G250" s="407"/>
      <c r="H250" s="406"/>
      <c r="I250" s="406"/>
      <c r="J250" s="406"/>
      <c r="K250" s="406"/>
      <c r="L250" s="406"/>
      <c r="M250" s="406"/>
      <c r="N250" s="406"/>
      <c r="O250" s="406"/>
      <c r="P250" s="406"/>
      <c r="Q250" s="406"/>
      <c r="R250" s="406"/>
      <c r="S250" s="406"/>
      <c r="T250" s="406"/>
      <c r="U250" s="406"/>
      <c r="V250" s="406"/>
      <c r="W250" s="406"/>
      <c r="X250" s="406"/>
      <c r="Y250" s="406"/>
      <c r="Z250" s="406"/>
    </row>
    <row r="251">
      <c r="A251" s="406"/>
      <c r="B251" s="406"/>
      <c r="C251" s="406"/>
      <c r="D251" s="406"/>
      <c r="E251" s="406"/>
      <c r="F251" s="406"/>
      <c r="G251" s="407"/>
      <c r="H251" s="406"/>
      <c r="I251" s="406"/>
      <c r="J251" s="406"/>
      <c r="K251" s="406"/>
      <c r="L251" s="406"/>
      <c r="M251" s="406"/>
      <c r="N251" s="406"/>
      <c r="O251" s="406"/>
      <c r="P251" s="406"/>
      <c r="Q251" s="406"/>
      <c r="R251" s="406"/>
      <c r="S251" s="406"/>
      <c r="T251" s="406"/>
      <c r="U251" s="406"/>
      <c r="V251" s="406"/>
      <c r="W251" s="406"/>
      <c r="X251" s="406"/>
      <c r="Y251" s="406"/>
      <c r="Z251" s="406"/>
    </row>
    <row r="252">
      <c r="A252" s="406"/>
      <c r="B252" s="406"/>
      <c r="C252" s="406"/>
      <c r="D252" s="406"/>
      <c r="E252" s="406"/>
      <c r="F252" s="406"/>
      <c r="G252" s="407"/>
      <c r="H252" s="406"/>
      <c r="I252" s="406"/>
      <c r="J252" s="406"/>
      <c r="K252" s="406"/>
      <c r="L252" s="406"/>
      <c r="M252" s="406"/>
      <c r="N252" s="406"/>
      <c r="O252" s="406"/>
      <c r="P252" s="406"/>
      <c r="Q252" s="406"/>
      <c r="R252" s="406"/>
      <c r="S252" s="406"/>
      <c r="T252" s="406"/>
      <c r="U252" s="406"/>
      <c r="V252" s="406"/>
      <c r="W252" s="406"/>
      <c r="X252" s="406"/>
      <c r="Y252" s="406"/>
      <c r="Z252" s="406"/>
    </row>
    <row r="253">
      <c r="A253" s="406"/>
      <c r="B253" s="406"/>
      <c r="C253" s="406"/>
      <c r="D253" s="406"/>
      <c r="E253" s="406"/>
      <c r="F253" s="406"/>
      <c r="G253" s="407"/>
      <c r="H253" s="406"/>
      <c r="I253" s="406"/>
      <c r="J253" s="406"/>
      <c r="K253" s="406"/>
      <c r="L253" s="406"/>
      <c r="M253" s="406"/>
      <c r="N253" s="406"/>
      <c r="O253" s="406"/>
      <c r="P253" s="406"/>
      <c r="Q253" s="406"/>
      <c r="R253" s="406"/>
      <c r="S253" s="406"/>
      <c r="T253" s="406"/>
      <c r="U253" s="406"/>
      <c r="V253" s="406"/>
      <c r="W253" s="406"/>
      <c r="X253" s="406"/>
      <c r="Y253" s="406"/>
      <c r="Z253" s="406"/>
    </row>
    <row r="254">
      <c r="A254" s="406"/>
      <c r="B254" s="406"/>
      <c r="C254" s="406"/>
      <c r="D254" s="406"/>
      <c r="E254" s="406"/>
      <c r="F254" s="406"/>
      <c r="G254" s="407"/>
      <c r="H254" s="406"/>
      <c r="I254" s="406"/>
      <c r="J254" s="406"/>
      <c r="K254" s="406"/>
      <c r="L254" s="406"/>
      <c r="M254" s="406"/>
      <c r="N254" s="406"/>
      <c r="O254" s="406"/>
      <c r="P254" s="406"/>
      <c r="Q254" s="406"/>
      <c r="R254" s="406"/>
      <c r="S254" s="406"/>
      <c r="T254" s="406"/>
      <c r="U254" s="406"/>
      <c r="V254" s="406"/>
      <c r="W254" s="406"/>
      <c r="X254" s="406"/>
      <c r="Y254" s="406"/>
      <c r="Z254" s="406"/>
    </row>
    <row r="255">
      <c r="A255" s="406"/>
      <c r="B255" s="406"/>
      <c r="C255" s="406"/>
      <c r="D255" s="406"/>
      <c r="E255" s="406"/>
      <c r="F255" s="406"/>
      <c r="G255" s="407"/>
      <c r="H255" s="406"/>
      <c r="I255" s="406"/>
      <c r="J255" s="406"/>
      <c r="K255" s="406"/>
      <c r="L255" s="406"/>
      <c r="M255" s="406"/>
      <c r="N255" s="406"/>
      <c r="O255" s="406"/>
      <c r="P255" s="406"/>
      <c r="Q255" s="406"/>
      <c r="R255" s="406"/>
      <c r="S255" s="406"/>
      <c r="T255" s="406"/>
      <c r="U255" s="406"/>
      <c r="V255" s="406"/>
      <c r="W255" s="406"/>
      <c r="X255" s="406"/>
      <c r="Y255" s="406"/>
      <c r="Z255" s="406"/>
    </row>
    <row r="256">
      <c r="A256" s="406"/>
      <c r="B256" s="406"/>
      <c r="C256" s="406"/>
      <c r="D256" s="406"/>
      <c r="E256" s="406"/>
      <c r="F256" s="406"/>
      <c r="G256" s="407"/>
      <c r="H256" s="406"/>
      <c r="I256" s="406"/>
      <c r="J256" s="406"/>
      <c r="K256" s="406"/>
      <c r="L256" s="406"/>
      <c r="M256" s="406"/>
      <c r="N256" s="406"/>
      <c r="O256" s="406"/>
      <c r="P256" s="406"/>
      <c r="Q256" s="406"/>
      <c r="R256" s="406"/>
      <c r="S256" s="406"/>
      <c r="T256" s="406"/>
      <c r="U256" s="406"/>
      <c r="V256" s="406"/>
      <c r="W256" s="406"/>
      <c r="X256" s="406"/>
      <c r="Y256" s="406"/>
      <c r="Z256" s="406"/>
    </row>
    <row r="257">
      <c r="A257" s="406"/>
      <c r="B257" s="406"/>
      <c r="C257" s="406"/>
      <c r="D257" s="406"/>
      <c r="E257" s="406"/>
      <c r="F257" s="406"/>
      <c r="G257" s="407"/>
      <c r="H257" s="406"/>
      <c r="I257" s="406"/>
      <c r="J257" s="406"/>
      <c r="K257" s="406"/>
      <c r="L257" s="406"/>
      <c r="M257" s="406"/>
      <c r="N257" s="406"/>
      <c r="O257" s="406"/>
      <c r="P257" s="406"/>
      <c r="Q257" s="406"/>
      <c r="R257" s="406"/>
      <c r="S257" s="406"/>
      <c r="T257" s="406"/>
      <c r="U257" s="406"/>
      <c r="V257" s="406"/>
      <c r="W257" s="406"/>
      <c r="X257" s="406"/>
      <c r="Y257" s="406"/>
      <c r="Z257" s="406"/>
    </row>
    <row r="258">
      <c r="A258" s="406"/>
      <c r="B258" s="406"/>
      <c r="C258" s="406"/>
      <c r="D258" s="406"/>
      <c r="E258" s="406"/>
      <c r="F258" s="406"/>
      <c r="G258" s="407"/>
      <c r="H258" s="406"/>
      <c r="I258" s="406"/>
      <c r="J258" s="406"/>
      <c r="K258" s="406"/>
      <c r="L258" s="406"/>
      <c r="M258" s="406"/>
      <c r="N258" s="406"/>
      <c r="O258" s="406"/>
      <c r="P258" s="406"/>
      <c r="Q258" s="406"/>
      <c r="R258" s="406"/>
      <c r="S258" s="406"/>
      <c r="T258" s="406"/>
      <c r="U258" s="406"/>
      <c r="V258" s="406"/>
      <c r="W258" s="406"/>
      <c r="X258" s="406"/>
      <c r="Y258" s="406"/>
      <c r="Z258" s="406"/>
    </row>
    <row r="259">
      <c r="A259" s="406"/>
      <c r="B259" s="406"/>
      <c r="C259" s="406"/>
      <c r="D259" s="406"/>
      <c r="E259" s="406"/>
      <c r="F259" s="406"/>
      <c r="G259" s="407"/>
      <c r="H259" s="406"/>
      <c r="I259" s="406"/>
      <c r="J259" s="406"/>
      <c r="K259" s="406"/>
      <c r="L259" s="406"/>
      <c r="M259" s="406"/>
      <c r="N259" s="406"/>
      <c r="O259" s="406"/>
      <c r="P259" s="406"/>
      <c r="Q259" s="406"/>
      <c r="R259" s="406"/>
      <c r="S259" s="406"/>
      <c r="T259" s="406"/>
      <c r="U259" s="406"/>
      <c r="V259" s="406"/>
      <c r="W259" s="406"/>
      <c r="X259" s="406"/>
      <c r="Y259" s="406"/>
      <c r="Z259" s="406"/>
    </row>
    <row r="260">
      <c r="A260" s="406"/>
      <c r="B260" s="406"/>
      <c r="C260" s="406"/>
      <c r="D260" s="406"/>
      <c r="E260" s="406"/>
      <c r="F260" s="406"/>
      <c r="G260" s="407"/>
      <c r="H260" s="406"/>
      <c r="I260" s="406"/>
      <c r="J260" s="406"/>
      <c r="K260" s="406"/>
      <c r="L260" s="406"/>
      <c r="M260" s="406"/>
      <c r="N260" s="406"/>
      <c r="O260" s="406"/>
      <c r="P260" s="406"/>
      <c r="Q260" s="406"/>
      <c r="R260" s="406"/>
      <c r="S260" s="406"/>
      <c r="T260" s="406"/>
      <c r="U260" s="406"/>
      <c r="V260" s="406"/>
      <c r="W260" s="406"/>
      <c r="X260" s="406"/>
      <c r="Y260" s="406"/>
      <c r="Z260" s="406"/>
    </row>
    <row r="261">
      <c r="A261" s="406"/>
      <c r="B261" s="406"/>
      <c r="C261" s="406"/>
      <c r="D261" s="406"/>
      <c r="E261" s="406"/>
      <c r="F261" s="406"/>
      <c r="G261" s="407"/>
      <c r="H261" s="406"/>
      <c r="I261" s="406"/>
      <c r="J261" s="406"/>
      <c r="K261" s="406"/>
      <c r="L261" s="406"/>
      <c r="M261" s="406"/>
      <c r="N261" s="406"/>
      <c r="O261" s="406"/>
      <c r="P261" s="406"/>
      <c r="Q261" s="406"/>
      <c r="R261" s="406"/>
      <c r="S261" s="406"/>
      <c r="T261" s="406"/>
      <c r="U261" s="406"/>
      <c r="V261" s="406"/>
      <c r="W261" s="406"/>
      <c r="X261" s="406"/>
      <c r="Y261" s="406"/>
      <c r="Z261" s="406"/>
    </row>
    <row r="262">
      <c r="A262" s="406"/>
      <c r="B262" s="406"/>
      <c r="C262" s="406"/>
      <c r="D262" s="406"/>
      <c r="E262" s="406"/>
      <c r="F262" s="406"/>
      <c r="G262" s="407"/>
      <c r="H262" s="406"/>
      <c r="I262" s="406"/>
      <c r="J262" s="406"/>
      <c r="K262" s="406"/>
      <c r="L262" s="406"/>
      <c r="M262" s="406"/>
      <c r="N262" s="406"/>
      <c r="O262" s="406"/>
      <c r="P262" s="406"/>
      <c r="Q262" s="406"/>
      <c r="R262" s="406"/>
      <c r="S262" s="406"/>
      <c r="T262" s="406"/>
      <c r="U262" s="406"/>
      <c r="V262" s="406"/>
      <c r="W262" s="406"/>
      <c r="X262" s="406"/>
      <c r="Y262" s="406"/>
      <c r="Z262" s="406"/>
    </row>
    <row r="263">
      <c r="A263" s="406"/>
      <c r="B263" s="406"/>
      <c r="C263" s="406"/>
      <c r="D263" s="406"/>
      <c r="E263" s="406"/>
      <c r="F263" s="406"/>
      <c r="G263" s="407"/>
      <c r="H263" s="406"/>
      <c r="I263" s="406"/>
      <c r="J263" s="406"/>
      <c r="K263" s="406"/>
      <c r="L263" s="406"/>
      <c r="M263" s="406"/>
      <c r="N263" s="406"/>
      <c r="O263" s="406"/>
      <c r="P263" s="406"/>
      <c r="Q263" s="406"/>
      <c r="R263" s="406"/>
      <c r="S263" s="406"/>
      <c r="T263" s="406"/>
      <c r="U263" s="406"/>
      <c r="V263" s="406"/>
      <c r="W263" s="406"/>
      <c r="X263" s="406"/>
      <c r="Y263" s="406"/>
      <c r="Z263" s="406"/>
    </row>
    <row r="264">
      <c r="A264" s="406"/>
      <c r="B264" s="406"/>
      <c r="C264" s="406"/>
      <c r="D264" s="406"/>
      <c r="E264" s="406"/>
      <c r="F264" s="406"/>
      <c r="G264" s="407"/>
      <c r="H264" s="406"/>
      <c r="I264" s="406"/>
      <c r="J264" s="406"/>
      <c r="K264" s="406"/>
      <c r="L264" s="406"/>
      <c r="M264" s="406"/>
      <c r="N264" s="406"/>
      <c r="O264" s="406"/>
      <c r="P264" s="406"/>
      <c r="Q264" s="406"/>
      <c r="R264" s="406"/>
      <c r="S264" s="406"/>
      <c r="T264" s="406"/>
      <c r="U264" s="406"/>
      <c r="V264" s="406"/>
      <c r="W264" s="406"/>
      <c r="X264" s="406"/>
      <c r="Y264" s="406"/>
      <c r="Z264" s="406"/>
    </row>
    <row r="265">
      <c r="A265" s="406"/>
      <c r="B265" s="406"/>
      <c r="C265" s="406"/>
      <c r="D265" s="406"/>
      <c r="E265" s="406"/>
      <c r="F265" s="406"/>
      <c r="G265" s="407"/>
      <c r="H265" s="406"/>
      <c r="I265" s="406"/>
      <c r="J265" s="406"/>
      <c r="K265" s="406"/>
      <c r="L265" s="406"/>
      <c r="M265" s="406"/>
      <c r="N265" s="406"/>
      <c r="O265" s="406"/>
      <c r="P265" s="406"/>
      <c r="Q265" s="406"/>
      <c r="R265" s="406"/>
      <c r="S265" s="406"/>
      <c r="T265" s="406"/>
      <c r="U265" s="406"/>
      <c r="V265" s="406"/>
      <c r="W265" s="406"/>
      <c r="X265" s="406"/>
      <c r="Y265" s="406"/>
      <c r="Z265" s="406"/>
    </row>
    <row r="266">
      <c r="A266" s="406"/>
      <c r="B266" s="406"/>
      <c r="C266" s="406"/>
      <c r="D266" s="406"/>
      <c r="E266" s="406"/>
      <c r="F266" s="406"/>
      <c r="G266" s="407"/>
      <c r="H266" s="406"/>
      <c r="I266" s="406"/>
      <c r="J266" s="406"/>
      <c r="K266" s="406"/>
      <c r="L266" s="406"/>
      <c r="M266" s="406"/>
      <c r="N266" s="406"/>
      <c r="O266" s="406"/>
      <c r="P266" s="406"/>
      <c r="Q266" s="406"/>
      <c r="R266" s="406"/>
      <c r="S266" s="406"/>
      <c r="T266" s="406"/>
      <c r="U266" s="406"/>
      <c r="V266" s="406"/>
      <c r="W266" s="406"/>
      <c r="X266" s="406"/>
      <c r="Y266" s="406"/>
      <c r="Z266" s="406"/>
    </row>
    <row r="267">
      <c r="A267" s="406"/>
      <c r="B267" s="406"/>
      <c r="C267" s="406"/>
      <c r="D267" s="406"/>
      <c r="E267" s="406"/>
      <c r="F267" s="406"/>
      <c r="G267" s="407"/>
      <c r="H267" s="406"/>
      <c r="I267" s="406"/>
      <c r="J267" s="406"/>
      <c r="K267" s="406"/>
      <c r="L267" s="406"/>
      <c r="M267" s="406"/>
      <c r="N267" s="406"/>
      <c r="O267" s="406"/>
      <c r="P267" s="406"/>
      <c r="Q267" s="406"/>
      <c r="R267" s="406"/>
      <c r="S267" s="406"/>
      <c r="T267" s="406"/>
      <c r="U267" s="406"/>
      <c r="V267" s="406"/>
      <c r="W267" s="406"/>
      <c r="X267" s="406"/>
      <c r="Y267" s="406"/>
      <c r="Z267" s="406"/>
    </row>
    <row r="268">
      <c r="A268" s="406"/>
      <c r="B268" s="406"/>
      <c r="C268" s="406"/>
      <c r="D268" s="406"/>
      <c r="E268" s="406"/>
      <c r="F268" s="406"/>
      <c r="G268" s="407"/>
      <c r="H268" s="406"/>
      <c r="I268" s="406"/>
      <c r="J268" s="406"/>
      <c r="K268" s="406"/>
      <c r="L268" s="406"/>
      <c r="M268" s="406"/>
      <c r="N268" s="406"/>
      <c r="O268" s="406"/>
      <c r="P268" s="406"/>
      <c r="Q268" s="406"/>
      <c r="R268" s="406"/>
      <c r="S268" s="406"/>
      <c r="T268" s="406"/>
      <c r="U268" s="406"/>
      <c r="V268" s="406"/>
      <c r="W268" s="406"/>
      <c r="X268" s="406"/>
      <c r="Y268" s="406"/>
      <c r="Z268" s="406"/>
    </row>
    <row r="269">
      <c r="A269" s="406"/>
      <c r="B269" s="406"/>
      <c r="C269" s="406"/>
      <c r="D269" s="406"/>
      <c r="E269" s="406"/>
      <c r="F269" s="406"/>
      <c r="G269" s="407"/>
      <c r="H269" s="406"/>
      <c r="I269" s="406"/>
      <c r="J269" s="406"/>
      <c r="K269" s="406"/>
      <c r="L269" s="406"/>
      <c r="M269" s="406"/>
      <c r="N269" s="406"/>
      <c r="O269" s="406"/>
      <c r="P269" s="406"/>
      <c r="Q269" s="406"/>
      <c r="R269" s="406"/>
      <c r="S269" s="406"/>
      <c r="T269" s="406"/>
      <c r="U269" s="406"/>
      <c r="V269" s="406"/>
      <c r="W269" s="406"/>
      <c r="X269" s="406"/>
      <c r="Y269" s="406"/>
      <c r="Z269" s="406"/>
    </row>
    <row r="270">
      <c r="A270" s="406"/>
      <c r="B270" s="406"/>
      <c r="C270" s="406"/>
      <c r="D270" s="406"/>
      <c r="E270" s="406"/>
      <c r="F270" s="406"/>
      <c r="G270" s="407"/>
      <c r="H270" s="406"/>
      <c r="I270" s="406"/>
      <c r="J270" s="406"/>
      <c r="K270" s="406"/>
      <c r="L270" s="406"/>
      <c r="M270" s="406"/>
      <c r="N270" s="406"/>
      <c r="O270" s="406"/>
      <c r="P270" s="406"/>
      <c r="Q270" s="406"/>
      <c r="R270" s="406"/>
      <c r="S270" s="406"/>
      <c r="T270" s="406"/>
      <c r="U270" s="406"/>
      <c r="V270" s="406"/>
      <c r="W270" s="406"/>
      <c r="X270" s="406"/>
      <c r="Y270" s="406"/>
      <c r="Z270" s="406"/>
    </row>
    <row r="271">
      <c r="A271" s="406"/>
      <c r="B271" s="406"/>
      <c r="C271" s="406"/>
      <c r="D271" s="406"/>
      <c r="E271" s="406"/>
      <c r="F271" s="406"/>
      <c r="G271" s="407"/>
      <c r="H271" s="406"/>
      <c r="I271" s="406"/>
      <c r="J271" s="406"/>
      <c r="K271" s="406"/>
      <c r="L271" s="406"/>
      <c r="M271" s="406"/>
      <c r="N271" s="406"/>
      <c r="O271" s="406"/>
      <c r="P271" s="406"/>
      <c r="Q271" s="406"/>
      <c r="R271" s="406"/>
      <c r="S271" s="406"/>
      <c r="T271" s="406"/>
      <c r="U271" s="406"/>
      <c r="V271" s="406"/>
      <c r="W271" s="406"/>
      <c r="X271" s="406"/>
      <c r="Y271" s="406"/>
      <c r="Z271" s="406"/>
    </row>
    <row r="272">
      <c r="A272" s="406"/>
      <c r="B272" s="406"/>
      <c r="C272" s="406"/>
      <c r="D272" s="406"/>
      <c r="E272" s="406"/>
      <c r="F272" s="406"/>
      <c r="G272" s="407"/>
      <c r="H272" s="406"/>
      <c r="I272" s="406"/>
      <c r="J272" s="406"/>
      <c r="K272" s="406"/>
      <c r="L272" s="406"/>
      <c r="M272" s="406"/>
      <c r="N272" s="406"/>
      <c r="O272" s="406"/>
      <c r="P272" s="406"/>
      <c r="Q272" s="406"/>
      <c r="R272" s="406"/>
      <c r="S272" s="406"/>
      <c r="T272" s="406"/>
      <c r="U272" s="406"/>
      <c r="V272" s="406"/>
      <c r="W272" s="406"/>
      <c r="X272" s="406"/>
      <c r="Y272" s="406"/>
      <c r="Z272" s="406"/>
    </row>
    <row r="273">
      <c r="A273" s="406"/>
      <c r="B273" s="406"/>
      <c r="C273" s="406"/>
      <c r="D273" s="406"/>
      <c r="E273" s="406"/>
      <c r="F273" s="406"/>
      <c r="G273" s="407"/>
      <c r="H273" s="406"/>
      <c r="I273" s="406"/>
      <c r="J273" s="406"/>
      <c r="K273" s="406"/>
      <c r="L273" s="406"/>
      <c r="M273" s="406"/>
      <c r="N273" s="406"/>
      <c r="O273" s="406"/>
      <c r="P273" s="406"/>
      <c r="Q273" s="406"/>
      <c r="R273" s="406"/>
      <c r="S273" s="406"/>
      <c r="T273" s="406"/>
      <c r="U273" s="406"/>
      <c r="V273" s="406"/>
      <c r="W273" s="406"/>
      <c r="X273" s="406"/>
      <c r="Y273" s="406"/>
      <c r="Z273" s="406"/>
    </row>
    <row r="274">
      <c r="A274" s="406"/>
      <c r="B274" s="406"/>
      <c r="C274" s="406"/>
      <c r="D274" s="406"/>
      <c r="E274" s="406"/>
      <c r="F274" s="406"/>
      <c r="G274" s="407"/>
      <c r="H274" s="406"/>
      <c r="I274" s="406"/>
      <c r="J274" s="406"/>
      <c r="K274" s="406"/>
      <c r="L274" s="406"/>
      <c r="M274" s="406"/>
      <c r="N274" s="406"/>
      <c r="O274" s="406"/>
      <c r="P274" s="406"/>
      <c r="Q274" s="406"/>
      <c r="R274" s="406"/>
      <c r="S274" s="406"/>
      <c r="T274" s="406"/>
      <c r="U274" s="406"/>
      <c r="V274" s="406"/>
      <c r="W274" s="406"/>
      <c r="X274" s="406"/>
      <c r="Y274" s="406"/>
      <c r="Z274" s="406"/>
    </row>
    <row r="275">
      <c r="A275" s="406"/>
      <c r="B275" s="406"/>
      <c r="C275" s="406"/>
      <c r="D275" s="406"/>
      <c r="E275" s="406"/>
      <c r="F275" s="406"/>
      <c r="G275" s="407"/>
      <c r="H275" s="406"/>
      <c r="I275" s="406"/>
      <c r="J275" s="406"/>
      <c r="K275" s="406"/>
      <c r="L275" s="406"/>
      <c r="M275" s="406"/>
      <c r="N275" s="406"/>
      <c r="O275" s="406"/>
      <c r="P275" s="406"/>
      <c r="Q275" s="406"/>
      <c r="R275" s="406"/>
      <c r="S275" s="406"/>
      <c r="T275" s="406"/>
      <c r="U275" s="406"/>
      <c r="V275" s="406"/>
      <c r="W275" s="406"/>
      <c r="X275" s="406"/>
      <c r="Y275" s="406"/>
      <c r="Z275" s="406"/>
    </row>
    <row r="276">
      <c r="A276" s="406"/>
      <c r="B276" s="406"/>
      <c r="C276" s="406"/>
      <c r="D276" s="406"/>
      <c r="E276" s="406"/>
      <c r="F276" s="406"/>
      <c r="G276" s="407"/>
      <c r="H276" s="406"/>
      <c r="I276" s="406"/>
      <c r="J276" s="406"/>
      <c r="K276" s="406"/>
      <c r="L276" s="406"/>
      <c r="M276" s="406"/>
      <c r="N276" s="406"/>
      <c r="O276" s="406"/>
      <c r="P276" s="406"/>
      <c r="Q276" s="406"/>
      <c r="R276" s="406"/>
      <c r="S276" s="406"/>
      <c r="T276" s="406"/>
      <c r="U276" s="406"/>
      <c r="V276" s="406"/>
      <c r="W276" s="406"/>
      <c r="X276" s="406"/>
      <c r="Y276" s="406"/>
      <c r="Z276" s="406"/>
    </row>
    <row r="277">
      <c r="A277" s="406"/>
      <c r="B277" s="406"/>
      <c r="C277" s="406"/>
      <c r="D277" s="406"/>
      <c r="E277" s="406"/>
      <c r="F277" s="406"/>
      <c r="G277" s="407"/>
      <c r="H277" s="406"/>
      <c r="I277" s="406"/>
      <c r="J277" s="406"/>
      <c r="K277" s="406"/>
      <c r="L277" s="406"/>
      <c r="M277" s="406"/>
      <c r="N277" s="406"/>
      <c r="O277" s="406"/>
      <c r="P277" s="406"/>
      <c r="Q277" s="406"/>
      <c r="R277" s="406"/>
      <c r="S277" s="406"/>
      <c r="T277" s="406"/>
      <c r="U277" s="406"/>
      <c r="V277" s="406"/>
      <c r="W277" s="406"/>
      <c r="X277" s="406"/>
      <c r="Y277" s="406"/>
      <c r="Z277" s="406"/>
    </row>
    <row r="278">
      <c r="A278" s="406"/>
      <c r="B278" s="406"/>
      <c r="C278" s="406"/>
      <c r="D278" s="406"/>
      <c r="E278" s="406"/>
      <c r="F278" s="406"/>
      <c r="G278" s="407"/>
      <c r="H278" s="406"/>
      <c r="I278" s="406"/>
      <c r="J278" s="406"/>
      <c r="K278" s="406"/>
      <c r="L278" s="406"/>
      <c r="M278" s="406"/>
      <c r="N278" s="406"/>
      <c r="O278" s="406"/>
      <c r="P278" s="406"/>
      <c r="Q278" s="406"/>
      <c r="R278" s="406"/>
      <c r="S278" s="406"/>
      <c r="T278" s="406"/>
      <c r="U278" s="406"/>
      <c r="V278" s="406"/>
      <c r="W278" s="406"/>
      <c r="X278" s="406"/>
      <c r="Y278" s="406"/>
      <c r="Z278" s="406"/>
    </row>
    <row r="279">
      <c r="A279" s="406"/>
      <c r="B279" s="406"/>
      <c r="C279" s="406"/>
      <c r="D279" s="406"/>
      <c r="E279" s="406"/>
      <c r="F279" s="406"/>
      <c r="G279" s="407"/>
      <c r="H279" s="406"/>
      <c r="I279" s="406"/>
      <c r="J279" s="406"/>
      <c r="K279" s="406"/>
      <c r="L279" s="406"/>
      <c r="M279" s="406"/>
      <c r="N279" s="406"/>
      <c r="O279" s="406"/>
      <c r="P279" s="406"/>
      <c r="Q279" s="406"/>
      <c r="R279" s="406"/>
      <c r="S279" s="406"/>
      <c r="T279" s="406"/>
      <c r="U279" s="406"/>
      <c r="V279" s="406"/>
      <c r="W279" s="406"/>
      <c r="X279" s="406"/>
      <c r="Y279" s="406"/>
      <c r="Z279" s="406"/>
    </row>
    <row r="280">
      <c r="A280" s="406"/>
      <c r="B280" s="406"/>
      <c r="C280" s="406"/>
      <c r="D280" s="406"/>
      <c r="E280" s="406"/>
      <c r="F280" s="406"/>
      <c r="G280" s="407"/>
      <c r="H280" s="406"/>
      <c r="I280" s="406"/>
      <c r="J280" s="406"/>
      <c r="K280" s="406"/>
      <c r="L280" s="406"/>
      <c r="M280" s="406"/>
      <c r="N280" s="406"/>
      <c r="O280" s="406"/>
      <c r="P280" s="406"/>
      <c r="Q280" s="406"/>
      <c r="R280" s="406"/>
      <c r="S280" s="406"/>
      <c r="T280" s="406"/>
      <c r="U280" s="406"/>
      <c r="V280" s="406"/>
      <c r="W280" s="406"/>
      <c r="X280" s="406"/>
      <c r="Y280" s="406"/>
      <c r="Z280" s="406"/>
    </row>
    <row r="281">
      <c r="A281" s="406"/>
      <c r="B281" s="406"/>
      <c r="C281" s="406"/>
      <c r="D281" s="406"/>
      <c r="E281" s="406"/>
      <c r="F281" s="406"/>
      <c r="G281" s="407"/>
      <c r="H281" s="406"/>
      <c r="I281" s="406"/>
      <c r="J281" s="406"/>
      <c r="K281" s="406"/>
      <c r="L281" s="406"/>
      <c r="M281" s="406"/>
      <c r="N281" s="406"/>
      <c r="O281" s="406"/>
      <c r="P281" s="406"/>
      <c r="Q281" s="406"/>
      <c r="R281" s="406"/>
      <c r="S281" s="406"/>
      <c r="T281" s="406"/>
      <c r="U281" s="406"/>
      <c r="V281" s="406"/>
      <c r="W281" s="406"/>
      <c r="X281" s="406"/>
      <c r="Y281" s="406"/>
      <c r="Z281" s="406"/>
    </row>
    <row r="282">
      <c r="A282" s="406"/>
      <c r="B282" s="406"/>
      <c r="C282" s="406"/>
      <c r="D282" s="406"/>
      <c r="E282" s="406"/>
      <c r="F282" s="406"/>
      <c r="G282" s="407"/>
      <c r="H282" s="406"/>
      <c r="I282" s="406"/>
      <c r="J282" s="406"/>
      <c r="K282" s="406"/>
      <c r="L282" s="406"/>
      <c r="M282" s="406"/>
      <c r="N282" s="406"/>
      <c r="O282" s="406"/>
      <c r="P282" s="406"/>
      <c r="Q282" s="406"/>
      <c r="R282" s="406"/>
      <c r="S282" s="406"/>
      <c r="T282" s="406"/>
      <c r="U282" s="406"/>
      <c r="V282" s="406"/>
      <c r="W282" s="406"/>
      <c r="X282" s="406"/>
      <c r="Y282" s="406"/>
      <c r="Z282" s="406"/>
    </row>
    <row r="283">
      <c r="A283" s="406"/>
      <c r="B283" s="406"/>
      <c r="C283" s="406"/>
      <c r="D283" s="406"/>
      <c r="E283" s="406"/>
      <c r="F283" s="406"/>
      <c r="G283" s="407"/>
      <c r="H283" s="406"/>
      <c r="I283" s="406"/>
      <c r="J283" s="406"/>
      <c r="K283" s="406"/>
      <c r="L283" s="406"/>
      <c r="M283" s="406"/>
      <c r="N283" s="406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</row>
    <row r="284">
      <c r="A284" s="406"/>
      <c r="B284" s="406"/>
      <c r="C284" s="406"/>
      <c r="D284" s="406"/>
      <c r="E284" s="406"/>
      <c r="F284" s="406"/>
      <c r="G284" s="407"/>
      <c r="H284" s="406"/>
      <c r="I284" s="406"/>
      <c r="J284" s="406"/>
      <c r="K284" s="406"/>
      <c r="L284" s="406"/>
      <c r="M284" s="406"/>
      <c r="N284" s="406"/>
      <c r="O284" s="406"/>
      <c r="P284" s="406"/>
      <c r="Q284" s="406"/>
      <c r="R284" s="406"/>
      <c r="S284" s="406"/>
      <c r="T284" s="406"/>
      <c r="U284" s="406"/>
      <c r="V284" s="406"/>
      <c r="W284" s="406"/>
      <c r="X284" s="406"/>
      <c r="Y284" s="406"/>
      <c r="Z284" s="406"/>
    </row>
    <row r="285">
      <c r="A285" s="406"/>
      <c r="B285" s="406"/>
      <c r="C285" s="406"/>
      <c r="D285" s="406"/>
      <c r="E285" s="406"/>
      <c r="F285" s="406"/>
      <c r="G285" s="407"/>
      <c r="H285" s="406"/>
      <c r="I285" s="406"/>
      <c r="J285" s="406"/>
      <c r="K285" s="406"/>
      <c r="L285" s="406"/>
      <c r="M285" s="406"/>
      <c r="N285" s="406"/>
      <c r="O285" s="406"/>
      <c r="P285" s="406"/>
      <c r="Q285" s="406"/>
      <c r="R285" s="406"/>
      <c r="S285" s="406"/>
      <c r="T285" s="406"/>
      <c r="U285" s="406"/>
      <c r="V285" s="406"/>
      <c r="W285" s="406"/>
      <c r="X285" s="406"/>
      <c r="Y285" s="406"/>
      <c r="Z285" s="406"/>
    </row>
    <row r="286">
      <c r="A286" s="406"/>
      <c r="B286" s="406"/>
      <c r="C286" s="406"/>
      <c r="D286" s="406"/>
      <c r="E286" s="406"/>
      <c r="F286" s="406"/>
      <c r="G286" s="407"/>
      <c r="H286" s="406"/>
      <c r="I286" s="406"/>
      <c r="J286" s="406"/>
      <c r="K286" s="406"/>
      <c r="L286" s="406"/>
      <c r="M286" s="406"/>
      <c r="N286" s="406"/>
      <c r="O286" s="406"/>
      <c r="P286" s="406"/>
      <c r="Q286" s="406"/>
      <c r="R286" s="406"/>
      <c r="S286" s="406"/>
      <c r="T286" s="406"/>
      <c r="U286" s="406"/>
      <c r="V286" s="406"/>
      <c r="W286" s="406"/>
      <c r="X286" s="406"/>
      <c r="Y286" s="406"/>
      <c r="Z286" s="406"/>
    </row>
    <row r="287">
      <c r="A287" s="406"/>
      <c r="B287" s="406"/>
      <c r="C287" s="406"/>
      <c r="D287" s="406"/>
      <c r="E287" s="406"/>
      <c r="F287" s="406"/>
      <c r="G287" s="407"/>
      <c r="H287" s="406"/>
      <c r="I287" s="406"/>
      <c r="J287" s="406"/>
      <c r="K287" s="406"/>
      <c r="L287" s="406"/>
      <c r="M287" s="406"/>
      <c r="N287" s="406"/>
      <c r="O287" s="406"/>
      <c r="P287" s="406"/>
      <c r="Q287" s="406"/>
      <c r="R287" s="406"/>
      <c r="S287" s="406"/>
      <c r="T287" s="406"/>
      <c r="U287" s="406"/>
      <c r="V287" s="406"/>
      <c r="W287" s="406"/>
      <c r="X287" s="406"/>
      <c r="Y287" s="406"/>
      <c r="Z287" s="406"/>
    </row>
    <row r="288">
      <c r="A288" s="406"/>
      <c r="B288" s="406"/>
      <c r="C288" s="406"/>
      <c r="D288" s="406"/>
      <c r="E288" s="406"/>
      <c r="F288" s="406"/>
      <c r="G288" s="407"/>
      <c r="H288" s="406"/>
      <c r="I288" s="406"/>
      <c r="J288" s="406"/>
      <c r="K288" s="406"/>
      <c r="L288" s="406"/>
      <c r="M288" s="406"/>
      <c r="N288" s="406"/>
      <c r="O288" s="406"/>
      <c r="P288" s="406"/>
      <c r="Q288" s="406"/>
      <c r="R288" s="406"/>
      <c r="S288" s="406"/>
      <c r="T288" s="406"/>
      <c r="U288" s="406"/>
      <c r="V288" s="406"/>
      <c r="W288" s="406"/>
      <c r="X288" s="406"/>
      <c r="Y288" s="406"/>
      <c r="Z288" s="406"/>
    </row>
    <row r="289">
      <c r="A289" s="406"/>
      <c r="B289" s="406"/>
      <c r="C289" s="406"/>
      <c r="D289" s="406"/>
      <c r="E289" s="406"/>
      <c r="F289" s="406"/>
      <c r="G289" s="407"/>
      <c r="H289" s="406"/>
      <c r="I289" s="406"/>
      <c r="J289" s="406"/>
      <c r="K289" s="406"/>
      <c r="L289" s="406"/>
      <c r="M289" s="406"/>
      <c r="N289" s="406"/>
      <c r="O289" s="406"/>
      <c r="P289" s="406"/>
      <c r="Q289" s="406"/>
      <c r="R289" s="406"/>
      <c r="S289" s="406"/>
      <c r="T289" s="406"/>
      <c r="U289" s="406"/>
      <c r="V289" s="406"/>
      <c r="W289" s="406"/>
      <c r="X289" s="406"/>
      <c r="Y289" s="406"/>
      <c r="Z289" s="406"/>
    </row>
    <row r="290">
      <c r="A290" s="406"/>
      <c r="B290" s="406"/>
      <c r="C290" s="406"/>
      <c r="D290" s="406"/>
      <c r="E290" s="406"/>
      <c r="F290" s="406"/>
      <c r="G290" s="407"/>
      <c r="H290" s="406"/>
      <c r="I290" s="406"/>
      <c r="J290" s="406"/>
      <c r="K290" s="406"/>
      <c r="L290" s="406"/>
      <c r="M290" s="406"/>
      <c r="N290" s="406"/>
      <c r="O290" s="406"/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</row>
    <row r="291">
      <c r="A291" s="406"/>
      <c r="B291" s="406"/>
      <c r="C291" s="406"/>
      <c r="D291" s="406"/>
      <c r="E291" s="406"/>
      <c r="F291" s="406"/>
      <c r="G291" s="407"/>
      <c r="H291" s="406"/>
      <c r="I291" s="406"/>
      <c r="J291" s="406"/>
      <c r="K291" s="406"/>
      <c r="L291" s="406"/>
      <c r="M291" s="406"/>
      <c r="N291" s="406"/>
      <c r="O291" s="406"/>
      <c r="P291" s="406"/>
      <c r="Q291" s="406"/>
      <c r="R291" s="406"/>
      <c r="S291" s="406"/>
      <c r="T291" s="406"/>
      <c r="U291" s="406"/>
      <c r="V291" s="406"/>
      <c r="W291" s="406"/>
      <c r="X291" s="406"/>
      <c r="Y291" s="406"/>
      <c r="Z291" s="406"/>
    </row>
    <row r="292">
      <c r="A292" s="406"/>
      <c r="B292" s="406"/>
      <c r="C292" s="406"/>
      <c r="D292" s="406"/>
      <c r="E292" s="406"/>
      <c r="F292" s="406"/>
      <c r="G292" s="407"/>
      <c r="H292" s="406"/>
      <c r="I292" s="406"/>
      <c r="J292" s="406"/>
      <c r="K292" s="406"/>
      <c r="L292" s="406"/>
      <c r="M292" s="406"/>
      <c r="N292" s="406"/>
      <c r="O292" s="406"/>
      <c r="P292" s="406"/>
      <c r="Q292" s="406"/>
      <c r="R292" s="406"/>
      <c r="S292" s="406"/>
      <c r="T292" s="406"/>
      <c r="U292" s="406"/>
      <c r="V292" s="406"/>
      <c r="W292" s="406"/>
      <c r="X292" s="406"/>
      <c r="Y292" s="406"/>
      <c r="Z292" s="406"/>
    </row>
    <row r="293">
      <c r="A293" s="406"/>
      <c r="B293" s="406"/>
      <c r="C293" s="406"/>
      <c r="D293" s="406"/>
      <c r="E293" s="406"/>
      <c r="F293" s="406"/>
      <c r="G293" s="407"/>
      <c r="H293" s="406"/>
      <c r="I293" s="406"/>
      <c r="J293" s="406"/>
      <c r="K293" s="406"/>
      <c r="L293" s="406"/>
      <c r="M293" s="406"/>
      <c r="N293" s="406"/>
      <c r="O293" s="406"/>
      <c r="P293" s="406"/>
      <c r="Q293" s="406"/>
      <c r="R293" s="406"/>
      <c r="S293" s="406"/>
      <c r="T293" s="406"/>
      <c r="U293" s="406"/>
      <c r="V293" s="406"/>
      <c r="W293" s="406"/>
      <c r="X293" s="406"/>
      <c r="Y293" s="406"/>
      <c r="Z293" s="406"/>
    </row>
    <row r="294">
      <c r="A294" s="406"/>
      <c r="B294" s="406"/>
      <c r="C294" s="406"/>
      <c r="D294" s="406"/>
      <c r="E294" s="406"/>
      <c r="F294" s="406"/>
      <c r="G294" s="407"/>
      <c r="H294" s="406"/>
      <c r="I294" s="406"/>
      <c r="J294" s="406"/>
      <c r="K294" s="406"/>
      <c r="L294" s="406"/>
      <c r="M294" s="406"/>
      <c r="N294" s="406"/>
      <c r="O294" s="406"/>
      <c r="P294" s="406"/>
      <c r="Q294" s="406"/>
      <c r="R294" s="406"/>
      <c r="S294" s="406"/>
      <c r="T294" s="406"/>
      <c r="U294" s="406"/>
      <c r="V294" s="406"/>
      <c r="W294" s="406"/>
      <c r="X294" s="406"/>
      <c r="Y294" s="406"/>
      <c r="Z294" s="406"/>
    </row>
    <row r="295">
      <c r="A295" s="406"/>
      <c r="B295" s="406"/>
      <c r="C295" s="406"/>
      <c r="D295" s="406"/>
      <c r="E295" s="406"/>
      <c r="F295" s="406"/>
      <c r="G295" s="407"/>
      <c r="H295" s="406"/>
      <c r="I295" s="406"/>
      <c r="J295" s="406"/>
      <c r="K295" s="406"/>
      <c r="L295" s="406"/>
      <c r="M295" s="406"/>
      <c r="N295" s="406"/>
      <c r="O295" s="406"/>
      <c r="P295" s="406"/>
      <c r="Q295" s="406"/>
      <c r="R295" s="406"/>
      <c r="S295" s="406"/>
      <c r="T295" s="406"/>
      <c r="U295" s="406"/>
      <c r="V295" s="406"/>
      <c r="W295" s="406"/>
      <c r="X295" s="406"/>
      <c r="Y295" s="406"/>
      <c r="Z295" s="406"/>
    </row>
    <row r="296">
      <c r="A296" s="406"/>
      <c r="B296" s="406"/>
      <c r="C296" s="406"/>
      <c r="D296" s="406"/>
      <c r="E296" s="406"/>
      <c r="F296" s="406"/>
      <c r="G296" s="407"/>
      <c r="H296" s="406"/>
      <c r="I296" s="406"/>
      <c r="J296" s="406"/>
      <c r="K296" s="406"/>
      <c r="L296" s="406"/>
      <c r="M296" s="406"/>
      <c r="N296" s="406"/>
      <c r="O296" s="406"/>
      <c r="P296" s="406"/>
      <c r="Q296" s="406"/>
      <c r="R296" s="406"/>
      <c r="S296" s="406"/>
      <c r="T296" s="406"/>
      <c r="U296" s="406"/>
      <c r="V296" s="406"/>
      <c r="W296" s="406"/>
      <c r="X296" s="406"/>
      <c r="Y296" s="406"/>
      <c r="Z296" s="406"/>
    </row>
    <row r="297">
      <c r="A297" s="406"/>
      <c r="B297" s="406"/>
      <c r="C297" s="406"/>
      <c r="D297" s="406"/>
      <c r="E297" s="406"/>
      <c r="F297" s="406"/>
      <c r="G297" s="407"/>
      <c r="H297" s="406"/>
      <c r="I297" s="406"/>
      <c r="J297" s="406"/>
      <c r="K297" s="406"/>
      <c r="L297" s="406"/>
      <c r="M297" s="406"/>
      <c r="N297" s="406"/>
      <c r="O297" s="406"/>
      <c r="P297" s="406"/>
      <c r="Q297" s="406"/>
      <c r="R297" s="406"/>
      <c r="S297" s="406"/>
      <c r="T297" s="406"/>
      <c r="U297" s="406"/>
      <c r="V297" s="406"/>
      <c r="W297" s="406"/>
      <c r="X297" s="406"/>
      <c r="Y297" s="406"/>
      <c r="Z297" s="406"/>
    </row>
    <row r="298">
      <c r="A298" s="406"/>
      <c r="B298" s="406"/>
      <c r="C298" s="406"/>
      <c r="D298" s="406"/>
      <c r="E298" s="406"/>
      <c r="F298" s="406"/>
      <c r="G298" s="407"/>
      <c r="H298" s="406"/>
      <c r="I298" s="406"/>
      <c r="J298" s="406"/>
      <c r="K298" s="406"/>
      <c r="L298" s="406"/>
      <c r="M298" s="406"/>
      <c r="N298" s="406"/>
      <c r="O298" s="406"/>
      <c r="P298" s="406"/>
      <c r="Q298" s="406"/>
      <c r="R298" s="406"/>
      <c r="S298" s="406"/>
      <c r="T298" s="406"/>
      <c r="U298" s="406"/>
      <c r="V298" s="406"/>
      <c r="W298" s="406"/>
      <c r="X298" s="406"/>
      <c r="Y298" s="406"/>
      <c r="Z298" s="406"/>
    </row>
    <row r="299">
      <c r="A299" s="406"/>
      <c r="B299" s="406"/>
      <c r="C299" s="406"/>
      <c r="D299" s="406"/>
      <c r="E299" s="406"/>
      <c r="F299" s="406"/>
      <c r="G299" s="407"/>
      <c r="H299" s="406"/>
      <c r="I299" s="406"/>
      <c r="J299" s="406"/>
      <c r="K299" s="406"/>
      <c r="L299" s="406"/>
      <c r="M299" s="406"/>
      <c r="N299" s="406"/>
      <c r="O299" s="406"/>
      <c r="P299" s="406"/>
      <c r="Q299" s="406"/>
      <c r="R299" s="406"/>
      <c r="S299" s="406"/>
      <c r="T299" s="406"/>
      <c r="U299" s="406"/>
      <c r="V299" s="406"/>
      <c r="W299" s="406"/>
      <c r="X299" s="406"/>
      <c r="Y299" s="406"/>
      <c r="Z299" s="406"/>
    </row>
    <row r="300">
      <c r="A300" s="406"/>
      <c r="B300" s="406"/>
      <c r="C300" s="406"/>
      <c r="D300" s="406"/>
      <c r="E300" s="406"/>
      <c r="F300" s="406"/>
      <c r="G300" s="407"/>
      <c r="H300" s="406"/>
      <c r="I300" s="406"/>
      <c r="J300" s="406"/>
      <c r="K300" s="406"/>
      <c r="L300" s="406"/>
      <c r="M300" s="406"/>
      <c r="N300" s="406"/>
      <c r="O300" s="406"/>
      <c r="P300" s="406"/>
      <c r="Q300" s="406"/>
      <c r="R300" s="406"/>
      <c r="S300" s="406"/>
      <c r="T300" s="406"/>
      <c r="U300" s="406"/>
      <c r="V300" s="406"/>
      <c r="W300" s="406"/>
      <c r="X300" s="406"/>
      <c r="Y300" s="406"/>
      <c r="Z300" s="406"/>
    </row>
    <row r="301">
      <c r="A301" s="406"/>
      <c r="B301" s="406"/>
      <c r="C301" s="406"/>
      <c r="D301" s="406"/>
      <c r="E301" s="406"/>
      <c r="F301" s="406"/>
      <c r="G301" s="407"/>
      <c r="H301" s="406"/>
      <c r="I301" s="406"/>
      <c r="J301" s="406"/>
      <c r="K301" s="406"/>
      <c r="L301" s="406"/>
      <c r="M301" s="406"/>
      <c r="N301" s="406"/>
      <c r="O301" s="406"/>
      <c r="P301" s="406"/>
      <c r="Q301" s="406"/>
      <c r="R301" s="406"/>
      <c r="S301" s="406"/>
      <c r="T301" s="406"/>
      <c r="U301" s="406"/>
      <c r="V301" s="406"/>
      <c r="W301" s="406"/>
      <c r="X301" s="406"/>
      <c r="Y301" s="406"/>
      <c r="Z301" s="406"/>
    </row>
    <row r="302">
      <c r="A302" s="406"/>
      <c r="B302" s="406"/>
      <c r="C302" s="406"/>
      <c r="D302" s="406"/>
      <c r="E302" s="406"/>
      <c r="F302" s="406"/>
      <c r="G302" s="407"/>
      <c r="H302" s="406"/>
      <c r="I302" s="406"/>
      <c r="J302" s="406"/>
      <c r="K302" s="406"/>
      <c r="L302" s="406"/>
      <c r="M302" s="406"/>
      <c r="N302" s="406"/>
      <c r="O302" s="406"/>
      <c r="P302" s="406"/>
      <c r="Q302" s="406"/>
      <c r="R302" s="406"/>
      <c r="S302" s="406"/>
      <c r="T302" s="406"/>
      <c r="U302" s="406"/>
      <c r="V302" s="406"/>
      <c r="W302" s="406"/>
      <c r="X302" s="406"/>
      <c r="Y302" s="406"/>
      <c r="Z302" s="406"/>
    </row>
    <row r="303">
      <c r="A303" s="406"/>
      <c r="B303" s="406"/>
      <c r="C303" s="406"/>
      <c r="D303" s="406"/>
      <c r="E303" s="406"/>
      <c r="F303" s="406"/>
      <c r="G303" s="407"/>
      <c r="H303" s="406"/>
      <c r="I303" s="406"/>
      <c r="J303" s="406"/>
      <c r="K303" s="406"/>
      <c r="L303" s="406"/>
      <c r="M303" s="406"/>
      <c r="N303" s="406"/>
      <c r="O303" s="406"/>
      <c r="P303" s="406"/>
      <c r="Q303" s="406"/>
      <c r="R303" s="406"/>
      <c r="S303" s="406"/>
      <c r="T303" s="406"/>
      <c r="U303" s="406"/>
      <c r="V303" s="406"/>
      <c r="W303" s="406"/>
      <c r="X303" s="406"/>
      <c r="Y303" s="406"/>
      <c r="Z303" s="406"/>
    </row>
    <row r="304">
      <c r="A304" s="406"/>
      <c r="B304" s="406"/>
      <c r="C304" s="406"/>
      <c r="D304" s="406"/>
      <c r="E304" s="406"/>
      <c r="F304" s="406"/>
      <c r="G304" s="407"/>
      <c r="H304" s="406"/>
      <c r="I304" s="406"/>
      <c r="J304" s="406"/>
      <c r="K304" s="406"/>
      <c r="L304" s="406"/>
      <c r="M304" s="406"/>
      <c r="N304" s="406"/>
      <c r="O304" s="406"/>
      <c r="P304" s="406"/>
      <c r="Q304" s="406"/>
      <c r="R304" s="406"/>
      <c r="S304" s="406"/>
      <c r="T304" s="406"/>
      <c r="U304" s="406"/>
      <c r="V304" s="406"/>
      <c r="W304" s="406"/>
      <c r="X304" s="406"/>
      <c r="Y304" s="406"/>
      <c r="Z304" s="406"/>
    </row>
    <row r="305">
      <c r="A305" s="406"/>
      <c r="B305" s="406"/>
      <c r="C305" s="406"/>
      <c r="D305" s="406"/>
      <c r="E305" s="406"/>
      <c r="F305" s="406"/>
      <c r="G305" s="407"/>
      <c r="H305" s="406"/>
      <c r="I305" s="406"/>
      <c r="J305" s="406"/>
      <c r="K305" s="406"/>
      <c r="L305" s="406"/>
      <c r="M305" s="406"/>
      <c r="N305" s="406"/>
      <c r="O305" s="406"/>
      <c r="P305" s="406"/>
      <c r="Q305" s="406"/>
      <c r="R305" s="406"/>
      <c r="S305" s="406"/>
      <c r="T305" s="406"/>
      <c r="U305" s="406"/>
      <c r="V305" s="406"/>
      <c r="W305" s="406"/>
      <c r="X305" s="406"/>
      <c r="Y305" s="406"/>
      <c r="Z305" s="406"/>
    </row>
    <row r="306">
      <c r="A306" s="406"/>
      <c r="B306" s="406"/>
      <c r="C306" s="406"/>
      <c r="D306" s="406"/>
      <c r="E306" s="406"/>
      <c r="F306" s="406"/>
      <c r="G306" s="407"/>
      <c r="H306" s="406"/>
      <c r="I306" s="406"/>
      <c r="J306" s="406"/>
      <c r="K306" s="406"/>
      <c r="L306" s="406"/>
      <c r="M306" s="406"/>
      <c r="N306" s="406"/>
      <c r="O306" s="406"/>
      <c r="P306" s="406"/>
      <c r="Q306" s="406"/>
      <c r="R306" s="406"/>
      <c r="S306" s="406"/>
      <c r="T306" s="406"/>
      <c r="U306" s="406"/>
      <c r="V306" s="406"/>
      <c r="W306" s="406"/>
      <c r="X306" s="406"/>
      <c r="Y306" s="406"/>
      <c r="Z306" s="406"/>
    </row>
    <row r="307">
      <c r="A307" s="406"/>
      <c r="B307" s="406"/>
      <c r="C307" s="406"/>
      <c r="D307" s="406"/>
      <c r="E307" s="406"/>
      <c r="F307" s="406"/>
      <c r="G307" s="407"/>
      <c r="H307" s="406"/>
      <c r="I307" s="406"/>
      <c r="J307" s="406"/>
      <c r="K307" s="406"/>
      <c r="L307" s="406"/>
      <c r="M307" s="406"/>
      <c r="N307" s="406"/>
      <c r="O307" s="406"/>
      <c r="P307" s="406"/>
      <c r="Q307" s="406"/>
      <c r="R307" s="406"/>
      <c r="S307" s="406"/>
      <c r="T307" s="406"/>
      <c r="U307" s="406"/>
      <c r="V307" s="406"/>
      <c r="W307" s="406"/>
      <c r="X307" s="406"/>
      <c r="Y307" s="406"/>
      <c r="Z307" s="406"/>
    </row>
    <row r="308">
      <c r="A308" s="406"/>
      <c r="B308" s="406"/>
      <c r="C308" s="406"/>
      <c r="D308" s="406"/>
      <c r="E308" s="406"/>
      <c r="F308" s="406"/>
      <c r="G308" s="407"/>
      <c r="H308" s="406"/>
      <c r="I308" s="406"/>
      <c r="J308" s="406"/>
      <c r="K308" s="406"/>
      <c r="L308" s="406"/>
      <c r="M308" s="406"/>
      <c r="N308" s="406"/>
      <c r="O308" s="406"/>
      <c r="P308" s="406"/>
      <c r="Q308" s="406"/>
      <c r="R308" s="406"/>
      <c r="S308" s="406"/>
      <c r="T308" s="406"/>
      <c r="U308" s="406"/>
      <c r="V308" s="406"/>
      <c r="W308" s="406"/>
      <c r="X308" s="406"/>
      <c r="Y308" s="406"/>
      <c r="Z308" s="406"/>
    </row>
    <row r="309">
      <c r="A309" s="406"/>
      <c r="B309" s="406"/>
      <c r="C309" s="406"/>
      <c r="D309" s="406"/>
      <c r="E309" s="406"/>
      <c r="F309" s="406"/>
      <c r="G309" s="407"/>
      <c r="H309" s="406"/>
      <c r="I309" s="406"/>
      <c r="J309" s="406"/>
      <c r="K309" s="406"/>
      <c r="L309" s="406"/>
      <c r="M309" s="406"/>
      <c r="N309" s="406"/>
      <c r="O309" s="406"/>
      <c r="P309" s="406"/>
      <c r="Q309" s="406"/>
      <c r="R309" s="406"/>
      <c r="S309" s="406"/>
      <c r="T309" s="406"/>
      <c r="U309" s="406"/>
      <c r="V309" s="406"/>
      <c r="W309" s="406"/>
      <c r="X309" s="406"/>
      <c r="Y309" s="406"/>
      <c r="Z309" s="406"/>
    </row>
    <row r="310">
      <c r="A310" s="406"/>
      <c r="B310" s="406"/>
      <c r="C310" s="406"/>
      <c r="D310" s="406"/>
      <c r="E310" s="406"/>
      <c r="F310" s="406"/>
      <c r="G310" s="407"/>
      <c r="H310" s="406"/>
      <c r="I310" s="406"/>
      <c r="J310" s="406"/>
      <c r="K310" s="406"/>
      <c r="L310" s="406"/>
      <c r="M310" s="406"/>
      <c r="N310" s="406"/>
      <c r="O310" s="406"/>
      <c r="P310" s="406"/>
      <c r="Q310" s="406"/>
      <c r="R310" s="406"/>
      <c r="S310" s="406"/>
      <c r="T310" s="406"/>
      <c r="U310" s="406"/>
      <c r="V310" s="406"/>
      <c r="W310" s="406"/>
      <c r="X310" s="406"/>
      <c r="Y310" s="406"/>
      <c r="Z310" s="406"/>
    </row>
    <row r="311">
      <c r="A311" s="406"/>
      <c r="B311" s="406"/>
      <c r="C311" s="406"/>
      <c r="D311" s="406"/>
      <c r="E311" s="406"/>
      <c r="F311" s="406"/>
      <c r="G311" s="407"/>
      <c r="H311" s="406"/>
      <c r="I311" s="406"/>
      <c r="J311" s="406"/>
      <c r="K311" s="406"/>
      <c r="L311" s="406"/>
      <c r="M311" s="406"/>
      <c r="N311" s="406"/>
      <c r="O311" s="406"/>
      <c r="P311" s="406"/>
      <c r="Q311" s="406"/>
      <c r="R311" s="406"/>
      <c r="S311" s="406"/>
      <c r="T311" s="406"/>
      <c r="U311" s="406"/>
      <c r="V311" s="406"/>
      <c r="W311" s="406"/>
      <c r="X311" s="406"/>
      <c r="Y311" s="406"/>
      <c r="Z311" s="406"/>
    </row>
    <row r="312">
      <c r="A312" s="406"/>
      <c r="B312" s="406"/>
      <c r="C312" s="406"/>
      <c r="D312" s="406"/>
      <c r="E312" s="406"/>
      <c r="F312" s="406"/>
      <c r="G312" s="407"/>
      <c r="H312" s="406"/>
      <c r="I312" s="406"/>
      <c r="J312" s="406"/>
      <c r="K312" s="406"/>
      <c r="L312" s="406"/>
      <c r="M312" s="406"/>
      <c r="N312" s="406"/>
      <c r="O312" s="406"/>
      <c r="P312" s="406"/>
      <c r="Q312" s="406"/>
      <c r="R312" s="406"/>
      <c r="S312" s="406"/>
      <c r="T312" s="406"/>
      <c r="U312" s="406"/>
      <c r="V312" s="406"/>
      <c r="W312" s="406"/>
      <c r="X312" s="406"/>
      <c r="Y312" s="406"/>
      <c r="Z312" s="406"/>
    </row>
    <row r="313">
      <c r="A313" s="406"/>
      <c r="B313" s="406"/>
      <c r="C313" s="406"/>
      <c r="D313" s="406"/>
      <c r="E313" s="406"/>
      <c r="F313" s="406"/>
      <c r="G313" s="407"/>
      <c r="H313" s="406"/>
      <c r="I313" s="406"/>
      <c r="J313" s="406"/>
      <c r="K313" s="406"/>
      <c r="L313" s="406"/>
      <c r="M313" s="406"/>
      <c r="N313" s="406"/>
      <c r="O313" s="406"/>
      <c r="P313" s="406"/>
      <c r="Q313" s="406"/>
      <c r="R313" s="406"/>
      <c r="S313" s="406"/>
      <c r="T313" s="406"/>
      <c r="U313" s="406"/>
      <c r="V313" s="406"/>
      <c r="W313" s="406"/>
      <c r="X313" s="406"/>
      <c r="Y313" s="406"/>
      <c r="Z313" s="406"/>
    </row>
    <row r="314">
      <c r="A314" s="406"/>
      <c r="B314" s="406"/>
      <c r="C314" s="406"/>
      <c r="D314" s="406"/>
      <c r="E314" s="406"/>
      <c r="F314" s="406"/>
      <c r="G314" s="407"/>
      <c r="H314" s="406"/>
      <c r="I314" s="406"/>
      <c r="J314" s="406"/>
      <c r="K314" s="406"/>
      <c r="L314" s="406"/>
      <c r="M314" s="406"/>
      <c r="N314" s="406"/>
      <c r="O314" s="406"/>
      <c r="P314" s="406"/>
      <c r="Q314" s="406"/>
      <c r="R314" s="406"/>
      <c r="S314" s="406"/>
      <c r="T314" s="406"/>
      <c r="U314" s="406"/>
      <c r="V314" s="406"/>
      <c r="W314" s="406"/>
      <c r="X314" s="406"/>
      <c r="Y314" s="406"/>
      <c r="Z314" s="406"/>
    </row>
    <row r="315">
      <c r="A315" s="406"/>
      <c r="B315" s="406"/>
      <c r="C315" s="406"/>
      <c r="D315" s="406"/>
      <c r="E315" s="406"/>
      <c r="F315" s="406"/>
      <c r="G315" s="407"/>
      <c r="H315" s="406"/>
      <c r="I315" s="406"/>
      <c r="J315" s="406"/>
      <c r="K315" s="406"/>
      <c r="L315" s="406"/>
      <c r="M315" s="406"/>
      <c r="N315" s="406"/>
      <c r="O315" s="406"/>
      <c r="P315" s="406"/>
      <c r="Q315" s="406"/>
      <c r="R315" s="406"/>
      <c r="S315" s="406"/>
      <c r="T315" s="406"/>
      <c r="U315" s="406"/>
      <c r="V315" s="406"/>
      <c r="W315" s="406"/>
      <c r="X315" s="406"/>
      <c r="Y315" s="406"/>
      <c r="Z315" s="406"/>
    </row>
    <row r="316">
      <c r="A316" s="406"/>
      <c r="B316" s="406"/>
      <c r="C316" s="406"/>
      <c r="D316" s="406"/>
      <c r="E316" s="406"/>
      <c r="F316" s="406"/>
      <c r="G316" s="407"/>
      <c r="H316" s="406"/>
      <c r="I316" s="406"/>
      <c r="J316" s="406"/>
      <c r="K316" s="406"/>
      <c r="L316" s="406"/>
      <c r="M316" s="406"/>
      <c r="N316" s="406"/>
      <c r="O316" s="406"/>
      <c r="P316" s="406"/>
      <c r="Q316" s="406"/>
      <c r="R316" s="406"/>
      <c r="S316" s="406"/>
      <c r="T316" s="406"/>
      <c r="U316" s="406"/>
      <c r="V316" s="406"/>
      <c r="W316" s="406"/>
      <c r="X316" s="406"/>
      <c r="Y316" s="406"/>
      <c r="Z316" s="406"/>
    </row>
    <row r="317">
      <c r="A317" s="406"/>
      <c r="B317" s="406"/>
      <c r="C317" s="406"/>
      <c r="D317" s="406"/>
      <c r="E317" s="406"/>
      <c r="F317" s="406"/>
      <c r="G317" s="407"/>
      <c r="H317" s="406"/>
      <c r="I317" s="406"/>
      <c r="J317" s="406"/>
      <c r="K317" s="406"/>
      <c r="L317" s="406"/>
      <c r="M317" s="406"/>
      <c r="N317" s="406"/>
      <c r="O317" s="406"/>
      <c r="P317" s="406"/>
      <c r="Q317" s="406"/>
      <c r="R317" s="406"/>
      <c r="S317" s="406"/>
      <c r="T317" s="406"/>
      <c r="U317" s="406"/>
      <c r="V317" s="406"/>
      <c r="W317" s="406"/>
      <c r="X317" s="406"/>
      <c r="Y317" s="406"/>
      <c r="Z317" s="406"/>
    </row>
    <row r="318">
      <c r="A318" s="406"/>
      <c r="B318" s="406"/>
      <c r="C318" s="406"/>
      <c r="D318" s="406"/>
      <c r="E318" s="406"/>
      <c r="F318" s="406"/>
      <c r="G318" s="407"/>
      <c r="H318" s="406"/>
      <c r="I318" s="406"/>
      <c r="J318" s="406"/>
      <c r="K318" s="406"/>
      <c r="L318" s="406"/>
      <c r="M318" s="406"/>
      <c r="N318" s="406"/>
      <c r="O318" s="406"/>
      <c r="P318" s="406"/>
      <c r="Q318" s="406"/>
      <c r="R318" s="406"/>
      <c r="S318" s="406"/>
      <c r="T318" s="406"/>
      <c r="U318" s="406"/>
      <c r="V318" s="406"/>
      <c r="W318" s="406"/>
      <c r="X318" s="406"/>
      <c r="Y318" s="406"/>
      <c r="Z318" s="406"/>
    </row>
    <row r="319">
      <c r="A319" s="406"/>
      <c r="B319" s="406"/>
      <c r="C319" s="406"/>
      <c r="D319" s="406"/>
      <c r="E319" s="406"/>
      <c r="F319" s="406"/>
      <c r="G319" s="407"/>
      <c r="H319" s="406"/>
      <c r="I319" s="406"/>
      <c r="J319" s="406"/>
      <c r="K319" s="406"/>
      <c r="L319" s="406"/>
      <c r="M319" s="406"/>
      <c r="N319" s="406"/>
      <c r="O319" s="406"/>
      <c r="P319" s="406"/>
      <c r="Q319" s="406"/>
      <c r="R319" s="406"/>
      <c r="S319" s="406"/>
      <c r="T319" s="406"/>
      <c r="U319" s="406"/>
      <c r="V319" s="406"/>
      <c r="W319" s="406"/>
      <c r="X319" s="406"/>
      <c r="Y319" s="406"/>
      <c r="Z319" s="406"/>
    </row>
    <row r="320">
      <c r="A320" s="406"/>
      <c r="B320" s="406"/>
      <c r="C320" s="406"/>
      <c r="D320" s="406"/>
      <c r="E320" s="406"/>
      <c r="F320" s="406"/>
      <c r="G320" s="407"/>
      <c r="H320" s="406"/>
      <c r="I320" s="406"/>
      <c r="J320" s="406"/>
      <c r="K320" s="406"/>
      <c r="L320" s="406"/>
      <c r="M320" s="406"/>
      <c r="N320" s="406"/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</row>
    <row r="321">
      <c r="A321" s="406"/>
      <c r="B321" s="406"/>
      <c r="C321" s="406"/>
      <c r="D321" s="406"/>
      <c r="E321" s="406"/>
      <c r="F321" s="406"/>
      <c r="G321" s="407"/>
      <c r="H321" s="406"/>
      <c r="I321" s="406"/>
      <c r="J321" s="406"/>
      <c r="K321" s="406"/>
      <c r="L321" s="406"/>
      <c r="M321" s="406"/>
      <c r="N321" s="406"/>
      <c r="O321" s="406"/>
      <c r="P321" s="406"/>
      <c r="Q321" s="406"/>
      <c r="R321" s="406"/>
      <c r="S321" s="406"/>
      <c r="T321" s="406"/>
      <c r="U321" s="406"/>
      <c r="V321" s="406"/>
      <c r="W321" s="406"/>
      <c r="X321" s="406"/>
      <c r="Y321" s="406"/>
      <c r="Z321" s="406"/>
    </row>
    <row r="322">
      <c r="A322" s="406"/>
      <c r="B322" s="406"/>
      <c r="C322" s="406"/>
      <c r="D322" s="406"/>
      <c r="E322" s="406"/>
      <c r="F322" s="406"/>
      <c r="G322" s="407"/>
      <c r="H322" s="406"/>
      <c r="I322" s="406"/>
      <c r="J322" s="406"/>
      <c r="K322" s="406"/>
      <c r="L322" s="406"/>
      <c r="M322" s="406"/>
      <c r="N322" s="406"/>
      <c r="O322" s="406"/>
      <c r="P322" s="406"/>
      <c r="Q322" s="406"/>
      <c r="R322" s="406"/>
      <c r="S322" s="406"/>
      <c r="T322" s="406"/>
      <c r="U322" s="406"/>
      <c r="V322" s="406"/>
      <c r="W322" s="406"/>
      <c r="X322" s="406"/>
      <c r="Y322" s="406"/>
      <c r="Z322" s="406"/>
    </row>
    <row r="323">
      <c r="A323" s="406"/>
      <c r="B323" s="406"/>
      <c r="C323" s="406"/>
      <c r="D323" s="406"/>
      <c r="E323" s="406"/>
      <c r="F323" s="406"/>
      <c r="G323" s="407"/>
      <c r="H323" s="406"/>
      <c r="I323" s="406"/>
      <c r="J323" s="406"/>
      <c r="K323" s="406"/>
      <c r="L323" s="406"/>
      <c r="M323" s="406"/>
      <c r="N323" s="406"/>
      <c r="O323" s="406"/>
      <c r="P323" s="406"/>
      <c r="Q323" s="406"/>
      <c r="R323" s="406"/>
      <c r="S323" s="406"/>
      <c r="T323" s="406"/>
      <c r="U323" s="406"/>
      <c r="V323" s="406"/>
      <c r="W323" s="406"/>
      <c r="X323" s="406"/>
      <c r="Y323" s="406"/>
      <c r="Z323" s="406"/>
    </row>
    <row r="324">
      <c r="A324" s="406"/>
      <c r="B324" s="406"/>
      <c r="C324" s="406"/>
      <c r="D324" s="406"/>
      <c r="E324" s="406"/>
      <c r="F324" s="406"/>
      <c r="G324" s="407"/>
      <c r="H324" s="406"/>
      <c r="I324" s="406"/>
      <c r="J324" s="406"/>
      <c r="K324" s="406"/>
      <c r="L324" s="406"/>
      <c r="M324" s="406"/>
      <c r="N324" s="406"/>
      <c r="O324" s="406"/>
      <c r="P324" s="406"/>
      <c r="Q324" s="406"/>
      <c r="R324" s="406"/>
      <c r="S324" s="406"/>
      <c r="T324" s="406"/>
      <c r="U324" s="406"/>
      <c r="V324" s="406"/>
      <c r="W324" s="406"/>
      <c r="X324" s="406"/>
      <c r="Y324" s="406"/>
      <c r="Z324" s="406"/>
    </row>
    <row r="325">
      <c r="A325" s="406"/>
      <c r="B325" s="406"/>
      <c r="C325" s="406"/>
      <c r="D325" s="406"/>
      <c r="E325" s="406"/>
      <c r="F325" s="406"/>
      <c r="G325" s="407"/>
      <c r="H325" s="406"/>
      <c r="I325" s="406"/>
      <c r="J325" s="406"/>
      <c r="K325" s="406"/>
      <c r="L325" s="406"/>
      <c r="M325" s="406"/>
      <c r="N325" s="406"/>
      <c r="O325" s="406"/>
      <c r="P325" s="406"/>
      <c r="Q325" s="406"/>
      <c r="R325" s="406"/>
      <c r="S325" s="406"/>
      <c r="T325" s="406"/>
      <c r="U325" s="406"/>
      <c r="V325" s="406"/>
      <c r="W325" s="406"/>
      <c r="X325" s="406"/>
      <c r="Y325" s="406"/>
      <c r="Z325" s="406"/>
    </row>
    <row r="326">
      <c r="A326" s="406"/>
      <c r="B326" s="406"/>
      <c r="C326" s="406"/>
      <c r="D326" s="406"/>
      <c r="E326" s="406"/>
      <c r="F326" s="406"/>
      <c r="G326" s="407"/>
      <c r="H326" s="406"/>
      <c r="I326" s="406"/>
      <c r="J326" s="406"/>
      <c r="K326" s="406"/>
      <c r="L326" s="406"/>
      <c r="M326" s="406"/>
      <c r="N326" s="406"/>
      <c r="O326" s="406"/>
      <c r="P326" s="406"/>
      <c r="Q326" s="406"/>
      <c r="R326" s="406"/>
      <c r="S326" s="406"/>
      <c r="T326" s="406"/>
      <c r="U326" s="406"/>
      <c r="V326" s="406"/>
      <c r="W326" s="406"/>
      <c r="X326" s="406"/>
      <c r="Y326" s="406"/>
      <c r="Z326" s="406"/>
    </row>
    <row r="327">
      <c r="A327" s="406"/>
      <c r="B327" s="406"/>
      <c r="C327" s="406"/>
      <c r="D327" s="406"/>
      <c r="E327" s="406"/>
      <c r="F327" s="406"/>
      <c r="G327" s="407"/>
      <c r="H327" s="406"/>
      <c r="I327" s="406"/>
      <c r="J327" s="406"/>
      <c r="K327" s="406"/>
      <c r="L327" s="406"/>
      <c r="M327" s="406"/>
      <c r="N327" s="406"/>
      <c r="O327" s="406"/>
      <c r="P327" s="406"/>
      <c r="Q327" s="406"/>
      <c r="R327" s="406"/>
      <c r="S327" s="406"/>
      <c r="T327" s="406"/>
      <c r="U327" s="406"/>
      <c r="V327" s="406"/>
      <c r="W327" s="406"/>
      <c r="X327" s="406"/>
      <c r="Y327" s="406"/>
      <c r="Z327" s="406"/>
    </row>
    <row r="328">
      <c r="A328" s="406"/>
      <c r="B328" s="406"/>
      <c r="C328" s="406"/>
      <c r="D328" s="406"/>
      <c r="E328" s="406"/>
      <c r="F328" s="406"/>
      <c r="G328" s="407"/>
      <c r="H328" s="406"/>
      <c r="I328" s="406"/>
      <c r="J328" s="406"/>
      <c r="K328" s="406"/>
      <c r="L328" s="406"/>
      <c r="M328" s="406"/>
      <c r="N328" s="406"/>
      <c r="O328" s="406"/>
      <c r="P328" s="406"/>
      <c r="Q328" s="406"/>
      <c r="R328" s="406"/>
      <c r="S328" s="406"/>
      <c r="T328" s="406"/>
      <c r="U328" s="406"/>
      <c r="V328" s="406"/>
      <c r="W328" s="406"/>
      <c r="X328" s="406"/>
      <c r="Y328" s="406"/>
      <c r="Z328" s="406"/>
    </row>
    <row r="329">
      <c r="A329" s="406"/>
      <c r="B329" s="406"/>
      <c r="C329" s="406"/>
      <c r="D329" s="406"/>
      <c r="E329" s="406"/>
      <c r="F329" s="406"/>
      <c r="G329" s="407"/>
      <c r="H329" s="406"/>
      <c r="I329" s="406"/>
      <c r="J329" s="406"/>
      <c r="K329" s="406"/>
      <c r="L329" s="406"/>
      <c r="M329" s="406"/>
      <c r="N329" s="406"/>
      <c r="O329" s="406"/>
      <c r="P329" s="406"/>
      <c r="Q329" s="406"/>
      <c r="R329" s="406"/>
      <c r="S329" s="406"/>
      <c r="T329" s="406"/>
      <c r="U329" s="406"/>
      <c r="V329" s="406"/>
      <c r="W329" s="406"/>
      <c r="X329" s="406"/>
      <c r="Y329" s="406"/>
      <c r="Z329" s="406"/>
    </row>
    <row r="330">
      <c r="A330" s="406"/>
      <c r="B330" s="406"/>
      <c r="C330" s="406"/>
      <c r="D330" s="406"/>
      <c r="E330" s="406"/>
      <c r="F330" s="406"/>
      <c r="G330" s="407"/>
      <c r="H330" s="406"/>
      <c r="I330" s="406"/>
      <c r="J330" s="406"/>
      <c r="K330" s="406"/>
      <c r="L330" s="406"/>
      <c r="M330" s="406"/>
      <c r="N330" s="406"/>
      <c r="O330" s="406"/>
      <c r="P330" s="406"/>
      <c r="Q330" s="406"/>
      <c r="R330" s="406"/>
      <c r="S330" s="406"/>
      <c r="T330" s="406"/>
      <c r="U330" s="406"/>
      <c r="V330" s="406"/>
      <c r="W330" s="406"/>
      <c r="X330" s="406"/>
      <c r="Y330" s="406"/>
      <c r="Z330" s="406"/>
    </row>
    <row r="331">
      <c r="A331" s="406"/>
      <c r="B331" s="406"/>
      <c r="C331" s="406"/>
      <c r="D331" s="406"/>
      <c r="E331" s="406"/>
      <c r="F331" s="406"/>
      <c r="G331" s="407"/>
      <c r="H331" s="406"/>
      <c r="I331" s="406"/>
      <c r="J331" s="406"/>
      <c r="K331" s="406"/>
      <c r="L331" s="406"/>
      <c r="M331" s="406"/>
      <c r="N331" s="406"/>
      <c r="O331" s="406"/>
      <c r="P331" s="406"/>
      <c r="Q331" s="406"/>
      <c r="R331" s="406"/>
      <c r="S331" s="406"/>
      <c r="T331" s="406"/>
      <c r="U331" s="406"/>
      <c r="V331" s="406"/>
      <c r="W331" s="406"/>
      <c r="X331" s="406"/>
      <c r="Y331" s="406"/>
      <c r="Z331" s="406"/>
    </row>
    <row r="332">
      <c r="A332" s="406"/>
      <c r="B332" s="406"/>
      <c r="C332" s="406"/>
      <c r="D332" s="406"/>
      <c r="E332" s="406"/>
      <c r="F332" s="406"/>
      <c r="G332" s="407"/>
      <c r="H332" s="406"/>
      <c r="I332" s="406"/>
      <c r="J332" s="406"/>
      <c r="K332" s="406"/>
      <c r="L332" s="406"/>
      <c r="M332" s="406"/>
      <c r="N332" s="406"/>
      <c r="O332" s="406"/>
      <c r="P332" s="406"/>
      <c r="Q332" s="406"/>
      <c r="R332" s="406"/>
      <c r="S332" s="406"/>
      <c r="T332" s="406"/>
      <c r="U332" s="406"/>
      <c r="V332" s="406"/>
      <c r="W332" s="406"/>
      <c r="X332" s="406"/>
      <c r="Y332" s="406"/>
      <c r="Z332" s="406"/>
    </row>
    <row r="333">
      <c r="A333" s="406"/>
      <c r="B333" s="406"/>
      <c r="C333" s="406"/>
      <c r="D333" s="406"/>
      <c r="E333" s="406"/>
      <c r="F333" s="406"/>
      <c r="G333" s="407"/>
      <c r="H333" s="406"/>
      <c r="I333" s="406"/>
      <c r="J333" s="406"/>
      <c r="K333" s="406"/>
      <c r="L333" s="406"/>
      <c r="M333" s="406"/>
      <c r="N333" s="406"/>
      <c r="O333" s="406"/>
      <c r="P333" s="406"/>
      <c r="Q333" s="406"/>
      <c r="R333" s="406"/>
      <c r="S333" s="406"/>
      <c r="T333" s="406"/>
      <c r="U333" s="406"/>
      <c r="V333" s="406"/>
      <c r="W333" s="406"/>
      <c r="X333" s="406"/>
      <c r="Y333" s="406"/>
      <c r="Z333" s="406"/>
    </row>
    <row r="334">
      <c r="A334" s="406"/>
      <c r="B334" s="406"/>
      <c r="C334" s="406"/>
      <c r="D334" s="406"/>
      <c r="E334" s="406"/>
      <c r="F334" s="406"/>
      <c r="G334" s="407"/>
      <c r="H334" s="406"/>
      <c r="I334" s="406"/>
      <c r="J334" s="406"/>
      <c r="K334" s="406"/>
      <c r="L334" s="406"/>
      <c r="M334" s="406"/>
      <c r="N334" s="406"/>
      <c r="O334" s="406"/>
      <c r="P334" s="406"/>
      <c r="Q334" s="406"/>
      <c r="R334" s="406"/>
      <c r="S334" s="406"/>
      <c r="T334" s="406"/>
      <c r="U334" s="406"/>
      <c r="V334" s="406"/>
      <c r="W334" s="406"/>
      <c r="X334" s="406"/>
      <c r="Y334" s="406"/>
      <c r="Z334" s="406"/>
    </row>
    <row r="335">
      <c r="A335" s="406"/>
      <c r="B335" s="406"/>
      <c r="C335" s="406"/>
      <c r="D335" s="406"/>
      <c r="E335" s="406"/>
      <c r="F335" s="406"/>
      <c r="G335" s="407"/>
      <c r="H335" s="406"/>
      <c r="I335" s="406"/>
      <c r="J335" s="406"/>
      <c r="K335" s="406"/>
      <c r="L335" s="406"/>
      <c r="M335" s="406"/>
      <c r="N335" s="406"/>
      <c r="O335" s="406"/>
      <c r="P335" s="406"/>
      <c r="Q335" s="406"/>
      <c r="R335" s="406"/>
      <c r="S335" s="406"/>
      <c r="T335" s="406"/>
      <c r="U335" s="406"/>
      <c r="V335" s="406"/>
      <c r="W335" s="406"/>
      <c r="X335" s="406"/>
      <c r="Y335" s="406"/>
      <c r="Z335" s="406"/>
    </row>
    <row r="336">
      <c r="A336" s="406"/>
      <c r="B336" s="406"/>
      <c r="C336" s="406"/>
      <c r="D336" s="406"/>
      <c r="E336" s="406"/>
      <c r="F336" s="406"/>
      <c r="G336" s="407"/>
      <c r="H336" s="406"/>
      <c r="I336" s="406"/>
      <c r="J336" s="406"/>
      <c r="K336" s="406"/>
      <c r="L336" s="406"/>
      <c r="M336" s="406"/>
      <c r="N336" s="406"/>
      <c r="O336" s="406"/>
      <c r="P336" s="406"/>
      <c r="Q336" s="406"/>
      <c r="R336" s="406"/>
      <c r="S336" s="406"/>
      <c r="T336" s="406"/>
      <c r="U336" s="406"/>
      <c r="V336" s="406"/>
      <c r="W336" s="406"/>
      <c r="X336" s="406"/>
      <c r="Y336" s="406"/>
      <c r="Z336" s="406"/>
    </row>
    <row r="337">
      <c r="A337" s="406"/>
      <c r="B337" s="406"/>
      <c r="C337" s="406"/>
      <c r="D337" s="406"/>
      <c r="E337" s="406"/>
      <c r="F337" s="406"/>
      <c r="G337" s="407"/>
      <c r="H337" s="406"/>
      <c r="I337" s="406"/>
      <c r="J337" s="406"/>
      <c r="K337" s="406"/>
      <c r="L337" s="406"/>
      <c r="M337" s="406"/>
      <c r="N337" s="406"/>
      <c r="O337" s="406"/>
      <c r="P337" s="406"/>
      <c r="Q337" s="406"/>
      <c r="R337" s="406"/>
      <c r="S337" s="406"/>
      <c r="T337" s="406"/>
      <c r="U337" s="406"/>
      <c r="V337" s="406"/>
      <c r="W337" s="406"/>
      <c r="X337" s="406"/>
      <c r="Y337" s="406"/>
      <c r="Z337" s="406"/>
    </row>
    <row r="338">
      <c r="A338" s="406"/>
      <c r="B338" s="406"/>
      <c r="C338" s="406"/>
      <c r="D338" s="406"/>
      <c r="E338" s="406"/>
      <c r="F338" s="406"/>
      <c r="G338" s="407"/>
      <c r="H338" s="406"/>
      <c r="I338" s="406"/>
      <c r="J338" s="406"/>
      <c r="K338" s="406"/>
      <c r="L338" s="406"/>
      <c r="M338" s="406"/>
      <c r="N338" s="406"/>
      <c r="O338" s="406"/>
      <c r="P338" s="406"/>
      <c r="Q338" s="406"/>
      <c r="R338" s="406"/>
      <c r="S338" s="406"/>
      <c r="T338" s="406"/>
      <c r="U338" s="406"/>
      <c r="V338" s="406"/>
      <c r="W338" s="406"/>
      <c r="X338" s="406"/>
      <c r="Y338" s="406"/>
      <c r="Z338" s="406"/>
    </row>
    <row r="339">
      <c r="A339" s="406"/>
      <c r="B339" s="406"/>
      <c r="C339" s="406"/>
      <c r="D339" s="406"/>
      <c r="E339" s="406"/>
      <c r="F339" s="406"/>
      <c r="G339" s="407"/>
      <c r="H339" s="406"/>
      <c r="I339" s="406"/>
      <c r="J339" s="406"/>
      <c r="K339" s="406"/>
      <c r="L339" s="406"/>
      <c r="M339" s="406"/>
      <c r="N339" s="406"/>
      <c r="O339" s="406"/>
      <c r="P339" s="406"/>
      <c r="Q339" s="406"/>
      <c r="R339" s="406"/>
      <c r="S339" s="406"/>
      <c r="T339" s="406"/>
      <c r="U339" s="406"/>
      <c r="V339" s="406"/>
      <c r="W339" s="406"/>
      <c r="X339" s="406"/>
      <c r="Y339" s="406"/>
      <c r="Z339" s="406"/>
    </row>
    <row r="340">
      <c r="A340" s="406"/>
      <c r="B340" s="406"/>
      <c r="C340" s="406"/>
      <c r="D340" s="406"/>
      <c r="E340" s="406"/>
      <c r="F340" s="406"/>
      <c r="G340" s="407"/>
      <c r="H340" s="406"/>
      <c r="I340" s="406"/>
      <c r="J340" s="406"/>
      <c r="K340" s="406"/>
      <c r="L340" s="406"/>
      <c r="M340" s="406"/>
      <c r="N340" s="406"/>
      <c r="O340" s="406"/>
      <c r="P340" s="406"/>
      <c r="Q340" s="406"/>
      <c r="R340" s="406"/>
      <c r="S340" s="406"/>
      <c r="T340" s="406"/>
      <c r="U340" s="406"/>
      <c r="V340" s="406"/>
      <c r="W340" s="406"/>
      <c r="X340" s="406"/>
      <c r="Y340" s="406"/>
      <c r="Z340" s="406"/>
    </row>
    <row r="341">
      <c r="A341" s="406"/>
      <c r="B341" s="406"/>
      <c r="C341" s="406"/>
      <c r="D341" s="406"/>
      <c r="E341" s="406"/>
      <c r="F341" s="406"/>
      <c r="G341" s="407"/>
      <c r="H341" s="406"/>
      <c r="I341" s="406"/>
      <c r="J341" s="406"/>
      <c r="K341" s="406"/>
      <c r="L341" s="406"/>
      <c r="M341" s="406"/>
      <c r="N341" s="406"/>
      <c r="O341" s="406"/>
      <c r="P341" s="406"/>
      <c r="Q341" s="406"/>
      <c r="R341" s="406"/>
      <c r="S341" s="406"/>
      <c r="T341" s="406"/>
      <c r="U341" s="406"/>
      <c r="V341" s="406"/>
      <c r="W341" s="406"/>
      <c r="X341" s="406"/>
      <c r="Y341" s="406"/>
      <c r="Z341" s="406"/>
    </row>
    <row r="342">
      <c r="A342" s="406"/>
      <c r="B342" s="406"/>
      <c r="C342" s="406"/>
      <c r="D342" s="406"/>
      <c r="E342" s="406"/>
      <c r="F342" s="406"/>
      <c r="G342" s="407"/>
      <c r="H342" s="406"/>
      <c r="I342" s="406"/>
      <c r="J342" s="406"/>
      <c r="K342" s="406"/>
      <c r="L342" s="406"/>
      <c r="M342" s="406"/>
      <c r="N342" s="406"/>
      <c r="O342" s="406"/>
      <c r="P342" s="406"/>
      <c r="Q342" s="406"/>
      <c r="R342" s="406"/>
      <c r="S342" s="406"/>
      <c r="T342" s="406"/>
      <c r="U342" s="406"/>
      <c r="V342" s="406"/>
      <c r="W342" s="406"/>
      <c r="X342" s="406"/>
      <c r="Y342" s="406"/>
      <c r="Z342" s="406"/>
    </row>
    <row r="343">
      <c r="A343" s="406"/>
      <c r="B343" s="406"/>
      <c r="C343" s="406"/>
      <c r="D343" s="406"/>
      <c r="E343" s="406"/>
      <c r="F343" s="406"/>
      <c r="G343" s="407"/>
      <c r="H343" s="406"/>
      <c r="I343" s="406"/>
      <c r="J343" s="406"/>
      <c r="K343" s="406"/>
      <c r="L343" s="406"/>
      <c r="M343" s="406"/>
      <c r="N343" s="406"/>
      <c r="O343" s="406"/>
      <c r="P343" s="406"/>
      <c r="Q343" s="406"/>
      <c r="R343" s="406"/>
      <c r="S343" s="406"/>
      <c r="T343" s="406"/>
      <c r="U343" s="406"/>
      <c r="V343" s="406"/>
      <c r="W343" s="406"/>
      <c r="X343" s="406"/>
      <c r="Y343" s="406"/>
      <c r="Z343" s="406"/>
    </row>
    <row r="344">
      <c r="A344" s="406"/>
      <c r="B344" s="406"/>
      <c r="C344" s="406"/>
      <c r="D344" s="406"/>
      <c r="E344" s="406"/>
      <c r="F344" s="406"/>
      <c r="G344" s="407"/>
      <c r="H344" s="406"/>
      <c r="I344" s="406"/>
      <c r="J344" s="406"/>
      <c r="K344" s="406"/>
      <c r="L344" s="406"/>
      <c r="M344" s="406"/>
      <c r="N344" s="406"/>
      <c r="O344" s="406"/>
      <c r="P344" s="406"/>
      <c r="Q344" s="406"/>
      <c r="R344" s="406"/>
      <c r="S344" s="406"/>
      <c r="T344" s="406"/>
      <c r="U344" s="406"/>
      <c r="V344" s="406"/>
      <c r="W344" s="406"/>
      <c r="X344" s="406"/>
      <c r="Y344" s="406"/>
      <c r="Z344" s="406"/>
    </row>
    <row r="345">
      <c r="A345" s="406"/>
      <c r="B345" s="406"/>
      <c r="C345" s="406"/>
      <c r="D345" s="406"/>
      <c r="E345" s="406"/>
      <c r="F345" s="406"/>
      <c r="G345" s="407"/>
      <c r="H345" s="406"/>
      <c r="I345" s="406"/>
      <c r="J345" s="406"/>
      <c r="K345" s="406"/>
      <c r="L345" s="406"/>
      <c r="M345" s="406"/>
      <c r="N345" s="406"/>
      <c r="O345" s="406"/>
      <c r="P345" s="406"/>
      <c r="Q345" s="406"/>
      <c r="R345" s="406"/>
      <c r="S345" s="406"/>
      <c r="T345" s="406"/>
      <c r="U345" s="406"/>
      <c r="V345" s="406"/>
      <c r="W345" s="406"/>
      <c r="X345" s="406"/>
      <c r="Y345" s="406"/>
      <c r="Z345" s="406"/>
    </row>
    <row r="346">
      <c r="A346" s="406"/>
      <c r="B346" s="406"/>
      <c r="C346" s="406"/>
      <c r="D346" s="406"/>
      <c r="E346" s="406"/>
      <c r="F346" s="406"/>
      <c r="G346" s="407"/>
      <c r="H346" s="406"/>
      <c r="I346" s="406"/>
      <c r="J346" s="406"/>
      <c r="K346" s="406"/>
      <c r="L346" s="406"/>
      <c r="M346" s="406"/>
      <c r="N346" s="406"/>
      <c r="O346" s="406"/>
      <c r="P346" s="406"/>
      <c r="Q346" s="406"/>
      <c r="R346" s="406"/>
      <c r="S346" s="406"/>
      <c r="T346" s="406"/>
      <c r="U346" s="406"/>
      <c r="V346" s="406"/>
      <c r="W346" s="406"/>
      <c r="X346" s="406"/>
      <c r="Y346" s="406"/>
      <c r="Z346" s="406"/>
    </row>
    <row r="347">
      <c r="A347" s="406"/>
      <c r="B347" s="406"/>
      <c r="C347" s="406"/>
      <c r="D347" s="406"/>
      <c r="E347" s="406"/>
      <c r="F347" s="406"/>
      <c r="G347" s="407"/>
      <c r="H347" s="406"/>
      <c r="I347" s="406"/>
      <c r="J347" s="406"/>
      <c r="K347" s="406"/>
      <c r="L347" s="406"/>
      <c r="M347" s="406"/>
      <c r="N347" s="406"/>
      <c r="O347" s="406"/>
      <c r="P347" s="406"/>
      <c r="Q347" s="406"/>
      <c r="R347" s="406"/>
      <c r="S347" s="406"/>
      <c r="T347" s="406"/>
      <c r="U347" s="406"/>
      <c r="V347" s="406"/>
      <c r="W347" s="406"/>
      <c r="X347" s="406"/>
      <c r="Y347" s="406"/>
      <c r="Z347" s="406"/>
    </row>
    <row r="348">
      <c r="A348" s="406"/>
      <c r="B348" s="406"/>
      <c r="C348" s="406"/>
      <c r="D348" s="406"/>
      <c r="E348" s="406"/>
      <c r="F348" s="406"/>
      <c r="G348" s="407"/>
      <c r="H348" s="406"/>
      <c r="I348" s="406"/>
      <c r="J348" s="406"/>
      <c r="K348" s="406"/>
      <c r="L348" s="406"/>
      <c r="M348" s="406"/>
      <c r="N348" s="406"/>
      <c r="O348" s="406"/>
      <c r="P348" s="406"/>
      <c r="Q348" s="406"/>
      <c r="R348" s="406"/>
      <c r="S348" s="406"/>
      <c r="T348" s="406"/>
      <c r="U348" s="406"/>
      <c r="V348" s="406"/>
      <c r="W348" s="406"/>
      <c r="X348" s="406"/>
      <c r="Y348" s="406"/>
      <c r="Z348" s="406"/>
    </row>
    <row r="349">
      <c r="A349" s="406"/>
      <c r="B349" s="406"/>
      <c r="C349" s="406"/>
      <c r="D349" s="406"/>
      <c r="E349" s="406"/>
      <c r="F349" s="406"/>
      <c r="G349" s="407"/>
      <c r="H349" s="406"/>
      <c r="I349" s="406"/>
      <c r="J349" s="406"/>
      <c r="K349" s="406"/>
      <c r="L349" s="406"/>
      <c r="M349" s="406"/>
      <c r="N349" s="406"/>
      <c r="O349" s="406"/>
      <c r="P349" s="406"/>
      <c r="Q349" s="406"/>
      <c r="R349" s="406"/>
      <c r="S349" s="406"/>
      <c r="T349" s="406"/>
      <c r="U349" s="406"/>
      <c r="V349" s="406"/>
      <c r="W349" s="406"/>
      <c r="X349" s="406"/>
      <c r="Y349" s="406"/>
      <c r="Z349" s="406"/>
    </row>
    <row r="350">
      <c r="A350" s="406"/>
      <c r="B350" s="406"/>
      <c r="C350" s="406"/>
      <c r="D350" s="406"/>
      <c r="E350" s="406"/>
      <c r="F350" s="406"/>
      <c r="G350" s="407"/>
      <c r="H350" s="406"/>
      <c r="I350" s="406"/>
      <c r="J350" s="406"/>
      <c r="K350" s="406"/>
      <c r="L350" s="406"/>
      <c r="M350" s="406"/>
      <c r="N350" s="406"/>
      <c r="O350" s="406"/>
      <c r="P350" s="406"/>
      <c r="Q350" s="406"/>
      <c r="R350" s="406"/>
      <c r="S350" s="406"/>
      <c r="T350" s="406"/>
      <c r="U350" s="406"/>
      <c r="V350" s="406"/>
      <c r="W350" s="406"/>
      <c r="X350" s="406"/>
      <c r="Y350" s="406"/>
      <c r="Z350" s="406"/>
    </row>
    <row r="351">
      <c r="A351" s="406"/>
      <c r="B351" s="406"/>
      <c r="C351" s="406"/>
      <c r="D351" s="406"/>
      <c r="E351" s="406"/>
      <c r="F351" s="406"/>
      <c r="G351" s="407"/>
      <c r="H351" s="406"/>
      <c r="I351" s="406"/>
      <c r="J351" s="406"/>
      <c r="K351" s="406"/>
      <c r="L351" s="406"/>
      <c r="M351" s="406"/>
      <c r="N351" s="406"/>
      <c r="O351" s="406"/>
      <c r="P351" s="406"/>
      <c r="Q351" s="406"/>
      <c r="R351" s="406"/>
      <c r="S351" s="406"/>
      <c r="T351" s="406"/>
      <c r="U351" s="406"/>
      <c r="V351" s="406"/>
      <c r="W351" s="406"/>
      <c r="X351" s="406"/>
      <c r="Y351" s="406"/>
      <c r="Z351" s="406"/>
    </row>
    <row r="352">
      <c r="A352" s="406"/>
      <c r="B352" s="406"/>
      <c r="C352" s="406"/>
      <c r="D352" s="406"/>
      <c r="E352" s="406"/>
      <c r="F352" s="406"/>
      <c r="G352" s="407"/>
      <c r="H352" s="406"/>
      <c r="I352" s="406"/>
      <c r="J352" s="406"/>
      <c r="K352" s="406"/>
      <c r="L352" s="406"/>
      <c r="M352" s="406"/>
      <c r="N352" s="406"/>
      <c r="O352" s="406"/>
      <c r="P352" s="406"/>
      <c r="Q352" s="406"/>
      <c r="R352" s="406"/>
      <c r="S352" s="406"/>
      <c r="T352" s="406"/>
      <c r="U352" s="406"/>
      <c r="V352" s="406"/>
      <c r="W352" s="406"/>
      <c r="X352" s="406"/>
      <c r="Y352" s="406"/>
      <c r="Z352" s="406"/>
    </row>
    <row r="353">
      <c r="A353" s="406"/>
      <c r="B353" s="406"/>
      <c r="C353" s="406"/>
      <c r="D353" s="406"/>
      <c r="E353" s="406"/>
      <c r="F353" s="406"/>
      <c r="G353" s="407"/>
      <c r="H353" s="406"/>
      <c r="I353" s="406"/>
      <c r="J353" s="406"/>
      <c r="K353" s="406"/>
      <c r="L353" s="406"/>
      <c r="M353" s="406"/>
      <c r="N353" s="406"/>
      <c r="O353" s="406"/>
      <c r="P353" s="406"/>
      <c r="Q353" s="406"/>
      <c r="R353" s="406"/>
      <c r="S353" s="406"/>
      <c r="T353" s="406"/>
      <c r="U353" s="406"/>
      <c r="V353" s="406"/>
      <c r="W353" s="406"/>
      <c r="X353" s="406"/>
      <c r="Y353" s="406"/>
      <c r="Z353" s="406"/>
    </row>
    <row r="354">
      <c r="A354" s="406"/>
      <c r="B354" s="406"/>
      <c r="C354" s="406"/>
      <c r="D354" s="406"/>
      <c r="E354" s="406"/>
      <c r="F354" s="406"/>
      <c r="G354" s="407"/>
      <c r="H354" s="406"/>
      <c r="I354" s="406"/>
      <c r="J354" s="406"/>
      <c r="K354" s="406"/>
      <c r="L354" s="406"/>
      <c r="M354" s="406"/>
      <c r="N354" s="406"/>
      <c r="O354" s="406"/>
      <c r="P354" s="406"/>
      <c r="Q354" s="406"/>
      <c r="R354" s="406"/>
      <c r="S354" s="406"/>
      <c r="T354" s="406"/>
      <c r="U354" s="406"/>
      <c r="V354" s="406"/>
      <c r="W354" s="406"/>
      <c r="X354" s="406"/>
      <c r="Y354" s="406"/>
      <c r="Z354" s="406"/>
    </row>
    <row r="355">
      <c r="A355" s="406"/>
      <c r="B355" s="406"/>
      <c r="C355" s="406"/>
      <c r="D355" s="406"/>
      <c r="E355" s="406"/>
      <c r="F355" s="406"/>
      <c r="G355" s="407"/>
      <c r="H355" s="406"/>
      <c r="I355" s="406"/>
      <c r="J355" s="406"/>
      <c r="K355" s="406"/>
      <c r="L355" s="406"/>
      <c r="M355" s="406"/>
      <c r="N355" s="406"/>
      <c r="O355" s="406"/>
      <c r="P355" s="406"/>
      <c r="Q355" s="406"/>
      <c r="R355" s="406"/>
      <c r="S355" s="406"/>
      <c r="T355" s="406"/>
      <c r="U355" s="406"/>
      <c r="V355" s="406"/>
      <c r="W355" s="406"/>
      <c r="X355" s="406"/>
      <c r="Y355" s="406"/>
      <c r="Z355" s="406"/>
    </row>
    <row r="356">
      <c r="A356" s="406"/>
      <c r="B356" s="406"/>
      <c r="C356" s="406"/>
      <c r="D356" s="406"/>
      <c r="E356" s="406"/>
      <c r="F356" s="406"/>
      <c r="G356" s="407"/>
      <c r="H356" s="406"/>
      <c r="I356" s="406"/>
      <c r="J356" s="406"/>
      <c r="K356" s="406"/>
      <c r="L356" s="406"/>
      <c r="M356" s="406"/>
      <c r="N356" s="406"/>
      <c r="O356" s="406"/>
      <c r="P356" s="406"/>
      <c r="Q356" s="406"/>
      <c r="R356" s="406"/>
      <c r="S356" s="406"/>
      <c r="T356" s="406"/>
      <c r="U356" s="406"/>
      <c r="V356" s="406"/>
      <c r="W356" s="406"/>
      <c r="X356" s="406"/>
      <c r="Y356" s="406"/>
      <c r="Z356" s="406"/>
    </row>
    <row r="357">
      <c r="A357" s="406"/>
      <c r="B357" s="406"/>
      <c r="C357" s="406"/>
      <c r="D357" s="406"/>
      <c r="E357" s="406"/>
      <c r="F357" s="406"/>
      <c r="G357" s="407"/>
      <c r="H357" s="406"/>
      <c r="I357" s="406"/>
      <c r="J357" s="406"/>
      <c r="K357" s="406"/>
      <c r="L357" s="406"/>
      <c r="M357" s="406"/>
      <c r="N357" s="406"/>
      <c r="O357" s="406"/>
      <c r="P357" s="406"/>
      <c r="Q357" s="406"/>
      <c r="R357" s="406"/>
      <c r="S357" s="406"/>
      <c r="T357" s="406"/>
      <c r="U357" s="406"/>
      <c r="V357" s="406"/>
      <c r="W357" s="406"/>
      <c r="X357" s="406"/>
      <c r="Y357" s="406"/>
      <c r="Z357" s="406"/>
    </row>
    <row r="358">
      <c r="A358" s="406"/>
      <c r="B358" s="406"/>
      <c r="C358" s="406"/>
      <c r="D358" s="406"/>
      <c r="E358" s="406"/>
      <c r="F358" s="406"/>
      <c r="G358" s="407"/>
      <c r="H358" s="406"/>
      <c r="I358" s="406"/>
      <c r="J358" s="406"/>
      <c r="K358" s="406"/>
      <c r="L358" s="406"/>
      <c r="M358" s="406"/>
      <c r="N358" s="406"/>
      <c r="O358" s="406"/>
      <c r="P358" s="406"/>
      <c r="Q358" s="406"/>
      <c r="R358" s="406"/>
      <c r="S358" s="406"/>
      <c r="T358" s="406"/>
      <c r="U358" s="406"/>
      <c r="V358" s="406"/>
      <c r="W358" s="406"/>
      <c r="X358" s="406"/>
      <c r="Y358" s="406"/>
      <c r="Z358" s="406"/>
    </row>
    <row r="359">
      <c r="A359" s="406"/>
      <c r="B359" s="406"/>
      <c r="C359" s="406"/>
      <c r="D359" s="406"/>
      <c r="E359" s="406"/>
      <c r="F359" s="406"/>
      <c r="G359" s="407"/>
      <c r="H359" s="406"/>
      <c r="I359" s="406"/>
      <c r="J359" s="406"/>
      <c r="K359" s="406"/>
      <c r="L359" s="406"/>
      <c r="M359" s="406"/>
      <c r="N359" s="406"/>
      <c r="O359" s="406"/>
      <c r="P359" s="406"/>
      <c r="Q359" s="406"/>
      <c r="R359" s="406"/>
      <c r="S359" s="406"/>
      <c r="T359" s="406"/>
      <c r="U359" s="406"/>
      <c r="V359" s="406"/>
      <c r="W359" s="406"/>
      <c r="X359" s="406"/>
      <c r="Y359" s="406"/>
      <c r="Z359" s="406"/>
    </row>
    <row r="360">
      <c r="A360" s="406"/>
      <c r="B360" s="406"/>
      <c r="C360" s="406"/>
      <c r="D360" s="406"/>
      <c r="E360" s="406"/>
      <c r="F360" s="406"/>
      <c r="G360" s="407"/>
      <c r="H360" s="406"/>
      <c r="I360" s="406"/>
      <c r="J360" s="406"/>
      <c r="K360" s="406"/>
      <c r="L360" s="406"/>
      <c r="M360" s="406"/>
      <c r="N360" s="406"/>
      <c r="O360" s="406"/>
      <c r="P360" s="406"/>
      <c r="Q360" s="406"/>
      <c r="R360" s="406"/>
      <c r="S360" s="406"/>
      <c r="T360" s="406"/>
      <c r="U360" s="406"/>
      <c r="V360" s="406"/>
      <c r="W360" s="406"/>
      <c r="X360" s="406"/>
      <c r="Y360" s="406"/>
      <c r="Z360" s="406"/>
    </row>
    <row r="361">
      <c r="A361" s="406"/>
      <c r="B361" s="406"/>
      <c r="C361" s="406"/>
      <c r="D361" s="406"/>
      <c r="E361" s="406"/>
      <c r="F361" s="406"/>
      <c r="G361" s="407"/>
      <c r="H361" s="406"/>
      <c r="I361" s="406"/>
      <c r="J361" s="406"/>
      <c r="K361" s="406"/>
      <c r="L361" s="406"/>
      <c r="M361" s="406"/>
      <c r="N361" s="406"/>
      <c r="O361" s="406"/>
      <c r="P361" s="406"/>
      <c r="Q361" s="406"/>
      <c r="R361" s="406"/>
      <c r="S361" s="406"/>
      <c r="T361" s="406"/>
      <c r="U361" s="406"/>
      <c r="V361" s="406"/>
      <c r="W361" s="406"/>
      <c r="X361" s="406"/>
      <c r="Y361" s="406"/>
      <c r="Z361" s="406"/>
    </row>
    <row r="362">
      <c r="A362" s="406"/>
      <c r="B362" s="406"/>
      <c r="C362" s="406"/>
      <c r="D362" s="406"/>
      <c r="E362" s="406"/>
      <c r="F362" s="406"/>
      <c r="G362" s="407"/>
      <c r="H362" s="406"/>
      <c r="I362" s="406"/>
      <c r="J362" s="406"/>
      <c r="K362" s="406"/>
      <c r="L362" s="406"/>
      <c r="M362" s="406"/>
      <c r="N362" s="406"/>
      <c r="O362" s="406"/>
      <c r="P362" s="406"/>
      <c r="Q362" s="406"/>
      <c r="R362" s="406"/>
      <c r="S362" s="406"/>
      <c r="T362" s="406"/>
      <c r="U362" s="406"/>
      <c r="V362" s="406"/>
      <c r="W362" s="406"/>
      <c r="X362" s="406"/>
      <c r="Y362" s="406"/>
      <c r="Z362" s="406"/>
    </row>
    <row r="363">
      <c r="A363" s="406"/>
      <c r="B363" s="406"/>
      <c r="C363" s="406"/>
      <c r="D363" s="406"/>
      <c r="E363" s="406"/>
      <c r="F363" s="406"/>
      <c r="G363" s="407"/>
      <c r="H363" s="406"/>
      <c r="I363" s="406"/>
      <c r="J363" s="406"/>
      <c r="K363" s="406"/>
      <c r="L363" s="406"/>
      <c r="M363" s="406"/>
      <c r="N363" s="406"/>
      <c r="O363" s="406"/>
      <c r="P363" s="406"/>
      <c r="Q363" s="406"/>
      <c r="R363" s="406"/>
      <c r="S363" s="406"/>
      <c r="T363" s="406"/>
      <c r="U363" s="406"/>
      <c r="V363" s="406"/>
      <c r="W363" s="406"/>
      <c r="X363" s="406"/>
      <c r="Y363" s="406"/>
      <c r="Z363" s="406"/>
    </row>
    <row r="364">
      <c r="A364" s="406"/>
      <c r="B364" s="406"/>
      <c r="C364" s="406"/>
      <c r="D364" s="406"/>
      <c r="E364" s="406"/>
      <c r="F364" s="406"/>
      <c r="G364" s="407"/>
      <c r="H364" s="406"/>
      <c r="I364" s="406"/>
      <c r="J364" s="406"/>
      <c r="K364" s="406"/>
      <c r="L364" s="406"/>
      <c r="M364" s="406"/>
      <c r="N364" s="406"/>
      <c r="O364" s="406"/>
      <c r="P364" s="406"/>
      <c r="Q364" s="406"/>
      <c r="R364" s="406"/>
      <c r="S364" s="406"/>
      <c r="T364" s="406"/>
      <c r="U364" s="406"/>
      <c r="V364" s="406"/>
      <c r="W364" s="406"/>
      <c r="X364" s="406"/>
      <c r="Y364" s="406"/>
      <c r="Z364" s="406"/>
    </row>
    <row r="365">
      <c r="A365" s="406"/>
      <c r="B365" s="406"/>
      <c r="C365" s="406"/>
      <c r="D365" s="406"/>
      <c r="E365" s="406"/>
      <c r="F365" s="406"/>
      <c r="G365" s="407"/>
      <c r="H365" s="406"/>
      <c r="I365" s="406"/>
      <c r="J365" s="406"/>
      <c r="K365" s="406"/>
      <c r="L365" s="406"/>
      <c r="M365" s="406"/>
      <c r="N365" s="406"/>
      <c r="O365" s="406"/>
      <c r="P365" s="406"/>
      <c r="Q365" s="406"/>
      <c r="R365" s="406"/>
      <c r="S365" s="406"/>
      <c r="T365" s="406"/>
      <c r="U365" s="406"/>
      <c r="V365" s="406"/>
      <c r="W365" s="406"/>
      <c r="X365" s="406"/>
      <c r="Y365" s="406"/>
      <c r="Z365" s="406"/>
    </row>
    <row r="366">
      <c r="A366" s="406"/>
      <c r="B366" s="406"/>
      <c r="C366" s="406"/>
      <c r="D366" s="406"/>
      <c r="E366" s="406"/>
      <c r="F366" s="406"/>
      <c r="G366" s="407"/>
      <c r="H366" s="406"/>
      <c r="I366" s="406"/>
      <c r="J366" s="406"/>
      <c r="K366" s="406"/>
      <c r="L366" s="406"/>
      <c r="M366" s="406"/>
      <c r="N366" s="406"/>
      <c r="O366" s="406"/>
      <c r="P366" s="406"/>
      <c r="Q366" s="406"/>
      <c r="R366" s="406"/>
      <c r="S366" s="406"/>
      <c r="T366" s="406"/>
      <c r="U366" s="406"/>
      <c r="V366" s="406"/>
      <c r="W366" s="406"/>
      <c r="X366" s="406"/>
      <c r="Y366" s="406"/>
      <c r="Z366" s="406"/>
    </row>
    <row r="367">
      <c r="A367" s="406"/>
      <c r="B367" s="406"/>
      <c r="C367" s="406"/>
      <c r="D367" s="406"/>
      <c r="E367" s="406"/>
      <c r="F367" s="406"/>
      <c r="G367" s="407"/>
      <c r="H367" s="406"/>
      <c r="I367" s="406"/>
      <c r="J367" s="406"/>
      <c r="K367" s="406"/>
      <c r="L367" s="406"/>
      <c r="M367" s="406"/>
      <c r="N367" s="406"/>
      <c r="O367" s="406"/>
      <c r="P367" s="406"/>
      <c r="Q367" s="406"/>
      <c r="R367" s="406"/>
      <c r="S367" s="406"/>
      <c r="T367" s="406"/>
      <c r="U367" s="406"/>
      <c r="V367" s="406"/>
      <c r="W367" s="406"/>
      <c r="X367" s="406"/>
      <c r="Y367" s="406"/>
      <c r="Z367" s="406"/>
    </row>
    <row r="368">
      <c r="A368" s="406"/>
      <c r="B368" s="406"/>
      <c r="C368" s="406"/>
      <c r="D368" s="406"/>
      <c r="E368" s="406"/>
      <c r="F368" s="406"/>
      <c r="G368" s="407"/>
      <c r="H368" s="406"/>
      <c r="I368" s="406"/>
      <c r="J368" s="406"/>
      <c r="K368" s="406"/>
      <c r="L368" s="406"/>
      <c r="M368" s="406"/>
      <c r="N368" s="406"/>
      <c r="O368" s="406"/>
      <c r="P368" s="406"/>
      <c r="Q368" s="406"/>
      <c r="R368" s="406"/>
      <c r="S368" s="406"/>
      <c r="T368" s="406"/>
      <c r="U368" s="406"/>
      <c r="V368" s="406"/>
      <c r="W368" s="406"/>
      <c r="X368" s="406"/>
      <c r="Y368" s="406"/>
      <c r="Z368" s="406"/>
    </row>
    <row r="369">
      <c r="A369" s="406"/>
      <c r="B369" s="406"/>
      <c r="C369" s="406"/>
      <c r="D369" s="406"/>
      <c r="E369" s="406"/>
      <c r="F369" s="406"/>
      <c r="G369" s="407"/>
      <c r="H369" s="406"/>
      <c r="I369" s="406"/>
      <c r="J369" s="406"/>
      <c r="K369" s="406"/>
      <c r="L369" s="406"/>
      <c r="M369" s="406"/>
      <c r="N369" s="406"/>
      <c r="O369" s="406"/>
      <c r="P369" s="406"/>
      <c r="Q369" s="406"/>
      <c r="R369" s="406"/>
      <c r="S369" s="406"/>
      <c r="T369" s="406"/>
      <c r="U369" s="406"/>
      <c r="V369" s="406"/>
      <c r="W369" s="406"/>
      <c r="X369" s="406"/>
      <c r="Y369" s="406"/>
      <c r="Z369" s="406"/>
    </row>
    <row r="370">
      <c r="A370" s="406"/>
      <c r="B370" s="406"/>
      <c r="C370" s="406"/>
      <c r="D370" s="406"/>
      <c r="E370" s="406"/>
      <c r="F370" s="406"/>
      <c r="G370" s="407"/>
      <c r="H370" s="406"/>
      <c r="I370" s="406"/>
      <c r="J370" s="406"/>
      <c r="K370" s="406"/>
      <c r="L370" s="406"/>
      <c r="M370" s="406"/>
      <c r="N370" s="406"/>
      <c r="O370" s="406"/>
      <c r="P370" s="406"/>
      <c r="Q370" s="406"/>
      <c r="R370" s="406"/>
      <c r="S370" s="406"/>
      <c r="T370" s="406"/>
      <c r="U370" s="406"/>
      <c r="V370" s="406"/>
      <c r="W370" s="406"/>
      <c r="X370" s="406"/>
      <c r="Y370" s="406"/>
      <c r="Z370" s="406"/>
    </row>
    <row r="371">
      <c r="A371" s="406"/>
      <c r="B371" s="406"/>
      <c r="C371" s="406"/>
      <c r="D371" s="406"/>
      <c r="E371" s="406"/>
      <c r="F371" s="406"/>
      <c r="G371" s="407"/>
      <c r="H371" s="406"/>
      <c r="I371" s="406"/>
      <c r="J371" s="406"/>
      <c r="K371" s="406"/>
      <c r="L371" s="406"/>
      <c r="M371" s="406"/>
      <c r="N371" s="406"/>
      <c r="O371" s="406"/>
      <c r="P371" s="406"/>
      <c r="Q371" s="406"/>
      <c r="R371" s="406"/>
      <c r="S371" s="406"/>
      <c r="T371" s="406"/>
      <c r="U371" s="406"/>
      <c r="V371" s="406"/>
      <c r="W371" s="406"/>
      <c r="X371" s="406"/>
      <c r="Y371" s="406"/>
      <c r="Z371" s="406"/>
    </row>
    <row r="372">
      <c r="A372" s="406"/>
      <c r="B372" s="406"/>
      <c r="C372" s="406"/>
      <c r="D372" s="406"/>
      <c r="E372" s="406"/>
      <c r="F372" s="406"/>
      <c r="G372" s="407"/>
      <c r="H372" s="406"/>
      <c r="I372" s="406"/>
      <c r="J372" s="406"/>
      <c r="K372" s="406"/>
      <c r="L372" s="406"/>
      <c r="M372" s="406"/>
      <c r="N372" s="406"/>
      <c r="O372" s="406"/>
      <c r="P372" s="406"/>
      <c r="Q372" s="406"/>
      <c r="R372" s="406"/>
      <c r="S372" s="406"/>
      <c r="T372" s="406"/>
      <c r="U372" s="406"/>
      <c r="V372" s="406"/>
      <c r="W372" s="406"/>
      <c r="X372" s="406"/>
      <c r="Y372" s="406"/>
      <c r="Z372" s="406"/>
    </row>
    <row r="373">
      <c r="A373" s="406"/>
      <c r="B373" s="406"/>
      <c r="C373" s="406"/>
      <c r="D373" s="406"/>
      <c r="E373" s="406"/>
      <c r="F373" s="406"/>
      <c r="G373" s="407"/>
      <c r="H373" s="406"/>
      <c r="I373" s="406"/>
      <c r="J373" s="406"/>
      <c r="K373" s="406"/>
      <c r="L373" s="406"/>
      <c r="M373" s="406"/>
      <c r="N373" s="406"/>
      <c r="O373" s="406"/>
      <c r="P373" s="406"/>
      <c r="Q373" s="406"/>
      <c r="R373" s="406"/>
      <c r="S373" s="406"/>
      <c r="T373" s="406"/>
      <c r="U373" s="406"/>
      <c r="V373" s="406"/>
      <c r="W373" s="406"/>
      <c r="X373" s="406"/>
      <c r="Y373" s="406"/>
      <c r="Z373" s="406"/>
    </row>
    <row r="374">
      <c r="A374" s="406"/>
      <c r="B374" s="406"/>
      <c r="C374" s="406"/>
      <c r="D374" s="406"/>
      <c r="E374" s="406"/>
      <c r="F374" s="406"/>
      <c r="G374" s="407"/>
      <c r="H374" s="406"/>
      <c r="I374" s="406"/>
      <c r="J374" s="406"/>
      <c r="K374" s="406"/>
      <c r="L374" s="406"/>
      <c r="M374" s="406"/>
      <c r="N374" s="406"/>
      <c r="O374" s="406"/>
      <c r="P374" s="406"/>
      <c r="Q374" s="406"/>
      <c r="R374" s="406"/>
      <c r="S374" s="406"/>
      <c r="T374" s="406"/>
      <c r="U374" s="406"/>
      <c r="V374" s="406"/>
      <c r="W374" s="406"/>
      <c r="X374" s="406"/>
      <c r="Y374" s="406"/>
      <c r="Z374" s="406"/>
    </row>
    <row r="375">
      <c r="A375" s="406"/>
      <c r="B375" s="406"/>
      <c r="C375" s="406"/>
      <c r="D375" s="406"/>
      <c r="E375" s="406"/>
      <c r="F375" s="406"/>
      <c r="G375" s="407"/>
      <c r="H375" s="406"/>
      <c r="I375" s="406"/>
      <c r="J375" s="406"/>
      <c r="K375" s="406"/>
      <c r="L375" s="406"/>
      <c r="M375" s="406"/>
      <c r="N375" s="406"/>
      <c r="O375" s="406"/>
      <c r="P375" s="406"/>
      <c r="Q375" s="406"/>
      <c r="R375" s="406"/>
      <c r="S375" s="406"/>
      <c r="T375" s="406"/>
      <c r="U375" s="406"/>
      <c r="V375" s="406"/>
      <c r="W375" s="406"/>
      <c r="X375" s="406"/>
      <c r="Y375" s="406"/>
      <c r="Z375" s="406"/>
    </row>
    <row r="376">
      <c r="A376" s="406"/>
      <c r="B376" s="406"/>
      <c r="C376" s="406"/>
      <c r="D376" s="406"/>
      <c r="E376" s="406"/>
      <c r="F376" s="406"/>
      <c r="G376" s="407"/>
      <c r="H376" s="406"/>
      <c r="I376" s="406"/>
      <c r="J376" s="406"/>
      <c r="K376" s="406"/>
      <c r="L376" s="406"/>
      <c r="M376" s="406"/>
      <c r="N376" s="406"/>
      <c r="O376" s="406"/>
      <c r="P376" s="406"/>
      <c r="Q376" s="406"/>
      <c r="R376" s="406"/>
      <c r="S376" s="406"/>
      <c r="T376" s="406"/>
      <c r="U376" s="406"/>
      <c r="V376" s="406"/>
      <c r="W376" s="406"/>
      <c r="X376" s="406"/>
      <c r="Y376" s="406"/>
      <c r="Z376" s="406"/>
    </row>
    <row r="377">
      <c r="A377" s="406"/>
      <c r="B377" s="406"/>
      <c r="C377" s="406"/>
      <c r="D377" s="406"/>
      <c r="E377" s="406"/>
      <c r="F377" s="406"/>
      <c r="G377" s="407"/>
      <c r="H377" s="406"/>
      <c r="I377" s="406"/>
      <c r="J377" s="406"/>
      <c r="K377" s="406"/>
      <c r="L377" s="406"/>
      <c r="M377" s="406"/>
      <c r="N377" s="406"/>
      <c r="O377" s="406"/>
      <c r="P377" s="406"/>
      <c r="Q377" s="406"/>
      <c r="R377" s="406"/>
      <c r="S377" s="406"/>
      <c r="T377" s="406"/>
      <c r="U377" s="406"/>
      <c r="V377" s="406"/>
      <c r="W377" s="406"/>
      <c r="X377" s="406"/>
      <c r="Y377" s="406"/>
      <c r="Z377" s="406"/>
    </row>
    <row r="378">
      <c r="A378" s="406"/>
      <c r="B378" s="406"/>
      <c r="C378" s="406"/>
      <c r="D378" s="406"/>
      <c r="E378" s="406"/>
      <c r="F378" s="406"/>
      <c r="G378" s="407"/>
      <c r="H378" s="406"/>
      <c r="I378" s="406"/>
      <c r="J378" s="406"/>
      <c r="K378" s="406"/>
      <c r="L378" s="406"/>
      <c r="M378" s="406"/>
      <c r="N378" s="406"/>
      <c r="O378" s="406"/>
      <c r="P378" s="406"/>
      <c r="Q378" s="406"/>
      <c r="R378" s="406"/>
      <c r="S378" s="406"/>
      <c r="T378" s="406"/>
      <c r="U378" s="406"/>
      <c r="V378" s="406"/>
      <c r="W378" s="406"/>
      <c r="X378" s="406"/>
      <c r="Y378" s="406"/>
      <c r="Z378" s="406"/>
    </row>
    <row r="379">
      <c r="A379" s="406"/>
      <c r="B379" s="406"/>
      <c r="C379" s="406"/>
      <c r="D379" s="406"/>
      <c r="E379" s="406"/>
      <c r="F379" s="406"/>
      <c r="G379" s="407"/>
      <c r="H379" s="406"/>
      <c r="I379" s="406"/>
      <c r="J379" s="406"/>
      <c r="K379" s="406"/>
      <c r="L379" s="406"/>
      <c r="M379" s="406"/>
      <c r="N379" s="406"/>
      <c r="O379" s="406"/>
      <c r="P379" s="406"/>
      <c r="Q379" s="406"/>
      <c r="R379" s="406"/>
      <c r="S379" s="406"/>
      <c r="T379" s="406"/>
      <c r="U379" s="406"/>
      <c r="V379" s="406"/>
      <c r="W379" s="406"/>
      <c r="X379" s="406"/>
      <c r="Y379" s="406"/>
      <c r="Z379" s="406"/>
    </row>
    <row r="380">
      <c r="A380" s="406"/>
      <c r="B380" s="406"/>
      <c r="C380" s="406"/>
      <c r="D380" s="406"/>
      <c r="E380" s="406"/>
      <c r="F380" s="406"/>
      <c r="G380" s="407"/>
      <c r="H380" s="406"/>
      <c r="I380" s="406"/>
      <c r="J380" s="406"/>
      <c r="K380" s="406"/>
      <c r="L380" s="406"/>
      <c r="M380" s="406"/>
      <c r="N380" s="406"/>
      <c r="O380" s="406"/>
      <c r="P380" s="406"/>
      <c r="Q380" s="406"/>
      <c r="R380" s="406"/>
      <c r="S380" s="406"/>
      <c r="T380" s="406"/>
      <c r="U380" s="406"/>
      <c r="V380" s="406"/>
      <c r="W380" s="406"/>
      <c r="X380" s="406"/>
      <c r="Y380" s="406"/>
      <c r="Z380" s="406"/>
    </row>
    <row r="381">
      <c r="A381" s="406"/>
      <c r="B381" s="406"/>
      <c r="C381" s="406"/>
      <c r="D381" s="406"/>
      <c r="E381" s="406"/>
      <c r="F381" s="406"/>
      <c r="G381" s="407"/>
      <c r="H381" s="406"/>
      <c r="I381" s="406"/>
      <c r="J381" s="406"/>
      <c r="K381" s="406"/>
      <c r="L381" s="406"/>
      <c r="M381" s="406"/>
      <c r="N381" s="406"/>
      <c r="O381" s="406"/>
      <c r="P381" s="406"/>
      <c r="Q381" s="406"/>
      <c r="R381" s="406"/>
      <c r="S381" s="406"/>
      <c r="T381" s="406"/>
      <c r="U381" s="406"/>
      <c r="V381" s="406"/>
      <c r="W381" s="406"/>
      <c r="X381" s="406"/>
      <c r="Y381" s="406"/>
      <c r="Z381" s="406"/>
    </row>
    <row r="382">
      <c r="A382" s="406"/>
      <c r="B382" s="406"/>
      <c r="C382" s="406"/>
      <c r="D382" s="406"/>
      <c r="E382" s="406"/>
      <c r="F382" s="406"/>
      <c r="G382" s="407"/>
      <c r="H382" s="406"/>
      <c r="I382" s="406"/>
      <c r="J382" s="406"/>
      <c r="K382" s="406"/>
      <c r="L382" s="406"/>
      <c r="M382" s="406"/>
      <c r="N382" s="406"/>
      <c r="O382" s="406"/>
      <c r="P382" s="406"/>
      <c r="Q382" s="406"/>
      <c r="R382" s="406"/>
      <c r="S382" s="406"/>
      <c r="T382" s="406"/>
      <c r="U382" s="406"/>
      <c r="V382" s="406"/>
      <c r="W382" s="406"/>
      <c r="X382" s="406"/>
      <c r="Y382" s="406"/>
      <c r="Z382" s="406"/>
    </row>
    <row r="383">
      <c r="A383" s="406"/>
      <c r="B383" s="406"/>
      <c r="C383" s="406"/>
      <c r="D383" s="406"/>
      <c r="E383" s="406"/>
      <c r="F383" s="406"/>
      <c r="G383" s="407"/>
      <c r="H383" s="406"/>
      <c r="I383" s="406"/>
      <c r="J383" s="406"/>
      <c r="K383" s="406"/>
      <c r="L383" s="406"/>
      <c r="M383" s="406"/>
      <c r="N383" s="406"/>
      <c r="O383" s="406"/>
      <c r="P383" s="406"/>
      <c r="Q383" s="406"/>
      <c r="R383" s="406"/>
      <c r="S383" s="406"/>
      <c r="T383" s="406"/>
      <c r="U383" s="406"/>
      <c r="V383" s="406"/>
      <c r="W383" s="406"/>
      <c r="X383" s="406"/>
      <c r="Y383" s="406"/>
      <c r="Z383" s="406"/>
    </row>
    <row r="384">
      <c r="A384" s="406"/>
      <c r="B384" s="406"/>
      <c r="C384" s="406"/>
      <c r="D384" s="406"/>
      <c r="E384" s="406"/>
      <c r="F384" s="406"/>
      <c r="G384" s="407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406"/>
      <c r="V384" s="406"/>
      <c r="W384" s="406"/>
      <c r="X384" s="406"/>
      <c r="Y384" s="406"/>
      <c r="Z384" s="406"/>
    </row>
    <row r="385">
      <c r="A385" s="406"/>
      <c r="B385" s="406"/>
      <c r="C385" s="406"/>
      <c r="D385" s="406"/>
      <c r="E385" s="406"/>
      <c r="F385" s="406"/>
      <c r="G385" s="407"/>
      <c r="H385" s="406"/>
      <c r="I385" s="406"/>
      <c r="J385" s="406"/>
      <c r="K385" s="406"/>
      <c r="L385" s="406"/>
      <c r="M385" s="406"/>
      <c r="N385" s="406"/>
      <c r="O385" s="406"/>
      <c r="P385" s="406"/>
      <c r="Q385" s="406"/>
      <c r="R385" s="406"/>
      <c r="S385" s="406"/>
      <c r="T385" s="406"/>
      <c r="U385" s="406"/>
      <c r="V385" s="406"/>
      <c r="W385" s="406"/>
      <c r="X385" s="406"/>
      <c r="Y385" s="406"/>
      <c r="Z385" s="406"/>
    </row>
    <row r="386">
      <c r="A386" s="406"/>
      <c r="B386" s="406"/>
      <c r="C386" s="406"/>
      <c r="D386" s="406"/>
      <c r="E386" s="406"/>
      <c r="F386" s="406"/>
      <c r="G386" s="407"/>
      <c r="H386" s="406"/>
      <c r="I386" s="406"/>
      <c r="J386" s="406"/>
      <c r="K386" s="406"/>
      <c r="L386" s="406"/>
      <c r="M386" s="406"/>
      <c r="N386" s="406"/>
      <c r="O386" s="406"/>
      <c r="P386" s="406"/>
      <c r="Q386" s="406"/>
      <c r="R386" s="406"/>
      <c r="S386" s="406"/>
      <c r="T386" s="406"/>
      <c r="U386" s="406"/>
      <c r="V386" s="406"/>
      <c r="W386" s="406"/>
      <c r="X386" s="406"/>
      <c r="Y386" s="406"/>
      <c r="Z386" s="406"/>
    </row>
    <row r="387">
      <c r="A387" s="406"/>
      <c r="B387" s="406"/>
      <c r="C387" s="406"/>
      <c r="D387" s="406"/>
      <c r="E387" s="406"/>
      <c r="F387" s="406"/>
      <c r="G387" s="407"/>
      <c r="H387" s="406"/>
      <c r="I387" s="406"/>
      <c r="J387" s="406"/>
      <c r="K387" s="406"/>
      <c r="L387" s="406"/>
      <c r="M387" s="406"/>
      <c r="N387" s="406"/>
      <c r="O387" s="406"/>
      <c r="P387" s="406"/>
      <c r="Q387" s="406"/>
      <c r="R387" s="406"/>
      <c r="S387" s="406"/>
      <c r="T387" s="406"/>
      <c r="U387" s="406"/>
      <c r="V387" s="406"/>
      <c r="W387" s="406"/>
      <c r="X387" s="406"/>
      <c r="Y387" s="406"/>
      <c r="Z387" s="406"/>
    </row>
    <row r="388">
      <c r="A388" s="406"/>
      <c r="B388" s="406"/>
      <c r="C388" s="406"/>
      <c r="D388" s="406"/>
      <c r="E388" s="406"/>
      <c r="F388" s="406"/>
      <c r="G388" s="407"/>
      <c r="H388" s="406"/>
      <c r="I388" s="406"/>
      <c r="J388" s="406"/>
      <c r="K388" s="406"/>
      <c r="L388" s="406"/>
      <c r="M388" s="406"/>
      <c r="N388" s="406"/>
      <c r="O388" s="406"/>
      <c r="P388" s="406"/>
      <c r="Q388" s="406"/>
      <c r="R388" s="406"/>
      <c r="S388" s="406"/>
      <c r="T388" s="406"/>
      <c r="U388" s="406"/>
      <c r="V388" s="406"/>
      <c r="W388" s="406"/>
      <c r="X388" s="406"/>
      <c r="Y388" s="406"/>
      <c r="Z388" s="406"/>
    </row>
    <row r="389">
      <c r="A389" s="406"/>
      <c r="B389" s="406"/>
      <c r="C389" s="406"/>
      <c r="D389" s="406"/>
      <c r="E389" s="406"/>
      <c r="F389" s="406"/>
      <c r="G389" s="407"/>
      <c r="H389" s="406"/>
      <c r="I389" s="406"/>
      <c r="J389" s="406"/>
      <c r="K389" s="406"/>
      <c r="L389" s="406"/>
      <c r="M389" s="406"/>
      <c r="N389" s="406"/>
      <c r="O389" s="406"/>
      <c r="P389" s="406"/>
      <c r="Q389" s="406"/>
      <c r="R389" s="406"/>
      <c r="S389" s="406"/>
      <c r="T389" s="406"/>
      <c r="U389" s="406"/>
      <c r="V389" s="406"/>
      <c r="W389" s="406"/>
      <c r="X389" s="406"/>
      <c r="Y389" s="406"/>
      <c r="Z389" s="406"/>
    </row>
    <row r="390">
      <c r="A390" s="406"/>
      <c r="B390" s="406"/>
      <c r="C390" s="406"/>
      <c r="D390" s="406"/>
      <c r="E390" s="406"/>
      <c r="F390" s="406"/>
      <c r="G390" s="407"/>
      <c r="H390" s="406"/>
      <c r="I390" s="406"/>
      <c r="J390" s="406"/>
      <c r="K390" s="406"/>
      <c r="L390" s="406"/>
      <c r="M390" s="406"/>
      <c r="N390" s="406"/>
      <c r="O390" s="406"/>
      <c r="P390" s="406"/>
      <c r="Q390" s="406"/>
      <c r="R390" s="406"/>
      <c r="S390" s="406"/>
      <c r="T390" s="406"/>
      <c r="U390" s="406"/>
      <c r="V390" s="406"/>
      <c r="W390" s="406"/>
      <c r="X390" s="406"/>
      <c r="Y390" s="406"/>
      <c r="Z390" s="406"/>
    </row>
    <row r="391">
      <c r="A391" s="406"/>
      <c r="B391" s="406"/>
      <c r="C391" s="406"/>
      <c r="D391" s="406"/>
      <c r="E391" s="406"/>
      <c r="F391" s="406"/>
      <c r="G391" s="407"/>
      <c r="H391" s="406"/>
      <c r="I391" s="406"/>
      <c r="J391" s="406"/>
      <c r="K391" s="406"/>
      <c r="L391" s="406"/>
      <c r="M391" s="406"/>
      <c r="N391" s="406"/>
      <c r="O391" s="406"/>
      <c r="P391" s="406"/>
      <c r="Q391" s="406"/>
      <c r="R391" s="406"/>
      <c r="S391" s="406"/>
      <c r="T391" s="406"/>
      <c r="U391" s="406"/>
      <c r="V391" s="406"/>
      <c r="W391" s="406"/>
      <c r="X391" s="406"/>
      <c r="Y391" s="406"/>
      <c r="Z391" s="406"/>
    </row>
    <row r="392">
      <c r="A392" s="406"/>
      <c r="B392" s="406"/>
      <c r="C392" s="406"/>
      <c r="D392" s="406"/>
      <c r="E392" s="406"/>
      <c r="F392" s="406"/>
      <c r="G392" s="407"/>
      <c r="H392" s="406"/>
      <c r="I392" s="406"/>
      <c r="J392" s="406"/>
      <c r="K392" s="406"/>
      <c r="L392" s="406"/>
      <c r="M392" s="406"/>
      <c r="N392" s="406"/>
      <c r="O392" s="406"/>
      <c r="P392" s="406"/>
      <c r="Q392" s="406"/>
      <c r="R392" s="406"/>
      <c r="S392" s="406"/>
      <c r="T392" s="406"/>
      <c r="U392" s="406"/>
      <c r="V392" s="406"/>
      <c r="W392" s="406"/>
      <c r="X392" s="406"/>
      <c r="Y392" s="406"/>
      <c r="Z392" s="406"/>
    </row>
    <row r="393">
      <c r="A393" s="406"/>
      <c r="B393" s="406"/>
      <c r="C393" s="406"/>
      <c r="D393" s="406"/>
      <c r="E393" s="406"/>
      <c r="F393" s="406"/>
      <c r="G393" s="407"/>
      <c r="H393" s="406"/>
      <c r="I393" s="406"/>
      <c r="J393" s="406"/>
      <c r="K393" s="406"/>
      <c r="L393" s="406"/>
      <c r="M393" s="406"/>
      <c r="N393" s="406"/>
      <c r="O393" s="406"/>
      <c r="P393" s="406"/>
      <c r="Q393" s="406"/>
      <c r="R393" s="406"/>
      <c r="S393" s="406"/>
      <c r="T393" s="406"/>
      <c r="U393" s="406"/>
      <c r="V393" s="406"/>
      <c r="W393" s="406"/>
      <c r="X393" s="406"/>
      <c r="Y393" s="406"/>
      <c r="Z393" s="406"/>
    </row>
    <row r="394">
      <c r="A394" s="406"/>
      <c r="B394" s="406"/>
      <c r="C394" s="406"/>
      <c r="D394" s="406"/>
      <c r="E394" s="406"/>
      <c r="F394" s="406"/>
      <c r="G394" s="407"/>
      <c r="H394" s="406"/>
      <c r="I394" s="406"/>
      <c r="J394" s="406"/>
      <c r="K394" s="406"/>
      <c r="L394" s="406"/>
      <c r="M394" s="406"/>
      <c r="N394" s="406"/>
      <c r="O394" s="406"/>
      <c r="P394" s="406"/>
      <c r="Q394" s="406"/>
      <c r="R394" s="406"/>
      <c r="S394" s="406"/>
      <c r="T394" s="406"/>
      <c r="U394" s="406"/>
      <c r="V394" s="406"/>
      <c r="W394" s="406"/>
      <c r="X394" s="406"/>
      <c r="Y394" s="406"/>
      <c r="Z394" s="406"/>
    </row>
    <row r="395">
      <c r="A395" s="406"/>
      <c r="B395" s="406"/>
      <c r="C395" s="406"/>
      <c r="D395" s="406"/>
      <c r="E395" s="406"/>
      <c r="F395" s="406"/>
      <c r="G395" s="407"/>
      <c r="H395" s="406"/>
      <c r="I395" s="406"/>
      <c r="J395" s="406"/>
      <c r="K395" s="406"/>
      <c r="L395" s="406"/>
      <c r="M395" s="406"/>
      <c r="N395" s="406"/>
      <c r="O395" s="406"/>
      <c r="P395" s="406"/>
      <c r="Q395" s="406"/>
      <c r="R395" s="406"/>
      <c r="S395" s="406"/>
      <c r="T395" s="406"/>
      <c r="U395" s="406"/>
      <c r="V395" s="406"/>
      <c r="W395" s="406"/>
      <c r="X395" s="406"/>
      <c r="Y395" s="406"/>
      <c r="Z395" s="406"/>
    </row>
    <row r="396">
      <c r="A396" s="406"/>
      <c r="B396" s="406"/>
      <c r="C396" s="406"/>
      <c r="D396" s="406"/>
      <c r="E396" s="406"/>
      <c r="F396" s="406"/>
      <c r="G396" s="407"/>
      <c r="H396" s="406"/>
      <c r="I396" s="406"/>
      <c r="J396" s="406"/>
      <c r="K396" s="406"/>
      <c r="L396" s="406"/>
      <c r="M396" s="406"/>
      <c r="N396" s="406"/>
      <c r="O396" s="406"/>
      <c r="P396" s="406"/>
      <c r="Q396" s="406"/>
      <c r="R396" s="406"/>
      <c r="S396" s="406"/>
      <c r="T396" s="406"/>
      <c r="U396" s="406"/>
      <c r="V396" s="406"/>
      <c r="W396" s="406"/>
      <c r="X396" s="406"/>
      <c r="Y396" s="406"/>
      <c r="Z396" s="406"/>
    </row>
    <row r="397">
      <c r="A397" s="406"/>
      <c r="B397" s="406"/>
      <c r="C397" s="406"/>
      <c r="D397" s="406"/>
      <c r="E397" s="406"/>
      <c r="F397" s="406"/>
      <c r="G397" s="407"/>
      <c r="H397" s="406"/>
      <c r="I397" s="406"/>
      <c r="J397" s="406"/>
      <c r="K397" s="406"/>
      <c r="L397" s="406"/>
      <c r="M397" s="406"/>
      <c r="N397" s="406"/>
      <c r="O397" s="406"/>
      <c r="P397" s="406"/>
      <c r="Q397" s="406"/>
      <c r="R397" s="406"/>
      <c r="S397" s="406"/>
      <c r="T397" s="406"/>
      <c r="U397" s="406"/>
      <c r="V397" s="406"/>
      <c r="W397" s="406"/>
      <c r="X397" s="406"/>
      <c r="Y397" s="406"/>
      <c r="Z397" s="406"/>
    </row>
    <row r="398">
      <c r="A398" s="406"/>
      <c r="B398" s="406"/>
      <c r="C398" s="406"/>
      <c r="D398" s="406"/>
      <c r="E398" s="406"/>
      <c r="F398" s="406"/>
      <c r="G398" s="407"/>
      <c r="H398" s="406"/>
      <c r="I398" s="406"/>
      <c r="J398" s="406"/>
      <c r="K398" s="406"/>
      <c r="L398" s="406"/>
      <c r="M398" s="406"/>
      <c r="N398" s="406"/>
      <c r="O398" s="406"/>
      <c r="P398" s="406"/>
      <c r="Q398" s="406"/>
      <c r="R398" s="406"/>
      <c r="S398" s="406"/>
      <c r="T398" s="406"/>
      <c r="U398" s="406"/>
      <c r="V398" s="406"/>
      <c r="W398" s="406"/>
      <c r="X398" s="406"/>
      <c r="Y398" s="406"/>
      <c r="Z398" s="406"/>
    </row>
    <row r="399">
      <c r="A399" s="406"/>
      <c r="B399" s="406"/>
      <c r="C399" s="406"/>
      <c r="D399" s="406"/>
      <c r="E399" s="406"/>
      <c r="F399" s="406"/>
      <c r="G399" s="407"/>
      <c r="H399" s="406"/>
      <c r="I399" s="406"/>
      <c r="J399" s="406"/>
      <c r="K399" s="406"/>
      <c r="L399" s="406"/>
      <c r="M399" s="406"/>
      <c r="N399" s="406"/>
      <c r="O399" s="406"/>
      <c r="P399" s="406"/>
      <c r="Q399" s="406"/>
      <c r="R399" s="406"/>
      <c r="S399" s="406"/>
      <c r="T399" s="406"/>
      <c r="U399" s="406"/>
      <c r="V399" s="406"/>
      <c r="W399" s="406"/>
      <c r="X399" s="406"/>
      <c r="Y399" s="406"/>
      <c r="Z399" s="406"/>
    </row>
    <row r="400">
      <c r="A400" s="406"/>
      <c r="B400" s="406"/>
      <c r="C400" s="406"/>
      <c r="D400" s="406"/>
      <c r="E400" s="406"/>
      <c r="F400" s="406"/>
      <c r="G400" s="407"/>
      <c r="H400" s="406"/>
      <c r="I400" s="406"/>
      <c r="J400" s="406"/>
      <c r="K400" s="406"/>
      <c r="L400" s="406"/>
      <c r="M400" s="406"/>
      <c r="N400" s="406"/>
      <c r="O400" s="406"/>
      <c r="P400" s="406"/>
      <c r="Q400" s="406"/>
      <c r="R400" s="406"/>
      <c r="S400" s="406"/>
      <c r="T400" s="406"/>
      <c r="U400" s="406"/>
      <c r="V400" s="406"/>
      <c r="W400" s="406"/>
      <c r="X400" s="406"/>
      <c r="Y400" s="406"/>
      <c r="Z400" s="406"/>
    </row>
    <row r="401">
      <c r="A401" s="406"/>
      <c r="B401" s="406"/>
      <c r="C401" s="406"/>
      <c r="D401" s="406"/>
      <c r="E401" s="406"/>
      <c r="F401" s="406"/>
      <c r="G401" s="407"/>
      <c r="H401" s="406"/>
      <c r="I401" s="406"/>
      <c r="J401" s="406"/>
      <c r="K401" s="406"/>
      <c r="L401" s="406"/>
      <c r="M401" s="406"/>
      <c r="N401" s="406"/>
      <c r="O401" s="406"/>
      <c r="P401" s="406"/>
      <c r="Q401" s="406"/>
      <c r="R401" s="406"/>
      <c r="S401" s="406"/>
      <c r="T401" s="406"/>
      <c r="U401" s="406"/>
      <c r="V401" s="406"/>
      <c r="W401" s="406"/>
      <c r="X401" s="406"/>
      <c r="Y401" s="406"/>
      <c r="Z401" s="406"/>
    </row>
    <row r="402">
      <c r="A402" s="406"/>
      <c r="B402" s="406"/>
      <c r="C402" s="406"/>
      <c r="D402" s="406"/>
      <c r="E402" s="406"/>
      <c r="F402" s="406"/>
      <c r="G402" s="407"/>
      <c r="H402" s="406"/>
      <c r="I402" s="406"/>
      <c r="J402" s="406"/>
      <c r="K402" s="406"/>
      <c r="L402" s="406"/>
      <c r="M402" s="406"/>
      <c r="N402" s="406"/>
      <c r="O402" s="406"/>
      <c r="P402" s="406"/>
      <c r="Q402" s="406"/>
      <c r="R402" s="406"/>
      <c r="S402" s="406"/>
      <c r="T402" s="406"/>
      <c r="U402" s="406"/>
      <c r="V402" s="406"/>
      <c r="W402" s="406"/>
      <c r="X402" s="406"/>
      <c r="Y402" s="406"/>
      <c r="Z402" s="406"/>
    </row>
    <row r="403">
      <c r="A403" s="406"/>
      <c r="B403" s="406"/>
      <c r="C403" s="406"/>
      <c r="D403" s="406"/>
      <c r="E403" s="406"/>
      <c r="F403" s="406"/>
      <c r="G403" s="407"/>
      <c r="H403" s="406"/>
      <c r="I403" s="406"/>
      <c r="J403" s="406"/>
      <c r="K403" s="406"/>
      <c r="L403" s="406"/>
      <c r="M403" s="406"/>
      <c r="N403" s="406"/>
      <c r="O403" s="406"/>
      <c r="P403" s="406"/>
      <c r="Q403" s="406"/>
      <c r="R403" s="406"/>
      <c r="S403" s="406"/>
      <c r="T403" s="406"/>
      <c r="U403" s="406"/>
      <c r="V403" s="406"/>
      <c r="W403" s="406"/>
      <c r="X403" s="406"/>
      <c r="Y403" s="406"/>
      <c r="Z403" s="406"/>
    </row>
    <row r="404">
      <c r="A404" s="406"/>
      <c r="B404" s="406"/>
      <c r="C404" s="406"/>
      <c r="D404" s="406"/>
      <c r="E404" s="406"/>
      <c r="F404" s="406"/>
      <c r="G404" s="407"/>
      <c r="H404" s="406"/>
      <c r="I404" s="406"/>
      <c r="J404" s="406"/>
      <c r="K404" s="406"/>
      <c r="L404" s="406"/>
      <c r="M404" s="406"/>
      <c r="N404" s="406"/>
      <c r="O404" s="406"/>
      <c r="P404" s="406"/>
      <c r="Q404" s="406"/>
      <c r="R404" s="406"/>
      <c r="S404" s="406"/>
      <c r="T404" s="406"/>
      <c r="U404" s="406"/>
      <c r="V404" s="406"/>
      <c r="W404" s="406"/>
      <c r="X404" s="406"/>
      <c r="Y404" s="406"/>
      <c r="Z404" s="406"/>
    </row>
    <row r="405">
      <c r="A405" s="406"/>
      <c r="B405" s="406"/>
      <c r="C405" s="406"/>
      <c r="D405" s="406"/>
      <c r="E405" s="406"/>
      <c r="F405" s="406"/>
      <c r="G405" s="407"/>
      <c r="H405" s="406"/>
      <c r="I405" s="406"/>
      <c r="J405" s="406"/>
      <c r="K405" s="406"/>
      <c r="L405" s="406"/>
      <c r="M405" s="406"/>
      <c r="N405" s="406"/>
      <c r="O405" s="406"/>
      <c r="P405" s="406"/>
      <c r="Q405" s="406"/>
      <c r="R405" s="406"/>
      <c r="S405" s="406"/>
      <c r="T405" s="406"/>
      <c r="U405" s="406"/>
      <c r="V405" s="406"/>
      <c r="W405" s="406"/>
      <c r="X405" s="406"/>
      <c r="Y405" s="406"/>
      <c r="Z405" s="406"/>
    </row>
    <row r="406">
      <c r="A406" s="406"/>
      <c r="B406" s="406"/>
      <c r="C406" s="406"/>
      <c r="D406" s="406"/>
      <c r="E406" s="406"/>
      <c r="F406" s="406"/>
      <c r="G406" s="407"/>
      <c r="H406" s="406"/>
      <c r="I406" s="406"/>
      <c r="J406" s="406"/>
      <c r="K406" s="406"/>
      <c r="L406" s="406"/>
      <c r="M406" s="406"/>
      <c r="N406" s="406"/>
      <c r="O406" s="406"/>
      <c r="P406" s="406"/>
      <c r="Q406" s="406"/>
      <c r="R406" s="406"/>
      <c r="S406" s="406"/>
      <c r="T406" s="406"/>
      <c r="U406" s="406"/>
      <c r="V406" s="406"/>
      <c r="W406" s="406"/>
      <c r="X406" s="406"/>
      <c r="Y406" s="406"/>
      <c r="Z406" s="406"/>
    </row>
    <row r="407">
      <c r="A407" s="406"/>
      <c r="B407" s="406"/>
      <c r="C407" s="406"/>
      <c r="D407" s="406"/>
      <c r="E407" s="406"/>
      <c r="F407" s="406"/>
      <c r="G407" s="407"/>
      <c r="H407" s="406"/>
      <c r="I407" s="406"/>
      <c r="J407" s="406"/>
      <c r="K407" s="406"/>
      <c r="L407" s="406"/>
      <c r="M407" s="406"/>
      <c r="N407" s="406"/>
      <c r="O407" s="406"/>
      <c r="P407" s="406"/>
      <c r="Q407" s="406"/>
      <c r="R407" s="406"/>
      <c r="S407" s="406"/>
      <c r="T407" s="406"/>
      <c r="U407" s="406"/>
      <c r="V407" s="406"/>
      <c r="W407" s="406"/>
      <c r="X407" s="406"/>
      <c r="Y407" s="406"/>
      <c r="Z407" s="406"/>
    </row>
    <row r="408">
      <c r="A408" s="406"/>
      <c r="B408" s="406"/>
      <c r="C408" s="406"/>
      <c r="D408" s="406"/>
      <c r="E408" s="406"/>
      <c r="F408" s="406"/>
      <c r="G408" s="407"/>
      <c r="H408" s="406"/>
      <c r="I408" s="406"/>
      <c r="J408" s="406"/>
      <c r="K408" s="406"/>
      <c r="L408" s="406"/>
      <c r="M408" s="406"/>
      <c r="N408" s="406"/>
      <c r="O408" s="406"/>
      <c r="P408" s="406"/>
      <c r="Q408" s="406"/>
      <c r="R408" s="406"/>
      <c r="S408" s="406"/>
      <c r="T408" s="406"/>
      <c r="U408" s="406"/>
      <c r="V408" s="406"/>
      <c r="W408" s="406"/>
      <c r="X408" s="406"/>
      <c r="Y408" s="406"/>
      <c r="Z408" s="406"/>
    </row>
    <row r="409">
      <c r="A409" s="406"/>
      <c r="B409" s="406"/>
      <c r="C409" s="406"/>
      <c r="D409" s="406"/>
      <c r="E409" s="406"/>
      <c r="F409" s="406"/>
      <c r="G409" s="407"/>
      <c r="H409" s="406"/>
      <c r="I409" s="406"/>
      <c r="J409" s="406"/>
      <c r="K409" s="406"/>
      <c r="L409" s="406"/>
      <c r="M409" s="406"/>
      <c r="N409" s="406"/>
      <c r="O409" s="406"/>
      <c r="P409" s="406"/>
      <c r="Q409" s="406"/>
      <c r="R409" s="406"/>
      <c r="S409" s="406"/>
      <c r="T409" s="406"/>
      <c r="U409" s="406"/>
      <c r="V409" s="406"/>
      <c r="W409" s="406"/>
      <c r="X409" s="406"/>
      <c r="Y409" s="406"/>
      <c r="Z409" s="406"/>
    </row>
    <row r="410">
      <c r="A410" s="406"/>
      <c r="B410" s="406"/>
      <c r="C410" s="406"/>
      <c r="D410" s="406"/>
      <c r="E410" s="406"/>
      <c r="F410" s="406"/>
      <c r="G410" s="407"/>
      <c r="H410" s="406"/>
      <c r="I410" s="406"/>
      <c r="J410" s="406"/>
      <c r="K410" s="406"/>
      <c r="L410" s="406"/>
      <c r="M410" s="406"/>
      <c r="N410" s="406"/>
      <c r="O410" s="406"/>
      <c r="P410" s="406"/>
      <c r="Q410" s="406"/>
      <c r="R410" s="406"/>
      <c r="S410" s="406"/>
      <c r="T410" s="406"/>
      <c r="U410" s="406"/>
      <c r="V410" s="406"/>
      <c r="W410" s="406"/>
      <c r="X410" s="406"/>
      <c r="Y410" s="406"/>
      <c r="Z410" s="406"/>
    </row>
    <row r="411">
      <c r="A411" s="406"/>
      <c r="B411" s="406"/>
      <c r="C411" s="406"/>
      <c r="D411" s="406"/>
      <c r="E411" s="406"/>
      <c r="F411" s="406"/>
      <c r="G411" s="407"/>
      <c r="H411" s="406"/>
      <c r="I411" s="406"/>
      <c r="J411" s="406"/>
      <c r="K411" s="406"/>
      <c r="L411" s="406"/>
      <c r="M411" s="406"/>
      <c r="N411" s="406"/>
      <c r="O411" s="406"/>
      <c r="P411" s="406"/>
      <c r="Q411" s="406"/>
      <c r="R411" s="406"/>
      <c r="S411" s="406"/>
      <c r="T411" s="406"/>
      <c r="U411" s="406"/>
      <c r="V411" s="406"/>
      <c r="W411" s="406"/>
      <c r="X411" s="406"/>
      <c r="Y411" s="406"/>
      <c r="Z411" s="406"/>
    </row>
    <row r="412">
      <c r="A412" s="406"/>
      <c r="B412" s="406"/>
      <c r="C412" s="406"/>
      <c r="D412" s="406"/>
      <c r="E412" s="406"/>
      <c r="F412" s="406"/>
      <c r="G412" s="407"/>
      <c r="H412" s="406"/>
      <c r="I412" s="406"/>
      <c r="J412" s="406"/>
      <c r="K412" s="406"/>
      <c r="L412" s="406"/>
      <c r="M412" s="406"/>
      <c r="N412" s="406"/>
      <c r="O412" s="406"/>
      <c r="P412" s="406"/>
      <c r="Q412" s="406"/>
      <c r="R412" s="406"/>
      <c r="S412" s="406"/>
      <c r="T412" s="406"/>
      <c r="U412" s="406"/>
      <c r="V412" s="406"/>
      <c r="W412" s="406"/>
      <c r="X412" s="406"/>
      <c r="Y412" s="406"/>
      <c r="Z412" s="406"/>
    </row>
    <row r="413">
      <c r="A413" s="406"/>
      <c r="B413" s="406"/>
      <c r="C413" s="406"/>
      <c r="D413" s="406"/>
      <c r="E413" s="406"/>
      <c r="F413" s="406"/>
      <c r="G413" s="407"/>
      <c r="H413" s="406"/>
      <c r="I413" s="406"/>
      <c r="J413" s="406"/>
      <c r="K413" s="406"/>
      <c r="L413" s="406"/>
      <c r="M413" s="406"/>
      <c r="N413" s="406"/>
      <c r="O413" s="406"/>
      <c r="P413" s="406"/>
      <c r="Q413" s="406"/>
      <c r="R413" s="406"/>
      <c r="S413" s="406"/>
      <c r="T413" s="406"/>
      <c r="U413" s="406"/>
      <c r="V413" s="406"/>
      <c r="W413" s="406"/>
      <c r="X413" s="406"/>
      <c r="Y413" s="406"/>
      <c r="Z413" s="406"/>
    </row>
    <row r="414">
      <c r="A414" s="406"/>
      <c r="B414" s="406"/>
      <c r="C414" s="406"/>
      <c r="D414" s="406"/>
      <c r="E414" s="406"/>
      <c r="F414" s="406"/>
      <c r="G414" s="407"/>
      <c r="H414" s="406"/>
      <c r="I414" s="406"/>
      <c r="J414" s="406"/>
      <c r="K414" s="406"/>
      <c r="L414" s="406"/>
      <c r="M414" s="406"/>
      <c r="N414" s="406"/>
      <c r="O414" s="406"/>
      <c r="P414" s="406"/>
      <c r="Q414" s="406"/>
      <c r="R414" s="406"/>
      <c r="S414" s="406"/>
      <c r="T414" s="406"/>
      <c r="U414" s="406"/>
      <c r="V414" s="406"/>
      <c r="W414" s="406"/>
      <c r="X414" s="406"/>
      <c r="Y414" s="406"/>
      <c r="Z414" s="406"/>
    </row>
    <row r="415">
      <c r="A415" s="406"/>
      <c r="B415" s="406"/>
      <c r="C415" s="406"/>
      <c r="D415" s="406"/>
      <c r="E415" s="406"/>
      <c r="F415" s="406"/>
      <c r="G415" s="407"/>
      <c r="H415" s="406"/>
      <c r="I415" s="406"/>
      <c r="J415" s="406"/>
      <c r="K415" s="406"/>
      <c r="L415" s="406"/>
      <c r="M415" s="406"/>
      <c r="N415" s="406"/>
      <c r="O415" s="406"/>
      <c r="P415" s="406"/>
      <c r="Q415" s="406"/>
      <c r="R415" s="406"/>
      <c r="S415" s="406"/>
      <c r="T415" s="406"/>
      <c r="U415" s="406"/>
      <c r="V415" s="406"/>
      <c r="W415" s="406"/>
      <c r="X415" s="406"/>
      <c r="Y415" s="406"/>
      <c r="Z415" s="406"/>
    </row>
    <row r="416">
      <c r="A416" s="406"/>
      <c r="B416" s="406"/>
      <c r="C416" s="406"/>
      <c r="D416" s="406"/>
      <c r="E416" s="406"/>
      <c r="F416" s="406"/>
      <c r="G416" s="407"/>
      <c r="H416" s="406"/>
      <c r="I416" s="406"/>
      <c r="J416" s="406"/>
      <c r="K416" s="406"/>
      <c r="L416" s="406"/>
      <c r="M416" s="406"/>
      <c r="N416" s="406"/>
      <c r="O416" s="406"/>
      <c r="P416" s="406"/>
      <c r="Q416" s="406"/>
      <c r="R416" s="406"/>
      <c r="S416" s="406"/>
      <c r="T416" s="406"/>
      <c r="U416" s="406"/>
      <c r="V416" s="406"/>
      <c r="W416" s="406"/>
      <c r="X416" s="406"/>
      <c r="Y416" s="406"/>
      <c r="Z416" s="406"/>
    </row>
    <row r="417">
      <c r="A417" s="406"/>
      <c r="B417" s="406"/>
      <c r="C417" s="406"/>
      <c r="D417" s="406"/>
      <c r="E417" s="406"/>
      <c r="F417" s="406"/>
      <c r="G417" s="407"/>
      <c r="H417" s="406"/>
      <c r="I417" s="406"/>
      <c r="J417" s="406"/>
      <c r="K417" s="406"/>
      <c r="L417" s="406"/>
      <c r="M417" s="406"/>
      <c r="N417" s="406"/>
      <c r="O417" s="406"/>
      <c r="P417" s="406"/>
      <c r="Q417" s="406"/>
      <c r="R417" s="406"/>
      <c r="S417" s="406"/>
      <c r="T417" s="406"/>
      <c r="U417" s="406"/>
      <c r="V417" s="406"/>
      <c r="W417" s="406"/>
      <c r="X417" s="406"/>
      <c r="Y417" s="406"/>
      <c r="Z417" s="406"/>
    </row>
    <row r="418">
      <c r="A418" s="406"/>
      <c r="B418" s="406"/>
      <c r="C418" s="406"/>
      <c r="D418" s="406"/>
      <c r="E418" s="406"/>
      <c r="F418" s="406"/>
      <c r="G418" s="407"/>
      <c r="H418" s="406"/>
      <c r="I418" s="406"/>
      <c r="J418" s="406"/>
      <c r="K418" s="406"/>
      <c r="L418" s="406"/>
      <c r="M418" s="406"/>
      <c r="N418" s="406"/>
      <c r="O418" s="406"/>
      <c r="P418" s="406"/>
      <c r="Q418" s="406"/>
      <c r="R418" s="406"/>
      <c r="S418" s="406"/>
      <c r="T418" s="406"/>
      <c r="U418" s="406"/>
      <c r="V418" s="406"/>
      <c r="W418" s="406"/>
      <c r="X418" s="406"/>
      <c r="Y418" s="406"/>
      <c r="Z418" s="406"/>
    </row>
    <row r="419">
      <c r="A419" s="406"/>
      <c r="B419" s="406"/>
      <c r="C419" s="406"/>
      <c r="D419" s="406"/>
      <c r="E419" s="406"/>
      <c r="F419" s="406"/>
      <c r="G419" s="407"/>
      <c r="H419" s="406"/>
      <c r="I419" s="406"/>
      <c r="J419" s="406"/>
      <c r="K419" s="406"/>
      <c r="L419" s="406"/>
      <c r="M419" s="406"/>
      <c r="N419" s="406"/>
      <c r="O419" s="406"/>
      <c r="P419" s="406"/>
      <c r="Q419" s="406"/>
      <c r="R419" s="406"/>
      <c r="S419" s="406"/>
      <c r="T419" s="406"/>
      <c r="U419" s="406"/>
      <c r="V419" s="406"/>
      <c r="W419" s="406"/>
      <c r="X419" s="406"/>
      <c r="Y419" s="406"/>
      <c r="Z419" s="406"/>
    </row>
    <row r="420">
      <c r="A420" s="406"/>
      <c r="B420" s="406"/>
      <c r="C420" s="406"/>
      <c r="D420" s="406"/>
      <c r="E420" s="406"/>
      <c r="F420" s="406"/>
      <c r="G420" s="407"/>
      <c r="H420" s="406"/>
      <c r="I420" s="406"/>
      <c r="J420" s="406"/>
      <c r="K420" s="406"/>
      <c r="L420" s="406"/>
      <c r="M420" s="406"/>
      <c r="N420" s="406"/>
      <c r="O420" s="406"/>
      <c r="P420" s="406"/>
      <c r="Q420" s="406"/>
      <c r="R420" s="406"/>
      <c r="S420" s="406"/>
      <c r="T420" s="406"/>
      <c r="U420" s="406"/>
      <c r="V420" s="406"/>
      <c r="W420" s="406"/>
      <c r="X420" s="406"/>
      <c r="Y420" s="406"/>
      <c r="Z420" s="406"/>
    </row>
    <row r="421">
      <c r="A421" s="406"/>
      <c r="B421" s="406"/>
      <c r="C421" s="406"/>
      <c r="D421" s="406"/>
      <c r="E421" s="406"/>
      <c r="F421" s="406"/>
      <c r="G421" s="407"/>
      <c r="H421" s="406"/>
      <c r="I421" s="406"/>
      <c r="J421" s="406"/>
      <c r="K421" s="406"/>
      <c r="L421" s="406"/>
      <c r="M421" s="406"/>
      <c r="N421" s="406"/>
      <c r="O421" s="406"/>
      <c r="P421" s="406"/>
      <c r="Q421" s="406"/>
      <c r="R421" s="406"/>
      <c r="S421" s="406"/>
      <c r="T421" s="406"/>
      <c r="U421" s="406"/>
      <c r="V421" s="406"/>
      <c r="W421" s="406"/>
      <c r="X421" s="406"/>
      <c r="Y421" s="406"/>
      <c r="Z421" s="406"/>
    </row>
    <row r="422">
      <c r="A422" s="406"/>
      <c r="B422" s="406"/>
      <c r="C422" s="406"/>
      <c r="D422" s="406"/>
      <c r="E422" s="406"/>
      <c r="F422" s="406"/>
      <c r="G422" s="407"/>
      <c r="H422" s="406"/>
      <c r="I422" s="406"/>
      <c r="J422" s="406"/>
      <c r="K422" s="406"/>
      <c r="L422" s="406"/>
      <c r="M422" s="406"/>
      <c r="N422" s="406"/>
      <c r="O422" s="406"/>
      <c r="P422" s="406"/>
      <c r="Q422" s="406"/>
      <c r="R422" s="406"/>
      <c r="S422" s="406"/>
      <c r="T422" s="406"/>
      <c r="U422" s="406"/>
      <c r="V422" s="406"/>
      <c r="W422" s="406"/>
      <c r="X422" s="406"/>
      <c r="Y422" s="406"/>
      <c r="Z422" s="406"/>
    </row>
    <row r="423">
      <c r="A423" s="406"/>
      <c r="B423" s="406"/>
      <c r="C423" s="406"/>
      <c r="D423" s="406"/>
      <c r="E423" s="406"/>
      <c r="F423" s="406"/>
      <c r="G423" s="407"/>
      <c r="H423" s="406"/>
      <c r="I423" s="406"/>
      <c r="J423" s="406"/>
      <c r="K423" s="406"/>
      <c r="L423" s="406"/>
      <c r="M423" s="406"/>
      <c r="N423" s="406"/>
      <c r="O423" s="406"/>
      <c r="P423" s="406"/>
      <c r="Q423" s="406"/>
      <c r="R423" s="406"/>
      <c r="S423" s="406"/>
      <c r="T423" s="406"/>
      <c r="U423" s="406"/>
      <c r="V423" s="406"/>
      <c r="W423" s="406"/>
      <c r="X423" s="406"/>
      <c r="Y423" s="406"/>
      <c r="Z423" s="406"/>
    </row>
    <row r="424">
      <c r="A424" s="406"/>
      <c r="B424" s="406"/>
      <c r="C424" s="406"/>
      <c r="D424" s="406"/>
      <c r="E424" s="406"/>
      <c r="F424" s="406"/>
      <c r="G424" s="407"/>
      <c r="H424" s="406"/>
      <c r="I424" s="406"/>
      <c r="J424" s="406"/>
      <c r="K424" s="406"/>
      <c r="L424" s="406"/>
      <c r="M424" s="406"/>
      <c r="N424" s="406"/>
      <c r="O424" s="406"/>
      <c r="P424" s="406"/>
      <c r="Q424" s="406"/>
      <c r="R424" s="406"/>
      <c r="S424" s="406"/>
      <c r="T424" s="406"/>
      <c r="U424" s="406"/>
      <c r="V424" s="406"/>
      <c r="W424" s="406"/>
      <c r="X424" s="406"/>
      <c r="Y424" s="406"/>
      <c r="Z424" s="406"/>
    </row>
    <row r="425">
      <c r="A425" s="406"/>
      <c r="B425" s="406"/>
      <c r="C425" s="406"/>
      <c r="D425" s="406"/>
      <c r="E425" s="406"/>
      <c r="F425" s="406"/>
      <c r="G425" s="407"/>
      <c r="H425" s="406"/>
      <c r="I425" s="406"/>
      <c r="J425" s="406"/>
      <c r="K425" s="406"/>
      <c r="L425" s="406"/>
      <c r="M425" s="406"/>
      <c r="N425" s="406"/>
      <c r="O425" s="406"/>
      <c r="P425" s="406"/>
      <c r="Q425" s="406"/>
      <c r="R425" s="406"/>
      <c r="S425" s="406"/>
      <c r="T425" s="406"/>
      <c r="U425" s="406"/>
      <c r="V425" s="406"/>
      <c r="W425" s="406"/>
      <c r="X425" s="406"/>
      <c r="Y425" s="406"/>
      <c r="Z425" s="406"/>
    </row>
    <row r="426">
      <c r="A426" s="406"/>
      <c r="B426" s="406"/>
      <c r="C426" s="406"/>
      <c r="D426" s="406"/>
      <c r="E426" s="406"/>
      <c r="F426" s="406"/>
      <c r="G426" s="407"/>
      <c r="H426" s="406"/>
      <c r="I426" s="406"/>
      <c r="J426" s="406"/>
      <c r="K426" s="406"/>
      <c r="L426" s="406"/>
      <c r="M426" s="406"/>
      <c r="N426" s="406"/>
      <c r="O426" s="406"/>
      <c r="P426" s="406"/>
      <c r="Q426" s="406"/>
      <c r="R426" s="406"/>
      <c r="S426" s="406"/>
      <c r="T426" s="406"/>
      <c r="U426" s="406"/>
      <c r="V426" s="406"/>
      <c r="W426" s="406"/>
      <c r="X426" s="406"/>
      <c r="Y426" s="406"/>
      <c r="Z426" s="406"/>
    </row>
    <row r="427">
      <c r="A427" s="406"/>
      <c r="B427" s="406"/>
      <c r="C427" s="406"/>
      <c r="D427" s="406"/>
      <c r="E427" s="406"/>
      <c r="F427" s="406"/>
      <c r="G427" s="407"/>
      <c r="H427" s="406"/>
      <c r="I427" s="406"/>
      <c r="J427" s="406"/>
      <c r="K427" s="406"/>
      <c r="L427" s="406"/>
      <c r="M427" s="406"/>
      <c r="N427" s="406"/>
      <c r="O427" s="406"/>
      <c r="P427" s="406"/>
      <c r="Q427" s="406"/>
      <c r="R427" s="406"/>
      <c r="S427" s="406"/>
      <c r="T427" s="406"/>
      <c r="U427" s="406"/>
      <c r="V427" s="406"/>
      <c r="W427" s="406"/>
      <c r="X427" s="406"/>
      <c r="Y427" s="406"/>
      <c r="Z427" s="406"/>
    </row>
    <row r="428">
      <c r="A428" s="406"/>
      <c r="B428" s="406"/>
      <c r="C428" s="406"/>
      <c r="D428" s="406"/>
      <c r="E428" s="406"/>
      <c r="F428" s="406"/>
      <c r="G428" s="407"/>
      <c r="H428" s="406"/>
      <c r="I428" s="406"/>
      <c r="J428" s="406"/>
      <c r="K428" s="406"/>
      <c r="L428" s="406"/>
      <c r="M428" s="406"/>
      <c r="N428" s="406"/>
      <c r="O428" s="406"/>
      <c r="P428" s="406"/>
      <c r="Q428" s="406"/>
      <c r="R428" s="406"/>
      <c r="S428" s="406"/>
      <c r="T428" s="406"/>
      <c r="U428" s="406"/>
      <c r="V428" s="406"/>
      <c r="W428" s="406"/>
      <c r="X428" s="406"/>
      <c r="Y428" s="406"/>
      <c r="Z428" s="406"/>
    </row>
    <row r="429">
      <c r="A429" s="406"/>
      <c r="B429" s="406"/>
      <c r="C429" s="406"/>
      <c r="D429" s="406"/>
      <c r="E429" s="406"/>
      <c r="F429" s="406"/>
      <c r="G429" s="407"/>
      <c r="H429" s="406"/>
      <c r="I429" s="406"/>
      <c r="J429" s="406"/>
      <c r="K429" s="406"/>
      <c r="L429" s="406"/>
      <c r="M429" s="406"/>
      <c r="N429" s="406"/>
      <c r="O429" s="406"/>
      <c r="P429" s="406"/>
      <c r="Q429" s="406"/>
      <c r="R429" s="406"/>
      <c r="S429" s="406"/>
      <c r="T429" s="406"/>
      <c r="U429" s="406"/>
      <c r="V429" s="406"/>
      <c r="W429" s="406"/>
      <c r="X429" s="406"/>
      <c r="Y429" s="406"/>
      <c r="Z429" s="406"/>
    </row>
    <row r="430">
      <c r="A430" s="406"/>
      <c r="B430" s="406"/>
      <c r="C430" s="406"/>
      <c r="D430" s="406"/>
      <c r="E430" s="406"/>
      <c r="F430" s="406"/>
      <c r="G430" s="407"/>
      <c r="H430" s="406"/>
      <c r="I430" s="406"/>
      <c r="J430" s="406"/>
      <c r="K430" s="406"/>
      <c r="L430" s="406"/>
      <c r="M430" s="406"/>
      <c r="N430" s="406"/>
      <c r="O430" s="406"/>
      <c r="P430" s="406"/>
      <c r="Q430" s="406"/>
      <c r="R430" s="406"/>
      <c r="S430" s="406"/>
      <c r="T430" s="406"/>
      <c r="U430" s="406"/>
      <c r="V430" s="406"/>
      <c r="W430" s="406"/>
      <c r="X430" s="406"/>
      <c r="Y430" s="406"/>
      <c r="Z430" s="406"/>
    </row>
    <row r="431">
      <c r="A431" s="406"/>
      <c r="B431" s="406"/>
      <c r="C431" s="406"/>
      <c r="D431" s="406"/>
      <c r="E431" s="406"/>
      <c r="F431" s="406"/>
      <c r="G431" s="407"/>
      <c r="H431" s="406"/>
      <c r="I431" s="406"/>
      <c r="J431" s="406"/>
      <c r="K431" s="406"/>
      <c r="L431" s="406"/>
      <c r="M431" s="406"/>
      <c r="N431" s="406"/>
      <c r="O431" s="406"/>
      <c r="P431" s="406"/>
      <c r="Q431" s="406"/>
      <c r="R431" s="406"/>
      <c r="S431" s="406"/>
      <c r="T431" s="406"/>
      <c r="U431" s="406"/>
      <c r="V431" s="406"/>
      <c r="W431" s="406"/>
      <c r="X431" s="406"/>
      <c r="Y431" s="406"/>
      <c r="Z431" s="406"/>
    </row>
    <row r="432">
      <c r="A432" s="406"/>
      <c r="B432" s="406"/>
      <c r="C432" s="406"/>
      <c r="D432" s="406"/>
      <c r="E432" s="406"/>
      <c r="F432" s="406"/>
      <c r="G432" s="407"/>
      <c r="H432" s="406"/>
      <c r="I432" s="406"/>
      <c r="J432" s="406"/>
      <c r="K432" s="406"/>
      <c r="L432" s="406"/>
      <c r="M432" s="406"/>
      <c r="N432" s="406"/>
      <c r="O432" s="406"/>
      <c r="P432" s="406"/>
      <c r="Q432" s="406"/>
      <c r="R432" s="406"/>
      <c r="S432" s="406"/>
      <c r="T432" s="406"/>
      <c r="U432" s="406"/>
      <c r="V432" s="406"/>
      <c r="W432" s="406"/>
      <c r="X432" s="406"/>
      <c r="Y432" s="406"/>
      <c r="Z432" s="406"/>
    </row>
    <row r="433">
      <c r="A433" s="406"/>
      <c r="B433" s="406"/>
      <c r="C433" s="406"/>
      <c r="D433" s="406"/>
      <c r="E433" s="406"/>
      <c r="F433" s="406"/>
      <c r="G433" s="407"/>
      <c r="H433" s="406"/>
      <c r="I433" s="406"/>
      <c r="J433" s="406"/>
      <c r="K433" s="406"/>
      <c r="L433" s="406"/>
      <c r="M433" s="406"/>
      <c r="N433" s="406"/>
      <c r="O433" s="406"/>
      <c r="P433" s="406"/>
      <c r="Q433" s="406"/>
      <c r="R433" s="406"/>
      <c r="S433" s="406"/>
      <c r="T433" s="406"/>
      <c r="U433" s="406"/>
      <c r="V433" s="406"/>
      <c r="W433" s="406"/>
      <c r="X433" s="406"/>
      <c r="Y433" s="406"/>
      <c r="Z433" s="406"/>
    </row>
    <row r="434">
      <c r="A434" s="406"/>
      <c r="B434" s="406"/>
      <c r="C434" s="406"/>
      <c r="D434" s="406"/>
      <c r="E434" s="406"/>
      <c r="F434" s="406"/>
      <c r="G434" s="407"/>
      <c r="H434" s="406"/>
      <c r="I434" s="406"/>
      <c r="J434" s="406"/>
      <c r="K434" s="406"/>
      <c r="L434" s="406"/>
      <c r="M434" s="406"/>
      <c r="N434" s="406"/>
      <c r="O434" s="406"/>
      <c r="P434" s="406"/>
      <c r="Q434" s="406"/>
      <c r="R434" s="406"/>
      <c r="S434" s="406"/>
      <c r="T434" s="406"/>
      <c r="U434" s="406"/>
      <c r="V434" s="406"/>
      <c r="W434" s="406"/>
      <c r="X434" s="406"/>
      <c r="Y434" s="406"/>
      <c r="Z434" s="406"/>
    </row>
    <row r="435">
      <c r="A435" s="406"/>
      <c r="B435" s="406"/>
      <c r="C435" s="406"/>
      <c r="D435" s="406"/>
      <c r="E435" s="406"/>
      <c r="F435" s="406"/>
      <c r="G435" s="407"/>
      <c r="H435" s="406"/>
      <c r="I435" s="406"/>
      <c r="J435" s="406"/>
      <c r="K435" s="406"/>
      <c r="L435" s="406"/>
      <c r="M435" s="406"/>
      <c r="N435" s="406"/>
      <c r="O435" s="406"/>
      <c r="P435" s="406"/>
      <c r="Q435" s="406"/>
      <c r="R435" s="406"/>
      <c r="S435" s="406"/>
      <c r="T435" s="406"/>
      <c r="U435" s="406"/>
      <c r="V435" s="406"/>
      <c r="W435" s="406"/>
      <c r="X435" s="406"/>
      <c r="Y435" s="406"/>
      <c r="Z435" s="406"/>
    </row>
    <row r="436">
      <c r="A436" s="406"/>
      <c r="B436" s="406"/>
      <c r="C436" s="406"/>
      <c r="D436" s="406"/>
      <c r="E436" s="406"/>
      <c r="F436" s="406"/>
      <c r="G436" s="407"/>
      <c r="H436" s="406"/>
      <c r="I436" s="406"/>
      <c r="J436" s="406"/>
      <c r="K436" s="406"/>
      <c r="L436" s="406"/>
      <c r="M436" s="406"/>
      <c r="N436" s="406"/>
      <c r="O436" s="406"/>
      <c r="P436" s="406"/>
      <c r="Q436" s="406"/>
      <c r="R436" s="406"/>
      <c r="S436" s="406"/>
      <c r="T436" s="406"/>
      <c r="U436" s="406"/>
      <c r="V436" s="406"/>
      <c r="W436" s="406"/>
      <c r="X436" s="406"/>
      <c r="Y436" s="406"/>
      <c r="Z436" s="406"/>
    </row>
    <row r="437">
      <c r="A437" s="406"/>
      <c r="B437" s="406"/>
      <c r="C437" s="406"/>
      <c r="D437" s="406"/>
      <c r="E437" s="406"/>
      <c r="F437" s="406"/>
      <c r="G437" s="407"/>
      <c r="H437" s="406"/>
      <c r="I437" s="406"/>
      <c r="J437" s="406"/>
      <c r="K437" s="406"/>
      <c r="L437" s="406"/>
      <c r="M437" s="406"/>
      <c r="N437" s="406"/>
      <c r="O437" s="406"/>
      <c r="P437" s="406"/>
      <c r="Q437" s="406"/>
      <c r="R437" s="406"/>
      <c r="S437" s="406"/>
      <c r="T437" s="406"/>
      <c r="U437" s="406"/>
      <c r="V437" s="406"/>
      <c r="W437" s="406"/>
      <c r="X437" s="406"/>
      <c r="Y437" s="406"/>
      <c r="Z437" s="406"/>
    </row>
    <row r="438">
      <c r="A438" s="406"/>
      <c r="B438" s="406"/>
      <c r="C438" s="406"/>
      <c r="D438" s="406"/>
      <c r="E438" s="406"/>
      <c r="F438" s="406"/>
      <c r="G438" s="407"/>
      <c r="H438" s="406"/>
      <c r="I438" s="406"/>
      <c r="J438" s="406"/>
      <c r="K438" s="406"/>
      <c r="L438" s="406"/>
      <c r="M438" s="406"/>
      <c r="N438" s="406"/>
      <c r="O438" s="406"/>
      <c r="P438" s="406"/>
      <c r="Q438" s="406"/>
      <c r="R438" s="406"/>
      <c r="S438" s="406"/>
      <c r="T438" s="406"/>
      <c r="U438" s="406"/>
      <c r="V438" s="406"/>
      <c r="W438" s="406"/>
      <c r="X438" s="406"/>
      <c r="Y438" s="406"/>
      <c r="Z438" s="406"/>
    </row>
    <row r="439">
      <c r="A439" s="406"/>
      <c r="B439" s="406"/>
      <c r="C439" s="406"/>
      <c r="D439" s="406"/>
      <c r="E439" s="406"/>
      <c r="F439" s="406"/>
      <c r="G439" s="407"/>
      <c r="H439" s="406"/>
      <c r="I439" s="406"/>
      <c r="J439" s="406"/>
      <c r="K439" s="406"/>
      <c r="L439" s="406"/>
      <c r="M439" s="406"/>
      <c r="N439" s="406"/>
      <c r="O439" s="406"/>
      <c r="P439" s="406"/>
      <c r="Q439" s="406"/>
      <c r="R439" s="406"/>
      <c r="S439" s="406"/>
      <c r="T439" s="406"/>
      <c r="U439" s="406"/>
      <c r="V439" s="406"/>
      <c r="W439" s="406"/>
      <c r="X439" s="406"/>
      <c r="Y439" s="406"/>
      <c r="Z439" s="406"/>
    </row>
    <row r="440">
      <c r="A440" s="406"/>
      <c r="B440" s="406"/>
      <c r="C440" s="406"/>
      <c r="D440" s="406"/>
      <c r="E440" s="406"/>
      <c r="F440" s="406"/>
      <c r="G440" s="407"/>
      <c r="H440" s="406"/>
      <c r="I440" s="406"/>
      <c r="J440" s="406"/>
      <c r="K440" s="406"/>
      <c r="L440" s="406"/>
      <c r="M440" s="406"/>
      <c r="N440" s="406"/>
      <c r="O440" s="406"/>
      <c r="P440" s="406"/>
      <c r="Q440" s="406"/>
      <c r="R440" s="406"/>
      <c r="S440" s="406"/>
      <c r="T440" s="406"/>
      <c r="U440" s="406"/>
      <c r="V440" s="406"/>
      <c r="W440" s="406"/>
      <c r="X440" s="406"/>
      <c r="Y440" s="406"/>
      <c r="Z440" s="406"/>
    </row>
    <row r="441">
      <c r="A441" s="406"/>
      <c r="B441" s="406"/>
      <c r="C441" s="406"/>
      <c r="D441" s="406"/>
      <c r="E441" s="406"/>
      <c r="F441" s="406"/>
      <c r="G441" s="407"/>
      <c r="H441" s="406"/>
      <c r="I441" s="406"/>
      <c r="J441" s="406"/>
      <c r="K441" s="406"/>
      <c r="L441" s="406"/>
      <c r="M441" s="406"/>
      <c r="N441" s="406"/>
      <c r="O441" s="406"/>
      <c r="P441" s="406"/>
      <c r="Q441" s="406"/>
      <c r="R441" s="406"/>
      <c r="S441" s="406"/>
      <c r="T441" s="406"/>
      <c r="U441" s="406"/>
      <c r="V441" s="406"/>
      <c r="W441" s="406"/>
      <c r="X441" s="406"/>
      <c r="Y441" s="406"/>
      <c r="Z441" s="406"/>
    </row>
    <row r="442">
      <c r="A442" s="406"/>
      <c r="B442" s="406"/>
      <c r="C442" s="406"/>
      <c r="D442" s="406"/>
      <c r="E442" s="406"/>
      <c r="F442" s="406"/>
      <c r="G442" s="407"/>
      <c r="H442" s="406"/>
      <c r="I442" s="406"/>
      <c r="J442" s="406"/>
      <c r="K442" s="406"/>
      <c r="L442" s="406"/>
      <c r="M442" s="406"/>
      <c r="N442" s="406"/>
      <c r="O442" s="406"/>
      <c r="P442" s="406"/>
      <c r="Q442" s="406"/>
      <c r="R442" s="406"/>
      <c r="S442" s="406"/>
      <c r="T442" s="406"/>
      <c r="U442" s="406"/>
      <c r="V442" s="406"/>
      <c r="W442" s="406"/>
      <c r="X442" s="406"/>
      <c r="Y442" s="406"/>
      <c r="Z442" s="406"/>
    </row>
    <row r="443">
      <c r="A443" s="406"/>
      <c r="B443" s="406"/>
      <c r="C443" s="406"/>
      <c r="D443" s="406"/>
      <c r="E443" s="406"/>
      <c r="F443" s="406"/>
      <c r="G443" s="407"/>
      <c r="H443" s="406"/>
      <c r="I443" s="406"/>
      <c r="J443" s="406"/>
      <c r="K443" s="406"/>
      <c r="L443" s="406"/>
      <c r="M443" s="406"/>
      <c r="N443" s="406"/>
      <c r="O443" s="406"/>
      <c r="P443" s="406"/>
      <c r="Q443" s="406"/>
      <c r="R443" s="406"/>
      <c r="S443" s="406"/>
      <c r="T443" s="406"/>
      <c r="U443" s="406"/>
      <c r="V443" s="406"/>
      <c r="W443" s="406"/>
      <c r="X443" s="406"/>
      <c r="Y443" s="406"/>
      <c r="Z443" s="406"/>
    </row>
    <row r="444">
      <c r="A444" s="406"/>
      <c r="B444" s="406"/>
      <c r="C444" s="406"/>
      <c r="D444" s="406"/>
      <c r="E444" s="406"/>
      <c r="F444" s="406"/>
      <c r="G444" s="407"/>
      <c r="H444" s="406"/>
      <c r="I444" s="406"/>
      <c r="J444" s="406"/>
      <c r="K444" s="406"/>
      <c r="L444" s="406"/>
      <c r="M444" s="406"/>
      <c r="N444" s="406"/>
      <c r="O444" s="406"/>
      <c r="P444" s="406"/>
      <c r="Q444" s="406"/>
      <c r="R444" s="406"/>
      <c r="S444" s="406"/>
      <c r="T444" s="406"/>
      <c r="U444" s="406"/>
      <c r="V444" s="406"/>
      <c r="W444" s="406"/>
      <c r="X444" s="406"/>
      <c r="Y444" s="406"/>
      <c r="Z444" s="406"/>
    </row>
    <row r="445">
      <c r="A445" s="406"/>
      <c r="B445" s="406"/>
      <c r="C445" s="406"/>
      <c r="D445" s="406"/>
      <c r="E445" s="406"/>
      <c r="F445" s="406"/>
      <c r="G445" s="407"/>
      <c r="H445" s="406"/>
      <c r="I445" s="406"/>
      <c r="J445" s="406"/>
      <c r="K445" s="406"/>
      <c r="L445" s="406"/>
      <c r="M445" s="406"/>
      <c r="N445" s="406"/>
      <c r="O445" s="406"/>
      <c r="P445" s="406"/>
      <c r="Q445" s="406"/>
      <c r="R445" s="406"/>
      <c r="S445" s="406"/>
      <c r="T445" s="406"/>
      <c r="U445" s="406"/>
      <c r="V445" s="406"/>
      <c r="W445" s="406"/>
      <c r="X445" s="406"/>
      <c r="Y445" s="406"/>
      <c r="Z445" s="406"/>
    </row>
    <row r="446">
      <c r="A446" s="406"/>
      <c r="B446" s="406"/>
      <c r="C446" s="406"/>
      <c r="D446" s="406"/>
      <c r="E446" s="406"/>
      <c r="F446" s="406"/>
      <c r="G446" s="407"/>
      <c r="H446" s="406"/>
      <c r="I446" s="406"/>
      <c r="J446" s="406"/>
      <c r="K446" s="406"/>
      <c r="L446" s="406"/>
      <c r="M446" s="406"/>
      <c r="N446" s="406"/>
      <c r="O446" s="406"/>
      <c r="P446" s="406"/>
      <c r="Q446" s="406"/>
      <c r="R446" s="406"/>
      <c r="S446" s="406"/>
      <c r="T446" s="406"/>
      <c r="U446" s="406"/>
      <c r="V446" s="406"/>
      <c r="W446" s="406"/>
      <c r="X446" s="406"/>
      <c r="Y446" s="406"/>
      <c r="Z446" s="406"/>
    </row>
    <row r="447">
      <c r="A447" s="406"/>
      <c r="B447" s="406"/>
      <c r="C447" s="406"/>
      <c r="D447" s="406"/>
      <c r="E447" s="406"/>
      <c r="F447" s="406"/>
      <c r="G447" s="407"/>
      <c r="H447" s="406"/>
      <c r="I447" s="406"/>
      <c r="J447" s="406"/>
      <c r="K447" s="406"/>
      <c r="L447" s="406"/>
      <c r="M447" s="406"/>
      <c r="N447" s="406"/>
      <c r="O447" s="406"/>
      <c r="P447" s="406"/>
      <c r="Q447" s="406"/>
      <c r="R447" s="406"/>
      <c r="S447" s="406"/>
      <c r="T447" s="406"/>
      <c r="U447" s="406"/>
      <c r="V447" s="406"/>
      <c r="W447" s="406"/>
      <c r="X447" s="406"/>
      <c r="Y447" s="406"/>
      <c r="Z447" s="406"/>
    </row>
    <row r="448">
      <c r="A448" s="406"/>
      <c r="B448" s="406"/>
      <c r="C448" s="406"/>
      <c r="D448" s="406"/>
      <c r="E448" s="406"/>
      <c r="F448" s="406"/>
      <c r="G448" s="407"/>
      <c r="H448" s="406"/>
      <c r="I448" s="406"/>
      <c r="J448" s="406"/>
      <c r="K448" s="406"/>
      <c r="L448" s="406"/>
      <c r="M448" s="406"/>
      <c r="N448" s="406"/>
      <c r="O448" s="406"/>
      <c r="P448" s="406"/>
      <c r="Q448" s="406"/>
      <c r="R448" s="406"/>
      <c r="S448" s="406"/>
      <c r="T448" s="406"/>
      <c r="U448" s="406"/>
      <c r="V448" s="406"/>
      <c r="W448" s="406"/>
      <c r="X448" s="406"/>
      <c r="Y448" s="406"/>
      <c r="Z448" s="406"/>
    </row>
    <row r="449">
      <c r="A449" s="406"/>
      <c r="B449" s="406"/>
      <c r="C449" s="406"/>
      <c r="D449" s="406"/>
      <c r="E449" s="406"/>
      <c r="F449" s="406"/>
      <c r="G449" s="407"/>
      <c r="H449" s="406"/>
      <c r="I449" s="406"/>
      <c r="J449" s="406"/>
      <c r="K449" s="406"/>
      <c r="L449" s="406"/>
      <c r="M449" s="406"/>
      <c r="N449" s="406"/>
      <c r="O449" s="406"/>
      <c r="P449" s="406"/>
      <c r="Q449" s="406"/>
      <c r="R449" s="406"/>
      <c r="S449" s="406"/>
      <c r="T449" s="406"/>
      <c r="U449" s="406"/>
      <c r="V449" s="406"/>
      <c r="W449" s="406"/>
      <c r="X449" s="406"/>
      <c r="Y449" s="406"/>
      <c r="Z449" s="406"/>
    </row>
    <row r="450">
      <c r="A450" s="406"/>
      <c r="B450" s="406"/>
      <c r="C450" s="406"/>
      <c r="D450" s="406"/>
      <c r="E450" s="406"/>
      <c r="F450" s="406"/>
      <c r="G450" s="407"/>
      <c r="H450" s="406"/>
      <c r="I450" s="406"/>
      <c r="J450" s="406"/>
      <c r="K450" s="406"/>
      <c r="L450" s="406"/>
      <c r="M450" s="406"/>
      <c r="N450" s="406"/>
      <c r="O450" s="406"/>
      <c r="P450" s="406"/>
      <c r="Q450" s="406"/>
      <c r="R450" s="406"/>
      <c r="S450" s="406"/>
      <c r="T450" s="406"/>
      <c r="U450" s="406"/>
      <c r="V450" s="406"/>
      <c r="W450" s="406"/>
      <c r="X450" s="406"/>
      <c r="Y450" s="406"/>
      <c r="Z450" s="406"/>
    </row>
    <row r="451">
      <c r="A451" s="406"/>
      <c r="B451" s="406"/>
      <c r="C451" s="406"/>
      <c r="D451" s="406"/>
      <c r="E451" s="406"/>
      <c r="F451" s="406"/>
      <c r="G451" s="407"/>
      <c r="H451" s="406"/>
      <c r="I451" s="406"/>
      <c r="J451" s="406"/>
      <c r="K451" s="406"/>
      <c r="L451" s="406"/>
      <c r="M451" s="406"/>
      <c r="N451" s="406"/>
      <c r="O451" s="406"/>
      <c r="P451" s="406"/>
      <c r="Q451" s="406"/>
      <c r="R451" s="406"/>
      <c r="S451" s="406"/>
      <c r="T451" s="406"/>
      <c r="U451" s="406"/>
      <c r="V451" s="406"/>
      <c r="W451" s="406"/>
      <c r="X451" s="406"/>
      <c r="Y451" s="406"/>
      <c r="Z451" s="406"/>
    </row>
    <row r="452">
      <c r="A452" s="406"/>
      <c r="B452" s="406"/>
      <c r="C452" s="406"/>
      <c r="D452" s="406"/>
      <c r="E452" s="406"/>
      <c r="F452" s="406"/>
      <c r="G452" s="407"/>
      <c r="H452" s="406"/>
      <c r="I452" s="406"/>
      <c r="J452" s="406"/>
      <c r="K452" s="406"/>
      <c r="L452" s="406"/>
      <c r="M452" s="406"/>
      <c r="N452" s="406"/>
      <c r="O452" s="406"/>
      <c r="P452" s="406"/>
      <c r="Q452" s="406"/>
      <c r="R452" s="406"/>
      <c r="S452" s="406"/>
      <c r="T452" s="406"/>
      <c r="U452" s="406"/>
      <c r="V452" s="406"/>
      <c r="W452" s="406"/>
      <c r="X452" s="406"/>
      <c r="Y452" s="406"/>
      <c r="Z452" s="406"/>
    </row>
    <row r="453">
      <c r="A453" s="406"/>
      <c r="B453" s="406"/>
      <c r="C453" s="406"/>
      <c r="D453" s="406"/>
      <c r="E453" s="406"/>
      <c r="F453" s="406"/>
      <c r="G453" s="407"/>
      <c r="H453" s="406"/>
      <c r="I453" s="406"/>
      <c r="J453" s="406"/>
      <c r="K453" s="406"/>
      <c r="L453" s="406"/>
      <c r="M453" s="406"/>
      <c r="N453" s="406"/>
      <c r="O453" s="406"/>
      <c r="P453" s="406"/>
      <c r="Q453" s="406"/>
      <c r="R453" s="406"/>
      <c r="S453" s="406"/>
      <c r="T453" s="406"/>
      <c r="U453" s="406"/>
      <c r="V453" s="406"/>
      <c r="W453" s="406"/>
      <c r="X453" s="406"/>
      <c r="Y453" s="406"/>
      <c r="Z453" s="406"/>
    </row>
    <row r="454">
      <c r="A454" s="406"/>
      <c r="B454" s="406"/>
      <c r="C454" s="406"/>
      <c r="D454" s="406"/>
      <c r="E454" s="406"/>
      <c r="F454" s="406"/>
      <c r="G454" s="407"/>
      <c r="H454" s="406"/>
      <c r="I454" s="406"/>
      <c r="J454" s="406"/>
      <c r="K454" s="406"/>
      <c r="L454" s="406"/>
      <c r="M454" s="406"/>
      <c r="N454" s="406"/>
      <c r="O454" s="406"/>
      <c r="P454" s="406"/>
      <c r="Q454" s="406"/>
      <c r="R454" s="406"/>
      <c r="S454" s="406"/>
      <c r="T454" s="406"/>
      <c r="U454" s="406"/>
      <c r="V454" s="406"/>
      <c r="W454" s="406"/>
      <c r="X454" s="406"/>
      <c r="Y454" s="406"/>
      <c r="Z454" s="406"/>
    </row>
    <row r="455">
      <c r="A455" s="406"/>
      <c r="B455" s="406"/>
      <c r="C455" s="406"/>
      <c r="D455" s="406"/>
      <c r="E455" s="406"/>
      <c r="F455" s="406"/>
      <c r="G455" s="407"/>
      <c r="H455" s="406"/>
      <c r="I455" s="406"/>
      <c r="J455" s="406"/>
      <c r="K455" s="406"/>
      <c r="L455" s="406"/>
      <c r="M455" s="406"/>
      <c r="N455" s="406"/>
      <c r="O455" s="406"/>
      <c r="P455" s="406"/>
      <c r="Q455" s="406"/>
      <c r="R455" s="406"/>
      <c r="S455" s="406"/>
      <c r="T455" s="406"/>
      <c r="U455" s="406"/>
      <c r="V455" s="406"/>
      <c r="W455" s="406"/>
      <c r="X455" s="406"/>
      <c r="Y455" s="406"/>
      <c r="Z455" s="406"/>
    </row>
    <row r="456">
      <c r="A456" s="406"/>
      <c r="B456" s="406"/>
      <c r="C456" s="406"/>
      <c r="D456" s="406"/>
      <c r="E456" s="406"/>
      <c r="F456" s="406"/>
      <c r="G456" s="407"/>
      <c r="H456" s="406"/>
      <c r="I456" s="406"/>
      <c r="J456" s="406"/>
      <c r="K456" s="406"/>
      <c r="L456" s="406"/>
      <c r="M456" s="406"/>
      <c r="N456" s="406"/>
      <c r="O456" s="406"/>
      <c r="P456" s="406"/>
      <c r="Q456" s="406"/>
      <c r="R456" s="406"/>
      <c r="S456" s="406"/>
      <c r="T456" s="406"/>
      <c r="U456" s="406"/>
      <c r="V456" s="406"/>
      <c r="W456" s="406"/>
      <c r="X456" s="406"/>
      <c r="Y456" s="406"/>
      <c r="Z456" s="406"/>
    </row>
    <row r="457">
      <c r="A457" s="406"/>
      <c r="B457" s="406"/>
      <c r="C457" s="406"/>
      <c r="D457" s="406"/>
      <c r="E457" s="406"/>
      <c r="F457" s="406"/>
      <c r="G457" s="407"/>
      <c r="H457" s="406"/>
      <c r="I457" s="406"/>
      <c r="J457" s="406"/>
      <c r="K457" s="406"/>
      <c r="L457" s="406"/>
      <c r="M457" s="406"/>
      <c r="N457" s="406"/>
      <c r="O457" s="406"/>
      <c r="P457" s="406"/>
      <c r="Q457" s="406"/>
      <c r="R457" s="406"/>
      <c r="S457" s="406"/>
      <c r="T457" s="406"/>
      <c r="U457" s="406"/>
      <c r="V457" s="406"/>
      <c r="W457" s="406"/>
      <c r="X457" s="406"/>
      <c r="Y457" s="406"/>
      <c r="Z457" s="406"/>
    </row>
    <row r="458">
      <c r="A458" s="406"/>
      <c r="B458" s="406"/>
      <c r="C458" s="406"/>
      <c r="D458" s="406"/>
      <c r="E458" s="406"/>
      <c r="F458" s="406"/>
      <c r="G458" s="407"/>
      <c r="H458" s="406"/>
      <c r="I458" s="406"/>
      <c r="J458" s="406"/>
      <c r="K458" s="406"/>
      <c r="L458" s="406"/>
      <c r="M458" s="406"/>
      <c r="N458" s="406"/>
      <c r="O458" s="406"/>
      <c r="P458" s="406"/>
      <c r="Q458" s="406"/>
      <c r="R458" s="406"/>
      <c r="S458" s="406"/>
      <c r="T458" s="406"/>
      <c r="U458" s="406"/>
      <c r="V458" s="406"/>
      <c r="W458" s="406"/>
      <c r="X458" s="406"/>
      <c r="Y458" s="406"/>
      <c r="Z458" s="406"/>
    </row>
    <row r="459">
      <c r="A459" s="406"/>
      <c r="B459" s="406"/>
      <c r="C459" s="406"/>
      <c r="D459" s="406"/>
      <c r="E459" s="406"/>
      <c r="F459" s="406"/>
      <c r="G459" s="407"/>
      <c r="H459" s="406"/>
      <c r="I459" s="406"/>
      <c r="J459" s="406"/>
      <c r="K459" s="406"/>
      <c r="L459" s="406"/>
      <c r="M459" s="406"/>
      <c r="N459" s="406"/>
      <c r="O459" s="406"/>
      <c r="P459" s="406"/>
      <c r="Q459" s="406"/>
      <c r="R459" s="406"/>
      <c r="S459" s="406"/>
      <c r="T459" s="406"/>
      <c r="U459" s="406"/>
      <c r="V459" s="406"/>
      <c r="W459" s="406"/>
      <c r="X459" s="406"/>
      <c r="Y459" s="406"/>
      <c r="Z459" s="406"/>
    </row>
    <row r="460">
      <c r="A460" s="406"/>
      <c r="B460" s="406"/>
      <c r="C460" s="406"/>
      <c r="D460" s="406"/>
      <c r="E460" s="406"/>
      <c r="F460" s="406"/>
      <c r="G460" s="407"/>
      <c r="H460" s="406"/>
      <c r="I460" s="406"/>
      <c r="J460" s="406"/>
      <c r="K460" s="406"/>
      <c r="L460" s="406"/>
      <c r="M460" s="406"/>
      <c r="N460" s="406"/>
      <c r="O460" s="406"/>
      <c r="P460" s="406"/>
      <c r="Q460" s="406"/>
      <c r="R460" s="406"/>
      <c r="S460" s="406"/>
      <c r="T460" s="406"/>
      <c r="U460" s="406"/>
      <c r="V460" s="406"/>
      <c r="W460" s="406"/>
      <c r="X460" s="406"/>
      <c r="Y460" s="406"/>
      <c r="Z460" s="406"/>
    </row>
    <row r="461">
      <c r="A461" s="406"/>
      <c r="B461" s="406"/>
      <c r="C461" s="406"/>
      <c r="D461" s="406"/>
      <c r="E461" s="406"/>
      <c r="F461" s="406"/>
      <c r="G461" s="407"/>
      <c r="H461" s="406"/>
      <c r="I461" s="406"/>
      <c r="J461" s="406"/>
      <c r="K461" s="406"/>
      <c r="L461" s="406"/>
      <c r="M461" s="406"/>
      <c r="N461" s="406"/>
      <c r="O461" s="406"/>
      <c r="P461" s="406"/>
      <c r="Q461" s="406"/>
      <c r="R461" s="406"/>
      <c r="S461" s="406"/>
      <c r="T461" s="406"/>
      <c r="U461" s="406"/>
      <c r="V461" s="406"/>
      <c r="W461" s="406"/>
      <c r="X461" s="406"/>
      <c r="Y461" s="406"/>
      <c r="Z461" s="406"/>
    </row>
    <row r="462">
      <c r="A462" s="406"/>
      <c r="B462" s="406"/>
      <c r="C462" s="406"/>
      <c r="D462" s="406"/>
      <c r="E462" s="406"/>
      <c r="F462" s="406"/>
      <c r="G462" s="407"/>
      <c r="H462" s="406"/>
      <c r="I462" s="406"/>
      <c r="J462" s="406"/>
      <c r="K462" s="406"/>
      <c r="L462" s="406"/>
      <c r="M462" s="406"/>
      <c r="N462" s="406"/>
      <c r="O462" s="406"/>
      <c r="P462" s="406"/>
      <c r="Q462" s="406"/>
      <c r="R462" s="406"/>
      <c r="S462" s="406"/>
      <c r="T462" s="406"/>
      <c r="U462" s="406"/>
      <c r="V462" s="406"/>
      <c r="W462" s="406"/>
      <c r="X462" s="406"/>
      <c r="Y462" s="406"/>
      <c r="Z462" s="406"/>
    </row>
    <row r="463">
      <c r="A463" s="406"/>
      <c r="B463" s="406"/>
      <c r="C463" s="406"/>
      <c r="D463" s="406"/>
      <c r="E463" s="406"/>
      <c r="F463" s="406"/>
      <c r="G463" s="407"/>
      <c r="H463" s="406"/>
      <c r="I463" s="406"/>
      <c r="J463" s="406"/>
      <c r="K463" s="406"/>
      <c r="L463" s="406"/>
      <c r="M463" s="406"/>
      <c r="N463" s="406"/>
      <c r="O463" s="406"/>
      <c r="P463" s="406"/>
      <c r="Q463" s="406"/>
      <c r="R463" s="406"/>
      <c r="S463" s="406"/>
      <c r="T463" s="406"/>
      <c r="U463" s="406"/>
      <c r="V463" s="406"/>
      <c r="W463" s="406"/>
      <c r="X463" s="406"/>
      <c r="Y463" s="406"/>
      <c r="Z463" s="406"/>
    </row>
    <row r="464">
      <c r="A464" s="406"/>
      <c r="B464" s="406"/>
      <c r="C464" s="406"/>
      <c r="D464" s="406"/>
      <c r="E464" s="406"/>
      <c r="F464" s="406"/>
      <c r="G464" s="407"/>
      <c r="H464" s="406"/>
      <c r="I464" s="406"/>
      <c r="J464" s="406"/>
      <c r="K464" s="406"/>
      <c r="L464" s="406"/>
      <c r="M464" s="406"/>
      <c r="N464" s="406"/>
      <c r="O464" s="406"/>
      <c r="P464" s="406"/>
      <c r="Q464" s="406"/>
      <c r="R464" s="406"/>
      <c r="S464" s="406"/>
      <c r="T464" s="406"/>
      <c r="U464" s="406"/>
      <c r="V464" s="406"/>
      <c r="W464" s="406"/>
      <c r="X464" s="406"/>
      <c r="Y464" s="406"/>
      <c r="Z464" s="406"/>
    </row>
    <row r="465">
      <c r="A465" s="406"/>
      <c r="B465" s="406"/>
      <c r="C465" s="406"/>
      <c r="D465" s="406"/>
      <c r="E465" s="406"/>
      <c r="F465" s="406"/>
      <c r="G465" s="407"/>
      <c r="H465" s="406"/>
      <c r="I465" s="406"/>
      <c r="J465" s="406"/>
      <c r="K465" s="406"/>
      <c r="L465" s="406"/>
      <c r="M465" s="406"/>
      <c r="N465" s="406"/>
      <c r="O465" s="406"/>
      <c r="P465" s="406"/>
      <c r="Q465" s="406"/>
      <c r="R465" s="406"/>
      <c r="S465" s="406"/>
      <c r="T465" s="406"/>
      <c r="U465" s="406"/>
      <c r="V465" s="406"/>
      <c r="W465" s="406"/>
      <c r="X465" s="406"/>
      <c r="Y465" s="406"/>
      <c r="Z465" s="406"/>
    </row>
    <row r="466">
      <c r="A466" s="406"/>
      <c r="B466" s="406"/>
      <c r="C466" s="406"/>
      <c r="D466" s="406"/>
      <c r="E466" s="406"/>
      <c r="F466" s="406"/>
      <c r="G466" s="407"/>
      <c r="H466" s="406"/>
      <c r="I466" s="406"/>
      <c r="J466" s="406"/>
      <c r="K466" s="406"/>
      <c r="L466" s="406"/>
      <c r="M466" s="406"/>
      <c r="N466" s="406"/>
      <c r="O466" s="406"/>
      <c r="P466" s="406"/>
      <c r="Q466" s="406"/>
      <c r="R466" s="406"/>
      <c r="S466" s="406"/>
      <c r="T466" s="406"/>
      <c r="U466" s="406"/>
      <c r="V466" s="406"/>
      <c r="W466" s="406"/>
      <c r="X466" s="406"/>
      <c r="Y466" s="406"/>
      <c r="Z466" s="406"/>
    </row>
    <row r="467">
      <c r="A467" s="406"/>
      <c r="B467" s="406"/>
      <c r="C467" s="406"/>
      <c r="D467" s="406"/>
      <c r="E467" s="406"/>
      <c r="F467" s="406"/>
      <c r="G467" s="407"/>
      <c r="H467" s="406"/>
      <c r="I467" s="406"/>
      <c r="J467" s="406"/>
      <c r="K467" s="406"/>
      <c r="L467" s="406"/>
      <c r="M467" s="406"/>
      <c r="N467" s="406"/>
      <c r="O467" s="406"/>
      <c r="P467" s="406"/>
      <c r="Q467" s="406"/>
      <c r="R467" s="406"/>
      <c r="S467" s="406"/>
      <c r="T467" s="406"/>
      <c r="U467" s="406"/>
      <c r="V467" s="406"/>
      <c r="W467" s="406"/>
      <c r="X467" s="406"/>
      <c r="Y467" s="406"/>
      <c r="Z467" s="406"/>
    </row>
    <row r="468">
      <c r="A468" s="406"/>
      <c r="B468" s="406"/>
      <c r="C468" s="406"/>
      <c r="D468" s="406"/>
      <c r="E468" s="406"/>
      <c r="F468" s="406"/>
      <c r="G468" s="407"/>
      <c r="H468" s="406"/>
      <c r="I468" s="406"/>
      <c r="J468" s="406"/>
      <c r="K468" s="406"/>
      <c r="L468" s="406"/>
      <c r="M468" s="406"/>
      <c r="N468" s="406"/>
      <c r="O468" s="406"/>
      <c r="P468" s="406"/>
      <c r="Q468" s="406"/>
      <c r="R468" s="406"/>
      <c r="S468" s="406"/>
      <c r="T468" s="406"/>
      <c r="U468" s="406"/>
      <c r="V468" s="406"/>
      <c r="W468" s="406"/>
      <c r="X468" s="406"/>
      <c r="Y468" s="406"/>
      <c r="Z468" s="406"/>
    </row>
    <row r="469">
      <c r="A469" s="406"/>
      <c r="B469" s="406"/>
      <c r="C469" s="406"/>
      <c r="D469" s="406"/>
      <c r="E469" s="406"/>
      <c r="F469" s="406"/>
      <c r="G469" s="407"/>
      <c r="H469" s="406"/>
      <c r="I469" s="406"/>
      <c r="J469" s="406"/>
      <c r="K469" s="406"/>
      <c r="L469" s="406"/>
      <c r="M469" s="406"/>
      <c r="N469" s="406"/>
      <c r="O469" s="406"/>
      <c r="P469" s="406"/>
      <c r="Q469" s="406"/>
      <c r="R469" s="406"/>
      <c r="S469" s="406"/>
      <c r="T469" s="406"/>
      <c r="U469" s="406"/>
      <c r="V469" s="406"/>
      <c r="W469" s="406"/>
      <c r="X469" s="406"/>
      <c r="Y469" s="406"/>
      <c r="Z469" s="406"/>
    </row>
    <row r="470">
      <c r="A470" s="406"/>
      <c r="B470" s="406"/>
      <c r="C470" s="406"/>
      <c r="D470" s="406"/>
      <c r="E470" s="406"/>
      <c r="F470" s="406"/>
      <c r="G470" s="407"/>
      <c r="H470" s="406"/>
      <c r="I470" s="406"/>
      <c r="J470" s="406"/>
      <c r="K470" s="406"/>
      <c r="L470" s="406"/>
      <c r="M470" s="406"/>
      <c r="N470" s="406"/>
      <c r="O470" s="406"/>
      <c r="P470" s="406"/>
      <c r="Q470" s="406"/>
      <c r="R470" s="406"/>
      <c r="S470" s="406"/>
      <c r="T470" s="406"/>
      <c r="U470" s="406"/>
      <c r="V470" s="406"/>
      <c r="W470" s="406"/>
      <c r="X470" s="406"/>
      <c r="Y470" s="406"/>
      <c r="Z470" s="406"/>
    </row>
    <row r="471">
      <c r="A471" s="406"/>
      <c r="B471" s="406"/>
      <c r="C471" s="406"/>
      <c r="D471" s="406"/>
      <c r="E471" s="406"/>
      <c r="F471" s="406"/>
      <c r="G471" s="407"/>
      <c r="H471" s="406"/>
      <c r="I471" s="406"/>
      <c r="J471" s="406"/>
      <c r="K471" s="406"/>
      <c r="L471" s="406"/>
      <c r="M471" s="406"/>
      <c r="N471" s="406"/>
      <c r="O471" s="406"/>
      <c r="P471" s="406"/>
      <c r="Q471" s="406"/>
      <c r="R471" s="406"/>
      <c r="S471" s="406"/>
      <c r="T471" s="406"/>
      <c r="U471" s="406"/>
      <c r="V471" s="406"/>
      <c r="W471" s="406"/>
      <c r="X471" s="406"/>
      <c r="Y471" s="406"/>
      <c r="Z471" s="406"/>
    </row>
    <row r="472">
      <c r="A472" s="406"/>
      <c r="B472" s="406"/>
      <c r="C472" s="406"/>
      <c r="D472" s="406"/>
      <c r="E472" s="406"/>
      <c r="F472" s="406"/>
      <c r="G472" s="407"/>
      <c r="H472" s="406"/>
      <c r="I472" s="406"/>
      <c r="J472" s="406"/>
      <c r="K472" s="406"/>
      <c r="L472" s="406"/>
      <c r="M472" s="406"/>
      <c r="N472" s="406"/>
      <c r="O472" s="406"/>
      <c r="P472" s="406"/>
      <c r="Q472" s="406"/>
      <c r="R472" s="406"/>
      <c r="S472" s="406"/>
      <c r="T472" s="406"/>
      <c r="U472" s="406"/>
      <c r="V472" s="406"/>
      <c r="W472" s="406"/>
      <c r="X472" s="406"/>
      <c r="Y472" s="406"/>
      <c r="Z472" s="406"/>
    </row>
    <row r="473">
      <c r="A473" s="406"/>
      <c r="B473" s="406"/>
      <c r="C473" s="406"/>
      <c r="D473" s="406"/>
      <c r="E473" s="406"/>
      <c r="F473" s="406"/>
      <c r="G473" s="407"/>
      <c r="H473" s="406"/>
      <c r="I473" s="406"/>
      <c r="J473" s="406"/>
      <c r="K473" s="406"/>
      <c r="L473" s="406"/>
      <c r="M473" s="406"/>
      <c r="N473" s="406"/>
      <c r="O473" s="406"/>
      <c r="P473" s="406"/>
      <c r="Q473" s="406"/>
      <c r="R473" s="406"/>
      <c r="S473" s="406"/>
      <c r="T473" s="406"/>
      <c r="U473" s="406"/>
      <c r="V473" s="406"/>
      <c r="W473" s="406"/>
      <c r="X473" s="406"/>
      <c r="Y473" s="406"/>
      <c r="Z473" s="406"/>
    </row>
    <row r="474">
      <c r="A474" s="406"/>
      <c r="B474" s="406"/>
      <c r="C474" s="406"/>
      <c r="D474" s="406"/>
      <c r="E474" s="406"/>
      <c r="F474" s="406"/>
      <c r="G474" s="407"/>
      <c r="H474" s="406"/>
      <c r="I474" s="406"/>
      <c r="J474" s="406"/>
      <c r="K474" s="406"/>
      <c r="L474" s="406"/>
      <c r="M474" s="406"/>
      <c r="N474" s="406"/>
      <c r="O474" s="406"/>
      <c r="P474" s="406"/>
      <c r="Q474" s="406"/>
      <c r="R474" s="406"/>
      <c r="S474" s="406"/>
      <c r="T474" s="406"/>
      <c r="U474" s="406"/>
      <c r="V474" s="406"/>
      <c r="W474" s="406"/>
      <c r="X474" s="406"/>
      <c r="Y474" s="406"/>
      <c r="Z474" s="406"/>
    </row>
    <row r="475">
      <c r="A475" s="406"/>
      <c r="B475" s="406"/>
      <c r="C475" s="406"/>
      <c r="D475" s="406"/>
      <c r="E475" s="406"/>
      <c r="F475" s="406"/>
      <c r="G475" s="407"/>
      <c r="H475" s="406"/>
      <c r="I475" s="406"/>
      <c r="J475" s="406"/>
      <c r="K475" s="406"/>
      <c r="L475" s="406"/>
      <c r="M475" s="406"/>
      <c r="N475" s="406"/>
      <c r="O475" s="406"/>
      <c r="P475" s="406"/>
      <c r="Q475" s="406"/>
      <c r="R475" s="406"/>
      <c r="S475" s="406"/>
      <c r="T475" s="406"/>
      <c r="U475" s="406"/>
      <c r="V475" s="406"/>
      <c r="W475" s="406"/>
      <c r="X475" s="406"/>
      <c r="Y475" s="406"/>
      <c r="Z475" s="406"/>
    </row>
    <row r="476">
      <c r="A476" s="406"/>
      <c r="B476" s="406"/>
      <c r="C476" s="406"/>
      <c r="D476" s="406"/>
      <c r="E476" s="406"/>
      <c r="F476" s="406"/>
      <c r="G476" s="407"/>
      <c r="H476" s="406"/>
      <c r="I476" s="406"/>
      <c r="J476" s="406"/>
      <c r="K476" s="406"/>
      <c r="L476" s="406"/>
      <c r="M476" s="406"/>
      <c r="N476" s="406"/>
      <c r="O476" s="406"/>
      <c r="P476" s="406"/>
      <c r="Q476" s="406"/>
      <c r="R476" s="406"/>
      <c r="S476" s="406"/>
      <c r="T476" s="406"/>
      <c r="U476" s="406"/>
      <c r="V476" s="406"/>
      <c r="W476" s="406"/>
      <c r="X476" s="406"/>
      <c r="Y476" s="406"/>
      <c r="Z476" s="406"/>
    </row>
    <row r="477">
      <c r="A477" s="406"/>
      <c r="B477" s="406"/>
      <c r="C477" s="406"/>
      <c r="D477" s="406"/>
      <c r="E477" s="406"/>
      <c r="F477" s="406"/>
      <c r="G477" s="407"/>
      <c r="H477" s="406"/>
      <c r="I477" s="406"/>
      <c r="J477" s="406"/>
      <c r="K477" s="406"/>
      <c r="L477" s="406"/>
      <c r="M477" s="406"/>
      <c r="N477" s="406"/>
      <c r="O477" s="406"/>
      <c r="P477" s="406"/>
      <c r="Q477" s="406"/>
      <c r="R477" s="406"/>
      <c r="S477" s="406"/>
      <c r="T477" s="406"/>
      <c r="U477" s="406"/>
      <c r="V477" s="406"/>
      <c r="W477" s="406"/>
      <c r="X477" s="406"/>
      <c r="Y477" s="406"/>
      <c r="Z477" s="406"/>
    </row>
    <row r="478">
      <c r="A478" s="406"/>
      <c r="B478" s="406"/>
      <c r="C478" s="406"/>
      <c r="D478" s="406"/>
      <c r="E478" s="406"/>
      <c r="F478" s="406"/>
      <c r="G478" s="407"/>
      <c r="H478" s="406"/>
      <c r="I478" s="406"/>
      <c r="J478" s="406"/>
      <c r="K478" s="406"/>
      <c r="L478" s="406"/>
      <c r="M478" s="406"/>
      <c r="N478" s="406"/>
      <c r="O478" s="406"/>
      <c r="P478" s="406"/>
      <c r="Q478" s="406"/>
      <c r="R478" s="406"/>
      <c r="S478" s="406"/>
      <c r="T478" s="406"/>
      <c r="U478" s="406"/>
      <c r="V478" s="406"/>
      <c r="W478" s="406"/>
      <c r="X478" s="406"/>
      <c r="Y478" s="406"/>
      <c r="Z478" s="406"/>
    </row>
    <row r="479">
      <c r="A479" s="406"/>
      <c r="B479" s="406"/>
      <c r="C479" s="406"/>
      <c r="D479" s="406"/>
      <c r="E479" s="406"/>
      <c r="F479" s="406"/>
      <c r="G479" s="407"/>
      <c r="H479" s="406"/>
      <c r="I479" s="406"/>
      <c r="J479" s="406"/>
      <c r="K479" s="406"/>
      <c r="L479" s="406"/>
      <c r="M479" s="406"/>
      <c r="N479" s="406"/>
      <c r="O479" s="406"/>
      <c r="P479" s="406"/>
      <c r="Q479" s="406"/>
      <c r="R479" s="406"/>
      <c r="S479" s="406"/>
      <c r="T479" s="406"/>
      <c r="U479" s="406"/>
      <c r="V479" s="406"/>
      <c r="W479" s="406"/>
      <c r="X479" s="406"/>
      <c r="Y479" s="406"/>
      <c r="Z479" s="406"/>
    </row>
    <row r="480">
      <c r="A480" s="406"/>
      <c r="B480" s="406"/>
      <c r="C480" s="406"/>
      <c r="D480" s="406"/>
      <c r="E480" s="406"/>
      <c r="F480" s="406"/>
      <c r="G480" s="407"/>
      <c r="H480" s="406"/>
      <c r="I480" s="406"/>
      <c r="J480" s="406"/>
      <c r="K480" s="406"/>
      <c r="L480" s="406"/>
      <c r="M480" s="406"/>
      <c r="N480" s="406"/>
      <c r="O480" s="406"/>
      <c r="P480" s="406"/>
      <c r="Q480" s="406"/>
      <c r="R480" s="406"/>
      <c r="S480" s="406"/>
      <c r="T480" s="406"/>
      <c r="U480" s="406"/>
      <c r="V480" s="406"/>
      <c r="W480" s="406"/>
      <c r="X480" s="406"/>
      <c r="Y480" s="406"/>
      <c r="Z480" s="406"/>
    </row>
    <row r="481">
      <c r="A481" s="406"/>
      <c r="B481" s="406"/>
      <c r="C481" s="406"/>
      <c r="D481" s="406"/>
      <c r="E481" s="406"/>
      <c r="F481" s="406"/>
      <c r="G481" s="407"/>
      <c r="H481" s="406"/>
      <c r="I481" s="406"/>
      <c r="J481" s="406"/>
      <c r="K481" s="406"/>
      <c r="L481" s="406"/>
      <c r="M481" s="406"/>
      <c r="N481" s="406"/>
      <c r="O481" s="406"/>
      <c r="P481" s="406"/>
      <c r="Q481" s="406"/>
      <c r="R481" s="406"/>
      <c r="S481" s="406"/>
      <c r="T481" s="406"/>
      <c r="U481" s="406"/>
      <c r="V481" s="406"/>
      <c r="W481" s="406"/>
      <c r="X481" s="406"/>
      <c r="Y481" s="406"/>
      <c r="Z481" s="406"/>
    </row>
    <row r="482">
      <c r="A482" s="406"/>
      <c r="B482" s="406"/>
      <c r="C482" s="406"/>
      <c r="D482" s="406"/>
      <c r="E482" s="406"/>
      <c r="F482" s="406"/>
      <c r="G482" s="407"/>
      <c r="H482" s="406"/>
      <c r="I482" s="406"/>
      <c r="J482" s="406"/>
      <c r="K482" s="406"/>
      <c r="L482" s="406"/>
      <c r="M482" s="406"/>
      <c r="N482" s="406"/>
      <c r="O482" s="406"/>
      <c r="P482" s="406"/>
      <c r="Q482" s="406"/>
      <c r="R482" s="406"/>
      <c r="S482" s="406"/>
      <c r="T482" s="406"/>
      <c r="U482" s="406"/>
      <c r="V482" s="406"/>
      <c r="W482" s="406"/>
      <c r="X482" s="406"/>
      <c r="Y482" s="406"/>
      <c r="Z482" s="406"/>
    </row>
    <row r="483">
      <c r="A483" s="406"/>
      <c r="B483" s="406"/>
      <c r="C483" s="406"/>
      <c r="D483" s="406"/>
      <c r="E483" s="406"/>
      <c r="F483" s="406"/>
      <c r="G483" s="407"/>
      <c r="H483" s="406"/>
      <c r="I483" s="406"/>
      <c r="J483" s="406"/>
      <c r="K483" s="406"/>
      <c r="L483" s="406"/>
      <c r="M483" s="406"/>
      <c r="N483" s="406"/>
      <c r="O483" s="406"/>
      <c r="P483" s="406"/>
      <c r="Q483" s="406"/>
      <c r="R483" s="406"/>
      <c r="S483" s="406"/>
      <c r="T483" s="406"/>
      <c r="U483" s="406"/>
      <c r="V483" s="406"/>
      <c r="W483" s="406"/>
      <c r="X483" s="406"/>
      <c r="Y483" s="406"/>
      <c r="Z483" s="406"/>
    </row>
    <row r="484">
      <c r="A484" s="406"/>
      <c r="B484" s="406"/>
      <c r="C484" s="406"/>
      <c r="D484" s="406"/>
      <c r="E484" s="406"/>
      <c r="F484" s="406"/>
      <c r="G484" s="407"/>
      <c r="H484" s="406"/>
      <c r="I484" s="406"/>
      <c r="J484" s="406"/>
      <c r="K484" s="406"/>
      <c r="L484" s="406"/>
      <c r="M484" s="406"/>
      <c r="N484" s="406"/>
      <c r="O484" s="406"/>
      <c r="P484" s="406"/>
      <c r="Q484" s="406"/>
      <c r="R484" s="406"/>
      <c r="S484" s="406"/>
      <c r="T484" s="406"/>
      <c r="U484" s="406"/>
      <c r="V484" s="406"/>
      <c r="W484" s="406"/>
      <c r="X484" s="406"/>
      <c r="Y484" s="406"/>
      <c r="Z484" s="406"/>
    </row>
    <row r="485">
      <c r="A485" s="406"/>
      <c r="B485" s="406"/>
      <c r="C485" s="406"/>
      <c r="D485" s="406"/>
      <c r="E485" s="406"/>
      <c r="F485" s="406"/>
      <c r="G485" s="407"/>
      <c r="H485" s="406"/>
      <c r="I485" s="406"/>
      <c r="J485" s="406"/>
      <c r="K485" s="406"/>
      <c r="L485" s="406"/>
      <c r="M485" s="406"/>
      <c r="N485" s="406"/>
      <c r="O485" s="406"/>
      <c r="P485" s="406"/>
      <c r="Q485" s="406"/>
      <c r="R485" s="406"/>
      <c r="S485" s="406"/>
      <c r="T485" s="406"/>
      <c r="U485" s="406"/>
      <c r="V485" s="406"/>
      <c r="W485" s="406"/>
      <c r="X485" s="406"/>
      <c r="Y485" s="406"/>
      <c r="Z485" s="406"/>
    </row>
    <row r="486">
      <c r="A486" s="406"/>
      <c r="B486" s="406"/>
      <c r="C486" s="406"/>
      <c r="D486" s="406"/>
      <c r="E486" s="406"/>
      <c r="F486" s="406"/>
      <c r="G486" s="407"/>
      <c r="H486" s="406"/>
      <c r="I486" s="406"/>
      <c r="J486" s="406"/>
      <c r="K486" s="406"/>
      <c r="L486" s="406"/>
      <c r="M486" s="406"/>
      <c r="N486" s="406"/>
      <c r="O486" s="406"/>
      <c r="P486" s="406"/>
      <c r="Q486" s="406"/>
      <c r="R486" s="406"/>
      <c r="S486" s="406"/>
      <c r="T486" s="406"/>
      <c r="U486" s="406"/>
      <c r="V486" s="406"/>
      <c r="W486" s="406"/>
      <c r="X486" s="406"/>
      <c r="Y486" s="406"/>
      <c r="Z486" s="406"/>
    </row>
    <row r="487">
      <c r="A487" s="406"/>
      <c r="B487" s="406"/>
      <c r="C487" s="406"/>
      <c r="D487" s="406"/>
      <c r="E487" s="406"/>
      <c r="F487" s="406"/>
      <c r="G487" s="407"/>
      <c r="H487" s="406"/>
      <c r="I487" s="406"/>
      <c r="J487" s="406"/>
      <c r="K487" s="406"/>
      <c r="L487" s="406"/>
      <c r="M487" s="406"/>
      <c r="N487" s="406"/>
      <c r="O487" s="406"/>
      <c r="P487" s="406"/>
      <c r="Q487" s="406"/>
      <c r="R487" s="406"/>
      <c r="S487" s="406"/>
      <c r="T487" s="406"/>
      <c r="U487" s="406"/>
      <c r="V487" s="406"/>
      <c r="W487" s="406"/>
      <c r="X487" s="406"/>
      <c r="Y487" s="406"/>
      <c r="Z487" s="406"/>
    </row>
    <row r="488">
      <c r="A488" s="406"/>
      <c r="B488" s="406"/>
      <c r="C488" s="406"/>
      <c r="D488" s="406"/>
      <c r="E488" s="406"/>
      <c r="F488" s="406"/>
      <c r="G488" s="407"/>
      <c r="H488" s="406"/>
      <c r="I488" s="406"/>
      <c r="J488" s="406"/>
      <c r="K488" s="406"/>
      <c r="L488" s="406"/>
      <c r="M488" s="406"/>
      <c r="N488" s="406"/>
      <c r="O488" s="406"/>
      <c r="P488" s="406"/>
      <c r="Q488" s="406"/>
      <c r="R488" s="406"/>
      <c r="S488" s="406"/>
      <c r="T488" s="406"/>
      <c r="U488" s="406"/>
      <c r="V488" s="406"/>
      <c r="W488" s="406"/>
      <c r="X488" s="406"/>
      <c r="Y488" s="406"/>
      <c r="Z488" s="406"/>
    </row>
    <row r="489">
      <c r="A489" s="406"/>
      <c r="B489" s="406"/>
      <c r="C489" s="406"/>
      <c r="D489" s="406"/>
      <c r="E489" s="406"/>
      <c r="F489" s="406"/>
      <c r="G489" s="407"/>
      <c r="H489" s="406"/>
      <c r="I489" s="406"/>
      <c r="J489" s="406"/>
      <c r="K489" s="406"/>
      <c r="L489" s="406"/>
      <c r="M489" s="406"/>
      <c r="N489" s="406"/>
      <c r="O489" s="406"/>
      <c r="P489" s="406"/>
      <c r="Q489" s="406"/>
      <c r="R489" s="406"/>
      <c r="S489" s="406"/>
      <c r="T489" s="406"/>
      <c r="U489" s="406"/>
      <c r="V489" s="406"/>
      <c r="W489" s="406"/>
      <c r="X489" s="406"/>
      <c r="Y489" s="406"/>
      <c r="Z489" s="406"/>
    </row>
    <row r="490">
      <c r="A490" s="406"/>
      <c r="B490" s="406"/>
      <c r="C490" s="406"/>
      <c r="D490" s="406"/>
      <c r="E490" s="406"/>
      <c r="F490" s="406"/>
      <c r="G490" s="407"/>
      <c r="H490" s="406"/>
      <c r="I490" s="406"/>
      <c r="J490" s="406"/>
      <c r="K490" s="406"/>
      <c r="L490" s="406"/>
      <c r="M490" s="406"/>
      <c r="N490" s="406"/>
      <c r="O490" s="406"/>
      <c r="P490" s="406"/>
      <c r="Q490" s="406"/>
      <c r="R490" s="406"/>
      <c r="S490" s="406"/>
      <c r="T490" s="406"/>
      <c r="U490" s="406"/>
      <c r="V490" s="406"/>
      <c r="W490" s="406"/>
      <c r="X490" s="406"/>
      <c r="Y490" s="406"/>
      <c r="Z490" s="406"/>
    </row>
    <row r="491">
      <c r="A491" s="406"/>
      <c r="B491" s="406"/>
      <c r="C491" s="406"/>
      <c r="D491" s="406"/>
      <c r="E491" s="406"/>
      <c r="F491" s="406"/>
      <c r="G491" s="407"/>
      <c r="H491" s="406"/>
      <c r="I491" s="406"/>
      <c r="J491" s="406"/>
      <c r="K491" s="406"/>
      <c r="L491" s="406"/>
      <c r="M491" s="406"/>
      <c r="N491" s="406"/>
      <c r="O491" s="406"/>
      <c r="P491" s="406"/>
      <c r="Q491" s="406"/>
      <c r="R491" s="406"/>
      <c r="S491" s="406"/>
      <c r="T491" s="406"/>
      <c r="U491" s="406"/>
      <c r="V491" s="406"/>
      <c r="W491" s="406"/>
      <c r="X491" s="406"/>
      <c r="Y491" s="406"/>
      <c r="Z491" s="406"/>
    </row>
    <row r="492">
      <c r="A492" s="406"/>
      <c r="B492" s="406"/>
      <c r="C492" s="406"/>
      <c r="D492" s="406"/>
      <c r="E492" s="406"/>
      <c r="F492" s="406"/>
      <c r="G492" s="407"/>
      <c r="H492" s="406"/>
      <c r="I492" s="406"/>
      <c r="J492" s="406"/>
      <c r="K492" s="406"/>
      <c r="L492" s="406"/>
      <c r="M492" s="406"/>
      <c r="N492" s="406"/>
      <c r="O492" s="406"/>
      <c r="P492" s="406"/>
      <c r="Q492" s="406"/>
      <c r="R492" s="406"/>
      <c r="S492" s="406"/>
      <c r="T492" s="406"/>
      <c r="U492" s="406"/>
      <c r="V492" s="406"/>
      <c r="W492" s="406"/>
      <c r="X492" s="406"/>
      <c r="Y492" s="406"/>
      <c r="Z492" s="406"/>
    </row>
    <row r="493">
      <c r="A493" s="406"/>
      <c r="B493" s="406"/>
      <c r="C493" s="406"/>
      <c r="D493" s="406"/>
      <c r="E493" s="406"/>
      <c r="F493" s="406"/>
      <c r="G493" s="407"/>
      <c r="H493" s="406"/>
      <c r="I493" s="406"/>
      <c r="J493" s="406"/>
      <c r="K493" s="406"/>
      <c r="L493" s="406"/>
      <c r="M493" s="406"/>
      <c r="N493" s="406"/>
      <c r="O493" s="406"/>
      <c r="P493" s="406"/>
      <c r="Q493" s="406"/>
      <c r="R493" s="406"/>
      <c r="S493" s="406"/>
      <c r="T493" s="406"/>
      <c r="U493" s="406"/>
      <c r="V493" s="406"/>
      <c r="W493" s="406"/>
      <c r="X493" s="406"/>
      <c r="Y493" s="406"/>
      <c r="Z493" s="406"/>
    </row>
    <row r="494">
      <c r="A494" s="406"/>
      <c r="B494" s="406"/>
      <c r="C494" s="406"/>
      <c r="D494" s="406"/>
      <c r="E494" s="406"/>
      <c r="F494" s="406"/>
      <c r="G494" s="407"/>
      <c r="H494" s="406"/>
      <c r="I494" s="406"/>
      <c r="J494" s="406"/>
      <c r="K494" s="406"/>
      <c r="L494" s="406"/>
      <c r="M494" s="406"/>
      <c r="N494" s="406"/>
      <c r="O494" s="406"/>
      <c r="P494" s="406"/>
      <c r="Q494" s="406"/>
      <c r="R494" s="406"/>
      <c r="S494" s="406"/>
      <c r="T494" s="406"/>
      <c r="U494" s="406"/>
      <c r="V494" s="406"/>
      <c r="W494" s="406"/>
      <c r="X494" s="406"/>
      <c r="Y494" s="406"/>
      <c r="Z494" s="406"/>
    </row>
    <row r="495">
      <c r="A495" s="406"/>
      <c r="B495" s="406"/>
      <c r="C495" s="406"/>
      <c r="D495" s="406"/>
      <c r="E495" s="406"/>
      <c r="F495" s="406"/>
      <c r="G495" s="407"/>
      <c r="H495" s="406"/>
      <c r="I495" s="406"/>
      <c r="J495" s="406"/>
      <c r="K495" s="406"/>
      <c r="L495" s="406"/>
      <c r="M495" s="406"/>
      <c r="N495" s="406"/>
      <c r="O495" s="406"/>
      <c r="P495" s="406"/>
      <c r="Q495" s="406"/>
      <c r="R495" s="406"/>
      <c r="S495" s="406"/>
      <c r="T495" s="406"/>
      <c r="U495" s="406"/>
      <c r="V495" s="406"/>
      <c r="W495" s="406"/>
      <c r="X495" s="406"/>
      <c r="Y495" s="406"/>
      <c r="Z495" s="406"/>
    </row>
    <row r="496">
      <c r="A496" s="406"/>
      <c r="B496" s="406"/>
      <c r="C496" s="406"/>
      <c r="D496" s="406"/>
      <c r="E496" s="406"/>
      <c r="F496" s="406"/>
      <c r="G496" s="407"/>
      <c r="H496" s="406"/>
      <c r="I496" s="406"/>
      <c r="J496" s="406"/>
      <c r="K496" s="406"/>
      <c r="L496" s="406"/>
      <c r="M496" s="406"/>
      <c r="N496" s="406"/>
      <c r="O496" s="406"/>
      <c r="P496" s="406"/>
      <c r="Q496" s="406"/>
      <c r="R496" s="406"/>
      <c r="S496" s="406"/>
      <c r="T496" s="406"/>
      <c r="U496" s="406"/>
      <c r="V496" s="406"/>
      <c r="W496" s="406"/>
      <c r="X496" s="406"/>
      <c r="Y496" s="406"/>
      <c r="Z496" s="406"/>
    </row>
    <row r="497">
      <c r="A497" s="406"/>
      <c r="B497" s="406"/>
      <c r="C497" s="406"/>
      <c r="D497" s="406"/>
      <c r="E497" s="406"/>
      <c r="F497" s="406"/>
      <c r="G497" s="407"/>
      <c r="H497" s="406"/>
      <c r="I497" s="406"/>
      <c r="J497" s="406"/>
      <c r="K497" s="406"/>
      <c r="L497" s="406"/>
      <c r="M497" s="406"/>
      <c r="N497" s="406"/>
      <c r="O497" s="406"/>
      <c r="P497" s="406"/>
      <c r="Q497" s="406"/>
      <c r="R497" s="406"/>
      <c r="S497" s="406"/>
      <c r="T497" s="406"/>
      <c r="U497" s="406"/>
      <c r="V497" s="406"/>
      <c r="W497" s="406"/>
      <c r="X497" s="406"/>
      <c r="Y497" s="406"/>
      <c r="Z497" s="406"/>
    </row>
    <row r="498">
      <c r="A498" s="406"/>
      <c r="B498" s="406"/>
      <c r="C498" s="406"/>
      <c r="D498" s="406"/>
      <c r="E498" s="406"/>
      <c r="F498" s="406"/>
      <c r="G498" s="407"/>
      <c r="H498" s="406"/>
      <c r="I498" s="406"/>
      <c r="J498" s="406"/>
      <c r="K498" s="406"/>
      <c r="L498" s="406"/>
      <c r="M498" s="406"/>
      <c r="N498" s="406"/>
      <c r="O498" s="406"/>
      <c r="P498" s="406"/>
      <c r="Q498" s="406"/>
      <c r="R498" s="406"/>
      <c r="S498" s="406"/>
      <c r="T498" s="406"/>
      <c r="U498" s="406"/>
      <c r="V498" s="406"/>
      <c r="W498" s="406"/>
      <c r="X498" s="406"/>
      <c r="Y498" s="406"/>
      <c r="Z498" s="406"/>
    </row>
    <row r="499">
      <c r="A499" s="406"/>
      <c r="B499" s="406"/>
      <c r="C499" s="406"/>
      <c r="D499" s="406"/>
      <c r="E499" s="406"/>
      <c r="F499" s="406"/>
      <c r="G499" s="407"/>
      <c r="H499" s="406"/>
      <c r="I499" s="406"/>
      <c r="J499" s="406"/>
      <c r="K499" s="406"/>
      <c r="L499" s="406"/>
      <c r="M499" s="406"/>
      <c r="N499" s="406"/>
      <c r="O499" s="406"/>
      <c r="P499" s="406"/>
      <c r="Q499" s="406"/>
      <c r="R499" s="406"/>
      <c r="S499" s="406"/>
      <c r="T499" s="406"/>
      <c r="U499" s="406"/>
      <c r="V499" s="406"/>
      <c r="W499" s="406"/>
      <c r="X499" s="406"/>
      <c r="Y499" s="406"/>
      <c r="Z499" s="406"/>
    </row>
    <row r="500">
      <c r="A500" s="406"/>
      <c r="B500" s="406"/>
      <c r="C500" s="406"/>
      <c r="D500" s="406"/>
      <c r="E500" s="406"/>
      <c r="F500" s="406"/>
      <c r="G500" s="407"/>
      <c r="H500" s="406"/>
      <c r="I500" s="406"/>
      <c r="J500" s="406"/>
      <c r="K500" s="406"/>
      <c r="L500" s="406"/>
      <c r="M500" s="406"/>
      <c r="N500" s="406"/>
      <c r="O500" s="406"/>
      <c r="P500" s="406"/>
      <c r="Q500" s="406"/>
      <c r="R500" s="406"/>
      <c r="S500" s="406"/>
      <c r="T500" s="406"/>
      <c r="U500" s="406"/>
      <c r="V500" s="406"/>
      <c r="W500" s="406"/>
      <c r="X500" s="406"/>
      <c r="Y500" s="406"/>
      <c r="Z500" s="406"/>
    </row>
    <row r="501">
      <c r="A501" s="406"/>
      <c r="B501" s="406"/>
      <c r="C501" s="406"/>
      <c r="D501" s="406"/>
      <c r="E501" s="406"/>
      <c r="F501" s="406"/>
      <c r="G501" s="407"/>
      <c r="H501" s="406"/>
      <c r="I501" s="406"/>
      <c r="J501" s="406"/>
      <c r="K501" s="406"/>
      <c r="L501" s="406"/>
      <c r="M501" s="406"/>
      <c r="N501" s="406"/>
      <c r="O501" s="406"/>
      <c r="P501" s="406"/>
      <c r="Q501" s="406"/>
      <c r="R501" s="406"/>
      <c r="S501" s="406"/>
      <c r="T501" s="406"/>
      <c r="U501" s="406"/>
      <c r="V501" s="406"/>
      <c r="W501" s="406"/>
      <c r="X501" s="406"/>
      <c r="Y501" s="406"/>
      <c r="Z501" s="406"/>
    </row>
    <row r="502">
      <c r="A502" s="406"/>
      <c r="B502" s="406"/>
      <c r="C502" s="406"/>
      <c r="D502" s="406"/>
      <c r="E502" s="406"/>
      <c r="F502" s="406"/>
      <c r="G502" s="407"/>
      <c r="H502" s="406"/>
      <c r="I502" s="406"/>
      <c r="J502" s="406"/>
      <c r="K502" s="406"/>
      <c r="L502" s="406"/>
      <c r="M502" s="406"/>
      <c r="N502" s="406"/>
      <c r="O502" s="406"/>
      <c r="P502" s="406"/>
      <c r="Q502" s="406"/>
      <c r="R502" s="406"/>
      <c r="S502" s="406"/>
      <c r="T502" s="406"/>
      <c r="U502" s="406"/>
      <c r="V502" s="406"/>
      <c r="W502" s="406"/>
      <c r="X502" s="406"/>
      <c r="Y502" s="406"/>
      <c r="Z502" s="406"/>
    </row>
    <row r="503">
      <c r="A503" s="406"/>
      <c r="B503" s="406"/>
      <c r="C503" s="406"/>
      <c r="D503" s="406"/>
      <c r="E503" s="406"/>
      <c r="F503" s="406"/>
      <c r="G503" s="407"/>
      <c r="H503" s="406"/>
      <c r="I503" s="406"/>
      <c r="J503" s="406"/>
      <c r="K503" s="406"/>
      <c r="L503" s="406"/>
      <c r="M503" s="406"/>
      <c r="N503" s="406"/>
      <c r="O503" s="406"/>
      <c r="P503" s="406"/>
      <c r="Q503" s="406"/>
      <c r="R503" s="406"/>
      <c r="S503" s="406"/>
      <c r="T503" s="406"/>
      <c r="U503" s="406"/>
      <c r="V503" s="406"/>
      <c r="W503" s="406"/>
      <c r="X503" s="406"/>
      <c r="Y503" s="406"/>
      <c r="Z503" s="406"/>
    </row>
    <row r="504">
      <c r="A504" s="406"/>
      <c r="B504" s="406"/>
      <c r="C504" s="406"/>
      <c r="D504" s="406"/>
      <c r="E504" s="406"/>
      <c r="F504" s="406"/>
      <c r="G504" s="407"/>
      <c r="H504" s="406"/>
      <c r="I504" s="406"/>
      <c r="J504" s="406"/>
      <c r="K504" s="406"/>
      <c r="L504" s="406"/>
      <c r="M504" s="406"/>
      <c r="N504" s="406"/>
      <c r="O504" s="406"/>
      <c r="P504" s="406"/>
      <c r="Q504" s="406"/>
      <c r="R504" s="406"/>
      <c r="S504" s="406"/>
      <c r="T504" s="406"/>
      <c r="U504" s="406"/>
      <c r="V504" s="406"/>
      <c r="W504" s="406"/>
      <c r="X504" s="406"/>
      <c r="Y504" s="406"/>
      <c r="Z504" s="406"/>
    </row>
    <row r="505">
      <c r="A505" s="406"/>
      <c r="B505" s="406"/>
      <c r="C505" s="406"/>
      <c r="D505" s="406"/>
      <c r="E505" s="406"/>
      <c r="F505" s="406"/>
      <c r="G505" s="407"/>
      <c r="H505" s="406"/>
      <c r="I505" s="406"/>
      <c r="J505" s="406"/>
      <c r="K505" s="406"/>
      <c r="L505" s="406"/>
      <c r="M505" s="406"/>
      <c r="N505" s="406"/>
      <c r="O505" s="406"/>
      <c r="P505" s="406"/>
      <c r="Q505" s="406"/>
      <c r="R505" s="406"/>
      <c r="S505" s="406"/>
      <c r="T505" s="406"/>
      <c r="U505" s="406"/>
      <c r="V505" s="406"/>
      <c r="W505" s="406"/>
      <c r="X505" s="406"/>
      <c r="Y505" s="406"/>
      <c r="Z505" s="406"/>
    </row>
    <row r="506">
      <c r="A506" s="406"/>
      <c r="B506" s="406"/>
      <c r="C506" s="406"/>
      <c r="D506" s="406"/>
      <c r="E506" s="406"/>
      <c r="F506" s="406"/>
      <c r="G506" s="407"/>
      <c r="H506" s="406"/>
      <c r="I506" s="406"/>
      <c r="J506" s="406"/>
      <c r="K506" s="406"/>
      <c r="L506" s="406"/>
      <c r="M506" s="406"/>
      <c r="N506" s="406"/>
      <c r="O506" s="406"/>
      <c r="P506" s="406"/>
      <c r="Q506" s="406"/>
      <c r="R506" s="406"/>
      <c r="S506" s="406"/>
      <c r="T506" s="406"/>
      <c r="U506" s="406"/>
      <c r="V506" s="406"/>
      <c r="W506" s="406"/>
      <c r="X506" s="406"/>
      <c r="Y506" s="406"/>
      <c r="Z506" s="406"/>
    </row>
    <row r="507">
      <c r="A507" s="406"/>
      <c r="B507" s="406"/>
      <c r="C507" s="406"/>
      <c r="D507" s="406"/>
      <c r="E507" s="406"/>
      <c r="F507" s="406"/>
      <c r="G507" s="407"/>
      <c r="H507" s="406"/>
      <c r="I507" s="406"/>
      <c r="J507" s="406"/>
      <c r="K507" s="406"/>
      <c r="L507" s="406"/>
      <c r="M507" s="406"/>
      <c r="N507" s="406"/>
      <c r="O507" s="406"/>
      <c r="P507" s="406"/>
      <c r="Q507" s="406"/>
      <c r="R507" s="406"/>
      <c r="S507" s="406"/>
      <c r="T507" s="406"/>
      <c r="U507" s="406"/>
      <c r="V507" s="406"/>
      <c r="W507" s="406"/>
      <c r="X507" s="406"/>
      <c r="Y507" s="406"/>
      <c r="Z507" s="406"/>
    </row>
    <row r="508">
      <c r="A508" s="406"/>
      <c r="B508" s="406"/>
      <c r="C508" s="406"/>
      <c r="D508" s="406"/>
      <c r="E508" s="406"/>
      <c r="F508" s="406"/>
      <c r="G508" s="407"/>
      <c r="H508" s="406"/>
      <c r="I508" s="406"/>
      <c r="J508" s="406"/>
      <c r="K508" s="406"/>
      <c r="L508" s="406"/>
      <c r="M508" s="406"/>
      <c r="N508" s="406"/>
      <c r="O508" s="406"/>
      <c r="P508" s="406"/>
      <c r="Q508" s="406"/>
      <c r="R508" s="406"/>
      <c r="S508" s="406"/>
      <c r="T508" s="406"/>
      <c r="U508" s="406"/>
      <c r="V508" s="406"/>
      <c r="W508" s="406"/>
      <c r="X508" s="406"/>
      <c r="Y508" s="406"/>
      <c r="Z508" s="406"/>
    </row>
    <row r="509">
      <c r="A509" s="406"/>
      <c r="B509" s="406"/>
      <c r="C509" s="406"/>
      <c r="D509" s="406"/>
      <c r="E509" s="406"/>
      <c r="F509" s="406"/>
      <c r="G509" s="407"/>
      <c r="H509" s="406"/>
      <c r="I509" s="406"/>
      <c r="J509" s="406"/>
      <c r="K509" s="406"/>
      <c r="L509" s="406"/>
      <c r="M509" s="406"/>
      <c r="N509" s="406"/>
      <c r="O509" s="406"/>
      <c r="P509" s="406"/>
      <c r="Q509" s="406"/>
      <c r="R509" s="406"/>
      <c r="S509" s="406"/>
      <c r="T509" s="406"/>
      <c r="U509" s="406"/>
      <c r="V509" s="406"/>
      <c r="W509" s="406"/>
      <c r="X509" s="406"/>
      <c r="Y509" s="406"/>
      <c r="Z509" s="406"/>
    </row>
    <row r="510">
      <c r="A510" s="406"/>
      <c r="B510" s="406"/>
      <c r="C510" s="406"/>
      <c r="D510" s="406"/>
      <c r="E510" s="406"/>
      <c r="F510" s="406"/>
      <c r="G510" s="407"/>
      <c r="H510" s="406"/>
      <c r="I510" s="406"/>
      <c r="J510" s="406"/>
      <c r="K510" s="406"/>
      <c r="L510" s="406"/>
      <c r="M510" s="406"/>
      <c r="N510" s="406"/>
      <c r="O510" s="406"/>
      <c r="P510" s="406"/>
      <c r="Q510" s="406"/>
      <c r="R510" s="406"/>
      <c r="S510" s="406"/>
      <c r="T510" s="406"/>
      <c r="U510" s="406"/>
      <c r="V510" s="406"/>
      <c r="W510" s="406"/>
      <c r="X510" s="406"/>
      <c r="Y510" s="406"/>
      <c r="Z510" s="406"/>
    </row>
    <row r="511">
      <c r="A511" s="406"/>
      <c r="B511" s="406"/>
      <c r="C511" s="406"/>
      <c r="D511" s="406"/>
      <c r="E511" s="406"/>
      <c r="F511" s="406"/>
      <c r="G511" s="407"/>
      <c r="H511" s="406"/>
      <c r="I511" s="406"/>
      <c r="J511" s="406"/>
      <c r="K511" s="406"/>
      <c r="L511" s="406"/>
      <c r="M511" s="406"/>
      <c r="N511" s="406"/>
      <c r="O511" s="406"/>
      <c r="P511" s="406"/>
      <c r="Q511" s="406"/>
      <c r="R511" s="406"/>
      <c r="S511" s="406"/>
      <c r="T511" s="406"/>
      <c r="U511" s="406"/>
      <c r="V511" s="406"/>
      <c r="W511" s="406"/>
      <c r="X511" s="406"/>
      <c r="Y511" s="406"/>
      <c r="Z511" s="406"/>
    </row>
    <row r="512">
      <c r="A512" s="406"/>
      <c r="B512" s="406"/>
      <c r="C512" s="406"/>
      <c r="D512" s="406"/>
      <c r="E512" s="406"/>
      <c r="F512" s="406"/>
      <c r="G512" s="407"/>
      <c r="H512" s="406"/>
      <c r="I512" s="406"/>
      <c r="J512" s="406"/>
      <c r="K512" s="406"/>
      <c r="L512" s="406"/>
      <c r="M512" s="406"/>
      <c r="N512" s="406"/>
      <c r="O512" s="406"/>
      <c r="P512" s="406"/>
      <c r="Q512" s="406"/>
      <c r="R512" s="406"/>
      <c r="S512" s="406"/>
      <c r="T512" s="406"/>
      <c r="U512" s="406"/>
      <c r="V512" s="406"/>
      <c r="W512" s="406"/>
      <c r="X512" s="406"/>
      <c r="Y512" s="406"/>
      <c r="Z512" s="406"/>
    </row>
    <row r="513">
      <c r="A513" s="406"/>
      <c r="B513" s="406"/>
      <c r="C513" s="406"/>
      <c r="D513" s="406"/>
      <c r="E513" s="406"/>
      <c r="F513" s="406"/>
      <c r="G513" s="407"/>
      <c r="H513" s="406"/>
      <c r="I513" s="406"/>
      <c r="J513" s="406"/>
      <c r="K513" s="406"/>
      <c r="L513" s="406"/>
      <c r="M513" s="406"/>
      <c r="N513" s="406"/>
      <c r="O513" s="406"/>
      <c r="P513" s="406"/>
      <c r="Q513" s="406"/>
      <c r="R513" s="406"/>
      <c r="S513" s="406"/>
      <c r="T513" s="406"/>
      <c r="U513" s="406"/>
      <c r="V513" s="406"/>
      <c r="W513" s="406"/>
      <c r="X513" s="406"/>
      <c r="Y513" s="406"/>
      <c r="Z513" s="406"/>
    </row>
    <row r="514">
      <c r="A514" s="406"/>
      <c r="B514" s="406"/>
      <c r="C514" s="406"/>
      <c r="D514" s="406"/>
      <c r="E514" s="406"/>
      <c r="F514" s="406"/>
      <c r="G514" s="407"/>
      <c r="H514" s="406"/>
      <c r="I514" s="406"/>
      <c r="J514" s="406"/>
      <c r="K514" s="406"/>
      <c r="L514" s="406"/>
      <c r="M514" s="406"/>
      <c r="N514" s="406"/>
      <c r="O514" s="406"/>
      <c r="P514" s="406"/>
      <c r="Q514" s="406"/>
      <c r="R514" s="406"/>
      <c r="S514" s="406"/>
      <c r="T514" s="406"/>
      <c r="U514" s="406"/>
      <c r="V514" s="406"/>
      <c r="W514" s="406"/>
      <c r="X514" s="406"/>
      <c r="Y514" s="406"/>
      <c r="Z514" s="406"/>
    </row>
    <row r="515">
      <c r="A515" s="406"/>
      <c r="B515" s="406"/>
      <c r="C515" s="406"/>
      <c r="D515" s="406"/>
      <c r="E515" s="406"/>
      <c r="F515" s="406"/>
      <c r="G515" s="407"/>
      <c r="H515" s="406"/>
      <c r="I515" s="406"/>
      <c r="J515" s="406"/>
      <c r="K515" s="406"/>
      <c r="L515" s="406"/>
      <c r="M515" s="406"/>
      <c r="N515" s="406"/>
      <c r="O515" s="406"/>
      <c r="P515" s="406"/>
      <c r="Q515" s="406"/>
      <c r="R515" s="406"/>
      <c r="S515" s="406"/>
      <c r="T515" s="406"/>
      <c r="U515" s="406"/>
      <c r="V515" s="406"/>
      <c r="W515" s="406"/>
      <c r="X515" s="406"/>
      <c r="Y515" s="406"/>
      <c r="Z515" s="406"/>
    </row>
    <row r="516">
      <c r="A516" s="406"/>
      <c r="B516" s="406"/>
      <c r="C516" s="406"/>
      <c r="D516" s="406"/>
      <c r="E516" s="406"/>
      <c r="F516" s="406"/>
      <c r="G516" s="407"/>
      <c r="H516" s="406"/>
      <c r="I516" s="406"/>
      <c r="J516" s="406"/>
      <c r="K516" s="406"/>
      <c r="L516" s="406"/>
      <c r="M516" s="406"/>
      <c r="N516" s="406"/>
      <c r="O516" s="406"/>
      <c r="P516" s="406"/>
      <c r="Q516" s="406"/>
      <c r="R516" s="406"/>
      <c r="S516" s="406"/>
      <c r="T516" s="406"/>
      <c r="U516" s="406"/>
      <c r="V516" s="406"/>
      <c r="W516" s="406"/>
      <c r="X516" s="406"/>
      <c r="Y516" s="406"/>
      <c r="Z516" s="406"/>
    </row>
    <row r="517">
      <c r="A517" s="406"/>
      <c r="B517" s="406"/>
      <c r="C517" s="406"/>
      <c r="D517" s="406"/>
      <c r="E517" s="406"/>
      <c r="F517" s="406"/>
      <c r="G517" s="407"/>
      <c r="H517" s="406"/>
      <c r="I517" s="406"/>
      <c r="J517" s="406"/>
      <c r="K517" s="406"/>
      <c r="L517" s="406"/>
      <c r="M517" s="406"/>
      <c r="N517" s="406"/>
      <c r="O517" s="406"/>
      <c r="P517" s="406"/>
      <c r="Q517" s="406"/>
      <c r="R517" s="406"/>
      <c r="S517" s="406"/>
      <c r="T517" s="406"/>
      <c r="U517" s="406"/>
      <c r="V517" s="406"/>
      <c r="W517" s="406"/>
      <c r="X517" s="406"/>
      <c r="Y517" s="406"/>
      <c r="Z517" s="406"/>
    </row>
    <row r="518">
      <c r="A518" s="406"/>
      <c r="B518" s="406"/>
      <c r="C518" s="406"/>
      <c r="D518" s="406"/>
      <c r="E518" s="406"/>
      <c r="F518" s="406"/>
      <c r="G518" s="407"/>
      <c r="H518" s="406"/>
      <c r="I518" s="406"/>
      <c r="J518" s="406"/>
      <c r="K518" s="406"/>
      <c r="L518" s="406"/>
      <c r="M518" s="406"/>
      <c r="N518" s="406"/>
      <c r="O518" s="406"/>
      <c r="P518" s="406"/>
      <c r="Q518" s="406"/>
      <c r="R518" s="406"/>
      <c r="S518" s="406"/>
      <c r="T518" s="406"/>
      <c r="U518" s="406"/>
      <c r="V518" s="406"/>
      <c r="W518" s="406"/>
      <c r="X518" s="406"/>
      <c r="Y518" s="406"/>
      <c r="Z518" s="406"/>
    </row>
    <row r="519">
      <c r="A519" s="406"/>
      <c r="B519" s="406"/>
      <c r="C519" s="406"/>
      <c r="D519" s="406"/>
      <c r="E519" s="406"/>
      <c r="F519" s="406"/>
      <c r="G519" s="407"/>
      <c r="H519" s="406"/>
      <c r="I519" s="406"/>
      <c r="J519" s="406"/>
      <c r="K519" s="406"/>
      <c r="L519" s="406"/>
      <c r="M519" s="406"/>
      <c r="N519" s="406"/>
      <c r="O519" s="406"/>
      <c r="P519" s="406"/>
      <c r="Q519" s="406"/>
      <c r="R519" s="406"/>
      <c r="S519" s="406"/>
      <c r="T519" s="406"/>
      <c r="U519" s="406"/>
      <c r="V519" s="406"/>
      <c r="W519" s="406"/>
      <c r="X519" s="406"/>
      <c r="Y519" s="406"/>
      <c r="Z519" s="406"/>
    </row>
    <row r="520">
      <c r="A520" s="406"/>
      <c r="B520" s="406"/>
      <c r="C520" s="406"/>
      <c r="D520" s="406"/>
      <c r="E520" s="406"/>
      <c r="F520" s="406"/>
      <c r="G520" s="407"/>
      <c r="H520" s="406"/>
      <c r="I520" s="406"/>
      <c r="J520" s="406"/>
      <c r="K520" s="406"/>
      <c r="L520" s="406"/>
      <c r="M520" s="406"/>
      <c r="N520" s="406"/>
      <c r="O520" s="406"/>
      <c r="P520" s="406"/>
      <c r="Q520" s="406"/>
      <c r="R520" s="406"/>
      <c r="S520" s="406"/>
      <c r="T520" s="406"/>
      <c r="U520" s="406"/>
      <c r="V520" s="406"/>
      <c r="W520" s="406"/>
      <c r="X520" s="406"/>
      <c r="Y520" s="406"/>
      <c r="Z520" s="406"/>
    </row>
    <row r="521">
      <c r="A521" s="406"/>
      <c r="B521" s="406"/>
      <c r="C521" s="406"/>
      <c r="D521" s="406"/>
      <c r="E521" s="406"/>
      <c r="F521" s="406"/>
      <c r="G521" s="407"/>
      <c r="H521" s="406"/>
      <c r="I521" s="406"/>
      <c r="J521" s="406"/>
      <c r="K521" s="406"/>
      <c r="L521" s="406"/>
      <c r="M521" s="406"/>
      <c r="N521" s="406"/>
      <c r="O521" s="406"/>
      <c r="P521" s="406"/>
      <c r="Q521" s="406"/>
      <c r="R521" s="406"/>
      <c r="S521" s="406"/>
      <c r="T521" s="406"/>
      <c r="U521" s="406"/>
      <c r="V521" s="406"/>
      <c r="W521" s="406"/>
      <c r="X521" s="406"/>
      <c r="Y521" s="406"/>
      <c r="Z521" s="406"/>
    </row>
    <row r="522">
      <c r="A522" s="406"/>
      <c r="B522" s="406"/>
      <c r="C522" s="406"/>
      <c r="D522" s="406"/>
      <c r="E522" s="406"/>
      <c r="F522" s="406"/>
      <c r="G522" s="407"/>
      <c r="H522" s="406"/>
      <c r="I522" s="406"/>
      <c r="J522" s="406"/>
      <c r="K522" s="406"/>
      <c r="L522" s="406"/>
      <c r="M522" s="406"/>
      <c r="N522" s="406"/>
      <c r="O522" s="406"/>
      <c r="P522" s="406"/>
      <c r="Q522" s="406"/>
      <c r="R522" s="406"/>
      <c r="S522" s="406"/>
      <c r="T522" s="406"/>
      <c r="U522" s="406"/>
      <c r="V522" s="406"/>
      <c r="W522" s="406"/>
      <c r="X522" s="406"/>
      <c r="Y522" s="406"/>
      <c r="Z522" s="406"/>
    </row>
    <row r="523">
      <c r="A523" s="406"/>
      <c r="B523" s="406"/>
      <c r="C523" s="406"/>
      <c r="D523" s="406"/>
      <c r="E523" s="406"/>
      <c r="F523" s="406"/>
      <c r="G523" s="407"/>
      <c r="H523" s="406"/>
      <c r="I523" s="406"/>
      <c r="J523" s="406"/>
      <c r="K523" s="406"/>
      <c r="L523" s="406"/>
      <c r="M523" s="406"/>
      <c r="N523" s="406"/>
      <c r="O523" s="406"/>
      <c r="P523" s="406"/>
      <c r="Q523" s="406"/>
      <c r="R523" s="406"/>
      <c r="S523" s="406"/>
      <c r="T523" s="406"/>
      <c r="U523" s="406"/>
      <c r="V523" s="406"/>
      <c r="W523" s="406"/>
      <c r="X523" s="406"/>
      <c r="Y523" s="406"/>
      <c r="Z523" s="406"/>
    </row>
    <row r="524">
      <c r="A524" s="406"/>
      <c r="B524" s="406"/>
      <c r="C524" s="406"/>
      <c r="D524" s="406"/>
      <c r="E524" s="406"/>
      <c r="F524" s="406"/>
      <c r="G524" s="407"/>
      <c r="H524" s="406"/>
      <c r="I524" s="406"/>
      <c r="J524" s="406"/>
      <c r="K524" s="406"/>
      <c r="L524" s="406"/>
      <c r="M524" s="406"/>
      <c r="N524" s="406"/>
      <c r="O524" s="406"/>
      <c r="P524" s="406"/>
      <c r="Q524" s="406"/>
      <c r="R524" s="406"/>
      <c r="S524" s="406"/>
      <c r="T524" s="406"/>
      <c r="U524" s="406"/>
      <c r="V524" s="406"/>
      <c r="W524" s="406"/>
      <c r="X524" s="406"/>
      <c r="Y524" s="406"/>
      <c r="Z524" s="406"/>
    </row>
    <row r="525">
      <c r="A525" s="406"/>
      <c r="B525" s="406"/>
      <c r="C525" s="406"/>
      <c r="D525" s="406"/>
      <c r="E525" s="406"/>
      <c r="F525" s="406"/>
      <c r="G525" s="407"/>
      <c r="H525" s="406"/>
      <c r="I525" s="406"/>
      <c r="J525" s="406"/>
      <c r="K525" s="406"/>
      <c r="L525" s="406"/>
      <c r="M525" s="406"/>
      <c r="N525" s="406"/>
      <c r="O525" s="406"/>
      <c r="P525" s="406"/>
      <c r="Q525" s="406"/>
      <c r="R525" s="406"/>
      <c r="S525" s="406"/>
      <c r="T525" s="406"/>
      <c r="U525" s="406"/>
      <c r="V525" s="406"/>
      <c r="W525" s="406"/>
      <c r="X525" s="406"/>
      <c r="Y525" s="406"/>
      <c r="Z525" s="406"/>
    </row>
    <row r="526">
      <c r="A526" s="406"/>
      <c r="B526" s="406"/>
      <c r="C526" s="406"/>
      <c r="D526" s="406"/>
      <c r="E526" s="406"/>
      <c r="F526" s="406"/>
      <c r="G526" s="407"/>
      <c r="H526" s="406"/>
      <c r="I526" s="406"/>
      <c r="J526" s="406"/>
      <c r="K526" s="406"/>
      <c r="L526" s="406"/>
      <c r="M526" s="406"/>
      <c r="N526" s="406"/>
      <c r="O526" s="406"/>
      <c r="P526" s="406"/>
      <c r="Q526" s="406"/>
      <c r="R526" s="406"/>
      <c r="S526" s="406"/>
      <c r="T526" s="406"/>
      <c r="U526" s="406"/>
      <c r="V526" s="406"/>
      <c r="W526" s="406"/>
      <c r="X526" s="406"/>
      <c r="Y526" s="406"/>
      <c r="Z526" s="406"/>
    </row>
    <row r="527">
      <c r="A527" s="406"/>
      <c r="B527" s="406"/>
      <c r="C527" s="406"/>
      <c r="D527" s="406"/>
      <c r="E527" s="406"/>
      <c r="F527" s="406"/>
      <c r="G527" s="407"/>
      <c r="H527" s="406"/>
      <c r="I527" s="406"/>
      <c r="J527" s="406"/>
      <c r="K527" s="406"/>
      <c r="L527" s="406"/>
      <c r="M527" s="406"/>
      <c r="N527" s="406"/>
      <c r="O527" s="406"/>
      <c r="P527" s="406"/>
      <c r="Q527" s="406"/>
      <c r="R527" s="406"/>
      <c r="S527" s="406"/>
      <c r="T527" s="406"/>
      <c r="U527" s="406"/>
      <c r="V527" s="406"/>
      <c r="W527" s="406"/>
      <c r="X527" s="406"/>
      <c r="Y527" s="406"/>
      <c r="Z527" s="406"/>
    </row>
    <row r="528">
      <c r="A528" s="406"/>
      <c r="B528" s="406"/>
      <c r="C528" s="406"/>
      <c r="D528" s="406"/>
      <c r="E528" s="406"/>
      <c r="F528" s="406"/>
      <c r="G528" s="407"/>
      <c r="H528" s="406"/>
      <c r="I528" s="406"/>
      <c r="J528" s="406"/>
      <c r="K528" s="406"/>
      <c r="L528" s="406"/>
      <c r="M528" s="406"/>
      <c r="N528" s="406"/>
      <c r="O528" s="406"/>
      <c r="P528" s="406"/>
      <c r="Q528" s="406"/>
      <c r="R528" s="406"/>
      <c r="S528" s="406"/>
      <c r="T528" s="406"/>
      <c r="U528" s="406"/>
      <c r="V528" s="406"/>
      <c r="W528" s="406"/>
      <c r="X528" s="406"/>
      <c r="Y528" s="406"/>
      <c r="Z528" s="406"/>
    </row>
    <row r="529">
      <c r="A529" s="406"/>
      <c r="B529" s="406"/>
      <c r="C529" s="406"/>
      <c r="D529" s="406"/>
      <c r="E529" s="406"/>
      <c r="F529" s="406"/>
      <c r="G529" s="407"/>
      <c r="H529" s="406"/>
      <c r="I529" s="406"/>
      <c r="J529" s="406"/>
      <c r="K529" s="406"/>
      <c r="L529" s="406"/>
      <c r="M529" s="406"/>
      <c r="N529" s="406"/>
      <c r="O529" s="406"/>
      <c r="P529" s="406"/>
      <c r="Q529" s="406"/>
      <c r="R529" s="406"/>
      <c r="S529" s="406"/>
      <c r="T529" s="406"/>
      <c r="U529" s="406"/>
      <c r="V529" s="406"/>
      <c r="W529" s="406"/>
      <c r="X529" s="406"/>
      <c r="Y529" s="406"/>
      <c r="Z529" s="406"/>
    </row>
    <row r="530">
      <c r="A530" s="406"/>
      <c r="B530" s="406"/>
      <c r="C530" s="406"/>
      <c r="D530" s="406"/>
      <c r="E530" s="406"/>
      <c r="F530" s="406"/>
      <c r="G530" s="407"/>
      <c r="H530" s="406"/>
      <c r="I530" s="406"/>
      <c r="J530" s="406"/>
      <c r="K530" s="406"/>
      <c r="L530" s="406"/>
      <c r="M530" s="406"/>
      <c r="N530" s="406"/>
      <c r="O530" s="406"/>
      <c r="P530" s="406"/>
      <c r="Q530" s="406"/>
      <c r="R530" s="406"/>
      <c r="S530" s="406"/>
      <c r="T530" s="406"/>
      <c r="U530" s="406"/>
      <c r="V530" s="406"/>
      <c r="W530" s="406"/>
      <c r="X530" s="406"/>
      <c r="Y530" s="406"/>
      <c r="Z530" s="406"/>
    </row>
    <row r="531">
      <c r="A531" s="406"/>
      <c r="B531" s="406"/>
      <c r="C531" s="406"/>
      <c r="D531" s="406"/>
      <c r="E531" s="406"/>
      <c r="F531" s="406"/>
      <c r="G531" s="407"/>
      <c r="H531" s="406"/>
      <c r="I531" s="406"/>
      <c r="J531" s="406"/>
      <c r="K531" s="406"/>
      <c r="L531" s="406"/>
      <c r="M531" s="406"/>
      <c r="N531" s="406"/>
      <c r="O531" s="406"/>
      <c r="P531" s="406"/>
      <c r="Q531" s="406"/>
      <c r="R531" s="406"/>
      <c r="S531" s="406"/>
      <c r="T531" s="406"/>
      <c r="U531" s="406"/>
      <c r="V531" s="406"/>
      <c r="W531" s="406"/>
      <c r="X531" s="406"/>
      <c r="Y531" s="406"/>
      <c r="Z531" s="406"/>
    </row>
    <row r="532">
      <c r="A532" s="406"/>
      <c r="B532" s="406"/>
      <c r="C532" s="406"/>
      <c r="D532" s="406"/>
      <c r="E532" s="406"/>
      <c r="F532" s="406"/>
      <c r="G532" s="407"/>
      <c r="H532" s="406"/>
      <c r="I532" s="406"/>
      <c r="J532" s="406"/>
      <c r="K532" s="406"/>
      <c r="L532" s="406"/>
      <c r="M532" s="406"/>
      <c r="N532" s="406"/>
      <c r="O532" s="406"/>
      <c r="P532" s="406"/>
      <c r="Q532" s="406"/>
      <c r="R532" s="406"/>
      <c r="S532" s="406"/>
      <c r="T532" s="406"/>
      <c r="U532" s="406"/>
      <c r="V532" s="406"/>
      <c r="W532" s="406"/>
      <c r="X532" s="406"/>
      <c r="Y532" s="406"/>
      <c r="Z532" s="406"/>
    </row>
    <row r="533">
      <c r="A533" s="406"/>
      <c r="B533" s="406"/>
      <c r="C533" s="406"/>
      <c r="D533" s="406"/>
      <c r="E533" s="406"/>
      <c r="F533" s="406"/>
      <c r="G533" s="407"/>
      <c r="H533" s="406"/>
      <c r="I533" s="406"/>
      <c r="J533" s="406"/>
      <c r="K533" s="406"/>
      <c r="L533" s="406"/>
      <c r="M533" s="406"/>
      <c r="N533" s="406"/>
      <c r="O533" s="406"/>
      <c r="P533" s="406"/>
      <c r="Q533" s="406"/>
      <c r="R533" s="406"/>
      <c r="S533" s="406"/>
      <c r="T533" s="406"/>
      <c r="U533" s="406"/>
      <c r="V533" s="406"/>
      <c r="W533" s="406"/>
      <c r="X533" s="406"/>
      <c r="Y533" s="406"/>
      <c r="Z533" s="406"/>
    </row>
    <row r="534">
      <c r="A534" s="406"/>
      <c r="B534" s="406"/>
      <c r="C534" s="406"/>
      <c r="D534" s="406"/>
      <c r="E534" s="406"/>
      <c r="F534" s="406"/>
      <c r="G534" s="407"/>
      <c r="H534" s="406"/>
      <c r="I534" s="406"/>
      <c r="J534" s="406"/>
      <c r="K534" s="406"/>
      <c r="L534" s="406"/>
      <c r="M534" s="406"/>
      <c r="N534" s="406"/>
      <c r="O534" s="406"/>
      <c r="P534" s="406"/>
      <c r="Q534" s="406"/>
      <c r="R534" s="406"/>
      <c r="S534" s="406"/>
      <c r="T534" s="406"/>
      <c r="U534" s="406"/>
      <c r="V534" s="406"/>
      <c r="W534" s="406"/>
      <c r="X534" s="406"/>
      <c r="Y534" s="406"/>
      <c r="Z534" s="406"/>
    </row>
    <row r="535">
      <c r="A535" s="406"/>
      <c r="B535" s="406"/>
      <c r="C535" s="406"/>
      <c r="D535" s="406"/>
      <c r="E535" s="406"/>
      <c r="F535" s="406"/>
      <c r="G535" s="407"/>
      <c r="H535" s="406"/>
      <c r="I535" s="406"/>
      <c r="J535" s="406"/>
      <c r="K535" s="406"/>
      <c r="L535" s="406"/>
      <c r="M535" s="406"/>
      <c r="N535" s="406"/>
      <c r="O535" s="406"/>
      <c r="P535" s="406"/>
      <c r="Q535" s="406"/>
      <c r="R535" s="406"/>
      <c r="S535" s="406"/>
      <c r="T535" s="406"/>
      <c r="U535" s="406"/>
      <c r="V535" s="406"/>
      <c r="W535" s="406"/>
      <c r="X535" s="406"/>
      <c r="Y535" s="406"/>
      <c r="Z535" s="406"/>
    </row>
    <row r="536">
      <c r="A536" s="406"/>
      <c r="B536" s="406"/>
      <c r="C536" s="406"/>
      <c r="D536" s="406"/>
      <c r="E536" s="406"/>
      <c r="F536" s="406"/>
      <c r="G536" s="407"/>
      <c r="H536" s="406"/>
      <c r="I536" s="406"/>
      <c r="J536" s="406"/>
      <c r="K536" s="406"/>
      <c r="L536" s="406"/>
      <c r="M536" s="406"/>
      <c r="N536" s="406"/>
      <c r="O536" s="406"/>
      <c r="P536" s="406"/>
      <c r="Q536" s="406"/>
      <c r="R536" s="406"/>
      <c r="S536" s="406"/>
      <c r="T536" s="406"/>
      <c r="U536" s="406"/>
      <c r="V536" s="406"/>
      <c r="W536" s="406"/>
      <c r="X536" s="406"/>
      <c r="Y536" s="406"/>
      <c r="Z536" s="406"/>
    </row>
    <row r="537">
      <c r="A537" s="406"/>
      <c r="B537" s="406"/>
      <c r="C537" s="406"/>
      <c r="D537" s="406"/>
      <c r="E537" s="406"/>
      <c r="F537" s="406"/>
      <c r="G537" s="407"/>
      <c r="H537" s="406"/>
      <c r="I537" s="406"/>
      <c r="J537" s="406"/>
      <c r="K537" s="406"/>
      <c r="L537" s="406"/>
      <c r="M537" s="406"/>
      <c r="N537" s="406"/>
      <c r="O537" s="406"/>
      <c r="P537" s="406"/>
      <c r="Q537" s="406"/>
      <c r="R537" s="406"/>
      <c r="S537" s="406"/>
      <c r="T537" s="406"/>
      <c r="U537" s="406"/>
      <c r="V537" s="406"/>
      <c r="W537" s="406"/>
      <c r="X537" s="406"/>
      <c r="Y537" s="406"/>
      <c r="Z537" s="406"/>
    </row>
    <row r="538">
      <c r="A538" s="406"/>
      <c r="B538" s="406"/>
      <c r="C538" s="406"/>
      <c r="D538" s="406"/>
      <c r="E538" s="406"/>
      <c r="F538" s="406"/>
      <c r="G538" s="407"/>
      <c r="H538" s="406"/>
      <c r="I538" s="406"/>
      <c r="J538" s="406"/>
      <c r="K538" s="406"/>
      <c r="L538" s="406"/>
      <c r="M538" s="406"/>
      <c r="N538" s="406"/>
      <c r="O538" s="406"/>
      <c r="P538" s="406"/>
      <c r="Q538" s="406"/>
      <c r="R538" s="406"/>
      <c r="S538" s="406"/>
      <c r="T538" s="406"/>
      <c r="U538" s="406"/>
      <c r="V538" s="406"/>
      <c r="W538" s="406"/>
      <c r="X538" s="406"/>
      <c r="Y538" s="406"/>
      <c r="Z538" s="406"/>
    </row>
    <row r="539">
      <c r="A539" s="406"/>
      <c r="B539" s="406"/>
      <c r="C539" s="406"/>
      <c r="D539" s="406"/>
      <c r="E539" s="406"/>
      <c r="F539" s="406"/>
      <c r="G539" s="407"/>
      <c r="H539" s="406"/>
      <c r="I539" s="406"/>
      <c r="J539" s="406"/>
      <c r="K539" s="406"/>
      <c r="L539" s="406"/>
      <c r="M539" s="406"/>
      <c r="N539" s="406"/>
      <c r="O539" s="406"/>
      <c r="P539" s="406"/>
      <c r="Q539" s="406"/>
      <c r="R539" s="406"/>
      <c r="S539" s="406"/>
      <c r="T539" s="406"/>
      <c r="U539" s="406"/>
      <c r="V539" s="406"/>
      <c r="W539" s="406"/>
      <c r="X539" s="406"/>
      <c r="Y539" s="406"/>
      <c r="Z539" s="406"/>
    </row>
    <row r="540">
      <c r="A540" s="406"/>
      <c r="B540" s="406"/>
      <c r="C540" s="406"/>
      <c r="D540" s="406"/>
      <c r="E540" s="406"/>
      <c r="F540" s="406"/>
      <c r="G540" s="407"/>
      <c r="H540" s="406"/>
      <c r="I540" s="406"/>
      <c r="J540" s="406"/>
      <c r="K540" s="406"/>
      <c r="L540" s="406"/>
      <c r="M540" s="406"/>
      <c r="N540" s="406"/>
      <c r="O540" s="406"/>
      <c r="P540" s="406"/>
      <c r="Q540" s="406"/>
      <c r="R540" s="406"/>
      <c r="S540" s="406"/>
      <c r="T540" s="406"/>
      <c r="U540" s="406"/>
      <c r="V540" s="406"/>
      <c r="W540" s="406"/>
      <c r="X540" s="406"/>
      <c r="Y540" s="406"/>
      <c r="Z540" s="406"/>
    </row>
    <row r="541">
      <c r="A541" s="406"/>
      <c r="B541" s="406"/>
      <c r="C541" s="406"/>
      <c r="D541" s="406"/>
      <c r="E541" s="406"/>
      <c r="F541" s="406"/>
      <c r="G541" s="407"/>
      <c r="H541" s="406"/>
      <c r="I541" s="406"/>
      <c r="J541" s="406"/>
      <c r="K541" s="406"/>
      <c r="L541" s="406"/>
      <c r="M541" s="406"/>
      <c r="N541" s="406"/>
      <c r="O541" s="406"/>
      <c r="P541" s="406"/>
      <c r="Q541" s="406"/>
      <c r="R541" s="406"/>
      <c r="S541" s="406"/>
      <c r="T541" s="406"/>
      <c r="U541" s="406"/>
      <c r="V541" s="406"/>
      <c r="W541" s="406"/>
      <c r="X541" s="406"/>
      <c r="Y541" s="406"/>
      <c r="Z541" s="406"/>
    </row>
    <row r="542">
      <c r="A542" s="406"/>
      <c r="B542" s="406"/>
      <c r="C542" s="406"/>
      <c r="D542" s="406"/>
      <c r="E542" s="406"/>
      <c r="F542" s="406"/>
      <c r="G542" s="407"/>
      <c r="H542" s="406"/>
      <c r="I542" s="406"/>
      <c r="J542" s="406"/>
      <c r="K542" s="406"/>
      <c r="L542" s="406"/>
      <c r="M542" s="406"/>
      <c r="N542" s="406"/>
      <c r="O542" s="406"/>
      <c r="P542" s="406"/>
      <c r="Q542" s="406"/>
      <c r="R542" s="406"/>
      <c r="S542" s="406"/>
      <c r="T542" s="406"/>
      <c r="U542" s="406"/>
      <c r="V542" s="406"/>
      <c r="W542" s="406"/>
      <c r="X542" s="406"/>
      <c r="Y542" s="406"/>
      <c r="Z542" s="406"/>
    </row>
    <row r="543">
      <c r="A543" s="406"/>
      <c r="B543" s="406"/>
      <c r="C543" s="406"/>
      <c r="D543" s="406"/>
      <c r="E543" s="406"/>
      <c r="F543" s="406"/>
      <c r="G543" s="407"/>
      <c r="H543" s="406"/>
      <c r="I543" s="406"/>
      <c r="J543" s="406"/>
      <c r="K543" s="406"/>
      <c r="L543" s="406"/>
      <c r="M543" s="406"/>
      <c r="N543" s="406"/>
      <c r="O543" s="406"/>
      <c r="P543" s="406"/>
      <c r="Q543" s="406"/>
      <c r="R543" s="406"/>
      <c r="S543" s="406"/>
      <c r="T543" s="406"/>
      <c r="U543" s="406"/>
      <c r="V543" s="406"/>
      <c r="W543" s="406"/>
      <c r="X543" s="406"/>
      <c r="Y543" s="406"/>
      <c r="Z543" s="406"/>
    </row>
    <row r="544">
      <c r="A544" s="406"/>
      <c r="B544" s="406"/>
      <c r="C544" s="406"/>
      <c r="D544" s="406"/>
      <c r="E544" s="406"/>
      <c r="F544" s="406"/>
      <c r="G544" s="407"/>
      <c r="H544" s="406"/>
      <c r="I544" s="406"/>
      <c r="J544" s="406"/>
      <c r="K544" s="406"/>
      <c r="L544" s="406"/>
      <c r="M544" s="406"/>
      <c r="N544" s="406"/>
      <c r="O544" s="406"/>
      <c r="P544" s="406"/>
      <c r="Q544" s="406"/>
      <c r="R544" s="406"/>
      <c r="S544" s="406"/>
      <c r="T544" s="406"/>
      <c r="U544" s="406"/>
      <c r="V544" s="406"/>
      <c r="W544" s="406"/>
      <c r="X544" s="406"/>
      <c r="Y544" s="406"/>
      <c r="Z544" s="406"/>
    </row>
    <row r="545">
      <c r="A545" s="406"/>
      <c r="B545" s="406"/>
      <c r="C545" s="406"/>
      <c r="D545" s="406"/>
      <c r="E545" s="406"/>
      <c r="F545" s="406"/>
      <c r="G545" s="407"/>
      <c r="H545" s="406"/>
      <c r="I545" s="406"/>
      <c r="J545" s="406"/>
      <c r="K545" s="406"/>
      <c r="L545" s="406"/>
      <c r="M545" s="406"/>
      <c r="N545" s="406"/>
      <c r="O545" s="406"/>
      <c r="P545" s="406"/>
      <c r="Q545" s="406"/>
      <c r="R545" s="406"/>
      <c r="S545" s="406"/>
      <c r="T545" s="406"/>
      <c r="U545" s="406"/>
      <c r="V545" s="406"/>
      <c r="W545" s="406"/>
      <c r="X545" s="406"/>
      <c r="Y545" s="406"/>
      <c r="Z545" s="406"/>
    </row>
    <row r="546">
      <c r="A546" s="406"/>
      <c r="B546" s="406"/>
      <c r="C546" s="406"/>
      <c r="D546" s="406"/>
      <c r="E546" s="406"/>
      <c r="F546" s="406"/>
      <c r="G546" s="407"/>
      <c r="H546" s="406"/>
      <c r="I546" s="406"/>
      <c r="J546" s="406"/>
      <c r="K546" s="406"/>
      <c r="L546" s="406"/>
      <c r="M546" s="406"/>
      <c r="N546" s="406"/>
      <c r="O546" s="406"/>
      <c r="P546" s="406"/>
      <c r="Q546" s="406"/>
      <c r="R546" s="406"/>
      <c r="S546" s="406"/>
      <c r="T546" s="406"/>
      <c r="U546" s="406"/>
      <c r="V546" s="406"/>
      <c r="W546" s="406"/>
      <c r="X546" s="406"/>
      <c r="Y546" s="406"/>
      <c r="Z546" s="406"/>
    </row>
    <row r="547">
      <c r="A547" s="406"/>
      <c r="B547" s="406"/>
      <c r="C547" s="406"/>
      <c r="D547" s="406"/>
      <c r="E547" s="406"/>
      <c r="F547" s="406"/>
      <c r="G547" s="407"/>
      <c r="H547" s="406"/>
      <c r="I547" s="406"/>
      <c r="J547" s="406"/>
      <c r="K547" s="406"/>
      <c r="L547" s="406"/>
      <c r="M547" s="406"/>
      <c r="N547" s="406"/>
      <c r="O547" s="406"/>
      <c r="P547" s="406"/>
      <c r="Q547" s="406"/>
      <c r="R547" s="406"/>
      <c r="S547" s="406"/>
      <c r="T547" s="406"/>
      <c r="U547" s="406"/>
      <c r="V547" s="406"/>
      <c r="W547" s="406"/>
      <c r="X547" s="406"/>
      <c r="Y547" s="406"/>
      <c r="Z547" s="406"/>
    </row>
    <row r="548">
      <c r="A548" s="406"/>
      <c r="B548" s="406"/>
      <c r="C548" s="406"/>
      <c r="D548" s="406"/>
      <c r="E548" s="406"/>
      <c r="F548" s="406"/>
      <c r="G548" s="407"/>
      <c r="H548" s="406"/>
      <c r="I548" s="406"/>
      <c r="J548" s="406"/>
      <c r="K548" s="406"/>
      <c r="L548" s="406"/>
      <c r="M548" s="406"/>
      <c r="N548" s="406"/>
      <c r="O548" s="406"/>
      <c r="P548" s="406"/>
      <c r="Q548" s="406"/>
      <c r="R548" s="406"/>
      <c r="S548" s="406"/>
      <c r="T548" s="406"/>
      <c r="U548" s="406"/>
      <c r="V548" s="406"/>
      <c r="W548" s="406"/>
      <c r="X548" s="406"/>
      <c r="Y548" s="406"/>
      <c r="Z548" s="406"/>
    </row>
    <row r="549">
      <c r="A549" s="406"/>
      <c r="B549" s="406"/>
      <c r="C549" s="406"/>
      <c r="D549" s="406"/>
      <c r="E549" s="406"/>
      <c r="F549" s="406"/>
      <c r="G549" s="407"/>
      <c r="H549" s="406"/>
      <c r="I549" s="406"/>
      <c r="J549" s="406"/>
      <c r="K549" s="406"/>
      <c r="L549" s="406"/>
      <c r="M549" s="406"/>
      <c r="N549" s="406"/>
      <c r="O549" s="406"/>
      <c r="P549" s="406"/>
      <c r="Q549" s="406"/>
      <c r="R549" s="406"/>
      <c r="S549" s="406"/>
      <c r="T549" s="406"/>
      <c r="U549" s="406"/>
      <c r="V549" s="406"/>
      <c r="W549" s="406"/>
      <c r="X549" s="406"/>
      <c r="Y549" s="406"/>
      <c r="Z549" s="406"/>
    </row>
    <row r="550">
      <c r="A550" s="406"/>
      <c r="B550" s="406"/>
      <c r="C550" s="406"/>
      <c r="D550" s="406"/>
      <c r="E550" s="406"/>
      <c r="F550" s="406"/>
      <c r="G550" s="407"/>
      <c r="H550" s="406"/>
      <c r="I550" s="406"/>
      <c r="J550" s="406"/>
      <c r="K550" s="406"/>
      <c r="L550" s="406"/>
      <c r="M550" s="406"/>
      <c r="N550" s="406"/>
      <c r="O550" s="406"/>
      <c r="P550" s="406"/>
      <c r="Q550" s="406"/>
      <c r="R550" s="406"/>
      <c r="S550" s="406"/>
      <c r="T550" s="406"/>
      <c r="U550" s="406"/>
      <c r="V550" s="406"/>
      <c r="W550" s="406"/>
      <c r="X550" s="406"/>
      <c r="Y550" s="406"/>
      <c r="Z550" s="406"/>
    </row>
    <row r="551">
      <c r="A551" s="406"/>
      <c r="B551" s="406"/>
      <c r="C551" s="406"/>
      <c r="D551" s="406"/>
      <c r="E551" s="406"/>
      <c r="F551" s="406"/>
      <c r="G551" s="407"/>
      <c r="H551" s="406"/>
      <c r="I551" s="406"/>
      <c r="J551" s="406"/>
      <c r="K551" s="406"/>
      <c r="L551" s="406"/>
      <c r="M551" s="406"/>
      <c r="N551" s="406"/>
      <c r="O551" s="406"/>
      <c r="P551" s="406"/>
      <c r="Q551" s="406"/>
      <c r="R551" s="406"/>
      <c r="S551" s="406"/>
      <c r="T551" s="406"/>
      <c r="U551" s="406"/>
      <c r="V551" s="406"/>
      <c r="W551" s="406"/>
      <c r="X551" s="406"/>
      <c r="Y551" s="406"/>
      <c r="Z551" s="406"/>
    </row>
    <row r="552">
      <c r="A552" s="406"/>
      <c r="B552" s="406"/>
      <c r="C552" s="406"/>
      <c r="D552" s="406"/>
      <c r="E552" s="406"/>
      <c r="F552" s="406"/>
      <c r="G552" s="407"/>
      <c r="H552" s="406"/>
      <c r="I552" s="406"/>
      <c r="J552" s="406"/>
      <c r="K552" s="406"/>
      <c r="L552" s="406"/>
      <c r="M552" s="406"/>
      <c r="N552" s="406"/>
      <c r="O552" s="406"/>
      <c r="P552" s="406"/>
      <c r="Q552" s="406"/>
      <c r="R552" s="406"/>
      <c r="S552" s="406"/>
      <c r="T552" s="406"/>
      <c r="U552" s="406"/>
      <c r="V552" s="406"/>
      <c r="W552" s="406"/>
      <c r="X552" s="406"/>
      <c r="Y552" s="406"/>
      <c r="Z552" s="406"/>
    </row>
    <row r="553">
      <c r="A553" s="406"/>
      <c r="B553" s="406"/>
      <c r="C553" s="406"/>
      <c r="D553" s="406"/>
      <c r="E553" s="406"/>
      <c r="F553" s="406"/>
      <c r="G553" s="407"/>
      <c r="H553" s="406"/>
      <c r="I553" s="406"/>
      <c r="J553" s="406"/>
      <c r="K553" s="406"/>
      <c r="L553" s="406"/>
      <c r="M553" s="406"/>
      <c r="N553" s="406"/>
      <c r="O553" s="406"/>
      <c r="P553" s="406"/>
      <c r="Q553" s="406"/>
      <c r="R553" s="406"/>
      <c r="S553" s="406"/>
      <c r="T553" s="406"/>
      <c r="U553" s="406"/>
      <c r="V553" s="406"/>
      <c r="W553" s="406"/>
      <c r="X553" s="406"/>
      <c r="Y553" s="406"/>
      <c r="Z553" s="406"/>
    </row>
    <row r="554">
      <c r="A554" s="406"/>
      <c r="B554" s="406"/>
      <c r="C554" s="406"/>
      <c r="D554" s="406"/>
      <c r="E554" s="406"/>
      <c r="F554" s="406"/>
      <c r="G554" s="407"/>
      <c r="H554" s="406"/>
      <c r="I554" s="406"/>
      <c r="J554" s="406"/>
      <c r="K554" s="406"/>
      <c r="L554" s="406"/>
      <c r="M554" s="406"/>
      <c r="N554" s="406"/>
      <c r="O554" s="406"/>
      <c r="P554" s="406"/>
      <c r="Q554" s="406"/>
      <c r="R554" s="406"/>
      <c r="S554" s="406"/>
      <c r="T554" s="406"/>
      <c r="U554" s="406"/>
      <c r="V554" s="406"/>
      <c r="W554" s="406"/>
      <c r="X554" s="406"/>
      <c r="Y554" s="406"/>
      <c r="Z554" s="406"/>
    </row>
    <row r="555">
      <c r="A555" s="406"/>
      <c r="B555" s="406"/>
      <c r="C555" s="406"/>
      <c r="D555" s="406"/>
      <c r="E555" s="406"/>
      <c r="F555" s="406"/>
      <c r="G555" s="407"/>
      <c r="H555" s="406"/>
      <c r="I555" s="406"/>
      <c r="J555" s="406"/>
      <c r="K555" s="406"/>
      <c r="L555" s="406"/>
      <c r="M555" s="406"/>
      <c r="N555" s="406"/>
      <c r="O555" s="406"/>
      <c r="P555" s="406"/>
      <c r="Q555" s="406"/>
      <c r="R555" s="406"/>
      <c r="S555" s="406"/>
      <c r="T555" s="406"/>
      <c r="U555" s="406"/>
      <c r="V555" s="406"/>
      <c r="W555" s="406"/>
      <c r="X555" s="406"/>
      <c r="Y555" s="406"/>
      <c r="Z555" s="406"/>
    </row>
    <row r="556">
      <c r="A556" s="406"/>
      <c r="B556" s="406"/>
      <c r="C556" s="406"/>
      <c r="D556" s="406"/>
      <c r="E556" s="406"/>
      <c r="F556" s="406"/>
      <c r="G556" s="407"/>
      <c r="H556" s="406"/>
      <c r="I556" s="406"/>
      <c r="J556" s="406"/>
      <c r="K556" s="406"/>
      <c r="L556" s="406"/>
      <c r="M556" s="406"/>
      <c r="N556" s="406"/>
      <c r="O556" s="406"/>
      <c r="P556" s="406"/>
      <c r="Q556" s="406"/>
      <c r="R556" s="406"/>
      <c r="S556" s="406"/>
      <c r="T556" s="406"/>
      <c r="U556" s="406"/>
      <c r="V556" s="406"/>
      <c r="W556" s="406"/>
      <c r="X556" s="406"/>
      <c r="Y556" s="406"/>
      <c r="Z556" s="406"/>
    </row>
    <row r="557">
      <c r="A557" s="406"/>
      <c r="B557" s="406"/>
      <c r="C557" s="406"/>
      <c r="D557" s="406"/>
      <c r="E557" s="406"/>
      <c r="F557" s="406"/>
      <c r="G557" s="407"/>
      <c r="H557" s="406"/>
      <c r="I557" s="406"/>
      <c r="J557" s="406"/>
      <c r="K557" s="406"/>
      <c r="L557" s="406"/>
      <c r="M557" s="406"/>
      <c r="N557" s="406"/>
      <c r="O557" s="406"/>
      <c r="P557" s="406"/>
      <c r="Q557" s="406"/>
      <c r="R557" s="406"/>
      <c r="S557" s="406"/>
      <c r="T557" s="406"/>
      <c r="U557" s="406"/>
      <c r="V557" s="406"/>
      <c r="W557" s="406"/>
      <c r="X557" s="406"/>
      <c r="Y557" s="406"/>
      <c r="Z557" s="406"/>
    </row>
    <row r="558">
      <c r="A558" s="406"/>
      <c r="B558" s="406"/>
      <c r="C558" s="406"/>
      <c r="D558" s="406"/>
      <c r="E558" s="406"/>
      <c r="F558" s="406"/>
      <c r="G558" s="407"/>
      <c r="H558" s="406"/>
      <c r="I558" s="406"/>
      <c r="J558" s="406"/>
      <c r="K558" s="406"/>
      <c r="L558" s="406"/>
      <c r="M558" s="406"/>
      <c r="N558" s="406"/>
      <c r="O558" s="406"/>
      <c r="P558" s="406"/>
      <c r="Q558" s="406"/>
      <c r="R558" s="406"/>
      <c r="S558" s="406"/>
      <c r="T558" s="406"/>
      <c r="U558" s="406"/>
      <c r="V558" s="406"/>
      <c r="W558" s="406"/>
      <c r="X558" s="406"/>
      <c r="Y558" s="406"/>
      <c r="Z558" s="406"/>
    </row>
    <row r="559">
      <c r="A559" s="406"/>
      <c r="B559" s="406"/>
      <c r="C559" s="406"/>
      <c r="D559" s="406"/>
      <c r="E559" s="406"/>
      <c r="F559" s="406"/>
      <c r="G559" s="407"/>
      <c r="H559" s="406"/>
      <c r="I559" s="406"/>
      <c r="J559" s="406"/>
      <c r="K559" s="406"/>
      <c r="L559" s="406"/>
      <c r="M559" s="406"/>
      <c r="N559" s="406"/>
      <c r="O559" s="406"/>
      <c r="P559" s="406"/>
      <c r="Q559" s="406"/>
      <c r="R559" s="406"/>
      <c r="S559" s="406"/>
      <c r="T559" s="406"/>
      <c r="U559" s="406"/>
      <c r="V559" s="406"/>
      <c r="W559" s="406"/>
      <c r="X559" s="406"/>
      <c r="Y559" s="406"/>
      <c r="Z559" s="406"/>
    </row>
    <row r="560">
      <c r="A560" s="406"/>
      <c r="B560" s="406"/>
      <c r="C560" s="406"/>
      <c r="D560" s="406"/>
      <c r="E560" s="406"/>
      <c r="F560" s="406"/>
      <c r="G560" s="407"/>
      <c r="H560" s="406"/>
      <c r="I560" s="406"/>
      <c r="J560" s="406"/>
      <c r="K560" s="406"/>
      <c r="L560" s="406"/>
      <c r="M560" s="406"/>
      <c r="N560" s="406"/>
      <c r="O560" s="406"/>
      <c r="P560" s="406"/>
      <c r="Q560" s="406"/>
      <c r="R560" s="406"/>
      <c r="S560" s="406"/>
      <c r="T560" s="406"/>
      <c r="U560" s="406"/>
      <c r="V560" s="406"/>
      <c r="W560" s="406"/>
      <c r="X560" s="406"/>
      <c r="Y560" s="406"/>
      <c r="Z560" s="406"/>
    </row>
    <row r="561">
      <c r="A561" s="406"/>
      <c r="B561" s="406"/>
      <c r="C561" s="406"/>
      <c r="D561" s="406"/>
      <c r="E561" s="406"/>
      <c r="F561" s="406"/>
      <c r="G561" s="407"/>
      <c r="H561" s="406"/>
      <c r="I561" s="406"/>
      <c r="J561" s="406"/>
      <c r="K561" s="406"/>
      <c r="L561" s="406"/>
      <c r="M561" s="406"/>
      <c r="N561" s="406"/>
      <c r="O561" s="406"/>
      <c r="P561" s="406"/>
      <c r="Q561" s="406"/>
      <c r="R561" s="406"/>
      <c r="S561" s="406"/>
      <c r="T561" s="406"/>
      <c r="U561" s="406"/>
      <c r="V561" s="406"/>
      <c r="W561" s="406"/>
      <c r="X561" s="406"/>
      <c r="Y561" s="406"/>
      <c r="Z561" s="406"/>
    </row>
    <row r="562">
      <c r="A562" s="406"/>
      <c r="B562" s="406"/>
      <c r="C562" s="406"/>
      <c r="D562" s="406"/>
      <c r="E562" s="406"/>
      <c r="F562" s="406"/>
      <c r="G562" s="407"/>
      <c r="H562" s="406"/>
      <c r="I562" s="406"/>
      <c r="J562" s="406"/>
      <c r="K562" s="406"/>
      <c r="L562" s="406"/>
      <c r="M562" s="406"/>
      <c r="N562" s="406"/>
      <c r="O562" s="406"/>
      <c r="P562" s="406"/>
      <c r="Q562" s="406"/>
      <c r="R562" s="406"/>
      <c r="S562" s="406"/>
      <c r="T562" s="406"/>
      <c r="U562" s="406"/>
      <c r="V562" s="406"/>
      <c r="W562" s="406"/>
      <c r="X562" s="406"/>
      <c r="Y562" s="406"/>
      <c r="Z562" s="406"/>
    </row>
    <row r="563">
      <c r="A563" s="406"/>
      <c r="B563" s="406"/>
      <c r="C563" s="406"/>
      <c r="D563" s="406"/>
      <c r="E563" s="406"/>
      <c r="F563" s="406"/>
      <c r="G563" s="407"/>
      <c r="H563" s="406"/>
      <c r="I563" s="406"/>
      <c r="J563" s="406"/>
      <c r="K563" s="406"/>
      <c r="L563" s="406"/>
      <c r="M563" s="406"/>
      <c r="N563" s="406"/>
      <c r="O563" s="406"/>
      <c r="P563" s="406"/>
      <c r="Q563" s="406"/>
      <c r="R563" s="406"/>
      <c r="S563" s="406"/>
      <c r="T563" s="406"/>
      <c r="U563" s="406"/>
      <c r="V563" s="406"/>
      <c r="W563" s="406"/>
      <c r="X563" s="406"/>
      <c r="Y563" s="406"/>
      <c r="Z563" s="406"/>
    </row>
    <row r="564">
      <c r="A564" s="406"/>
      <c r="B564" s="406"/>
      <c r="C564" s="406"/>
      <c r="D564" s="406"/>
      <c r="E564" s="406"/>
      <c r="F564" s="406"/>
      <c r="G564" s="407"/>
      <c r="H564" s="406"/>
      <c r="I564" s="406"/>
      <c r="J564" s="406"/>
      <c r="K564" s="406"/>
      <c r="L564" s="406"/>
      <c r="M564" s="406"/>
      <c r="N564" s="406"/>
      <c r="O564" s="406"/>
      <c r="P564" s="406"/>
      <c r="Q564" s="406"/>
      <c r="R564" s="406"/>
      <c r="S564" s="406"/>
      <c r="T564" s="406"/>
      <c r="U564" s="406"/>
      <c r="V564" s="406"/>
      <c r="W564" s="406"/>
      <c r="X564" s="406"/>
      <c r="Y564" s="406"/>
      <c r="Z564" s="406"/>
    </row>
    <row r="565">
      <c r="A565" s="406"/>
      <c r="B565" s="406"/>
      <c r="C565" s="406"/>
      <c r="D565" s="406"/>
      <c r="E565" s="406"/>
      <c r="F565" s="406"/>
      <c r="G565" s="407"/>
      <c r="H565" s="406"/>
      <c r="I565" s="406"/>
      <c r="J565" s="406"/>
      <c r="K565" s="406"/>
      <c r="L565" s="406"/>
      <c r="M565" s="406"/>
      <c r="N565" s="406"/>
      <c r="O565" s="406"/>
      <c r="P565" s="406"/>
      <c r="Q565" s="406"/>
      <c r="R565" s="406"/>
      <c r="S565" s="406"/>
      <c r="T565" s="406"/>
      <c r="U565" s="406"/>
      <c r="V565" s="406"/>
      <c r="W565" s="406"/>
      <c r="X565" s="406"/>
      <c r="Y565" s="406"/>
      <c r="Z565" s="406"/>
    </row>
    <row r="566">
      <c r="A566" s="406"/>
      <c r="B566" s="406"/>
      <c r="C566" s="406"/>
      <c r="D566" s="406"/>
      <c r="E566" s="406"/>
      <c r="F566" s="406"/>
      <c r="G566" s="407"/>
      <c r="H566" s="406"/>
      <c r="I566" s="406"/>
      <c r="J566" s="406"/>
      <c r="K566" s="406"/>
      <c r="L566" s="406"/>
      <c r="M566" s="406"/>
      <c r="N566" s="406"/>
      <c r="O566" s="406"/>
      <c r="P566" s="406"/>
      <c r="Q566" s="406"/>
      <c r="R566" s="406"/>
      <c r="S566" s="406"/>
      <c r="T566" s="406"/>
      <c r="U566" s="406"/>
      <c r="V566" s="406"/>
      <c r="W566" s="406"/>
      <c r="X566" s="406"/>
      <c r="Y566" s="406"/>
      <c r="Z566" s="406"/>
    </row>
    <row r="567">
      <c r="A567" s="406"/>
      <c r="B567" s="406"/>
      <c r="C567" s="406"/>
      <c r="D567" s="406"/>
      <c r="E567" s="406"/>
      <c r="F567" s="406"/>
      <c r="G567" s="407"/>
      <c r="H567" s="406"/>
      <c r="I567" s="406"/>
      <c r="J567" s="406"/>
      <c r="K567" s="406"/>
      <c r="L567" s="406"/>
      <c r="M567" s="406"/>
      <c r="N567" s="406"/>
      <c r="O567" s="406"/>
      <c r="P567" s="406"/>
      <c r="Q567" s="406"/>
      <c r="R567" s="406"/>
      <c r="S567" s="406"/>
      <c r="T567" s="406"/>
      <c r="U567" s="406"/>
      <c r="V567" s="406"/>
      <c r="W567" s="406"/>
      <c r="X567" s="406"/>
      <c r="Y567" s="406"/>
      <c r="Z567" s="406"/>
    </row>
    <row r="568">
      <c r="A568" s="406"/>
      <c r="B568" s="406"/>
      <c r="C568" s="406"/>
      <c r="D568" s="406"/>
      <c r="E568" s="406"/>
      <c r="F568" s="406"/>
      <c r="G568" s="407"/>
      <c r="H568" s="406"/>
      <c r="I568" s="406"/>
      <c r="J568" s="406"/>
      <c r="K568" s="406"/>
      <c r="L568" s="406"/>
      <c r="M568" s="406"/>
      <c r="N568" s="406"/>
      <c r="O568" s="406"/>
      <c r="P568" s="406"/>
      <c r="Q568" s="406"/>
      <c r="R568" s="406"/>
      <c r="S568" s="406"/>
      <c r="T568" s="406"/>
      <c r="U568" s="406"/>
      <c r="V568" s="406"/>
      <c r="W568" s="406"/>
      <c r="X568" s="406"/>
      <c r="Y568" s="406"/>
      <c r="Z568" s="406"/>
    </row>
    <row r="569">
      <c r="A569" s="406"/>
      <c r="B569" s="406"/>
      <c r="C569" s="406"/>
      <c r="D569" s="406"/>
      <c r="E569" s="406"/>
      <c r="F569" s="406"/>
      <c r="G569" s="407"/>
      <c r="H569" s="406"/>
      <c r="I569" s="406"/>
      <c r="J569" s="406"/>
      <c r="K569" s="406"/>
      <c r="L569" s="406"/>
      <c r="M569" s="406"/>
      <c r="N569" s="406"/>
      <c r="O569" s="406"/>
      <c r="P569" s="406"/>
      <c r="Q569" s="406"/>
      <c r="R569" s="406"/>
      <c r="S569" s="406"/>
      <c r="T569" s="406"/>
      <c r="U569" s="406"/>
      <c r="V569" s="406"/>
      <c r="W569" s="406"/>
      <c r="X569" s="406"/>
      <c r="Y569" s="406"/>
      <c r="Z569" s="406"/>
    </row>
    <row r="570">
      <c r="A570" s="406"/>
      <c r="B570" s="406"/>
      <c r="C570" s="406"/>
      <c r="D570" s="406"/>
      <c r="E570" s="406"/>
      <c r="F570" s="406"/>
      <c r="G570" s="407"/>
      <c r="H570" s="406"/>
      <c r="I570" s="406"/>
      <c r="J570" s="406"/>
      <c r="K570" s="406"/>
      <c r="L570" s="406"/>
      <c r="M570" s="406"/>
      <c r="N570" s="406"/>
      <c r="O570" s="406"/>
      <c r="P570" s="406"/>
      <c r="Q570" s="406"/>
      <c r="R570" s="406"/>
      <c r="S570" s="406"/>
      <c r="T570" s="406"/>
      <c r="U570" s="406"/>
      <c r="V570" s="406"/>
      <c r="W570" s="406"/>
      <c r="X570" s="406"/>
      <c r="Y570" s="406"/>
      <c r="Z570" s="406"/>
    </row>
    <row r="571">
      <c r="A571" s="406"/>
      <c r="B571" s="406"/>
      <c r="C571" s="406"/>
      <c r="D571" s="406"/>
      <c r="E571" s="406"/>
      <c r="F571" s="406"/>
      <c r="G571" s="407"/>
      <c r="H571" s="406"/>
      <c r="I571" s="406"/>
      <c r="J571" s="406"/>
      <c r="K571" s="406"/>
      <c r="L571" s="406"/>
      <c r="M571" s="406"/>
      <c r="N571" s="406"/>
      <c r="O571" s="406"/>
      <c r="P571" s="406"/>
      <c r="Q571" s="406"/>
      <c r="R571" s="406"/>
      <c r="S571" s="406"/>
      <c r="T571" s="406"/>
      <c r="U571" s="406"/>
      <c r="V571" s="406"/>
      <c r="W571" s="406"/>
      <c r="X571" s="406"/>
      <c r="Y571" s="406"/>
      <c r="Z571" s="406"/>
    </row>
    <row r="572">
      <c r="A572" s="406"/>
      <c r="B572" s="406"/>
      <c r="C572" s="406"/>
      <c r="D572" s="406"/>
      <c r="E572" s="406"/>
      <c r="F572" s="406"/>
      <c r="G572" s="407"/>
      <c r="H572" s="406"/>
      <c r="I572" s="406"/>
      <c r="J572" s="406"/>
      <c r="K572" s="406"/>
      <c r="L572" s="406"/>
      <c r="M572" s="406"/>
      <c r="N572" s="406"/>
      <c r="O572" s="406"/>
      <c r="P572" s="406"/>
      <c r="Q572" s="406"/>
      <c r="R572" s="406"/>
      <c r="S572" s="406"/>
      <c r="T572" s="406"/>
      <c r="U572" s="406"/>
      <c r="V572" s="406"/>
      <c r="W572" s="406"/>
      <c r="X572" s="406"/>
      <c r="Y572" s="406"/>
      <c r="Z572" s="406"/>
    </row>
    <row r="573">
      <c r="A573" s="406"/>
      <c r="B573" s="406"/>
      <c r="C573" s="406"/>
      <c r="D573" s="406"/>
      <c r="E573" s="406"/>
      <c r="F573" s="406"/>
      <c r="G573" s="407"/>
      <c r="H573" s="406"/>
      <c r="I573" s="406"/>
      <c r="J573" s="406"/>
      <c r="K573" s="406"/>
      <c r="L573" s="406"/>
      <c r="M573" s="406"/>
      <c r="N573" s="406"/>
      <c r="O573" s="406"/>
      <c r="P573" s="406"/>
      <c r="Q573" s="406"/>
      <c r="R573" s="406"/>
      <c r="S573" s="406"/>
      <c r="T573" s="406"/>
      <c r="U573" s="406"/>
      <c r="V573" s="406"/>
      <c r="W573" s="406"/>
      <c r="X573" s="406"/>
      <c r="Y573" s="406"/>
      <c r="Z573" s="406"/>
    </row>
    <row r="574">
      <c r="A574" s="406"/>
      <c r="B574" s="406"/>
      <c r="C574" s="406"/>
      <c r="D574" s="406"/>
      <c r="E574" s="406"/>
      <c r="F574" s="406"/>
      <c r="G574" s="407"/>
      <c r="H574" s="406"/>
      <c r="I574" s="406"/>
      <c r="J574" s="406"/>
      <c r="K574" s="406"/>
      <c r="L574" s="406"/>
      <c r="M574" s="406"/>
      <c r="N574" s="406"/>
      <c r="O574" s="406"/>
      <c r="P574" s="406"/>
      <c r="Q574" s="406"/>
      <c r="R574" s="406"/>
      <c r="S574" s="406"/>
      <c r="T574" s="406"/>
      <c r="U574" s="406"/>
      <c r="V574" s="406"/>
      <c r="W574" s="406"/>
      <c r="X574" s="406"/>
      <c r="Y574" s="406"/>
      <c r="Z574" s="406"/>
    </row>
    <row r="575">
      <c r="A575" s="406"/>
      <c r="B575" s="406"/>
      <c r="C575" s="406"/>
      <c r="D575" s="406"/>
      <c r="E575" s="406"/>
      <c r="F575" s="406"/>
      <c r="G575" s="407"/>
      <c r="H575" s="406"/>
      <c r="I575" s="406"/>
      <c r="J575" s="406"/>
      <c r="K575" s="406"/>
      <c r="L575" s="406"/>
      <c r="M575" s="406"/>
      <c r="N575" s="406"/>
      <c r="O575" s="406"/>
      <c r="P575" s="406"/>
      <c r="Q575" s="406"/>
      <c r="R575" s="406"/>
      <c r="S575" s="406"/>
      <c r="T575" s="406"/>
      <c r="U575" s="406"/>
      <c r="V575" s="406"/>
      <c r="W575" s="406"/>
      <c r="X575" s="406"/>
      <c r="Y575" s="406"/>
      <c r="Z575" s="406"/>
    </row>
    <row r="576">
      <c r="A576" s="406"/>
      <c r="B576" s="406"/>
      <c r="C576" s="406"/>
      <c r="D576" s="406"/>
      <c r="E576" s="406"/>
      <c r="F576" s="406"/>
      <c r="G576" s="407"/>
      <c r="H576" s="406"/>
      <c r="I576" s="406"/>
      <c r="J576" s="406"/>
      <c r="K576" s="406"/>
      <c r="L576" s="406"/>
      <c r="M576" s="406"/>
      <c r="N576" s="406"/>
      <c r="O576" s="406"/>
      <c r="P576" s="406"/>
      <c r="Q576" s="406"/>
      <c r="R576" s="406"/>
      <c r="S576" s="406"/>
      <c r="T576" s="406"/>
      <c r="U576" s="406"/>
      <c r="V576" s="406"/>
      <c r="W576" s="406"/>
      <c r="X576" s="406"/>
      <c r="Y576" s="406"/>
      <c r="Z576" s="406"/>
    </row>
    <row r="577">
      <c r="A577" s="406"/>
      <c r="B577" s="406"/>
      <c r="C577" s="406"/>
      <c r="D577" s="406"/>
      <c r="E577" s="406"/>
      <c r="F577" s="406"/>
      <c r="G577" s="407"/>
      <c r="H577" s="406"/>
      <c r="I577" s="406"/>
      <c r="J577" s="406"/>
      <c r="K577" s="406"/>
      <c r="L577" s="406"/>
      <c r="M577" s="406"/>
      <c r="N577" s="406"/>
      <c r="O577" s="406"/>
      <c r="P577" s="406"/>
      <c r="Q577" s="406"/>
      <c r="R577" s="406"/>
      <c r="S577" s="406"/>
      <c r="T577" s="406"/>
      <c r="U577" s="406"/>
      <c r="V577" s="406"/>
      <c r="W577" s="406"/>
      <c r="X577" s="406"/>
      <c r="Y577" s="406"/>
      <c r="Z577" s="406"/>
    </row>
    <row r="578">
      <c r="A578" s="406"/>
      <c r="B578" s="406"/>
      <c r="C578" s="406"/>
      <c r="D578" s="406"/>
      <c r="E578" s="406"/>
      <c r="F578" s="406"/>
      <c r="G578" s="407"/>
      <c r="H578" s="406"/>
      <c r="I578" s="406"/>
      <c r="J578" s="406"/>
      <c r="K578" s="406"/>
      <c r="L578" s="406"/>
      <c r="M578" s="406"/>
      <c r="N578" s="406"/>
      <c r="O578" s="406"/>
      <c r="P578" s="406"/>
      <c r="Q578" s="406"/>
      <c r="R578" s="406"/>
      <c r="S578" s="406"/>
      <c r="T578" s="406"/>
      <c r="U578" s="406"/>
      <c r="V578" s="406"/>
      <c r="W578" s="406"/>
      <c r="X578" s="406"/>
      <c r="Y578" s="406"/>
      <c r="Z578" s="406"/>
    </row>
    <row r="579">
      <c r="A579" s="406"/>
      <c r="B579" s="406"/>
      <c r="C579" s="406"/>
      <c r="D579" s="406"/>
      <c r="E579" s="406"/>
      <c r="F579" s="406"/>
      <c r="G579" s="407"/>
      <c r="H579" s="406"/>
      <c r="I579" s="406"/>
      <c r="J579" s="406"/>
      <c r="K579" s="406"/>
      <c r="L579" s="406"/>
      <c r="M579" s="406"/>
      <c r="N579" s="406"/>
      <c r="O579" s="406"/>
      <c r="P579" s="406"/>
      <c r="Q579" s="406"/>
      <c r="R579" s="406"/>
      <c r="S579" s="406"/>
      <c r="T579" s="406"/>
      <c r="U579" s="406"/>
      <c r="V579" s="406"/>
      <c r="W579" s="406"/>
      <c r="X579" s="406"/>
      <c r="Y579" s="406"/>
      <c r="Z579" s="406"/>
    </row>
    <row r="580">
      <c r="A580" s="406"/>
      <c r="B580" s="406"/>
      <c r="C580" s="406"/>
      <c r="D580" s="406"/>
      <c r="E580" s="406"/>
      <c r="F580" s="406"/>
      <c r="G580" s="407"/>
      <c r="H580" s="406"/>
      <c r="I580" s="406"/>
      <c r="J580" s="406"/>
      <c r="K580" s="406"/>
      <c r="L580" s="406"/>
      <c r="M580" s="406"/>
      <c r="N580" s="406"/>
      <c r="O580" s="406"/>
      <c r="P580" s="406"/>
      <c r="Q580" s="406"/>
      <c r="R580" s="406"/>
      <c r="S580" s="406"/>
      <c r="T580" s="406"/>
      <c r="U580" s="406"/>
      <c r="V580" s="406"/>
      <c r="W580" s="406"/>
      <c r="X580" s="406"/>
      <c r="Y580" s="406"/>
      <c r="Z580" s="406"/>
    </row>
    <row r="581">
      <c r="A581" s="406"/>
      <c r="B581" s="406"/>
      <c r="C581" s="406"/>
      <c r="D581" s="406"/>
      <c r="E581" s="406"/>
      <c r="F581" s="406"/>
      <c r="G581" s="407"/>
      <c r="H581" s="406"/>
      <c r="I581" s="406"/>
      <c r="J581" s="406"/>
      <c r="K581" s="406"/>
      <c r="L581" s="406"/>
      <c r="M581" s="406"/>
      <c r="N581" s="406"/>
      <c r="O581" s="406"/>
      <c r="P581" s="406"/>
      <c r="Q581" s="406"/>
      <c r="R581" s="406"/>
      <c r="S581" s="406"/>
      <c r="T581" s="406"/>
      <c r="U581" s="406"/>
      <c r="V581" s="406"/>
      <c r="W581" s="406"/>
      <c r="X581" s="406"/>
      <c r="Y581" s="406"/>
      <c r="Z581" s="406"/>
    </row>
    <row r="582">
      <c r="A582" s="406"/>
      <c r="B582" s="406"/>
      <c r="C582" s="406"/>
      <c r="D582" s="406"/>
      <c r="E582" s="406"/>
      <c r="F582" s="406"/>
      <c r="G582" s="407"/>
      <c r="H582" s="406"/>
      <c r="I582" s="406"/>
      <c r="J582" s="406"/>
      <c r="K582" s="406"/>
      <c r="L582" s="406"/>
      <c r="M582" s="406"/>
      <c r="N582" s="406"/>
      <c r="O582" s="406"/>
      <c r="P582" s="406"/>
      <c r="Q582" s="406"/>
      <c r="R582" s="406"/>
      <c r="S582" s="406"/>
      <c r="T582" s="406"/>
      <c r="U582" s="406"/>
      <c r="V582" s="406"/>
      <c r="W582" s="406"/>
      <c r="X582" s="406"/>
      <c r="Y582" s="406"/>
      <c r="Z582" s="406"/>
    </row>
    <row r="583">
      <c r="A583" s="406"/>
      <c r="B583" s="406"/>
      <c r="C583" s="406"/>
      <c r="D583" s="406"/>
      <c r="E583" s="406"/>
      <c r="F583" s="406"/>
      <c r="G583" s="407"/>
      <c r="H583" s="406"/>
      <c r="I583" s="406"/>
      <c r="J583" s="406"/>
      <c r="K583" s="406"/>
      <c r="L583" s="406"/>
      <c r="M583" s="406"/>
      <c r="N583" s="406"/>
      <c r="O583" s="406"/>
      <c r="P583" s="406"/>
      <c r="Q583" s="406"/>
      <c r="R583" s="406"/>
      <c r="S583" s="406"/>
      <c r="T583" s="406"/>
      <c r="U583" s="406"/>
      <c r="V583" s="406"/>
      <c r="W583" s="406"/>
      <c r="X583" s="406"/>
      <c r="Y583" s="406"/>
      <c r="Z583" s="406"/>
    </row>
    <row r="584">
      <c r="A584" s="406"/>
      <c r="B584" s="406"/>
      <c r="C584" s="406"/>
      <c r="D584" s="406"/>
      <c r="E584" s="406"/>
      <c r="F584" s="406"/>
      <c r="G584" s="407"/>
      <c r="H584" s="406"/>
      <c r="I584" s="406"/>
      <c r="J584" s="406"/>
      <c r="K584" s="406"/>
      <c r="L584" s="406"/>
      <c r="M584" s="406"/>
      <c r="N584" s="406"/>
      <c r="O584" s="406"/>
      <c r="P584" s="406"/>
      <c r="Q584" s="406"/>
      <c r="R584" s="406"/>
      <c r="S584" s="406"/>
      <c r="T584" s="406"/>
      <c r="U584" s="406"/>
      <c r="V584" s="406"/>
      <c r="W584" s="406"/>
      <c r="X584" s="406"/>
      <c r="Y584" s="406"/>
      <c r="Z584" s="406"/>
    </row>
    <row r="585">
      <c r="A585" s="406"/>
      <c r="B585" s="406"/>
      <c r="C585" s="406"/>
      <c r="D585" s="406"/>
      <c r="E585" s="406"/>
      <c r="F585" s="406"/>
      <c r="G585" s="407"/>
      <c r="H585" s="406"/>
      <c r="I585" s="406"/>
      <c r="J585" s="406"/>
      <c r="K585" s="406"/>
      <c r="L585" s="406"/>
      <c r="M585" s="406"/>
      <c r="N585" s="406"/>
      <c r="O585" s="406"/>
      <c r="P585" s="406"/>
      <c r="Q585" s="406"/>
      <c r="R585" s="406"/>
      <c r="S585" s="406"/>
      <c r="T585" s="406"/>
      <c r="U585" s="406"/>
      <c r="V585" s="406"/>
      <c r="W585" s="406"/>
      <c r="X585" s="406"/>
      <c r="Y585" s="406"/>
      <c r="Z585" s="406"/>
    </row>
    <row r="586">
      <c r="A586" s="406"/>
      <c r="B586" s="406"/>
      <c r="C586" s="406"/>
      <c r="D586" s="406"/>
      <c r="E586" s="406"/>
      <c r="F586" s="406"/>
      <c r="G586" s="407"/>
      <c r="H586" s="406"/>
      <c r="I586" s="406"/>
      <c r="J586" s="406"/>
      <c r="K586" s="406"/>
      <c r="L586" s="406"/>
      <c r="M586" s="406"/>
      <c r="N586" s="406"/>
      <c r="O586" s="406"/>
      <c r="P586" s="406"/>
      <c r="Q586" s="406"/>
      <c r="R586" s="406"/>
      <c r="S586" s="406"/>
      <c r="T586" s="406"/>
      <c r="U586" s="406"/>
      <c r="V586" s="406"/>
      <c r="W586" s="406"/>
      <c r="X586" s="406"/>
      <c r="Y586" s="406"/>
      <c r="Z586" s="406"/>
    </row>
    <row r="587">
      <c r="A587" s="406"/>
      <c r="B587" s="406"/>
      <c r="C587" s="406"/>
      <c r="D587" s="406"/>
      <c r="E587" s="406"/>
      <c r="F587" s="406"/>
      <c r="G587" s="407"/>
      <c r="H587" s="406"/>
      <c r="I587" s="406"/>
      <c r="J587" s="406"/>
      <c r="K587" s="406"/>
      <c r="L587" s="406"/>
      <c r="M587" s="406"/>
      <c r="N587" s="406"/>
      <c r="O587" s="406"/>
      <c r="P587" s="406"/>
      <c r="Q587" s="406"/>
      <c r="R587" s="406"/>
      <c r="S587" s="406"/>
      <c r="T587" s="406"/>
      <c r="U587" s="406"/>
      <c r="V587" s="406"/>
      <c r="W587" s="406"/>
      <c r="X587" s="406"/>
      <c r="Y587" s="406"/>
      <c r="Z587" s="406"/>
    </row>
    <row r="588">
      <c r="A588" s="406"/>
      <c r="B588" s="406"/>
      <c r="C588" s="406"/>
      <c r="D588" s="406"/>
      <c r="E588" s="406"/>
      <c r="F588" s="406"/>
      <c r="G588" s="407"/>
      <c r="H588" s="406"/>
      <c r="I588" s="406"/>
      <c r="J588" s="406"/>
      <c r="K588" s="406"/>
      <c r="L588" s="406"/>
      <c r="M588" s="406"/>
      <c r="N588" s="406"/>
      <c r="O588" s="406"/>
      <c r="P588" s="406"/>
      <c r="Q588" s="406"/>
      <c r="R588" s="406"/>
      <c r="S588" s="406"/>
      <c r="T588" s="406"/>
      <c r="U588" s="406"/>
      <c r="V588" s="406"/>
      <c r="W588" s="406"/>
      <c r="X588" s="406"/>
      <c r="Y588" s="406"/>
      <c r="Z588" s="406"/>
    </row>
    <row r="589">
      <c r="A589" s="406"/>
      <c r="B589" s="406"/>
      <c r="C589" s="406"/>
      <c r="D589" s="406"/>
      <c r="E589" s="406"/>
      <c r="F589" s="406"/>
      <c r="G589" s="407"/>
      <c r="H589" s="406"/>
      <c r="I589" s="406"/>
      <c r="J589" s="406"/>
      <c r="K589" s="406"/>
      <c r="L589" s="406"/>
      <c r="M589" s="406"/>
      <c r="N589" s="406"/>
      <c r="O589" s="406"/>
      <c r="P589" s="406"/>
      <c r="Q589" s="406"/>
      <c r="R589" s="406"/>
      <c r="S589" s="406"/>
      <c r="T589" s="406"/>
      <c r="U589" s="406"/>
      <c r="V589" s="406"/>
      <c r="W589" s="406"/>
      <c r="X589" s="406"/>
      <c r="Y589" s="406"/>
      <c r="Z589" s="406"/>
    </row>
    <row r="590">
      <c r="A590" s="406"/>
      <c r="B590" s="406"/>
      <c r="C590" s="406"/>
      <c r="D590" s="406"/>
      <c r="E590" s="406"/>
      <c r="F590" s="406"/>
      <c r="G590" s="407"/>
      <c r="H590" s="406"/>
      <c r="I590" s="406"/>
      <c r="J590" s="406"/>
      <c r="K590" s="406"/>
      <c r="L590" s="406"/>
      <c r="M590" s="406"/>
      <c r="N590" s="406"/>
      <c r="O590" s="406"/>
      <c r="P590" s="406"/>
      <c r="Q590" s="406"/>
      <c r="R590" s="406"/>
      <c r="S590" s="406"/>
      <c r="T590" s="406"/>
      <c r="U590" s="406"/>
      <c r="V590" s="406"/>
      <c r="W590" s="406"/>
      <c r="X590" s="406"/>
      <c r="Y590" s="406"/>
      <c r="Z590" s="406"/>
    </row>
    <row r="591">
      <c r="A591" s="406"/>
      <c r="B591" s="406"/>
      <c r="C591" s="406"/>
      <c r="D591" s="406"/>
      <c r="E591" s="406"/>
      <c r="F591" s="406"/>
      <c r="G591" s="407"/>
      <c r="H591" s="406"/>
      <c r="I591" s="406"/>
      <c r="J591" s="406"/>
      <c r="K591" s="406"/>
      <c r="L591" s="406"/>
      <c r="M591" s="406"/>
      <c r="N591" s="406"/>
      <c r="O591" s="406"/>
      <c r="P591" s="406"/>
      <c r="Q591" s="406"/>
      <c r="R591" s="406"/>
      <c r="S591" s="406"/>
      <c r="T591" s="406"/>
      <c r="U591" s="406"/>
      <c r="V591" s="406"/>
      <c r="W591" s="406"/>
      <c r="X591" s="406"/>
      <c r="Y591" s="406"/>
      <c r="Z591" s="406"/>
    </row>
    <row r="592">
      <c r="A592" s="406"/>
      <c r="B592" s="406"/>
      <c r="C592" s="406"/>
      <c r="D592" s="406"/>
      <c r="E592" s="406"/>
      <c r="F592" s="406"/>
      <c r="G592" s="407"/>
      <c r="H592" s="406"/>
      <c r="I592" s="406"/>
      <c r="J592" s="406"/>
      <c r="K592" s="406"/>
      <c r="L592" s="406"/>
      <c r="M592" s="406"/>
      <c r="N592" s="406"/>
      <c r="O592" s="406"/>
      <c r="P592" s="406"/>
      <c r="Q592" s="406"/>
      <c r="R592" s="406"/>
      <c r="S592" s="406"/>
      <c r="T592" s="406"/>
      <c r="U592" s="406"/>
      <c r="V592" s="406"/>
      <c r="W592" s="406"/>
      <c r="X592" s="406"/>
      <c r="Y592" s="406"/>
      <c r="Z592" s="406"/>
    </row>
    <row r="593">
      <c r="A593" s="406"/>
      <c r="B593" s="406"/>
      <c r="C593" s="406"/>
      <c r="D593" s="406"/>
      <c r="E593" s="406"/>
      <c r="F593" s="406"/>
      <c r="G593" s="407"/>
      <c r="H593" s="406"/>
      <c r="I593" s="406"/>
      <c r="J593" s="406"/>
      <c r="K593" s="406"/>
      <c r="L593" s="406"/>
      <c r="M593" s="406"/>
      <c r="N593" s="406"/>
      <c r="O593" s="406"/>
      <c r="P593" s="406"/>
      <c r="Q593" s="406"/>
      <c r="R593" s="406"/>
      <c r="S593" s="406"/>
      <c r="T593" s="406"/>
      <c r="U593" s="406"/>
      <c r="V593" s="406"/>
      <c r="W593" s="406"/>
      <c r="X593" s="406"/>
      <c r="Y593" s="406"/>
      <c r="Z593" s="406"/>
    </row>
    <row r="594">
      <c r="A594" s="406"/>
      <c r="B594" s="406"/>
      <c r="C594" s="406"/>
      <c r="D594" s="406"/>
      <c r="E594" s="406"/>
      <c r="F594" s="406"/>
      <c r="G594" s="407"/>
      <c r="H594" s="406"/>
      <c r="I594" s="406"/>
      <c r="J594" s="406"/>
      <c r="K594" s="406"/>
      <c r="L594" s="406"/>
      <c r="M594" s="406"/>
      <c r="N594" s="406"/>
      <c r="O594" s="406"/>
      <c r="P594" s="406"/>
      <c r="Q594" s="406"/>
      <c r="R594" s="406"/>
      <c r="S594" s="406"/>
      <c r="T594" s="406"/>
      <c r="U594" s="406"/>
      <c r="V594" s="406"/>
      <c r="W594" s="406"/>
      <c r="X594" s="406"/>
      <c r="Y594" s="406"/>
      <c r="Z594" s="406"/>
    </row>
    <row r="595">
      <c r="A595" s="406"/>
      <c r="B595" s="406"/>
      <c r="C595" s="406"/>
      <c r="D595" s="406"/>
      <c r="E595" s="406"/>
      <c r="F595" s="406"/>
      <c r="G595" s="407"/>
      <c r="H595" s="406"/>
      <c r="I595" s="406"/>
      <c r="J595" s="406"/>
      <c r="K595" s="406"/>
      <c r="L595" s="406"/>
      <c r="M595" s="406"/>
      <c r="N595" s="406"/>
      <c r="O595" s="406"/>
      <c r="P595" s="406"/>
      <c r="Q595" s="406"/>
      <c r="R595" s="406"/>
      <c r="S595" s="406"/>
      <c r="T595" s="406"/>
      <c r="U595" s="406"/>
      <c r="V595" s="406"/>
      <c r="W595" s="406"/>
      <c r="X595" s="406"/>
      <c r="Y595" s="406"/>
      <c r="Z595" s="406"/>
    </row>
    <row r="596">
      <c r="A596" s="406"/>
      <c r="B596" s="406"/>
      <c r="C596" s="406"/>
      <c r="D596" s="406"/>
      <c r="E596" s="406"/>
      <c r="F596" s="406"/>
      <c r="G596" s="407"/>
      <c r="H596" s="406"/>
      <c r="I596" s="406"/>
      <c r="J596" s="406"/>
      <c r="K596" s="406"/>
      <c r="L596" s="406"/>
      <c r="M596" s="406"/>
      <c r="N596" s="406"/>
      <c r="O596" s="406"/>
      <c r="P596" s="406"/>
      <c r="Q596" s="406"/>
      <c r="R596" s="406"/>
      <c r="S596" s="406"/>
      <c r="T596" s="406"/>
      <c r="U596" s="406"/>
      <c r="V596" s="406"/>
      <c r="W596" s="406"/>
      <c r="X596" s="406"/>
      <c r="Y596" s="406"/>
      <c r="Z596" s="406"/>
    </row>
    <row r="597">
      <c r="A597" s="406"/>
      <c r="B597" s="406"/>
      <c r="C597" s="406"/>
      <c r="D597" s="406"/>
      <c r="E597" s="406"/>
      <c r="F597" s="406"/>
      <c r="G597" s="407"/>
      <c r="H597" s="406"/>
      <c r="I597" s="406"/>
      <c r="J597" s="406"/>
      <c r="K597" s="406"/>
      <c r="L597" s="406"/>
      <c r="M597" s="406"/>
      <c r="N597" s="406"/>
      <c r="O597" s="406"/>
      <c r="P597" s="406"/>
      <c r="Q597" s="406"/>
      <c r="R597" s="406"/>
      <c r="S597" s="406"/>
      <c r="T597" s="406"/>
      <c r="U597" s="406"/>
      <c r="V597" s="406"/>
      <c r="W597" s="406"/>
      <c r="X597" s="406"/>
      <c r="Y597" s="406"/>
      <c r="Z597" s="406"/>
    </row>
    <row r="598">
      <c r="A598" s="406"/>
      <c r="B598" s="406"/>
      <c r="C598" s="406"/>
      <c r="D598" s="406"/>
      <c r="E598" s="406"/>
      <c r="F598" s="406"/>
      <c r="G598" s="407"/>
      <c r="H598" s="406"/>
      <c r="I598" s="406"/>
      <c r="J598" s="406"/>
      <c r="K598" s="406"/>
      <c r="L598" s="406"/>
      <c r="M598" s="406"/>
      <c r="N598" s="406"/>
      <c r="O598" s="406"/>
      <c r="P598" s="406"/>
      <c r="Q598" s="406"/>
      <c r="R598" s="406"/>
      <c r="S598" s="406"/>
      <c r="T598" s="406"/>
      <c r="U598" s="406"/>
      <c r="V598" s="406"/>
      <c r="W598" s="406"/>
      <c r="X598" s="406"/>
      <c r="Y598" s="406"/>
      <c r="Z598" s="406"/>
    </row>
    <row r="599">
      <c r="A599" s="406"/>
      <c r="B599" s="406"/>
      <c r="C599" s="406"/>
      <c r="D599" s="406"/>
      <c r="E599" s="406"/>
      <c r="F599" s="406"/>
      <c r="G599" s="407"/>
      <c r="H599" s="406"/>
      <c r="I599" s="406"/>
      <c r="J599" s="406"/>
      <c r="K599" s="406"/>
      <c r="L599" s="406"/>
      <c r="M599" s="406"/>
      <c r="N599" s="406"/>
      <c r="O599" s="406"/>
      <c r="P599" s="406"/>
      <c r="Q599" s="406"/>
      <c r="R599" s="406"/>
      <c r="S599" s="406"/>
      <c r="T599" s="406"/>
      <c r="U599" s="406"/>
      <c r="V599" s="406"/>
      <c r="W599" s="406"/>
      <c r="X599" s="406"/>
      <c r="Y599" s="406"/>
      <c r="Z599" s="406"/>
    </row>
    <row r="600">
      <c r="A600" s="406"/>
      <c r="B600" s="406"/>
      <c r="C600" s="406"/>
      <c r="D600" s="406"/>
      <c r="E600" s="406"/>
      <c r="F600" s="406"/>
      <c r="G600" s="407"/>
      <c r="H600" s="406"/>
      <c r="I600" s="406"/>
      <c r="J600" s="406"/>
      <c r="K600" s="406"/>
      <c r="L600" s="406"/>
      <c r="M600" s="406"/>
      <c r="N600" s="406"/>
      <c r="O600" s="406"/>
      <c r="P600" s="406"/>
      <c r="Q600" s="406"/>
      <c r="R600" s="406"/>
      <c r="S600" s="406"/>
      <c r="T600" s="406"/>
      <c r="U600" s="406"/>
      <c r="V600" s="406"/>
      <c r="W600" s="406"/>
      <c r="X600" s="406"/>
      <c r="Y600" s="406"/>
      <c r="Z600" s="406"/>
    </row>
    <row r="601">
      <c r="A601" s="406"/>
      <c r="B601" s="406"/>
      <c r="C601" s="406"/>
      <c r="D601" s="406"/>
      <c r="E601" s="406"/>
      <c r="F601" s="406"/>
      <c r="G601" s="407"/>
      <c r="H601" s="406"/>
      <c r="I601" s="406"/>
      <c r="J601" s="406"/>
      <c r="K601" s="406"/>
      <c r="L601" s="406"/>
      <c r="M601" s="406"/>
      <c r="N601" s="406"/>
      <c r="O601" s="406"/>
      <c r="P601" s="406"/>
      <c r="Q601" s="406"/>
      <c r="R601" s="406"/>
      <c r="S601" s="406"/>
      <c r="T601" s="406"/>
      <c r="U601" s="406"/>
      <c r="V601" s="406"/>
      <c r="W601" s="406"/>
      <c r="X601" s="406"/>
      <c r="Y601" s="406"/>
      <c r="Z601" s="406"/>
    </row>
    <row r="602">
      <c r="A602" s="406"/>
      <c r="B602" s="406"/>
      <c r="C602" s="406"/>
      <c r="D602" s="406"/>
      <c r="E602" s="406"/>
      <c r="F602" s="406"/>
      <c r="G602" s="407"/>
      <c r="H602" s="406"/>
      <c r="I602" s="406"/>
      <c r="J602" s="406"/>
      <c r="K602" s="406"/>
      <c r="L602" s="406"/>
      <c r="M602" s="406"/>
      <c r="N602" s="406"/>
      <c r="O602" s="406"/>
      <c r="P602" s="406"/>
      <c r="Q602" s="406"/>
      <c r="R602" s="406"/>
      <c r="S602" s="406"/>
      <c r="T602" s="406"/>
      <c r="U602" s="406"/>
      <c r="V602" s="406"/>
      <c r="W602" s="406"/>
      <c r="X602" s="406"/>
      <c r="Y602" s="406"/>
      <c r="Z602" s="406"/>
    </row>
    <row r="603">
      <c r="A603" s="406"/>
      <c r="B603" s="406"/>
      <c r="C603" s="406"/>
      <c r="D603" s="406"/>
      <c r="E603" s="406"/>
      <c r="F603" s="406"/>
      <c r="G603" s="407"/>
      <c r="H603" s="406"/>
      <c r="I603" s="406"/>
      <c r="J603" s="406"/>
      <c r="K603" s="406"/>
      <c r="L603" s="406"/>
      <c r="M603" s="406"/>
      <c r="N603" s="406"/>
      <c r="O603" s="406"/>
      <c r="P603" s="406"/>
      <c r="Q603" s="406"/>
      <c r="R603" s="406"/>
      <c r="S603" s="406"/>
      <c r="T603" s="406"/>
      <c r="U603" s="406"/>
      <c r="V603" s="406"/>
      <c r="W603" s="406"/>
      <c r="X603" s="406"/>
      <c r="Y603" s="406"/>
      <c r="Z603" s="406"/>
    </row>
    <row r="604">
      <c r="A604" s="406"/>
      <c r="B604" s="406"/>
      <c r="C604" s="406"/>
      <c r="D604" s="406"/>
      <c r="E604" s="406"/>
      <c r="F604" s="406"/>
      <c r="G604" s="407"/>
      <c r="H604" s="406"/>
      <c r="I604" s="406"/>
      <c r="J604" s="406"/>
      <c r="K604" s="406"/>
      <c r="L604" s="406"/>
      <c r="M604" s="406"/>
      <c r="N604" s="406"/>
      <c r="O604" s="406"/>
      <c r="P604" s="406"/>
      <c r="Q604" s="406"/>
      <c r="R604" s="406"/>
      <c r="S604" s="406"/>
      <c r="T604" s="406"/>
      <c r="U604" s="406"/>
      <c r="V604" s="406"/>
      <c r="W604" s="406"/>
      <c r="X604" s="406"/>
      <c r="Y604" s="406"/>
      <c r="Z604" s="406"/>
    </row>
    <row r="605">
      <c r="A605" s="406"/>
      <c r="B605" s="406"/>
      <c r="C605" s="406"/>
      <c r="D605" s="406"/>
      <c r="E605" s="406"/>
      <c r="F605" s="406"/>
      <c r="G605" s="407"/>
      <c r="H605" s="406"/>
      <c r="I605" s="406"/>
      <c r="J605" s="406"/>
      <c r="K605" s="406"/>
      <c r="L605" s="406"/>
      <c r="M605" s="406"/>
      <c r="N605" s="406"/>
      <c r="O605" s="406"/>
      <c r="P605" s="406"/>
      <c r="Q605" s="406"/>
      <c r="R605" s="406"/>
      <c r="S605" s="406"/>
      <c r="T605" s="406"/>
      <c r="U605" s="406"/>
      <c r="V605" s="406"/>
      <c r="W605" s="406"/>
      <c r="X605" s="406"/>
      <c r="Y605" s="406"/>
      <c r="Z605" s="406"/>
    </row>
    <row r="606">
      <c r="A606" s="406"/>
      <c r="B606" s="406"/>
      <c r="C606" s="406"/>
      <c r="D606" s="406"/>
      <c r="E606" s="406"/>
      <c r="F606" s="406"/>
      <c r="G606" s="407"/>
      <c r="H606" s="406"/>
      <c r="I606" s="406"/>
      <c r="J606" s="406"/>
      <c r="K606" s="406"/>
      <c r="L606" s="406"/>
      <c r="M606" s="406"/>
      <c r="N606" s="406"/>
      <c r="O606" s="406"/>
      <c r="P606" s="406"/>
      <c r="Q606" s="406"/>
      <c r="R606" s="406"/>
      <c r="S606" s="406"/>
      <c r="T606" s="406"/>
      <c r="U606" s="406"/>
      <c r="V606" s="406"/>
      <c r="W606" s="406"/>
      <c r="X606" s="406"/>
      <c r="Y606" s="406"/>
      <c r="Z606" s="406"/>
    </row>
    <row r="607">
      <c r="A607" s="406"/>
      <c r="B607" s="406"/>
      <c r="C607" s="406"/>
      <c r="D607" s="406"/>
      <c r="E607" s="406"/>
      <c r="F607" s="406"/>
      <c r="G607" s="407"/>
      <c r="H607" s="406"/>
      <c r="I607" s="406"/>
      <c r="J607" s="406"/>
      <c r="K607" s="406"/>
      <c r="L607" s="406"/>
      <c r="M607" s="406"/>
      <c r="N607" s="406"/>
      <c r="O607" s="406"/>
      <c r="P607" s="406"/>
      <c r="Q607" s="406"/>
      <c r="R607" s="406"/>
      <c r="S607" s="406"/>
      <c r="T607" s="406"/>
      <c r="U607" s="406"/>
      <c r="V607" s="406"/>
      <c r="W607" s="406"/>
      <c r="X607" s="406"/>
      <c r="Y607" s="406"/>
      <c r="Z607" s="406"/>
    </row>
    <row r="608">
      <c r="A608" s="406"/>
      <c r="B608" s="406"/>
      <c r="C608" s="406"/>
      <c r="D608" s="406"/>
      <c r="E608" s="406"/>
      <c r="F608" s="406"/>
      <c r="G608" s="407"/>
      <c r="H608" s="406"/>
      <c r="I608" s="406"/>
      <c r="J608" s="406"/>
      <c r="K608" s="406"/>
      <c r="L608" s="406"/>
      <c r="M608" s="406"/>
      <c r="N608" s="406"/>
      <c r="O608" s="406"/>
      <c r="P608" s="406"/>
      <c r="Q608" s="406"/>
      <c r="R608" s="406"/>
      <c r="S608" s="406"/>
      <c r="T608" s="406"/>
      <c r="U608" s="406"/>
      <c r="V608" s="406"/>
      <c r="W608" s="406"/>
      <c r="X608" s="406"/>
      <c r="Y608" s="406"/>
      <c r="Z608" s="406"/>
    </row>
    <row r="609">
      <c r="A609" s="406"/>
      <c r="B609" s="406"/>
      <c r="C609" s="406"/>
      <c r="D609" s="406"/>
      <c r="E609" s="406"/>
      <c r="F609" s="406"/>
      <c r="G609" s="407"/>
      <c r="H609" s="406"/>
      <c r="I609" s="406"/>
      <c r="J609" s="406"/>
      <c r="K609" s="406"/>
      <c r="L609" s="406"/>
      <c r="M609" s="406"/>
      <c r="N609" s="406"/>
      <c r="O609" s="406"/>
      <c r="P609" s="406"/>
      <c r="Q609" s="406"/>
      <c r="R609" s="406"/>
      <c r="S609" s="406"/>
      <c r="T609" s="406"/>
      <c r="U609" s="406"/>
      <c r="V609" s="406"/>
      <c r="W609" s="406"/>
      <c r="X609" s="406"/>
      <c r="Y609" s="406"/>
      <c r="Z609" s="406"/>
    </row>
    <row r="610">
      <c r="A610" s="406"/>
      <c r="B610" s="406"/>
      <c r="C610" s="406"/>
      <c r="D610" s="406"/>
      <c r="E610" s="406"/>
      <c r="F610" s="406"/>
      <c r="G610" s="407"/>
      <c r="H610" s="406"/>
      <c r="I610" s="406"/>
      <c r="J610" s="406"/>
      <c r="K610" s="406"/>
      <c r="L610" s="406"/>
      <c r="M610" s="406"/>
      <c r="N610" s="406"/>
      <c r="O610" s="406"/>
      <c r="P610" s="406"/>
      <c r="Q610" s="406"/>
      <c r="R610" s="406"/>
      <c r="S610" s="406"/>
      <c r="T610" s="406"/>
      <c r="U610" s="406"/>
      <c r="V610" s="406"/>
      <c r="W610" s="406"/>
      <c r="X610" s="406"/>
      <c r="Y610" s="406"/>
      <c r="Z610" s="406"/>
    </row>
    <row r="611">
      <c r="A611" s="406"/>
      <c r="B611" s="406"/>
      <c r="C611" s="406"/>
      <c r="D611" s="406"/>
      <c r="E611" s="406"/>
      <c r="F611" s="406"/>
      <c r="G611" s="407"/>
      <c r="H611" s="406"/>
      <c r="I611" s="406"/>
      <c r="J611" s="406"/>
      <c r="K611" s="406"/>
      <c r="L611" s="406"/>
      <c r="M611" s="406"/>
      <c r="N611" s="406"/>
      <c r="O611" s="406"/>
      <c r="P611" s="406"/>
      <c r="Q611" s="406"/>
      <c r="R611" s="406"/>
      <c r="S611" s="406"/>
      <c r="T611" s="406"/>
      <c r="U611" s="406"/>
      <c r="V611" s="406"/>
      <c r="W611" s="406"/>
      <c r="X611" s="406"/>
      <c r="Y611" s="406"/>
      <c r="Z611" s="406"/>
    </row>
    <row r="612">
      <c r="A612" s="406"/>
      <c r="B612" s="406"/>
      <c r="C612" s="406"/>
      <c r="D612" s="406"/>
      <c r="E612" s="406"/>
      <c r="F612" s="406"/>
      <c r="G612" s="407"/>
      <c r="H612" s="406"/>
      <c r="I612" s="406"/>
      <c r="J612" s="406"/>
      <c r="K612" s="406"/>
      <c r="L612" s="406"/>
      <c r="M612" s="406"/>
      <c r="N612" s="406"/>
      <c r="O612" s="406"/>
      <c r="P612" s="406"/>
      <c r="Q612" s="406"/>
      <c r="R612" s="406"/>
      <c r="S612" s="406"/>
      <c r="T612" s="406"/>
      <c r="U612" s="406"/>
      <c r="V612" s="406"/>
      <c r="W612" s="406"/>
      <c r="X612" s="406"/>
      <c r="Y612" s="406"/>
      <c r="Z612" s="406"/>
    </row>
    <row r="613">
      <c r="A613" s="406"/>
      <c r="B613" s="406"/>
      <c r="C613" s="406"/>
      <c r="D613" s="406"/>
      <c r="E613" s="406"/>
      <c r="F613" s="406"/>
      <c r="G613" s="407"/>
      <c r="H613" s="406"/>
      <c r="I613" s="406"/>
      <c r="J613" s="406"/>
      <c r="K613" s="406"/>
      <c r="L613" s="406"/>
      <c r="M613" s="406"/>
      <c r="N613" s="406"/>
      <c r="O613" s="406"/>
      <c r="P613" s="406"/>
      <c r="Q613" s="406"/>
      <c r="R613" s="406"/>
      <c r="S613" s="406"/>
      <c r="T613" s="406"/>
      <c r="U613" s="406"/>
      <c r="V613" s="406"/>
      <c r="W613" s="406"/>
      <c r="X613" s="406"/>
      <c r="Y613" s="406"/>
      <c r="Z613" s="406"/>
    </row>
    <row r="614">
      <c r="A614" s="406"/>
      <c r="B614" s="406"/>
      <c r="C614" s="406"/>
      <c r="D614" s="406"/>
      <c r="E614" s="406"/>
      <c r="F614" s="406"/>
      <c r="G614" s="407"/>
      <c r="H614" s="406"/>
      <c r="I614" s="406"/>
      <c r="J614" s="406"/>
      <c r="K614" s="406"/>
      <c r="L614" s="406"/>
      <c r="M614" s="406"/>
      <c r="N614" s="406"/>
      <c r="O614" s="406"/>
      <c r="P614" s="406"/>
      <c r="Q614" s="406"/>
      <c r="R614" s="406"/>
      <c r="S614" s="406"/>
      <c r="T614" s="406"/>
      <c r="U614" s="406"/>
      <c r="V614" s="406"/>
      <c r="W614" s="406"/>
      <c r="X614" s="406"/>
      <c r="Y614" s="406"/>
      <c r="Z614" s="406"/>
    </row>
    <row r="615">
      <c r="A615" s="406"/>
      <c r="B615" s="406"/>
      <c r="C615" s="406"/>
      <c r="D615" s="406"/>
      <c r="E615" s="406"/>
      <c r="F615" s="406"/>
      <c r="G615" s="407"/>
      <c r="H615" s="406"/>
      <c r="I615" s="406"/>
      <c r="J615" s="406"/>
      <c r="K615" s="406"/>
      <c r="L615" s="406"/>
      <c r="M615" s="406"/>
      <c r="N615" s="406"/>
      <c r="O615" s="406"/>
      <c r="P615" s="406"/>
      <c r="Q615" s="406"/>
      <c r="R615" s="406"/>
      <c r="S615" s="406"/>
      <c r="T615" s="406"/>
      <c r="U615" s="406"/>
      <c r="V615" s="406"/>
      <c r="W615" s="406"/>
      <c r="X615" s="406"/>
      <c r="Y615" s="406"/>
      <c r="Z615" s="406"/>
    </row>
    <row r="616">
      <c r="A616" s="406"/>
      <c r="B616" s="406"/>
      <c r="C616" s="406"/>
      <c r="D616" s="406"/>
      <c r="E616" s="406"/>
      <c r="F616" s="406"/>
      <c r="G616" s="407"/>
      <c r="H616" s="406"/>
      <c r="I616" s="406"/>
      <c r="J616" s="406"/>
      <c r="K616" s="406"/>
      <c r="L616" s="406"/>
      <c r="M616" s="406"/>
      <c r="N616" s="406"/>
      <c r="O616" s="406"/>
      <c r="P616" s="406"/>
      <c r="Q616" s="406"/>
      <c r="R616" s="406"/>
      <c r="S616" s="406"/>
      <c r="T616" s="406"/>
      <c r="U616" s="406"/>
      <c r="V616" s="406"/>
      <c r="W616" s="406"/>
      <c r="X616" s="406"/>
      <c r="Y616" s="406"/>
      <c r="Z616" s="406"/>
    </row>
    <row r="617">
      <c r="A617" s="406"/>
      <c r="B617" s="406"/>
      <c r="C617" s="406"/>
      <c r="D617" s="406"/>
      <c r="E617" s="406"/>
      <c r="F617" s="406"/>
      <c r="G617" s="407"/>
      <c r="H617" s="406"/>
      <c r="I617" s="406"/>
      <c r="J617" s="406"/>
      <c r="K617" s="406"/>
      <c r="L617" s="406"/>
      <c r="M617" s="406"/>
      <c r="N617" s="406"/>
      <c r="O617" s="406"/>
      <c r="P617" s="406"/>
      <c r="Q617" s="406"/>
      <c r="R617" s="406"/>
      <c r="S617" s="406"/>
      <c r="T617" s="406"/>
      <c r="U617" s="406"/>
      <c r="V617" s="406"/>
      <c r="W617" s="406"/>
      <c r="X617" s="406"/>
      <c r="Y617" s="406"/>
      <c r="Z617" s="406"/>
    </row>
    <row r="618">
      <c r="A618" s="406"/>
      <c r="B618" s="406"/>
      <c r="C618" s="406"/>
      <c r="D618" s="406"/>
      <c r="E618" s="406"/>
      <c r="F618" s="406"/>
      <c r="G618" s="407"/>
      <c r="H618" s="406"/>
      <c r="I618" s="406"/>
      <c r="J618" s="406"/>
      <c r="K618" s="406"/>
      <c r="L618" s="406"/>
      <c r="M618" s="406"/>
      <c r="N618" s="406"/>
      <c r="O618" s="406"/>
      <c r="P618" s="406"/>
      <c r="Q618" s="406"/>
      <c r="R618" s="406"/>
      <c r="S618" s="406"/>
      <c r="T618" s="406"/>
      <c r="U618" s="406"/>
      <c r="V618" s="406"/>
      <c r="W618" s="406"/>
      <c r="X618" s="406"/>
      <c r="Y618" s="406"/>
      <c r="Z618" s="406"/>
    </row>
    <row r="619">
      <c r="A619" s="406"/>
      <c r="B619" s="406"/>
      <c r="C619" s="406"/>
      <c r="D619" s="406"/>
      <c r="E619" s="406"/>
      <c r="F619" s="406"/>
      <c r="G619" s="407"/>
      <c r="H619" s="406"/>
      <c r="I619" s="406"/>
      <c r="J619" s="406"/>
      <c r="K619" s="406"/>
      <c r="L619" s="406"/>
      <c r="M619" s="406"/>
      <c r="N619" s="406"/>
      <c r="O619" s="406"/>
      <c r="P619" s="406"/>
      <c r="Q619" s="406"/>
      <c r="R619" s="406"/>
      <c r="S619" s="406"/>
      <c r="T619" s="406"/>
      <c r="U619" s="406"/>
      <c r="V619" s="406"/>
      <c r="W619" s="406"/>
      <c r="X619" s="406"/>
      <c r="Y619" s="406"/>
      <c r="Z619" s="406"/>
    </row>
    <row r="620">
      <c r="A620" s="406"/>
      <c r="B620" s="406"/>
      <c r="C620" s="406"/>
      <c r="D620" s="406"/>
      <c r="E620" s="406"/>
      <c r="F620" s="406"/>
      <c r="G620" s="407"/>
      <c r="H620" s="406"/>
      <c r="I620" s="406"/>
      <c r="J620" s="406"/>
      <c r="K620" s="406"/>
      <c r="L620" s="406"/>
      <c r="M620" s="406"/>
      <c r="N620" s="406"/>
      <c r="O620" s="406"/>
      <c r="P620" s="406"/>
      <c r="Q620" s="406"/>
      <c r="R620" s="406"/>
      <c r="S620" s="406"/>
      <c r="T620" s="406"/>
      <c r="U620" s="406"/>
      <c r="V620" s="406"/>
      <c r="W620" s="406"/>
      <c r="X620" s="406"/>
      <c r="Y620" s="406"/>
      <c r="Z620" s="406"/>
    </row>
    <row r="621">
      <c r="A621" s="406"/>
      <c r="B621" s="406"/>
      <c r="C621" s="406"/>
      <c r="D621" s="406"/>
      <c r="E621" s="406"/>
      <c r="F621" s="406"/>
      <c r="G621" s="407"/>
      <c r="H621" s="406"/>
      <c r="I621" s="406"/>
      <c r="J621" s="406"/>
      <c r="K621" s="406"/>
      <c r="L621" s="406"/>
      <c r="M621" s="406"/>
      <c r="N621" s="406"/>
      <c r="O621" s="406"/>
      <c r="P621" s="406"/>
      <c r="Q621" s="406"/>
      <c r="R621" s="406"/>
      <c r="S621" s="406"/>
      <c r="T621" s="406"/>
      <c r="U621" s="406"/>
      <c r="V621" s="406"/>
      <c r="W621" s="406"/>
      <c r="X621" s="406"/>
      <c r="Y621" s="406"/>
      <c r="Z621" s="406"/>
    </row>
    <row r="622">
      <c r="A622" s="406"/>
      <c r="B622" s="406"/>
      <c r="C622" s="406"/>
      <c r="D622" s="406"/>
      <c r="E622" s="406"/>
      <c r="F622" s="406"/>
      <c r="G622" s="407"/>
      <c r="H622" s="406"/>
      <c r="I622" s="406"/>
      <c r="J622" s="406"/>
      <c r="K622" s="406"/>
      <c r="L622" s="406"/>
      <c r="M622" s="406"/>
      <c r="N622" s="406"/>
      <c r="O622" s="406"/>
      <c r="P622" s="406"/>
      <c r="Q622" s="406"/>
      <c r="R622" s="406"/>
      <c r="S622" s="406"/>
      <c r="T622" s="406"/>
      <c r="U622" s="406"/>
      <c r="V622" s="406"/>
      <c r="W622" s="406"/>
      <c r="X622" s="406"/>
      <c r="Y622" s="406"/>
      <c r="Z622" s="406"/>
    </row>
    <row r="623">
      <c r="A623" s="406"/>
      <c r="B623" s="406"/>
      <c r="C623" s="406"/>
      <c r="D623" s="406"/>
      <c r="E623" s="406"/>
      <c r="F623" s="406"/>
      <c r="G623" s="407"/>
      <c r="H623" s="406"/>
      <c r="I623" s="406"/>
      <c r="J623" s="406"/>
      <c r="K623" s="406"/>
      <c r="L623" s="406"/>
      <c r="M623" s="406"/>
      <c r="N623" s="406"/>
      <c r="O623" s="406"/>
      <c r="P623" s="406"/>
      <c r="Q623" s="406"/>
      <c r="R623" s="406"/>
      <c r="S623" s="406"/>
      <c r="T623" s="406"/>
      <c r="U623" s="406"/>
      <c r="V623" s="406"/>
      <c r="W623" s="406"/>
      <c r="X623" s="406"/>
      <c r="Y623" s="406"/>
      <c r="Z623" s="406"/>
    </row>
    <row r="624">
      <c r="A624" s="406"/>
      <c r="B624" s="406"/>
      <c r="C624" s="406"/>
      <c r="D624" s="406"/>
      <c r="E624" s="406"/>
      <c r="F624" s="406"/>
      <c r="G624" s="407"/>
      <c r="H624" s="406"/>
      <c r="I624" s="406"/>
      <c r="J624" s="406"/>
      <c r="K624" s="406"/>
      <c r="L624" s="406"/>
      <c r="M624" s="406"/>
      <c r="N624" s="406"/>
      <c r="O624" s="406"/>
      <c r="P624" s="406"/>
      <c r="Q624" s="406"/>
      <c r="R624" s="406"/>
      <c r="S624" s="406"/>
      <c r="T624" s="406"/>
      <c r="U624" s="406"/>
      <c r="V624" s="406"/>
      <c r="W624" s="406"/>
      <c r="X624" s="406"/>
      <c r="Y624" s="406"/>
      <c r="Z624" s="406"/>
    </row>
    <row r="625">
      <c r="A625" s="406"/>
      <c r="B625" s="406"/>
      <c r="C625" s="406"/>
      <c r="D625" s="406"/>
      <c r="E625" s="406"/>
      <c r="F625" s="406"/>
      <c r="G625" s="407"/>
      <c r="H625" s="406"/>
      <c r="I625" s="406"/>
      <c r="J625" s="406"/>
      <c r="K625" s="406"/>
      <c r="L625" s="406"/>
      <c r="M625" s="406"/>
      <c r="N625" s="406"/>
      <c r="O625" s="406"/>
      <c r="P625" s="406"/>
      <c r="Q625" s="406"/>
      <c r="R625" s="406"/>
      <c r="S625" s="406"/>
      <c r="T625" s="406"/>
      <c r="U625" s="406"/>
      <c r="V625" s="406"/>
      <c r="W625" s="406"/>
      <c r="X625" s="406"/>
      <c r="Y625" s="406"/>
      <c r="Z625" s="406"/>
    </row>
    <row r="626">
      <c r="A626" s="406"/>
      <c r="B626" s="406"/>
      <c r="C626" s="406"/>
      <c r="D626" s="406"/>
      <c r="E626" s="406"/>
      <c r="F626" s="406"/>
      <c r="G626" s="407"/>
      <c r="H626" s="406"/>
      <c r="I626" s="406"/>
      <c r="J626" s="406"/>
      <c r="K626" s="406"/>
      <c r="L626" s="406"/>
      <c r="M626" s="406"/>
      <c r="N626" s="406"/>
      <c r="O626" s="406"/>
      <c r="P626" s="406"/>
      <c r="Q626" s="406"/>
      <c r="R626" s="406"/>
      <c r="S626" s="406"/>
      <c r="T626" s="406"/>
      <c r="U626" s="406"/>
      <c r="V626" s="406"/>
      <c r="W626" s="406"/>
      <c r="X626" s="406"/>
      <c r="Y626" s="406"/>
      <c r="Z626" s="406"/>
    </row>
    <row r="627">
      <c r="A627" s="406"/>
      <c r="B627" s="406"/>
      <c r="C627" s="406"/>
      <c r="D627" s="406"/>
      <c r="E627" s="406"/>
      <c r="F627" s="406"/>
      <c r="G627" s="407"/>
      <c r="H627" s="406"/>
      <c r="I627" s="406"/>
      <c r="J627" s="406"/>
      <c r="K627" s="406"/>
      <c r="L627" s="406"/>
      <c r="M627" s="406"/>
      <c r="N627" s="406"/>
      <c r="O627" s="406"/>
      <c r="P627" s="406"/>
      <c r="Q627" s="406"/>
      <c r="R627" s="406"/>
      <c r="S627" s="406"/>
      <c r="T627" s="406"/>
      <c r="U627" s="406"/>
      <c r="V627" s="406"/>
      <c r="W627" s="406"/>
      <c r="X627" s="406"/>
      <c r="Y627" s="406"/>
      <c r="Z627" s="406"/>
    </row>
    <row r="628">
      <c r="A628" s="406"/>
      <c r="B628" s="406"/>
      <c r="C628" s="406"/>
      <c r="D628" s="406"/>
      <c r="E628" s="406"/>
      <c r="F628" s="406"/>
      <c r="G628" s="407"/>
      <c r="H628" s="406"/>
      <c r="I628" s="406"/>
      <c r="J628" s="406"/>
      <c r="K628" s="406"/>
      <c r="L628" s="406"/>
      <c r="M628" s="406"/>
      <c r="N628" s="406"/>
      <c r="O628" s="406"/>
      <c r="P628" s="406"/>
      <c r="Q628" s="406"/>
      <c r="R628" s="406"/>
      <c r="S628" s="406"/>
      <c r="T628" s="406"/>
      <c r="U628" s="406"/>
      <c r="V628" s="406"/>
      <c r="W628" s="406"/>
      <c r="X628" s="406"/>
      <c r="Y628" s="406"/>
      <c r="Z628" s="406"/>
    </row>
    <row r="629">
      <c r="A629" s="406"/>
      <c r="B629" s="406"/>
      <c r="C629" s="406"/>
      <c r="D629" s="406"/>
      <c r="E629" s="406"/>
      <c r="F629" s="406"/>
      <c r="G629" s="407"/>
      <c r="H629" s="406"/>
      <c r="I629" s="406"/>
      <c r="J629" s="406"/>
      <c r="K629" s="406"/>
      <c r="L629" s="406"/>
      <c r="M629" s="406"/>
      <c r="N629" s="406"/>
      <c r="O629" s="406"/>
      <c r="P629" s="406"/>
      <c r="Q629" s="406"/>
      <c r="R629" s="406"/>
      <c r="S629" s="406"/>
      <c r="T629" s="406"/>
      <c r="U629" s="406"/>
      <c r="V629" s="406"/>
      <c r="W629" s="406"/>
      <c r="X629" s="406"/>
      <c r="Y629" s="406"/>
      <c r="Z629" s="406"/>
    </row>
    <row r="630">
      <c r="A630" s="406"/>
      <c r="B630" s="406"/>
      <c r="C630" s="406"/>
      <c r="D630" s="406"/>
      <c r="E630" s="406"/>
      <c r="F630" s="406"/>
      <c r="G630" s="407"/>
      <c r="H630" s="406"/>
      <c r="I630" s="406"/>
      <c r="J630" s="406"/>
      <c r="K630" s="406"/>
      <c r="L630" s="406"/>
      <c r="M630" s="406"/>
      <c r="N630" s="406"/>
      <c r="O630" s="406"/>
      <c r="P630" s="406"/>
      <c r="Q630" s="406"/>
      <c r="R630" s="406"/>
      <c r="S630" s="406"/>
      <c r="T630" s="406"/>
      <c r="U630" s="406"/>
      <c r="V630" s="406"/>
      <c r="W630" s="406"/>
      <c r="X630" s="406"/>
      <c r="Y630" s="406"/>
      <c r="Z630" s="406"/>
    </row>
    <row r="631">
      <c r="A631" s="406"/>
      <c r="B631" s="406"/>
      <c r="C631" s="406"/>
      <c r="D631" s="406"/>
      <c r="E631" s="406"/>
      <c r="F631" s="406"/>
      <c r="G631" s="407"/>
      <c r="H631" s="406"/>
      <c r="I631" s="406"/>
      <c r="J631" s="406"/>
      <c r="K631" s="406"/>
      <c r="L631" s="406"/>
      <c r="M631" s="406"/>
      <c r="N631" s="406"/>
      <c r="O631" s="406"/>
      <c r="P631" s="406"/>
      <c r="Q631" s="406"/>
      <c r="R631" s="406"/>
      <c r="S631" s="406"/>
      <c r="T631" s="406"/>
      <c r="U631" s="406"/>
      <c r="V631" s="406"/>
      <c r="W631" s="406"/>
      <c r="X631" s="406"/>
      <c r="Y631" s="406"/>
      <c r="Z631" s="406"/>
    </row>
    <row r="632">
      <c r="A632" s="406"/>
      <c r="B632" s="406"/>
      <c r="C632" s="406"/>
      <c r="D632" s="406"/>
      <c r="E632" s="406"/>
      <c r="F632" s="406"/>
      <c r="G632" s="407"/>
      <c r="H632" s="406"/>
      <c r="I632" s="406"/>
      <c r="J632" s="406"/>
      <c r="K632" s="406"/>
      <c r="L632" s="406"/>
      <c r="M632" s="406"/>
      <c r="N632" s="406"/>
      <c r="O632" s="406"/>
      <c r="P632" s="406"/>
      <c r="Q632" s="406"/>
      <c r="R632" s="406"/>
      <c r="S632" s="406"/>
      <c r="T632" s="406"/>
      <c r="U632" s="406"/>
      <c r="V632" s="406"/>
      <c r="W632" s="406"/>
      <c r="X632" s="406"/>
      <c r="Y632" s="406"/>
      <c r="Z632" s="406"/>
    </row>
    <row r="633">
      <c r="A633" s="406"/>
      <c r="B633" s="406"/>
      <c r="C633" s="406"/>
      <c r="D633" s="406"/>
      <c r="E633" s="406"/>
      <c r="F633" s="406"/>
      <c r="G633" s="407"/>
      <c r="H633" s="406"/>
      <c r="I633" s="406"/>
      <c r="J633" s="406"/>
      <c r="K633" s="406"/>
      <c r="L633" s="406"/>
      <c r="M633" s="406"/>
      <c r="N633" s="406"/>
      <c r="O633" s="406"/>
      <c r="P633" s="406"/>
      <c r="Q633" s="406"/>
      <c r="R633" s="406"/>
      <c r="S633" s="406"/>
      <c r="T633" s="406"/>
      <c r="U633" s="406"/>
      <c r="V633" s="406"/>
      <c r="W633" s="406"/>
      <c r="X633" s="406"/>
      <c r="Y633" s="406"/>
      <c r="Z633" s="406"/>
    </row>
    <row r="634">
      <c r="A634" s="406"/>
      <c r="B634" s="406"/>
      <c r="C634" s="406"/>
      <c r="D634" s="406"/>
      <c r="E634" s="406"/>
      <c r="F634" s="406"/>
      <c r="G634" s="407"/>
      <c r="H634" s="406"/>
      <c r="I634" s="406"/>
      <c r="J634" s="406"/>
      <c r="K634" s="406"/>
      <c r="L634" s="406"/>
      <c r="M634" s="406"/>
      <c r="N634" s="406"/>
      <c r="O634" s="406"/>
      <c r="P634" s="406"/>
      <c r="Q634" s="406"/>
      <c r="R634" s="406"/>
      <c r="S634" s="406"/>
      <c r="T634" s="406"/>
      <c r="U634" s="406"/>
      <c r="V634" s="406"/>
      <c r="W634" s="406"/>
      <c r="X634" s="406"/>
      <c r="Y634" s="406"/>
      <c r="Z634" s="406"/>
    </row>
    <row r="635">
      <c r="A635" s="406"/>
      <c r="B635" s="406"/>
      <c r="C635" s="406"/>
      <c r="D635" s="406"/>
      <c r="E635" s="406"/>
      <c r="F635" s="406"/>
      <c r="G635" s="407"/>
      <c r="H635" s="406"/>
      <c r="I635" s="406"/>
      <c r="J635" s="406"/>
      <c r="K635" s="406"/>
      <c r="L635" s="406"/>
      <c r="M635" s="406"/>
      <c r="N635" s="406"/>
      <c r="O635" s="406"/>
      <c r="P635" s="406"/>
      <c r="Q635" s="406"/>
      <c r="R635" s="406"/>
      <c r="S635" s="406"/>
      <c r="T635" s="406"/>
      <c r="U635" s="406"/>
      <c r="V635" s="406"/>
      <c r="W635" s="406"/>
      <c r="X635" s="406"/>
      <c r="Y635" s="406"/>
      <c r="Z635" s="406"/>
    </row>
    <row r="636">
      <c r="A636" s="406"/>
      <c r="B636" s="406"/>
      <c r="C636" s="406"/>
      <c r="D636" s="406"/>
      <c r="E636" s="406"/>
      <c r="F636" s="406"/>
      <c r="G636" s="407"/>
      <c r="H636" s="406"/>
      <c r="I636" s="406"/>
      <c r="J636" s="406"/>
      <c r="K636" s="406"/>
      <c r="L636" s="406"/>
      <c r="M636" s="406"/>
      <c r="N636" s="406"/>
      <c r="O636" s="406"/>
      <c r="P636" s="406"/>
      <c r="Q636" s="406"/>
      <c r="R636" s="406"/>
      <c r="S636" s="406"/>
      <c r="T636" s="406"/>
      <c r="U636" s="406"/>
      <c r="V636" s="406"/>
      <c r="W636" s="406"/>
      <c r="X636" s="406"/>
      <c r="Y636" s="406"/>
      <c r="Z636" s="406"/>
    </row>
    <row r="637">
      <c r="A637" s="406"/>
      <c r="B637" s="406"/>
      <c r="C637" s="406"/>
      <c r="D637" s="406"/>
      <c r="E637" s="406"/>
      <c r="F637" s="406"/>
      <c r="G637" s="407"/>
      <c r="H637" s="406"/>
      <c r="I637" s="406"/>
      <c r="J637" s="406"/>
      <c r="K637" s="406"/>
      <c r="L637" s="406"/>
      <c r="M637" s="406"/>
      <c r="N637" s="406"/>
      <c r="O637" s="406"/>
      <c r="P637" s="406"/>
      <c r="Q637" s="406"/>
      <c r="R637" s="406"/>
      <c r="S637" s="406"/>
      <c r="T637" s="406"/>
      <c r="U637" s="406"/>
      <c r="V637" s="406"/>
      <c r="W637" s="406"/>
      <c r="X637" s="406"/>
      <c r="Y637" s="406"/>
      <c r="Z637" s="406"/>
    </row>
    <row r="638">
      <c r="A638" s="406"/>
      <c r="B638" s="406"/>
      <c r="C638" s="406"/>
      <c r="D638" s="406"/>
      <c r="E638" s="406"/>
      <c r="F638" s="406"/>
      <c r="G638" s="407"/>
      <c r="H638" s="406"/>
      <c r="I638" s="406"/>
      <c r="J638" s="406"/>
      <c r="K638" s="406"/>
      <c r="L638" s="406"/>
      <c r="M638" s="406"/>
      <c r="N638" s="406"/>
      <c r="O638" s="406"/>
      <c r="P638" s="406"/>
      <c r="Q638" s="406"/>
      <c r="R638" s="406"/>
      <c r="S638" s="406"/>
      <c r="T638" s="406"/>
      <c r="U638" s="406"/>
      <c r="V638" s="406"/>
      <c r="W638" s="406"/>
      <c r="X638" s="406"/>
      <c r="Y638" s="406"/>
      <c r="Z638" s="406"/>
    </row>
    <row r="639">
      <c r="A639" s="406"/>
      <c r="B639" s="406"/>
      <c r="C639" s="406"/>
      <c r="D639" s="406"/>
      <c r="E639" s="406"/>
      <c r="F639" s="406"/>
      <c r="G639" s="407"/>
      <c r="H639" s="406"/>
      <c r="I639" s="406"/>
      <c r="J639" s="406"/>
      <c r="K639" s="406"/>
      <c r="L639" s="406"/>
      <c r="M639" s="406"/>
      <c r="N639" s="406"/>
      <c r="O639" s="406"/>
      <c r="P639" s="406"/>
      <c r="Q639" s="406"/>
      <c r="R639" s="406"/>
      <c r="S639" s="406"/>
      <c r="T639" s="406"/>
      <c r="U639" s="406"/>
      <c r="V639" s="406"/>
      <c r="W639" s="406"/>
      <c r="X639" s="406"/>
      <c r="Y639" s="406"/>
      <c r="Z639" s="406"/>
    </row>
    <row r="640">
      <c r="A640" s="406"/>
      <c r="B640" s="406"/>
      <c r="C640" s="406"/>
      <c r="D640" s="406"/>
      <c r="E640" s="406"/>
      <c r="F640" s="406"/>
      <c r="G640" s="407"/>
      <c r="H640" s="406"/>
      <c r="I640" s="406"/>
      <c r="J640" s="406"/>
      <c r="K640" s="406"/>
      <c r="L640" s="406"/>
      <c r="M640" s="406"/>
      <c r="N640" s="406"/>
      <c r="O640" s="406"/>
      <c r="P640" s="406"/>
      <c r="Q640" s="406"/>
      <c r="R640" s="406"/>
      <c r="S640" s="406"/>
      <c r="T640" s="406"/>
      <c r="U640" s="406"/>
      <c r="V640" s="406"/>
      <c r="W640" s="406"/>
      <c r="X640" s="406"/>
      <c r="Y640" s="406"/>
      <c r="Z640" s="406"/>
    </row>
    <row r="641">
      <c r="A641" s="406"/>
      <c r="B641" s="406"/>
      <c r="C641" s="406"/>
      <c r="D641" s="406"/>
      <c r="E641" s="406"/>
      <c r="F641" s="406"/>
      <c r="G641" s="407"/>
      <c r="H641" s="406"/>
      <c r="I641" s="406"/>
      <c r="J641" s="406"/>
      <c r="K641" s="406"/>
      <c r="L641" s="406"/>
      <c r="M641" s="406"/>
      <c r="N641" s="406"/>
      <c r="O641" s="406"/>
      <c r="P641" s="406"/>
      <c r="Q641" s="406"/>
      <c r="R641" s="406"/>
      <c r="S641" s="406"/>
      <c r="T641" s="406"/>
      <c r="U641" s="406"/>
      <c r="V641" s="406"/>
      <c r="W641" s="406"/>
      <c r="X641" s="406"/>
      <c r="Y641" s="406"/>
      <c r="Z641" s="406"/>
    </row>
    <row r="642">
      <c r="A642" s="406"/>
      <c r="B642" s="406"/>
      <c r="C642" s="406"/>
      <c r="D642" s="406"/>
      <c r="E642" s="406"/>
      <c r="F642" s="406"/>
      <c r="G642" s="407"/>
      <c r="H642" s="406"/>
      <c r="I642" s="406"/>
      <c r="J642" s="406"/>
      <c r="K642" s="406"/>
      <c r="L642" s="406"/>
      <c r="M642" s="406"/>
      <c r="N642" s="406"/>
      <c r="O642" s="406"/>
      <c r="P642" s="406"/>
      <c r="Q642" s="406"/>
      <c r="R642" s="406"/>
      <c r="S642" s="406"/>
      <c r="T642" s="406"/>
      <c r="U642" s="406"/>
      <c r="V642" s="406"/>
      <c r="W642" s="406"/>
      <c r="X642" s="406"/>
      <c r="Y642" s="406"/>
      <c r="Z642" s="406"/>
    </row>
    <row r="643">
      <c r="A643" s="406"/>
      <c r="B643" s="406"/>
      <c r="C643" s="406"/>
      <c r="D643" s="406"/>
      <c r="E643" s="406"/>
      <c r="F643" s="406"/>
      <c r="G643" s="407"/>
      <c r="H643" s="406"/>
      <c r="I643" s="406"/>
      <c r="J643" s="406"/>
      <c r="K643" s="406"/>
      <c r="L643" s="406"/>
      <c r="M643" s="406"/>
      <c r="N643" s="406"/>
      <c r="O643" s="406"/>
      <c r="P643" s="406"/>
      <c r="Q643" s="406"/>
      <c r="R643" s="406"/>
      <c r="S643" s="406"/>
      <c r="T643" s="406"/>
      <c r="U643" s="406"/>
      <c r="V643" s="406"/>
      <c r="W643" s="406"/>
      <c r="X643" s="406"/>
      <c r="Y643" s="406"/>
      <c r="Z643" s="406"/>
    </row>
    <row r="644">
      <c r="A644" s="406"/>
      <c r="B644" s="406"/>
      <c r="C644" s="406"/>
      <c r="D644" s="406"/>
      <c r="E644" s="406"/>
      <c r="F644" s="406"/>
      <c r="G644" s="407"/>
      <c r="H644" s="406"/>
      <c r="I644" s="406"/>
      <c r="J644" s="406"/>
      <c r="K644" s="406"/>
      <c r="L644" s="406"/>
      <c r="M644" s="406"/>
      <c r="N644" s="406"/>
      <c r="O644" s="406"/>
      <c r="P644" s="406"/>
      <c r="Q644" s="406"/>
      <c r="R644" s="406"/>
      <c r="S644" s="406"/>
      <c r="T644" s="406"/>
      <c r="U644" s="406"/>
      <c r="V644" s="406"/>
      <c r="W644" s="406"/>
      <c r="X644" s="406"/>
      <c r="Y644" s="406"/>
      <c r="Z644" s="406"/>
    </row>
    <row r="645">
      <c r="A645" s="406"/>
      <c r="B645" s="406"/>
      <c r="C645" s="406"/>
      <c r="D645" s="406"/>
      <c r="E645" s="406"/>
      <c r="F645" s="406"/>
      <c r="G645" s="407"/>
      <c r="H645" s="406"/>
      <c r="I645" s="406"/>
      <c r="J645" s="406"/>
      <c r="K645" s="406"/>
      <c r="L645" s="406"/>
      <c r="M645" s="406"/>
      <c r="N645" s="406"/>
      <c r="O645" s="406"/>
      <c r="P645" s="406"/>
      <c r="Q645" s="406"/>
      <c r="R645" s="406"/>
      <c r="S645" s="406"/>
      <c r="T645" s="406"/>
      <c r="U645" s="406"/>
      <c r="V645" s="406"/>
      <c r="W645" s="406"/>
      <c r="X645" s="406"/>
      <c r="Y645" s="406"/>
      <c r="Z645" s="406"/>
    </row>
    <row r="646">
      <c r="A646" s="406"/>
      <c r="B646" s="406"/>
      <c r="C646" s="406"/>
      <c r="D646" s="406"/>
      <c r="E646" s="406"/>
      <c r="F646" s="406"/>
      <c r="G646" s="407"/>
      <c r="H646" s="406"/>
      <c r="I646" s="406"/>
      <c r="J646" s="406"/>
      <c r="K646" s="406"/>
      <c r="L646" s="406"/>
      <c r="M646" s="406"/>
      <c r="N646" s="406"/>
      <c r="O646" s="406"/>
      <c r="P646" s="406"/>
      <c r="Q646" s="406"/>
      <c r="R646" s="406"/>
      <c r="S646" s="406"/>
      <c r="T646" s="406"/>
      <c r="U646" s="406"/>
      <c r="V646" s="406"/>
      <c r="W646" s="406"/>
      <c r="X646" s="406"/>
      <c r="Y646" s="406"/>
      <c r="Z646" s="406"/>
    </row>
    <row r="647">
      <c r="A647" s="406"/>
      <c r="B647" s="406"/>
      <c r="C647" s="406"/>
      <c r="D647" s="406"/>
      <c r="E647" s="406"/>
      <c r="F647" s="406"/>
      <c r="G647" s="407"/>
      <c r="H647" s="406"/>
      <c r="I647" s="406"/>
      <c r="J647" s="406"/>
      <c r="K647" s="406"/>
      <c r="L647" s="406"/>
      <c r="M647" s="406"/>
      <c r="N647" s="406"/>
      <c r="O647" s="406"/>
      <c r="P647" s="406"/>
      <c r="Q647" s="406"/>
      <c r="R647" s="406"/>
      <c r="S647" s="406"/>
      <c r="T647" s="406"/>
      <c r="U647" s="406"/>
      <c r="V647" s="406"/>
      <c r="W647" s="406"/>
      <c r="X647" s="406"/>
      <c r="Y647" s="406"/>
      <c r="Z647" s="406"/>
    </row>
    <row r="648">
      <c r="A648" s="406"/>
      <c r="B648" s="406"/>
      <c r="C648" s="406"/>
      <c r="D648" s="406"/>
      <c r="E648" s="406"/>
      <c r="F648" s="406"/>
      <c r="G648" s="407"/>
      <c r="H648" s="406"/>
      <c r="I648" s="406"/>
      <c r="J648" s="406"/>
      <c r="K648" s="406"/>
      <c r="L648" s="406"/>
      <c r="M648" s="406"/>
      <c r="N648" s="406"/>
      <c r="O648" s="406"/>
      <c r="P648" s="406"/>
      <c r="Q648" s="406"/>
      <c r="R648" s="406"/>
      <c r="S648" s="406"/>
      <c r="T648" s="406"/>
      <c r="U648" s="406"/>
      <c r="V648" s="406"/>
      <c r="W648" s="406"/>
      <c r="X648" s="406"/>
      <c r="Y648" s="406"/>
      <c r="Z648" s="406"/>
    </row>
    <row r="649">
      <c r="A649" s="406"/>
      <c r="B649" s="406"/>
      <c r="C649" s="406"/>
      <c r="D649" s="406"/>
      <c r="E649" s="406"/>
      <c r="F649" s="406"/>
      <c r="G649" s="407"/>
      <c r="H649" s="406"/>
      <c r="I649" s="406"/>
      <c r="J649" s="406"/>
      <c r="K649" s="406"/>
      <c r="L649" s="406"/>
      <c r="M649" s="406"/>
      <c r="N649" s="406"/>
      <c r="O649" s="406"/>
      <c r="P649" s="406"/>
      <c r="Q649" s="406"/>
      <c r="R649" s="406"/>
      <c r="S649" s="406"/>
      <c r="T649" s="406"/>
      <c r="U649" s="406"/>
      <c r="V649" s="406"/>
      <c r="W649" s="406"/>
      <c r="X649" s="406"/>
      <c r="Y649" s="406"/>
      <c r="Z649" s="406"/>
    </row>
    <row r="650">
      <c r="A650" s="406"/>
      <c r="B650" s="406"/>
      <c r="C650" s="406"/>
      <c r="D650" s="406"/>
      <c r="E650" s="406"/>
      <c r="F650" s="406"/>
      <c r="G650" s="407"/>
      <c r="H650" s="406"/>
      <c r="I650" s="406"/>
      <c r="J650" s="406"/>
      <c r="K650" s="406"/>
      <c r="L650" s="406"/>
      <c r="M650" s="406"/>
      <c r="N650" s="406"/>
      <c r="O650" s="406"/>
      <c r="P650" s="406"/>
      <c r="Q650" s="406"/>
      <c r="R650" s="406"/>
      <c r="S650" s="406"/>
      <c r="T650" s="406"/>
      <c r="U650" s="406"/>
      <c r="V650" s="406"/>
      <c r="W650" s="406"/>
      <c r="X650" s="406"/>
      <c r="Y650" s="406"/>
      <c r="Z650" s="406"/>
    </row>
    <row r="651">
      <c r="A651" s="406"/>
      <c r="B651" s="406"/>
      <c r="C651" s="406"/>
      <c r="D651" s="406"/>
      <c r="E651" s="406"/>
      <c r="F651" s="406"/>
      <c r="G651" s="407"/>
      <c r="H651" s="406"/>
      <c r="I651" s="406"/>
      <c r="J651" s="406"/>
      <c r="K651" s="406"/>
      <c r="L651" s="406"/>
      <c r="M651" s="406"/>
      <c r="N651" s="406"/>
      <c r="O651" s="406"/>
      <c r="P651" s="406"/>
      <c r="Q651" s="406"/>
      <c r="R651" s="406"/>
      <c r="S651" s="406"/>
      <c r="T651" s="406"/>
      <c r="U651" s="406"/>
      <c r="V651" s="406"/>
      <c r="W651" s="406"/>
      <c r="X651" s="406"/>
      <c r="Y651" s="406"/>
      <c r="Z651" s="406"/>
    </row>
    <row r="652">
      <c r="A652" s="406"/>
      <c r="B652" s="406"/>
      <c r="C652" s="406"/>
      <c r="D652" s="406"/>
      <c r="E652" s="406"/>
      <c r="F652" s="406"/>
      <c r="G652" s="407"/>
      <c r="H652" s="406"/>
      <c r="I652" s="406"/>
      <c r="J652" s="406"/>
      <c r="K652" s="406"/>
      <c r="L652" s="406"/>
      <c r="M652" s="406"/>
      <c r="N652" s="406"/>
      <c r="O652" s="406"/>
      <c r="P652" s="406"/>
      <c r="Q652" s="406"/>
      <c r="R652" s="406"/>
      <c r="S652" s="406"/>
      <c r="T652" s="406"/>
      <c r="U652" s="406"/>
      <c r="V652" s="406"/>
      <c r="W652" s="406"/>
      <c r="X652" s="406"/>
      <c r="Y652" s="406"/>
      <c r="Z652" s="406"/>
    </row>
    <row r="653">
      <c r="A653" s="406"/>
      <c r="B653" s="406"/>
      <c r="C653" s="406"/>
      <c r="D653" s="406"/>
      <c r="E653" s="406"/>
      <c r="F653" s="406"/>
      <c r="G653" s="407"/>
      <c r="H653" s="406"/>
      <c r="I653" s="406"/>
      <c r="J653" s="406"/>
      <c r="K653" s="406"/>
      <c r="L653" s="406"/>
      <c r="M653" s="406"/>
      <c r="N653" s="406"/>
      <c r="O653" s="406"/>
      <c r="P653" s="406"/>
      <c r="Q653" s="406"/>
      <c r="R653" s="406"/>
      <c r="S653" s="406"/>
      <c r="T653" s="406"/>
      <c r="U653" s="406"/>
      <c r="V653" s="406"/>
      <c r="W653" s="406"/>
      <c r="X653" s="406"/>
      <c r="Y653" s="406"/>
      <c r="Z653" s="406"/>
    </row>
    <row r="654">
      <c r="A654" s="406"/>
      <c r="B654" s="406"/>
      <c r="C654" s="406"/>
      <c r="D654" s="406"/>
      <c r="E654" s="406"/>
      <c r="F654" s="406"/>
      <c r="G654" s="407"/>
      <c r="H654" s="406"/>
      <c r="I654" s="406"/>
      <c r="J654" s="406"/>
      <c r="K654" s="406"/>
      <c r="L654" s="406"/>
      <c r="M654" s="406"/>
      <c r="N654" s="406"/>
      <c r="O654" s="406"/>
      <c r="P654" s="406"/>
      <c r="Q654" s="406"/>
      <c r="R654" s="406"/>
      <c r="S654" s="406"/>
      <c r="T654" s="406"/>
      <c r="U654" s="406"/>
      <c r="V654" s="406"/>
      <c r="W654" s="406"/>
      <c r="X654" s="406"/>
      <c r="Y654" s="406"/>
      <c r="Z654" s="406"/>
    </row>
    <row r="655">
      <c r="A655" s="406"/>
      <c r="B655" s="406"/>
      <c r="C655" s="406"/>
      <c r="D655" s="406"/>
      <c r="E655" s="406"/>
      <c r="F655" s="406"/>
      <c r="G655" s="407"/>
      <c r="H655" s="406"/>
      <c r="I655" s="406"/>
      <c r="J655" s="406"/>
      <c r="K655" s="406"/>
      <c r="L655" s="406"/>
      <c r="M655" s="406"/>
      <c r="N655" s="406"/>
      <c r="O655" s="406"/>
      <c r="P655" s="406"/>
      <c r="Q655" s="406"/>
      <c r="R655" s="406"/>
      <c r="S655" s="406"/>
      <c r="T655" s="406"/>
      <c r="U655" s="406"/>
      <c r="V655" s="406"/>
      <c r="W655" s="406"/>
      <c r="X655" s="406"/>
      <c r="Y655" s="406"/>
      <c r="Z655" s="406"/>
    </row>
    <row r="656">
      <c r="A656" s="406"/>
      <c r="B656" s="406"/>
      <c r="C656" s="406"/>
      <c r="D656" s="406"/>
      <c r="E656" s="406"/>
      <c r="F656" s="406"/>
      <c r="G656" s="407"/>
      <c r="H656" s="406"/>
      <c r="I656" s="406"/>
      <c r="J656" s="406"/>
      <c r="K656" s="406"/>
      <c r="L656" s="406"/>
      <c r="M656" s="406"/>
      <c r="N656" s="406"/>
      <c r="O656" s="406"/>
      <c r="P656" s="406"/>
      <c r="Q656" s="406"/>
      <c r="R656" s="406"/>
      <c r="S656" s="406"/>
      <c r="T656" s="406"/>
      <c r="U656" s="406"/>
      <c r="V656" s="406"/>
      <c r="W656" s="406"/>
      <c r="X656" s="406"/>
      <c r="Y656" s="406"/>
      <c r="Z656" s="406"/>
    </row>
    <row r="657">
      <c r="A657" s="406"/>
      <c r="B657" s="406"/>
      <c r="C657" s="406"/>
      <c r="D657" s="406"/>
      <c r="E657" s="406"/>
      <c r="F657" s="406"/>
      <c r="G657" s="407"/>
      <c r="H657" s="406"/>
      <c r="I657" s="406"/>
      <c r="J657" s="406"/>
      <c r="K657" s="406"/>
      <c r="L657" s="406"/>
      <c r="M657" s="406"/>
      <c r="N657" s="406"/>
      <c r="O657" s="406"/>
      <c r="P657" s="406"/>
      <c r="Q657" s="406"/>
      <c r="R657" s="406"/>
      <c r="S657" s="406"/>
      <c r="T657" s="406"/>
      <c r="U657" s="406"/>
      <c r="V657" s="406"/>
      <c r="W657" s="406"/>
      <c r="X657" s="406"/>
      <c r="Y657" s="406"/>
      <c r="Z657" s="406"/>
    </row>
    <row r="658">
      <c r="A658" s="406"/>
      <c r="B658" s="406"/>
      <c r="C658" s="406"/>
      <c r="D658" s="406"/>
      <c r="E658" s="406"/>
      <c r="F658" s="406"/>
      <c r="G658" s="407"/>
      <c r="H658" s="406"/>
      <c r="I658" s="406"/>
      <c r="J658" s="406"/>
      <c r="K658" s="406"/>
      <c r="L658" s="406"/>
      <c r="M658" s="406"/>
      <c r="N658" s="406"/>
      <c r="O658" s="406"/>
      <c r="P658" s="406"/>
      <c r="Q658" s="406"/>
      <c r="R658" s="406"/>
      <c r="S658" s="406"/>
      <c r="T658" s="406"/>
      <c r="U658" s="406"/>
      <c r="V658" s="406"/>
      <c r="W658" s="406"/>
      <c r="X658" s="406"/>
      <c r="Y658" s="406"/>
      <c r="Z658" s="406"/>
    </row>
    <row r="659">
      <c r="A659" s="406"/>
      <c r="B659" s="406"/>
      <c r="C659" s="406"/>
      <c r="D659" s="406"/>
      <c r="E659" s="406"/>
      <c r="F659" s="406"/>
      <c r="G659" s="407"/>
      <c r="H659" s="406"/>
      <c r="I659" s="406"/>
      <c r="J659" s="406"/>
      <c r="K659" s="406"/>
      <c r="L659" s="406"/>
      <c r="M659" s="406"/>
      <c r="N659" s="406"/>
      <c r="O659" s="406"/>
      <c r="P659" s="406"/>
      <c r="Q659" s="406"/>
      <c r="R659" s="406"/>
      <c r="S659" s="406"/>
      <c r="T659" s="406"/>
      <c r="U659" s="406"/>
      <c r="V659" s="406"/>
      <c r="W659" s="406"/>
      <c r="X659" s="406"/>
      <c r="Y659" s="406"/>
      <c r="Z659" s="406"/>
    </row>
    <row r="660">
      <c r="A660" s="406"/>
      <c r="B660" s="406"/>
      <c r="C660" s="406"/>
      <c r="D660" s="406"/>
      <c r="E660" s="406"/>
      <c r="F660" s="406"/>
      <c r="G660" s="407"/>
      <c r="H660" s="406"/>
      <c r="I660" s="406"/>
      <c r="J660" s="406"/>
      <c r="K660" s="406"/>
      <c r="L660" s="406"/>
      <c r="M660" s="406"/>
      <c r="N660" s="406"/>
      <c r="O660" s="406"/>
      <c r="P660" s="406"/>
      <c r="Q660" s="406"/>
      <c r="R660" s="406"/>
      <c r="S660" s="406"/>
      <c r="T660" s="406"/>
      <c r="U660" s="406"/>
      <c r="V660" s="406"/>
      <c r="W660" s="406"/>
      <c r="X660" s="406"/>
      <c r="Y660" s="406"/>
      <c r="Z660" s="406"/>
    </row>
    <row r="661">
      <c r="A661" s="406"/>
      <c r="B661" s="406"/>
      <c r="C661" s="406"/>
      <c r="D661" s="406"/>
      <c r="E661" s="406"/>
      <c r="F661" s="406"/>
      <c r="G661" s="407"/>
      <c r="H661" s="406"/>
      <c r="I661" s="406"/>
      <c r="J661" s="406"/>
      <c r="K661" s="406"/>
      <c r="L661" s="406"/>
      <c r="M661" s="406"/>
      <c r="N661" s="406"/>
      <c r="O661" s="406"/>
      <c r="P661" s="406"/>
      <c r="Q661" s="406"/>
      <c r="R661" s="406"/>
      <c r="S661" s="406"/>
      <c r="T661" s="406"/>
      <c r="U661" s="406"/>
      <c r="V661" s="406"/>
      <c r="W661" s="406"/>
      <c r="X661" s="406"/>
      <c r="Y661" s="406"/>
      <c r="Z661" s="406"/>
    </row>
    <row r="662">
      <c r="A662" s="406"/>
      <c r="B662" s="406"/>
      <c r="C662" s="406"/>
      <c r="D662" s="406"/>
      <c r="E662" s="406"/>
      <c r="F662" s="406"/>
      <c r="G662" s="407"/>
      <c r="H662" s="406"/>
      <c r="I662" s="406"/>
      <c r="J662" s="406"/>
      <c r="K662" s="406"/>
      <c r="L662" s="406"/>
      <c r="M662" s="406"/>
      <c r="N662" s="406"/>
      <c r="O662" s="406"/>
      <c r="P662" s="406"/>
      <c r="Q662" s="406"/>
      <c r="R662" s="406"/>
      <c r="S662" s="406"/>
      <c r="T662" s="406"/>
      <c r="U662" s="406"/>
      <c r="V662" s="406"/>
      <c r="W662" s="406"/>
      <c r="X662" s="406"/>
      <c r="Y662" s="406"/>
      <c r="Z662" s="406"/>
    </row>
    <row r="663">
      <c r="A663" s="406"/>
      <c r="B663" s="406"/>
      <c r="C663" s="406"/>
      <c r="D663" s="406"/>
      <c r="E663" s="406"/>
      <c r="F663" s="406"/>
      <c r="G663" s="407"/>
      <c r="H663" s="406"/>
      <c r="I663" s="406"/>
      <c r="J663" s="406"/>
      <c r="K663" s="406"/>
      <c r="L663" s="406"/>
      <c r="M663" s="406"/>
      <c r="N663" s="406"/>
      <c r="O663" s="406"/>
      <c r="P663" s="406"/>
      <c r="Q663" s="406"/>
      <c r="R663" s="406"/>
      <c r="S663" s="406"/>
      <c r="T663" s="406"/>
      <c r="U663" s="406"/>
      <c r="V663" s="406"/>
      <c r="W663" s="406"/>
      <c r="X663" s="406"/>
      <c r="Y663" s="406"/>
      <c r="Z663" s="406"/>
    </row>
    <row r="664">
      <c r="A664" s="406"/>
      <c r="B664" s="406"/>
      <c r="C664" s="406"/>
      <c r="D664" s="406"/>
      <c r="E664" s="406"/>
      <c r="F664" s="406"/>
      <c r="G664" s="407"/>
      <c r="H664" s="406"/>
      <c r="I664" s="406"/>
      <c r="J664" s="406"/>
      <c r="K664" s="406"/>
      <c r="L664" s="406"/>
      <c r="M664" s="406"/>
      <c r="N664" s="406"/>
      <c r="O664" s="406"/>
      <c r="P664" s="406"/>
      <c r="Q664" s="406"/>
      <c r="R664" s="406"/>
      <c r="S664" s="406"/>
      <c r="T664" s="406"/>
      <c r="U664" s="406"/>
      <c r="V664" s="406"/>
      <c r="W664" s="406"/>
      <c r="X664" s="406"/>
      <c r="Y664" s="406"/>
      <c r="Z664" s="406"/>
    </row>
    <row r="665">
      <c r="A665" s="406"/>
      <c r="B665" s="406"/>
      <c r="C665" s="406"/>
      <c r="D665" s="406"/>
      <c r="E665" s="406"/>
      <c r="F665" s="406"/>
      <c r="G665" s="407"/>
      <c r="H665" s="406"/>
      <c r="I665" s="406"/>
      <c r="J665" s="406"/>
      <c r="K665" s="406"/>
      <c r="L665" s="406"/>
      <c r="M665" s="406"/>
      <c r="N665" s="406"/>
      <c r="O665" s="406"/>
      <c r="P665" s="406"/>
      <c r="Q665" s="406"/>
      <c r="R665" s="406"/>
      <c r="S665" s="406"/>
      <c r="T665" s="406"/>
      <c r="U665" s="406"/>
      <c r="V665" s="406"/>
      <c r="W665" s="406"/>
      <c r="X665" s="406"/>
      <c r="Y665" s="406"/>
      <c r="Z665" s="406"/>
    </row>
    <row r="666">
      <c r="A666" s="406"/>
      <c r="B666" s="406"/>
      <c r="C666" s="406"/>
      <c r="D666" s="406"/>
      <c r="E666" s="406"/>
      <c r="F666" s="406"/>
      <c r="G666" s="407"/>
      <c r="H666" s="406"/>
      <c r="I666" s="406"/>
      <c r="J666" s="406"/>
      <c r="K666" s="406"/>
      <c r="L666" s="406"/>
      <c r="M666" s="406"/>
      <c r="N666" s="406"/>
      <c r="O666" s="406"/>
      <c r="P666" s="406"/>
      <c r="Q666" s="406"/>
      <c r="R666" s="406"/>
      <c r="S666" s="406"/>
      <c r="T666" s="406"/>
      <c r="U666" s="406"/>
      <c r="V666" s="406"/>
      <c r="W666" s="406"/>
      <c r="X666" s="406"/>
      <c r="Y666" s="406"/>
      <c r="Z666" s="406"/>
    </row>
    <row r="667">
      <c r="A667" s="406"/>
      <c r="B667" s="406"/>
      <c r="C667" s="406"/>
      <c r="D667" s="406"/>
      <c r="E667" s="406"/>
      <c r="F667" s="406"/>
      <c r="G667" s="407"/>
      <c r="H667" s="406"/>
      <c r="I667" s="406"/>
      <c r="J667" s="406"/>
      <c r="K667" s="406"/>
      <c r="L667" s="406"/>
      <c r="M667" s="406"/>
      <c r="N667" s="406"/>
      <c r="O667" s="406"/>
      <c r="P667" s="406"/>
      <c r="Q667" s="406"/>
      <c r="R667" s="406"/>
      <c r="S667" s="406"/>
      <c r="T667" s="406"/>
      <c r="U667" s="406"/>
      <c r="V667" s="406"/>
      <c r="W667" s="406"/>
      <c r="X667" s="406"/>
      <c r="Y667" s="406"/>
      <c r="Z667" s="406"/>
    </row>
    <row r="668">
      <c r="A668" s="406"/>
      <c r="B668" s="406"/>
      <c r="C668" s="406"/>
      <c r="D668" s="406"/>
      <c r="E668" s="406"/>
      <c r="F668" s="406"/>
      <c r="G668" s="407"/>
      <c r="H668" s="406"/>
      <c r="I668" s="406"/>
      <c r="J668" s="406"/>
      <c r="K668" s="406"/>
      <c r="L668" s="406"/>
      <c r="M668" s="406"/>
      <c r="N668" s="406"/>
      <c r="O668" s="406"/>
      <c r="P668" s="406"/>
      <c r="Q668" s="406"/>
      <c r="R668" s="406"/>
      <c r="S668" s="406"/>
      <c r="T668" s="406"/>
      <c r="U668" s="406"/>
      <c r="V668" s="406"/>
      <c r="W668" s="406"/>
      <c r="X668" s="406"/>
      <c r="Y668" s="406"/>
      <c r="Z668" s="406"/>
    </row>
    <row r="669">
      <c r="A669" s="406"/>
      <c r="B669" s="406"/>
      <c r="C669" s="406"/>
      <c r="D669" s="406"/>
      <c r="E669" s="406"/>
      <c r="F669" s="406"/>
      <c r="G669" s="407"/>
      <c r="H669" s="406"/>
      <c r="I669" s="406"/>
      <c r="J669" s="406"/>
      <c r="K669" s="406"/>
      <c r="L669" s="406"/>
      <c r="M669" s="406"/>
      <c r="N669" s="406"/>
      <c r="O669" s="406"/>
      <c r="P669" s="406"/>
      <c r="Q669" s="406"/>
      <c r="R669" s="406"/>
      <c r="S669" s="406"/>
      <c r="T669" s="406"/>
      <c r="U669" s="406"/>
      <c r="V669" s="406"/>
      <c r="W669" s="406"/>
      <c r="X669" s="406"/>
      <c r="Y669" s="406"/>
      <c r="Z669" s="406"/>
    </row>
    <row r="670">
      <c r="A670" s="406"/>
      <c r="B670" s="406"/>
      <c r="C670" s="406"/>
      <c r="D670" s="406"/>
      <c r="E670" s="406"/>
      <c r="F670" s="406"/>
      <c r="G670" s="407"/>
      <c r="H670" s="406"/>
      <c r="I670" s="406"/>
      <c r="J670" s="406"/>
      <c r="K670" s="406"/>
      <c r="L670" s="406"/>
      <c r="M670" s="406"/>
      <c r="N670" s="406"/>
      <c r="O670" s="406"/>
      <c r="P670" s="406"/>
      <c r="Q670" s="406"/>
      <c r="R670" s="406"/>
      <c r="S670" s="406"/>
      <c r="T670" s="406"/>
      <c r="U670" s="406"/>
      <c r="V670" s="406"/>
      <c r="W670" s="406"/>
      <c r="X670" s="406"/>
      <c r="Y670" s="406"/>
      <c r="Z670" s="406"/>
    </row>
    <row r="671">
      <c r="A671" s="406"/>
      <c r="B671" s="406"/>
      <c r="C671" s="406"/>
      <c r="D671" s="406"/>
      <c r="E671" s="406"/>
      <c r="F671" s="406"/>
      <c r="G671" s="407"/>
      <c r="H671" s="406"/>
      <c r="I671" s="406"/>
      <c r="J671" s="406"/>
      <c r="K671" s="406"/>
      <c r="L671" s="406"/>
      <c r="M671" s="406"/>
      <c r="N671" s="406"/>
      <c r="O671" s="406"/>
      <c r="P671" s="406"/>
      <c r="Q671" s="406"/>
      <c r="R671" s="406"/>
      <c r="S671" s="406"/>
      <c r="T671" s="406"/>
      <c r="U671" s="406"/>
      <c r="V671" s="406"/>
      <c r="W671" s="406"/>
      <c r="X671" s="406"/>
      <c r="Y671" s="406"/>
      <c r="Z671" s="406"/>
    </row>
    <row r="672">
      <c r="A672" s="406"/>
      <c r="B672" s="406"/>
      <c r="C672" s="406"/>
      <c r="D672" s="406"/>
      <c r="E672" s="406"/>
      <c r="F672" s="406"/>
      <c r="G672" s="407"/>
      <c r="H672" s="406"/>
      <c r="I672" s="406"/>
      <c r="J672" s="406"/>
      <c r="K672" s="406"/>
      <c r="L672" s="406"/>
      <c r="M672" s="406"/>
      <c r="N672" s="406"/>
      <c r="O672" s="406"/>
      <c r="P672" s="406"/>
      <c r="Q672" s="406"/>
      <c r="R672" s="406"/>
      <c r="S672" s="406"/>
      <c r="T672" s="406"/>
      <c r="U672" s="406"/>
      <c r="V672" s="406"/>
      <c r="W672" s="406"/>
      <c r="X672" s="406"/>
      <c r="Y672" s="406"/>
      <c r="Z672" s="406"/>
    </row>
    <row r="673">
      <c r="A673" s="406"/>
      <c r="B673" s="406"/>
      <c r="C673" s="406"/>
      <c r="D673" s="406"/>
      <c r="E673" s="406"/>
      <c r="F673" s="406"/>
      <c r="G673" s="407"/>
      <c r="H673" s="406"/>
      <c r="I673" s="406"/>
      <c r="J673" s="406"/>
      <c r="K673" s="406"/>
      <c r="L673" s="406"/>
      <c r="M673" s="406"/>
      <c r="N673" s="406"/>
      <c r="O673" s="406"/>
      <c r="P673" s="406"/>
      <c r="Q673" s="406"/>
      <c r="R673" s="406"/>
      <c r="S673" s="406"/>
      <c r="T673" s="406"/>
      <c r="U673" s="406"/>
      <c r="V673" s="406"/>
      <c r="W673" s="406"/>
      <c r="X673" s="406"/>
      <c r="Y673" s="406"/>
      <c r="Z673" s="406"/>
    </row>
    <row r="674">
      <c r="A674" s="406"/>
      <c r="B674" s="406"/>
      <c r="C674" s="406"/>
      <c r="D674" s="406"/>
      <c r="E674" s="406"/>
      <c r="F674" s="406"/>
      <c r="G674" s="407"/>
      <c r="H674" s="406"/>
      <c r="I674" s="406"/>
      <c r="J674" s="406"/>
      <c r="K674" s="406"/>
      <c r="L674" s="406"/>
      <c r="M674" s="406"/>
      <c r="N674" s="406"/>
      <c r="O674" s="406"/>
      <c r="P674" s="406"/>
      <c r="Q674" s="406"/>
      <c r="R674" s="406"/>
      <c r="S674" s="406"/>
      <c r="T674" s="406"/>
      <c r="U674" s="406"/>
      <c r="V674" s="406"/>
      <c r="W674" s="406"/>
      <c r="X674" s="406"/>
      <c r="Y674" s="406"/>
      <c r="Z674" s="406"/>
    </row>
    <row r="675">
      <c r="A675" s="406"/>
      <c r="B675" s="406"/>
      <c r="C675" s="406"/>
      <c r="D675" s="406"/>
      <c r="E675" s="406"/>
      <c r="F675" s="406"/>
      <c r="G675" s="407"/>
      <c r="H675" s="406"/>
      <c r="I675" s="406"/>
      <c r="J675" s="406"/>
      <c r="K675" s="406"/>
      <c r="L675" s="406"/>
      <c r="M675" s="406"/>
      <c r="N675" s="406"/>
      <c r="O675" s="406"/>
      <c r="P675" s="406"/>
      <c r="Q675" s="406"/>
      <c r="R675" s="406"/>
      <c r="S675" s="406"/>
      <c r="T675" s="406"/>
      <c r="U675" s="406"/>
      <c r="V675" s="406"/>
      <c r="W675" s="406"/>
      <c r="X675" s="406"/>
      <c r="Y675" s="406"/>
      <c r="Z675" s="406"/>
    </row>
    <row r="676">
      <c r="A676" s="406"/>
      <c r="B676" s="406"/>
      <c r="C676" s="406"/>
      <c r="D676" s="406"/>
      <c r="E676" s="406"/>
      <c r="F676" s="406"/>
      <c r="G676" s="407"/>
      <c r="H676" s="406"/>
      <c r="I676" s="406"/>
      <c r="J676" s="406"/>
      <c r="K676" s="406"/>
      <c r="L676" s="406"/>
      <c r="M676" s="406"/>
      <c r="N676" s="406"/>
      <c r="O676" s="406"/>
      <c r="P676" s="406"/>
      <c r="Q676" s="406"/>
      <c r="R676" s="406"/>
      <c r="S676" s="406"/>
      <c r="T676" s="406"/>
      <c r="U676" s="406"/>
      <c r="V676" s="406"/>
      <c r="W676" s="406"/>
      <c r="X676" s="406"/>
      <c r="Y676" s="406"/>
      <c r="Z676" s="406"/>
    </row>
    <row r="677">
      <c r="A677" s="406"/>
      <c r="B677" s="406"/>
      <c r="C677" s="406"/>
      <c r="D677" s="406"/>
      <c r="E677" s="406"/>
      <c r="F677" s="406"/>
      <c r="G677" s="407"/>
      <c r="H677" s="406"/>
      <c r="I677" s="406"/>
      <c r="J677" s="406"/>
      <c r="K677" s="406"/>
      <c r="L677" s="406"/>
      <c r="M677" s="406"/>
      <c r="N677" s="406"/>
      <c r="O677" s="406"/>
      <c r="P677" s="406"/>
      <c r="Q677" s="406"/>
      <c r="R677" s="406"/>
      <c r="S677" s="406"/>
      <c r="T677" s="406"/>
      <c r="U677" s="406"/>
      <c r="V677" s="406"/>
      <c r="W677" s="406"/>
      <c r="X677" s="406"/>
      <c r="Y677" s="406"/>
      <c r="Z677" s="406"/>
    </row>
    <row r="678">
      <c r="A678" s="406"/>
      <c r="B678" s="406"/>
      <c r="C678" s="406"/>
      <c r="D678" s="406"/>
      <c r="E678" s="406"/>
      <c r="F678" s="406"/>
      <c r="G678" s="407"/>
      <c r="H678" s="406"/>
      <c r="I678" s="406"/>
      <c r="J678" s="406"/>
      <c r="K678" s="406"/>
      <c r="L678" s="406"/>
      <c r="M678" s="406"/>
      <c r="N678" s="406"/>
      <c r="O678" s="406"/>
      <c r="P678" s="406"/>
      <c r="Q678" s="406"/>
      <c r="R678" s="406"/>
      <c r="S678" s="406"/>
      <c r="T678" s="406"/>
      <c r="U678" s="406"/>
      <c r="V678" s="406"/>
      <c r="W678" s="406"/>
      <c r="X678" s="406"/>
      <c r="Y678" s="406"/>
      <c r="Z678" s="406"/>
    </row>
    <row r="679">
      <c r="A679" s="406"/>
      <c r="B679" s="406"/>
      <c r="C679" s="406"/>
      <c r="D679" s="406"/>
      <c r="E679" s="406"/>
      <c r="F679" s="406"/>
      <c r="G679" s="407"/>
      <c r="H679" s="406"/>
      <c r="I679" s="406"/>
      <c r="J679" s="406"/>
      <c r="K679" s="406"/>
      <c r="L679" s="406"/>
      <c r="M679" s="406"/>
      <c r="N679" s="406"/>
      <c r="O679" s="406"/>
      <c r="P679" s="406"/>
      <c r="Q679" s="406"/>
      <c r="R679" s="406"/>
      <c r="S679" s="406"/>
      <c r="T679" s="406"/>
      <c r="U679" s="406"/>
      <c r="V679" s="406"/>
      <c r="W679" s="406"/>
      <c r="X679" s="406"/>
      <c r="Y679" s="406"/>
      <c r="Z679" s="406"/>
    </row>
    <row r="680">
      <c r="A680" s="406"/>
      <c r="B680" s="406"/>
      <c r="C680" s="406"/>
      <c r="D680" s="406"/>
      <c r="E680" s="406"/>
      <c r="F680" s="406"/>
      <c r="G680" s="407"/>
      <c r="H680" s="406"/>
      <c r="I680" s="406"/>
      <c r="J680" s="406"/>
      <c r="K680" s="406"/>
      <c r="L680" s="406"/>
      <c r="M680" s="406"/>
      <c r="N680" s="406"/>
      <c r="O680" s="406"/>
      <c r="P680" s="406"/>
      <c r="Q680" s="406"/>
      <c r="R680" s="406"/>
      <c r="S680" s="406"/>
      <c r="T680" s="406"/>
      <c r="U680" s="406"/>
      <c r="V680" s="406"/>
      <c r="W680" s="406"/>
      <c r="X680" s="406"/>
      <c r="Y680" s="406"/>
      <c r="Z680" s="406"/>
    </row>
    <row r="681">
      <c r="A681" s="406"/>
      <c r="B681" s="406"/>
      <c r="C681" s="406"/>
      <c r="D681" s="406"/>
      <c r="E681" s="406"/>
      <c r="F681" s="406"/>
      <c r="G681" s="407"/>
      <c r="H681" s="406"/>
      <c r="I681" s="406"/>
      <c r="J681" s="406"/>
      <c r="K681" s="406"/>
      <c r="L681" s="406"/>
      <c r="M681" s="406"/>
      <c r="N681" s="406"/>
      <c r="O681" s="406"/>
      <c r="P681" s="406"/>
      <c r="Q681" s="406"/>
      <c r="R681" s="406"/>
      <c r="S681" s="406"/>
      <c r="T681" s="406"/>
      <c r="U681" s="406"/>
      <c r="V681" s="406"/>
      <c r="W681" s="406"/>
      <c r="X681" s="406"/>
      <c r="Y681" s="406"/>
      <c r="Z681" s="406"/>
    </row>
    <row r="682">
      <c r="A682" s="406"/>
      <c r="B682" s="406"/>
      <c r="C682" s="406"/>
      <c r="D682" s="406"/>
      <c r="E682" s="406"/>
      <c r="F682" s="406"/>
      <c r="G682" s="407"/>
      <c r="H682" s="406"/>
      <c r="I682" s="406"/>
      <c r="J682" s="406"/>
      <c r="K682" s="406"/>
      <c r="L682" s="406"/>
      <c r="M682" s="406"/>
      <c r="N682" s="406"/>
      <c r="O682" s="406"/>
      <c r="P682" s="406"/>
      <c r="Q682" s="406"/>
      <c r="R682" s="406"/>
      <c r="S682" s="406"/>
      <c r="T682" s="406"/>
      <c r="U682" s="406"/>
      <c r="V682" s="406"/>
      <c r="W682" s="406"/>
      <c r="X682" s="406"/>
      <c r="Y682" s="406"/>
      <c r="Z682" s="406"/>
    </row>
    <row r="683">
      <c r="A683" s="406"/>
      <c r="B683" s="406"/>
      <c r="C683" s="406"/>
      <c r="D683" s="406"/>
      <c r="E683" s="406"/>
      <c r="F683" s="406"/>
      <c r="G683" s="407"/>
      <c r="H683" s="406"/>
      <c r="I683" s="406"/>
      <c r="J683" s="406"/>
      <c r="K683" s="406"/>
      <c r="L683" s="406"/>
      <c r="M683" s="406"/>
      <c r="N683" s="406"/>
      <c r="O683" s="406"/>
      <c r="P683" s="406"/>
      <c r="Q683" s="406"/>
      <c r="R683" s="406"/>
      <c r="S683" s="406"/>
      <c r="T683" s="406"/>
      <c r="U683" s="406"/>
      <c r="V683" s="406"/>
      <c r="W683" s="406"/>
      <c r="X683" s="406"/>
      <c r="Y683" s="406"/>
      <c r="Z683" s="406"/>
    </row>
    <row r="684">
      <c r="A684" s="406"/>
      <c r="B684" s="406"/>
      <c r="C684" s="406"/>
      <c r="D684" s="406"/>
      <c r="E684" s="406"/>
      <c r="F684" s="406"/>
      <c r="G684" s="407"/>
      <c r="H684" s="406"/>
      <c r="I684" s="406"/>
      <c r="J684" s="406"/>
      <c r="K684" s="406"/>
      <c r="L684" s="406"/>
      <c r="M684" s="406"/>
      <c r="N684" s="406"/>
      <c r="O684" s="406"/>
      <c r="P684" s="406"/>
      <c r="Q684" s="406"/>
      <c r="R684" s="406"/>
      <c r="S684" s="406"/>
      <c r="T684" s="406"/>
      <c r="U684" s="406"/>
      <c r="V684" s="406"/>
      <c r="W684" s="406"/>
      <c r="X684" s="406"/>
      <c r="Y684" s="406"/>
      <c r="Z684" s="406"/>
    </row>
    <row r="685">
      <c r="A685" s="406"/>
      <c r="B685" s="406"/>
      <c r="C685" s="406"/>
      <c r="D685" s="406"/>
      <c r="E685" s="406"/>
      <c r="F685" s="406"/>
      <c r="G685" s="407"/>
      <c r="H685" s="406"/>
      <c r="I685" s="406"/>
      <c r="J685" s="406"/>
      <c r="K685" s="406"/>
      <c r="L685" s="406"/>
      <c r="M685" s="406"/>
      <c r="N685" s="406"/>
      <c r="O685" s="406"/>
      <c r="P685" s="406"/>
      <c r="Q685" s="406"/>
      <c r="R685" s="406"/>
      <c r="S685" s="406"/>
      <c r="T685" s="406"/>
      <c r="U685" s="406"/>
      <c r="V685" s="406"/>
      <c r="W685" s="406"/>
      <c r="X685" s="406"/>
      <c r="Y685" s="406"/>
      <c r="Z685" s="406"/>
    </row>
    <row r="686">
      <c r="A686" s="406"/>
      <c r="B686" s="406"/>
      <c r="C686" s="406"/>
      <c r="D686" s="406"/>
      <c r="E686" s="406"/>
      <c r="F686" s="406"/>
      <c r="G686" s="407"/>
      <c r="H686" s="406"/>
      <c r="I686" s="406"/>
      <c r="J686" s="406"/>
      <c r="K686" s="406"/>
      <c r="L686" s="406"/>
      <c r="M686" s="406"/>
      <c r="N686" s="406"/>
      <c r="O686" s="406"/>
      <c r="P686" s="406"/>
      <c r="Q686" s="406"/>
      <c r="R686" s="406"/>
      <c r="S686" s="406"/>
      <c r="T686" s="406"/>
      <c r="U686" s="406"/>
      <c r="V686" s="406"/>
      <c r="W686" s="406"/>
      <c r="X686" s="406"/>
      <c r="Y686" s="406"/>
      <c r="Z686" s="406"/>
    </row>
    <row r="687">
      <c r="A687" s="406"/>
      <c r="B687" s="406"/>
      <c r="C687" s="406"/>
      <c r="D687" s="406"/>
      <c r="E687" s="406"/>
      <c r="F687" s="406"/>
      <c r="G687" s="407"/>
      <c r="H687" s="406"/>
      <c r="I687" s="406"/>
      <c r="J687" s="406"/>
      <c r="K687" s="406"/>
      <c r="L687" s="406"/>
      <c r="M687" s="406"/>
      <c r="N687" s="406"/>
      <c r="O687" s="406"/>
      <c r="P687" s="406"/>
      <c r="Q687" s="406"/>
      <c r="R687" s="406"/>
      <c r="S687" s="406"/>
      <c r="T687" s="406"/>
      <c r="U687" s="406"/>
      <c r="V687" s="406"/>
      <c r="W687" s="406"/>
      <c r="X687" s="406"/>
      <c r="Y687" s="406"/>
      <c r="Z687" s="406"/>
    </row>
    <row r="688">
      <c r="A688" s="406"/>
      <c r="B688" s="406"/>
      <c r="C688" s="406"/>
      <c r="D688" s="406"/>
      <c r="E688" s="406"/>
      <c r="F688" s="406"/>
      <c r="G688" s="407"/>
      <c r="H688" s="406"/>
      <c r="I688" s="406"/>
      <c r="J688" s="406"/>
      <c r="K688" s="406"/>
      <c r="L688" s="406"/>
      <c r="M688" s="406"/>
      <c r="N688" s="406"/>
      <c r="O688" s="406"/>
      <c r="P688" s="406"/>
      <c r="Q688" s="406"/>
      <c r="R688" s="406"/>
      <c r="S688" s="406"/>
      <c r="T688" s="406"/>
      <c r="U688" s="406"/>
      <c r="V688" s="406"/>
      <c r="W688" s="406"/>
      <c r="X688" s="406"/>
      <c r="Y688" s="406"/>
      <c r="Z688" s="406"/>
    </row>
    <row r="689">
      <c r="A689" s="406"/>
      <c r="B689" s="406"/>
      <c r="C689" s="406"/>
      <c r="D689" s="406"/>
      <c r="E689" s="406"/>
      <c r="F689" s="406"/>
      <c r="G689" s="407"/>
      <c r="H689" s="406"/>
      <c r="I689" s="406"/>
      <c r="J689" s="406"/>
      <c r="K689" s="406"/>
      <c r="L689" s="406"/>
      <c r="M689" s="406"/>
      <c r="N689" s="406"/>
      <c r="O689" s="406"/>
      <c r="P689" s="406"/>
      <c r="Q689" s="406"/>
      <c r="R689" s="406"/>
      <c r="S689" s="406"/>
      <c r="T689" s="406"/>
      <c r="U689" s="406"/>
      <c r="V689" s="406"/>
      <c r="W689" s="406"/>
      <c r="X689" s="406"/>
      <c r="Y689" s="406"/>
      <c r="Z689" s="406"/>
    </row>
    <row r="690">
      <c r="A690" s="406"/>
      <c r="B690" s="406"/>
      <c r="C690" s="406"/>
      <c r="D690" s="406"/>
      <c r="E690" s="406"/>
      <c r="F690" s="406"/>
      <c r="G690" s="407"/>
      <c r="H690" s="406"/>
      <c r="I690" s="406"/>
      <c r="J690" s="406"/>
      <c r="K690" s="406"/>
      <c r="L690" s="406"/>
      <c r="M690" s="406"/>
      <c r="N690" s="406"/>
      <c r="O690" s="406"/>
      <c r="P690" s="406"/>
      <c r="Q690" s="406"/>
      <c r="R690" s="406"/>
      <c r="S690" s="406"/>
      <c r="T690" s="406"/>
      <c r="U690" s="406"/>
      <c r="V690" s="406"/>
      <c r="W690" s="406"/>
      <c r="X690" s="406"/>
      <c r="Y690" s="406"/>
      <c r="Z690" s="406"/>
    </row>
    <row r="691">
      <c r="A691" s="406"/>
      <c r="B691" s="406"/>
      <c r="C691" s="406"/>
      <c r="D691" s="406"/>
      <c r="E691" s="406"/>
      <c r="F691" s="406"/>
      <c r="G691" s="407"/>
      <c r="H691" s="406"/>
      <c r="I691" s="406"/>
      <c r="J691" s="406"/>
      <c r="K691" s="406"/>
      <c r="L691" s="406"/>
      <c r="M691" s="406"/>
      <c r="N691" s="406"/>
      <c r="O691" s="406"/>
      <c r="P691" s="406"/>
      <c r="Q691" s="406"/>
      <c r="R691" s="406"/>
      <c r="S691" s="406"/>
      <c r="T691" s="406"/>
      <c r="U691" s="406"/>
      <c r="V691" s="406"/>
      <c r="W691" s="406"/>
      <c r="X691" s="406"/>
      <c r="Y691" s="406"/>
      <c r="Z691" s="406"/>
    </row>
    <row r="692">
      <c r="A692" s="406"/>
      <c r="B692" s="406"/>
      <c r="C692" s="406"/>
      <c r="D692" s="406"/>
      <c r="E692" s="406"/>
      <c r="F692" s="406"/>
      <c r="G692" s="407"/>
      <c r="H692" s="406"/>
      <c r="I692" s="406"/>
      <c r="J692" s="406"/>
      <c r="K692" s="406"/>
      <c r="L692" s="406"/>
      <c r="M692" s="406"/>
      <c r="N692" s="406"/>
      <c r="O692" s="406"/>
      <c r="P692" s="406"/>
      <c r="Q692" s="406"/>
      <c r="R692" s="406"/>
      <c r="S692" s="406"/>
      <c r="T692" s="406"/>
      <c r="U692" s="406"/>
      <c r="V692" s="406"/>
      <c r="W692" s="406"/>
      <c r="X692" s="406"/>
      <c r="Y692" s="406"/>
      <c r="Z692" s="406"/>
    </row>
    <row r="693">
      <c r="A693" s="406"/>
      <c r="B693" s="406"/>
      <c r="C693" s="406"/>
      <c r="D693" s="406"/>
      <c r="E693" s="406"/>
      <c r="F693" s="406"/>
      <c r="G693" s="407"/>
      <c r="H693" s="406"/>
      <c r="I693" s="406"/>
      <c r="J693" s="406"/>
      <c r="K693" s="406"/>
      <c r="L693" s="406"/>
      <c r="M693" s="406"/>
      <c r="N693" s="406"/>
      <c r="O693" s="406"/>
      <c r="P693" s="406"/>
      <c r="Q693" s="406"/>
      <c r="R693" s="406"/>
      <c r="S693" s="406"/>
      <c r="T693" s="406"/>
      <c r="U693" s="406"/>
      <c r="V693" s="406"/>
      <c r="W693" s="406"/>
      <c r="X693" s="406"/>
      <c r="Y693" s="406"/>
      <c r="Z693" s="406"/>
    </row>
    <row r="694">
      <c r="A694" s="406"/>
      <c r="B694" s="406"/>
      <c r="C694" s="406"/>
      <c r="D694" s="406"/>
      <c r="E694" s="406"/>
      <c r="F694" s="406"/>
      <c r="G694" s="407"/>
      <c r="H694" s="406"/>
      <c r="I694" s="406"/>
      <c r="J694" s="406"/>
      <c r="K694" s="406"/>
      <c r="L694" s="406"/>
      <c r="M694" s="406"/>
      <c r="N694" s="406"/>
      <c r="O694" s="406"/>
      <c r="P694" s="406"/>
      <c r="Q694" s="406"/>
      <c r="R694" s="406"/>
      <c r="S694" s="406"/>
      <c r="T694" s="406"/>
      <c r="U694" s="406"/>
      <c r="V694" s="406"/>
      <c r="W694" s="406"/>
      <c r="X694" s="406"/>
      <c r="Y694" s="406"/>
      <c r="Z694" s="406"/>
    </row>
    <row r="695">
      <c r="A695" s="406"/>
      <c r="B695" s="406"/>
      <c r="C695" s="406"/>
      <c r="D695" s="406"/>
      <c r="E695" s="406"/>
      <c r="F695" s="406"/>
      <c r="G695" s="407"/>
      <c r="H695" s="406"/>
      <c r="I695" s="406"/>
      <c r="J695" s="406"/>
      <c r="K695" s="406"/>
      <c r="L695" s="406"/>
      <c r="M695" s="406"/>
      <c r="N695" s="406"/>
      <c r="O695" s="406"/>
      <c r="P695" s="406"/>
      <c r="Q695" s="406"/>
      <c r="R695" s="406"/>
      <c r="S695" s="406"/>
      <c r="T695" s="406"/>
      <c r="U695" s="406"/>
      <c r="V695" s="406"/>
      <c r="W695" s="406"/>
      <c r="X695" s="406"/>
      <c r="Y695" s="406"/>
      <c r="Z695" s="406"/>
    </row>
    <row r="696">
      <c r="A696" s="406"/>
      <c r="B696" s="406"/>
      <c r="C696" s="406"/>
      <c r="D696" s="406"/>
      <c r="E696" s="406"/>
      <c r="F696" s="406"/>
      <c r="G696" s="407"/>
      <c r="H696" s="406"/>
      <c r="I696" s="406"/>
      <c r="J696" s="406"/>
      <c r="K696" s="406"/>
      <c r="L696" s="406"/>
      <c r="M696" s="406"/>
      <c r="N696" s="406"/>
      <c r="O696" s="406"/>
      <c r="P696" s="406"/>
      <c r="Q696" s="406"/>
      <c r="R696" s="406"/>
      <c r="S696" s="406"/>
      <c r="T696" s="406"/>
      <c r="U696" s="406"/>
      <c r="V696" s="406"/>
      <c r="W696" s="406"/>
      <c r="X696" s="406"/>
      <c r="Y696" s="406"/>
      <c r="Z696" s="406"/>
    </row>
    <row r="697">
      <c r="A697" s="406"/>
      <c r="B697" s="406"/>
      <c r="C697" s="406"/>
      <c r="D697" s="406"/>
      <c r="E697" s="406"/>
      <c r="F697" s="406"/>
      <c r="G697" s="407"/>
      <c r="H697" s="406"/>
      <c r="I697" s="406"/>
      <c r="J697" s="406"/>
      <c r="K697" s="406"/>
      <c r="L697" s="406"/>
      <c r="M697" s="406"/>
      <c r="N697" s="406"/>
      <c r="O697" s="406"/>
      <c r="P697" s="406"/>
      <c r="Q697" s="406"/>
      <c r="R697" s="406"/>
      <c r="S697" s="406"/>
      <c r="T697" s="406"/>
      <c r="U697" s="406"/>
      <c r="V697" s="406"/>
      <c r="W697" s="406"/>
      <c r="X697" s="406"/>
      <c r="Y697" s="406"/>
      <c r="Z697" s="406"/>
    </row>
    <row r="698">
      <c r="A698" s="406"/>
      <c r="B698" s="406"/>
      <c r="C698" s="406"/>
      <c r="D698" s="406"/>
      <c r="E698" s="406"/>
      <c r="F698" s="406"/>
      <c r="G698" s="407"/>
      <c r="H698" s="406"/>
      <c r="I698" s="406"/>
      <c r="J698" s="406"/>
      <c r="K698" s="406"/>
      <c r="L698" s="406"/>
      <c r="M698" s="406"/>
      <c r="N698" s="406"/>
      <c r="O698" s="406"/>
      <c r="P698" s="406"/>
      <c r="Q698" s="406"/>
      <c r="R698" s="406"/>
      <c r="S698" s="406"/>
      <c r="T698" s="406"/>
      <c r="U698" s="406"/>
      <c r="V698" s="406"/>
      <c r="W698" s="406"/>
      <c r="X698" s="406"/>
      <c r="Y698" s="406"/>
      <c r="Z698" s="406"/>
    </row>
    <row r="699">
      <c r="A699" s="406"/>
      <c r="B699" s="406"/>
      <c r="C699" s="406"/>
      <c r="D699" s="406"/>
      <c r="E699" s="406"/>
      <c r="F699" s="406"/>
      <c r="G699" s="407"/>
      <c r="H699" s="406"/>
      <c r="I699" s="406"/>
      <c r="J699" s="406"/>
      <c r="K699" s="406"/>
      <c r="L699" s="406"/>
      <c r="M699" s="406"/>
      <c r="N699" s="406"/>
      <c r="O699" s="406"/>
      <c r="P699" s="406"/>
      <c r="Q699" s="406"/>
      <c r="R699" s="406"/>
      <c r="S699" s="406"/>
      <c r="T699" s="406"/>
      <c r="U699" s="406"/>
      <c r="V699" s="406"/>
      <c r="W699" s="406"/>
      <c r="X699" s="406"/>
      <c r="Y699" s="406"/>
      <c r="Z699" s="406"/>
    </row>
    <row r="700">
      <c r="A700" s="406"/>
      <c r="B700" s="406"/>
      <c r="C700" s="406"/>
      <c r="D700" s="406"/>
      <c r="E700" s="406"/>
      <c r="F700" s="406"/>
      <c r="G700" s="407"/>
      <c r="H700" s="406"/>
      <c r="I700" s="406"/>
      <c r="J700" s="406"/>
      <c r="K700" s="406"/>
      <c r="L700" s="406"/>
      <c r="M700" s="406"/>
      <c r="N700" s="406"/>
      <c r="O700" s="406"/>
      <c r="P700" s="406"/>
      <c r="Q700" s="406"/>
      <c r="R700" s="406"/>
      <c r="S700" s="406"/>
      <c r="T700" s="406"/>
      <c r="U700" s="406"/>
      <c r="V700" s="406"/>
      <c r="W700" s="406"/>
      <c r="X700" s="406"/>
      <c r="Y700" s="406"/>
      <c r="Z700" s="406"/>
    </row>
    <row r="701">
      <c r="A701" s="406"/>
      <c r="B701" s="406"/>
      <c r="C701" s="406"/>
      <c r="D701" s="406"/>
      <c r="E701" s="406"/>
      <c r="F701" s="406"/>
      <c r="G701" s="407"/>
      <c r="H701" s="406"/>
      <c r="I701" s="406"/>
      <c r="J701" s="406"/>
      <c r="K701" s="406"/>
      <c r="L701" s="406"/>
      <c r="M701" s="406"/>
      <c r="N701" s="406"/>
      <c r="O701" s="406"/>
      <c r="P701" s="406"/>
      <c r="Q701" s="406"/>
      <c r="R701" s="406"/>
      <c r="S701" s="406"/>
      <c r="T701" s="406"/>
      <c r="U701" s="406"/>
      <c r="V701" s="406"/>
      <c r="W701" s="406"/>
      <c r="X701" s="406"/>
      <c r="Y701" s="406"/>
      <c r="Z701" s="406"/>
    </row>
    <row r="702">
      <c r="A702" s="406"/>
      <c r="B702" s="406"/>
      <c r="C702" s="406"/>
      <c r="D702" s="406"/>
      <c r="E702" s="406"/>
      <c r="F702" s="406"/>
      <c r="G702" s="407"/>
      <c r="H702" s="406"/>
      <c r="I702" s="406"/>
      <c r="J702" s="406"/>
      <c r="K702" s="406"/>
      <c r="L702" s="406"/>
      <c r="M702" s="406"/>
      <c r="N702" s="406"/>
      <c r="O702" s="406"/>
      <c r="P702" s="406"/>
      <c r="Q702" s="406"/>
      <c r="R702" s="406"/>
      <c r="S702" s="406"/>
      <c r="T702" s="406"/>
      <c r="U702" s="406"/>
      <c r="V702" s="406"/>
      <c r="W702" s="406"/>
      <c r="X702" s="406"/>
      <c r="Y702" s="406"/>
      <c r="Z702" s="406"/>
    </row>
    <row r="703">
      <c r="A703" s="406"/>
      <c r="B703" s="406"/>
      <c r="C703" s="406"/>
      <c r="D703" s="406"/>
      <c r="E703" s="406"/>
      <c r="F703" s="406"/>
      <c r="G703" s="407"/>
      <c r="H703" s="406"/>
      <c r="I703" s="406"/>
      <c r="J703" s="406"/>
      <c r="K703" s="406"/>
      <c r="L703" s="406"/>
      <c r="M703" s="406"/>
      <c r="N703" s="406"/>
      <c r="O703" s="406"/>
      <c r="P703" s="406"/>
      <c r="Q703" s="406"/>
      <c r="R703" s="406"/>
      <c r="S703" s="406"/>
      <c r="T703" s="406"/>
      <c r="U703" s="406"/>
      <c r="V703" s="406"/>
      <c r="W703" s="406"/>
      <c r="X703" s="406"/>
      <c r="Y703" s="406"/>
      <c r="Z703" s="406"/>
    </row>
    <row r="704">
      <c r="A704" s="406"/>
      <c r="B704" s="406"/>
      <c r="C704" s="406"/>
      <c r="D704" s="406"/>
      <c r="E704" s="406"/>
      <c r="F704" s="406"/>
      <c r="G704" s="407"/>
      <c r="H704" s="406"/>
      <c r="I704" s="406"/>
      <c r="J704" s="406"/>
      <c r="K704" s="406"/>
      <c r="L704" s="406"/>
      <c r="M704" s="406"/>
      <c r="N704" s="406"/>
      <c r="O704" s="406"/>
      <c r="P704" s="406"/>
      <c r="Q704" s="406"/>
      <c r="R704" s="406"/>
      <c r="S704" s="406"/>
      <c r="T704" s="406"/>
      <c r="U704" s="406"/>
      <c r="V704" s="406"/>
      <c r="W704" s="406"/>
      <c r="X704" s="406"/>
      <c r="Y704" s="406"/>
      <c r="Z704" s="406"/>
    </row>
    <row r="705">
      <c r="A705" s="406"/>
      <c r="B705" s="406"/>
      <c r="C705" s="406"/>
      <c r="D705" s="406"/>
      <c r="E705" s="406"/>
      <c r="F705" s="406"/>
      <c r="G705" s="407"/>
      <c r="H705" s="406"/>
      <c r="I705" s="406"/>
      <c r="J705" s="406"/>
      <c r="K705" s="406"/>
      <c r="L705" s="406"/>
      <c r="M705" s="406"/>
      <c r="N705" s="406"/>
      <c r="O705" s="406"/>
      <c r="P705" s="406"/>
      <c r="Q705" s="406"/>
      <c r="R705" s="406"/>
      <c r="S705" s="406"/>
      <c r="T705" s="406"/>
      <c r="U705" s="406"/>
      <c r="V705" s="406"/>
      <c r="W705" s="406"/>
      <c r="X705" s="406"/>
      <c r="Y705" s="406"/>
      <c r="Z705" s="406"/>
    </row>
    <row r="706">
      <c r="A706" s="406"/>
      <c r="B706" s="406"/>
      <c r="C706" s="406"/>
      <c r="D706" s="406"/>
      <c r="E706" s="406"/>
      <c r="F706" s="406"/>
      <c r="G706" s="407"/>
      <c r="H706" s="406"/>
      <c r="I706" s="406"/>
      <c r="J706" s="406"/>
      <c r="K706" s="406"/>
      <c r="L706" s="406"/>
      <c r="M706" s="406"/>
      <c r="N706" s="406"/>
      <c r="O706" s="406"/>
      <c r="P706" s="406"/>
      <c r="Q706" s="406"/>
      <c r="R706" s="406"/>
      <c r="S706" s="406"/>
      <c r="T706" s="406"/>
      <c r="U706" s="406"/>
      <c r="V706" s="406"/>
      <c r="W706" s="406"/>
      <c r="X706" s="406"/>
      <c r="Y706" s="406"/>
      <c r="Z706" s="406"/>
    </row>
    <row r="707">
      <c r="A707" s="406"/>
      <c r="B707" s="406"/>
      <c r="C707" s="406"/>
      <c r="D707" s="406"/>
      <c r="E707" s="406"/>
      <c r="F707" s="406"/>
      <c r="G707" s="407"/>
      <c r="H707" s="406"/>
      <c r="I707" s="406"/>
      <c r="J707" s="406"/>
      <c r="K707" s="406"/>
      <c r="L707" s="406"/>
      <c r="M707" s="406"/>
      <c r="N707" s="406"/>
      <c r="O707" s="406"/>
      <c r="P707" s="406"/>
      <c r="Q707" s="406"/>
      <c r="R707" s="406"/>
      <c r="S707" s="406"/>
      <c r="T707" s="406"/>
      <c r="U707" s="406"/>
      <c r="V707" s="406"/>
      <c r="W707" s="406"/>
      <c r="X707" s="406"/>
      <c r="Y707" s="406"/>
      <c r="Z707" s="406"/>
    </row>
    <row r="708">
      <c r="A708" s="406"/>
      <c r="B708" s="406"/>
      <c r="C708" s="406"/>
      <c r="D708" s="406"/>
      <c r="E708" s="406"/>
      <c r="F708" s="406"/>
      <c r="G708" s="407"/>
      <c r="H708" s="406"/>
      <c r="I708" s="406"/>
      <c r="J708" s="406"/>
      <c r="K708" s="406"/>
      <c r="L708" s="406"/>
      <c r="M708" s="406"/>
      <c r="N708" s="406"/>
      <c r="O708" s="406"/>
      <c r="P708" s="406"/>
      <c r="Q708" s="406"/>
      <c r="R708" s="406"/>
      <c r="S708" s="406"/>
      <c r="T708" s="406"/>
      <c r="U708" s="406"/>
      <c r="V708" s="406"/>
      <c r="W708" s="406"/>
      <c r="X708" s="406"/>
      <c r="Y708" s="406"/>
      <c r="Z708" s="406"/>
    </row>
    <row r="709">
      <c r="A709" s="406"/>
      <c r="B709" s="406"/>
      <c r="C709" s="406"/>
      <c r="D709" s="406"/>
      <c r="E709" s="406"/>
      <c r="F709" s="406"/>
      <c r="G709" s="407"/>
      <c r="H709" s="406"/>
      <c r="I709" s="406"/>
      <c r="J709" s="406"/>
      <c r="K709" s="406"/>
      <c r="L709" s="406"/>
      <c r="M709" s="406"/>
      <c r="N709" s="406"/>
      <c r="O709" s="406"/>
      <c r="P709" s="406"/>
      <c r="Q709" s="406"/>
      <c r="R709" s="406"/>
      <c r="S709" s="406"/>
      <c r="T709" s="406"/>
      <c r="U709" s="406"/>
      <c r="V709" s="406"/>
      <c r="W709" s="406"/>
      <c r="X709" s="406"/>
      <c r="Y709" s="406"/>
      <c r="Z709" s="406"/>
    </row>
    <row r="710">
      <c r="A710" s="406"/>
      <c r="B710" s="406"/>
      <c r="C710" s="406"/>
      <c r="D710" s="406"/>
      <c r="E710" s="406"/>
      <c r="F710" s="406"/>
      <c r="G710" s="407"/>
      <c r="H710" s="406"/>
      <c r="I710" s="406"/>
      <c r="J710" s="406"/>
      <c r="K710" s="406"/>
      <c r="L710" s="406"/>
      <c r="M710" s="406"/>
      <c r="N710" s="406"/>
      <c r="O710" s="406"/>
      <c r="P710" s="406"/>
      <c r="Q710" s="406"/>
      <c r="R710" s="406"/>
      <c r="S710" s="406"/>
      <c r="T710" s="406"/>
      <c r="U710" s="406"/>
      <c r="V710" s="406"/>
      <c r="W710" s="406"/>
      <c r="X710" s="406"/>
      <c r="Y710" s="406"/>
      <c r="Z710" s="406"/>
    </row>
    <row r="711">
      <c r="A711" s="406"/>
      <c r="B711" s="406"/>
      <c r="C711" s="406"/>
      <c r="D711" s="406"/>
      <c r="E711" s="406"/>
      <c r="F711" s="406"/>
      <c r="G711" s="407"/>
      <c r="H711" s="406"/>
      <c r="I711" s="406"/>
      <c r="J711" s="406"/>
      <c r="K711" s="406"/>
      <c r="L711" s="406"/>
      <c r="M711" s="406"/>
      <c r="N711" s="406"/>
      <c r="O711" s="406"/>
      <c r="P711" s="406"/>
      <c r="Q711" s="406"/>
      <c r="R711" s="406"/>
      <c r="S711" s="406"/>
      <c r="T711" s="406"/>
      <c r="U711" s="406"/>
      <c r="V711" s="406"/>
      <c r="W711" s="406"/>
      <c r="X711" s="406"/>
      <c r="Y711" s="406"/>
      <c r="Z711" s="406"/>
    </row>
    <row r="712">
      <c r="A712" s="406"/>
      <c r="B712" s="406"/>
      <c r="C712" s="406"/>
      <c r="D712" s="406"/>
      <c r="E712" s="406"/>
      <c r="F712" s="406"/>
      <c r="G712" s="407"/>
      <c r="H712" s="406"/>
      <c r="I712" s="406"/>
      <c r="J712" s="406"/>
      <c r="K712" s="406"/>
      <c r="L712" s="406"/>
      <c r="M712" s="406"/>
      <c r="N712" s="406"/>
      <c r="O712" s="406"/>
      <c r="P712" s="406"/>
      <c r="Q712" s="406"/>
      <c r="R712" s="406"/>
      <c r="S712" s="406"/>
      <c r="T712" s="406"/>
      <c r="U712" s="406"/>
      <c r="V712" s="406"/>
      <c r="W712" s="406"/>
      <c r="X712" s="406"/>
      <c r="Y712" s="406"/>
      <c r="Z712" s="406"/>
    </row>
    <row r="713">
      <c r="A713" s="406"/>
      <c r="B713" s="406"/>
      <c r="C713" s="406"/>
      <c r="D713" s="406"/>
      <c r="E713" s="406"/>
      <c r="F713" s="406"/>
      <c r="G713" s="407"/>
      <c r="H713" s="406"/>
      <c r="I713" s="406"/>
      <c r="J713" s="406"/>
      <c r="K713" s="406"/>
      <c r="L713" s="406"/>
      <c r="M713" s="406"/>
      <c r="N713" s="406"/>
      <c r="O713" s="406"/>
      <c r="P713" s="406"/>
      <c r="Q713" s="406"/>
      <c r="R713" s="406"/>
      <c r="S713" s="406"/>
      <c r="T713" s="406"/>
      <c r="U713" s="406"/>
      <c r="V713" s="406"/>
      <c r="W713" s="406"/>
      <c r="X713" s="406"/>
      <c r="Y713" s="406"/>
      <c r="Z713" s="406"/>
    </row>
    <row r="714">
      <c r="A714" s="406"/>
      <c r="B714" s="406"/>
      <c r="C714" s="406"/>
      <c r="D714" s="406"/>
      <c r="E714" s="406"/>
      <c r="F714" s="406"/>
      <c r="G714" s="407"/>
      <c r="H714" s="406"/>
      <c r="I714" s="406"/>
      <c r="J714" s="406"/>
      <c r="K714" s="406"/>
      <c r="L714" s="406"/>
      <c r="M714" s="406"/>
      <c r="N714" s="406"/>
      <c r="O714" s="406"/>
      <c r="P714" s="406"/>
      <c r="Q714" s="406"/>
      <c r="R714" s="406"/>
      <c r="S714" s="406"/>
      <c r="T714" s="406"/>
      <c r="U714" s="406"/>
      <c r="V714" s="406"/>
      <c r="W714" s="406"/>
      <c r="X714" s="406"/>
      <c r="Y714" s="406"/>
      <c r="Z714" s="406"/>
    </row>
    <row r="715">
      <c r="A715" s="406"/>
      <c r="B715" s="406"/>
      <c r="C715" s="406"/>
      <c r="D715" s="406"/>
      <c r="E715" s="406"/>
      <c r="F715" s="406"/>
      <c r="G715" s="407"/>
      <c r="H715" s="406"/>
      <c r="I715" s="406"/>
      <c r="J715" s="406"/>
      <c r="K715" s="406"/>
      <c r="L715" s="406"/>
      <c r="M715" s="406"/>
      <c r="N715" s="406"/>
      <c r="O715" s="406"/>
      <c r="P715" s="406"/>
      <c r="Q715" s="406"/>
      <c r="R715" s="406"/>
      <c r="S715" s="406"/>
      <c r="T715" s="406"/>
      <c r="U715" s="406"/>
      <c r="V715" s="406"/>
      <c r="W715" s="406"/>
      <c r="X715" s="406"/>
      <c r="Y715" s="406"/>
      <c r="Z715" s="406"/>
    </row>
    <row r="716">
      <c r="A716" s="406"/>
      <c r="B716" s="406"/>
      <c r="C716" s="406"/>
      <c r="D716" s="406"/>
      <c r="E716" s="406"/>
      <c r="F716" s="406"/>
      <c r="G716" s="407"/>
      <c r="H716" s="406"/>
      <c r="I716" s="406"/>
      <c r="J716" s="406"/>
      <c r="K716" s="406"/>
      <c r="L716" s="406"/>
      <c r="M716" s="406"/>
      <c r="N716" s="406"/>
      <c r="O716" s="406"/>
      <c r="P716" s="406"/>
      <c r="Q716" s="406"/>
      <c r="R716" s="406"/>
      <c r="S716" s="406"/>
      <c r="T716" s="406"/>
      <c r="U716" s="406"/>
      <c r="V716" s="406"/>
      <c r="W716" s="406"/>
      <c r="X716" s="406"/>
      <c r="Y716" s="406"/>
      <c r="Z716" s="406"/>
    </row>
    <row r="717">
      <c r="A717" s="406"/>
      <c r="B717" s="406"/>
      <c r="C717" s="406"/>
      <c r="D717" s="406"/>
      <c r="E717" s="406"/>
      <c r="F717" s="406"/>
      <c r="G717" s="407"/>
      <c r="H717" s="406"/>
      <c r="I717" s="406"/>
      <c r="J717" s="406"/>
      <c r="K717" s="406"/>
      <c r="L717" s="406"/>
      <c r="M717" s="406"/>
      <c r="N717" s="406"/>
      <c r="O717" s="406"/>
      <c r="P717" s="406"/>
      <c r="Q717" s="406"/>
      <c r="R717" s="406"/>
      <c r="S717" s="406"/>
      <c r="T717" s="406"/>
      <c r="U717" s="406"/>
      <c r="V717" s="406"/>
      <c r="W717" s="406"/>
      <c r="X717" s="406"/>
      <c r="Y717" s="406"/>
      <c r="Z717" s="406"/>
    </row>
    <row r="718">
      <c r="A718" s="406"/>
      <c r="B718" s="406"/>
      <c r="C718" s="406"/>
      <c r="D718" s="406"/>
      <c r="E718" s="406"/>
      <c r="F718" s="406"/>
      <c r="G718" s="407"/>
      <c r="H718" s="406"/>
      <c r="I718" s="406"/>
      <c r="J718" s="406"/>
      <c r="K718" s="406"/>
      <c r="L718" s="406"/>
      <c r="M718" s="406"/>
      <c r="N718" s="406"/>
      <c r="O718" s="406"/>
      <c r="P718" s="406"/>
      <c r="Q718" s="406"/>
      <c r="R718" s="406"/>
      <c r="S718" s="406"/>
      <c r="T718" s="406"/>
      <c r="U718" s="406"/>
      <c r="V718" s="406"/>
      <c r="W718" s="406"/>
      <c r="X718" s="406"/>
      <c r="Y718" s="406"/>
      <c r="Z718" s="406"/>
    </row>
    <row r="719">
      <c r="A719" s="406"/>
      <c r="B719" s="406"/>
      <c r="C719" s="406"/>
      <c r="D719" s="406"/>
      <c r="E719" s="406"/>
      <c r="F719" s="406"/>
      <c r="G719" s="407"/>
      <c r="H719" s="406"/>
      <c r="I719" s="406"/>
      <c r="J719" s="406"/>
      <c r="K719" s="406"/>
      <c r="L719" s="406"/>
      <c r="M719" s="406"/>
      <c r="N719" s="406"/>
      <c r="O719" s="406"/>
      <c r="P719" s="406"/>
      <c r="Q719" s="406"/>
      <c r="R719" s="406"/>
      <c r="S719" s="406"/>
      <c r="T719" s="406"/>
      <c r="U719" s="406"/>
      <c r="V719" s="406"/>
      <c r="W719" s="406"/>
      <c r="X719" s="406"/>
      <c r="Y719" s="406"/>
      <c r="Z719" s="406"/>
    </row>
    <row r="720">
      <c r="A720" s="406"/>
      <c r="B720" s="406"/>
      <c r="C720" s="406"/>
      <c r="D720" s="406"/>
      <c r="E720" s="406"/>
      <c r="F720" s="406"/>
      <c r="G720" s="407"/>
      <c r="H720" s="406"/>
      <c r="I720" s="406"/>
      <c r="J720" s="406"/>
      <c r="K720" s="406"/>
      <c r="L720" s="406"/>
      <c r="M720" s="406"/>
      <c r="N720" s="406"/>
      <c r="O720" s="406"/>
      <c r="P720" s="406"/>
      <c r="Q720" s="406"/>
      <c r="R720" s="406"/>
      <c r="S720" s="406"/>
      <c r="T720" s="406"/>
      <c r="U720" s="406"/>
      <c r="V720" s="406"/>
      <c r="W720" s="406"/>
      <c r="X720" s="406"/>
      <c r="Y720" s="406"/>
      <c r="Z720" s="406"/>
    </row>
    <row r="721">
      <c r="A721" s="406"/>
      <c r="B721" s="406"/>
      <c r="C721" s="406"/>
      <c r="D721" s="406"/>
      <c r="E721" s="406"/>
      <c r="F721" s="406"/>
      <c r="G721" s="407"/>
      <c r="H721" s="406"/>
      <c r="I721" s="406"/>
      <c r="J721" s="406"/>
      <c r="K721" s="406"/>
      <c r="L721" s="406"/>
      <c r="M721" s="406"/>
      <c r="N721" s="406"/>
      <c r="O721" s="406"/>
      <c r="P721" s="406"/>
      <c r="Q721" s="406"/>
      <c r="R721" s="406"/>
      <c r="S721" s="406"/>
      <c r="T721" s="406"/>
      <c r="U721" s="406"/>
      <c r="V721" s="406"/>
      <c r="W721" s="406"/>
      <c r="X721" s="406"/>
      <c r="Y721" s="406"/>
      <c r="Z721" s="406"/>
    </row>
    <row r="722">
      <c r="A722" s="406"/>
      <c r="B722" s="406"/>
      <c r="C722" s="406"/>
      <c r="D722" s="406"/>
      <c r="E722" s="406"/>
      <c r="F722" s="406"/>
      <c r="G722" s="407"/>
      <c r="H722" s="406"/>
      <c r="I722" s="406"/>
      <c r="J722" s="406"/>
      <c r="K722" s="406"/>
      <c r="L722" s="406"/>
      <c r="M722" s="406"/>
      <c r="N722" s="406"/>
      <c r="O722" s="406"/>
      <c r="P722" s="406"/>
      <c r="Q722" s="406"/>
      <c r="R722" s="406"/>
      <c r="S722" s="406"/>
      <c r="T722" s="406"/>
      <c r="U722" s="406"/>
      <c r="V722" s="406"/>
      <c r="W722" s="406"/>
      <c r="X722" s="406"/>
      <c r="Y722" s="406"/>
      <c r="Z722" s="406"/>
    </row>
    <row r="723">
      <c r="A723" s="406"/>
      <c r="B723" s="406"/>
      <c r="C723" s="406"/>
      <c r="D723" s="406"/>
      <c r="E723" s="406"/>
      <c r="F723" s="406"/>
      <c r="G723" s="407"/>
      <c r="H723" s="406"/>
      <c r="I723" s="406"/>
      <c r="J723" s="406"/>
      <c r="K723" s="406"/>
      <c r="L723" s="406"/>
      <c r="M723" s="406"/>
      <c r="N723" s="406"/>
      <c r="O723" s="406"/>
      <c r="P723" s="406"/>
      <c r="Q723" s="406"/>
      <c r="R723" s="406"/>
      <c r="S723" s="406"/>
      <c r="T723" s="406"/>
      <c r="U723" s="406"/>
      <c r="V723" s="406"/>
      <c r="W723" s="406"/>
      <c r="X723" s="406"/>
      <c r="Y723" s="406"/>
      <c r="Z723" s="406"/>
    </row>
    <row r="724">
      <c r="A724" s="406"/>
      <c r="B724" s="406"/>
      <c r="C724" s="406"/>
      <c r="D724" s="406"/>
      <c r="E724" s="406"/>
      <c r="F724" s="406"/>
      <c r="G724" s="407"/>
      <c r="H724" s="406"/>
      <c r="I724" s="406"/>
      <c r="J724" s="406"/>
      <c r="K724" s="406"/>
      <c r="L724" s="406"/>
      <c r="M724" s="406"/>
      <c r="N724" s="406"/>
      <c r="O724" s="406"/>
      <c r="P724" s="406"/>
      <c r="Q724" s="406"/>
      <c r="R724" s="406"/>
      <c r="S724" s="406"/>
      <c r="T724" s="406"/>
      <c r="U724" s="406"/>
      <c r="V724" s="406"/>
      <c r="W724" s="406"/>
      <c r="X724" s="406"/>
      <c r="Y724" s="406"/>
      <c r="Z724" s="406"/>
    </row>
    <row r="725">
      <c r="A725" s="406"/>
      <c r="B725" s="406"/>
      <c r="C725" s="406"/>
      <c r="D725" s="406"/>
      <c r="E725" s="406"/>
      <c r="F725" s="406"/>
      <c r="G725" s="407"/>
      <c r="H725" s="406"/>
      <c r="I725" s="406"/>
      <c r="J725" s="406"/>
      <c r="K725" s="406"/>
      <c r="L725" s="406"/>
      <c r="M725" s="406"/>
      <c r="N725" s="406"/>
      <c r="O725" s="406"/>
      <c r="P725" s="406"/>
      <c r="Q725" s="406"/>
      <c r="R725" s="406"/>
      <c r="S725" s="406"/>
      <c r="T725" s="406"/>
      <c r="U725" s="406"/>
      <c r="V725" s="406"/>
      <c r="W725" s="406"/>
      <c r="X725" s="406"/>
      <c r="Y725" s="406"/>
      <c r="Z725" s="406"/>
    </row>
    <row r="726">
      <c r="A726" s="406"/>
      <c r="B726" s="406"/>
      <c r="C726" s="406"/>
      <c r="D726" s="406"/>
      <c r="E726" s="406"/>
      <c r="F726" s="406"/>
      <c r="G726" s="407"/>
      <c r="H726" s="406"/>
      <c r="I726" s="406"/>
      <c r="J726" s="406"/>
      <c r="K726" s="406"/>
      <c r="L726" s="406"/>
      <c r="M726" s="406"/>
      <c r="N726" s="406"/>
      <c r="O726" s="406"/>
      <c r="P726" s="406"/>
      <c r="Q726" s="406"/>
      <c r="R726" s="406"/>
      <c r="S726" s="406"/>
      <c r="T726" s="406"/>
      <c r="U726" s="406"/>
      <c r="V726" s="406"/>
      <c r="W726" s="406"/>
      <c r="X726" s="406"/>
      <c r="Y726" s="406"/>
      <c r="Z726" s="406"/>
    </row>
    <row r="727">
      <c r="A727" s="406"/>
      <c r="B727" s="406"/>
      <c r="C727" s="406"/>
      <c r="D727" s="406"/>
      <c r="E727" s="406"/>
      <c r="F727" s="406"/>
      <c r="G727" s="407"/>
      <c r="H727" s="406"/>
      <c r="I727" s="406"/>
      <c r="J727" s="406"/>
      <c r="K727" s="406"/>
      <c r="L727" s="406"/>
      <c r="M727" s="406"/>
      <c r="N727" s="406"/>
      <c r="O727" s="406"/>
      <c r="P727" s="406"/>
      <c r="Q727" s="406"/>
      <c r="R727" s="406"/>
      <c r="S727" s="406"/>
      <c r="T727" s="406"/>
      <c r="U727" s="406"/>
      <c r="V727" s="406"/>
      <c r="W727" s="406"/>
      <c r="X727" s="406"/>
      <c r="Y727" s="406"/>
      <c r="Z727" s="406"/>
    </row>
    <row r="728">
      <c r="A728" s="406"/>
      <c r="B728" s="406"/>
      <c r="C728" s="406"/>
      <c r="D728" s="406"/>
      <c r="E728" s="406"/>
      <c r="F728" s="406"/>
      <c r="G728" s="407"/>
      <c r="H728" s="406"/>
      <c r="I728" s="406"/>
      <c r="J728" s="406"/>
      <c r="K728" s="406"/>
      <c r="L728" s="406"/>
      <c r="M728" s="406"/>
      <c r="N728" s="406"/>
      <c r="O728" s="406"/>
      <c r="P728" s="406"/>
      <c r="Q728" s="406"/>
      <c r="R728" s="406"/>
      <c r="S728" s="406"/>
      <c r="T728" s="406"/>
      <c r="U728" s="406"/>
      <c r="V728" s="406"/>
      <c r="W728" s="406"/>
      <c r="X728" s="406"/>
      <c r="Y728" s="406"/>
      <c r="Z728" s="406"/>
    </row>
    <row r="729">
      <c r="A729" s="406"/>
      <c r="B729" s="406"/>
      <c r="C729" s="406"/>
      <c r="D729" s="406"/>
      <c r="E729" s="406"/>
      <c r="F729" s="406"/>
      <c r="G729" s="407"/>
      <c r="H729" s="406"/>
      <c r="I729" s="406"/>
      <c r="J729" s="406"/>
      <c r="K729" s="406"/>
      <c r="L729" s="406"/>
      <c r="M729" s="406"/>
      <c r="N729" s="406"/>
      <c r="O729" s="406"/>
      <c r="P729" s="406"/>
      <c r="Q729" s="406"/>
      <c r="R729" s="406"/>
      <c r="S729" s="406"/>
      <c r="T729" s="406"/>
      <c r="U729" s="406"/>
      <c r="V729" s="406"/>
      <c r="W729" s="406"/>
      <c r="X729" s="406"/>
      <c r="Y729" s="406"/>
      <c r="Z729" s="406"/>
    </row>
    <row r="730">
      <c r="A730" s="406"/>
      <c r="B730" s="406"/>
      <c r="C730" s="406"/>
      <c r="D730" s="406"/>
      <c r="E730" s="406"/>
      <c r="F730" s="406"/>
      <c r="G730" s="407"/>
      <c r="H730" s="406"/>
      <c r="I730" s="406"/>
      <c r="J730" s="406"/>
      <c r="K730" s="406"/>
      <c r="L730" s="406"/>
      <c r="M730" s="406"/>
      <c r="N730" s="406"/>
      <c r="O730" s="406"/>
      <c r="P730" s="406"/>
      <c r="Q730" s="406"/>
      <c r="R730" s="406"/>
      <c r="S730" s="406"/>
      <c r="T730" s="406"/>
      <c r="U730" s="406"/>
      <c r="V730" s="406"/>
      <c r="W730" s="406"/>
      <c r="X730" s="406"/>
      <c r="Y730" s="406"/>
      <c r="Z730" s="406"/>
    </row>
    <row r="731">
      <c r="A731" s="406"/>
      <c r="B731" s="406"/>
      <c r="C731" s="406"/>
      <c r="D731" s="406"/>
      <c r="E731" s="406"/>
      <c r="F731" s="406"/>
      <c r="G731" s="407"/>
      <c r="H731" s="406"/>
      <c r="I731" s="406"/>
      <c r="J731" s="406"/>
      <c r="K731" s="406"/>
      <c r="L731" s="406"/>
      <c r="M731" s="406"/>
      <c r="N731" s="406"/>
      <c r="O731" s="406"/>
      <c r="P731" s="406"/>
      <c r="Q731" s="406"/>
      <c r="R731" s="406"/>
      <c r="S731" s="406"/>
      <c r="T731" s="406"/>
      <c r="U731" s="406"/>
      <c r="V731" s="406"/>
      <c r="W731" s="406"/>
      <c r="X731" s="406"/>
      <c r="Y731" s="406"/>
      <c r="Z731" s="406"/>
    </row>
    <row r="732">
      <c r="A732" s="406"/>
      <c r="B732" s="406"/>
      <c r="C732" s="406"/>
      <c r="D732" s="406"/>
      <c r="E732" s="406"/>
      <c r="F732" s="406"/>
      <c r="G732" s="407"/>
      <c r="H732" s="406"/>
      <c r="I732" s="406"/>
      <c r="J732" s="406"/>
      <c r="K732" s="406"/>
      <c r="L732" s="406"/>
      <c r="M732" s="406"/>
      <c r="N732" s="406"/>
      <c r="O732" s="406"/>
      <c r="P732" s="406"/>
      <c r="Q732" s="406"/>
      <c r="R732" s="406"/>
      <c r="S732" s="406"/>
      <c r="T732" s="406"/>
      <c r="U732" s="406"/>
      <c r="V732" s="406"/>
      <c r="W732" s="406"/>
      <c r="X732" s="406"/>
      <c r="Y732" s="406"/>
      <c r="Z732" s="406"/>
    </row>
    <row r="733">
      <c r="A733" s="406"/>
      <c r="B733" s="406"/>
      <c r="C733" s="406"/>
      <c r="D733" s="406"/>
      <c r="E733" s="406"/>
      <c r="F733" s="406"/>
      <c r="G733" s="407"/>
      <c r="H733" s="406"/>
      <c r="I733" s="406"/>
      <c r="J733" s="406"/>
      <c r="K733" s="406"/>
      <c r="L733" s="406"/>
      <c r="M733" s="406"/>
      <c r="N733" s="406"/>
      <c r="O733" s="406"/>
      <c r="P733" s="406"/>
      <c r="Q733" s="406"/>
      <c r="R733" s="406"/>
      <c r="S733" s="406"/>
      <c r="T733" s="406"/>
      <c r="U733" s="406"/>
      <c r="V733" s="406"/>
      <c r="W733" s="406"/>
      <c r="X733" s="406"/>
      <c r="Y733" s="406"/>
      <c r="Z733" s="406"/>
    </row>
    <row r="734">
      <c r="A734" s="406"/>
      <c r="B734" s="406"/>
      <c r="C734" s="406"/>
      <c r="D734" s="406"/>
      <c r="E734" s="406"/>
      <c r="F734" s="406"/>
      <c r="G734" s="407"/>
      <c r="H734" s="406"/>
      <c r="I734" s="406"/>
      <c r="J734" s="406"/>
      <c r="K734" s="406"/>
      <c r="L734" s="406"/>
      <c r="M734" s="406"/>
      <c r="N734" s="406"/>
      <c r="O734" s="406"/>
      <c r="P734" s="406"/>
      <c r="Q734" s="406"/>
      <c r="R734" s="406"/>
      <c r="S734" s="406"/>
      <c r="T734" s="406"/>
      <c r="U734" s="406"/>
      <c r="V734" s="406"/>
      <c r="W734" s="406"/>
      <c r="X734" s="406"/>
      <c r="Y734" s="406"/>
      <c r="Z734" s="406"/>
    </row>
    <row r="735">
      <c r="A735" s="406"/>
      <c r="B735" s="406"/>
      <c r="C735" s="406"/>
      <c r="D735" s="406"/>
      <c r="E735" s="406"/>
      <c r="F735" s="406"/>
      <c r="G735" s="407"/>
      <c r="H735" s="406"/>
      <c r="I735" s="406"/>
      <c r="J735" s="406"/>
      <c r="K735" s="406"/>
      <c r="L735" s="406"/>
      <c r="M735" s="406"/>
      <c r="N735" s="406"/>
      <c r="O735" s="406"/>
      <c r="P735" s="406"/>
      <c r="Q735" s="406"/>
      <c r="R735" s="406"/>
      <c r="S735" s="406"/>
      <c r="T735" s="406"/>
      <c r="U735" s="406"/>
      <c r="V735" s="406"/>
      <c r="W735" s="406"/>
      <c r="X735" s="406"/>
      <c r="Y735" s="406"/>
      <c r="Z735" s="406"/>
    </row>
    <row r="736">
      <c r="A736" s="406"/>
      <c r="B736" s="406"/>
      <c r="C736" s="406"/>
      <c r="D736" s="406"/>
      <c r="E736" s="406"/>
      <c r="F736" s="406"/>
      <c r="G736" s="407"/>
      <c r="H736" s="406"/>
      <c r="I736" s="406"/>
      <c r="J736" s="406"/>
      <c r="K736" s="406"/>
      <c r="L736" s="406"/>
      <c r="M736" s="406"/>
      <c r="N736" s="406"/>
      <c r="O736" s="406"/>
      <c r="P736" s="406"/>
      <c r="Q736" s="406"/>
      <c r="R736" s="406"/>
      <c r="S736" s="406"/>
      <c r="T736" s="406"/>
      <c r="U736" s="406"/>
      <c r="V736" s="406"/>
      <c r="W736" s="406"/>
      <c r="X736" s="406"/>
      <c r="Y736" s="406"/>
      <c r="Z736" s="406"/>
    </row>
    <row r="737">
      <c r="A737" s="406"/>
      <c r="B737" s="406"/>
      <c r="C737" s="406"/>
      <c r="D737" s="406"/>
      <c r="E737" s="406"/>
      <c r="F737" s="406"/>
      <c r="G737" s="407"/>
      <c r="H737" s="406"/>
      <c r="I737" s="406"/>
      <c r="J737" s="406"/>
      <c r="K737" s="406"/>
      <c r="L737" s="406"/>
      <c r="M737" s="406"/>
      <c r="N737" s="406"/>
      <c r="O737" s="406"/>
      <c r="P737" s="406"/>
      <c r="Q737" s="406"/>
      <c r="R737" s="406"/>
      <c r="S737" s="406"/>
      <c r="T737" s="406"/>
      <c r="U737" s="406"/>
      <c r="V737" s="406"/>
      <c r="W737" s="406"/>
      <c r="X737" s="406"/>
      <c r="Y737" s="406"/>
      <c r="Z737" s="406"/>
    </row>
    <row r="738">
      <c r="A738" s="406"/>
      <c r="B738" s="406"/>
      <c r="C738" s="406"/>
      <c r="D738" s="406"/>
      <c r="E738" s="406"/>
      <c r="F738" s="406"/>
      <c r="G738" s="407"/>
      <c r="H738" s="406"/>
      <c r="I738" s="406"/>
      <c r="J738" s="406"/>
      <c r="K738" s="406"/>
      <c r="L738" s="406"/>
      <c r="M738" s="406"/>
      <c r="N738" s="406"/>
      <c r="O738" s="406"/>
      <c r="P738" s="406"/>
      <c r="Q738" s="406"/>
      <c r="R738" s="406"/>
      <c r="S738" s="406"/>
      <c r="T738" s="406"/>
      <c r="U738" s="406"/>
      <c r="V738" s="406"/>
      <c r="W738" s="406"/>
      <c r="X738" s="406"/>
      <c r="Y738" s="406"/>
      <c r="Z738" s="406"/>
    </row>
    <row r="739">
      <c r="A739" s="406"/>
      <c r="B739" s="406"/>
      <c r="C739" s="406"/>
      <c r="D739" s="406"/>
      <c r="E739" s="406"/>
      <c r="F739" s="406"/>
      <c r="G739" s="407"/>
      <c r="H739" s="406"/>
      <c r="I739" s="406"/>
      <c r="J739" s="406"/>
      <c r="K739" s="406"/>
      <c r="L739" s="406"/>
      <c r="M739" s="406"/>
      <c r="N739" s="406"/>
      <c r="O739" s="406"/>
      <c r="P739" s="406"/>
      <c r="Q739" s="406"/>
      <c r="R739" s="406"/>
      <c r="S739" s="406"/>
      <c r="T739" s="406"/>
      <c r="U739" s="406"/>
      <c r="V739" s="406"/>
      <c r="W739" s="406"/>
      <c r="X739" s="406"/>
      <c r="Y739" s="406"/>
      <c r="Z739" s="406"/>
    </row>
    <row r="740">
      <c r="A740" s="406"/>
      <c r="B740" s="406"/>
      <c r="C740" s="406"/>
      <c r="D740" s="406"/>
      <c r="E740" s="406"/>
      <c r="F740" s="406"/>
      <c r="G740" s="407"/>
      <c r="H740" s="406"/>
      <c r="I740" s="406"/>
      <c r="J740" s="406"/>
      <c r="K740" s="406"/>
      <c r="L740" s="406"/>
      <c r="M740" s="406"/>
      <c r="N740" s="406"/>
      <c r="O740" s="406"/>
      <c r="P740" s="406"/>
      <c r="Q740" s="406"/>
      <c r="R740" s="406"/>
      <c r="S740" s="406"/>
      <c r="T740" s="406"/>
      <c r="U740" s="406"/>
      <c r="V740" s="406"/>
      <c r="W740" s="406"/>
      <c r="X740" s="406"/>
      <c r="Y740" s="406"/>
      <c r="Z740" s="406"/>
    </row>
    <row r="741">
      <c r="A741" s="406"/>
      <c r="B741" s="406"/>
      <c r="C741" s="406"/>
      <c r="D741" s="406"/>
      <c r="E741" s="406"/>
      <c r="F741" s="406"/>
      <c r="G741" s="407"/>
      <c r="H741" s="406"/>
      <c r="I741" s="406"/>
      <c r="J741" s="406"/>
      <c r="K741" s="406"/>
      <c r="L741" s="406"/>
      <c r="M741" s="406"/>
      <c r="N741" s="406"/>
      <c r="O741" s="406"/>
      <c r="P741" s="406"/>
      <c r="Q741" s="406"/>
      <c r="R741" s="406"/>
      <c r="S741" s="406"/>
      <c r="T741" s="406"/>
      <c r="U741" s="406"/>
      <c r="V741" s="406"/>
      <c r="W741" s="406"/>
      <c r="X741" s="406"/>
      <c r="Y741" s="406"/>
      <c r="Z741" s="406"/>
    </row>
    <row r="742">
      <c r="A742" s="406"/>
      <c r="B742" s="406"/>
      <c r="C742" s="406"/>
      <c r="D742" s="406"/>
      <c r="E742" s="406"/>
      <c r="F742" s="406"/>
      <c r="G742" s="407"/>
      <c r="H742" s="406"/>
      <c r="I742" s="406"/>
      <c r="J742" s="406"/>
      <c r="K742" s="406"/>
      <c r="L742" s="406"/>
      <c r="M742" s="406"/>
      <c r="N742" s="406"/>
      <c r="O742" s="406"/>
      <c r="P742" s="406"/>
      <c r="Q742" s="406"/>
      <c r="R742" s="406"/>
      <c r="S742" s="406"/>
      <c r="T742" s="406"/>
      <c r="U742" s="406"/>
      <c r="V742" s="406"/>
      <c r="W742" s="406"/>
      <c r="X742" s="406"/>
      <c r="Y742" s="406"/>
      <c r="Z742" s="406"/>
    </row>
    <row r="743">
      <c r="A743" s="406"/>
      <c r="B743" s="406"/>
      <c r="C743" s="406"/>
      <c r="D743" s="406"/>
      <c r="E743" s="406"/>
      <c r="F743" s="406"/>
      <c r="G743" s="407"/>
      <c r="H743" s="406"/>
      <c r="I743" s="406"/>
      <c r="J743" s="406"/>
      <c r="K743" s="406"/>
      <c r="L743" s="406"/>
      <c r="M743" s="406"/>
      <c r="N743" s="406"/>
      <c r="O743" s="406"/>
      <c r="P743" s="406"/>
      <c r="Q743" s="406"/>
      <c r="R743" s="406"/>
      <c r="S743" s="406"/>
      <c r="T743" s="406"/>
      <c r="U743" s="406"/>
      <c r="V743" s="406"/>
      <c r="W743" s="406"/>
      <c r="X743" s="406"/>
      <c r="Y743" s="406"/>
      <c r="Z743" s="406"/>
    </row>
    <row r="744">
      <c r="A744" s="406"/>
      <c r="B744" s="406"/>
      <c r="C744" s="406"/>
      <c r="D744" s="406"/>
      <c r="E744" s="406"/>
      <c r="F744" s="406"/>
      <c r="G744" s="407"/>
      <c r="H744" s="406"/>
      <c r="I744" s="406"/>
      <c r="J744" s="406"/>
      <c r="K744" s="406"/>
      <c r="L744" s="406"/>
      <c r="M744" s="406"/>
      <c r="N744" s="406"/>
      <c r="O744" s="406"/>
      <c r="P744" s="406"/>
      <c r="Q744" s="406"/>
      <c r="R744" s="406"/>
      <c r="S744" s="406"/>
      <c r="T744" s="406"/>
      <c r="U744" s="406"/>
      <c r="V744" s="406"/>
      <c r="W744" s="406"/>
      <c r="X744" s="406"/>
      <c r="Y744" s="406"/>
      <c r="Z744" s="406"/>
    </row>
    <row r="745">
      <c r="A745" s="406"/>
      <c r="B745" s="406"/>
      <c r="C745" s="406"/>
      <c r="D745" s="406"/>
      <c r="E745" s="406"/>
      <c r="F745" s="406"/>
      <c r="G745" s="407"/>
      <c r="H745" s="406"/>
      <c r="I745" s="406"/>
      <c r="J745" s="406"/>
      <c r="K745" s="406"/>
      <c r="L745" s="406"/>
      <c r="M745" s="406"/>
      <c r="N745" s="406"/>
      <c r="O745" s="406"/>
      <c r="P745" s="406"/>
      <c r="Q745" s="406"/>
      <c r="R745" s="406"/>
      <c r="S745" s="406"/>
      <c r="T745" s="406"/>
      <c r="U745" s="406"/>
      <c r="V745" s="406"/>
      <c r="W745" s="406"/>
      <c r="X745" s="406"/>
      <c r="Y745" s="406"/>
      <c r="Z745" s="406"/>
    </row>
    <row r="746">
      <c r="A746" s="406"/>
      <c r="B746" s="406"/>
      <c r="C746" s="406"/>
      <c r="D746" s="406"/>
      <c r="E746" s="406"/>
      <c r="F746" s="406"/>
      <c r="G746" s="407"/>
      <c r="H746" s="406"/>
      <c r="I746" s="406"/>
      <c r="J746" s="406"/>
      <c r="K746" s="406"/>
      <c r="L746" s="406"/>
      <c r="M746" s="406"/>
      <c r="N746" s="406"/>
      <c r="O746" s="406"/>
      <c r="P746" s="406"/>
      <c r="Q746" s="406"/>
      <c r="R746" s="406"/>
      <c r="S746" s="406"/>
      <c r="T746" s="406"/>
      <c r="U746" s="406"/>
      <c r="V746" s="406"/>
      <c r="W746" s="406"/>
      <c r="X746" s="406"/>
      <c r="Y746" s="406"/>
      <c r="Z746" s="406"/>
    </row>
    <row r="747">
      <c r="A747" s="406"/>
      <c r="B747" s="406"/>
      <c r="C747" s="406"/>
      <c r="D747" s="406"/>
      <c r="E747" s="406"/>
      <c r="F747" s="406"/>
      <c r="G747" s="407"/>
      <c r="H747" s="406"/>
      <c r="I747" s="406"/>
      <c r="J747" s="406"/>
      <c r="K747" s="406"/>
      <c r="L747" s="406"/>
      <c r="M747" s="406"/>
      <c r="N747" s="406"/>
      <c r="O747" s="406"/>
      <c r="P747" s="406"/>
      <c r="Q747" s="406"/>
      <c r="R747" s="406"/>
      <c r="S747" s="406"/>
      <c r="T747" s="406"/>
      <c r="U747" s="406"/>
      <c r="V747" s="406"/>
      <c r="W747" s="406"/>
      <c r="X747" s="406"/>
      <c r="Y747" s="406"/>
      <c r="Z747" s="406"/>
    </row>
    <row r="748">
      <c r="A748" s="406"/>
      <c r="B748" s="406"/>
      <c r="C748" s="406"/>
      <c r="D748" s="406"/>
      <c r="E748" s="406"/>
      <c r="F748" s="406"/>
      <c r="G748" s="407"/>
      <c r="H748" s="406"/>
      <c r="I748" s="406"/>
      <c r="J748" s="406"/>
      <c r="K748" s="406"/>
      <c r="L748" s="406"/>
      <c r="M748" s="406"/>
      <c r="N748" s="406"/>
      <c r="O748" s="406"/>
      <c r="P748" s="406"/>
      <c r="Q748" s="406"/>
      <c r="R748" s="406"/>
      <c r="S748" s="406"/>
      <c r="T748" s="406"/>
      <c r="U748" s="406"/>
      <c r="V748" s="406"/>
      <c r="W748" s="406"/>
      <c r="X748" s="406"/>
      <c r="Y748" s="406"/>
      <c r="Z748" s="406"/>
    </row>
    <row r="749">
      <c r="A749" s="406"/>
      <c r="B749" s="406"/>
      <c r="C749" s="406"/>
      <c r="D749" s="406"/>
      <c r="E749" s="406"/>
      <c r="F749" s="406"/>
      <c r="G749" s="407"/>
      <c r="H749" s="406"/>
      <c r="I749" s="406"/>
      <c r="J749" s="406"/>
      <c r="K749" s="406"/>
      <c r="L749" s="406"/>
      <c r="M749" s="406"/>
      <c r="N749" s="406"/>
      <c r="O749" s="406"/>
      <c r="P749" s="406"/>
      <c r="Q749" s="406"/>
      <c r="R749" s="406"/>
      <c r="S749" s="406"/>
      <c r="T749" s="406"/>
      <c r="U749" s="406"/>
      <c r="V749" s="406"/>
      <c r="W749" s="406"/>
      <c r="X749" s="406"/>
      <c r="Y749" s="406"/>
      <c r="Z749" s="406"/>
    </row>
    <row r="750">
      <c r="A750" s="406"/>
      <c r="B750" s="406"/>
      <c r="C750" s="406"/>
      <c r="D750" s="406"/>
      <c r="E750" s="406"/>
      <c r="F750" s="406"/>
      <c r="G750" s="407"/>
      <c r="H750" s="406"/>
      <c r="I750" s="406"/>
      <c r="J750" s="406"/>
      <c r="K750" s="406"/>
      <c r="L750" s="406"/>
      <c r="M750" s="406"/>
      <c r="N750" s="406"/>
      <c r="O750" s="406"/>
      <c r="P750" s="406"/>
      <c r="Q750" s="406"/>
      <c r="R750" s="406"/>
      <c r="S750" s="406"/>
      <c r="T750" s="406"/>
      <c r="U750" s="406"/>
      <c r="V750" s="406"/>
      <c r="W750" s="406"/>
      <c r="X750" s="406"/>
      <c r="Y750" s="406"/>
      <c r="Z750" s="406"/>
    </row>
    <row r="751">
      <c r="A751" s="406"/>
      <c r="B751" s="406"/>
      <c r="C751" s="406"/>
      <c r="D751" s="406"/>
      <c r="E751" s="406"/>
      <c r="F751" s="406"/>
      <c r="G751" s="407"/>
      <c r="H751" s="406"/>
      <c r="I751" s="406"/>
      <c r="J751" s="406"/>
      <c r="K751" s="406"/>
      <c r="L751" s="406"/>
      <c r="M751" s="406"/>
      <c r="N751" s="406"/>
      <c r="O751" s="406"/>
      <c r="P751" s="406"/>
      <c r="Q751" s="406"/>
      <c r="R751" s="406"/>
      <c r="S751" s="406"/>
      <c r="T751" s="406"/>
      <c r="U751" s="406"/>
      <c r="V751" s="406"/>
      <c r="W751" s="406"/>
      <c r="X751" s="406"/>
      <c r="Y751" s="406"/>
      <c r="Z751" s="406"/>
    </row>
    <row r="752">
      <c r="A752" s="406"/>
      <c r="B752" s="406"/>
      <c r="C752" s="406"/>
      <c r="D752" s="406"/>
      <c r="E752" s="406"/>
      <c r="F752" s="406"/>
      <c r="G752" s="407"/>
      <c r="H752" s="406"/>
      <c r="I752" s="406"/>
      <c r="J752" s="406"/>
      <c r="K752" s="406"/>
      <c r="L752" s="406"/>
      <c r="M752" s="406"/>
      <c r="N752" s="406"/>
      <c r="O752" s="406"/>
      <c r="P752" s="406"/>
      <c r="Q752" s="406"/>
      <c r="R752" s="406"/>
      <c r="S752" s="406"/>
      <c r="T752" s="406"/>
      <c r="U752" s="406"/>
      <c r="V752" s="406"/>
      <c r="W752" s="406"/>
      <c r="X752" s="406"/>
      <c r="Y752" s="406"/>
      <c r="Z752" s="406"/>
    </row>
    <row r="753">
      <c r="A753" s="406"/>
      <c r="B753" s="406"/>
      <c r="C753" s="406"/>
      <c r="D753" s="406"/>
      <c r="E753" s="406"/>
      <c r="F753" s="406"/>
      <c r="G753" s="407"/>
      <c r="H753" s="406"/>
      <c r="I753" s="406"/>
      <c r="J753" s="406"/>
      <c r="K753" s="406"/>
      <c r="L753" s="406"/>
      <c r="M753" s="406"/>
      <c r="N753" s="406"/>
      <c r="O753" s="406"/>
      <c r="P753" s="406"/>
      <c r="Q753" s="406"/>
      <c r="R753" s="406"/>
      <c r="S753" s="406"/>
      <c r="T753" s="406"/>
      <c r="U753" s="406"/>
      <c r="V753" s="406"/>
      <c r="W753" s="406"/>
      <c r="X753" s="406"/>
      <c r="Y753" s="406"/>
      <c r="Z753" s="406"/>
    </row>
    <row r="754">
      <c r="A754" s="406"/>
      <c r="B754" s="406"/>
      <c r="C754" s="406"/>
      <c r="D754" s="406"/>
      <c r="E754" s="406"/>
      <c r="F754" s="406"/>
      <c r="G754" s="407"/>
      <c r="H754" s="406"/>
      <c r="I754" s="406"/>
      <c r="J754" s="406"/>
      <c r="K754" s="406"/>
      <c r="L754" s="406"/>
      <c r="M754" s="406"/>
      <c r="N754" s="406"/>
      <c r="O754" s="406"/>
      <c r="P754" s="406"/>
      <c r="Q754" s="406"/>
      <c r="R754" s="406"/>
      <c r="S754" s="406"/>
      <c r="T754" s="406"/>
      <c r="U754" s="406"/>
      <c r="V754" s="406"/>
      <c r="W754" s="406"/>
      <c r="X754" s="406"/>
      <c r="Y754" s="406"/>
      <c r="Z754" s="406"/>
    </row>
    <row r="755">
      <c r="A755" s="406"/>
      <c r="B755" s="406"/>
      <c r="C755" s="406"/>
      <c r="D755" s="406"/>
      <c r="E755" s="406"/>
      <c r="F755" s="406"/>
      <c r="G755" s="407"/>
      <c r="H755" s="406"/>
      <c r="I755" s="406"/>
      <c r="J755" s="406"/>
      <c r="K755" s="406"/>
      <c r="L755" s="406"/>
      <c r="M755" s="406"/>
      <c r="N755" s="406"/>
      <c r="O755" s="406"/>
      <c r="P755" s="406"/>
      <c r="Q755" s="406"/>
      <c r="R755" s="406"/>
      <c r="S755" s="406"/>
      <c r="T755" s="406"/>
      <c r="U755" s="406"/>
      <c r="V755" s="406"/>
      <c r="W755" s="406"/>
      <c r="X755" s="406"/>
      <c r="Y755" s="406"/>
      <c r="Z755" s="406"/>
    </row>
    <row r="756">
      <c r="A756" s="406"/>
      <c r="B756" s="406"/>
      <c r="C756" s="406"/>
      <c r="D756" s="406"/>
      <c r="E756" s="406"/>
      <c r="F756" s="406"/>
      <c r="G756" s="407"/>
      <c r="H756" s="406"/>
      <c r="I756" s="406"/>
      <c r="J756" s="406"/>
      <c r="K756" s="406"/>
      <c r="L756" s="406"/>
      <c r="M756" s="406"/>
      <c r="N756" s="406"/>
      <c r="O756" s="406"/>
      <c r="P756" s="406"/>
      <c r="Q756" s="406"/>
      <c r="R756" s="406"/>
      <c r="S756" s="406"/>
      <c r="T756" s="406"/>
      <c r="U756" s="406"/>
      <c r="V756" s="406"/>
      <c r="W756" s="406"/>
      <c r="X756" s="406"/>
      <c r="Y756" s="406"/>
      <c r="Z756" s="406"/>
    </row>
    <row r="757">
      <c r="A757" s="406"/>
      <c r="B757" s="406"/>
      <c r="C757" s="406"/>
      <c r="D757" s="406"/>
      <c r="E757" s="406"/>
      <c r="F757" s="406"/>
      <c r="G757" s="407"/>
      <c r="H757" s="406"/>
      <c r="I757" s="406"/>
      <c r="J757" s="406"/>
      <c r="K757" s="406"/>
      <c r="L757" s="406"/>
      <c r="M757" s="406"/>
      <c r="N757" s="406"/>
      <c r="O757" s="406"/>
      <c r="P757" s="406"/>
      <c r="Q757" s="406"/>
      <c r="R757" s="406"/>
      <c r="S757" s="406"/>
      <c r="T757" s="406"/>
      <c r="U757" s="406"/>
      <c r="V757" s="406"/>
      <c r="W757" s="406"/>
      <c r="X757" s="406"/>
      <c r="Y757" s="406"/>
      <c r="Z757" s="406"/>
    </row>
    <row r="758">
      <c r="A758" s="406"/>
      <c r="B758" s="406"/>
      <c r="C758" s="406"/>
      <c r="D758" s="406"/>
      <c r="E758" s="406"/>
      <c r="F758" s="406"/>
      <c r="G758" s="407"/>
      <c r="H758" s="406"/>
      <c r="I758" s="406"/>
      <c r="J758" s="406"/>
      <c r="K758" s="406"/>
      <c r="L758" s="406"/>
      <c r="M758" s="406"/>
      <c r="N758" s="406"/>
      <c r="O758" s="406"/>
      <c r="P758" s="406"/>
      <c r="Q758" s="406"/>
      <c r="R758" s="406"/>
      <c r="S758" s="406"/>
      <c r="T758" s="406"/>
      <c r="U758" s="406"/>
      <c r="V758" s="406"/>
      <c r="W758" s="406"/>
      <c r="X758" s="406"/>
      <c r="Y758" s="406"/>
      <c r="Z758" s="406"/>
    </row>
    <row r="759">
      <c r="A759" s="406"/>
      <c r="B759" s="406"/>
      <c r="C759" s="406"/>
      <c r="D759" s="406"/>
      <c r="E759" s="406"/>
      <c r="F759" s="406"/>
      <c r="G759" s="407"/>
      <c r="H759" s="406"/>
      <c r="I759" s="406"/>
      <c r="J759" s="406"/>
      <c r="K759" s="406"/>
      <c r="L759" s="406"/>
      <c r="M759" s="406"/>
      <c r="N759" s="406"/>
      <c r="O759" s="406"/>
      <c r="P759" s="406"/>
      <c r="Q759" s="406"/>
      <c r="R759" s="406"/>
      <c r="S759" s="406"/>
      <c r="T759" s="406"/>
      <c r="U759" s="406"/>
      <c r="V759" s="406"/>
      <c r="W759" s="406"/>
      <c r="X759" s="406"/>
      <c r="Y759" s="406"/>
      <c r="Z759" s="406"/>
    </row>
    <row r="760">
      <c r="A760" s="406"/>
      <c r="B760" s="406"/>
      <c r="C760" s="406"/>
      <c r="D760" s="406"/>
      <c r="E760" s="406"/>
      <c r="F760" s="406"/>
      <c r="G760" s="407"/>
      <c r="H760" s="406"/>
      <c r="I760" s="406"/>
      <c r="J760" s="406"/>
      <c r="K760" s="406"/>
      <c r="L760" s="406"/>
      <c r="M760" s="406"/>
      <c r="N760" s="406"/>
      <c r="O760" s="406"/>
      <c r="P760" s="406"/>
      <c r="Q760" s="406"/>
      <c r="R760" s="406"/>
      <c r="S760" s="406"/>
      <c r="T760" s="406"/>
      <c r="U760" s="406"/>
      <c r="V760" s="406"/>
      <c r="W760" s="406"/>
      <c r="X760" s="406"/>
      <c r="Y760" s="406"/>
      <c r="Z760" s="406"/>
    </row>
    <row r="761">
      <c r="A761" s="406"/>
      <c r="B761" s="406"/>
      <c r="C761" s="406"/>
      <c r="D761" s="406"/>
      <c r="E761" s="406"/>
      <c r="F761" s="406"/>
      <c r="G761" s="407"/>
      <c r="H761" s="406"/>
      <c r="I761" s="406"/>
      <c r="J761" s="406"/>
      <c r="K761" s="406"/>
      <c r="L761" s="406"/>
      <c r="M761" s="406"/>
      <c r="N761" s="406"/>
      <c r="O761" s="406"/>
      <c r="P761" s="406"/>
      <c r="Q761" s="406"/>
      <c r="R761" s="406"/>
      <c r="S761" s="406"/>
      <c r="T761" s="406"/>
      <c r="U761" s="406"/>
      <c r="V761" s="406"/>
      <c r="W761" s="406"/>
      <c r="X761" s="406"/>
      <c r="Y761" s="406"/>
      <c r="Z761" s="406"/>
    </row>
    <row r="762">
      <c r="A762" s="406"/>
      <c r="B762" s="406"/>
      <c r="C762" s="406"/>
      <c r="D762" s="406"/>
      <c r="E762" s="406"/>
      <c r="F762" s="406"/>
      <c r="G762" s="407"/>
      <c r="H762" s="406"/>
      <c r="I762" s="406"/>
      <c r="J762" s="406"/>
      <c r="K762" s="406"/>
      <c r="L762" s="406"/>
      <c r="M762" s="406"/>
      <c r="N762" s="406"/>
      <c r="O762" s="406"/>
      <c r="P762" s="406"/>
      <c r="Q762" s="406"/>
      <c r="R762" s="406"/>
      <c r="S762" s="406"/>
      <c r="T762" s="406"/>
      <c r="U762" s="406"/>
      <c r="V762" s="406"/>
      <c r="W762" s="406"/>
      <c r="X762" s="406"/>
      <c r="Y762" s="406"/>
      <c r="Z762" s="406"/>
    </row>
    <row r="763">
      <c r="A763" s="406"/>
      <c r="B763" s="406"/>
      <c r="C763" s="406"/>
      <c r="D763" s="406"/>
      <c r="E763" s="406"/>
      <c r="F763" s="406"/>
      <c r="G763" s="407"/>
      <c r="H763" s="406"/>
      <c r="I763" s="406"/>
      <c r="J763" s="406"/>
      <c r="K763" s="406"/>
      <c r="L763" s="406"/>
      <c r="M763" s="406"/>
      <c r="N763" s="406"/>
      <c r="O763" s="406"/>
      <c r="P763" s="406"/>
      <c r="Q763" s="406"/>
      <c r="R763" s="406"/>
      <c r="S763" s="406"/>
      <c r="T763" s="406"/>
      <c r="U763" s="406"/>
      <c r="V763" s="406"/>
      <c r="W763" s="406"/>
      <c r="X763" s="406"/>
      <c r="Y763" s="406"/>
      <c r="Z763" s="406"/>
    </row>
    <row r="764">
      <c r="A764" s="406"/>
      <c r="B764" s="406"/>
      <c r="C764" s="406"/>
      <c r="D764" s="406"/>
      <c r="E764" s="406"/>
      <c r="F764" s="406"/>
      <c r="G764" s="407"/>
      <c r="H764" s="406"/>
      <c r="I764" s="406"/>
      <c r="J764" s="406"/>
      <c r="K764" s="406"/>
      <c r="L764" s="406"/>
      <c r="M764" s="406"/>
      <c r="N764" s="406"/>
      <c r="O764" s="406"/>
      <c r="P764" s="406"/>
      <c r="Q764" s="406"/>
      <c r="R764" s="406"/>
      <c r="S764" s="406"/>
      <c r="T764" s="406"/>
      <c r="U764" s="406"/>
      <c r="V764" s="406"/>
      <c r="W764" s="406"/>
      <c r="X764" s="406"/>
      <c r="Y764" s="406"/>
      <c r="Z764" s="406"/>
    </row>
    <row r="765">
      <c r="A765" s="406"/>
      <c r="B765" s="406"/>
      <c r="C765" s="406"/>
      <c r="D765" s="406"/>
      <c r="E765" s="406"/>
      <c r="F765" s="406"/>
      <c r="G765" s="407"/>
      <c r="H765" s="406"/>
      <c r="I765" s="406"/>
      <c r="J765" s="406"/>
      <c r="K765" s="406"/>
      <c r="L765" s="406"/>
      <c r="M765" s="406"/>
      <c r="N765" s="406"/>
      <c r="O765" s="406"/>
      <c r="P765" s="406"/>
      <c r="Q765" s="406"/>
      <c r="R765" s="406"/>
      <c r="S765" s="406"/>
      <c r="T765" s="406"/>
      <c r="U765" s="406"/>
      <c r="V765" s="406"/>
      <c r="W765" s="406"/>
      <c r="X765" s="406"/>
      <c r="Y765" s="406"/>
      <c r="Z765" s="406"/>
    </row>
    <row r="766">
      <c r="A766" s="406"/>
      <c r="B766" s="406"/>
      <c r="C766" s="406"/>
      <c r="D766" s="406"/>
      <c r="E766" s="406"/>
      <c r="F766" s="406"/>
      <c r="G766" s="407"/>
      <c r="H766" s="406"/>
      <c r="I766" s="406"/>
      <c r="J766" s="406"/>
      <c r="K766" s="406"/>
      <c r="L766" s="406"/>
      <c r="M766" s="406"/>
      <c r="N766" s="406"/>
      <c r="O766" s="406"/>
      <c r="P766" s="406"/>
      <c r="Q766" s="406"/>
      <c r="R766" s="406"/>
      <c r="S766" s="406"/>
      <c r="T766" s="406"/>
      <c r="U766" s="406"/>
      <c r="V766" s="406"/>
      <c r="W766" s="406"/>
      <c r="X766" s="406"/>
      <c r="Y766" s="406"/>
      <c r="Z766" s="406"/>
    </row>
    <row r="767">
      <c r="A767" s="406"/>
      <c r="B767" s="406"/>
      <c r="C767" s="406"/>
      <c r="D767" s="406"/>
      <c r="E767" s="406"/>
      <c r="F767" s="406"/>
      <c r="G767" s="407"/>
      <c r="H767" s="406"/>
      <c r="I767" s="406"/>
      <c r="J767" s="406"/>
      <c r="K767" s="406"/>
      <c r="L767" s="406"/>
      <c r="M767" s="406"/>
      <c r="N767" s="406"/>
      <c r="O767" s="406"/>
      <c r="P767" s="406"/>
      <c r="Q767" s="406"/>
      <c r="R767" s="406"/>
      <c r="S767" s="406"/>
      <c r="T767" s="406"/>
      <c r="U767" s="406"/>
      <c r="V767" s="406"/>
      <c r="W767" s="406"/>
      <c r="X767" s="406"/>
      <c r="Y767" s="406"/>
      <c r="Z767" s="406"/>
    </row>
    <row r="768">
      <c r="A768" s="406"/>
      <c r="B768" s="406"/>
      <c r="C768" s="406"/>
      <c r="D768" s="406"/>
      <c r="E768" s="406"/>
      <c r="F768" s="406"/>
      <c r="G768" s="407"/>
      <c r="H768" s="406"/>
      <c r="I768" s="406"/>
      <c r="J768" s="406"/>
      <c r="K768" s="406"/>
      <c r="L768" s="406"/>
      <c r="M768" s="406"/>
      <c r="N768" s="406"/>
      <c r="O768" s="406"/>
      <c r="P768" s="406"/>
      <c r="Q768" s="406"/>
      <c r="R768" s="406"/>
      <c r="S768" s="406"/>
      <c r="T768" s="406"/>
      <c r="U768" s="406"/>
      <c r="V768" s="406"/>
      <c r="W768" s="406"/>
      <c r="X768" s="406"/>
      <c r="Y768" s="406"/>
      <c r="Z768" s="406"/>
    </row>
    <row r="769">
      <c r="A769" s="406"/>
      <c r="B769" s="406"/>
      <c r="C769" s="406"/>
      <c r="D769" s="406"/>
      <c r="E769" s="406"/>
      <c r="F769" s="406"/>
      <c r="G769" s="407"/>
      <c r="H769" s="406"/>
      <c r="I769" s="406"/>
      <c r="J769" s="406"/>
      <c r="K769" s="406"/>
      <c r="L769" s="406"/>
      <c r="M769" s="406"/>
      <c r="N769" s="406"/>
      <c r="O769" s="406"/>
      <c r="P769" s="406"/>
      <c r="Q769" s="406"/>
      <c r="R769" s="406"/>
      <c r="S769" s="406"/>
      <c r="T769" s="406"/>
      <c r="U769" s="406"/>
      <c r="V769" s="406"/>
      <c r="W769" s="406"/>
      <c r="X769" s="406"/>
      <c r="Y769" s="406"/>
      <c r="Z769" s="406"/>
    </row>
    <row r="770">
      <c r="A770" s="406"/>
      <c r="B770" s="406"/>
      <c r="C770" s="406"/>
      <c r="D770" s="406"/>
      <c r="E770" s="406"/>
      <c r="F770" s="406"/>
      <c r="G770" s="407"/>
      <c r="H770" s="406"/>
      <c r="I770" s="406"/>
      <c r="J770" s="406"/>
      <c r="K770" s="406"/>
      <c r="L770" s="406"/>
      <c r="M770" s="406"/>
      <c r="N770" s="406"/>
      <c r="O770" s="406"/>
      <c r="P770" s="406"/>
      <c r="Q770" s="406"/>
      <c r="R770" s="406"/>
      <c r="S770" s="406"/>
      <c r="T770" s="406"/>
      <c r="U770" s="406"/>
      <c r="V770" s="406"/>
      <c r="W770" s="406"/>
      <c r="X770" s="406"/>
      <c r="Y770" s="406"/>
      <c r="Z770" s="406"/>
    </row>
    <row r="771">
      <c r="A771" s="406"/>
      <c r="B771" s="406"/>
      <c r="C771" s="406"/>
      <c r="D771" s="406"/>
      <c r="E771" s="406"/>
      <c r="F771" s="406"/>
      <c r="G771" s="407"/>
      <c r="H771" s="406"/>
      <c r="I771" s="406"/>
      <c r="J771" s="406"/>
      <c r="K771" s="406"/>
      <c r="L771" s="406"/>
      <c r="M771" s="406"/>
      <c r="N771" s="406"/>
      <c r="O771" s="406"/>
      <c r="P771" s="406"/>
      <c r="Q771" s="406"/>
      <c r="R771" s="406"/>
      <c r="S771" s="406"/>
      <c r="T771" s="406"/>
      <c r="U771" s="406"/>
      <c r="V771" s="406"/>
      <c r="W771" s="406"/>
      <c r="X771" s="406"/>
      <c r="Y771" s="406"/>
      <c r="Z771" s="406"/>
    </row>
    <row r="772">
      <c r="A772" s="406"/>
      <c r="B772" s="406"/>
      <c r="C772" s="406"/>
      <c r="D772" s="406"/>
      <c r="E772" s="406"/>
      <c r="F772" s="406"/>
      <c r="G772" s="407"/>
      <c r="H772" s="406"/>
      <c r="I772" s="406"/>
      <c r="J772" s="406"/>
      <c r="K772" s="406"/>
      <c r="L772" s="406"/>
      <c r="M772" s="406"/>
      <c r="N772" s="406"/>
      <c r="O772" s="406"/>
      <c r="P772" s="406"/>
      <c r="Q772" s="406"/>
      <c r="R772" s="406"/>
      <c r="S772" s="406"/>
      <c r="T772" s="406"/>
      <c r="U772" s="406"/>
      <c r="V772" s="406"/>
      <c r="W772" s="406"/>
      <c r="X772" s="406"/>
      <c r="Y772" s="406"/>
      <c r="Z772" s="406"/>
    </row>
    <row r="773">
      <c r="A773" s="406"/>
      <c r="B773" s="406"/>
      <c r="C773" s="406"/>
      <c r="D773" s="406"/>
      <c r="E773" s="406"/>
      <c r="F773" s="406"/>
      <c r="G773" s="407"/>
      <c r="H773" s="406"/>
      <c r="I773" s="406"/>
      <c r="J773" s="406"/>
      <c r="K773" s="406"/>
      <c r="L773" s="406"/>
      <c r="M773" s="406"/>
      <c r="N773" s="406"/>
      <c r="O773" s="406"/>
      <c r="P773" s="406"/>
      <c r="Q773" s="406"/>
      <c r="R773" s="406"/>
      <c r="S773" s="406"/>
      <c r="T773" s="406"/>
      <c r="U773" s="406"/>
      <c r="V773" s="406"/>
      <c r="W773" s="406"/>
      <c r="X773" s="406"/>
      <c r="Y773" s="406"/>
      <c r="Z773" s="406"/>
    </row>
    <row r="774">
      <c r="A774" s="406"/>
      <c r="B774" s="406"/>
      <c r="C774" s="406"/>
      <c r="D774" s="406"/>
      <c r="E774" s="406"/>
      <c r="F774" s="406"/>
      <c r="G774" s="407"/>
      <c r="H774" s="406"/>
      <c r="I774" s="406"/>
      <c r="J774" s="406"/>
      <c r="K774" s="406"/>
      <c r="L774" s="406"/>
      <c r="M774" s="406"/>
      <c r="N774" s="406"/>
      <c r="O774" s="406"/>
      <c r="P774" s="406"/>
      <c r="Q774" s="406"/>
      <c r="R774" s="406"/>
      <c r="S774" s="406"/>
      <c r="T774" s="406"/>
      <c r="U774" s="406"/>
      <c r="V774" s="406"/>
      <c r="W774" s="406"/>
      <c r="X774" s="406"/>
      <c r="Y774" s="406"/>
      <c r="Z774" s="406"/>
    </row>
    <row r="775">
      <c r="A775" s="406"/>
      <c r="B775" s="406"/>
      <c r="C775" s="406"/>
      <c r="D775" s="406"/>
      <c r="E775" s="406"/>
      <c r="F775" s="406"/>
      <c r="G775" s="407"/>
      <c r="H775" s="406"/>
      <c r="I775" s="406"/>
      <c r="J775" s="406"/>
      <c r="K775" s="406"/>
      <c r="L775" s="406"/>
      <c r="M775" s="406"/>
      <c r="N775" s="406"/>
      <c r="O775" s="406"/>
      <c r="P775" s="406"/>
      <c r="Q775" s="406"/>
      <c r="R775" s="406"/>
      <c r="S775" s="406"/>
      <c r="T775" s="406"/>
      <c r="U775" s="406"/>
      <c r="V775" s="406"/>
      <c r="W775" s="406"/>
      <c r="X775" s="406"/>
      <c r="Y775" s="406"/>
      <c r="Z775" s="406"/>
    </row>
    <row r="776">
      <c r="A776" s="406"/>
      <c r="B776" s="406"/>
      <c r="C776" s="406"/>
      <c r="D776" s="406"/>
      <c r="E776" s="406"/>
      <c r="F776" s="406"/>
      <c r="G776" s="407"/>
      <c r="H776" s="406"/>
      <c r="I776" s="406"/>
      <c r="J776" s="406"/>
      <c r="K776" s="406"/>
      <c r="L776" s="406"/>
      <c r="M776" s="406"/>
      <c r="N776" s="406"/>
      <c r="O776" s="406"/>
      <c r="P776" s="406"/>
      <c r="Q776" s="406"/>
      <c r="R776" s="406"/>
      <c r="S776" s="406"/>
      <c r="T776" s="406"/>
      <c r="U776" s="406"/>
      <c r="V776" s="406"/>
      <c r="W776" s="406"/>
      <c r="X776" s="406"/>
      <c r="Y776" s="406"/>
      <c r="Z776" s="406"/>
    </row>
    <row r="777">
      <c r="A777" s="406"/>
      <c r="B777" s="406"/>
      <c r="C777" s="406"/>
      <c r="D777" s="406"/>
      <c r="E777" s="406"/>
      <c r="F777" s="406"/>
      <c r="G777" s="407"/>
      <c r="H777" s="406"/>
      <c r="I777" s="406"/>
      <c r="J777" s="406"/>
      <c r="K777" s="406"/>
      <c r="L777" s="406"/>
      <c r="M777" s="406"/>
      <c r="N777" s="406"/>
      <c r="O777" s="406"/>
      <c r="P777" s="406"/>
      <c r="Q777" s="406"/>
      <c r="R777" s="406"/>
      <c r="S777" s="406"/>
      <c r="T777" s="406"/>
      <c r="U777" s="406"/>
      <c r="V777" s="406"/>
      <c r="W777" s="406"/>
      <c r="X777" s="406"/>
      <c r="Y777" s="406"/>
      <c r="Z777" s="406"/>
    </row>
    <row r="778">
      <c r="A778" s="406"/>
      <c r="B778" s="406"/>
      <c r="C778" s="406"/>
      <c r="D778" s="406"/>
      <c r="E778" s="406"/>
      <c r="F778" s="406"/>
      <c r="G778" s="407"/>
      <c r="H778" s="406"/>
      <c r="I778" s="406"/>
      <c r="J778" s="406"/>
      <c r="K778" s="406"/>
      <c r="L778" s="406"/>
      <c r="M778" s="406"/>
      <c r="N778" s="406"/>
      <c r="O778" s="406"/>
      <c r="P778" s="406"/>
      <c r="Q778" s="406"/>
      <c r="R778" s="406"/>
      <c r="S778" s="406"/>
      <c r="T778" s="406"/>
      <c r="U778" s="406"/>
      <c r="V778" s="406"/>
      <c r="W778" s="406"/>
      <c r="X778" s="406"/>
      <c r="Y778" s="406"/>
      <c r="Z778" s="406"/>
    </row>
    <row r="779">
      <c r="A779" s="406"/>
      <c r="B779" s="406"/>
      <c r="C779" s="406"/>
      <c r="D779" s="406"/>
      <c r="E779" s="406"/>
      <c r="F779" s="406"/>
      <c r="G779" s="407"/>
      <c r="H779" s="406"/>
      <c r="I779" s="406"/>
      <c r="J779" s="406"/>
      <c r="K779" s="406"/>
      <c r="L779" s="406"/>
      <c r="M779" s="406"/>
      <c r="N779" s="406"/>
      <c r="O779" s="406"/>
      <c r="P779" s="406"/>
      <c r="Q779" s="406"/>
      <c r="R779" s="406"/>
      <c r="S779" s="406"/>
      <c r="T779" s="406"/>
      <c r="U779" s="406"/>
      <c r="V779" s="406"/>
      <c r="W779" s="406"/>
      <c r="X779" s="406"/>
      <c r="Y779" s="406"/>
      <c r="Z779" s="406"/>
    </row>
    <row r="780">
      <c r="A780" s="406"/>
      <c r="B780" s="406"/>
      <c r="C780" s="406"/>
      <c r="D780" s="406"/>
      <c r="E780" s="406"/>
      <c r="F780" s="406"/>
      <c r="G780" s="407"/>
      <c r="H780" s="406"/>
      <c r="I780" s="406"/>
      <c r="J780" s="406"/>
      <c r="K780" s="406"/>
      <c r="L780" s="406"/>
      <c r="M780" s="406"/>
      <c r="N780" s="406"/>
      <c r="O780" s="406"/>
      <c r="P780" s="406"/>
      <c r="Q780" s="406"/>
      <c r="R780" s="406"/>
      <c r="S780" s="406"/>
      <c r="T780" s="406"/>
      <c r="U780" s="406"/>
      <c r="V780" s="406"/>
      <c r="W780" s="406"/>
      <c r="X780" s="406"/>
      <c r="Y780" s="406"/>
      <c r="Z780" s="406"/>
    </row>
    <row r="781">
      <c r="A781" s="406"/>
      <c r="B781" s="406"/>
      <c r="C781" s="406"/>
      <c r="D781" s="406"/>
      <c r="E781" s="406"/>
      <c r="F781" s="406"/>
      <c r="G781" s="407"/>
      <c r="H781" s="406"/>
      <c r="I781" s="406"/>
      <c r="J781" s="406"/>
      <c r="K781" s="406"/>
      <c r="L781" s="406"/>
      <c r="M781" s="406"/>
      <c r="N781" s="406"/>
      <c r="O781" s="406"/>
      <c r="P781" s="406"/>
      <c r="Q781" s="406"/>
      <c r="R781" s="406"/>
      <c r="S781" s="406"/>
      <c r="T781" s="406"/>
      <c r="U781" s="406"/>
      <c r="V781" s="406"/>
      <c r="W781" s="406"/>
      <c r="X781" s="406"/>
      <c r="Y781" s="406"/>
      <c r="Z781" s="406"/>
    </row>
    <row r="782">
      <c r="A782" s="406"/>
      <c r="B782" s="406"/>
      <c r="C782" s="406"/>
      <c r="D782" s="406"/>
      <c r="E782" s="406"/>
      <c r="F782" s="406"/>
      <c r="G782" s="407"/>
      <c r="H782" s="406"/>
      <c r="I782" s="406"/>
      <c r="J782" s="406"/>
      <c r="K782" s="406"/>
      <c r="L782" s="406"/>
      <c r="M782" s="406"/>
      <c r="N782" s="406"/>
      <c r="O782" s="406"/>
      <c r="P782" s="406"/>
      <c r="Q782" s="406"/>
      <c r="R782" s="406"/>
      <c r="S782" s="406"/>
      <c r="T782" s="406"/>
      <c r="U782" s="406"/>
      <c r="V782" s="406"/>
      <c r="W782" s="406"/>
      <c r="X782" s="406"/>
      <c r="Y782" s="406"/>
      <c r="Z782" s="406"/>
    </row>
    <row r="783">
      <c r="A783" s="406"/>
      <c r="B783" s="406"/>
      <c r="C783" s="406"/>
      <c r="D783" s="406"/>
      <c r="E783" s="406"/>
      <c r="F783" s="406"/>
      <c r="G783" s="407"/>
      <c r="H783" s="406"/>
      <c r="I783" s="406"/>
      <c r="J783" s="406"/>
      <c r="K783" s="406"/>
      <c r="L783" s="406"/>
      <c r="M783" s="406"/>
      <c r="N783" s="406"/>
      <c r="O783" s="406"/>
      <c r="P783" s="406"/>
      <c r="Q783" s="406"/>
      <c r="R783" s="406"/>
      <c r="S783" s="406"/>
      <c r="T783" s="406"/>
      <c r="U783" s="406"/>
      <c r="V783" s="406"/>
      <c r="W783" s="406"/>
      <c r="X783" s="406"/>
      <c r="Y783" s="406"/>
      <c r="Z783" s="406"/>
    </row>
    <row r="784">
      <c r="A784" s="406"/>
      <c r="B784" s="406"/>
      <c r="C784" s="406"/>
      <c r="D784" s="406"/>
      <c r="E784" s="406"/>
      <c r="F784" s="406"/>
      <c r="G784" s="407"/>
      <c r="H784" s="406"/>
      <c r="I784" s="406"/>
      <c r="J784" s="406"/>
      <c r="K784" s="406"/>
      <c r="L784" s="406"/>
      <c r="M784" s="406"/>
      <c r="N784" s="406"/>
      <c r="O784" s="406"/>
      <c r="P784" s="406"/>
      <c r="Q784" s="406"/>
      <c r="R784" s="406"/>
      <c r="S784" s="406"/>
      <c r="T784" s="406"/>
      <c r="U784" s="406"/>
      <c r="V784" s="406"/>
      <c r="W784" s="406"/>
      <c r="X784" s="406"/>
      <c r="Y784" s="406"/>
      <c r="Z784" s="406"/>
    </row>
    <row r="785">
      <c r="A785" s="406"/>
      <c r="B785" s="406"/>
      <c r="C785" s="406"/>
      <c r="D785" s="406"/>
      <c r="E785" s="406"/>
      <c r="F785" s="406"/>
      <c r="G785" s="407"/>
      <c r="H785" s="406"/>
      <c r="I785" s="406"/>
      <c r="J785" s="406"/>
      <c r="K785" s="406"/>
      <c r="L785" s="406"/>
      <c r="M785" s="406"/>
      <c r="N785" s="406"/>
      <c r="O785" s="406"/>
      <c r="P785" s="406"/>
      <c r="Q785" s="406"/>
      <c r="R785" s="406"/>
      <c r="S785" s="406"/>
      <c r="T785" s="406"/>
      <c r="U785" s="406"/>
      <c r="V785" s="406"/>
      <c r="W785" s="406"/>
      <c r="X785" s="406"/>
      <c r="Y785" s="406"/>
      <c r="Z785" s="406"/>
    </row>
    <row r="786">
      <c r="A786" s="406"/>
      <c r="B786" s="406"/>
      <c r="C786" s="406"/>
      <c r="D786" s="406"/>
      <c r="E786" s="406"/>
      <c r="F786" s="406"/>
      <c r="G786" s="407"/>
      <c r="H786" s="406"/>
      <c r="I786" s="406"/>
      <c r="J786" s="406"/>
      <c r="K786" s="406"/>
      <c r="L786" s="406"/>
      <c r="M786" s="406"/>
      <c r="N786" s="406"/>
      <c r="O786" s="406"/>
      <c r="P786" s="406"/>
      <c r="Q786" s="406"/>
      <c r="R786" s="406"/>
      <c r="S786" s="406"/>
      <c r="T786" s="406"/>
      <c r="U786" s="406"/>
      <c r="V786" s="406"/>
      <c r="W786" s="406"/>
      <c r="X786" s="406"/>
      <c r="Y786" s="406"/>
      <c r="Z786" s="406"/>
    </row>
    <row r="787">
      <c r="A787" s="406"/>
      <c r="B787" s="406"/>
      <c r="C787" s="406"/>
      <c r="D787" s="406"/>
      <c r="E787" s="406"/>
      <c r="F787" s="406"/>
      <c r="G787" s="407"/>
      <c r="H787" s="406"/>
      <c r="I787" s="406"/>
      <c r="J787" s="406"/>
      <c r="K787" s="406"/>
      <c r="L787" s="406"/>
      <c r="M787" s="406"/>
      <c r="N787" s="406"/>
      <c r="O787" s="406"/>
      <c r="P787" s="406"/>
      <c r="Q787" s="406"/>
      <c r="R787" s="406"/>
      <c r="S787" s="406"/>
      <c r="T787" s="406"/>
      <c r="U787" s="406"/>
      <c r="V787" s="406"/>
      <c r="W787" s="406"/>
      <c r="X787" s="406"/>
      <c r="Y787" s="406"/>
      <c r="Z787" s="406"/>
    </row>
    <row r="788">
      <c r="A788" s="406"/>
      <c r="B788" s="406"/>
      <c r="C788" s="406"/>
      <c r="D788" s="406"/>
      <c r="E788" s="406"/>
      <c r="F788" s="406"/>
      <c r="G788" s="407"/>
      <c r="H788" s="406"/>
      <c r="I788" s="406"/>
      <c r="J788" s="406"/>
      <c r="K788" s="406"/>
      <c r="L788" s="406"/>
      <c r="M788" s="406"/>
      <c r="N788" s="406"/>
      <c r="O788" s="406"/>
      <c r="P788" s="406"/>
      <c r="Q788" s="406"/>
      <c r="R788" s="406"/>
      <c r="S788" s="406"/>
      <c r="T788" s="406"/>
      <c r="U788" s="406"/>
      <c r="V788" s="406"/>
      <c r="W788" s="406"/>
      <c r="X788" s="406"/>
      <c r="Y788" s="406"/>
      <c r="Z788" s="406"/>
    </row>
    <row r="789">
      <c r="A789" s="406"/>
      <c r="B789" s="406"/>
      <c r="C789" s="406"/>
      <c r="D789" s="406"/>
      <c r="E789" s="406"/>
      <c r="F789" s="406"/>
      <c r="G789" s="407"/>
      <c r="H789" s="406"/>
      <c r="I789" s="406"/>
      <c r="J789" s="406"/>
      <c r="K789" s="406"/>
      <c r="L789" s="406"/>
      <c r="M789" s="406"/>
      <c r="N789" s="406"/>
      <c r="O789" s="406"/>
      <c r="P789" s="406"/>
      <c r="Q789" s="406"/>
      <c r="R789" s="406"/>
      <c r="S789" s="406"/>
      <c r="T789" s="406"/>
      <c r="U789" s="406"/>
      <c r="V789" s="406"/>
      <c r="W789" s="406"/>
      <c r="X789" s="406"/>
      <c r="Y789" s="406"/>
      <c r="Z789" s="406"/>
    </row>
    <row r="790">
      <c r="A790" s="406"/>
      <c r="B790" s="406"/>
      <c r="C790" s="406"/>
      <c r="D790" s="406"/>
      <c r="E790" s="406"/>
      <c r="F790" s="406"/>
      <c r="G790" s="407"/>
      <c r="H790" s="406"/>
      <c r="I790" s="406"/>
      <c r="J790" s="406"/>
      <c r="K790" s="406"/>
      <c r="L790" s="406"/>
      <c r="M790" s="406"/>
      <c r="N790" s="406"/>
      <c r="O790" s="406"/>
      <c r="P790" s="406"/>
      <c r="Q790" s="406"/>
      <c r="R790" s="406"/>
      <c r="S790" s="406"/>
      <c r="T790" s="406"/>
      <c r="U790" s="406"/>
      <c r="V790" s="406"/>
      <c r="W790" s="406"/>
      <c r="X790" s="406"/>
      <c r="Y790" s="406"/>
      <c r="Z790" s="406"/>
    </row>
    <row r="791">
      <c r="A791" s="406"/>
      <c r="B791" s="406"/>
      <c r="C791" s="406"/>
      <c r="D791" s="406"/>
      <c r="E791" s="406"/>
      <c r="F791" s="406"/>
      <c r="G791" s="407"/>
      <c r="H791" s="406"/>
      <c r="I791" s="406"/>
      <c r="J791" s="406"/>
      <c r="K791" s="406"/>
      <c r="L791" s="406"/>
      <c r="M791" s="406"/>
      <c r="N791" s="406"/>
      <c r="O791" s="406"/>
      <c r="P791" s="406"/>
      <c r="Q791" s="406"/>
      <c r="R791" s="406"/>
      <c r="S791" s="406"/>
      <c r="T791" s="406"/>
      <c r="U791" s="406"/>
      <c r="V791" s="406"/>
      <c r="W791" s="406"/>
      <c r="X791" s="406"/>
      <c r="Y791" s="406"/>
      <c r="Z791" s="406"/>
    </row>
    <row r="792">
      <c r="A792" s="406"/>
      <c r="B792" s="406"/>
      <c r="C792" s="406"/>
      <c r="D792" s="406"/>
      <c r="E792" s="406"/>
      <c r="F792" s="406"/>
      <c r="G792" s="407"/>
      <c r="H792" s="406"/>
      <c r="I792" s="406"/>
      <c r="J792" s="406"/>
      <c r="K792" s="406"/>
      <c r="L792" s="406"/>
      <c r="M792" s="406"/>
      <c r="N792" s="406"/>
      <c r="O792" s="406"/>
      <c r="P792" s="406"/>
      <c r="Q792" s="406"/>
      <c r="R792" s="406"/>
      <c r="S792" s="406"/>
      <c r="T792" s="406"/>
      <c r="U792" s="406"/>
      <c r="V792" s="406"/>
      <c r="W792" s="406"/>
      <c r="X792" s="406"/>
      <c r="Y792" s="406"/>
      <c r="Z792" s="406"/>
    </row>
    <row r="793">
      <c r="A793" s="406"/>
      <c r="B793" s="406"/>
      <c r="C793" s="406"/>
      <c r="D793" s="406"/>
      <c r="E793" s="406"/>
      <c r="F793" s="406"/>
      <c r="G793" s="407"/>
      <c r="H793" s="406"/>
      <c r="I793" s="406"/>
      <c r="J793" s="406"/>
      <c r="K793" s="406"/>
      <c r="L793" s="406"/>
      <c r="M793" s="406"/>
      <c r="N793" s="406"/>
      <c r="O793" s="406"/>
      <c r="P793" s="406"/>
      <c r="Q793" s="406"/>
      <c r="R793" s="406"/>
      <c r="S793" s="406"/>
      <c r="T793" s="406"/>
      <c r="U793" s="406"/>
      <c r="V793" s="406"/>
      <c r="W793" s="406"/>
      <c r="X793" s="406"/>
      <c r="Y793" s="406"/>
      <c r="Z793" s="406"/>
    </row>
    <row r="794">
      <c r="A794" s="406"/>
      <c r="B794" s="406"/>
      <c r="C794" s="406"/>
      <c r="D794" s="406"/>
      <c r="E794" s="406"/>
      <c r="F794" s="406"/>
      <c r="G794" s="407"/>
      <c r="H794" s="406"/>
      <c r="I794" s="406"/>
      <c r="J794" s="406"/>
      <c r="K794" s="406"/>
      <c r="L794" s="406"/>
      <c r="M794" s="406"/>
      <c r="N794" s="406"/>
      <c r="O794" s="406"/>
      <c r="P794" s="406"/>
      <c r="Q794" s="406"/>
      <c r="R794" s="406"/>
      <c r="S794" s="406"/>
      <c r="T794" s="406"/>
      <c r="U794" s="406"/>
      <c r="V794" s="406"/>
      <c r="W794" s="406"/>
      <c r="X794" s="406"/>
      <c r="Y794" s="406"/>
      <c r="Z794" s="406"/>
    </row>
    <row r="795">
      <c r="A795" s="406"/>
      <c r="B795" s="406"/>
      <c r="C795" s="406"/>
      <c r="D795" s="406"/>
      <c r="E795" s="406"/>
      <c r="F795" s="406"/>
      <c r="G795" s="407"/>
      <c r="H795" s="406"/>
      <c r="I795" s="406"/>
      <c r="J795" s="406"/>
      <c r="K795" s="406"/>
      <c r="L795" s="406"/>
      <c r="M795" s="406"/>
      <c r="N795" s="406"/>
      <c r="O795" s="406"/>
      <c r="P795" s="406"/>
      <c r="Q795" s="406"/>
      <c r="R795" s="406"/>
      <c r="S795" s="406"/>
      <c r="T795" s="406"/>
      <c r="U795" s="406"/>
      <c r="V795" s="406"/>
      <c r="W795" s="406"/>
      <c r="X795" s="406"/>
      <c r="Y795" s="406"/>
      <c r="Z795" s="406"/>
    </row>
    <row r="796">
      <c r="A796" s="406"/>
      <c r="B796" s="406"/>
      <c r="C796" s="406"/>
      <c r="D796" s="406"/>
      <c r="E796" s="406"/>
      <c r="F796" s="406"/>
      <c r="G796" s="407"/>
      <c r="H796" s="406"/>
      <c r="I796" s="406"/>
      <c r="J796" s="406"/>
      <c r="K796" s="406"/>
      <c r="L796" s="406"/>
      <c r="M796" s="406"/>
      <c r="N796" s="406"/>
      <c r="O796" s="406"/>
      <c r="P796" s="406"/>
      <c r="Q796" s="406"/>
      <c r="R796" s="406"/>
      <c r="S796" s="406"/>
      <c r="T796" s="406"/>
      <c r="U796" s="406"/>
      <c r="V796" s="406"/>
      <c r="W796" s="406"/>
      <c r="X796" s="406"/>
      <c r="Y796" s="406"/>
      <c r="Z796" s="406"/>
    </row>
    <row r="797">
      <c r="A797" s="406"/>
      <c r="B797" s="406"/>
      <c r="C797" s="406"/>
      <c r="D797" s="406"/>
      <c r="E797" s="406"/>
      <c r="F797" s="406"/>
      <c r="G797" s="407"/>
      <c r="H797" s="406"/>
      <c r="I797" s="406"/>
      <c r="J797" s="406"/>
      <c r="K797" s="406"/>
      <c r="L797" s="406"/>
      <c r="M797" s="406"/>
      <c r="N797" s="406"/>
      <c r="O797" s="406"/>
      <c r="P797" s="406"/>
      <c r="Q797" s="406"/>
      <c r="R797" s="406"/>
      <c r="S797" s="406"/>
      <c r="T797" s="406"/>
      <c r="U797" s="406"/>
      <c r="V797" s="406"/>
      <c r="W797" s="406"/>
      <c r="X797" s="406"/>
      <c r="Y797" s="406"/>
      <c r="Z797" s="406"/>
    </row>
    <row r="798">
      <c r="A798" s="406"/>
      <c r="B798" s="406"/>
      <c r="C798" s="406"/>
      <c r="D798" s="406"/>
      <c r="E798" s="406"/>
      <c r="F798" s="406"/>
      <c r="G798" s="407"/>
      <c r="H798" s="406"/>
      <c r="I798" s="406"/>
      <c r="J798" s="406"/>
      <c r="K798" s="406"/>
      <c r="L798" s="406"/>
      <c r="M798" s="406"/>
      <c r="N798" s="406"/>
      <c r="O798" s="406"/>
      <c r="P798" s="406"/>
      <c r="Q798" s="406"/>
      <c r="R798" s="406"/>
      <c r="S798" s="406"/>
      <c r="T798" s="406"/>
      <c r="U798" s="406"/>
      <c r="V798" s="406"/>
      <c r="W798" s="406"/>
      <c r="X798" s="406"/>
      <c r="Y798" s="406"/>
      <c r="Z798" s="406"/>
    </row>
    <row r="799">
      <c r="A799" s="406"/>
      <c r="B799" s="406"/>
      <c r="C799" s="406"/>
      <c r="D799" s="406"/>
      <c r="E799" s="406"/>
      <c r="F799" s="406"/>
      <c r="G799" s="407"/>
      <c r="H799" s="406"/>
      <c r="I799" s="406"/>
      <c r="J799" s="406"/>
      <c r="K799" s="406"/>
      <c r="L799" s="406"/>
      <c r="M799" s="406"/>
      <c r="N799" s="406"/>
      <c r="O799" s="406"/>
      <c r="P799" s="406"/>
      <c r="Q799" s="406"/>
      <c r="R799" s="406"/>
      <c r="S799" s="406"/>
      <c r="T799" s="406"/>
      <c r="U799" s="406"/>
      <c r="V799" s="406"/>
      <c r="W799" s="406"/>
      <c r="X799" s="406"/>
      <c r="Y799" s="406"/>
      <c r="Z799" s="406"/>
    </row>
    <row r="800">
      <c r="A800" s="406"/>
      <c r="B800" s="406"/>
      <c r="C800" s="406"/>
      <c r="D800" s="406"/>
      <c r="E800" s="406"/>
      <c r="F800" s="406"/>
      <c r="G800" s="407"/>
      <c r="H800" s="406"/>
      <c r="I800" s="406"/>
      <c r="J800" s="406"/>
      <c r="K800" s="406"/>
      <c r="L800" s="406"/>
      <c r="M800" s="406"/>
      <c r="N800" s="406"/>
      <c r="O800" s="406"/>
      <c r="P800" s="406"/>
      <c r="Q800" s="406"/>
      <c r="R800" s="406"/>
      <c r="S800" s="406"/>
      <c r="T800" s="406"/>
      <c r="U800" s="406"/>
      <c r="V800" s="406"/>
      <c r="W800" s="406"/>
      <c r="X800" s="406"/>
      <c r="Y800" s="406"/>
      <c r="Z800" s="406"/>
    </row>
    <row r="801">
      <c r="A801" s="406"/>
      <c r="B801" s="406"/>
      <c r="C801" s="406"/>
      <c r="D801" s="406"/>
      <c r="E801" s="406"/>
      <c r="F801" s="406"/>
      <c r="G801" s="407"/>
      <c r="H801" s="406"/>
      <c r="I801" s="406"/>
      <c r="J801" s="406"/>
      <c r="K801" s="406"/>
      <c r="L801" s="406"/>
      <c r="M801" s="406"/>
      <c r="N801" s="406"/>
      <c r="O801" s="406"/>
      <c r="P801" s="406"/>
      <c r="Q801" s="406"/>
      <c r="R801" s="406"/>
      <c r="S801" s="406"/>
      <c r="T801" s="406"/>
      <c r="U801" s="406"/>
      <c r="V801" s="406"/>
      <c r="W801" s="406"/>
      <c r="X801" s="406"/>
      <c r="Y801" s="406"/>
      <c r="Z801" s="406"/>
    </row>
    <row r="802">
      <c r="A802" s="406"/>
      <c r="B802" s="406"/>
      <c r="C802" s="406"/>
      <c r="D802" s="406"/>
      <c r="E802" s="406"/>
      <c r="F802" s="406"/>
      <c r="G802" s="407"/>
      <c r="H802" s="406"/>
      <c r="I802" s="406"/>
      <c r="J802" s="406"/>
      <c r="K802" s="406"/>
      <c r="L802" s="406"/>
      <c r="M802" s="406"/>
      <c r="N802" s="406"/>
      <c r="O802" s="406"/>
      <c r="P802" s="406"/>
      <c r="Q802" s="406"/>
      <c r="R802" s="406"/>
      <c r="S802" s="406"/>
      <c r="T802" s="406"/>
      <c r="U802" s="406"/>
      <c r="V802" s="406"/>
      <c r="W802" s="406"/>
      <c r="X802" s="406"/>
      <c r="Y802" s="406"/>
      <c r="Z802" s="406"/>
    </row>
    <row r="803">
      <c r="A803" s="406"/>
      <c r="B803" s="406"/>
      <c r="C803" s="406"/>
      <c r="D803" s="406"/>
      <c r="E803" s="406"/>
      <c r="F803" s="406"/>
      <c r="G803" s="407"/>
      <c r="H803" s="406"/>
      <c r="I803" s="406"/>
      <c r="J803" s="406"/>
      <c r="K803" s="406"/>
      <c r="L803" s="406"/>
      <c r="M803" s="406"/>
      <c r="N803" s="406"/>
      <c r="O803" s="406"/>
      <c r="P803" s="406"/>
      <c r="Q803" s="406"/>
      <c r="R803" s="406"/>
      <c r="S803" s="406"/>
      <c r="T803" s="406"/>
      <c r="U803" s="406"/>
      <c r="V803" s="406"/>
      <c r="W803" s="406"/>
      <c r="X803" s="406"/>
      <c r="Y803" s="406"/>
      <c r="Z803" s="406"/>
    </row>
    <row r="804">
      <c r="A804" s="406"/>
      <c r="B804" s="406"/>
      <c r="C804" s="406"/>
      <c r="D804" s="406"/>
      <c r="E804" s="406"/>
      <c r="F804" s="406"/>
      <c r="G804" s="407"/>
      <c r="H804" s="406"/>
      <c r="I804" s="406"/>
      <c r="J804" s="406"/>
      <c r="K804" s="406"/>
      <c r="L804" s="406"/>
      <c r="M804" s="406"/>
      <c r="N804" s="406"/>
      <c r="O804" s="406"/>
      <c r="P804" s="406"/>
      <c r="Q804" s="406"/>
      <c r="R804" s="406"/>
      <c r="S804" s="406"/>
      <c r="T804" s="406"/>
      <c r="U804" s="406"/>
      <c r="V804" s="406"/>
      <c r="W804" s="406"/>
      <c r="X804" s="406"/>
      <c r="Y804" s="406"/>
      <c r="Z804" s="406"/>
    </row>
    <row r="805">
      <c r="A805" s="406"/>
      <c r="B805" s="406"/>
      <c r="C805" s="406"/>
      <c r="D805" s="406"/>
      <c r="E805" s="406"/>
      <c r="F805" s="406"/>
      <c r="G805" s="407"/>
      <c r="H805" s="406"/>
      <c r="I805" s="406"/>
      <c r="J805" s="406"/>
      <c r="K805" s="406"/>
      <c r="L805" s="406"/>
      <c r="M805" s="406"/>
      <c r="N805" s="406"/>
      <c r="O805" s="406"/>
      <c r="P805" s="406"/>
      <c r="Q805" s="406"/>
      <c r="R805" s="406"/>
      <c r="S805" s="406"/>
      <c r="T805" s="406"/>
      <c r="U805" s="406"/>
      <c r="V805" s="406"/>
      <c r="W805" s="406"/>
      <c r="X805" s="406"/>
      <c r="Y805" s="406"/>
      <c r="Z805" s="406"/>
    </row>
    <row r="806">
      <c r="A806" s="406"/>
      <c r="B806" s="406"/>
      <c r="C806" s="406"/>
      <c r="D806" s="406"/>
      <c r="E806" s="406"/>
      <c r="F806" s="406"/>
      <c r="G806" s="407"/>
      <c r="H806" s="406"/>
      <c r="I806" s="406"/>
      <c r="J806" s="406"/>
      <c r="K806" s="406"/>
      <c r="L806" s="406"/>
      <c r="M806" s="406"/>
      <c r="N806" s="406"/>
      <c r="O806" s="406"/>
      <c r="P806" s="406"/>
      <c r="Q806" s="406"/>
      <c r="R806" s="406"/>
      <c r="S806" s="406"/>
      <c r="T806" s="406"/>
      <c r="U806" s="406"/>
      <c r="V806" s="406"/>
      <c r="W806" s="406"/>
      <c r="X806" s="406"/>
      <c r="Y806" s="406"/>
      <c r="Z806" s="406"/>
    </row>
    <row r="807">
      <c r="A807" s="406"/>
      <c r="B807" s="406"/>
      <c r="C807" s="406"/>
      <c r="D807" s="406"/>
      <c r="E807" s="406"/>
      <c r="F807" s="406"/>
      <c r="G807" s="407"/>
      <c r="H807" s="406"/>
      <c r="I807" s="406"/>
      <c r="J807" s="406"/>
      <c r="K807" s="406"/>
      <c r="L807" s="406"/>
      <c r="M807" s="406"/>
      <c r="N807" s="406"/>
      <c r="O807" s="406"/>
      <c r="P807" s="406"/>
      <c r="Q807" s="406"/>
      <c r="R807" s="406"/>
      <c r="S807" s="406"/>
      <c r="T807" s="406"/>
      <c r="U807" s="406"/>
      <c r="V807" s="406"/>
      <c r="W807" s="406"/>
      <c r="X807" s="406"/>
      <c r="Y807" s="406"/>
      <c r="Z807" s="406"/>
    </row>
    <row r="808">
      <c r="A808" s="406"/>
      <c r="B808" s="406"/>
      <c r="C808" s="406"/>
      <c r="D808" s="406"/>
      <c r="E808" s="406"/>
      <c r="F808" s="406"/>
      <c r="G808" s="407"/>
      <c r="H808" s="406"/>
      <c r="I808" s="406"/>
      <c r="J808" s="406"/>
      <c r="K808" s="406"/>
      <c r="L808" s="406"/>
      <c r="M808" s="406"/>
      <c r="N808" s="406"/>
      <c r="O808" s="406"/>
      <c r="P808" s="406"/>
      <c r="Q808" s="406"/>
      <c r="R808" s="406"/>
      <c r="S808" s="406"/>
      <c r="T808" s="406"/>
      <c r="U808" s="406"/>
      <c r="V808" s="406"/>
      <c r="W808" s="406"/>
      <c r="X808" s="406"/>
      <c r="Y808" s="406"/>
      <c r="Z808" s="406"/>
    </row>
    <row r="809">
      <c r="A809" s="406"/>
      <c r="B809" s="406"/>
      <c r="C809" s="406"/>
      <c r="D809" s="406"/>
      <c r="E809" s="406"/>
      <c r="F809" s="406"/>
      <c r="G809" s="407"/>
      <c r="H809" s="406"/>
      <c r="I809" s="406"/>
      <c r="J809" s="406"/>
      <c r="K809" s="406"/>
      <c r="L809" s="406"/>
      <c r="M809" s="406"/>
      <c r="N809" s="406"/>
      <c r="O809" s="406"/>
      <c r="P809" s="406"/>
      <c r="Q809" s="406"/>
      <c r="R809" s="406"/>
      <c r="S809" s="406"/>
      <c r="T809" s="406"/>
      <c r="U809" s="406"/>
      <c r="V809" s="406"/>
      <c r="W809" s="406"/>
      <c r="X809" s="406"/>
      <c r="Y809" s="406"/>
      <c r="Z809" s="406"/>
    </row>
    <row r="810">
      <c r="A810" s="406"/>
      <c r="B810" s="406"/>
      <c r="C810" s="406"/>
      <c r="D810" s="406"/>
      <c r="E810" s="406"/>
      <c r="F810" s="406"/>
      <c r="G810" s="407"/>
      <c r="H810" s="406"/>
      <c r="I810" s="406"/>
      <c r="J810" s="406"/>
      <c r="K810" s="406"/>
      <c r="L810" s="406"/>
      <c r="M810" s="406"/>
      <c r="N810" s="406"/>
      <c r="O810" s="406"/>
      <c r="P810" s="406"/>
      <c r="Q810" s="406"/>
      <c r="R810" s="406"/>
      <c r="S810" s="406"/>
      <c r="T810" s="406"/>
      <c r="U810" s="406"/>
      <c r="V810" s="406"/>
      <c r="W810" s="406"/>
      <c r="X810" s="406"/>
      <c r="Y810" s="406"/>
      <c r="Z810" s="406"/>
    </row>
    <row r="811">
      <c r="A811" s="406"/>
      <c r="B811" s="406"/>
      <c r="C811" s="406"/>
      <c r="D811" s="406"/>
      <c r="E811" s="406"/>
      <c r="F811" s="406"/>
      <c r="G811" s="407"/>
      <c r="H811" s="406"/>
      <c r="I811" s="406"/>
      <c r="J811" s="406"/>
      <c r="K811" s="406"/>
      <c r="L811" s="406"/>
      <c r="M811" s="406"/>
      <c r="N811" s="406"/>
      <c r="O811" s="406"/>
      <c r="P811" s="406"/>
      <c r="Q811" s="406"/>
      <c r="R811" s="406"/>
      <c r="S811" s="406"/>
      <c r="T811" s="406"/>
      <c r="U811" s="406"/>
      <c r="V811" s="406"/>
      <c r="W811" s="406"/>
      <c r="X811" s="406"/>
      <c r="Y811" s="406"/>
      <c r="Z811" s="406"/>
    </row>
    <row r="812">
      <c r="A812" s="406"/>
      <c r="B812" s="406"/>
      <c r="C812" s="406"/>
      <c r="D812" s="406"/>
      <c r="E812" s="406"/>
      <c r="F812" s="406"/>
      <c r="G812" s="407"/>
      <c r="H812" s="406"/>
      <c r="I812" s="406"/>
      <c r="J812" s="406"/>
      <c r="K812" s="406"/>
      <c r="L812" s="406"/>
      <c r="M812" s="406"/>
      <c r="N812" s="406"/>
      <c r="O812" s="406"/>
      <c r="P812" s="406"/>
      <c r="Q812" s="406"/>
      <c r="R812" s="406"/>
      <c r="S812" s="406"/>
      <c r="T812" s="406"/>
      <c r="U812" s="406"/>
      <c r="V812" s="406"/>
      <c r="W812" s="406"/>
      <c r="X812" s="406"/>
      <c r="Y812" s="406"/>
      <c r="Z812" s="406"/>
    </row>
    <row r="813">
      <c r="A813" s="406"/>
      <c r="B813" s="406"/>
      <c r="C813" s="406"/>
      <c r="D813" s="406"/>
      <c r="E813" s="406"/>
      <c r="F813" s="406"/>
      <c r="G813" s="407"/>
      <c r="H813" s="406"/>
      <c r="I813" s="406"/>
      <c r="J813" s="406"/>
      <c r="K813" s="406"/>
      <c r="L813" s="406"/>
      <c r="M813" s="406"/>
      <c r="N813" s="406"/>
      <c r="O813" s="406"/>
      <c r="P813" s="406"/>
      <c r="Q813" s="406"/>
      <c r="R813" s="406"/>
      <c r="S813" s="406"/>
      <c r="T813" s="406"/>
      <c r="U813" s="406"/>
      <c r="V813" s="406"/>
      <c r="W813" s="406"/>
      <c r="X813" s="406"/>
      <c r="Y813" s="406"/>
      <c r="Z813" s="406"/>
    </row>
    <row r="814">
      <c r="A814" s="406"/>
      <c r="B814" s="406"/>
      <c r="C814" s="406"/>
      <c r="D814" s="406"/>
      <c r="E814" s="406"/>
      <c r="F814" s="406"/>
      <c r="G814" s="407"/>
      <c r="H814" s="406"/>
      <c r="I814" s="406"/>
      <c r="J814" s="406"/>
      <c r="K814" s="406"/>
      <c r="L814" s="406"/>
      <c r="M814" s="406"/>
      <c r="N814" s="406"/>
      <c r="O814" s="406"/>
      <c r="P814" s="406"/>
      <c r="Q814" s="406"/>
      <c r="R814" s="406"/>
      <c r="S814" s="406"/>
      <c r="T814" s="406"/>
      <c r="U814" s="406"/>
      <c r="V814" s="406"/>
      <c r="W814" s="406"/>
      <c r="X814" s="406"/>
      <c r="Y814" s="406"/>
      <c r="Z814" s="406"/>
    </row>
    <row r="815">
      <c r="A815" s="406"/>
      <c r="B815" s="406"/>
      <c r="C815" s="406"/>
      <c r="D815" s="406"/>
      <c r="E815" s="406"/>
      <c r="F815" s="406"/>
      <c r="G815" s="407"/>
      <c r="H815" s="406"/>
      <c r="I815" s="406"/>
      <c r="J815" s="406"/>
      <c r="K815" s="406"/>
      <c r="L815" s="406"/>
      <c r="M815" s="406"/>
      <c r="N815" s="406"/>
      <c r="O815" s="406"/>
      <c r="P815" s="406"/>
      <c r="Q815" s="406"/>
      <c r="R815" s="406"/>
      <c r="S815" s="406"/>
      <c r="T815" s="406"/>
      <c r="U815" s="406"/>
      <c r="V815" s="406"/>
      <c r="W815" s="406"/>
      <c r="X815" s="406"/>
      <c r="Y815" s="406"/>
      <c r="Z815" s="406"/>
    </row>
    <row r="816">
      <c r="A816" s="406"/>
      <c r="B816" s="406"/>
      <c r="C816" s="406"/>
      <c r="D816" s="406"/>
      <c r="E816" s="406"/>
      <c r="F816" s="406"/>
      <c r="G816" s="407"/>
      <c r="H816" s="406"/>
      <c r="I816" s="406"/>
      <c r="J816" s="406"/>
      <c r="K816" s="406"/>
      <c r="L816" s="406"/>
      <c r="M816" s="406"/>
      <c r="N816" s="406"/>
      <c r="O816" s="406"/>
      <c r="P816" s="406"/>
      <c r="Q816" s="406"/>
      <c r="R816" s="406"/>
      <c r="S816" s="406"/>
      <c r="T816" s="406"/>
      <c r="U816" s="406"/>
      <c r="V816" s="406"/>
      <c r="W816" s="406"/>
      <c r="X816" s="406"/>
      <c r="Y816" s="406"/>
      <c r="Z816" s="406"/>
    </row>
    <row r="817">
      <c r="A817" s="406"/>
      <c r="B817" s="406"/>
      <c r="C817" s="406"/>
      <c r="D817" s="406"/>
      <c r="E817" s="406"/>
      <c r="F817" s="406"/>
      <c r="G817" s="407"/>
      <c r="H817" s="406"/>
      <c r="I817" s="406"/>
      <c r="J817" s="406"/>
      <c r="K817" s="406"/>
      <c r="L817" s="406"/>
      <c r="M817" s="406"/>
      <c r="N817" s="406"/>
      <c r="O817" s="406"/>
      <c r="P817" s="406"/>
      <c r="Q817" s="406"/>
      <c r="R817" s="406"/>
      <c r="S817" s="406"/>
      <c r="T817" s="406"/>
      <c r="U817" s="406"/>
      <c r="V817" s="406"/>
      <c r="W817" s="406"/>
      <c r="X817" s="406"/>
      <c r="Y817" s="406"/>
      <c r="Z817" s="406"/>
    </row>
    <row r="818">
      <c r="A818" s="406"/>
      <c r="B818" s="406"/>
      <c r="C818" s="406"/>
      <c r="D818" s="406"/>
      <c r="E818" s="406"/>
      <c r="F818" s="406"/>
      <c r="G818" s="407"/>
      <c r="H818" s="406"/>
      <c r="I818" s="406"/>
      <c r="J818" s="406"/>
      <c r="K818" s="406"/>
      <c r="L818" s="406"/>
      <c r="M818" s="406"/>
      <c r="N818" s="406"/>
      <c r="O818" s="406"/>
      <c r="P818" s="406"/>
      <c r="Q818" s="406"/>
      <c r="R818" s="406"/>
      <c r="S818" s="406"/>
      <c r="T818" s="406"/>
      <c r="U818" s="406"/>
      <c r="V818" s="406"/>
      <c r="W818" s="406"/>
      <c r="X818" s="406"/>
      <c r="Y818" s="406"/>
      <c r="Z818" s="406"/>
    </row>
    <row r="819">
      <c r="A819" s="406"/>
      <c r="B819" s="406"/>
      <c r="C819" s="406"/>
      <c r="D819" s="406"/>
      <c r="E819" s="406"/>
      <c r="F819" s="406"/>
      <c r="G819" s="407"/>
      <c r="H819" s="406"/>
      <c r="I819" s="406"/>
      <c r="J819" s="406"/>
      <c r="K819" s="406"/>
      <c r="L819" s="406"/>
      <c r="M819" s="406"/>
      <c r="N819" s="406"/>
      <c r="O819" s="406"/>
      <c r="P819" s="406"/>
      <c r="Q819" s="406"/>
      <c r="R819" s="406"/>
      <c r="S819" s="406"/>
      <c r="T819" s="406"/>
      <c r="U819" s="406"/>
      <c r="V819" s="406"/>
      <c r="W819" s="406"/>
      <c r="X819" s="406"/>
      <c r="Y819" s="406"/>
      <c r="Z819" s="406"/>
    </row>
    <row r="820">
      <c r="A820" s="406"/>
      <c r="B820" s="406"/>
      <c r="C820" s="406"/>
      <c r="D820" s="406"/>
      <c r="E820" s="406"/>
      <c r="F820" s="406"/>
      <c r="G820" s="407"/>
      <c r="H820" s="406"/>
      <c r="I820" s="406"/>
      <c r="J820" s="406"/>
      <c r="K820" s="406"/>
      <c r="L820" s="406"/>
      <c r="M820" s="406"/>
      <c r="N820" s="406"/>
      <c r="O820" s="406"/>
      <c r="P820" s="406"/>
      <c r="Q820" s="406"/>
      <c r="R820" s="406"/>
      <c r="S820" s="406"/>
      <c r="T820" s="406"/>
      <c r="U820" s="406"/>
      <c r="V820" s="406"/>
      <c r="W820" s="406"/>
      <c r="X820" s="406"/>
      <c r="Y820" s="406"/>
      <c r="Z820" s="406"/>
    </row>
    <row r="821">
      <c r="A821" s="406"/>
      <c r="B821" s="406"/>
      <c r="C821" s="406"/>
      <c r="D821" s="406"/>
      <c r="E821" s="406"/>
      <c r="F821" s="406"/>
      <c r="G821" s="407"/>
      <c r="H821" s="406"/>
      <c r="I821" s="406"/>
      <c r="J821" s="406"/>
      <c r="K821" s="406"/>
      <c r="L821" s="406"/>
      <c r="M821" s="406"/>
      <c r="N821" s="406"/>
      <c r="O821" s="406"/>
      <c r="P821" s="406"/>
      <c r="Q821" s="406"/>
      <c r="R821" s="406"/>
      <c r="S821" s="406"/>
      <c r="T821" s="406"/>
      <c r="U821" s="406"/>
      <c r="V821" s="406"/>
      <c r="W821" s="406"/>
      <c r="X821" s="406"/>
      <c r="Y821" s="406"/>
      <c r="Z821" s="406"/>
    </row>
    <row r="822">
      <c r="A822" s="406"/>
      <c r="B822" s="406"/>
      <c r="C822" s="406"/>
      <c r="D822" s="406"/>
      <c r="E822" s="406"/>
      <c r="F822" s="406"/>
      <c r="G822" s="407"/>
      <c r="H822" s="406"/>
      <c r="I822" s="406"/>
      <c r="J822" s="406"/>
      <c r="K822" s="406"/>
      <c r="L822" s="406"/>
      <c r="M822" s="406"/>
      <c r="N822" s="406"/>
      <c r="O822" s="406"/>
      <c r="P822" s="406"/>
      <c r="Q822" s="406"/>
      <c r="R822" s="406"/>
      <c r="S822" s="406"/>
      <c r="T822" s="406"/>
      <c r="U822" s="406"/>
      <c r="V822" s="406"/>
      <c r="W822" s="406"/>
      <c r="X822" s="406"/>
      <c r="Y822" s="406"/>
      <c r="Z822" s="406"/>
    </row>
    <row r="823">
      <c r="A823" s="406"/>
      <c r="B823" s="406"/>
      <c r="C823" s="406"/>
      <c r="D823" s="406"/>
      <c r="E823" s="406"/>
      <c r="F823" s="406"/>
      <c r="G823" s="407"/>
      <c r="H823" s="406"/>
      <c r="I823" s="406"/>
      <c r="J823" s="406"/>
      <c r="K823" s="406"/>
      <c r="L823" s="406"/>
      <c r="M823" s="406"/>
      <c r="N823" s="406"/>
      <c r="O823" s="406"/>
      <c r="P823" s="406"/>
      <c r="Q823" s="406"/>
      <c r="R823" s="406"/>
      <c r="S823" s="406"/>
      <c r="T823" s="406"/>
      <c r="U823" s="406"/>
      <c r="V823" s="406"/>
      <c r="W823" s="406"/>
      <c r="X823" s="406"/>
      <c r="Y823" s="406"/>
      <c r="Z823" s="406"/>
    </row>
    <row r="824">
      <c r="A824" s="406"/>
      <c r="B824" s="406"/>
      <c r="C824" s="406"/>
      <c r="D824" s="406"/>
      <c r="E824" s="406"/>
      <c r="F824" s="406"/>
      <c r="G824" s="407"/>
      <c r="H824" s="406"/>
      <c r="I824" s="406"/>
      <c r="J824" s="406"/>
      <c r="K824" s="406"/>
      <c r="L824" s="406"/>
      <c r="M824" s="406"/>
      <c r="N824" s="406"/>
      <c r="O824" s="406"/>
      <c r="P824" s="406"/>
      <c r="Q824" s="406"/>
      <c r="R824" s="406"/>
      <c r="S824" s="406"/>
      <c r="T824" s="406"/>
      <c r="U824" s="406"/>
      <c r="V824" s="406"/>
      <c r="W824" s="406"/>
      <c r="X824" s="406"/>
      <c r="Y824" s="406"/>
      <c r="Z824" s="406"/>
    </row>
    <row r="825">
      <c r="A825" s="406"/>
      <c r="B825" s="406"/>
      <c r="C825" s="406"/>
      <c r="D825" s="406"/>
      <c r="E825" s="406"/>
      <c r="F825" s="406"/>
      <c r="G825" s="407"/>
      <c r="H825" s="406"/>
      <c r="I825" s="406"/>
      <c r="J825" s="406"/>
      <c r="K825" s="406"/>
      <c r="L825" s="406"/>
      <c r="M825" s="406"/>
      <c r="N825" s="406"/>
      <c r="O825" s="406"/>
      <c r="P825" s="406"/>
      <c r="Q825" s="406"/>
      <c r="R825" s="406"/>
      <c r="S825" s="406"/>
      <c r="T825" s="406"/>
      <c r="U825" s="406"/>
      <c r="V825" s="406"/>
      <c r="W825" s="406"/>
      <c r="X825" s="406"/>
      <c r="Y825" s="406"/>
      <c r="Z825" s="406"/>
    </row>
    <row r="826">
      <c r="A826" s="406"/>
      <c r="B826" s="406"/>
      <c r="C826" s="406"/>
      <c r="D826" s="406"/>
      <c r="E826" s="406"/>
      <c r="F826" s="406"/>
      <c r="G826" s="407"/>
      <c r="H826" s="406"/>
      <c r="I826" s="406"/>
      <c r="J826" s="406"/>
      <c r="K826" s="406"/>
      <c r="L826" s="406"/>
      <c r="M826" s="406"/>
      <c r="N826" s="406"/>
      <c r="O826" s="406"/>
      <c r="P826" s="406"/>
      <c r="Q826" s="406"/>
      <c r="R826" s="406"/>
      <c r="S826" s="406"/>
      <c r="T826" s="406"/>
      <c r="U826" s="406"/>
      <c r="V826" s="406"/>
      <c r="W826" s="406"/>
      <c r="X826" s="406"/>
      <c r="Y826" s="406"/>
      <c r="Z826" s="406"/>
    </row>
    <row r="827">
      <c r="A827" s="406"/>
      <c r="B827" s="406"/>
      <c r="C827" s="406"/>
      <c r="D827" s="406"/>
      <c r="E827" s="406"/>
      <c r="F827" s="406"/>
      <c r="G827" s="407"/>
      <c r="H827" s="406"/>
      <c r="I827" s="406"/>
      <c r="J827" s="406"/>
      <c r="K827" s="406"/>
      <c r="L827" s="406"/>
      <c r="M827" s="406"/>
      <c r="N827" s="406"/>
      <c r="O827" s="406"/>
      <c r="P827" s="406"/>
      <c r="Q827" s="406"/>
      <c r="R827" s="406"/>
      <c r="S827" s="406"/>
      <c r="T827" s="406"/>
      <c r="U827" s="406"/>
      <c r="V827" s="406"/>
      <c r="W827" s="406"/>
      <c r="X827" s="406"/>
      <c r="Y827" s="406"/>
      <c r="Z827" s="406"/>
    </row>
    <row r="828">
      <c r="A828" s="406"/>
      <c r="B828" s="406"/>
      <c r="C828" s="406"/>
      <c r="D828" s="406"/>
      <c r="E828" s="406"/>
      <c r="F828" s="406"/>
      <c r="G828" s="407"/>
      <c r="H828" s="406"/>
      <c r="I828" s="406"/>
      <c r="J828" s="406"/>
      <c r="K828" s="406"/>
      <c r="L828" s="406"/>
      <c r="M828" s="406"/>
      <c r="N828" s="406"/>
      <c r="O828" s="406"/>
      <c r="P828" s="406"/>
      <c r="Q828" s="406"/>
      <c r="R828" s="406"/>
      <c r="S828" s="406"/>
      <c r="T828" s="406"/>
      <c r="U828" s="406"/>
      <c r="V828" s="406"/>
      <c r="W828" s="406"/>
      <c r="X828" s="406"/>
      <c r="Y828" s="406"/>
      <c r="Z828" s="406"/>
    </row>
    <row r="829">
      <c r="A829" s="406"/>
      <c r="B829" s="406"/>
      <c r="C829" s="406"/>
      <c r="D829" s="406"/>
      <c r="E829" s="406"/>
      <c r="F829" s="406"/>
      <c r="G829" s="407"/>
      <c r="H829" s="406"/>
      <c r="I829" s="406"/>
      <c r="J829" s="406"/>
      <c r="K829" s="406"/>
      <c r="L829" s="406"/>
      <c r="M829" s="406"/>
      <c r="N829" s="406"/>
      <c r="O829" s="406"/>
      <c r="P829" s="406"/>
      <c r="Q829" s="406"/>
      <c r="R829" s="406"/>
      <c r="S829" s="406"/>
      <c r="T829" s="406"/>
      <c r="U829" s="406"/>
      <c r="V829" s="406"/>
      <c r="W829" s="406"/>
      <c r="X829" s="406"/>
      <c r="Y829" s="406"/>
      <c r="Z829" s="406"/>
    </row>
    <row r="830">
      <c r="A830" s="406"/>
      <c r="B830" s="406"/>
      <c r="C830" s="406"/>
      <c r="D830" s="406"/>
      <c r="E830" s="406"/>
      <c r="F830" s="406"/>
      <c r="G830" s="407"/>
      <c r="H830" s="406"/>
      <c r="I830" s="406"/>
      <c r="J830" s="406"/>
      <c r="K830" s="406"/>
      <c r="L830" s="406"/>
      <c r="M830" s="406"/>
      <c r="N830" s="406"/>
      <c r="O830" s="406"/>
      <c r="P830" s="406"/>
      <c r="Q830" s="406"/>
      <c r="R830" s="406"/>
      <c r="S830" s="406"/>
      <c r="T830" s="406"/>
      <c r="U830" s="406"/>
      <c r="V830" s="406"/>
      <c r="W830" s="406"/>
      <c r="X830" s="406"/>
      <c r="Y830" s="406"/>
      <c r="Z830" s="406"/>
    </row>
    <row r="831">
      <c r="A831" s="406"/>
      <c r="B831" s="406"/>
      <c r="C831" s="406"/>
      <c r="D831" s="406"/>
      <c r="E831" s="406"/>
      <c r="F831" s="406"/>
      <c r="G831" s="407"/>
      <c r="H831" s="406"/>
      <c r="I831" s="406"/>
      <c r="J831" s="406"/>
      <c r="K831" s="406"/>
      <c r="L831" s="406"/>
      <c r="M831" s="406"/>
      <c r="N831" s="406"/>
      <c r="O831" s="406"/>
      <c r="P831" s="406"/>
      <c r="Q831" s="406"/>
      <c r="R831" s="406"/>
      <c r="S831" s="406"/>
      <c r="T831" s="406"/>
      <c r="U831" s="406"/>
      <c r="V831" s="406"/>
      <c r="W831" s="406"/>
      <c r="X831" s="406"/>
      <c r="Y831" s="406"/>
      <c r="Z831" s="406"/>
    </row>
    <row r="832">
      <c r="A832" s="406"/>
      <c r="B832" s="406"/>
      <c r="C832" s="406"/>
      <c r="D832" s="406"/>
      <c r="E832" s="406"/>
      <c r="F832" s="406"/>
      <c r="G832" s="407"/>
      <c r="H832" s="406"/>
      <c r="I832" s="406"/>
      <c r="J832" s="406"/>
      <c r="K832" s="406"/>
      <c r="L832" s="406"/>
      <c r="M832" s="406"/>
      <c r="N832" s="406"/>
      <c r="O832" s="406"/>
      <c r="P832" s="406"/>
      <c r="Q832" s="406"/>
      <c r="R832" s="406"/>
      <c r="S832" s="406"/>
      <c r="T832" s="406"/>
      <c r="U832" s="406"/>
      <c r="V832" s="406"/>
      <c r="W832" s="406"/>
      <c r="X832" s="406"/>
      <c r="Y832" s="406"/>
      <c r="Z832" s="406"/>
    </row>
    <row r="833">
      <c r="A833" s="406"/>
      <c r="B833" s="406"/>
      <c r="C833" s="406"/>
      <c r="D833" s="406"/>
      <c r="E833" s="406"/>
      <c r="F833" s="406"/>
      <c r="G833" s="407"/>
      <c r="H833" s="406"/>
      <c r="I833" s="406"/>
      <c r="J833" s="406"/>
      <c r="K833" s="406"/>
      <c r="L833" s="406"/>
      <c r="M833" s="406"/>
      <c r="N833" s="406"/>
      <c r="O833" s="406"/>
      <c r="P833" s="406"/>
      <c r="Q833" s="406"/>
      <c r="R833" s="406"/>
      <c r="S833" s="406"/>
      <c r="T833" s="406"/>
      <c r="U833" s="406"/>
      <c r="V833" s="406"/>
      <c r="W833" s="406"/>
      <c r="X833" s="406"/>
      <c r="Y833" s="406"/>
      <c r="Z833" s="406"/>
    </row>
    <row r="834">
      <c r="A834" s="406"/>
      <c r="B834" s="406"/>
      <c r="C834" s="406"/>
      <c r="D834" s="406"/>
      <c r="E834" s="406"/>
      <c r="F834" s="406"/>
      <c r="G834" s="407"/>
      <c r="H834" s="406"/>
      <c r="I834" s="406"/>
      <c r="J834" s="406"/>
      <c r="K834" s="406"/>
      <c r="L834" s="406"/>
      <c r="M834" s="406"/>
      <c r="N834" s="406"/>
      <c r="O834" s="406"/>
      <c r="P834" s="406"/>
      <c r="Q834" s="406"/>
      <c r="R834" s="406"/>
      <c r="S834" s="406"/>
      <c r="T834" s="406"/>
      <c r="U834" s="406"/>
      <c r="V834" s="406"/>
      <c r="W834" s="406"/>
      <c r="X834" s="406"/>
      <c r="Y834" s="406"/>
      <c r="Z834" s="406"/>
    </row>
    <row r="835">
      <c r="A835" s="406"/>
      <c r="B835" s="406"/>
      <c r="C835" s="406"/>
      <c r="D835" s="406"/>
      <c r="E835" s="406"/>
      <c r="F835" s="406"/>
      <c r="G835" s="407"/>
      <c r="H835" s="406"/>
      <c r="I835" s="406"/>
      <c r="J835" s="406"/>
      <c r="K835" s="406"/>
      <c r="L835" s="406"/>
      <c r="M835" s="406"/>
      <c r="N835" s="406"/>
      <c r="O835" s="406"/>
      <c r="P835" s="406"/>
      <c r="Q835" s="406"/>
      <c r="R835" s="406"/>
      <c r="S835" s="406"/>
      <c r="T835" s="406"/>
      <c r="U835" s="406"/>
      <c r="V835" s="406"/>
      <c r="W835" s="406"/>
      <c r="X835" s="406"/>
      <c r="Y835" s="406"/>
      <c r="Z835" s="406"/>
    </row>
    <row r="836">
      <c r="A836" s="406"/>
      <c r="B836" s="406"/>
      <c r="C836" s="406"/>
      <c r="D836" s="406"/>
      <c r="E836" s="406"/>
      <c r="F836" s="406"/>
      <c r="G836" s="407"/>
      <c r="H836" s="406"/>
      <c r="I836" s="406"/>
      <c r="J836" s="406"/>
      <c r="K836" s="406"/>
      <c r="L836" s="406"/>
      <c r="M836" s="406"/>
      <c r="N836" s="406"/>
      <c r="O836" s="406"/>
      <c r="P836" s="406"/>
      <c r="Q836" s="406"/>
      <c r="R836" s="406"/>
      <c r="S836" s="406"/>
      <c r="T836" s="406"/>
      <c r="U836" s="406"/>
      <c r="V836" s="406"/>
      <c r="W836" s="406"/>
      <c r="X836" s="406"/>
      <c r="Y836" s="406"/>
      <c r="Z836" s="406"/>
    </row>
    <row r="837">
      <c r="A837" s="406"/>
      <c r="B837" s="406"/>
      <c r="C837" s="406"/>
      <c r="D837" s="406"/>
      <c r="E837" s="406"/>
      <c r="F837" s="406"/>
      <c r="G837" s="407"/>
      <c r="H837" s="406"/>
      <c r="I837" s="406"/>
      <c r="J837" s="406"/>
      <c r="K837" s="406"/>
      <c r="L837" s="406"/>
      <c r="M837" s="406"/>
      <c r="N837" s="406"/>
      <c r="O837" s="406"/>
      <c r="P837" s="406"/>
      <c r="Q837" s="406"/>
      <c r="R837" s="406"/>
      <c r="S837" s="406"/>
      <c r="T837" s="406"/>
      <c r="U837" s="406"/>
      <c r="V837" s="406"/>
      <c r="W837" s="406"/>
      <c r="X837" s="406"/>
      <c r="Y837" s="406"/>
      <c r="Z837" s="406"/>
    </row>
    <row r="838">
      <c r="A838" s="406"/>
      <c r="B838" s="406"/>
      <c r="C838" s="406"/>
      <c r="D838" s="406"/>
      <c r="E838" s="406"/>
      <c r="F838" s="406"/>
      <c r="G838" s="407"/>
      <c r="H838" s="406"/>
      <c r="I838" s="406"/>
      <c r="J838" s="406"/>
      <c r="K838" s="406"/>
      <c r="L838" s="406"/>
      <c r="M838" s="406"/>
      <c r="N838" s="406"/>
      <c r="O838" s="406"/>
      <c r="P838" s="406"/>
      <c r="Q838" s="406"/>
      <c r="R838" s="406"/>
      <c r="S838" s="406"/>
      <c r="T838" s="406"/>
      <c r="U838" s="406"/>
      <c r="V838" s="406"/>
      <c r="W838" s="406"/>
      <c r="X838" s="406"/>
      <c r="Y838" s="406"/>
      <c r="Z838" s="406"/>
    </row>
    <row r="839">
      <c r="A839" s="406"/>
      <c r="B839" s="406"/>
      <c r="C839" s="406"/>
      <c r="D839" s="406"/>
      <c r="E839" s="406"/>
      <c r="F839" s="406"/>
      <c r="G839" s="407"/>
      <c r="H839" s="406"/>
      <c r="I839" s="406"/>
      <c r="J839" s="406"/>
      <c r="K839" s="406"/>
      <c r="L839" s="406"/>
      <c r="M839" s="406"/>
      <c r="N839" s="406"/>
      <c r="O839" s="406"/>
      <c r="P839" s="406"/>
      <c r="Q839" s="406"/>
      <c r="R839" s="406"/>
      <c r="S839" s="406"/>
      <c r="T839" s="406"/>
      <c r="U839" s="406"/>
      <c r="V839" s="406"/>
      <c r="W839" s="406"/>
      <c r="X839" s="406"/>
      <c r="Y839" s="406"/>
      <c r="Z839" s="406"/>
    </row>
    <row r="840">
      <c r="A840" s="406"/>
      <c r="B840" s="406"/>
      <c r="C840" s="406"/>
      <c r="D840" s="406"/>
      <c r="E840" s="406"/>
      <c r="F840" s="406"/>
      <c r="G840" s="407"/>
      <c r="H840" s="406"/>
      <c r="I840" s="406"/>
      <c r="J840" s="406"/>
      <c r="K840" s="406"/>
      <c r="L840" s="406"/>
      <c r="M840" s="406"/>
      <c r="N840" s="406"/>
      <c r="O840" s="406"/>
      <c r="P840" s="406"/>
      <c r="Q840" s="406"/>
      <c r="R840" s="406"/>
      <c r="S840" s="406"/>
      <c r="T840" s="406"/>
      <c r="U840" s="406"/>
      <c r="V840" s="406"/>
      <c r="W840" s="406"/>
      <c r="X840" s="406"/>
      <c r="Y840" s="406"/>
      <c r="Z840" s="406"/>
    </row>
    <row r="841">
      <c r="A841" s="406"/>
      <c r="B841" s="406"/>
      <c r="C841" s="406"/>
      <c r="D841" s="406"/>
      <c r="E841" s="406"/>
      <c r="F841" s="406"/>
      <c r="G841" s="407"/>
      <c r="H841" s="406"/>
      <c r="I841" s="406"/>
      <c r="J841" s="406"/>
      <c r="K841" s="406"/>
      <c r="L841" s="406"/>
      <c r="M841" s="406"/>
      <c r="N841" s="406"/>
      <c r="O841" s="406"/>
      <c r="P841" s="406"/>
      <c r="Q841" s="406"/>
      <c r="R841" s="406"/>
      <c r="S841" s="406"/>
      <c r="T841" s="406"/>
      <c r="U841" s="406"/>
      <c r="V841" s="406"/>
      <c r="W841" s="406"/>
      <c r="X841" s="406"/>
      <c r="Y841" s="406"/>
      <c r="Z841" s="406"/>
    </row>
    <row r="842">
      <c r="A842" s="406"/>
      <c r="B842" s="406"/>
      <c r="C842" s="406"/>
      <c r="D842" s="406"/>
      <c r="E842" s="406"/>
      <c r="F842" s="406"/>
      <c r="G842" s="407"/>
      <c r="H842" s="406"/>
      <c r="I842" s="406"/>
      <c r="J842" s="406"/>
      <c r="K842" s="406"/>
      <c r="L842" s="406"/>
      <c r="M842" s="406"/>
      <c r="N842" s="406"/>
      <c r="O842" s="406"/>
      <c r="P842" s="406"/>
      <c r="Q842" s="406"/>
      <c r="R842" s="406"/>
      <c r="S842" s="406"/>
      <c r="T842" s="406"/>
      <c r="U842" s="406"/>
      <c r="V842" s="406"/>
      <c r="W842" s="406"/>
      <c r="X842" s="406"/>
      <c r="Y842" s="406"/>
      <c r="Z842" s="406"/>
    </row>
    <row r="843">
      <c r="A843" s="406"/>
      <c r="B843" s="406"/>
      <c r="C843" s="406"/>
      <c r="D843" s="406"/>
      <c r="E843" s="406"/>
      <c r="F843" s="406"/>
      <c r="G843" s="407"/>
      <c r="H843" s="406"/>
      <c r="I843" s="406"/>
      <c r="J843" s="406"/>
      <c r="K843" s="406"/>
      <c r="L843" s="406"/>
      <c r="M843" s="406"/>
      <c r="N843" s="406"/>
      <c r="O843" s="406"/>
      <c r="P843" s="406"/>
      <c r="Q843" s="406"/>
      <c r="R843" s="406"/>
      <c r="S843" s="406"/>
      <c r="T843" s="406"/>
      <c r="U843" s="406"/>
      <c r="V843" s="406"/>
      <c r="W843" s="406"/>
      <c r="X843" s="406"/>
      <c r="Y843" s="406"/>
      <c r="Z843" s="406"/>
    </row>
    <row r="844">
      <c r="A844" s="406"/>
      <c r="B844" s="406"/>
      <c r="C844" s="406"/>
      <c r="D844" s="406"/>
      <c r="E844" s="406"/>
      <c r="F844" s="406"/>
      <c r="G844" s="407"/>
      <c r="H844" s="406"/>
      <c r="I844" s="406"/>
      <c r="J844" s="406"/>
      <c r="K844" s="406"/>
      <c r="L844" s="406"/>
      <c r="M844" s="406"/>
      <c r="N844" s="406"/>
      <c r="O844" s="406"/>
      <c r="P844" s="406"/>
      <c r="Q844" s="406"/>
      <c r="R844" s="406"/>
      <c r="S844" s="406"/>
      <c r="T844" s="406"/>
      <c r="U844" s="406"/>
      <c r="V844" s="406"/>
      <c r="W844" s="406"/>
      <c r="X844" s="406"/>
      <c r="Y844" s="406"/>
      <c r="Z844" s="406"/>
    </row>
    <row r="845">
      <c r="A845" s="406"/>
      <c r="B845" s="406"/>
      <c r="C845" s="406"/>
      <c r="D845" s="406"/>
      <c r="E845" s="406"/>
      <c r="F845" s="406"/>
      <c r="G845" s="407"/>
      <c r="H845" s="406"/>
      <c r="I845" s="406"/>
      <c r="J845" s="406"/>
      <c r="K845" s="406"/>
      <c r="L845" s="406"/>
      <c r="M845" s="406"/>
      <c r="N845" s="406"/>
      <c r="O845" s="406"/>
      <c r="P845" s="406"/>
      <c r="Q845" s="406"/>
      <c r="R845" s="406"/>
      <c r="S845" s="406"/>
      <c r="T845" s="406"/>
      <c r="U845" s="406"/>
      <c r="V845" s="406"/>
      <c r="W845" s="406"/>
      <c r="X845" s="406"/>
      <c r="Y845" s="406"/>
      <c r="Z845" s="406"/>
    </row>
    <row r="846">
      <c r="A846" s="406"/>
      <c r="B846" s="406"/>
      <c r="C846" s="406"/>
      <c r="D846" s="406"/>
      <c r="E846" s="406"/>
      <c r="F846" s="406"/>
      <c r="G846" s="407"/>
      <c r="H846" s="406"/>
      <c r="I846" s="406"/>
      <c r="J846" s="406"/>
      <c r="K846" s="406"/>
      <c r="L846" s="406"/>
      <c r="M846" s="406"/>
      <c r="N846" s="406"/>
      <c r="O846" s="406"/>
      <c r="P846" s="406"/>
      <c r="Q846" s="406"/>
      <c r="R846" s="406"/>
      <c r="S846" s="406"/>
      <c r="T846" s="406"/>
      <c r="U846" s="406"/>
      <c r="V846" s="406"/>
      <c r="W846" s="406"/>
      <c r="X846" s="406"/>
      <c r="Y846" s="406"/>
      <c r="Z846" s="406"/>
    </row>
    <row r="847">
      <c r="A847" s="406"/>
      <c r="B847" s="406"/>
      <c r="C847" s="406"/>
      <c r="D847" s="406"/>
      <c r="E847" s="406"/>
      <c r="F847" s="406"/>
      <c r="G847" s="407"/>
      <c r="H847" s="406"/>
      <c r="I847" s="406"/>
      <c r="J847" s="406"/>
      <c r="K847" s="406"/>
      <c r="L847" s="406"/>
      <c r="M847" s="406"/>
      <c r="N847" s="406"/>
      <c r="O847" s="406"/>
      <c r="P847" s="406"/>
      <c r="Q847" s="406"/>
      <c r="R847" s="406"/>
      <c r="S847" s="406"/>
      <c r="T847" s="406"/>
      <c r="U847" s="406"/>
      <c r="V847" s="406"/>
      <c r="W847" s="406"/>
      <c r="X847" s="406"/>
      <c r="Y847" s="406"/>
      <c r="Z847" s="406"/>
    </row>
    <row r="848">
      <c r="A848" s="406"/>
      <c r="B848" s="406"/>
      <c r="C848" s="406"/>
      <c r="D848" s="406"/>
      <c r="E848" s="406"/>
      <c r="F848" s="406"/>
      <c r="G848" s="407"/>
      <c r="H848" s="406"/>
      <c r="I848" s="406"/>
      <c r="J848" s="406"/>
      <c r="K848" s="406"/>
      <c r="L848" s="406"/>
      <c r="M848" s="406"/>
      <c r="N848" s="406"/>
      <c r="O848" s="406"/>
      <c r="P848" s="406"/>
      <c r="Q848" s="406"/>
      <c r="R848" s="406"/>
      <c r="S848" s="406"/>
      <c r="T848" s="406"/>
      <c r="U848" s="406"/>
      <c r="V848" s="406"/>
      <c r="W848" s="406"/>
      <c r="X848" s="406"/>
      <c r="Y848" s="406"/>
      <c r="Z848" s="406"/>
    </row>
    <row r="849">
      <c r="A849" s="406"/>
      <c r="B849" s="406"/>
      <c r="C849" s="406"/>
      <c r="D849" s="406"/>
      <c r="E849" s="406"/>
      <c r="F849" s="406"/>
      <c r="G849" s="407"/>
      <c r="H849" s="406"/>
      <c r="I849" s="406"/>
      <c r="J849" s="406"/>
      <c r="K849" s="406"/>
      <c r="L849" s="406"/>
      <c r="M849" s="406"/>
      <c r="N849" s="406"/>
      <c r="O849" s="406"/>
      <c r="P849" s="406"/>
      <c r="Q849" s="406"/>
      <c r="R849" s="406"/>
      <c r="S849" s="406"/>
      <c r="T849" s="406"/>
      <c r="U849" s="406"/>
      <c r="V849" s="406"/>
      <c r="W849" s="406"/>
      <c r="X849" s="406"/>
      <c r="Y849" s="406"/>
      <c r="Z849" s="406"/>
    </row>
    <row r="850">
      <c r="A850" s="406"/>
      <c r="B850" s="406"/>
      <c r="C850" s="406"/>
      <c r="D850" s="406"/>
      <c r="E850" s="406"/>
      <c r="F850" s="406"/>
      <c r="G850" s="407"/>
      <c r="H850" s="406"/>
      <c r="I850" s="406"/>
      <c r="J850" s="406"/>
      <c r="K850" s="406"/>
      <c r="L850" s="406"/>
      <c r="M850" s="406"/>
      <c r="N850" s="406"/>
      <c r="O850" s="406"/>
      <c r="P850" s="406"/>
      <c r="Q850" s="406"/>
      <c r="R850" s="406"/>
      <c r="S850" s="406"/>
      <c r="T850" s="406"/>
      <c r="U850" s="406"/>
      <c r="V850" s="406"/>
      <c r="W850" s="406"/>
      <c r="X850" s="406"/>
      <c r="Y850" s="406"/>
      <c r="Z850" s="406"/>
    </row>
    <row r="851">
      <c r="A851" s="406"/>
      <c r="B851" s="406"/>
      <c r="C851" s="406"/>
      <c r="D851" s="406"/>
      <c r="E851" s="406"/>
      <c r="F851" s="406"/>
      <c r="G851" s="407"/>
      <c r="H851" s="406"/>
      <c r="I851" s="406"/>
      <c r="J851" s="406"/>
      <c r="K851" s="406"/>
      <c r="L851" s="406"/>
      <c r="M851" s="406"/>
      <c r="N851" s="406"/>
      <c r="O851" s="406"/>
      <c r="P851" s="406"/>
      <c r="Q851" s="406"/>
      <c r="R851" s="406"/>
      <c r="S851" s="406"/>
      <c r="T851" s="406"/>
      <c r="U851" s="406"/>
      <c r="V851" s="406"/>
      <c r="W851" s="406"/>
      <c r="X851" s="406"/>
      <c r="Y851" s="406"/>
      <c r="Z851" s="406"/>
    </row>
    <row r="852">
      <c r="A852" s="406"/>
      <c r="B852" s="406"/>
      <c r="C852" s="406"/>
      <c r="D852" s="406"/>
      <c r="E852" s="406"/>
      <c r="F852" s="406"/>
      <c r="G852" s="407"/>
      <c r="H852" s="406"/>
      <c r="I852" s="406"/>
      <c r="J852" s="406"/>
      <c r="K852" s="406"/>
      <c r="L852" s="406"/>
      <c r="M852" s="406"/>
      <c r="N852" s="406"/>
      <c r="O852" s="406"/>
      <c r="P852" s="406"/>
      <c r="Q852" s="406"/>
      <c r="R852" s="406"/>
      <c r="S852" s="406"/>
      <c r="T852" s="406"/>
      <c r="U852" s="406"/>
      <c r="V852" s="406"/>
      <c r="W852" s="406"/>
      <c r="X852" s="406"/>
      <c r="Y852" s="406"/>
      <c r="Z852" s="406"/>
    </row>
    <row r="853">
      <c r="A853" s="406"/>
      <c r="B853" s="406"/>
      <c r="C853" s="406"/>
      <c r="D853" s="406"/>
      <c r="E853" s="406"/>
      <c r="F853" s="406"/>
      <c r="G853" s="407"/>
      <c r="H853" s="406"/>
      <c r="I853" s="406"/>
      <c r="J853" s="406"/>
      <c r="K853" s="406"/>
      <c r="L853" s="406"/>
      <c r="M853" s="406"/>
      <c r="N853" s="406"/>
      <c r="O853" s="406"/>
      <c r="P853" s="406"/>
      <c r="Q853" s="406"/>
      <c r="R853" s="406"/>
      <c r="S853" s="406"/>
      <c r="T853" s="406"/>
      <c r="U853" s="406"/>
      <c r="V853" s="406"/>
      <c r="W853" s="406"/>
      <c r="X853" s="406"/>
      <c r="Y853" s="406"/>
      <c r="Z853" s="406"/>
    </row>
    <row r="854">
      <c r="A854" s="406"/>
      <c r="B854" s="406"/>
      <c r="C854" s="406"/>
      <c r="D854" s="406"/>
      <c r="E854" s="406"/>
      <c r="F854" s="406"/>
      <c r="G854" s="407"/>
      <c r="H854" s="406"/>
      <c r="I854" s="406"/>
      <c r="J854" s="406"/>
      <c r="K854" s="406"/>
      <c r="L854" s="406"/>
      <c r="M854" s="406"/>
      <c r="N854" s="406"/>
      <c r="O854" s="406"/>
      <c r="P854" s="406"/>
      <c r="Q854" s="406"/>
      <c r="R854" s="406"/>
      <c r="S854" s="406"/>
      <c r="T854" s="406"/>
      <c r="U854" s="406"/>
      <c r="V854" s="406"/>
      <c r="W854" s="406"/>
      <c r="X854" s="406"/>
      <c r="Y854" s="406"/>
      <c r="Z854" s="406"/>
    </row>
    <row r="855">
      <c r="A855" s="406"/>
      <c r="B855" s="406"/>
      <c r="C855" s="406"/>
      <c r="D855" s="406"/>
      <c r="E855" s="406"/>
      <c r="F855" s="406"/>
      <c r="G855" s="407"/>
      <c r="H855" s="406"/>
      <c r="I855" s="406"/>
      <c r="J855" s="406"/>
      <c r="K855" s="406"/>
      <c r="L855" s="406"/>
      <c r="M855" s="406"/>
      <c r="N855" s="406"/>
      <c r="O855" s="406"/>
      <c r="P855" s="406"/>
      <c r="Q855" s="406"/>
      <c r="R855" s="406"/>
      <c r="S855" s="406"/>
      <c r="T855" s="406"/>
      <c r="U855" s="406"/>
      <c r="V855" s="406"/>
      <c r="W855" s="406"/>
      <c r="X855" s="406"/>
      <c r="Y855" s="406"/>
      <c r="Z855" s="406"/>
    </row>
    <row r="856">
      <c r="A856" s="406"/>
      <c r="B856" s="406"/>
      <c r="C856" s="406"/>
      <c r="D856" s="406"/>
      <c r="E856" s="406"/>
      <c r="F856" s="406"/>
      <c r="G856" s="407"/>
      <c r="H856" s="406"/>
      <c r="I856" s="406"/>
      <c r="J856" s="406"/>
      <c r="K856" s="406"/>
      <c r="L856" s="406"/>
      <c r="M856" s="406"/>
      <c r="N856" s="406"/>
      <c r="O856" s="406"/>
      <c r="P856" s="406"/>
      <c r="Q856" s="406"/>
      <c r="R856" s="406"/>
      <c r="S856" s="406"/>
      <c r="T856" s="406"/>
      <c r="U856" s="406"/>
      <c r="V856" s="406"/>
      <c r="W856" s="406"/>
      <c r="X856" s="406"/>
      <c r="Y856" s="406"/>
      <c r="Z856" s="406"/>
    </row>
    <row r="857">
      <c r="A857" s="406"/>
      <c r="B857" s="406"/>
      <c r="C857" s="406"/>
      <c r="D857" s="406"/>
      <c r="E857" s="406"/>
      <c r="F857" s="406"/>
      <c r="G857" s="407"/>
      <c r="H857" s="406"/>
      <c r="I857" s="406"/>
      <c r="J857" s="406"/>
      <c r="K857" s="406"/>
      <c r="L857" s="406"/>
      <c r="M857" s="406"/>
      <c r="N857" s="406"/>
      <c r="O857" s="406"/>
      <c r="P857" s="406"/>
      <c r="Q857" s="406"/>
      <c r="R857" s="406"/>
      <c r="S857" s="406"/>
      <c r="T857" s="406"/>
      <c r="U857" s="406"/>
      <c r="V857" s="406"/>
      <c r="W857" s="406"/>
      <c r="X857" s="406"/>
      <c r="Y857" s="406"/>
      <c r="Z857" s="406"/>
    </row>
    <row r="858">
      <c r="A858" s="406"/>
      <c r="B858" s="406"/>
      <c r="C858" s="406"/>
      <c r="D858" s="406"/>
      <c r="E858" s="406"/>
      <c r="F858" s="406"/>
      <c r="G858" s="407"/>
      <c r="H858" s="406"/>
      <c r="I858" s="406"/>
      <c r="J858" s="406"/>
      <c r="K858" s="406"/>
      <c r="L858" s="406"/>
      <c r="M858" s="406"/>
      <c r="N858" s="406"/>
      <c r="O858" s="406"/>
      <c r="P858" s="406"/>
      <c r="Q858" s="406"/>
      <c r="R858" s="406"/>
      <c r="S858" s="406"/>
      <c r="T858" s="406"/>
      <c r="U858" s="406"/>
      <c r="V858" s="406"/>
      <c r="W858" s="406"/>
      <c r="X858" s="406"/>
      <c r="Y858" s="406"/>
      <c r="Z858" s="406"/>
    </row>
    <row r="859">
      <c r="A859" s="406"/>
      <c r="B859" s="406"/>
      <c r="C859" s="406"/>
      <c r="D859" s="406"/>
      <c r="E859" s="406"/>
      <c r="F859" s="406"/>
      <c r="G859" s="407"/>
      <c r="H859" s="406"/>
      <c r="I859" s="406"/>
      <c r="J859" s="406"/>
      <c r="K859" s="406"/>
      <c r="L859" s="406"/>
      <c r="M859" s="406"/>
      <c r="N859" s="406"/>
      <c r="O859" s="406"/>
      <c r="P859" s="406"/>
      <c r="Q859" s="406"/>
      <c r="R859" s="406"/>
      <c r="S859" s="406"/>
      <c r="T859" s="406"/>
      <c r="U859" s="406"/>
      <c r="V859" s="406"/>
      <c r="W859" s="406"/>
      <c r="X859" s="406"/>
      <c r="Y859" s="406"/>
      <c r="Z859" s="406"/>
    </row>
    <row r="860">
      <c r="A860" s="406"/>
      <c r="B860" s="406"/>
      <c r="C860" s="406"/>
      <c r="D860" s="406"/>
      <c r="E860" s="406"/>
      <c r="F860" s="406"/>
      <c r="G860" s="407"/>
      <c r="H860" s="406"/>
      <c r="I860" s="406"/>
      <c r="J860" s="406"/>
      <c r="K860" s="406"/>
      <c r="L860" s="406"/>
      <c r="M860" s="406"/>
      <c r="N860" s="406"/>
      <c r="O860" s="406"/>
      <c r="P860" s="406"/>
      <c r="Q860" s="406"/>
      <c r="R860" s="406"/>
      <c r="S860" s="406"/>
      <c r="T860" s="406"/>
      <c r="U860" s="406"/>
      <c r="V860" s="406"/>
      <c r="W860" s="406"/>
      <c r="X860" s="406"/>
      <c r="Y860" s="406"/>
      <c r="Z860" s="406"/>
    </row>
    <row r="861">
      <c r="A861" s="406"/>
      <c r="B861" s="406"/>
      <c r="C861" s="406"/>
      <c r="D861" s="406"/>
      <c r="E861" s="406"/>
      <c r="F861" s="406"/>
      <c r="G861" s="407"/>
      <c r="H861" s="406"/>
      <c r="I861" s="406"/>
      <c r="J861" s="406"/>
      <c r="K861" s="406"/>
      <c r="L861" s="406"/>
      <c r="M861" s="406"/>
      <c r="N861" s="406"/>
      <c r="O861" s="406"/>
      <c r="P861" s="406"/>
      <c r="Q861" s="406"/>
      <c r="R861" s="406"/>
      <c r="S861" s="406"/>
      <c r="T861" s="406"/>
      <c r="U861" s="406"/>
      <c r="V861" s="406"/>
      <c r="W861" s="406"/>
      <c r="X861" s="406"/>
      <c r="Y861" s="406"/>
      <c r="Z861" s="406"/>
    </row>
    <row r="862">
      <c r="A862" s="406"/>
      <c r="B862" s="406"/>
      <c r="C862" s="406"/>
      <c r="D862" s="406"/>
      <c r="E862" s="406"/>
      <c r="F862" s="406"/>
      <c r="G862" s="407"/>
      <c r="H862" s="406"/>
      <c r="I862" s="406"/>
      <c r="J862" s="406"/>
      <c r="K862" s="406"/>
      <c r="L862" s="406"/>
      <c r="M862" s="406"/>
      <c r="N862" s="406"/>
      <c r="O862" s="406"/>
      <c r="P862" s="406"/>
      <c r="Q862" s="406"/>
      <c r="R862" s="406"/>
      <c r="S862" s="406"/>
      <c r="T862" s="406"/>
      <c r="U862" s="406"/>
      <c r="V862" s="406"/>
      <c r="W862" s="406"/>
      <c r="X862" s="406"/>
      <c r="Y862" s="406"/>
      <c r="Z862" s="406"/>
    </row>
    <row r="863">
      <c r="A863" s="406"/>
      <c r="B863" s="406"/>
      <c r="C863" s="406"/>
      <c r="D863" s="406"/>
      <c r="E863" s="406"/>
      <c r="F863" s="406"/>
      <c r="G863" s="407"/>
      <c r="H863" s="406"/>
      <c r="I863" s="406"/>
      <c r="J863" s="406"/>
      <c r="K863" s="406"/>
      <c r="L863" s="406"/>
      <c r="M863" s="406"/>
      <c r="N863" s="406"/>
      <c r="O863" s="406"/>
      <c r="P863" s="406"/>
      <c r="Q863" s="406"/>
      <c r="R863" s="406"/>
      <c r="S863" s="406"/>
      <c r="T863" s="406"/>
      <c r="U863" s="406"/>
      <c r="V863" s="406"/>
      <c r="W863" s="406"/>
      <c r="X863" s="406"/>
      <c r="Y863" s="406"/>
      <c r="Z863" s="406"/>
    </row>
    <row r="864">
      <c r="A864" s="406"/>
      <c r="B864" s="406"/>
      <c r="C864" s="406"/>
      <c r="D864" s="406"/>
      <c r="E864" s="406"/>
      <c r="F864" s="406"/>
      <c r="G864" s="407"/>
      <c r="H864" s="406"/>
      <c r="I864" s="406"/>
      <c r="J864" s="406"/>
      <c r="K864" s="406"/>
      <c r="L864" s="406"/>
      <c r="M864" s="406"/>
      <c r="N864" s="406"/>
      <c r="O864" s="406"/>
      <c r="P864" s="406"/>
      <c r="Q864" s="406"/>
      <c r="R864" s="406"/>
      <c r="S864" s="406"/>
      <c r="T864" s="406"/>
      <c r="U864" s="406"/>
      <c r="V864" s="406"/>
      <c r="W864" s="406"/>
      <c r="X864" s="406"/>
      <c r="Y864" s="406"/>
      <c r="Z864" s="406"/>
    </row>
    <row r="865">
      <c r="A865" s="406"/>
      <c r="B865" s="406"/>
      <c r="C865" s="406"/>
      <c r="D865" s="406"/>
      <c r="E865" s="406"/>
      <c r="F865" s="406"/>
      <c r="G865" s="407"/>
      <c r="H865" s="406"/>
      <c r="I865" s="406"/>
      <c r="J865" s="406"/>
      <c r="K865" s="406"/>
      <c r="L865" s="406"/>
      <c r="M865" s="406"/>
      <c r="N865" s="406"/>
      <c r="O865" s="406"/>
      <c r="P865" s="406"/>
      <c r="Q865" s="406"/>
      <c r="R865" s="406"/>
      <c r="S865" s="406"/>
      <c r="T865" s="406"/>
      <c r="U865" s="406"/>
      <c r="V865" s="406"/>
      <c r="W865" s="406"/>
      <c r="X865" s="406"/>
      <c r="Y865" s="406"/>
      <c r="Z865" s="406"/>
    </row>
    <row r="866">
      <c r="A866" s="406"/>
      <c r="B866" s="406"/>
      <c r="C866" s="406"/>
      <c r="D866" s="406"/>
      <c r="E866" s="406"/>
      <c r="F866" s="406"/>
      <c r="G866" s="407"/>
      <c r="H866" s="406"/>
      <c r="I866" s="406"/>
      <c r="J866" s="406"/>
      <c r="K866" s="406"/>
      <c r="L866" s="406"/>
      <c r="M866" s="406"/>
      <c r="N866" s="406"/>
      <c r="O866" s="406"/>
      <c r="P866" s="406"/>
      <c r="Q866" s="406"/>
      <c r="R866" s="406"/>
      <c r="S866" s="406"/>
      <c r="T866" s="406"/>
      <c r="U866" s="406"/>
      <c r="V866" s="406"/>
      <c r="W866" s="406"/>
      <c r="X866" s="406"/>
      <c r="Y866" s="406"/>
      <c r="Z866" s="406"/>
    </row>
    <row r="867">
      <c r="A867" s="406"/>
      <c r="B867" s="406"/>
      <c r="C867" s="406"/>
      <c r="D867" s="406"/>
      <c r="E867" s="406"/>
      <c r="F867" s="406"/>
      <c r="G867" s="407"/>
      <c r="H867" s="406"/>
      <c r="I867" s="406"/>
      <c r="J867" s="406"/>
      <c r="K867" s="406"/>
      <c r="L867" s="406"/>
      <c r="M867" s="406"/>
      <c r="N867" s="406"/>
      <c r="O867" s="406"/>
      <c r="P867" s="406"/>
      <c r="Q867" s="406"/>
      <c r="R867" s="406"/>
      <c r="S867" s="406"/>
      <c r="T867" s="406"/>
      <c r="U867" s="406"/>
      <c r="V867" s="406"/>
      <c r="W867" s="406"/>
      <c r="X867" s="406"/>
      <c r="Y867" s="406"/>
      <c r="Z867" s="406"/>
    </row>
    <row r="868">
      <c r="A868" s="406"/>
      <c r="B868" s="406"/>
      <c r="C868" s="406"/>
      <c r="D868" s="406"/>
      <c r="E868" s="406"/>
      <c r="F868" s="406"/>
      <c r="G868" s="407"/>
      <c r="H868" s="406"/>
      <c r="I868" s="406"/>
      <c r="J868" s="406"/>
      <c r="K868" s="406"/>
      <c r="L868" s="406"/>
      <c r="M868" s="406"/>
      <c r="N868" s="406"/>
      <c r="O868" s="406"/>
      <c r="P868" s="406"/>
      <c r="Q868" s="406"/>
      <c r="R868" s="406"/>
      <c r="S868" s="406"/>
      <c r="T868" s="406"/>
      <c r="U868" s="406"/>
      <c r="V868" s="406"/>
      <c r="W868" s="406"/>
      <c r="X868" s="406"/>
      <c r="Y868" s="406"/>
      <c r="Z868" s="406"/>
    </row>
    <row r="869">
      <c r="A869" s="406"/>
      <c r="B869" s="406"/>
      <c r="C869" s="406"/>
      <c r="D869" s="406"/>
      <c r="E869" s="406"/>
      <c r="F869" s="406"/>
      <c r="G869" s="407"/>
      <c r="H869" s="406"/>
      <c r="I869" s="406"/>
      <c r="J869" s="406"/>
      <c r="K869" s="406"/>
      <c r="L869" s="406"/>
      <c r="M869" s="406"/>
      <c r="N869" s="406"/>
      <c r="O869" s="406"/>
      <c r="P869" s="406"/>
      <c r="Q869" s="406"/>
      <c r="R869" s="406"/>
      <c r="S869" s="406"/>
      <c r="T869" s="406"/>
      <c r="U869" s="406"/>
      <c r="V869" s="406"/>
      <c r="W869" s="406"/>
      <c r="X869" s="406"/>
      <c r="Y869" s="406"/>
      <c r="Z869" s="406"/>
    </row>
    <row r="870">
      <c r="A870" s="406"/>
      <c r="B870" s="406"/>
      <c r="C870" s="406"/>
      <c r="D870" s="406"/>
      <c r="E870" s="406"/>
      <c r="F870" s="406"/>
      <c r="G870" s="407"/>
      <c r="H870" s="406"/>
      <c r="I870" s="406"/>
      <c r="J870" s="406"/>
      <c r="K870" s="406"/>
      <c r="L870" s="406"/>
      <c r="M870" s="406"/>
      <c r="N870" s="406"/>
      <c r="O870" s="406"/>
      <c r="P870" s="406"/>
      <c r="Q870" s="406"/>
      <c r="R870" s="406"/>
      <c r="S870" s="406"/>
      <c r="T870" s="406"/>
      <c r="U870" s="406"/>
      <c r="V870" s="406"/>
      <c r="W870" s="406"/>
      <c r="X870" s="406"/>
      <c r="Y870" s="406"/>
      <c r="Z870" s="406"/>
    </row>
    <row r="871">
      <c r="A871" s="406"/>
      <c r="B871" s="406"/>
      <c r="C871" s="406"/>
      <c r="D871" s="406"/>
      <c r="E871" s="406"/>
      <c r="F871" s="406"/>
      <c r="G871" s="407"/>
      <c r="H871" s="406"/>
      <c r="I871" s="406"/>
      <c r="J871" s="406"/>
      <c r="K871" s="406"/>
      <c r="L871" s="406"/>
      <c r="M871" s="406"/>
      <c r="N871" s="406"/>
      <c r="O871" s="406"/>
      <c r="P871" s="406"/>
      <c r="Q871" s="406"/>
      <c r="R871" s="406"/>
      <c r="S871" s="406"/>
      <c r="T871" s="406"/>
      <c r="U871" s="406"/>
      <c r="V871" s="406"/>
      <c r="W871" s="406"/>
      <c r="X871" s="406"/>
      <c r="Y871" s="406"/>
      <c r="Z871" s="406"/>
    </row>
    <row r="872">
      <c r="A872" s="406"/>
      <c r="B872" s="406"/>
      <c r="C872" s="406"/>
      <c r="D872" s="406"/>
      <c r="E872" s="406"/>
      <c r="F872" s="406"/>
      <c r="G872" s="407"/>
      <c r="H872" s="406"/>
      <c r="I872" s="406"/>
      <c r="J872" s="406"/>
      <c r="K872" s="406"/>
      <c r="L872" s="406"/>
      <c r="M872" s="406"/>
      <c r="N872" s="406"/>
      <c r="O872" s="406"/>
      <c r="P872" s="406"/>
      <c r="Q872" s="406"/>
      <c r="R872" s="406"/>
      <c r="S872" s="406"/>
      <c r="T872" s="406"/>
      <c r="U872" s="406"/>
      <c r="V872" s="406"/>
      <c r="W872" s="406"/>
      <c r="X872" s="406"/>
      <c r="Y872" s="406"/>
      <c r="Z872" s="406"/>
    </row>
    <row r="873">
      <c r="A873" s="406"/>
      <c r="B873" s="406"/>
      <c r="C873" s="406"/>
      <c r="D873" s="406"/>
      <c r="E873" s="406"/>
      <c r="F873" s="406"/>
      <c r="G873" s="407"/>
      <c r="H873" s="406"/>
      <c r="I873" s="406"/>
      <c r="J873" s="406"/>
      <c r="K873" s="406"/>
      <c r="L873" s="406"/>
      <c r="M873" s="406"/>
      <c r="N873" s="406"/>
      <c r="O873" s="406"/>
      <c r="P873" s="406"/>
      <c r="Q873" s="406"/>
      <c r="R873" s="406"/>
      <c r="S873" s="406"/>
      <c r="T873" s="406"/>
      <c r="U873" s="406"/>
      <c r="V873" s="406"/>
      <c r="W873" s="406"/>
      <c r="X873" s="406"/>
      <c r="Y873" s="406"/>
      <c r="Z873" s="406"/>
    </row>
    <row r="874">
      <c r="A874" s="406"/>
      <c r="B874" s="406"/>
      <c r="C874" s="406"/>
      <c r="D874" s="406"/>
      <c r="E874" s="406"/>
      <c r="F874" s="406"/>
      <c r="G874" s="407"/>
      <c r="H874" s="406"/>
      <c r="I874" s="406"/>
      <c r="J874" s="406"/>
      <c r="K874" s="406"/>
      <c r="L874" s="406"/>
      <c r="M874" s="406"/>
      <c r="N874" s="406"/>
      <c r="O874" s="406"/>
      <c r="P874" s="406"/>
      <c r="Q874" s="406"/>
      <c r="R874" s="406"/>
      <c r="S874" s="406"/>
      <c r="T874" s="406"/>
      <c r="U874" s="406"/>
      <c r="V874" s="406"/>
      <c r="W874" s="406"/>
      <c r="X874" s="406"/>
      <c r="Y874" s="406"/>
      <c r="Z874" s="406"/>
    </row>
    <row r="875">
      <c r="A875" s="406"/>
      <c r="B875" s="406"/>
      <c r="C875" s="406"/>
      <c r="D875" s="406"/>
      <c r="E875" s="406"/>
      <c r="F875" s="406"/>
      <c r="G875" s="407"/>
      <c r="H875" s="406"/>
      <c r="I875" s="406"/>
      <c r="J875" s="406"/>
      <c r="K875" s="406"/>
      <c r="L875" s="406"/>
      <c r="M875" s="406"/>
      <c r="N875" s="406"/>
      <c r="O875" s="406"/>
      <c r="P875" s="406"/>
      <c r="Q875" s="406"/>
      <c r="R875" s="406"/>
      <c r="S875" s="406"/>
      <c r="T875" s="406"/>
      <c r="U875" s="406"/>
      <c r="V875" s="406"/>
      <c r="W875" s="406"/>
      <c r="X875" s="406"/>
      <c r="Y875" s="406"/>
      <c r="Z875" s="406"/>
    </row>
    <row r="876">
      <c r="A876" s="406"/>
      <c r="B876" s="406"/>
      <c r="C876" s="406"/>
      <c r="D876" s="406"/>
      <c r="E876" s="406"/>
      <c r="F876" s="406"/>
      <c r="G876" s="407"/>
      <c r="H876" s="406"/>
      <c r="I876" s="406"/>
      <c r="J876" s="406"/>
      <c r="K876" s="406"/>
      <c r="L876" s="406"/>
      <c r="M876" s="406"/>
      <c r="N876" s="406"/>
      <c r="O876" s="406"/>
      <c r="P876" s="406"/>
      <c r="Q876" s="406"/>
      <c r="R876" s="406"/>
      <c r="S876" s="406"/>
      <c r="T876" s="406"/>
      <c r="U876" s="406"/>
      <c r="V876" s="406"/>
      <c r="W876" s="406"/>
      <c r="X876" s="406"/>
      <c r="Y876" s="406"/>
      <c r="Z876" s="406"/>
    </row>
    <row r="877">
      <c r="A877" s="406"/>
      <c r="B877" s="406"/>
      <c r="C877" s="406"/>
      <c r="D877" s="406"/>
      <c r="E877" s="406"/>
      <c r="F877" s="406"/>
      <c r="G877" s="407"/>
      <c r="H877" s="406"/>
      <c r="I877" s="406"/>
      <c r="J877" s="406"/>
      <c r="K877" s="406"/>
      <c r="L877" s="406"/>
      <c r="M877" s="406"/>
      <c r="N877" s="406"/>
      <c r="O877" s="406"/>
      <c r="P877" s="406"/>
      <c r="Q877" s="406"/>
      <c r="R877" s="406"/>
      <c r="S877" s="406"/>
      <c r="T877" s="406"/>
      <c r="U877" s="406"/>
      <c r="V877" s="406"/>
      <c r="W877" s="406"/>
      <c r="X877" s="406"/>
      <c r="Y877" s="406"/>
      <c r="Z877" s="406"/>
    </row>
    <row r="878">
      <c r="A878" s="406"/>
      <c r="B878" s="406"/>
      <c r="C878" s="406"/>
      <c r="D878" s="406"/>
      <c r="E878" s="406"/>
      <c r="F878" s="406"/>
      <c r="G878" s="407"/>
      <c r="H878" s="406"/>
      <c r="I878" s="406"/>
      <c r="J878" s="406"/>
      <c r="K878" s="406"/>
      <c r="L878" s="406"/>
      <c r="M878" s="406"/>
      <c r="N878" s="406"/>
      <c r="O878" s="406"/>
      <c r="P878" s="406"/>
      <c r="Q878" s="406"/>
      <c r="R878" s="406"/>
      <c r="S878" s="406"/>
      <c r="T878" s="406"/>
      <c r="U878" s="406"/>
      <c r="V878" s="406"/>
      <c r="W878" s="406"/>
      <c r="X878" s="406"/>
      <c r="Y878" s="406"/>
      <c r="Z878" s="406"/>
    </row>
    <row r="879">
      <c r="A879" s="406"/>
      <c r="B879" s="406"/>
      <c r="C879" s="406"/>
      <c r="D879" s="406"/>
      <c r="E879" s="406"/>
      <c r="F879" s="406"/>
      <c r="G879" s="407"/>
      <c r="H879" s="406"/>
      <c r="I879" s="406"/>
      <c r="J879" s="406"/>
      <c r="K879" s="406"/>
      <c r="L879" s="406"/>
      <c r="M879" s="406"/>
      <c r="N879" s="406"/>
      <c r="O879" s="406"/>
      <c r="P879" s="406"/>
      <c r="Q879" s="406"/>
      <c r="R879" s="406"/>
      <c r="S879" s="406"/>
      <c r="T879" s="406"/>
      <c r="U879" s="406"/>
      <c r="V879" s="406"/>
      <c r="W879" s="406"/>
      <c r="X879" s="406"/>
      <c r="Y879" s="406"/>
      <c r="Z879" s="406"/>
    </row>
    <row r="880">
      <c r="A880" s="406"/>
      <c r="B880" s="406"/>
      <c r="C880" s="406"/>
      <c r="D880" s="406"/>
      <c r="E880" s="406"/>
      <c r="F880" s="406"/>
      <c r="G880" s="407"/>
      <c r="H880" s="406"/>
      <c r="I880" s="406"/>
      <c r="J880" s="406"/>
      <c r="K880" s="406"/>
      <c r="L880" s="406"/>
      <c r="M880" s="406"/>
      <c r="N880" s="406"/>
      <c r="O880" s="406"/>
      <c r="P880" s="406"/>
      <c r="Q880" s="406"/>
      <c r="R880" s="406"/>
      <c r="S880" s="406"/>
      <c r="T880" s="406"/>
      <c r="U880" s="406"/>
      <c r="V880" s="406"/>
      <c r="W880" s="406"/>
      <c r="X880" s="406"/>
      <c r="Y880" s="406"/>
      <c r="Z880" s="406"/>
    </row>
    <row r="881">
      <c r="A881" s="406"/>
      <c r="B881" s="406"/>
      <c r="C881" s="406"/>
      <c r="D881" s="406"/>
      <c r="E881" s="406"/>
      <c r="F881" s="406"/>
      <c r="G881" s="407"/>
      <c r="H881" s="406"/>
      <c r="I881" s="406"/>
      <c r="J881" s="406"/>
      <c r="K881" s="406"/>
      <c r="L881" s="406"/>
      <c r="M881" s="406"/>
      <c r="N881" s="406"/>
      <c r="O881" s="406"/>
      <c r="P881" s="406"/>
      <c r="Q881" s="406"/>
      <c r="R881" s="406"/>
      <c r="S881" s="406"/>
      <c r="T881" s="406"/>
      <c r="U881" s="406"/>
      <c r="V881" s="406"/>
      <c r="W881" s="406"/>
      <c r="X881" s="406"/>
      <c r="Y881" s="406"/>
      <c r="Z881" s="406"/>
    </row>
    <row r="882">
      <c r="A882" s="406"/>
      <c r="B882" s="406"/>
      <c r="C882" s="406"/>
      <c r="D882" s="406"/>
      <c r="E882" s="406"/>
      <c r="F882" s="406"/>
      <c r="G882" s="407"/>
      <c r="H882" s="406"/>
      <c r="I882" s="406"/>
      <c r="J882" s="406"/>
      <c r="K882" s="406"/>
      <c r="L882" s="406"/>
      <c r="M882" s="406"/>
      <c r="N882" s="406"/>
      <c r="O882" s="406"/>
      <c r="P882" s="406"/>
      <c r="Q882" s="406"/>
      <c r="R882" s="406"/>
      <c r="S882" s="406"/>
      <c r="T882" s="406"/>
      <c r="U882" s="406"/>
      <c r="V882" s="406"/>
      <c r="W882" s="406"/>
      <c r="X882" s="406"/>
      <c r="Y882" s="406"/>
      <c r="Z882" s="406"/>
    </row>
    <row r="883">
      <c r="A883" s="406"/>
      <c r="B883" s="406"/>
      <c r="C883" s="406"/>
      <c r="D883" s="406"/>
      <c r="E883" s="406"/>
      <c r="F883" s="406"/>
      <c r="G883" s="407"/>
      <c r="H883" s="406"/>
      <c r="I883" s="406"/>
      <c r="J883" s="406"/>
      <c r="K883" s="406"/>
      <c r="L883" s="406"/>
      <c r="M883" s="406"/>
      <c r="N883" s="406"/>
      <c r="O883" s="406"/>
      <c r="P883" s="406"/>
      <c r="Q883" s="406"/>
      <c r="R883" s="406"/>
      <c r="S883" s="406"/>
      <c r="T883" s="406"/>
      <c r="U883" s="406"/>
      <c r="V883" s="406"/>
      <c r="W883" s="406"/>
      <c r="X883" s="406"/>
      <c r="Y883" s="406"/>
      <c r="Z883" s="406"/>
    </row>
    <row r="884">
      <c r="A884" s="406"/>
      <c r="B884" s="406"/>
      <c r="C884" s="406"/>
      <c r="D884" s="406"/>
      <c r="E884" s="406"/>
      <c r="F884" s="406"/>
      <c r="G884" s="407"/>
      <c r="H884" s="406"/>
      <c r="I884" s="406"/>
      <c r="J884" s="406"/>
      <c r="K884" s="406"/>
      <c r="L884" s="406"/>
      <c r="M884" s="406"/>
      <c r="N884" s="406"/>
      <c r="O884" s="406"/>
      <c r="P884" s="406"/>
      <c r="Q884" s="406"/>
      <c r="R884" s="406"/>
      <c r="S884" s="406"/>
      <c r="T884" s="406"/>
      <c r="U884" s="406"/>
      <c r="V884" s="406"/>
      <c r="W884" s="406"/>
      <c r="X884" s="406"/>
      <c r="Y884" s="406"/>
      <c r="Z884" s="406"/>
    </row>
    <row r="885">
      <c r="A885" s="406"/>
      <c r="B885" s="406"/>
      <c r="C885" s="406"/>
      <c r="D885" s="406"/>
      <c r="E885" s="406"/>
      <c r="F885" s="406"/>
      <c r="G885" s="407"/>
      <c r="H885" s="406"/>
      <c r="I885" s="406"/>
      <c r="J885" s="406"/>
      <c r="K885" s="406"/>
      <c r="L885" s="406"/>
      <c r="M885" s="406"/>
      <c r="N885" s="406"/>
      <c r="O885" s="406"/>
      <c r="P885" s="406"/>
      <c r="Q885" s="406"/>
      <c r="R885" s="406"/>
      <c r="S885" s="406"/>
      <c r="T885" s="406"/>
      <c r="U885" s="406"/>
      <c r="V885" s="406"/>
      <c r="W885" s="406"/>
      <c r="X885" s="406"/>
      <c r="Y885" s="406"/>
      <c r="Z885" s="406"/>
    </row>
    <row r="886">
      <c r="A886" s="406"/>
      <c r="B886" s="406"/>
      <c r="C886" s="406"/>
      <c r="D886" s="406"/>
      <c r="E886" s="406"/>
      <c r="F886" s="406"/>
      <c r="G886" s="407"/>
      <c r="H886" s="406"/>
      <c r="I886" s="406"/>
      <c r="J886" s="406"/>
      <c r="K886" s="406"/>
      <c r="L886" s="406"/>
      <c r="M886" s="406"/>
      <c r="N886" s="406"/>
      <c r="O886" s="406"/>
      <c r="P886" s="406"/>
      <c r="Q886" s="406"/>
      <c r="R886" s="406"/>
      <c r="S886" s="406"/>
      <c r="T886" s="406"/>
      <c r="U886" s="406"/>
      <c r="V886" s="406"/>
      <c r="W886" s="406"/>
      <c r="X886" s="406"/>
      <c r="Y886" s="406"/>
      <c r="Z886" s="406"/>
    </row>
    <row r="887">
      <c r="A887" s="406"/>
      <c r="B887" s="406"/>
      <c r="C887" s="406"/>
      <c r="D887" s="406"/>
      <c r="E887" s="406"/>
      <c r="F887" s="406"/>
      <c r="G887" s="407"/>
      <c r="H887" s="406"/>
      <c r="I887" s="406"/>
      <c r="J887" s="406"/>
      <c r="K887" s="406"/>
      <c r="L887" s="406"/>
      <c r="M887" s="406"/>
      <c r="N887" s="406"/>
      <c r="O887" s="406"/>
      <c r="P887" s="406"/>
      <c r="Q887" s="406"/>
      <c r="R887" s="406"/>
      <c r="S887" s="406"/>
      <c r="T887" s="406"/>
      <c r="U887" s="406"/>
      <c r="V887" s="406"/>
      <c r="W887" s="406"/>
      <c r="X887" s="406"/>
      <c r="Y887" s="406"/>
      <c r="Z887" s="406"/>
    </row>
    <row r="888">
      <c r="A888" s="406"/>
      <c r="B888" s="406"/>
      <c r="C888" s="406"/>
      <c r="D888" s="406"/>
      <c r="E888" s="406"/>
      <c r="F888" s="406"/>
      <c r="G888" s="407"/>
      <c r="H888" s="406"/>
      <c r="I888" s="406"/>
      <c r="J888" s="406"/>
      <c r="K888" s="406"/>
      <c r="L888" s="406"/>
      <c r="M888" s="406"/>
      <c r="N888" s="406"/>
      <c r="O888" s="406"/>
      <c r="P888" s="406"/>
      <c r="Q888" s="406"/>
      <c r="R888" s="406"/>
      <c r="S888" s="406"/>
      <c r="T888" s="406"/>
      <c r="U888" s="406"/>
      <c r="V888" s="406"/>
      <c r="W888" s="406"/>
      <c r="X888" s="406"/>
      <c r="Y888" s="406"/>
      <c r="Z888" s="406"/>
    </row>
    <row r="889">
      <c r="A889" s="406"/>
      <c r="B889" s="406"/>
      <c r="C889" s="406"/>
      <c r="D889" s="406"/>
      <c r="E889" s="406"/>
      <c r="F889" s="406"/>
      <c r="G889" s="407"/>
      <c r="H889" s="406"/>
      <c r="I889" s="406"/>
      <c r="J889" s="406"/>
      <c r="K889" s="406"/>
      <c r="L889" s="406"/>
      <c r="M889" s="406"/>
      <c r="N889" s="406"/>
      <c r="O889" s="406"/>
      <c r="P889" s="406"/>
      <c r="Q889" s="406"/>
      <c r="R889" s="406"/>
      <c r="S889" s="406"/>
      <c r="T889" s="406"/>
      <c r="U889" s="406"/>
      <c r="V889" s="406"/>
      <c r="W889" s="406"/>
      <c r="X889" s="406"/>
      <c r="Y889" s="406"/>
      <c r="Z889" s="406"/>
    </row>
    <row r="890">
      <c r="A890" s="406"/>
      <c r="B890" s="406"/>
      <c r="C890" s="406"/>
      <c r="D890" s="406"/>
      <c r="E890" s="406"/>
      <c r="F890" s="406"/>
      <c r="G890" s="407"/>
      <c r="H890" s="406"/>
      <c r="I890" s="406"/>
      <c r="J890" s="406"/>
      <c r="K890" s="406"/>
      <c r="L890" s="406"/>
      <c r="M890" s="406"/>
      <c r="N890" s="406"/>
      <c r="O890" s="406"/>
      <c r="P890" s="406"/>
      <c r="Q890" s="406"/>
      <c r="R890" s="406"/>
      <c r="S890" s="406"/>
      <c r="T890" s="406"/>
      <c r="U890" s="406"/>
      <c r="V890" s="406"/>
      <c r="W890" s="406"/>
      <c r="X890" s="406"/>
      <c r="Y890" s="406"/>
      <c r="Z890" s="406"/>
    </row>
    <row r="891">
      <c r="A891" s="406"/>
      <c r="B891" s="406"/>
      <c r="C891" s="406"/>
      <c r="D891" s="406"/>
      <c r="E891" s="406"/>
      <c r="F891" s="406"/>
      <c r="G891" s="407"/>
      <c r="H891" s="406"/>
      <c r="I891" s="406"/>
      <c r="J891" s="406"/>
      <c r="K891" s="406"/>
      <c r="L891" s="406"/>
      <c r="M891" s="406"/>
      <c r="N891" s="406"/>
      <c r="O891" s="406"/>
      <c r="P891" s="406"/>
      <c r="Q891" s="406"/>
      <c r="R891" s="406"/>
      <c r="S891" s="406"/>
      <c r="T891" s="406"/>
      <c r="U891" s="406"/>
      <c r="V891" s="406"/>
      <c r="W891" s="406"/>
      <c r="X891" s="406"/>
      <c r="Y891" s="406"/>
      <c r="Z891" s="406"/>
    </row>
    <row r="892">
      <c r="A892" s="406"/>
      <c r="B892" s="406"/>
      <c r="C892" s="406"/>
      <c r="D892" s="406"/>
      <c r="E892" s="406"/>
      <c r="F892" s="406"/>
      <c r="G892" s="407"/>
      <c r="H892" s="406"/>
      <c r="I892" s="406"/>
      <c r="J892" s="406"/>
      <c r="K892" s="406"/>
      <c r="L892" s="406"/>
      <c r="M892" s="406"/>
      <c r="N892" s="406"/>
      <c r="O892" s="406"/>
      <c r="P892" s="406"/>
      <c r="Q892" s="406"/>
      <c r="R892" s="406"/>
      <c r="S892" s="406"/>
      <c r="T892" s="406"/>
      <c r="U892" s="406"/>
      <c r="V892" s="406"/>
      <c r="W892" s="406"/>
      <c r="X892" s="406"/>
      <c r="Y892" s="406"/>
      <c r="Z892" s="406"/>
    </row>
    <row r="893">
      <c r="A893" s="406"/>
      <c r="B893" s="406"/>
      <c r="C893" s="406"/>
      <c r="D893" s="406"/>
      <c r="E893" s="406"/>
      <c r="F893" s="406"/>
      <c r="G893" s="407"/>
      <c r="H893" s="406"/>
      <c r="I893" s="406"/>
      <c r="J893" s="406"/>
      <c r="K893" s="406"/>
      <c r="L893" s="406"/>
      <c r="M893" s="406"/>
      <c r="N893" s="406"/>
      <c r="O893" s="406"/>
      <c r="P893" s="406"/>
      <c r="Q893" s="406"/>
      <c r="R893" s="406"/>
      <c r="S893" s="406"/>
      <c r="T893" s="406"/>
      <c r="U893" s="406"/>
      <c r="V893" s="406"/>
      <c r="W893" s="406"/>
      <c r="X893" s="406"/>
      <c r="Y893" s="406"/>
      <c r="Z893" s="406"/>
    </row>
    <row r="894">
      <c r="A894" s="406"/>
      <c r="B894" s="406"/>
      <c r="C894" s="406"/>
      <c r="D894" s="406"/>
      <c r="E894" s="406"/>
      <c r="F894" s="406"/>
      <c r="G894" s="407"/>
      <c r="H894" s="406"/>
      <c r="I894" s="406"/>
      <c r="J894" s="406"/>
      <c r="K894" s="406"/>
      <c r="L894" s="406"/>
      <c r="M894" s="406"/>
      <c r="N894" s="406"/>
      <c r="O894" s="406"/>
      <c r="P894" s="406"/>
      <c r="Q894" s="406"/>
      <c r="R894" s="406"/>
      <c r="S894" s="406"/>
      <c r="T894" s="406"/>
      <c r="U894" s="406"/>
      <c r="V894" s="406"/>
      <c r="W894" s="406"/>
      <c r="X894" s="406"/>
      <c r="Y894" s="406"/>
      <c r="Z894" s="406"/>
    </row>
    <row r="895">
      <c r="A895" s="406"/>
      <c r="B895" s="406"/>
      <c r="C895" s="406"/>
      <c r="D895" s="406"/>
      <c r="E895" s="406"/>
      <c r="F895" s="406"/>
      <c r="G895" s="407"/>
      <c r="H895" s="406"/>
      <c r="I895" s="406"/>
      <c r="J895" s="406"/>
      <c r="K895" s="406"/>
      <c r="L895" s="406"/>
      <c r="M895" s="406"/>
      <c r="N895" s="406"/>
      <c r="O895" s="406"/>
      <c r="P895" s="406"/>
      <c r="Q895" s="406"/>
      <c r="R895" s="406"/>
      <c r="S895" s="406"/>
      <c r="T895" s="406"/>
      <c r="U895" s="406"/>
      <c r="V895" s="406"/>
      <c r="W895" s="406"/>
      <c r="X895" s="406"/>
      <c r="Y895" s="406"/>
      <c r="Z895" s="406"/>
    </row>
    <row r="896">
      <c r="A896" s="406"/>
      <c r="B896" s="406"/>
      <c r="C896" s="406"/>
      <c r="D896" s="406"/>
      <c r="E896" s="406"/>
      <c r="F896" s="406"/>
      <c r="G896" s="407"/>
      <c r="H896" s="406"/>
      <c r="I896" s="406"/>
      <c r="J896" s="406"/>
      <c r="K896" s="406"/>
      <c r="L896" s="406"/>
      <c r="M896" s="406"/>
      <c r="N896" s="406"/>
      <c r="O896" s="406"/>
      <c r="P896" s="406"/>
      <c r="Q896" s="406"/>
      <c r="R896" s="406"/>
      <c r="S896" s="406"/>
      <c r="T896" s="406"/>
      <c r="U896" s="406"/>
      <c r="V896" s="406"/>
      <c r="W896" s="406"/>
      <c r="X896" s="406"/>
      <c r="Y896" s="406"/>
      <c r="Z896" s="406"/>
    </row>
    <row r="897">
      <c r="A897" s="406"/>
      <c r="B897" s="406"/>
      <c r="C897" s="406"/>
      <c r="D897" s="406"/>
      <c r="E897" s="406"/>
      <c r="F897" s="406"/>
      <c r="G897" s="407"/>
      <c r="H897" s="406"/>
      <c r="I897" s="406"/>
      <c r="J897" s="406"/>
      <c r="K897" s="406"/>
      <c r="L897" s="406"/>
      <c r="M897" s="406"/>
      <c r="N897" s="406"/>
      <c r="O897" s="406"/>
      <c r="P897" s="406"/>
      <c r="Q897" s="406"/>
      <c r="R897" s="406"/>
      <c r="S897" s="406"/>
      <c r="T897" s="406"/>
      <c r="U897" s="406"/>
      <c r="V897" s="406"/>
      <c r="W897" s="406"/>
      <c r="X897" s="406"/>
      <c r="Y897" s="406"/>
      <c r="Z897" s="406"/>
    </row>
    <row r="898">
      <c r="A898" s="406"/>
      <c r="B898" s="406"/>
      <c r="C898" s="406"/>
      <c r="D898" s="406"/>
      <c r="E898" s="406"/>
      <c r="F898" s="406"/>
      <c r="G898" s="407"/>
      <c r="H898" s="406"/>
      <c r="I898" s="406"/>
      <c r="J898" s="406"/>
      <c r="K898" s="406"/>
      <c r="L898" s="406"/>
      <c r="M898" s="406"/>
      <c r="N898" s="406"/>
      <c r="O898" s="406"/>
      <c r="P898" s="406"/>
      <c r="Q898" s="406"/>
      <c r="R898" s="406"/>
      <c r="S898" s="406"/>
      <c r="T898" s="406"/>
      <c r="U898" s="406"/>
      <c r="V898" s="406"/>
      <c r="W898" s="406"/>
      <c r="X898" s="406"/>
      <c r="Y898" s="406"/>
      <c r="Z898" s="406"/>
    </row>
    <row r="899">
      <c r="A899" s="406"/>
      <c r="B899" s="406"/>
      <c r="C899" s="406"/>
      <c r="D899" s="406"/>
      <c r="E899" s="406"/>
      <c r="F899" s="406"/>
      <c r="G899" s="407"/>
      <c r="H899" s="406"/>
      <c r="I899" s="406"/>
      <c r="J899" s="406"/>
      <c r="K899" s="406"/>
      <c r="L899" s="406"/>
      <c r="M899" s="406"/>
      <c r="N899" s="406"/>
      <c r="O899" s="406"/>
      <c r="P899" s="406"/>
      <c r="Q899" s="406"/>
      <c r="R899" s="406"/>
      <c r="S899" s="406"/>
      <c r="T899" s="406"/>
      <c r="U899" s="406"/>
      <c r="V899" s="406"/>
      <c r="W899" s="406"/>
      <c r="X899" s="406"/>
      <c r="Y899" s="406"/>
      <c r="Z899" s="406"/>
    </row>
    <row r="900">
      <c r="A900" s="406"/>
      <c r="B900" s="406"/>
      <c r="C900" s="406"/>
      <c r="D900" s="406"/>
      <c r="E900" s="406"/>
      <c r="F900" s="406"/>
      <c r="G900" s="407"/>
      <c r="H900" s="406"/>
      <c r="I900" s="406"/>
      <c r="J900" s="406"/>
      <c r="K900" s="406"/>
      <c r="L900" s="406"/>
      <c r="M900" s="406"/>
      <c r="N900" s="406"/>
      <c r="O900" s="406"/>
      <c r="P900" s="406"/>
      <c r="Q900" s="406"/>
      <c r="R900" s="406"/>
      <c r="S900" s="406"/>
      <c r="T900" s="406"/>
      <c r="U900" s="406"/>
      <c r="V900" s="406"/>
      <c r="W900" s="406"/>
      <c r="X900" s="406"/>
      <c r="Y900" s="406"/>
      <c r="Z900" s="406"/>
    </row>
    <row r="901">
      <c r="A901" s="406"/>
      <c r="B901" s="406"/>
      <c r="C901" s="406"/>
      <c r="D901" s="406"/>
      <c r="E901" s="406"/>
      <c r="F901" s="406"/>
      <c r="G901" s="407"/>
      <c r="H901" s="406"/>
      <c r="I901" s="406"/>
      <c r="J901" s="406"/>
      <c r="K901" s="406"/>
      <c r="L901" s="406"/>
      <c r="M901" s="406"/>
      <c r="N901" s="406"/>
      <c r="O901" s="406"/>
      <c r="P901" s="406"/>
      <c r="Q901" s="406"/>
      <c r="R901" s="406"/>
      <c r="S901" s="406"/>
      <c r="T901" s="406"/>
      <c r="U901" s="406"/>
      <c r="V901" s="406"/>
      <c r="W901" s="406"/>
      <c r="X901" s="406"/>
      <c r="Y901" s="406"/>
      <c r="Z901" s="406"/>
    </row>
    <row r="902">
      <c r="A902" s="406"/>
      <c r="B902" s="406"/>
      <c r="C902" s="406"/>
      <c r="D902" s="406"/>
      <c r="E902" s="406"/>
      <c r="F902" s="406"/>
      <c r="G902" s="407"/>
      <c r="H902" s="406"/>
      <c r="I902" s="406"/>
      <c r="J902" s="406"/>
      <c r="K902" s="406"/>
      <c r="L902" s="406"/>
      <c r="M902" s="406"/>
      <c r="N902" s="406"/>
      <c r="O902" s="406"/>
      <c r="P902" s="406"/>
      <c r="Q902" s="406"/>
      <c r="R902" s="406"/>
      <c r="S902" s="406"/>
      <c r="T902" s="406"/>
      <c r="U902" s="406"/>
      <c r="V902" s="406"/>
      <c r="W902" s="406"/>
      <c r="X902" s="406"/>
      <c r="Y902" s="406"/>
      <c r="Z902" s="406"/>
    </row>
    <row r="903">
      <c r="A903" s="406"/>
      <c r="B903" s="406"/>
      <c r="C903" s="406"/>
      <c r="D903" s="406"/>
      <c r="E903" s="406"/>
      <c r="F903" s="406"/>
      <c r="G903" s="407"/>
      <c r="H903" s="406"/>
      <c r="I903" s="406"/>
      <c r="J903" s="406"/>
      <c r="K903" s="406"/>
      <c r="L903" s="406"/>
      <c r="M903" s="406"/>
      <c r="N903" s="406"/>
      <c r="O903" s="406"/>
      <c r="P903" s="406"/>
      <c r="Q903" s="406"/>
      <c r="R903" s="406"/>
      <c r="S903" s="406"/>
      <c r="T903" s="406"/>
      <c r="U903" s="406"/>
      <c r="V903" s="406"/>
      <c r="W903" s="406"/>
      <c r="X903" s="406"/>
      <c r="Y903" s="406"/>
      <c r="Z903" s="406"/>
    </row>
    <row r="904">
      <c r="A904" s="406"/>
      <c r="B904" s="406"/>
      <c r="C904" s="406"/>
      <c r="D904" s="406"/>
      <c r="E904" s="406"/>
      <c r="F904" s="406"/>
      <c r="G904" s="407"/>
      <c r="H904" s="406"/>
      <c r="I904" s="406"/>
      <c r="J904" s="406"/>
      <c r="K904" s="406"/>
      <c r="L904" s="406"/>
      <c r="M904" s="406"/>
      <c r="N904" s="406"/>
      <c r="O904" s="406"/>
      <c r="P904" s="406"/>
      <c r="Q904" s="406"/>
      <c r="R904" s="406"/>
      <c r="S904" s="406"/>
      <c r="T904" s="406"/>
      <c r="U904" s="406"/>
      <c r="V904" s="406"/>
      <c r="W904" s="406"/>
      <c r="X904" s="406"/>
      <c r="Y904" s="406"/>
      <c r="Z904" s="406"/>
    </row>
    <row r="905">
      <c r="A905" s="406"/>
      <c r="B905" s="406"/>
      <c r="C905" s="406"/>
      <c r="D905" s="406"/>
      <c r="E905" s="406"/>
      <c r="F905" s="406"/>
      <c r="G905" s="407"/>
      <c r="H905" s="406"/>
      <c r="I905" s="406"/>
      <c r="J905" s="406"/>
      <c r="K905" s="406"/>
      <c r="L905" s="406"/>
      <c r="M905" s="406"/>
      <c r="N905" s="406"/>
      <c r="O905" s="406"/>
      <c r="P905" s="406"/>
      <c r="Q905" s="406"/>
      <c r="R905" s="406"/>
      <c r="S905" s="406"/>
      <c r="T905" s="406"/>
      <c r="U905" s="406"/>
      <c r="V905" s="406"/>
      <c r="W905" s="406"/>
      <c r="X905" s="406"/>
      <c r="Y905" s="406"/>
      <c r="Z905" s="406"/>
    </row>
    <row r="906">
      <c r="A906" s="406"/>
      <c r="B906" s="406"/>
      <c r="C906" s="406"/>
      <c r="D906" s="406"/>
      <c r="E906" s="406"/>
      <c r="F906" s="406"/>
      <c r="G906" s="407"/>
      <c r="H906" s="406"/>
      <c r="I906" s="406"/>
      <c r="J906" s="406"/>
      <c r="K906" s="406"/>
      <c r="L906" s="406"/>
      <c r="M906" s="406"/>
      <c r="N906" s="406"/>
      <c r="O906" s="406"/>
      <c r="P906" s="406"/>
      <c r="Q906" s="406"/>
      <c r="R906" s="406"/>
      <c r="S906" s="406"/>
      <c r="T906" s="406"/>
      <c r="U906" s="406"/>
      <c r="V906" s="406"/>
      <c r="W906" s="406"/>
      <c r="X906" s="406"/>
      <c r="Y906" s="406"/>
      <c r="Z906" s="406"/>
    </row>
    <row r="907">
      <c r="A907" s="406"/>
      <c r="B907" s="406"/>
      <c r="C907" s="406"/>
      <c r="D907" s="406"/>
      <c r="E907" s="406"/>
      <c r="F907" s="406"/>
      <c r="G907" s="407"/>
      <c r="H907" s="406"/>
      <c r="I907" s="406"/>
      <c r="J907" s="406"/>
      <c r="K907" s="406"/>
      <c r="L907" s="406"/>
      <c r="M907" s="406"/>
      <c r="N907" s="406"/>
      <c r="O907" s="406"/>
      <c r="P907" s="406"/>
      <c r="Q907" s="406"/>
      <c r="R907" s="406"/>
      <c r="S907" s="406"/>
      <c r="T907" s="406"/>
      <c r="U907" s="406"/>
      <c r="V907" s="406"/>
      <c r="W907" s="406"/>
      <c r="X907" s="406"/>
      <c r="Y907" s="406"/>
      <c r="Z907" s="406"/>
    </row>
    <row r="908">
      <c r="A908" s="406"/>
      <c r="B908" s="406"/>
      <c r="C908" s="406"/>
      <c r="D908" s="406"/>
      <c r="E908" s="406"/>
      <c r="F908" s="406"/>
      <c r="G908" s="407"/>
      <c r="H908" s="406"/>
      <c r="I908" s="406"/>
      <c r="J908" s="406"/>
      <c r="K908" s="406"/>
      <c r="L908" s="406"/>
      <c r="M908" s="406"/>
      <c r="N908" s="406"/>
      <c r="O908" s="406"/>
      <c r="P908" s="406"/>
      <c r="Q908" s="406"/>
      <c r="R908" s="406"/>
      <c r="S908" s="406"/>
      <c r="T908" s="406"/>
      <c r="U908" s="406"/>
      <c r="V908" s="406"/>
      <c r="W908" s="406"/>
      <c r="X908" s="406"/>
      <c r="Y908" s="406"/>
      <c r="Z908" s="406"/>
    </row>
    <row r="909">
      <c r="A909" s="406"/>
      <c r="B909" s="406"/>
      <c r="C909" s="406"/>
      <c r="D909" s="406"/>
      <c r="E909" s="406"/>
      <c r="F909" s="406"/>
      <c r="G909" s="407"/>
      <c r="H909" s="406"/>
      <c r="I909" s="406"/>
      <c r="J909" s="406"/>
      <c r="K909" s="406"/>
      <c r="L909" s="406"/>
      <c r="M909" s="406"/>
      <c r="N909" s="406"/>
      <c r="O909" s="406"/>
      <c r="P909" s="406"/>
      <c r="Q909" s="406"/>
      <c r="R909" s="406"/>
      <c r="S909" s="406"/>
      <c r="T909" s="406"/>
      <c r="U909" s="406"/>
      <c r="V909" s="406"/>
      <c r="W909" s="406"/>
      <c r="X909" s="406"/>
      <c r="Y909" s="406"/>
      <c r="Z909" s="406"/>
    </row>
    <row r="910">
      <c r="A910" s="406"/>
      <c r="B910" s="406"/>
      <c r="C910" s="406"/>
      <c r="D910" s="406"/>
      <c r="E910" s="406"/>
      <c r="F910" s="406"/>
      <c r="G910" s="407"/>
      <c r="H910" s="406"/>
      <c r="I910" s="406"/>
      <c r="J910" s="406"/>
      <c r="K910" s="406"/>
      <c r="L910" s="406"/>
      <c r="M910" s="406"/>
      <c r="N910" s="406"/>
      <c r="O910" s="406"/>
      <c r="P910" s="406"/>
      <c r="Q910" s="406"/>
      <c r="R910" s="406"/>
      <c r="S910" s="406"/>
      <c r="T910" s="406"/>
      <c r="U910" s="406"/>
      <c r="V910" s="406"/>
      <c r="W910" s="406"/>
      <c r="X910" s="406"/>
      <c r="Y910" s="406"/>
      <c r="Z910" s="406"/>
    </row>
    <row r="911">
      <c r="A911" s="406"/>
      <c r="B911" s="406"/>
      <c r="C911" s="406"/>
      <c r="D911" s="406"/>
      <c r="E911" s="406"/>
      <c r="F911" s="406"/>
      <c r="G911" s="407"/>
      <c r="H911" s="406"/>
      <c r="I911" s="406"/>
      <c r="J911" s="406"/>
      <c r="K911" s="406"/>
      <c r="L911" s="406"/>
      <c r="M911" s="406"/>
      <c r="N911" s="406"/>
      <c r="O911" s="406"/>
      <c r="P911" s="406"/>
      <c r="Q911" s="406"/>
      <c r="R911" s="406"/>
      <c r="S911" s="406"/>
      <c r="T911" s="406"/>
      <c r="U911" s="406"/>
      <c r="V911" s="406"/>
      <c r="W911" s="406"/>
      <c r="X911" s="406"/>
      <c r="Y911" s="406"/>
      <c r="Z911" s="406"/>
    </row>
    <row r="912">
      <c r="A912" s="406"/>
      <c r="B912" s="406"/>
      <c r="C912" s="406"/>
      <c r="D912" s="406"/>
      <c r="E912" s="406"/>
      <c r="F912" s="406"/>
      <c r="G912" s="407"/>
      <c r="H912" s="406"/>
      <c r="I912" s="406"/>
      <c r="J912" s="406"/>
      <c r="K912" s="406"/>
      <c r="L912" s="406"/>
      <c r="M912" s="406"/>
      <c r="N912" s="406"/>
      <c r="O912" s="406"/>
      <c r="P912" s="406"/>
      <c r="Q912" s="406"/>
      <c r="R912" s="406"/>
      <c r="S912" s="406"/>
      <c r="T912" s="406"/>
      <c r="U912" s="406"/>
      <c r="V912" s="406"/>
      <c r="W912" s="406"/>
      <c r="X912" s="406"/>
      <c r="Y912" s="406"/>
      <c r="Z912" s="406"/>
    </row>
    <row r="913">
      <c r="A913" s="406"/>
      <c r="B913" s="406"/>
      <c r="C913" s="406"/>
      <c r="D913" s="406"/>
      <c r="E913" s="406"/>
      <c r="F913" s="406"/>
      <c r="G913" s="407"/>
      <c r="H913" s="406"/>
      <c r="I913" s="406"/>
      <c r="J913" s="406"/>
      <c r="K913" s="406"/>
      <c r="L913" s="406"/>
      <c r="M913" s="406"/>
      <c r="N913" s="406"/>
      <c r="O913" s="406"/>
      <c r="P913" s="406"/>
      <c r="Q913" s="406"/>
      <c r="R913" s="406"/>
      <c r="S913" s="406"/>
      <c r="T913" s="406"/>
      <c r="U913" s="406"/>
      <c r="V913" s="406"/>
      <c r="W913" s="406"/>
      <c r="X913" s="406"/>
      <c r="Y913" s="406"/>
      <c r="Z913" s="406"/>
    </row>
    <row r="914">
      <c r="A914" s="406"/>
      <c r="B914" s="406"/>
      <c r="C914" s="406"/>
      <c r="D914" s="406"/>
      <c r="E914" s="406"/>
      <c r="F914" s="406"/>
      <c r="G914" s="407"/>
      <c r="H914" s="406"/>
      <c r="I914" s="406"/>
      <c r="J914" s="406"/>
      <c r="K914" s="406"/>
      <c r="L914" s="406"/>
      <c r="M914" s="406"/>
      <c r="N914" s="406"/>
      <c r="O914" s="406"/>
      <c r="P914" s="406"/>
      <c r="Q914" s="406"/>
      <c r="R914" s="406"/>
      <c r="S914" s="406"/>
      <c r="T914" s="406"/>
      <c r="U914" s="406"/>
      <c r="V914" s="406"/>
      <c r="W914" s="406"/>
      <c r="X914" s="406"/>
      <c r="Y914" s="406"/>
      <c r="Z914" s="406"/>
    </row>
    <row r="915">
      <c r="A915" s="406"/>
      <c r="B915" s="406"/>
      <c r="C915" s="406"/>
      <c r="D915" s="406"/>
      <c r="E915" s="406"/>
      <c r="F915" s="406"/>
      <c r="G915" s="407"/>
      <c r="H915" s="406"/>
      <c r="I915" s="406"/>
      <c r="J915" s="406"/>
      <c r="K915" s="406"/>
      <c r="L915" s="406"/>
      <c r="M915" s="406"/>
      <c r="N915" s="406"/>
      <c r="O915" s="406"/>
      <c r="P915" s="406"/>
      <c r="Q915" s="406"/>
      <c r="R915" s="406"/>
      <c r="S915" s="406"/>
      <c r="T915" s="406"/>
      <c r="U915" s="406"/>
      <c r="V915" s="406"/>
      <c r="W915" s="406"/>
      <c r="X915" s="406"/>
      <c r="Y915" s="406"/>
      <c r="Z915" s="406"/>
    </row>
    <row r="916">
      <c r="A916" s="406"/>
      <c r="B916" s="406"/>
      <c r="C916" s="406"/>
      <c r="D916" s="406"/>
      <c r="E916" s="406"/>
      <c r="F916" s="406"/>
      <c r="G916" s="407"/>
      <c r="H916" s="406"/>
      <c r="I916" s="406"/>
      <c r="J916" s="406"/>
      <c r="K916" s="406"/>
      <c r="L916" s="406"/>
      <c r="M916" s="406"/>
      <c r="N916" s="406"/>
      <c r="O916" s="406"/>
      <c r="P916" s="406"/>
      <c r="Q916" s="406"/>
      <c r="R916" s="406"/>
      <c r="S916" s="406"/>
      <c r="T916" s="406"/>
      <c r="U916" s="406"/>
      <c r="V916" s="406"/>
      <c r="W916" s="406"/>
      <c r="X916" s="406"/>
      <c r="Y916" s="406"/>
      <c r="Z916" s="406"/>
    </row>
    <row r="917">
      <c r="A917" s="406"/>
      <c r="B917" s="406"/>
      <c r="C917" s="406"/>
      <c r="D917" s="406"/>
      <c r="E917" s="406"/>
      <c r="F917" s="406"/>
      <c r="G917" s="407"/>
      <c r="H917" s="406"/>
      <c r="I917" s="406"/>
      <c r="J917" s="406"/>
      <c r="K917" s="406"/>
      <c r="L917" s="406"/>
      <c r="M917" s="406"/>
      <c r="N917" s="406"/>
      <c r="O917" s="406"/>
      <c r="P917" s="406"/>
      <c r="Q917" s="406"/>
      <c r="R917" s="406"/>
      <c r="S917" s="406"/>
      <c r="T917" s="406"/>
      <c r="U917" s="406"/>
      <c r="V917" s="406"/>
      <c r="W917" s="406"/>
      <c r="X917" s="406"/>
      <c r="Y917" s="406"/>
      <c r="Z917" s="406"/>
    </row>
    <row r="918">
      <c r="A918" s="406"/>
      <c r="B918" s="406"/>
      <c r="C918" s="406"/>
      <c r="D918" s="406"/>
      <c r="E918" s="406"/>
      <c r="F918" s="406"/>
      <c r="G918" s="407"/>
      <c r="H918" s="406"/>
      <c r="I918" s="406"/>
      <c r="J918" s="406"/>
      <c r="K918" s="406"/>
      <c r="L918" s="406"/>
      <c r="M918" s="406"/>
      <c r="N918" s="406"/>
      <c r="O918" s="406"/>
      <c r="P918" s="406"/>
      <c r="Q918" s="406"/>
      <c r="R918" s="406"/>
      <c r="S918" s="406"/>
      <c r="T918" s="406"/>
      <c r="U918" s="406"/>
      <c r="V918" s="406"/>
      <c r="W918" s="406"/>
      <c r="X918" s="406"/>
      <c r="Y918" s="406"/>
      <c r="Z918" s="406"/>
    </row>
    <row r="919">
      <c r="A919" s="406"/>
      <c r="B919" s="406"/>
      <c r="C919" s="406"/>
      <c r="D919" s="406"/>
      <c r="E919" s="406"/>
      <c r="F919" s="406"/>
      <c r="G919" s="407"/>
      <c r="H919" s="406"/>
      <c r="I919" s="406"/>
      <c r="J919" s="406"/>
      <c r="K919" s="406"/>
      <c r="L919" s="406"/>
      <c r="M919" s="406"/>
      <c r="N919" s="406"/>
      <c r="O919" s="406"/>
      <c r="P919" s="406"/>
      <c r="Q919" s="406"/>
      <c r="R919" s="406"/>
      <c r="S919" s="406"/>
      <c r="T919" s="406"/>
      <c r="U919" s="406"/>
      <c r="V919" s="406"/>
      <c r="W919" s="406"/>
      <c r="X919" s="406"/>
      <c r="Y919" s="406"/>
      <c r="Z919" s="406"/>
    </row>
    <row r="920">
      <c r="A920" s="406"/>
      <c r="B920" s="406"/>
      <c r="C920" s="406"/>
      <c r="D920" s="406"/>
      <c r="E920" s="406"/>
      <c r="F920" s="406"/>
      <c r="G920" s="407"/>
      <c r="H920" s="406"/>
      <c r="I920" s="406"/>
      <c r="J920" s="406"/>
      <c r="K920" s="406"/>
      <c r="L920" s="406"/>
      <c r="M920" s="406"/>
      <c r="N920" s="406"/>
      <c r="O920" s="406"/>
      <c r="P920" s="406"/>
      <c r="Q920" s="406"/>
      <c r="R920" s="406"/>
      <c r="S920" s="406"/>
      <c r="T920" s="406"/>
      <c r="U920" s="406"/>
      <c r="V920" s="406"/>
      <c r="W920" s="406"/>
      <c r="X920" s="406"/>
      <c r="Y920" s="406"/>
      <c r="Z920" s="406"/>
    </row>
    <row r="921">
      <c r="A921" s="406"/>
      <c r="B921" s="406"/>
      <c r="C921" s="406"/>
      <c r="D921" s="406"/>
      <c r="E921" s="406"/>
      <c r="F921" s="406"/>
      <c r="G921" s="407"/>
      <c r="H921" s="406"/>
      <c r="I921" s="406"/>
      <c r="J921" s="406"/>
      <c r="K921" s="406"/>
      <c r="L921" s="406"/>
      <c r="M921" s="406"/>
      <c r="N921" s="406"/>
      <c r="O921" s="406"/>
      <c r="P921" s="406"/>
      <c r="Q921" s="406"/>
      <c r="R921" s="406"/>
      <c r="S921" s="406"/>
      <c r="T921" s="406"/>
      <c r="U921" s="406"/>
      <c r="V921" s="406"/>
      <c r="W921" s="406"/>
      <c r="X921" s="406"/>
      <c r="Y921" s="406"/>
      <c r="Z921" s="406"/>
    </row>
    <row r="922">
      <c r="A922" s="406"/>
      <c r="B922" s="406"/>
      <c r="C922" s="406"/>
      <c r="D922" s="406"/>
      <c r="E922" s="406"/>
      <c r="F922" s="406"/>
      <c r="G922" s="407"/>
      <c r="H922" s="406"/>
      <c r="I922" s="406"/>
      <c r="J922" s="406"/>
      <c r="K922" s="406"/>
      <c r="L922" s="406"/>
      <c r="M922" s="406"/>
      <c r="N922" s="406"/>
      <c r="O922" s="406"/>
      <c r="P922" s="406"/>
      <c r="Q922" s="406"/>
      <c r="R922" s="406"/>
      <c r="S922" s="406"/>
      <c r="T922" s="406"/>
      <c r="U922" s="406"/>
      <c r="V922" s="406"/>
      <c r="W922" s="406"/>
      <c r="X922" s="406"/>
      <c r="Y922" s="406"/>
      <c r="Z922" s="406"/>
    </row>
    <row r="923">
      <c r="A923" s="406"/>
      <c r="B923" s="406"/>
      <c r="C923" s="406"/>
      <c r="D923" s="406"/>
      <c r="E923" s="406"/>
      <c r="F923" s="406"/>
      <c r="G923" s="407"/>
      <c r="H923" s="406"/>
      <c r="I923" s="406"/>
      <c r="J923" s="406"/>
      <c r="K923" s="406"/>
      <c r="L923" s="406"/>
      <c r="M923" s="406"/>
      <c r="N923" s="406"/>
      <c r="O923" s="406"/>
      <c r="P923" s="406"/>
      <c r="Q923" s="406"/>
      <c r="R923" s="406"/>
      <c r="S923" s="406"/>
      <c r="T923" s="406"/>
      <c r="U923" s="406"/>
      <c r="V923" s="406"/>
      <c r="W923" s="406"/>
      <c r="X923" s="406"/>
      <c r="Y923" s="406"/>
      <c r="Z923" s="406"/>
    </row>
    <row r="924">
      <c r="A924" s="406"/>
      <c r="B924" s="406"/>
      <c r="C924" s="406"/>
      <c r="D924" s="406"/>
      <c r="E924" s="406"/>
      <c r="F924" s="406"/>
      <c r="G924" s="407"/>
      <c r="H924" s="406"/>
      <c r="I924" s="406"/>
      <c r="J924" s="406"/>
      <c r="K924" s="406"/>
      <c r="L924" s="406"/>
      <c r="M924" s="406"/>
      <c r="N924" s="406"/>
      <c r="O924" s="406"/>
      <c r="P924" s="406"/>
      <c r="Q924" s="406"/>
      <c r="R924" s="406"/>
      <c r="S924" s="406"/>
      <c r="T924" s="406"/>
      <c r="U924" s="406"/>
      <c r="V924" s="406"/>
      <c r="W924" s="406"/>
      <c r="X924" s="406"/>
      <c r="Y924" s="406"/>
      <c r="Z924" s="406"/>
    </row>
    <row r="925">
      <c r="A925" s="406"/>
      <c r="B925" s="406"/>
      <c r="C925" s="406"/>
      <c r="D925" s="406"/>
      <c r="E925" s="406"/>
      <c r="F925" s="406"/>
      <c r="G925" s="407"/>
      <c r="H925" s="406"/>
      <c r="I925" s="406"/>
      <c r="J925" s="406"/>
      <c r="K925" s="406"/>
      <c r="L925" s="406"/>
      <c r="M925" s="406"/>
      <c r="N925" s="406"/>
      <c r="O925" s="406"/>
      <c r="P925" s="406"/>
      <c r="Q925" s="406"/>
      <c r="R925" s="406"/>
      <c r="S925" s="406"/>
      <c r="T925" s="406"/>
      <c r="U925" s="406"/>
      <c r="V925" s="406"/>
      <c r="W925" s="406"/>
      <c r="X925" s="406"/>
      <c r="Y925" s="406"/>
      <c r="Z925" s="406"/>
    </row>
    <row r="926">
      <c r="A926" s="406"/>
      <c r="B926" s="406"/>
      <c r="C926" s="406"/>
      <c r="D926" s="406"/>
      <c r="E926" s="406"/>
      <c r="F926" s="406"/>
      <c r="G926" s="407"/>
      <c r="H926" s="406"/>
      <c r="I926" s="406"/>
      <c r="J926" s="406"/>
      <c r="K926" s="406"/>
      <c r="L926" s="406"/>
      <c r="M926" s="406"/>
      <c r="N926" s="406"/>
      <c r="O926" s="406"/>
      <c r="P926" s="406"/>
      <c r="Q926" s="406"/>
      <c r="R926" s="406"/>
      <c r="S926" s="406"/>
      <c r="T926" s="406"/>
      <c r="U926" s="406"/>
      <c r="V926" s="406"/>
      <c r="W926" s="406"/>
      <c r="X926" s="406"/>
      <c r="Y926" s="406"/>
      <c r="Z926" s="406"/>
    </row>
    <row r="927">
      <c r="A927" s="406"/>
      <c r="B927" s="406"/>
      <c r="C927" s="406"/>
      <c r="D927" s="406"/>
      <c r="E927" s="406"/>
      <c r="F927" s="406"/>
      <c r="G927" s="407"/>
      <c r="H927" s="406"/>
      <c r="I927" s="406"/>
      <c r="J927" s="406"/>
      <c r="K927" s="406"/>
      <c r="L927" s="406"/>
      <c r="M927" s="406"/>
      <c r="N927" s="406"/>
      <c r="O927" s="406"/>
      <c r="P927" s="406"/>
      <c r="Q927" s="406"/>
      <c r="R927" s="406"/>
      <c r="S927" s="406"/>
      <c r="T927" s="406"/>
      <c r="U927" s="406"/>
      <c r="V927" s="406"/>
      <c r="W927" s="406"/>
      <c r="X927" s="406"/>
      <c r="Y927" s="406"/>
      <c r="Z927" s="406"/>
    </row>
    <row r="928">
      <c r="A928" s="406"/>
      <c r="B928" s="406"/>
      <c r="C928" s="406"/>
      <c r="D928" s="406"/>
      <c r="E928" s="406"/>
      <c r="F928" s="406"/>
      <c r="G928" s="407"/>
      <c r="H928" s="406"/>
      <c r="I928" s="406"/>
      <c r="J928" s="406"/>
      <c r="K928" s="406"/>
      <c r="L928" s="406"/>
      <c r="M928" s="406"/>
      <c r="N928" s="406"/>
      <c r="O928" s="406"/>
      <c r="P928" s="406"/>
      <c r="Q928" s="406"/>
      <c r="R928" s="406"/>
      <c r="S928" s="406"/>
      <c r="T928" s="406"/>
      <c r="U928" s="406"/>
      <c r="V928" s="406"/>
      <c r="W928" s="406"/>
      <c r="X928" s="406"/>
      <c r="Y928" s="406"/>
      <c r="Z928" s="406"/>
    </row>
    <row r="929">
      <c r="A929" s="406"/>
      <c r="B929" s="406"/>
      <c r="C929" s="406"/>
      <c r="D929" s="406"/>
      <c r="E929" s="406"/>
      <c r="F929" s="406"/>
      <c r="G929" s="407"/>
      <c r="H929" s="406"/>
      <c r="I929" s="406"/>
      <c r="J929" s="406"/>
      <c r="K929" s="406"/>
      <c r="L929" s="406"/>
      <c r="M929" s="406"/>
      <c r="N929" s="406"/>
      <c r="O929" s="406"/>
      <c r="P929" s="406"/>
      <c r="Q929" s="406"/>
      <c r="R929" s="406"/>
      <c r="S929" s="406"/>
      <c r="T929" s="406"/>
      <c r="U929" s="406"/>
      <c r="V929" s="406"/>
      <c r="W929" s="406"/>
      <c r="X929" s="406"/>
      <c r="Y929" s="406"/>
      <c r="Z929" s="406"/>
    </row>
    <row r="930">
      <c r="A930" s="406"/>
      <c r="B930" s="406"/>
      <c r="C930" s="406"/>
      <c r="D930" s="406"/>
      <c r="E930" s="406"/>
      <c r="F930" s="406"/>
      <c r="G930" s="407"/>
      <c r="H930" s="406"/>
      <c r="I930" s="406"/>
      <c r="J930" s="406"/>
      <c r="K930" s="406"/>
      <c r="L930" s="406"/>
      <c r="M930" s="406"/>
      <c r="N930" s="406"/>
      <c r="O930" s="406"/>
      <c r="P930" s="406"/>
      <c r="Q930" s="406"/>
      <c r="R930" s="406"/>
      <c r="S930" s="406"/>
      <c r="T930" s="406"/>
      <c r="U930" s="406"/>
      <c r="V930" s="406"/>
      <c r="W930" s="406"/>
      <c r="X930" s="406"/>
      <c r="Y930" s="406"/>
      <c r="Z930" s="406"/>
    </row>
    <row r="931">
      <c r="A931" s="406"/>
      <c r="B931" s="406"/>
      <c r="C931" s="406"/>
      <c r="D931" s="406"/>
      <c r="E931" s="406"/>
      <c r="F931" s="406"/>
      <c r="G931" s="407"/>
      <c r="H931" s="406"/>
      <c r="I931" s="406"/>
      <c r="J931" s="406"/>
      <c r="K931" s="406"/>
      <c r="L931" s="406"/>
      <c r="M931" s="406"/>
      <c r="N931" s="406"/>
      <c r="O931" s="406"/>
      <c r="P931" s="406"/>
      <c r="Q931" s="406"/>
      <c r="R931" s="406"/>
      <c r="S931" s="406"/>
      <c r="T931" s="406"/>
      <c r="U931" s="406"/>
      <c r="V931" s="406"/>
      <c r="W931" s="406"/>
      <c r="X931" s="406"/>
      <c r="Y931" s="406"/>
      <c r="Z931" s="406"/>
    </row>
    <row r="932">
      <c r="A932" s="406"/>
      <c r="B932" s="406"/>
      <c r="C932" s="406"/>
      <c r="D932" s="406"/>
      <c r="E932" s="406"/>
      <c r="F932" s="406"/>
      <c r="G932" s="407"/>
      <c r="H932" s="406"/>
      <c r="I932" s="406"/>
      <c r="J932" s="406"/>
      <c r="K932" s="406"/>
      <c r="L932" s="406"/>
      <c r="M932" s="406"/>
      <c r="N932" s="406"/>
      <c r="O932" s="406"/>
      <c r="P932" s="406"/>
      <c r="Q932" s="406"/>
      <c r="R932" s="406"/>
      <c r="S932" s="406"/>
      <c r="T932" s="406"/>
      <c r="U932" s="406"/>
      <c r="V932" s="406"/>
      <c r="W932" s="406"/>
      <c r="X932" s="406"/>
      <c r="Y932" s="406"/>
      <c r="Z932" s="406"/>
    </row>
    <row r="933">
      <c r="A933" s="406"/>
      <c r="B933" s="406"/>
      <c r="C933" s="406"/>
      <c r="D933" s="406"/>
      <c r="E933" s="406"/>
      <c r="F933" s="406"/>
      <c r="G933" s="407"/>
      <c r="H933" s="406"/>
      <c r="I933" s="406"/>
      <c r="J933" s="406"/>
      <c r="K933" s="406"/>
      <c r="L933" s="406"/>
      <c r="M933" s="406"/>
      <c r="N933" s="406"/>
      <c r="O933" s="406"/>
      <c r="P933" s="406"/>
      <c r="Q933" s="406"/>
      <c r="R933" s="406"/>
      <c r="S933" s="406"/>
      <c r="T933" s="406"/>
      <c r="U933" s="406"/>
      <c r="V933" s="406"/>
      <c r="W933" s="406"/>
      <c r="X933" s="406"/>
      <c r="Y933" s="406"/>
      <c r="Z933" s="406"/>
    </row>
    <row r="934">
      <c r="A934" s="406"/>
      <c r="B934" s="406"/>
      <c r="C934" s="406"/>
      <c r="D934" s="406"/>
      <c r="E934" s="406"/>
      <c r="F934" s="406"/>
      <c r="G934" s="407"/>
      <c r="H934" s="406"/>
      <c r="I934" s="406"/>
      <c r="J934" s="406"/>
      <c r="K934" s="406"/>
      <c r="L934" s="406"/>
      <c r="M934" s="406"/>
      <c r="N934" s="406"/>
      <c r="O934" s="406"/>
      <c r="P934" s="406"/>
      <c r="Q934" s="406"/>
      <c r="R934" s="406"/>
      <c r="S934" s="406"/>
      <c r="T934" s="406"/>
      <c r="U934" s="406"/>
      <c r="V934" s="406"/>
      <c r="W934" s="406"/>
      <c r="X934" s="406"/>
      <c r="Y934" s="406"/>
      <c r="Z934" s="406"/>
    </row>
    <row r="935">
      <c r="A935" s="406"/>
      <c r="B935" s="406"/>
      <c r="C935" s="406"/>
      <c r="D935" s="406"/>
      <c r="E935" s="406"/>
      <c r="F935" s="406"/>
      <c r="G935" s="407"/>
      <c r="H935" s="406"/>
      <c r="I935" s="406"/>
      <c r="J935" s="406"/>
      <c r="K935" s="406"/>
      <c r="L935" s="406"/>
      <c r="M935" s="406"/>
      <c r="N935" s="406"/>
      <c r="O935" s="406"/>
      <c r="P935" s="406"/>
      <c r="Q935" s="406"/>
      <c r="R935" s="406"/>
      <c r="S935" s="406"/>
      <c r="T935" s="406"/>
      <c r="U935" s="406"/>
      <c r="V935" s="406"/>
      <c r="W935" s="406"/>
      <c r="X935" s="406"/>
      <c r="Y935" s="406"/>
      <c r="Z935" s="406"/>
    </row>
    <row r="936">
      <c r="A936" s="406"/>
      <c r="B936" s="406"/>
      <c r="C936" s="406"/>
      <c r="D936" s="406"/>
      <c r="E936" s="406"/>
      <c r="F936" s="406"/>
      <c r="G936" s="407"/>
      <c r="H936" s="406"/>
      <c r="I936" s="406"/>
      <c r="J936" s="406"/>
      <c r="K936" s="406"/>
      <c r="L936" s="406"/>
      <c r="M936" s="406"/>
      <c r="N936" s="406"/>
      <c r="O936" s="406"/>
      <c r="P936" s="406"/>
      <c r="Q936" s="406"/>
      <c r="R936" s="406"/>
      <c r="S936" s="406"/>
      <c r="T936" s="406"/>
      <c r="U936" s="406"/>
      <c r="V936" s="406"/>
      <c r="W936" s="406"/>
      <c r="X936" s="406"/>
      <c r="Y936" s="406"/>
      <c r="Z936" s="406"/>
    </row>
    <row r="937">
      <c r="A937" s="406"/>
      <c r="B937" s="406"/>
      <c r="C937" s="406"/>
      <c r="D937" s="406"/>
      <c r="E937" s="406"/>
      <c r="F937" s="406"/>
      <c r="G937" s="407"/>
      <c r="H937" s="406"/>
      <c r="I937" s="406"/>
      <c r="J937" s="406"/>
      <c r="K937" s="406"/>
      <c r="L937" s="406"/>
      <c r="M937" s="406"/>
      <c r="N937" s="406"/>
      <c r="O937" s="406"/>
      <c r="P937" s="406"/>
      <c r="Q937" s="406"/>
      <c r="R937" s="406"/>
      <c r="S937" s="406"/>
      <c r="T937" s="406"/>
      <c r="U937" s="406"/>
      <c r="V937" s="406"/>
      <c r="W937" s="406"/>
      <c r="X937" s="406"/>
      <c r="Y937" s="406"/>
      <c r="Z937" s="406"/>
    </row>
    <row r="938">
      <c r="A938" s="406"/>
      <c r="B938" s="406"/>
      <c r="C938" s="406"/>
      <c r="D938" s="406"/>
      <c r="E938" s="406"/>
      <c r="F938" s="406"/>
      <c r="G938" s="407"/>
      <c r="H938" s="406"/>
      <c r="I938" s="406"/>
      <c r="J938" s="406"/>
      <c r="K938" s="406"/>
      <c r="L938" s="406"/>
      <c r="M938" s="406"/>
      <c r="N938" s="406"/>
      <c r="O938" s="406"/>
      <c r="P938" s="406"/>
      <c r="Q938" s="406"/>
      <c r="R938" s="406"/>
      <c r="S938" s="406"/>
      <c r="T938" s="406"/>
      <c r="U938" s="406"/>
      <c r="V938" s="406"/>
      <c r="W938" s="406"/>
      <c r="X938" s="406"/>
      <c r="Y938" s="406"/>
      <c r="Z938" s="406"/>
    </row>
    <row r="939">
      <c r="A939" s="406"/>
      <c r="B939" s="406"/>
      <c r="C939" s="406"/>
      <c r="D939" s="406"/>
      <c r="E939" s="406"/>
      <c r="F939" s="406"/>
      <c r="G939" s="407"/>
      <c r="H939" s="406"/>
      <c r="I939" s="406"/>
      <c r="J939" s="406"/>
      <c r="K939" s="406"/>
      <c r="L939" s="406"/>
      <c r="M939" s="406"/>
      <c r="N939" s="406"/>
      <c r="O939" s="406"/>
      <c r="P939" s="406"/>
      <c r="Q939" s="406"/>
      <c r="R939" s="406"/>
      <c r="S939" s="406"/>
      <c r="T939" s="406"/>
      <c r="U939" s="406"/>
      <c r="V939" s="406"/>
      <c r="W939" s="406"/>
      <c r="X939" s="406"/>
      <c r="Y939" s="406"/>
      <c r="Z939" s="406"/>
    </row>
    <row r="940">
      <c r="A940" s="406"/>
      <c r="B940" s="406"/>
      <c r="C940" s="406"/>
      <c r="D940" s="406"/>
      <c r="E940" s="406"/>
      <c r="F940" s="406"/>
      <c r="G940" s="407"/>
      <c r="H940" s="406"/>
      <c r="I940" s="406"/>
      <c r="J940" s="406"/>
      <c r="K940" s="406"/>
      <c r="L940" s="406"/>
      <c r="M940" s="406"/>
      <c r="N940" s="406"/>
      <c r="O940" s="406"/>
      <c r="P940" s="406"/>
      <c r="Q940" s="406"/>
      <c r="R940" s="406"/>
      <c r="S940" s="406"/>
      <c r="T940" s="406"/>
      <c r="U940" s="406"/>
      <c r="V940" s="406"/>
      <c r="W940" s="406"/>
      <c r="X940" s="406"/>
      <c r="Y940" s="406"/>
      <c r="Z940" s="406"/>
    </row>
    <row r="941">
      <c r="A941" s="406"/>
      <c r="B941" s="406"/>
      <c r="C941" s="406"/>
      <c r="D941" s="406"/>
      <c r="E941" s="406"/>
      <c r="F941" s="406"/>
      <c r="G941" s="407"/>
      <c r="H941" s="406"/>
      <c r="I941" s="406"/>
      <c r="J941" s="406"/>
      <c r="K941" s="406"/>
      <c r="L941" s="406"/>
      <c r="M941" s="406"/>
      <c r="N941" s="406"/>
      <c r="O941" s="406"/>
      <c r="P941" s="406"/>
      <c r="Q941" s="406"/>
      <c r="R941" s="406"/>
      <c r="S941" s="406"/>
      <c r="T941" s="406"/>
      <c r="U941" s="406"/>
      <c r="V941" s="406"/>
      <c r="W941" s="406"/>
      <c r="X941" s="406"/>
      <c r="Y941" s="406"/>
      <c r="Z941" s="406"/>
    </row>
    <row r="942">
      <c r="A942" s="406"/>
      <c r="B942" s="406"/>
      <c r="C942" s="406"/>
      <c r="D942" s="406"/>
      <c r="E942" s="406"/>
      <c r="F942" s="406"/>
      <c r="G942" s="407"/>
      <c r="H942" s="406"/>
      <c r="I942" s="406"/>
      <c r="J942" s="406"/>
      <c r="K942" s="406"/>
      <c r="L942" s="406"/>
      <c r="M942" s="406"/>
      <c r="N942" s="406"/>
      <c r="O942" s="406"/>
      <c r="P942" s="406"/>
      <c r="Q942" s="406"/>
      <c r="R942" s="406"/>
      <c r="S942" s="406"/>
      <c r="T942" s="406"/>
      <c r="U942" s="406"/>
      <c r="V942" s="406"/>
      <c r="W942" s="406"/>
      <c r="X942" s="406"/>
      <c r="Y942" s="406"/>
      <c r="Z942" s="406"/>
    </row>
    <row r="943">
      <c r="A943" s="406"/>
      <c r="B943" s="406"/>
      <c r="C943" s="406"/>
      <c r="D943" s="406"/>
      <c r="E943" s="406"/>
      <c r="F943" s="406"/>
      <c r="G943" s="407"/>
      <c r="H943" s="406"/>
      <c r="I943" s="406"/>
      <c r="J943" s="406"/>
      <c r="K943" s="406"/>
      <c r="L943" s="406"/>
      <c r="M943" s="406"/>
      <c r="N943" s="406"/>
      <c r="O943" s="406"/>
      <c r="P943" s="406"/>
      <c r="Q943" s="406"/>
      <c r="R943" s="406"/>
      <c r="S943" s="406"/>
      <c r="T943" s="406"/>
      <c r="U943" s="406"/>
      <c r="V943" s="406"/>
      <c r="W943" s="406"/>
      <c r="X943" s="406"/>
      <c r="Y943" s="406"/>
      <c r="Z943" s="406"/>
    </row>
    <row r="944">
      <c r="A944" s="406"/>
      <c r="B944" s="406"/>
      <c r="C944" s="406"/>
      <c r="D944" s="406"/>
      <c r="E944" s="406"/>
      <c r="F944" s="406"/>
      <c r="G944" s="407"/>
      <c r="H944" s="406"/>
      <c r="I944" s="406"/>
      <c r="J944" s="406"/>
      <c r="K944" s="406"/>
      <c r="L944" s="406"/>
      <c r="M944" s="406"/>
      <c r="N944" s="406"/>
      <c r="O944" s="406"/>
      <c r="P944" s="406"/>
      <c r="Q944" s="406"/>
      <c r="R944" s="406"/>
      <c r="S944" s="406"/>
      <c r="T944" s="406"/>
      <c r="U944" s="406"/>
      <c r="V944" s="406"/>
      <c r="W944" s="406"/>
      <c r="X944" s="406"/>
      <c r="Y944" s="406"/>
      <c r="Z944" s="406"/>
    </row>
    <row r="945">
      <c r="A945" s="406"/>
      <c r="B945" s="406"/>
      <c r="C945" s="406"/>
      <c r="D945" s="406"/>
      <c r="E945" s="406"/>
      <c r="F945" s="406"/>
      <c r="G945" s="407"/>
      <c r="H945" s="406"/>
      <c r="I945" s="406"/>
      <c r="J945" s="406"/>
      <c r="K945" s="406"/>
      <c r="L945" s="406"/>
      <c r="M945" s="406"/>
      <c r="N945" s="406"/>
      <c r="O945" s="406"/>
      <c r="P945" s="406"/>
      <c r="Q945" s="406"/>
      <c r="R945" s="406"/>
      <c r="S945" s="406"/>
      <c r="T945" s="406"/>
      <c r="U945" s="406"/>
      <c r="V945" s="406"/>
      <c r="W945" s="406"/>
      <c r="X945" s="406"/>
      <c r="Y945" s="406"/>
      <c r="Z945" s="406"/>
    </row>
    <row r="946">
      <c r="A946" s="406"/>
      <c r="B946" s="406"/>
      <c r="C946" s="406"/>
      <c r="D946" s="406"/>
      <c r="E946" s="406"/>
      <c r="F946" s="406"/>
      <c r="G946" s="407"/>
      <c r="H946" s="406"/>
      <c r="I946" s="406"/>
      <c r="J946" s="406"/>
      <c r="K946" s="406"/>
      <c r="L946" s="406"/>
      <c r="M946" s="406"/>
      <c r="N946" s="406"/>
      <c r="O946" s="406"/>
      <c r="P946" s="406"/>
      <c r="Q946" s="406"/>
      <c r="R946" s="406"/>
      <c r="S946" s="406"/>
      <c r="T946" s="406"/>
      <c r="U946" s="406"/>
      <c r="V946" s="406"/>
      <c r="W946" s="406"/>
      <c r="X946" s="406"/>
      <c r="Y946" s="406"/>
      <c r="Z946" s="406"/>
    </row>
    <row r="947">
      <c r="A947" s="406"/>
      <c r="B947" s="406"/>
      <c r="C947" s="406"/>
      <c r="D947" s="406"/>
      <c r="E947" s="406"/>
      <c r="F947" s="406"/>
      <c r="G947" s="407"/>
      <c r="H947" s="406"/>
      <c r="I947" s="406"/>
      <c r="J947" s="406"/>
      <c r="K947" s="406"/>
      <c r="L947" s="406"/>
      <c r="M947" s="406"/>
      <c r="N947" s="406"/>
      <c r="O947" s="406"/>
      <c r="P947" s="406"/>
      <c r="Q947" s="406"/>
      <c r="R947" s="406"/>
      <c r="S947" s="406"/>
      <c r="T947" s="406"/>
      <c r="U947" s="406"/>
      <c r="V947" s="406"/>
      <c r="W947" s="406"/>
      <c r="X947" s="406"/>
      <c r="Y947" s="406"/>
      <c r="Z947" s="406"/>
    </row>
    <row r="948">
      <c r="A948" s="406"/>
      <c r="B948" s="406"/>
      <c r="C948" s="406"/>
      <c r="D948" s="406"/>
      <c r="E948" s="406"/>
      <c r="F948" s="406"/>
      <c r="G948" s="407"/>
      <c r="H948" s="406"/>
      <c r="I948" s="406"/>
      <c r="J948" s="406"/>
      <c r="K948" s="406"/>
      <c r="L948" s="406"/>
      <c r="M948" s="406"/>
      <c r="N948" s="406"/>
      <c r="O948" s="406"/>
      <c r="P948" s="406"/>
      <c r="Q948" s="406"/>
      <c r="R948" s="406"/>
      <c r="S948" s="406"/>
      <c r="T948" s="406"/>
      <c r="U948" s="406"/>
      <c r="V948" s="406"/>
      <c r="W948" s="406"/>
      <c r="X948" s="406"/>
      <c r="Y948" s="406"/>
      <c r="Z948" s="406"/>
    </row>
    <row r="949">
      <c r="A949" s="406"/>
      <c r="B949" s="406"/>
      <c r="C949" s="406"/>
      <c r="D949" s="406"/>
      <c r="E949" s="406"/>
      <c r="F949" s="406"/>
      <c r="G949" s="407"/>
      <c r="H949" s="406"/>
      <c r="I949" s="406"/>
      <c r="J949" s="406"/>
      <c r="K949" s="406"/>
      <c r="L949" s="406"/>
      <c r="M949" s="406"/>
      <c r="N949" s="406"/>
      <c r="O949" s="406"/>
      <c r="P949" s="406"/>
      <c r="Q949" s="406"/>
      <c r="R949" s="406"/>
      <c r="S949" s="406"/>
      <c r="T949" s="406"/>
      <c r="U949" s="406"/>
      <c r="V949" s="406"/>
      <c r="W949" s="406"/>
      <c r="X949" s="406"/>
      <c r="Y949" s="406"/>
      <c r="Z949" s="406"/>
    </row>
    <row r="950">
      <c r="A950" s="406"/>
      <c r="B950" s="406"/>
      <c r="C950" s="406"/>
      <c r="D950" s="406"/>
      <c r="E950" s="406"/>
      <c r="F950" s="406"/>
      <c r="G950" s="407"/>
      <c r="H950" s="406"/>
      <c r="I950" s="406"/>
      <c r="J950" s="406"/>
      <c r="K950" s="406"/>
      <c r="L950" s="406"/>
      <c r="M950" s="406"/>
      <c r="N950" s="406"/>
      <c r="O950" s="406"/>
      <c r="P950" s="406"/>
      <c r="Q950" s="406"/>
      <c r="R950" s="406"/>
      <c r="S950" s="406"/>
      <c r="T950" s="406"/>
      <c r="U950" s="406"/>
      <c r="V950" s="406"/>
      <c r="W950" s="406"/>
      <c r="X950" s="406"/>
      <c r="Y950" s="406"/>
      <c r="Z950" s="406"/>
    </row>
    <row r="951">
      <c r="A951" s="406"/>
      <c r="B951" s="406"/>
      <c r="C951" s="406"/>
      <c r="D951" s="406"/>
      <c r="E951" s="406"/>
      <c r="F951" s="406"/>
      <c r="G951" s="407"/>
      <c r="H951" s="406"/>
      <c r="I951" s="406"/>
      <c r="J951" s="406"/>
      <c r="K951" s="406"/>
      <c r="L951" s="406"/>
      <c r="M951" s="406"/>
      <c r="N951" s="406"/>
      <c r="O951" s="406"/>
      <c r="P951" s="406"/>
      <c r="Q951" s="406"/>
      <c r="R951" s="406"/>
      <c r="S951" s="406"/>
      <c r="T951" s="406"/>
      <c r="U951" s="406"/>
      <c r="V951" s="406"/>
      <c r="W951" s="406"/>
      <c r="X951" s="406"/>
      <c r="Y951" s="406"/>
      <c r="Z951" s="406"/>
    </row>
    <row r="952">
      <c r="A952" s="406"/>
      <c r="B952" s="406"/>
      <c r="C952" s="406"/>
      <c r="D952" s="406"/>
      <c r="E952" s="406"/>
      <c r="F952" s="406"/>
      <c r="G952" s="407"/>
      <c r="H952" s="406"/>
      <c r="I952" s="406"/>
      <c r="J952" s="406"/>
      <c r="K952" s="406"/>
      <c r="L952" s="406"/>
      <c r="M952" s="406"/>
      <c r="N952" s="406"/>
      <c r="O952" s="406"/>
      <c r="P952" s="406"/>
      <c r="Q952" s="406"/>
      <c r="R952" s="406"/>
      <c r="S952" s="406"/>
      <c r="T952" s="406"/>
      <c r="U952" s="406"/>
      <c r="V952" s="406"/>
      <c r="W952" s="406"/>
      <c r="X952" s="406"/>
      <c r="Y952" s="406"/>
      <c r="Z952" s="406"/>
    </row>
    <row r="953">
      <c r="A953" s="406"/>
      <c r="B953" s="406"/>
      <c r="C953" s="406"/>
      <c r="D953" s="406"/>
      <c r="E953" s="406"/>
      <c r="F953" s="406"/>
      <c r="G953" s="407"/>
      <c r="H953" s="406"/>
      <c r="I953" s="406"/>
      <c r="J953" s="406"/>
      <c r="K953" s="406"/>
      <c r="L953" s="406"/>
      <c r="M953" s="406"/>
      <c r="N953" s="406"/>
      <c r="O953" s="406"/>
      <c r="P953" s="406"/>
      <c r="Q953" s="406"/>
      <c r="R953" s="406"/>
      <c r="S953" s="406"/>
      <c r="T953" s="406"/>
      <c r="U953" s="406"/>
      <c r="V953" s="406"/>
      <c r="W953" s="406"/>
      <c r="X953" s="406"/>
      <c r="Y953" s="406"/>
      <c r="Z953" s="406"/>
    </row>
    <row r="954">
      <c r="A954" s="406"/>
      <c r="B954" s="406"/>
      <c r="C954" s="406"/>
      <c r="D954" s="406"/>
      <c r="E954" s="406"/>
      <c r="F954" s="406"/>
      <c r="G954" s="407"/>
      <c r="H954" s="406"/>
      <c r="I954" s="406"/>
      <c r="J954" s="406"/>
      <c r="K954" s="406"/>
      <c r="L954" s="406"/>
      <c r="M954" s="406"/>
      <c r="N954" s="406"/>
      <c r="O954" s="406"/>
      <c r="P954" s="406"/>
      <c r="Q954" s="406"/>
      <c r="R954" s="406"/>
      <c r="S954" s="406"/>
      <c r="T954" s="406"/>
      <c r="U954" s="406"/>
      <c r="V954" s="406"/>
      <c r="W954" s="406"/>
      <c r="X954" s="406"/>
      <c r="Y954" s="406"/>
      <c r="Z954" s="406"/>
    </row>
    <row r="955">
      <c r="A955" s="406"/>
      <c r="B955" s="406"/>
      <c r="C955" s="406"/>
      <c r="D955" s="406"/>
      <c r="E955" s="406"/>
      <c r="F955" s="406"/>
      <c r="G955" s="407"/>
      <c r="H955" s="406"/>
      <c r="I955" s="406"/>
      <c r="J955" s="406"/>
      <c r="K955" s="406"/>
      <c r="L955" s="406"/>
      <c r="M955" s="406"/>
      <c r="N955" s="406"/>
      <c r="O955" s="406"/>
      <c r="P955" s="406"/>
      <c r="Q955" s="406"/>
      <c r="R955" s="406"/>
      <c r="S955" s="406"/>
      <c r="T955" s="406"/>
      <c r="U955" s="406"/>
      <c r="V955" s="406"/>
      <c r="W955" s="406"/>
      <c r="X955" s="406"/>
      <c r="Y955" s="406"/>
      <c r="Z955" s="406"/>
    </row>
    <row r="956">
      <c r="A956" s="406"/>
      <c r="B956" s="406"/>
      <c r="C956" s="406"/>
      <c r="D956" s="406"/>
      <c r="E956" s="406"/>
      <c r="F956" s="406"/>
      <c r="G956" s="407"/>
      <c r="H956" s="406"/>
      <c r="I956" s="406"/>
      <c r="J956" s="406"/>
      <c r="K956" s="406"/>
      <c r="L956" s="406"/>
      <c r="M956" s="406"/>
      <c r="N956" s="406"/>
      <c r="O956" s="406"/>
      <c r="P956" s="406"/>
      <c r="Q956" s="406"/>
      <c r="R956" s="406"/>
      <c r="S956" s="406"/>
      <c r="T956" s="406"/>
      <c r="U956" s="406"/>
      <c r="V956" s="406"/>
      <c r="W956" s="406"/>
      <c r="X956" s="406"/>
      <c r="Y956" s="406"/>
      <c r="Z956" s="406"/>
    </row>
    <row r="957">
      <c r="A957" s="406"/>
      <c r="B957" s="406"/>
      <c r="C957" s="406"/>
      <c r="D957" s="406"/>
      <c r="E957" s="406"/>
      <c r="F957" s="406"/>
      <c r="G957" s="407"/>
      <c r="H957" s="406"/>
      <c r="I957" s="406"/>
      <c r="J957" s="406"/>
      <c r="K957" s="406"/>
      <c r="L957" s="406"/>
      <c r="M957" s="406"/>
      <c r="N957" s="406"/>
      <c r="O957" s="406"/>
      <c r="P957" s="406"/>
      <c r="Q957" s="406"/>
      <c r="R957" s="406"/>
      <c r="S957" s="406"/>
      <c r="T957" s="406"/>
      <c r="U957" s="406"/>
      <c r="V957" s="406"/>
      <c r="W957" s="406"/>
      <c r="X957" s="406"/>
      <c r="Y957" s="406"/>
      <c r="Z957" s="406"/>
    </row>
    <row r="958">
      <c r="A958" s="406"/>
      <c r="B958" s="406"/>
      <c r="C958" s="406"/>
      <c r="D958" s="406"/>
      <c r="E958" s="406"/>
      <c r="F958" s="406"/>
      <c r="G958" s="407"/>
      <c r="H958" s="406"/>
      <c r="I958" s="406"/>
      <c r="J958" s="406"/>
      <c r="K958" s="406"/>
      <c r="L958" s="406"/>
      <c r="M958" s="406"/>
      <c r="N958" s="406"/>
      <c r="O958" s="406"/>
      <c r="P958" s="406"/>
      <c r="Q958" s="406"/>
      <c r="R958" s="406"/>
      <c r="S958" s="406"/>
      <c r="T958" s="406"/>
      <c r="U958" s="406"/>
      <c r="V958" s="406"/>
      <c r="W958" s="406"/>
      <c r="X958" s="406"/>
      <c r="Y958" s="406"/>
      <c r="Z958" s="406"/>
    </row>
    <row r="959">
      <c r="A959" s="406"/>
      <c r="B959" s="406"/>
      <c r="C959" s="406"/>
      <c r="D959" s="406"/>
      <c r="E959" s="406"/>
      <c r="F959" s="406"/>
      <c r="G959" s="407"/>
      <c r="H959" s="406"/>
      <c r="I959" s="406"/>
      <c r="J959" s="406"/>
      <c r="K959" s="406"/>
      <c r="L959" s="406"/>
      <c r="M959" s="406"/>
      <c r="N959" s="406"/>
      <c r="O959" s="406"/>
      <c r="P959" s="406"/>
      <c r="Q959" s="406"/>
      <c r="R959" s="406"/>
      <c r="S959" s="406"/>
      <c r="T959" s="406"/>
      <c r="U959" s="406"/>
      <c r="V959" s="406"/>
      <c r="W959" s="406"/>
      <c r="X959" s="406"/>
      <c r="Y959" s="406"/>
      <c r="Z959" s="406"/>
    </row>
    <row r="960">
      <c r="A960" s="406"/>
      <c r="B960" s="406"/>
      <c r="C960" s="406"/>
      <c r="D960" s="406"/>
      <c r="E960" s="406"/>
      <c r="F960" s="406"/>
      <c r="G960" s="407"/>
      <c r="H960" s="406"/>
      <c r="I960" s="406"/>
      <c r="J960" s="406"/>
      <c r="K960" s="406"/>
      <c r="L960" s="406"/>
      <c r="M960" s="406"/>
      <c r="N960" s="406"/>
      <c r="O960" s="406"/>
      <c r="P960" s="406"/>
      <c r="Q960" s="406"/>
      <c r="R960" s="406"/>
      <c r="S960" s="406"/>
      <c r="T960" s="406"/>
      <c r="U960" s="406"/>
      <c r="V960" s="406"/>
      <c r="W960" s="406"/>
      <c r="X960" s="406"/>
      <c r="Y960" s="406"/>
      <c r="Z960" s="406"/>
    </row>
    <row r="961">
      <c r="A961" s="406"/>
      <c r="B961" s="406"/>
      <c r="C961" s="406"/>
      <c r="D961" s="406"/>
      <c r="E961" s="406"/>
      <c r="F961" s="406"/>
      <c r="G961" s="407"/>
      <c r="H961" s="406"/>
      <c r="I961" s="406"/>
      <c r="J961" s="406"/>
      <c r="K961" s="406"/>
      <c r="L961" s="406"/>
      <c r="M961" s="406"/>
      <c r="N961" s="406"/>
      <c r="O961" s="406"/>
      <c r="P961" s="406"/>
      <c r="Q961" s="406"/>
      <c r="R961" s="406"/>
      <c r="S961" s="406"/>
      <c r="T961" s="406"/>
      <c r="U961" s="406"/>
      <c r="V961" s="406"/>
      <c r="W961" s="406"/>
      <c r="X961" s="406"/>
      <c r="Y961" s="406"/>
      <c r="Z961" s="406"/>
    </row>
    <row r="962">
      <c r="A962" s="406"/>
      <c r="B962" s="406"/>
      <c r="C962" s="406"/>
      <c r="D962" s="406"/>
      <c r="E962" s="406"/>
      <c r="F962" s="406"/>
      <c r="G962" s="407"/>
      <c r="H962" s="406"/>
      <c r="I962" s="406"/>
      <c r="J962" s="406"/>
      <c r="K962" s="406"/>
      <c r="L962" s="406"/>
      <c r="M962" s="406"/>
      <c r="N962" s="406"/>
      <c r="O962" s="406"/>
      <c r="P962" s="406"/>
      <c r="Q962" s="406"/>
      <c r="R962" s="406"/>
      <c r="S962" s="406"/>
      <c r="T962" s="406"/>
      <c r="U962" s="406"/>
      <c r="V962" s="406"/>
      <c r="W962" s="406"/>
      <c r="X962" s="406"/>
      <c r="Y962" s="406"/>
      <c r="Z962" s="406"/>
    </row>
    <row r="963">
      <c r="A963" s="406"/>
      <c r="B963" s="406"/>
      <c r="C963" s="406"/>
      <c r="D963" s="406"/>
      <c r="E963" s="406"/>
      <c r="F963" s="406"/>
      <c r="G963" s="407"/>
      <c r="H963" s="406"/>
      <c r="I963" s="406"/>
      <c r="J963" s="406"/>
      <c r="K963" s="406"/>
      <c r="L963" s="406"/>
      <c r="M963" s="406"/>
      <c r="N963" s="406"/>
      <c r="O963" s="406"/>
      <c r="P963" s="406"/>
      <c r="Q963" s="406"/>
      <c r="R963" s="406"/>
      <c r="S963" s="406"/>
      <c r="T963" s="406"/>
      <c r="U963" s="406"/>
      <c r="V963" s="406"/>
      <c r="W963" s="406"/>
      <c r="X963" s="406"/>
      <c r="Y963" s="406"/>
      <c r="Z963" s="406"/>
    </row>
    <row r="964">
      <c r="A964" s="406"/>
      <c r="B964" s="406"/>
      <c r="C964" s="406"/>
      <c r="D964" s="406"/>
      <c r="E964" s="406"/>
      <c r="F964" s="406"/>
      <c r="G964" s="407"/>
      <c r="H964" s="406"/>
      <c r="I964" s="406"/>
      <c r="J964" s="406"/>
      <c r="K964" s="406"/>
      <c r="L964" s="406"/>
      <c r="M964" s="406"/>
      <c r="N964" s="406"/>
      <c r="O964" s="406"/>
      <c r="P964" s="406"/>
      <c r="Q964" s="406"/>
      <c r="R964" s="406"/>
      <c r="S964" s="406"/>
      <c r="T964" s="406"/>
      <c r="U964" s="406"/>
      <c r="V964" s="406"/>
      <c r="W964" s="406"/>
      <c r="X964" s="406"/>
      <c r="Y964" s="406"/>
      <c r="Z964" s="406"/>
    </row>
    <row r="965">
      <c r="A965" s="406"/>
      <c r="B965" s="406"/>
      <c r="C965" s="406"/>
      <c r="D965" s="406"/>
      <c r="E965" s="406"/>
      <c r="F965" s="406"/>
      <c r="G965" s="407"/>
      <c r="H965" s="406"/>
      <c r="I965" s="406"/>
      <c r="J965" s="406"/>
      <c r="K965" s="406"/>
      <c r="L965" s="406"/>
      <c r="M965" s="406"/>
      <c r="N965" s="406"/>
      <c r="O965" s="406"/>
      <c r="P965" s="406"/>
      <c r="Q965" s="406"/>
      <c r="R965" s="406"/>
      <c r="S965" s="406"/>
      <c r="T965" s="406"/>
      <c r="U965" s="406"/>
      <c r="V965" s="406"/>
      <c r="W965" s="406"/>
      <c r="X965" s="406"/>
      <c r="Y965" s="406"/>
      <c r="Z965" s="406"/>
    </row>
    <row r="966">
      <c r="A966" s="406"/>
      <c r="B966" s="406"/>
      <c r="C966" s="406"/>
      <c r="D966" s="406"/>
      <c r="E966" s="406"/>
      <c r="F966" s="406"/>
      <c r="G966" s="407"/>
      <c r="H966" s="406"/>
      <c r="I966" s="406"/>
      <c r="J966" s="406"/>
      <c r="K966" s="406"/>
      <c r="L966" s="406"/>
      <c r="M966" s="406"/>
      <c r="N966" s="406"/>
      <c r="O966" s="406"/>
      <c r="P966" s="406"/>
      <c r="Q966" s="406"/>
      <c r="R966" s="406"/>
      <c r="S966" s="406"/>
      <c r="T966" s="406"/>
      <c r="U966" s="406"/>
      <c r="V966" s="406"/>
      <c r="W966" s="406"/>
      <c r="X966" s="406"/>
      <c r="Y966" s="406"/>
      <c r="Z966" s="406"/>
    </row>
    <row r="967">
      <c r="A967" s="406"/>
      <c r="B967" s="406"/>
      <c r="C967" s="406"/>
      <c r="D967" s="406"/>
      <c r="E967" s="406"/>
      <c r="F967" s="406"/>
      <c r="G967" s="407"/>
      <c r="H967" s="406"/>
      <c r="I967" s="406"/>
      <c r="J967" s="406"/>
      <c r="K967" s="406"/>
      <c r="L967" s="406"/>
      <c r="M967" s="406"/>
      <c r="N967" s="406"/>
      <c r="O967" s="406"/>
      <c r="P967" s="406"/>
      <c r="Q967" s="406"/>
      <c r="R967" s="406"/>
      <c r="S967" s="406"/>
      <c r="T967" s="406"/>
      <c r="U967" s="406"/>
      <c r="V967" s="406"/>
      <c r="W967" s="406"/>
      <c r="X967" s="406"/>
      <c r="Y967" s="406"/>
      <c r="Z967" s="406"/>
    </row>
    <row r="968">
      <c r="A968" s="406"/>
      <c r="B968" s="406"/>
      <c r="C968" s="406"/>
      <c r="D968" s="406"/>
      <c r="E968" s="406"/>
      <c r="F968" s="406"/>
      <c r="G968" s="407"/>
      <c r="H968" s="406"/>
      <c r="I968" s="406"/>
      <c r="J968" s="406"/>
      <c r="K968" s="406"/>
      <c r="L968" s="406"/>
      <c r="M968" s="406"/>
      <c r="N968" s="406"/>
      <c r="O968" s="406"/>
      <c r="P968" s="406"/>
      <c r="Q968" s="406"/>
      <c r="R968" s="406"/>
      <c r="S968" s="406"/>
      <c r="T968" s="406"/>
      <c r="U968" s="406"/>
      <c r="V968" s="406"/>
      <c r="W968" s="406"/>
      <c r="X968" s="406"/>
      <c r="Y968" s="406"/>
      <c r="Z968" s="406"/>
    </row>
    <row r="969">
      <c r="A969" s="406"/>
      <c r="B969" s="406"/>
      <c r="C969" s="406"/>
      <c r="D969" s="406"/>
      <c r="E969" s="406"/>
      <c r="F969" s="406"/>
      <c r="G969" s="407"/>
      <c r="H969" s="406"/>
      <c r="I969" s="406"/>
      <c r="J969" s="406"/>
      <c r="K969" s="406"/>
      <c r="L969" s="406"/>
      <c r="M969" s="406"/>
      <c r="N969" s="406"/>
      <c r="O969" s="406"/>
      <c r="P969" s="406"/>
      <c r="Q969" s="406"/>
      <c r="R969" s="406"/>
      <c r="S969" s="406"/>
      <c r="T969" s="406"/>
      <c r="U969" s="406"/>
      <c r="V969" s="406"/>
      <c r="W969" s="406"/>
      <c r="X969" s="406"/>
      <c r="Y969" s="406"/>
      <c r="Z969" s="406"/>
    </row>
    <row r="970">
      <c r="A970" s="406"/>
      <c r="B970" s="406"/>
      <c r="C970" s="406"/>
      <c r="D970" s="406"/>
      <c r="E970" s="406"/>
      <c r="F970" s="406"/>
      <c r="G970" s="407"/>
      <c r="H970" s="406"/>
      <c r="I970" s="406"/>
      <c r="J970" s="406"/>
      <c r="K970" s="406"/>
      <c r="L970" s="406"/>
      <c r="M970" s="406"/>
      <c r="N970" s="406"/>
      <c r="O970" s="406"/>
      <c r="P970" s="406"/>
      <c r="Q970" s="406"/>
      <c r="R970" s="406"/>
      <c r="S970" s="406"/>
      <c r="T970" s="406"/>
      <c r="U970" s="406"/>
      <c r="V970" s="406"/>
      <c r="W970" s="406"/>
      <c r="X970" s="406"/>
      <c r="Y970" s="406"/>
      <c r="Z970" s="406"/>
    </row>
    <row r="971">
      <c r="A971" s="406"/>
      <c r="B971" s="406"/>
      <c r="C971" s="406"/>
      <c r="D971" s="406"/>
      <c r="E971" s="406"/>
      <c r="F971" s="406"/>
      <c r="G971" s="407"/>
      <c r="H971" s="406"/>
      <c r="I971" s="406"/>
      <c r="J971" s="406"/>
      <c r="K971" s="406"/>
      <c r="L971" s="406"/>
      <c r="M971" s="406"/>
      <c r="N971" s="406"/>
      <c r="O971" s="406"/>
      <c r="P971" s="406"/>
      <c r="Q971" s="406"/>
      <c r="R971" s="406"/>
      <c r="S971" s="406"/>
      <c r="T971" s="406"/>
      <c r="U971" s="406"/>
      <c r="V971" s="406"/>
      <c r="W971" s="406"/>
      <c r="X971" s="406"/>
      <c r="Y971" s="406"/>
      <c r="Z971" s="406"/>
    </row>
    <row r="972">
      <c r="A972" s="406"/>
      <c r="B972" s="406"/>
      <c r="C972" s="406"/>
      <c r="D972" s="406"/>
      <c r="E972" s="406"/>
      <c r="F972" s="406"/>
      <c r="G972" s="407"/>
      <c r="H972" s="406"/>
      <c r="I972" s="406"/>
      <c r="J972" s="406"/>
      <c r="K972" s="406"/>
      <c r="L972" s="406"/>
      <c r="M972" s="406"/>
      <c r="N972" s="406"/>
      <c r="O972" s="406"/>
      <c r="P972" s="406"/>
      <c r="Q972" s="406"/>
      <c r="R972" s="406"/>
      <c r="S972" s="406"/>
      <c r="T972" s="406"/>
      <c r="U972" s="406"/>
      <c r="V972" s="406"/>
      <c r="W972" s="406"/>
      <c r="X972" s="406"/>
      <c r="Y972" s="406"/>
      <c r="Z972" s="406"/>
    </row>
    <row r="973">
      <c r="A973" s="406"/>
      <c r="B973" s="406"/>
      <c r="C973" s="406"/>
      <c r="D973" s="406"/>
      <c r="E973" s="406"/>
      <c r="F973" s="406"/>
      <c r="G973" s="407"/>
      <c r="H973" s="406"/>
      <c r="I973" s="406"/>
      <c r="J973" s="406"/>
      <c r="K973" s="406"/>
      <c r="L973" s="406"/>
      <c r="M973" s="406"/>
      <c r="N973" s="406"/>
      <c r="O973" s="406"/>
      <c r="P973" s="406"/>
      <c r="Q973" s="406"/>
      <c r="R973" s="406"/>
      <c r="S973" s="406"/>
      <c r="T973" s="406"/>
      <c r="U973" s="406"/>
      <c r="V973" s="406"/>
      <c r="W973" s="406"/>
      <c r="X973" s="406"/>
      <c r="Y973" s="406"/>
      <c r="Z973" s="406"/>
    </row>
    <row r="974">
      <c r="A974" s="406"/>
      <c r="B974" s="406"/>
      <c r="C974" s="406"/>
      <c r="D974" s="406"/>
      <c r="E974" s="406"/>
      <c r="F974" s="406"/>
      <c r="G974" s="407"/>
      <c r="H974" s="406"/>
      <c r="I974" s="406"/>
      <c r="J974" s="406"/>
      <c r="K974" s="406"/>
      <c r="L974" s="406"/>
      <c r="M974" s="406"/>
      <c r="N974" s="406"/>
      <c r="O974" s="406"/>
      <c r="P974" s="406"/>
      <c r="Q974" s="406"/>
      <c r="R974" s="406"/>
      <c r="S974" s="406"/>
      <c r="T974" s="406"/>
      <c r="U974" s="406"/>
      <c r="V974" s="406"/>
      <c r="W974" s="406"/>
      <c r="X974" s="406"/>
      <c r="Y974" s="406"/>
      <c r="Z974" s="406"/>
    </row>
    <row r="975">
      <c r="A975" s="406"/>
      <c r="B975" s="406"/>
      <c r="C975" s="406"/>
      <c r="D975" s="406"/>
      <c r="E975" s="406"/>
      <c r="F975" s="406"/>
      <c r="G975" s="407"/>
      <c r="H975" s="406"/>
      <c r="I975" s="406"/>
      <c r="J975" s="406"/>
      <c r="K975" s="406"/>
      <c r="L975" s="406"/>
      <c r="M975" s="406"/>
      <c r="N975" s="406"/>
      <c r="O975" s="406"/>
      <c r="P975" s="406"/>
      <c r="Q975" s="406"/>
      <c r="R975" s="406"/>
      <c r="S975" s="406"/>
      <c r="T975" s="406"/>
      <c r="U975" s="406"/>
      <c r="V975" s="406"/>
      <c r="W975" s="406"/>
      <c r="X975" s="406"/>
      <c r="Y975" s="406"/>
      <c r="Z975" s="406"/>
    </row>
    <row r="976">
      <c r="A976" s="406"/>
      <c r="B976" s="406"/>
      <c r="C976" s="406"/>
      <c r="D976" s="406"/>
      <c r="E976" s="406"/>
      <c r="F976" s="406"/>
      <c r="G976" s="407"/>
      <c r="H976" s="406"/>
      <c r="I976" s="406"/>
      <c r="J976" s="406"/>
      <c r="K976" s="406"/>
      <c r="L976" s="406"/>
      <c r="M976" s="406"/>
      <c r="N976" s="406"/>
      <c r="O976" s="406"/>
      <c r="P976" s="406"/>
      <c r="Q976" s="406"/>
      <c r="R976" s="406"/>
      <c r="S976" s="406"/>
      <c r="T976" s="406"/>
      <c r="U976" s="406"/>
      <c r="V976" s="406"/>
      <c r="W976" s="406"/>
      <c r="X976" s="406"/>
      <c r="Y976" s="406"/>
      <c r="Z976" s="406"/>
    </row>
    <row r="977">
      <c r="A977" s="406"/>
      <c r="B977" s="406"/>
      <c r="C977" s="406"/>
      <c r="D977" s="406"/>
      <c r="E977" s="406"/>
      <c r="F977" s="406"/>
      <c r="G977" s="407"/>
      <c r="H977" s="406"/>
      <c r="I977" s="406"/>
      <c r="J977" s="406"/>
      <c r="K977" s="406"/>
      <c r="L977" s="406"/>
      <c r="M977" s="406"/>
      <c r="N977" s="406"/>
      <c r="O977" s="406"/>
      <c r="P977" s="406"/>
      <c r="Q977" s="406"/>
      <c r="R977" s="406"/>
      <c r="S977" s="406"/>
      <c r="T977" s="406"/>
      <c r="U977" s="406"/>
      <c r="V977" s="406"/>
      <c r="W977" s="406"/>
      <c r="X977" s="406"/>
      <c r="Y977" s="406"/>
      <c r="Z977" s="406"/>
    </row>
    <row r="978">
      <c r="A978" s="406"/>
      <c r="B978" s="406"/>
      <c r="C978" s="406"/>
      <c r="D978" s="406"/>
      <c r="E978" s="406"/>
      <c r="F978" s="406"/>
      <c r="G978" s="407"/>
      <c r="H978" s="406"/>
      <c r="I978" s="406"/>
      <c r="J978" s="406"/>
      <c r="K978" s="406"/>
      <c r="L978" s="406"/>
      <c r="M978" s="406"/>
      <c r="N978" s="406"/>
      <c r="O978" s="406"/>
      <c r="P978" s="406"/>
      <c r="Q978" s="406"/>
      <c r="R978" s="406"/>
      <c r="S978" s="406"/>
      <c r="T978" s="406"/>
      <c r="U978" s="406"/>
      <c r="V978" s="406"/>
      <c r="W978" s="406"/>
      <c r="X978" s="406"/>
      <c r="Y978" s="406"/>
      <c r="Z978" s="406"/>
    </row>
    <row r="979">
      <c r="A979" s="406"/>
      <c r="B979" s="406"/>
      <c r="C979" s="406"/>
      <c r="D979" s="406"/>
      <c r="E979" s="406"/>
      <c r="F979" s="406"/>
      <c r="G979" s="407"/>
      <c r="H979" s="406"/>
      <c r="I979" s="406"/>
      <c r="J979" s="406"/>
      <c r="K979" s="406"/>
      <c r="L979" s="406"/>
      <c r="M979" s="406"/>
      <c r="N979" s="406"/>
      <c r="O979" s="406"/>
      <c r="P979" s="406"/>
      <c r="Q979" s="406"/>
      <c r="R979" s="406"/>
      <c r="S979" s="406"/>
      <c r="T979" s="406"/>
      <c r="U979" s="406"/>
      <c r="V979" s="406"/>
      <c r="W979" s="406"/>
      <c r="X979" s="406"/>
      <c r="Y979" s="406"/>
      <c r="Z979" s="406"/>
    </row>
    <row r="980">
      <c r="A980" s="406"/>
      <c r="B980" s="406"/>
      <c r="C980" s="406"/>
      <c r="D980" s="406"/>
      <c r="E980" s="406"/>
      <c r="F980" s="406"/>
      <c r="G980" s="407"/>
      <c r="H980" s="406"/>
      <c r="I980" s="406"/>
      <c r="J980" s="406"/>
      <c r="K980" s="406"/>
      <c r="L980" s="406"/>
      <c r="M980" s="406"/>
      <c r="N980" s="406"/>
      <c r="O980" s="406"/>
      <c r="P980" s="406"/>
      <c r="Q980" s="406"/>
      <c r="R980" s="406"/>
      <c r="S980" s="406"/>
      <c r="T980" s="406"/>
      <c r="U980" s="406"/>
      <c r="V980" s="406"/>
      <c r="W980" s="406"/>
      <c r="X980" s="406"/>
      <c r="Y980" s="406"/>
      <c r="Z980" s="406"/>
    </row>
    <row r="981">
      <c r="A981" s="406"/>
      <c r="B981" s="406"/>
      <c r="C981" s="406"/>
      <c r="D981" s="406"/>
      <c r="E981" s="406"/>
      <c r="F981" s="406"/>
      <c r="G981" s="407"/>
      <c r="H981" s="406"/>
      <c r="I981" s="406"/>
      <c r="J981" s="406"/>
      <c r="K981" s="406"/>
      <c r="L981" s="406"/>
      <c r="M981" s="406"/>
      <c r="N981" s="406"/>
      <c r="O981" s="406"/>
      <c r="P981" s="406"/>
      <c r="Q981" s="406"/>
      <c r="R981" s="406"/>
      <c r="S981" s="406"/>
      <c r="T981" s="406"/>
      <c r="U981" s="406"/>
      <c r="V981" s="406"/>
      <c r="W981" s="406"/>
      <c r="X981" s="406"/>
      <c r="Y981" s="406"/>
      <c r="Z981" s="406"/>
    </row>
    <row r="982">
      <c r="A982" s="406"/>
      <c r="B982" s="406"/>
      <c r="C982" s="406"/>
      <c r="D982" s="406"/>
      <c r="E982" s="406"/>
      <c r="F982" s="406"/>
      <c r="G982" s="407"/>
      <c r="H982" s="406"/>
      <c r="I982" s="406"/>
      <c r="J982" s="406"/>
      <c r="K982" s="406"/>
      <c r="L982" s="406"/>
      <c r="M982" s="406"/>
      <c r="N982" s="406"/>
      <c r="O982" s="406"/>
      <c r="P982" s="406"/>
      <c r="Q982" s="406"/>
      <c r="R982" s="406"/>
      <c r="S982" s="406"/>
      <c r="T982" s="406"/>
      <c r="U982" s="406"/>
      <c r="V982" s="406"/>
      <c r="W982" s="406"/>
      <c r="X982" s="406"/>
      <c r="Y982" s="406"/>
      <c r="Z982" s="406"/>
    </row>
    <row r="983">
      <c r="A983" s="406"/>
      <c r="B983" s="406"/>
      <c r="C983" s="406"/>
      <c r="D983" s="406"/>
      <c r="E983" s="406"/>
      <c r="F983" s="406"/>
      <c r="G983" s="407"/>
      <c r="H983" s="406"/>
      <c r="I983" s="406"/>
      <c r="J983" s="406"/>
      <c r="K983" s="406"/>
      <c r="L983" s="406"/>
      <c r="M983" s="406"/>
      <c r="N983" s="406"/>
      <c r="O983" s="406"/>
      <c r="P983" s="406"/>
      <c r="Q983" s="406"/>
      <c r="R983" s="406"/>
      <c r="S983" s="406"/>
      <c r="T983" s="406"/>
      <c r="U983" s="406"/>
      <c r="V983" s="406"/>
      <c r="W983" s="406"/>
      <c r="X983" s="406"/>
      <c r="Y983" s="406"/>
      <c r="Z983" s="406"/>
    </row>
    <row r="984">
      <c r="A984" s="406"/>
      <c r="B984" s="406"/>
      <c r="C984" s="406"/>
      <c r="D984" s="406"/>
      <c r="E984" s="406"/>
      <c r="F984" s="406"/>
      <c r="G984" s="407"/>
      <c r="H984" s="406"/>
      <c r="I984" s="406"/>
      <c r="J984" s="406"/>
      <c r="K984" s="406"/>
      <c r="L984" s="406"/>
      <c r="M984" s="406"/>
      <c r="N984" s="406"/>
      <c r="O984" s="406"/>
      <c r="P984" s="406"/>
      <c r="Q984" s="406"/>
      <c r="R984" s="406"/>
      <c r="S984" s="406"/>
      <c r="T984" s="406"/>
      <c r="U984" s="406"/>
      <c r="V984" s="406"/>
      <c r="W984" s="406"/>
      <c r="X984" s="406"/>
      <c r="Y984" s="406"/>
      <c r="Z984" s="406"/>
    </row>
    <row r="985">
      <c r="A985" s="406"/>
      <c r="B985" s="406"/>
      <c r="C985" s="406"/>
      <c r="D985" s="406"/>
      <c r="E985" s="406"/>
      <c r="F985" s="406"/>
      <c r="G985" s="407"/>
      <c r="H985" s="406"/>
      <c r="I985" s="406"/>
      <c r="J985" s="406"/>
      <c r="K985" s="406"/>
      <c r="L985" s="406"/>
      <c r="M985" s="406"/>
      <c r="N985" s="406"/>
      <c r="O985" s="406"/>
      <c r="P985" s="406"/>
      <c r="Q985" s="406"/>
      <c r="R985" s="406"/>
      <c r="S985" s="406"/>
      <c r="T985" s="406"/>
      <c r="U985" s="406"/>
      <c r="V985" s="406"/>
      <c r="W985" s="406"/>
      <c r="X985" s="406"/>
      <c r="Y985" s="406"/>
      <c r="Z985" s="406"/>
    </row>
    <row r="986">
      <c r="A986" s="406"/>
      <c r="B986" s="406"/>
      <c r="C986" s="406"/>
      <c r="D986" s="406"/>
      <c r="E986" s="406"/>
      <c r="F986" s="406"/>
      <c r="G986" s="407"/>
      <c r="H986" s="406"/>
      <c r="I986" s="406"/>
      <c r="J986" s="406"/>
      <c r="K986" s="406"/>
      <c r="L986" s="406"/>
      <c r="M986" s="406"/>
      <c r="N986" s="406"/>
      <c r="O986" s="406"/>
      <c r="P986" s="406"/>
      <c r="Q986" s="406"/>
      <c r="R986" s="406"/>
      <c r="S986" s="406"/>
      <c r="T986" s="406"/>
      <c r="U986" s="406"/>
      <c r="V986" s="406"/>
      <c r="W986" s="406"/>
      <c r="X986" s="406"/>
      <c r="Y986" s="406"/>
      <c r="Z986" s="406"/>
    </row>
    <row r="987">
      <c r="A987" s="406"/>
      <c r="B987" s="406"/>
      <c r="C987" s="406"/>
      <c r="D987" s="406"/>
      <c r="E987" s="406"/>
      <c r="F987" s="406"/>
      <c r="G987" s="407"/>
      <c r="H987" s="406"/>
      <c r="I987" s="406"/>
      <c r="J987" s="406"/>
      <c r="K987" s="406"/>
      <c r="L987" s="406"/>
      <c r="M987" s="406"/>
      <c r="N987" s="406"/>
      <c r="O987" s="406"/>
      <c r="P987" s="406"/>
      <c r="Q987" s="406"/>
      <c r="R987" s="406"/>
      <c r="S987" s="406"/>
      <c r="T987" s="406"/>
      <c r="U987" s="406"/>
      <c r="V987" s="406"/>
      <c r="W987" s="406"/>
      <c r="X987" s="406"/>
      <c r="Y987" s="406"/>
      <c r="Z987" s="406"/>
    </row>
    <row r="988">
      <c r="A988" s="406"/>
      <c r="B988" s="406"/>
      <c r="C988" s="406"/>
      <c r="D988" s="406"/>
      <c r="E988" s="406"/>
      <c r="F988" s="406"/>
      <c r="G988" s="407"/>
      <c r="H988" s="406"/>
      <c r="I988" s="406"/>
      <c r="J988" s="406"/>
      <c r="K988" s="406"/>
      <c r="L988" s="406"/>
      <c r="M988" s="406"/>
      <c r="N988" s="406"/>
      <c r="O988" s="406"/>
      <c r="P988" s="406"/>
      <c r="Q988" s="406"/>
      <c r="R988" s="406"/>
      <c r="S988" s="406"/>
      <c r="T988" s="406"/>
      <c r="U988" s="406"/>
      <c r="V988" s="406"/>
      <c r="W988" s="406"/>
      <c r="X988" s="406"/>
      <c r="Y988" s="406"/>
      <c r="Z988" s="406"/>
    </row>
    <row r="989">
      <c r="A989" s="406"/>
      <c r="B989" s="406"/>
      <c r="C989" s="406"/>
      <c r="D989" s="406"/>
      <c r="E989" s="406"/>
      <c r="F989" s="406"/>
      <c r="G989" s="407"/>
      <c r="H989" s="406"/>
      <c r="I989" s="406"/>
      <c r="J989" s="406"/>
      <c r="K989" s="406"/>
      <c r="L989" s="406"/>
      <c r="M989" s="406"/>
      <c r="N989" s="406"/>
      <c r="O989" s="406"/>
      <c r="P989" s="406"/>
      <c r="Q989" s="406"/>
      <c r="R989" s="406"/>
      <c r="S989" s="406"/>
      <c r="T989" s="406"/>
      <c r="U989" s="406"/>
      <c r="V989" s="406"/>
      <c r="W989" s="406"/>
      <c r="X989" s="406"/>
      <c r="Y989" s="406"/>
      <c r="Z989" s="406"/>
    </row>
    <row r="990">
      <c r="A990" s="406"/>
      <c r="B990" s="406"/>
      <c r="C990" s="406"/>
      <c r="D990" s="406"/>
      <c r="E990" s="406"/>
      <c r="F990" s="406"/>
      <c r="G990" s="407"/>
      <c r="H990" s="406"/>
      <c r="I990" s="406"/>
      <c r="J990" s="406"/>
      <c r="K990" s="406"/>
      <c r="L990" s="406"/>
      <c r="M990" s="406"/>
      <c r="N990" s="406"/>
      <c r="O990" s="406"/>
      <c r="P990" s="406"/>
      <c r="Q990" s="406"/>
      <c r="R990" s="406"/>
      <c r="S990" s="406"/>
      <c r="T990" s="406"/>
      <c r="U990" s="406"/>
      <c r="V990" s="406"/>
      <c r="W990" s="406"/>
      <c r="X990" s="406"/>
      <c r="Y990" s="406"/>
      <c r="Z990" s="406"/>
    </row>
    <row r="991">
      <c r="A991" s="406"/>
      <c r="B991" s="406"/>
      <c r="C991" s="406"/>
      <c r="D991" s="406"/>
      <c r="E991" s="406"/>
      <c r="F991" s="406"/>
      <c r="G991" s="407"/>
      <c r="H991" s="406"/>
      <c r="I991" s="406"/>
      <c r="J991" s="406"/>
      <c r="K991" s="406"/>
      <c r="L991" s="406"/>
      <c r="M991" s="406"/>
      <c r="N991" s="406"/>
      <c r="O991" s="406"/>
      <c r="P991" s="406"/>
      <c r="Q991" s="406"/>
      <c r="R991" s="406"/>
      <c r="S991" s="406"/>
      <c r="T991" s="406"/>
      <c r="U991" s="406"/>
      <c r="V991" s="406"/>
      <c r="W991" s="406"/>
      <c r="X991" s="406"/>
      <c r="Y991" s="406"/>
      <c r="Z991" s="406"/>
    </row>
    <row r="992">
      <c r="A992" s="406"/>
      <c r="B992" s="406"/>
      <c r="C992" s="406"/>
      <c r="D992" s="406"/>
      <c r="E992" s="406"/>
      <c r="F992" s="406"/>
      <c r="G992" s="407"/>
      <c r="H992" s="406"/>
      <c r="I992" s="406"/>
      <c r="J992" s="406"/>
      <c r="K992" s="406"/>
      <c r="L992" s="406"/>
      <c r="M992" s="406"/>
      <c r="N992" s="406"/>
      <c r="O992" s="406"/>
      <c r="P992" s="406"/>
      <c r="Q992" s="406"/>
      <c r="R992" s="406"/>
      <c r="S992" s="406"/>
      <c r="T992" s="406"/>
      <c r="U992" s="406"/>
      <c r="V992" s="406"/>
      <c r="W992" s="406"/>
      <c r="X992" s="406"/>
      <c r="Y992" s="406"/>
      <c r="Z992" s="406"/>
    </row>
    <row r="993">
      <c r="A993" s="406"/>
      <c r="B993" s="406"/>
      <c r="C993" s="406"/>
      <c r="D993" s="406"/>
      <c r="E993" s="406"/>
      <c r="F993" s="406"/>
      <c r="G993" s="407"/>
      <c r="H993" s="406"/>
      <c r="I993" s="406"/>
      <c r="J993" s="406"/>
      <c r="K993" s="406"/>
      <c r="L993" s="406"/>
      <c r="M993" s="406"/>
      <c r="N993" s="406"/>
      <c r="O993" s="406"/>
      <c r="P993" s="406"/>
      <c r="Q993" s="406"/>
      <c r="R993" s="406"/>
      <c r="S993" s="406"/>
      <c r="T993" s="406"/>
      <c r="U993" s="406"/>
      <c r="V993" s="406"/>
      <c r="W993" s="406"/>
      <c r="X993" s="406"/>
      <c r="Y993" s="406"/>
      <c r="Z993" s="406"/>
    </row>
    <row r="994">
      <c r="A994" s="406"/>
      <c r="B994" s="406"/>
      <c r="C994" s="406"/>
      <c r="D994" s="406"/>
      <c r="E994" s="406"/>
      <c r="F994" s="406"/>
      <c r="G994" s="407"/>
      <c r="H994" s="406"/>
      <c r="I994" s="406"/>
      <c r="J994" s="406"/>
      <c r="K994" s="406"/>
      <c r="L994" s="406"/>
      <c r="M994" s="406"/>
      <c r="N994" s="406"/>
      <c r="O994" s="406"/>
      <c r="P994" s="406"/>
      <c r="Q994" s="406"/>
      <c r="R994" s="406"/>
      <c r="S994" s="406"/>
      <c r="T994" s="406"/>
      <c r="U994" s="406"/>
      <c r="V994" s="406"/>
      <c r="W994" s="406"/>
      <c r="X994" s="406"/>
      <c r="Y994" s="406"/>
      <c r="Z994" s="406"/>
    </row>
    <row r="995">
      <c r="A995" s="406"/>
      <c r="B995" s="406"/>
      <c r="C995" s="406"/>
      <c r="D995" s="406"/>
      <c r="E995" s="406"/>
      <c r="F995" s="406"/>
      <c r="G995" s="407"/>
      <c r="H995" s="406"/>
      <c r="I995" s="406"/>
      <c r="J995" s="406"/>
      <c r="K995" s="406"/>
      <c r="L995" s="406"/>
      <c r="M995" s="406"/>
      <c r="N995" s="406"/>
      <c r="O995" s="406"/>
      <c r="P995" s="406"/>
      <c r="Q995" s="406"/>
      <c r="R995" s="406"/>
      <c r="S995" s="406"/>
      <c r="T995" s="406"/>
      <c r="U995" s="406"/>
      <c r="V995" s="406"/>
      <c r="W995" s="406"/>
      <c r="X995" s="406"/>
      <c r="Y995" s="406"/>
      <c r="Z995" s="406"/>
    </row>
    <row r="996">
      <c r="A996" s="406"/>
      <c r="B996" s="406"/>
      <c r="C996" s="406"/>
      <c r="D996" s="406"/>
      <c r="E996" s="406"/>
      <c r="F996" s="406"/>
      <c r="G996" s="407"/>
      <c r="H996" s="406"/>
      <c r="I996" s="406"/>
      <c r="J996" s="406"/>
      <c r="K996" s="406"/>
      <c r="L996" s="406"/>
      <c r="M996" s="406"/>
      <c r="N996" s="406"/>
      <c r="O996" s="406"/>
      <c r="P996" s="406"/>
      <c r="Q996" s="406"/>
      <c r="R996" s="406"/>
      <c r="S996" s="406"/>
      <c r="T996" s="406"/>
      <c r="U996" s="406"/>
      <c r="V996" s="406"/>
      <c r="W996" s="406"/>
      <c r="X996" s="406"/>
      <c r="Y996" s="406"/>
      <c r="Z996" s="406"/>
    </row>
    <row r="997">
      <c r="A997" s="406"/>
      <c r="B997" s="406"/>
      <c r="C997" s="406"/>
      <c r="D997" s="406"/>
      <c r="E997" s="406"/>
      <c r="F997" s="406"/>
      <c r="G997" s="407"/>
      <c r="H997" s="406"/>
      <c r="I997" s="406"/>
      <c r="J997" s="406"/>
      <c r="K997" s="406"/>
      <c r="L997" s="406"/>
      <c r="M997" s="406"/>
      <c r="N997" s="406"/>
      <c r="O997" s="406"/>
      <c r="P997" s="406"/>
      <c r="Q997" s="406"/>
      <c r="R997" s="406"/>
      <c r="S997" s="406"/>
      <c r="T997" s="406"/>
      <c r="U997" s="406"/>
      <c r="V997" s="406"/>
      <c r="W997" s="406"/>
      <c r="X997" s="406"/>
      <c r="Y997" s="406"/>
      <c r="Z997" s="406"/>
    </row>
    <row r="998">
      <c r="A998" s="406"/>
      <c r="B998" s="406"/>
      <c r="C998" s="406"/>
      <c r="D998" s="406"/>
      <c r="E998" s="406"/>
      <c r="F998" s="406"/>
      <c r="G998" s="407"/>
      <c r="H998" s="406"/>
      <c r="I998" s="406"/>
      <c r="J998" s="406"/>
      <c r="K998" s="406"/>
      <c r="L998" s="406"/>
      <c r="M998" s="406"/>
      <c r="N998" s="406"/>
      <c r="O998" s="406"/>
      <c r="P998" s="406"/>
      <c r="Q998" s="406"/>
      <c r="R998" s="406"/>
      <c r="S998" s="406"/>
      <c r="T998" s="406"/>
      <c r="U998" s="406"/>
      <c r="V998" s="406"/>
      <c r="W998" s="406"/>
      <c r="X998" s="406"/>
      <c r="Y998" s="406"/>
      <c r="Z998" s="406"/>
    </row>
    <row r="999">
      <c r="A999" s="406"/>
      <c r="B999" s="406"/>
      <c r="C999" s="406"/>
      <c r="D999" s="406"/>
      <c r="E999" s="406"/>
      <c r="F999" s="406"/>
      <c r="G999" s="407"/>
      <c r="H999" s="406"/>
      <c r="I999" s="406"/>
      <c r="J999" s="406"/>
      <c r="K999" s="406"/>
      <c r="L999" s="406"/>
      <c r="M999" s="406"/>
      <c r="N999" s="406"/>
      <c r="O999" s="406"/>
      <c r="P999" s="406"/>
      <c r="Q999" s="406"/>
      <c r="R999" s="406"/>
      <c r="S999" s="406"/>
      <c r="T999" s="406"/>
      <c r="U999" s="406"/>
      <c r="V999" s="406"/>
      <c r="W999" s="406"/>
      <c r="X999" s="406"/>
      <c r="Y999" s="406"/>
      <c r="Z999" s="406"/>
    </row>
    <row r="1000">
      <c r="A1000" s="406"/>
      <c r="B1000" s="406"/>
      <c r="C1000" s="406"/>
      <c r="D1000" s="406"/>
      <c r="E1000" s="406"/>
      <c r="F1000" s="406"/>
      <c r="G1000" s="407"/>
      <c r="H1000" s="406"/>
      <c r="I1000" s="406"/>
      <c r="J1000" s="406"/>
      <c r="K1000" s="406"/>
      <c r="L1000" s="406"/>
      <c r="M1000" s="406"/>
      <c r="N1000" s="406"/>
      <c r="O1000" s="406"/>
      <c r="P1000" s="406"/>
      <c r="Q1000" s="406"/>
      <c r="R1000" s="406"/>
      <c r="S1000" s="406"/>
      <c r="T1000" s="406"/>
      <c r="U1000" s="406"/>
      <c r="V1000" s="406"/>
      <c r="W1000" s="406"/>
      <c r="X1000" s="406"/>
      <c r="Y1000" s="406"/>
      <c r="Z1000" s="406"/>
    </row>
  </sheetData>
  <mergeCells count="5">
    <mergeCell ref="A2:A3"/>
    <mergeCell ref="B2:B3"/>
    <mergeCell ref="C2:C3"/>
    <mergeCell ref="D2:F2"/>
    <mergeCell ref="G2:G3"/>
  </mergeCell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1" max="1" width="81.25"/>
  </cols>
  <sheetData>
    <row r="1">
      <c r="A1" s="218" t="s">
        <v>431</v>
      </c>
    </row>
    <row r="2">
      <c r="A2" s="218" t="s">
        <v>837</v>
      </c>
    </row>
    <row r="3">
      <c r="A3" s="218" t="s">
        <v>203</v>
      </c>
    </row>
    <row r="4">
      <c r="A4" s="218" t="s">
        <v>312</v>
      </c>
    </row>
    <row r="5">
      <c r="A5" s="218" t="s">
        <v>838</v>
      </c>
    </row>
    <row r="6">
      <c r="A6" s="218" t="s">
        <v>114</v>
      </c>
    </row>
    <row r="7">
      <c r="A7" s="218" t="s">
        <v>382</v>
      </c>
    </row>
    <row r="8">
      <c r="A8" s="218" t="s">
        <v>366</v>
      </c>
    </row>
    <row r="9">
      <c r="A9" s="218" t="s">
        <v>839</v>
      </c>
    </row>
  </sheetData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2" max="2" width="60.75"/>
  </cols>
  <sheetData>
    <row r="1">
      <c r="A1" s="420">
        <v>3.3904E7</v>
      </c>
      <c r="B1" t="s">
        <v>840</v>
      </c>
    </row>
    <row r="2">
      <c r="A2" s="420">
        <v>3.3904001E7</v>
      </c>
      <c r="B2" t="s">
        <v>841</v>
      </c>
    </row>
    <row r="3">
      <c r="A3" s="420">
        <v>3.3904002E7</v>
      </c>
      <c r="B3" t="s">
        <v>842</v>
      </c>
    </row>
    <row r="4">
      <c r="A4" s="420">
        <v>3.3904003E7</v>
      </c>
      <c r="B4" t="s">
        <v>843</v>
      </c>
    </row>
    <row r="5">
      <c r="A5" s="420">
        <v>3.3904004E7</v>
      </c>
      <c r="B5" t="s">
        <v>844</v>
      </c>
    </row>
    <row r="6">
      <c r="A6" s="420">
        <v>3.3904005E7</v>
      </c>
      <c r="B6" t="s">
        <v>845</v>
      </c>
    </row>
    <row r="7">
      <c r="A7" s="420">
        <v>3.3904006E7</v>
      </c>
      <c r="B7" t="s">
        <v>846</v>
      </c>
    </row>
    <row r="8">
      <c r="A8" s="420">
        <v>3.3904007E7</v>
      </c>
      <c r="B8" t="s">
        <v>847</v>
      </c>
    </row>
    <row r="9">
      <c r="A9" s="420">
        <v>3.3904008E7</v>
      </c>
      <c r="B9" t="s">
        <v>379</v>
      </c>
    </row>
    <row r="10">
      <c r="A10" s="420">
        <v>3.3904009E7</v>
      </c>
      <c r="B10" t="s">
        <v>848</v>
      </c>
    </row>
    <row r="11">
      <c r="A11" s="420">
        <v>3.390401E7</v>
      </c>
      <c r="B11" t="s">
        <v>849</v>
      </c>
    </row>
    <row r="12">
      <c r="A12" s="420">
        <v>3.3904011E7</v>
      </c>
      <c r="B12" t="s">
        <v>850</v>
      </c>
    </row>
    <row r="13">
      <c r="A13" s="420">
        <v>3.3904012E7</v>
      </c>
      <c r="B13" t="s">
        <v>851</v>
      </c>
    </row>
    <row r="14">
      <c r="A14" s="420">
        <v>3.3904013E7</v>
      </c>
      <c r="B14" t="s">
        <v>852</v>
      </c>
    </row>
    <row r="15">
      <c r="A15" s="420">
        <v>3.3904014E7</v>
      </c>
      <c r="B15" t="s">
        <v>853</v>
      </c>
    </row>
    <row r="16">
      <c r="A16" s="420">
        <v>3.3904015E7</v>
      </c>
      <c r="B16" t="s">
        <v>854</v>
      </c>
    </row>
    <row r="17">
      <c r="A17" s="420">
        <v>3.3904016E7</v>
      </c>
      <c r="B17" t="s">
        <v>855</v>
      </c>
    </row>
    <row r="18">
      <c r="A18" s="420">
        <v>3.3904017E7</v>
      </c>
      <c r="B18" t="s">
        <v>856</v>
      </c>
    </row>
    <row r="19">
      <c r="A19" s="420">
        <v>3.3904018E7</v>
      </c>
      <c r="B19" t="s">
        <v>857</v>
      </c>
    </row>
    <row r="20">
      <c r="A20" s="420">
        <v>3.3904019E7</v>
      </c>
      <c r="B20" t="s">
        <v>858</v>
      </c>
    </row>
    <row r="21">
      <c r="A21" s="420">
        <v>3.390402E7</v>
      </c>
      <c r="B21" t="s">
        <v>859</v>
      </c>
    </row>
    <row r="22">
      <c r="A22" s="420">
        <v>3.3904099E7</v>
      </c>
      <c r="B22" t="s">
        <v>860</v>
      </c>
    </row>
    <row r="23">
      <c r="A23" s="420">
        <v>3.39045E7</v>
      </c>
      <c r="B23" t="s">
        <v>861</v>
      </c>
    </row>
    <row r="24">
      <c r="A24" s="420">
        <v>3.3904501E7</v>
      </c>
      <c r="B24" t="s">
        <v>862</v>
      </c>
    </row>
    <row r="25">
      <c r="A25" s="420">
        <v>3.3904502E7</v>
      </c>
      <c r="B25" t="s">
        <v>863</v>
      </c>
    </row>
    <row r="26">
      <c r="A26" s="420">
        <v>3.3904503E7</v>
      </c>
      <c r="B26" t="s">
        <v>864</v>
      </c>
    </row>
    <row r="27">
      <c r="A27" s="420">
        <v>3.3904504E7</v>
      </c>
      <c r="B27" t="s">
        <v>865</v>
      </c>
    </row>
    <row r="28">
      <c r="A28" s="420">
        <v>3.3904505E7</v>
      </c>
      <c r="B28" t="s">
        <v>866</v>
      </c>
    </row>
  </sheetData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1" max="1" width="30.88"/>
    <col customWidth="1" min="2" max="2" width="48.63"/>
  </cols>
  <sheetData>
    <row r="1">
      <c r="A1" s="421" t="s">
        <v>867</v>
      </c>
      <c r="B1" s="421" t="s">
        <v>868</v>
      </c>
    </row>
    <row r="2">
      <c r="A2" s="422" t="s">
        <v>869</v>
      </c>
      <c r="B2" s="423" t="s">
        <v>870</v>
      </c>
    </row>
    <row r="3">
      <c r="A3" s="424"/>
      <c r="B3" s="423" t="s">
        <v>871</v>
      </c>
    </row>
    <row r="4">
      <c r="A4" s="424"/>
      <c r="B4" s="423" t="s">
        <v>872</v>
      </c>
    </row>
    <row r="5">
      <c r="A5" s="424"/>
      <c r="B5" s="425" t="s">
        <v>873</v>
      </c>
    </row>
    <row r="6">
      <c r="A6" s="424"/>
      <c r="B6" s="426" t="s">
        <v>874</v>
      </c>
    </row>
    <row r="7">
      <c r="A7" s="424"/>
      <c r="B7" s="427" t="s">
        <v>875</v>
      </c>
    </row>
    <row r="8">
      <c r="A8" s="424"/>
      <c r="B8" s="426" t="s">
        <v>876</v>
      </c>
    </row>
    <row r="9">
      <c r="A9" s="424"/>
      <c r="B9" s="426" t="s">
        <v>877</v>
      </c>
    </row>
    <row r="10">
      <c r="A10" s="424"/>
      <c r="B10" s="426" t="s">
        <v>266</v>
      </c>
    </row>
    <row r="11">
      <c r="A11" s="424"/>
      <c r="B11" s="426" t="s">
        <v>473</v>
      </c>
    </row>
    <row r="12">
      <c r="A12" s="424"/>
      <c r="B12" s="427" t="s">
        <v>878</v>
      </c>
    </row>
    <row r="13">
      <c r="A13" s="428"/>
      <c r="B13" s="427" t="s">
        <v>879</v>
      </c>
    </row>
    <row r="14">
      <c r="A14" s="422" t="s">
        <v>880</v>
      </c>
      <c r="B14" s="427" t="s">
        <v>881</v>
      </c>
    </row>
    <row r="15">
      <c r="A15" s="424"/>
      <c r="B15" s="427" t="s">
        <v>882</v>
      </c>
    </row>
    <row r="16">
      <c r="A16" s="424"/>
      <c r="B16" s="427" t="s">
        <v>883</v>
      </c>
    </row>
    <row r="17">
      <c r="A17" s="428"/>
      <c r="B17" s="427" t="s">
        <v>884</v>
      </c>
    </row>
    <row r="18">
      <c r="A18" s="403" t="s">
        <v>885</v>
      </c>
      <c r="B18" s="427" t="s">
        <v>886</v>
      </c>
    </row>
    <row r="19">
      <c r="A19" s="173"/>
      <c r="B19" s="173"/>
    </row>
    <row r="20">
      <c r="A20" s="173"/>
      <c r="B20" s="173"/>
    </row>
    <row r="21">
      <c r="A21" s="173"/>
      <c r="B21" s="429"/>
    </row>
  </sheetData>
  <mergeCells count="2">
    <mergeCell ref="A2:A13"/>
    <mergeCell ref="A14:A17"/>
  </mergeCell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1" max="1" width="20.38"/>
  </cols>
  <sheetData>
    <row r="1">
      <c r="A1" s="430" t="s">
        <v>887</v>
      </c>
      <c r="B1" s="218" t="s">
        <v>888</v>
      </c>
    </row>
    <row r="2">
      <c r="A2" s="430">
        <v>1.322830000106E12</v>
      </c>
      <c r="B2" s="218" t="s">
        <v>889</v>
      </c>
    </row>
    <row r="3">
      <c r="A3" s="430">
        <v>8.5399996000102E13</v>
      </c>
      <c r="B3" s="218" t="s">
        <v>890</v>
      </c>
    </row>
    <row r="4">
      <c r="A4" s="430">
        <v>2.993084000137E12</v>
      </c>
      <c r="B4" s="218" t="s">
        <v>891</v>
      </c>
    </row>
    <row r="5">
      <c r="A5" s="430">
        <v>8.0501265000102E13</v>
      </c>
      <c r="B5" s="218" t="s">
        <v>892</v>
      </c>
    </row>
    <row r="6">
      <c r="A6" s="430">
        <v>3.003938000153E12</v>
      </c>
      <c r="B6" s="218" t="s">
        <v>893</v>
      </c>
    </row>
    <row r="7">
      <c r="A7" s="430">
        <v>9.1083212000135E13</v>
      </c>
      <c r="B7" s="218" t="s">
        <v>894</v>
      </c>
    </row>
    <row r="8">
      <c r="A8" s="430">
        <v>7.5312074000162E13</v>
      </c>
      <c r="B8" s="218" t="s">
        <v>895</v>
      </c>
    </row>
    <row r="9">
      <c r="A9" s="430">
        <v>1.501579000139E12</v>
      </c>
      <c r="B9" s="218" t="s">
        <v>896</v>
      </c>
    </row>
    <row r="10">
      <c r="A10" s="430">
        <v>9.0051160000152E13</v>
      </c>
      <c r="B10" s="218" t="s">
        <v>897</v>
      </c>
    </row>
    <row r="11">
      <c r="A11" s="430">
        <v>7.6558261000193E13</v>
      </c>
      <c r="B11" s="218" t="s">
        <v>898</v>
      </c>
    </row>
    <row r="12">
      <c r="A12" s="430">
        <v>1.554285000175E12</v>
      </c>
      <c r="B12" s="218" t="s">
        <v>899</v>
      </c>
    </row>
    <row r="13">
      <c r="A13" s="430">
        <v>7.53790080001E13</v>
      </c>
      <c r="B13" s="218" t="s">
        <v>900</v>
      </c>
    </row>
    <row r="14">
      <c r="A14" s="430">
        <v>2.465544000154E12</v>
      </c>
      <c r="B14" s="218" t="s">
        <v>901</v>
      </c>
    </row>
    <row r="15">
      <c r="A15" s="430">
        <v>7.2317266000173E13</v>
      </c>
      <c r="B15" s="218" t="s">
        <v>902</v>
      </c>
    </row>
    <row r="16">
      <c r="A16" s="430">
        <v>2.571615000101E12</v>
      </c>
      <c r="B16" s="218" t="s">
        <v>903</v>
      </c>
    </row>
    <row r="17">
      <c r="A17" s="430">
        <v>3.268496000177E12</v>
      </c>
      <c r="B17" s="218" t="s">
        <v>904</v>
      </c>
    </row>
    <row r="18">
      <c r="A18" s="430">
        <v>7.4362021000193E13</v>
      </c>
      <c r="B18" s="218" t="s">
        <v>905</v>
      </c>
    </row>
    <row r="19">
      <c r="A19" s="430">
        <v>7.6598796000198E13</v>
      </c>
      <c r="B19" s="218" t="s">
        <v>906</v>
      </c>
    </row>
    <row r="20">
      <c r="A20" s="430">
        <v>8.511681200015E13</v>
      </c>
      <c r="B20" s="218" t="s">
        <v>907</v>
      </c>
    </row>
    <row r="21">
      <c r="A21" s="430">
        <v>2.334700000148E12</v>
      </c>
      <c r="B21" s="218" t="s">
        <v>908</v>
      </c>
    </row>
    <row r="22">
      <c r="A22" s="430">
        <v>7.9894168000148E13</v>
      </c>
      <c r="B22" s="218" t="s">
        <v>909</v>
      </c>
    </row>
    <row r="23">
      <c r="A23" s="430">
        <v>2.223342000104E12</v>
      </c>
      <c r="B23" s="218" t="s">
        <v>910</v>
      </c>
    </row>
    <row r="24">
      <c r="A24" s="430">
        <v>8.0651201000198E13</v>
      </c>
      <c r="B24" s="218" t="s">
        <v>911</v>
      </c>
    </row>
    <row r="25">
      <c r="A25" s="430">
        <v>9.9634153000126E13</v>
      </c>
      <c r="B25" s="218" t="s">
        <v>912</v>
      </c>
    </row>
    <row r="26">
      <c r="A26" s="430">
        <v>2.332397001116E12</v>
      </c>
      <c r="B26" s="218" t="s">
        <v>913</v>
      </c>
    </row>
    <row r="27">
      <c r="A27" s="430">
        <v>8.1708497000107E13</v>
      </c>
      <c r="B27" s="218" t="s">
        <v>914</v>
      </c>
    </row>
    <row r="28">
      <c r="A28" s="430">
        <v>2.267996000474E12</v>
      </c>
      <c r="B28" s="218" t="s">
        <v>915</v>
      </c>
    </row>
    <row r="29">
      <c r="A29" s="430">
        <v>9.4888260000199E13</v>
      </c>
      <c r="B29" s="218" t="s">
        <v>916</v>
      </c>
    </row>
    <row r="30">
      <c r="A30" s="430">
        <v>9.7393144000197E13</v>
      </c>
      <c r="B30" s="218" t="s">
        <v>917</v>
      </c>
    </row>
    <row r="31">
      <c r="A31" s="430">
        <v>6.93173000213E11</v>
      </c>
      <c r="B31" s="218" t="s">
        <v>918</v>
      </c>
    </row>
    <row r="32">
      <c r="A32" s="430">
        <v>8.77397000102E11</v>
      </c>
      <c r="B32" s="218" t="s">
        <v>919</v>
      </c>
    </row>
    <row r="33">
      <c r="A33" s="430">
        <v>2.521875000245E12</v>
      </c>
      <c r="B33" s="218" t="s">
        <v>920</v>
      </c>
    </row>
    <row r="34">
      <c r="A34" s="430">
        <v>2.595545000113E12</v>
      </c>
      <c r="B34" s="218" t="s">
        <v>921</v>
      </c>
    </row>
    <row r="35">
      <c r="A35" s="430">
        <v>8.3159350000122E13</v>
      </c>
      <c r="B35" s="218" t="s">
        <v>922</v>
      </c>
    </row>
    <row r="36">
      <c r="A36" s="430">
        <v>9.4249273000118E13</v>
      </c>
      <c r="B36" s="218" t="s">
        <v>923</v>
      </c>
    </row>
    <row r="37">
      <c r="A37" s="430">
        <v>2.247776000136E12</v>
      </c>
      <c r="B37" s="218" t="s">
        <v>924</v>
      </c>
    </row>
    <row r="38">
      <c r="A38" s="430">
        <v>3.0971760001E12</v>
      </c>
      <c r="B38" s="218" t="s">
        <v>925</v>
      </c>
    </row>
    <row r="39">
      <c r="A39" s="430">
        <v>9.5798013000164E13</v>
      </c>
      <c r="B39" s="218" t="s">
        <v>926</v>
      </c>
    </row>
    <row r="40">
      <c r="A40" s="430">
        <v>9.5804100000187E13</v>
      </c>
      <c r="B40" s="218" t="s">
        <v>927</v>
      </c>
    </row>
    <row r="41">
      <c r="A41" s="430">
        <v>9.5804688000179E13</v>
      </c>
      <c r="B41" s="218" t="s">
        <v>928</v>
      </c>
    </row>
    <row r="42">
      <c r="A42" s="430">
        <v>9.5806519000178E13</v>
      </c>
      <c r="B42" s="218" t="s">
        <v>929</v>
      </c>
    </row>
    <row r="43">
      <c r="A43" s="430">
        <v>9.5810313000111E13</v>
      </c>
      <c r="B43" s="218" t="s">
        <v>930</v>
      </c>
    </row>
    <row r="44">
      <c r="A44" s="430">
        <v>9.5816484000158E13</v>
      </c>
      <c r="B44" s="218" t="s">
        <v>931</v>
      </c>
    </row>
    <row r="45">
      <c r="A45" s="430">
        <v>9.5817201000192E13</v>
      </c>
      <c r="B45" s="218" t="s">
        <v>932</v>
      </c>
    </row>
    <row r="46">
      <c r="A46" s="430">
        <v>9.582522000016E13</v>
      </c>
      <c r="B46" s="218" t="s">
        <v>933</v>
      </c>
    </row>
    <row r="47">
      <c r="A47" s="430">
        <v>9.5829248000176E13</v>
      </c>
      <c r="B47" s="218" t="s">
        <v>934</v>
      </c>
    </row>
    <row r="48">
      <c r="A48" s="430">
        <v>9.5793352000158E13</v>
      </c>
      <c r="B48" s="218" t="s">
        <v>935</v>
      </c>
    </row>
    <row r="49">
      <c r="A49" s="430">
        <v>9.5796645000199E13</v>
      </c>
      <c r="B49" s="218" t="s">
        <v>936</v>
      </c>
    </row>
    <row r="50">
      <c r="A50" s="430">
        <v>9.5838900000119E13</v>
      </c>
      <c r="B50" s="218" t="s">
        <v>937</v>
      </c>
    </row>
    <row r="51">
      <c r="A51" s="430">
        <v>9.5843967000141E13</v>
      </c>
      <c r="B51" s="218" t="s">
        <v>938</v>
      </c>
    </row>
    <row r="52">
      <c r="A52" s="430">
        <v>9.5844551000148E13</v>
      </c>
      <c r="B52" s="218" t="s">
        <v>939</v>
      </c>
    </row>
    <row r="53">
      <c r="A53" s="430">
        <v>9.585754600017E13</v>
      </c>
      <c r="B53" s="218" t="s">
        <v>940</v>
      </c>
    </row>
    <row r="54">
      <c r="A54" s="430">
        <v>9.58577020001E13</v>
      </c>
      <c r="B54" s="218" t="s">
        <v>941</v>
      </c>
    </row>
    <row r="55">
      <c r="A55" s="430">
        <v>9.5858395000174E13</v>
      </c>
      <c r="B55" s="218" t="s">
        <v>942</v>
      </c>
    </row>
    <row r="56">
      <c r="A56" s="430">
        <v>9.5859526000138E13</v>
      </c>
      <c r="B56" s="218" t="s">
        <v>943</v>
      </c>
    </row>
    <row r="57">
      <c r="A57" s="430">
        <v>9.5860557000109E13</v>
      </c>
      <c r="B57" s="218" t="s">
        <v>944</v>
      </c>
    </row>
    <row r="58">
      <c r="A58" s="430">
        <v>9.58819000001E13</v>
      </c>
      <c r="B58" s="218" t="s">
        <v>945</v>
      </c>
    </row>
    <row r="59">
      <c r="A59" s="430">
        <v>9.5882056000123E13</v>
      </c>
      <c r="B59" s="218" t="s">
        <v>946</v>
      </c>
    </row>
    <row r="60">
      <c r="A60" s="430">
        <v>9.5888863000153E13</v>
      </c>
      <c r="B60" s="218" t="s">
        <v>947</v>
      </c>
    </row>
    <row r="61">
      <c r="A61" s="430">
        <v>9.622261700012E13</v>
      </c>
      <c r="B61" s="218" t="s">
        <v>948</v>
      </c>
    </row>
    <row r="62">
      <c r="A62" s="430">
        <v>9.647676700016E13</v>
      </c>
      <c r="B62" s="218" t="s">
        <v>949</v>
      </c>
    </row>
    <row r="63">
      <c r="A63" s="430">
        <v>9.7336788000143E13</v>
      </c>
      <c r="B63" s="218" t="s">
        <v>950</v>
      </c>
    </row>
    <row r="64">
      <c r="A64" s="430">
        <v>9.27836460001E13</v>
      </c>
      <c r="B64" s="218" t="s">
        <v>951</v>
      </c>
    </row>
    <row r="65">
      <c r="A65" s="430">
        <v>9.28217010001E13</v>
      </c>
      <c r="B65" s="218" t="s">
        <v>952</v>
      </c>
    </row>
    <row r="66">
      <c r="A66" s="430">
        <v>9.2852839000508E13</v>
      </c>
      <c r="B66" s="218" t="s">
        <v>953</v>
      </c>
    </row>
    <row r="67">
      <c r="A67" s="430">
        <v>2.183286000113E12</v>
      </c>
      <c r="B67" s="218" t="s">
        <v>954</v>
      </c>
    </row>
    <row r="68">
      <c r="A68" s="430">
        <v>7.9231692000139E13</v>
      </c>
      <c r="B68" s="218" t="s">
        <v>955</v>
      </c>
    </row>
    <row r="69">
      <c r="A69" s="430">
        <v>2.7528579000116E13</v>
      </c>
      <c r="B69" s="218" t="s">
        <v>956</v>
      </c>
    </row>
    <row r="70">
      <c r="A70" s="430">
        <v>7.3780397000155E13</v>
      </c>
      <c r="B70" s="218" t="s">
        <v>957</v>
      </c>
    </row>
    <row r="71">
      <c r="A71" s="430">
        <v>1.648425000174E12</v>
      </c>
      <c r="B71" s="218" t="s">
        <v>958</v>
      </c>
    </row>
    <row r="72">
      <c r="A72" s="430">
        <v>2.8196889000143E13</v>
      </c>
      <c r="B72" s="218" t="s">
        <v>959</v>
      </c>
    </row>
    <row r="73">
      <c r="A73" s="430">
        <v>1.111039000149E12</v>
      </c>
      <c r="B73" s="218" t="s">
        <v>960</v>
      </c>
    </row>
    <row r="74">
      <c r="A74" s="430">
        <v>9.466207900016E13</v>
      </c>
      <c r="B74" s="218" t="s">
        <v>961</v>
      </c>
    </row>
    <row r="75">
      <c r="A75" s="430">
        <v>2.093733000143E12</v>
      </c>
      <c r="B75" s="218" t="s">
        <v>962</v>
      </c>
    </row>
    <row r="76">
      <c r="A76" s="430">
        <v>5.3265419000131E13</v>
      </c>
      <c r="B76" s="218" t="s">
        <v>963</v>
      </c>
    </row>
    <row r="77">
      <c r="A77" s="430">
        <v>9.5795290000113E13</v>
      </c>
      <c r="B77" s="218" t="s">
        <v>964</v>
      </c>
    </row>
    <row r="78">
      <c r="A78" s="430">
        <v>8.1243735000148E13</v>
      </c>
      <c r="B78" s="218" t="s">
        <v>965</v>
      </c>
    </row>
    <row r="79">
      <c r="A79" s="430">
        <v>7.804000112E9</v>
      </c>
      <c r="B79" s="218" t="s">
        <v>966</v>
      </c>
    </row>
    <row r="80">
      <c r="A80" s="430">
        <v>8.5848100017E11</v>
      </c>
      <c r="B80" s="218" t="s">
        <v>967</v>
      </c>
    </row>
    <row r="81">
      <c r="A81" s="430">
        <v>8.0964174000103E13</v>
      </c>
      <c r="B81" s="218" t="s">
        <v>968</v>
      </c>
    </row>
    <row r="82">
      <c r="A82" s="430">
        <v>1.19409200015E12</v>
      </c>
      <c r="B82" s="218" t="s">
        <v>969</v>
      </c>
    </row>
    <row r="83">
      <c r="A83" s="430">
        <v>8.15501000126E11</v>
      </c>
      <c r="B83" s="218" t="s">
        <v>970</v>
      </c>
    </row>
    <row r="84">
      <c r="A84" s="430">
        <v>7.5307355000127E13</v>
      </c>
      <c r="B84" s="218" t="s">
        <v>971</v>
      </c>
    </row>
    <row r="85">
      <c r="A85" s="430">
        <v>7.9238218000139E13</v>
      </c>
      <c r="B85" s="218" t="s">
        <v>972</v>
      </c>
    </row>
    <row r="86">
      <c r="A86" s="430">
        <v>7.8850112000129E13</v>
      </c>
      <c r="B86" s="218" t="s">
        <v>973</v>
      </c>
    </row>
    <row r="87">
      <c r="A87" s="430">
        <v>8.2535675000108E13</v>
      </c>
      <c r="B87" s="218" t="s">
        <v>974</v>
      </c>
    </row>
    <row r="88">
      <c r="A88" s="430">
        <v>7.8531654000139E13</v>
      </c>
      <c r="B88" s="218" t="s">
        <v>975</v>
      </c>
    </row>
    <row r="89">
      <c r="A89" s="430">
        <v>8.1873432000109E13</v>
      </c>
      <c r="B89" s="218" t="s">
        <v>976</v>
      </c>
    </row>
    <row r="90">
      <c r="A90" s="430">
        <v>8.187668100011E13</v>
      </c>
      <c r="B90" s="218" t="s">
        <v>977</v>
      </c>
    </row>
    <row r="91">
      <c r="A91" s="430">
        <v>8.2087438000113E13</v>
      </c>
      <c r="B91" s="218" t="s">
        <v>978</v>
      </c>
    </row>
    <row r="92">
      <c r="A92" s="430">
        <v>8.2088832000176E13</v>
      </c>
      <c r="B92" s="218" t="s">
        <v>979</v>
      </c>
    </row>
    <row r="93">
      <c r="A93" s="430">
        <v>8.2089194000108E13</v>
      </c>
      <c r="B93" s="218" t="s">
        <v>980</v>
      </c>
    </row>
    <row r="94">
      <c r="A94" s="430">
        <v>8.2103250000111E13</v>
      </c>
      <c r="B94" s="218" t="s">
        <v>981</v>
      </c>
    </row>
    <row r="95">
      <c r="A95" s="430">
        <v>8.210984400013E13</v>
      </c>
      <c r="B95" s="218" t="s">
        <v>982</v>
      </c>
    </row>
    <row r="96">
      <c r="A96" s="430">
        <v>8.2112293000157E13</v>
      </c>
      <c r="B96" s="218" t="s">
        <v>983</v>
      </c>
    </row>
    <row r="97">
      <c r="A97" s="430">
        <v>8.1849077000132E13</v>
      </c>
      <c r="B97" s="218" t="s">
        <v>984</v>
      </c>
    </row>
    <row r="98">
      <c r="A98" s="430">
        <v>8.185399600018E13</v>
      </c>
      <c r="B98" s="218" t="s">
        <v>985</v>
      </c>
    </row>
    <row r="99">
      <c r="A99" s="430">
        <v>8.287306800014E13</v>
      </c>
      <c r="B99" s="218" t="s">
        <v>986</v>
      </c>
    </row>
    <row r="100">
      <c r="A100" s="430">
        <v>8.2876822000103E13</v>
      </c>
      <c r="B100" s="218" t="s">
        <v>987</v>
      </c>
    </row>
    <row r="101">
      <c r="A101" s="430">
        <v>8.288015400018E13</v>
      </c>
      <c r="B101" s="218" t="s">
        <v>988</v>
      </c>
    </row>
    <row r="102">
      <c r="A102" s="430">
        <v>8.2885112000131E13</v>
      </c>
      <c r="B102" s="218" t="s">
        <v>989</v>
      </c>
    </row>
    <row r="103">
      <c r="A103" s="430">
        <v>8.2885666000139E13</v>
      </c>
      <c r="B103" s="218" t="s">
        <v>990</v>
      </c>
    </row>
    <row r="104">
      <c r="A104" s="430">
        <v>8.2941535000393E13</v>
      </c>
      <c r="B104" s="218" t="s">
        <v>991</v>
      </c>
    </row>
    <row r="105">
      <c r="A105" s="430">
        <v>8.294288900019E13</v>
      </c>
      <c r="B105" s="218" t="s">
        <v>992</v>
      </c>
    </row>
    <row r="106">
      <c r="A106" s="430">
        <v>8.2947979000174E13</v>
      </c>
      <c r="B106" s="218" t="s">
        <v>993</v>
      </c>
    </row>
    <row r="107">
      <c r="A107" s="430">
        <v>8.2949140000175E13</v>
      </c>
      <c r="B107" s="218" t="s">
        <v>994</v>
      </c>
    </row>
    <row r="108">
      <c r="A108" s="430">
        <v>8.2949652000131E13</v>
      </c>
      <c r="B108" s="218" t="s">
        <v>995</v>
      </c>
    </row>
    <row r="109">
      <c r="A109" s="430">
        <v>8.266189300018E13</v>
      </c>
      <c r="B109" s="218" t="s">
        <v>996</v>
      </c>
    </row>
    <row r="110">
      <c r="A110" s="430">
        <v>8.266270100015E13</v>
      </c>
      <c r="B110" s="218" t="s">
        <v>997</v>
      </c>
    </row>
    <row r="111">
      <c r="A111" s="430">
        <v>8.2662727000107E13</v>
      </c>
      <c r="B111" s="218" t="s">
        <v>998</v>
      </c>
    </row>
    <row r="112">
      <c r="A112" s="430">
        <v>8.2666025000193E13</v>
      </c>
      <c r="B112" s="218" t="s">
        <v>999</v>
      </c>
    </row>
    <row r="113">
      <c r="A113" s="430">
        <v>8.2666595000183E13</v>
      </c>
      <c r="B113" s="218" t="s">
        <v>1000</v>
      </c>
    </row>
    <row r="114">
      <c r="A114" s="430">
        <v>8.2694217000103E13</v>
      </c>
      <c r="B114" s="218" t="s">
        <v>1001</v>
      </c>
    </row>
    <row r="115">
      <c r="A115" s="430">
        <v>8.2700451000104E13</v>
      </c>
      <c r="B115" s="218" t="s">
        <v>1002</v>
      </c>
    </row>
    <row r="116">
      <c r="A116" s="430">
        <v>8.2704925000188E13</v>
      </c>
      <c r="B116" s="218" t="s">
        <v>1003</v>
      </c>
    </row>
    <row r="117">
      <c r="A117" s="430">
        <v>8.2738543000175E13</v>
      </c>
      <c r="B117" s="218" t="s">
        <v>1004</v>
      </c>
    </row>
    <row r="118">
      <c r="A118" s="430">
        <v>8.2742586000124E13</v>
      </c>
      <c r="B118" s="218" t="s">
        <v>1005</v>
      </c>
    </row>
    <row r="119">
      <c r="A119" s="430">
        <v>8.2660317000461E13</v>
      </c>
      <c r="B119" s="218" t="s">
        <v>1006</v>
      </c>
    </row>
    <row r="120">
      <c r="A120" s="430">
        <v>8.2745217000195E13</v>
      </c>
      <c r="B120" s="218" t="s">
        <v>1007</v>
      </c>
    </row>
    <row r="121">
      <c r="A121" s="430">
        <v>8.2754268000183E13</v>
      </c>
      <c r="B121" s="218" t="s">
        <v>1008</v>
      </c>
    </row>
    <row r="122">
      <c r="A122" s="430">
        <v>8.2928656000133E13</v>
      </c>
      <c r="B122" s="218" t="s">
        <v>1009</v>
      </c>
    </row>
    <row r="123">
      <c r="A123" s="430">
        <v>8.2935958000139E13</v>
      </c>
      <c r="B123" s="218" t="s">
        <v>1010</v>
      </c>
    </row>
    <row r="124">
      <c r="A124" s="430">
        <v>8.2763764000101E13</v>
      </c>
      <c r="B124" s="218" t="s">
        <v>1011</v>
      </c>
    </row>
    <row r="125">
      <c r="A125" s="430">
        <v>8.1336497000115E13</v>
      </c>
      <c r="B125" s="218" t="s">
        <v>1012</v>
      </c>
    </row>
    <row r="126">
      <c r="A126" s="430">
        <v>8.134914400015E13</v>
      </c>
      <c r="B126" s="218" t="s">
        <v>1013</v>
      </c>
    </row>
    <row r="127">
      <c r="A127" s="430">
        <v>8.1349870000172E13</v>
      </c>
      <c r="B127" s="218" t="s">
        <v>1014</v>
      </c>
    </row>
    <row r="128">
      <c r="A128" s="430">
        <v>8.1359143000196E13</v>
      </c>
      <c r="B128" s="218" t="s">
        <v>1015</v>
      </c>
    </row>
    <row r="129">
      <c r="A129" s="430">
        <v>8.1359598000101E13</v>
      </c>
      <c r="B129" s="218" t="s">
        <v>1016</v>
      </c>
    </row>
    <row r="130">
      <c r="A130" s="430">
        <v>9.7721682000143E13</v>
      </c>
      <c r="B130" s="218" t="s">
        <v>1017</v>
      </c>
    </row>
    <row r="131">
      <c r="A131" s="430">
        <v>1.11511000504E11</v>
      </c>
      <c r="B131" s="218" t="s">
        <v>1018</v>
      </c>
    </row>
    <row r="132">
      <c r="A132" s="430">
        <v>8.4290329000124E13</v>
      </c>
      <c r="B132" s="218" t="s">
        <v>1019</v>
      </c>
    </row>
    <row r="133">
      <c r="A133" s="430">
        <v>4.257307000123E12</v>
      </c>
      <c r="B133" s="218" t="s">
        <v>1020</v>
      </c>
    </row>
    <row r="134">
      <c r="A134" s="430">
        <v>6.19381000191E11</v>
      </c>
      <c r="B134" s="218" t="s">
        <v>1021</v>
      </c>
    </row>
    <row r="135">
      <c r="A135" s="430">
        <v>9.4150612000104E13</v>
      </c>
      <c r="B135" s="218" t="s">
        <v>1022</v>
      </c>
    </row>
    <row r="136">
      <c r="A136" s="430">
        <v>7.168167000105E12</v>
      </c>
      <c r="B136" s="218" t="s">
        <v>1023</v>
      </c>
    </row>
    <row r="137">
      <c r="A137" s="430">
        <v>1.55058600012E12</v>
      </c>
      <c r="B137" s="218" t="s">
        <v>1024</v>
      </c>
    </row>
    <row r="138">
      <c r="A138" s="430">
        <v>2.19826000146E11</v>
      </c>
      <c r="B138" s="218" t="s">
        <v>1025</v>
      </c>
    </row>
    <row r="139">
      <c r="A139" s="430">
        <v>8.2699588000188E13</v>
      </c>
      <c r="B139" s="218" t="s">
        <v>1026</v>
      </c>
    </row>
    <row r="140">
      <c r="A140" s="430">
        <v>7.167573000013E13</v>
      </c>
      <c r="B140" s="218" t="s">
        <v>1027</v>
      </c>
    </row>
    <row r="141">
      <c r="A141" s="430">
        <v>5.9456277000176E13</v>
      </c>
      <c r="B141" s="218" t="s">
        <v>398</v>
      </c>
    </row>
    <row r="142">
      <c r="A142" s="430">
        <v>8.3662858000149E13</v>
      </c>
      <c r="B142" s="218" t="s">
        <v>1028</v>
      </c>
    </row>
    <row r="143">
      <c r="A143" s="430">
        <v>7.9893426000171E13</v>
      </c>
      <c r="B143" s="218" t="s">
        <v>1029</v>
      </c>
    </row>
    <row r="144">
      <c r="A144" s="430">
        <v>8.5351088000149E13</v>
      </c>
      <c r="B144" s="218" t="s">
        <v>1030</v>
      </c>
    </row>
    <row r="145">
      <c r="A145" s="430">
        <v>5.9057992000136E13</v>
      </c>
      <c r="B145" s="218" t="s">
        <v>1031</v>
      </c>
    </row>
    <row r="146">
      <c r="A146" s="430">
        <v>6.94245000166E11</v>
      </c>
      <c r="B146" s="218" t="s">
        <v>1032</v>
      </c>
    </row>
    <row r="147">
      <c r="A147" s="430">
        <v>1.549516000152E12</v>
      </c>
      <c r="B147" s="218" t="s">
        <v>1033</v>
      </c>
    </row>
    <row r="148">
      <c r="A148" s="430">
        <v>8.4290519000141E13</v>
      </c>
      <c r="B148" s="218" t="s">
        <v>1034</v>
      </c>
    </row>
    <row r="149">
      <c r="A149" s="430">
        <v>5.11285000125E11</v>
      </c>
      <c r="B149" s="218" t="s">
        <v>1035</v>
      </c>
    </row>
    <row r="150">
      <c r="A150" s="430">
        <v>7.9001814000109E13</v>
      </c>
      <c r="B150" s="218" t="s">
        <v>1036</v>
      </c>
    </row>
    <row r="151">
      <c r="A151" s="430">
        <v>7.323406400012E13</v>
      </c>
      <c r="B151" s="218" t="s">
        <v>1037</v>
      </c>
    </row>
    <row r="152">
      <c r="A152" s="430">
        <v>7.3202541000176E13</v>
      </c>
      <c r="B152" s="218" t="s">
        <v>1038</v>
      </c>
    </row>
    <row r="153">
      <c r="A153" s="430">
        <v>7.2052285000115E13</v>
      </c>
      <c r="B153" s="218" t="s">
        <v>1039</v>
      </c>
    </row>
    <row r="154">
      <c r="A154" s="430">
        <v>2.141250000177E12</v>
      </c>
      <c r="B154" s="218" t="s">
        <v>1040</v>
      </c>
    </row>
    <row r="155">
      <c r="A155" s="430">
        <v>2.0218800015E11</v>
      </c>
      <c r="B155" s="218" t="s">
        <v>1041</v>
      </c>
    </row>
    <row r="156">
      <c r="A156" s="430">
        <v>9.0347840000975E13</v>
      </c>
      <c r="B156" s="218" t="s">
        <v>1042</v>
      </c>
    </row>
    <row r="157">
      <c r="A157" s="430">
        <v>9.4781143000121E13</v>
      </c>
      <c r="B157" s="218" t="s">
        <v>1043</v>
      </c>
    </row>
    <row r="158">
      <c r="A158" s="430">
        <v>8.2511833000181E13</v>
      </c>
      <c r="B158" s="218" t="s">
        <v>1044</v>
      </c>
    </row>
    <row r="159">
      <c r="A159" s="430">
        <v>3.246938000184E12</v>
      </c>
      <c r="B159" s="218" t="s">
        <v>1045</v>
      </c>
    </row>
    <row r="160">
      <c r="A160" s="430">
        <v>6.75498000192E11</v>
      </c>
      <c r="B160" s="218" t="s">
        <v>1046</v>
      </c>
    </row>
    <row r="161">
      <c r="A161" s="430">
        <v>7.7385797000117E13</v>
      </c>
      <c r="B161" s="218" t="s">
        <v>1047</v>
      </c>
    </row>
    <row r="162">
      <c r="A162" s="430">
        <v>1.757882000105E12</v>
      </c>
      <c r="B162" s="218" t="s">
        <v>1048</v>
      </c>
    </row>
    <row r="163">
      <c r="A163" s="430">
        <v>5.5385777000103E13</v>
      </c>
      <c r="B163" s="218" t="s">
        <v>1049</v>
      </c>
    </row>
    <row r="164">
      <c r="A164" s="430">
        <v>3.57602000109E11</v>
      </c>
      <c r="B164" s="218" t="s">
        <v>1050</v>
      </c>
    </row>
    <row r="165">
      <c r="A165" s="430">
        <v>3.114714000119E12</v>
      </c>
      <c r="B165" s="218" t="s">
        <v>1051</v>
      </c>
    </row>
    <row r="166">
      <c r="A166" s="430">
        <v>8.7389086000174E13</v>
      </c>
      <c r="B166" s="218" t="s">
        <v>1052</v>
      </c>
    </row>
    <row r="167">
      <c r="A167" s="430">
        <v>7.789234700011E13</v>
      </c>
      <c r="B167" s="218" t="s">
        <v>1053</v>
      </c>
    </row>
    <row r="168">
      <c r="A168" s="430">
        <v>7.5501148000109E13</v>
      </c>
      <c r="B168" s="218" t="s">
        <v>1054</v>
      </c>
    </row>
    <row r="169">
      <c r="A169" s="430">
        <v>2.02738000131E11</v>
      </c>
      <c r="B169" s="218" t="s">
        <v>1055</v>
      </c>
    </row>
    <row r="170">
      <c r="A170" s="430">
        <v>8.0464753000197E13</v>
      </c>
      <c r="B170" s="218" t="s">
        <v>1056</v>
      </c>
    </row>
    <row r="171">
      <c r="A171" s="430">
        <v>8.3930214000194E13</v>
      </c>
      <c r="B171" s="218" t="s">
        <v>1057</v>
      </c>
    </row>
    <row r="172">
      <c r="A172" s="430">
        <v>7.3820003000145E13</v>
      </c>
      <c r="B172" s="218" t="s">
        <v>1058</v>
      </c>
    </row>
    <row r="173">
      <c r="A173" s="430">
        <v>8.3879551000102E13</v>
      </c>
      <c r="B173" s="218" t="s">
        <v>1059</v>
      </c>
    </row>
    <row r="174">
      <c r="A174" s="430">
        <v>3.174967000188E12</v>
      </c>
      <c r="B174" s="218" t="s">
        <v>1060</v>
      </c>
    </row>
    <row r="175">
      <c r="A175" s="430">
        <v>2.976156000138E12</v>
      </c>
      <c r="B175" s="218" t="s">
        <v>1061</v>
      </c>
    </row>
    <row r="176">
      <c r="A176" s="430">
        <v>7.9246658000138E13</v>
      </c>
      <c r="B176" s="218" t="s">
        <v>1062</v>
      </c>
    </row>
    <row r="177">
      <c r="A177" s="430">
        <v>7.8819604000151E13</v>
      </c>
      <c r="B177" s="218" t="s">
        <v>1063</v>
      </c>
    </row>
    <row r="178">
      <c r="A178" s="430">
        <v>7.536216000018E13</v>
      </c>
      <c r="B178" s="218" t="s">
        <v>1064</v>
      </c>
    </row>
    <row r="179">
      <c r="A179" s="430">
        <v>2.312303000175E12</v>
      </c>
      <c r="B179" s="218" t="s">
        <v>1065</v>
      </c>
    </row>
    <row r="180">
      <c r="A180" s="430">
        <v>7.7620318000108E13</v>
      </c>
      <c r="B180" s="218" t="s">
        <v>1066</v>
      </c>
    </row>
    <row r="181">
      <c r="A181" s="430">
        <v>1.735549000197E12</v>
      </c>
      <c r="B181" s="218" t="s">
        <v>1067</v>
      </c>
    </row>
    <row r="182">
      <c r="A182" s="430">
        <v>2.718574000125E12</v>
      </c>
      <c r="B182" s="218" t="s">
        <v>1068</v>
      </c>
    </row>
    <row r="183">
      <c r="A183" s="430">
        <v>7.5362830000168E13</v>
      </c>
      <c r="B183" s="218" t="s">
        <v>1069</v>
      </c>
    </row>
    <row r="184">
      <c r="A184" s="430">
        <v>8.0348618000186E13</v>
      </c>
      <c r="B184" s="218" t="s">
        <v>1070</v>
      </c>
    </row>
    <row r="185">
      <c r="A185" s="430">
        <v>9.39190000107E11</v>
      </c>
      <c r="B185" s="218" t="s">
        <v>1071</v>
      </c>
    </row>
    <row r="186">
      <c r="A186" s="430">
        <v>8.2841131000166E13</v>
      </c>
      <c r="B186" s="218" t="s">
        <v>1072</v>
      </c>
    </row>
    <row r="187">
      <c r="A187" s="430">
        <v>7.39207120001E13</v>
      </c>
      <c r="B187" s="218" t="s">
        <v>1073</v>
      </c>
    </row>
    <row r="188">
      <c r="A188" s="430">
        <v>3.398050000167E12</v>
      </c>
      <c r="B188" s="218" t="s">
        <v>1074</v>
      </c>
    </row>
    <row r="189">
      <c r="A189" s="430">
        <v>3.083579000191E12</v>
      </c>
      <c r="B189" s="218" t="s">
        <v>1075</v>
      </c>
    </row>
    <row r="190">
      <c r="A190" s="430">
        <v>2.87156300018E12</v>
      </c>
      <c r="B190" s="218" t="s">
        <v>1076</v>
      </c>
    </row>
    <row r="191">
      <c r="A191" s="430">
        <v>6.8503069000171E13</v>
      </c>
      <c r="B191" s="218" t="s">
        <v>1077</v>
      </c>
    </row>
    <row r="192">
      <c r="A192" s="430">
        <v>4.09282000185E11</v>
      </c>
      <c r="B192" s="218" t="s">
        <v>1078</v>
      </c>
    </row>
    <row r="193">
      <c r="A193" s="430">
        <v>8.5192797000129E13</v>
      </c>
      <c r="B193" s="218" t="s">
        <v>1079</v>
      </c>
    </row>
    <row r="194">
      <c r="A194" s="430">
        <v>6.34521000109E11</v>
      </c>
      <c r="B194" s="218" t="s">
        <v>1080</v>
      </c>
    </row>
    <row r="195">
      <c r="A195" s="430">
        <v>7.8323094000208E13</v>
      </c>
      <c r="B195" s="218" t="s">
        <v>1081</v>
      </c>
    </row>
    <row r="196">
      <c r="A196" s="430">
        <v>2.088796000101E12</v>
      </c>
      <c r="B196" s="218" t="s">
        <v>1082</v>
      </c>
    </row>
    <row r="197">
      <c r="A197" s="430">
        <v>5.4102785000132E13</v>
      </c>
      <c r="B197" s="218" t="s">
        <v>1083</v>
      </c>
    </row>
    <row r="198">
      <c r="A198" s="430">
        <v>2.429776000157E12</v>
      </c>
      <c r="B198" s="218" t="s">
        <v>1084</v>
      </c>
    </row>
    <row r="199">
      <c r="A199" s="430">
        <v>1.199787000125E12</v>
      </c>
      <c r="B199" s="218" t="s">
        <v>1085</v>
      </c>
    </row>
    <row r="200">
      <c r="A200" s="430">
        <v>8.2637109000522E13</v>
      </c>
      <c r="B200" s="218" t="s">
        <v>1086</v>
      </c>
    </row>
    <row r="201">
      <c r="A201" s="430">
        <v>8.2511205000104E13</v>
      </c>
      <c r="B201" s="218" t="s">
        <v>1087</v>
      </c>
    </row>
    <row r="202">
      <c r="A202" s="430">
        <v>1.30130000149E11</v>
      </c>
      <c r="B202" s="218" t="s">
        <v>1088</v>
      </c>
    </row>
    <row r="203">
      <c r="A203" s="430">
        <v>7.9922571000133E13</v>
      </c>
      <c r="B203" s="218" t="s">
        <v>1089</v>
      </c>
    </row>
    <row r="204">
      <c r="A204" s="430">
        <v>8.0551724000162E13</v>
      </c>
      <c r="B204" s="218" t="s">
        <v>1090</v>
      </c>
    </row>
    <row r="205">
      <c r="A205" s="430">
        <v>8.3125567000111E13</v>
      </c>
      <c r="B205" s="218" t="s">
        <v>1091</v>
      </c>
    </row>
    <row r="206">
      <c r="A206" s="430">
        <v>8.5280337000152E13</v>
      </c>
      <c r="B206" s="218" t="s">
        <v>1092</v>
      </c>
    </row>
    <row r="207">
      <c r="A207" s="430">
        <v>8.2895327000133E13</v>
      </c>
      <c r="B207" s="218" t="s">
        <v>1093</v>
      </c>
    </row>
    <row r="208">
      <c r="A208" s="430">
        <v>4.50276000171E11</v>
      </c>
      <c r="B208" s="218" t="s">
        <v>1094</v>
      </c>
    </row>
    <row r="209">
      <c r="A209" s="430">
        <v>7.1702716000421E13</v>
      </c>
      <c r="B209" s="218" t="s">
        <v>1095</v>
      </c>
    </row>
    <row r="210">
      <c r="A210" s="430">
        <v>2.471194000139E12</v>
      </c>
      <c r="B210" s="218" t="s">
        <v>1096</v>
      </c>
    </row>
    <row r="211">
      <c r="A211" s="430">
        <v>7.5406421000116E13</v>
      </c>
      <c r="B211" s="218" t="s">
        <v>1097</v>
      </c>
    </row>
    <row r="212">
      <c r="A212" s="430">
        <v>8.9448393000104E13</v>
      </c>
      <c r="B212" s="218" t="s">
        <v>1098</v>
      </c>
    </row>
    <row r="213">
      <c r="A213" s="430">
        <v>1.964017000121E12</v>
      </c>
      <c r="B213" s="218" t="s">
        <v>1099</v>
      </c>
    </row>
    <row r="214">
      <c r="A214" s="430">
        <v>8.2871518000165E13</v>
      </c>
      <c r="B214" s="218" t="s">
        <v>1100</v>
      </c>
    </row>
    <row r="215">
      <c r="A215" s="430">
        <v>7.4156381000139E13</v>
      </c>
      <c r="B215" s="218" t="s">
        <v>1101</v>
      </c>
    </row>
    <row r="216">
      <c r="A216" s="430">
        <v>8.1342404000165E13</v>
      </c>
      <c r="B216" s="218" t="s">
        <v>1102</v>
      </c>
    </row>
    <row r="217">
      <c r="A217" s="430">
        <v>8.1633828000189E13</v>
      </c>
      <c r="B217" s="218" t="s">
        <v>1103</v>
      </c>
    </row>
    <row r="218">
      <c r="A218" s="430">
        <v>4.82840000138E11</v>
      </c>
      <c r="B218" s="218" t="s">
        <v>1104</v>
      </c>
    </row>
    <row r="219">
      <c r="A219" s="430">
        <v>8.1363889000173E13</v>
      </c>
      <c r="B219" s="218" t="s">
        <v>1105</v>
      </c>
    </row>
    <row r="220">
      <c r="A220" s="430">
        <v>8.1365819000154E13</v>
      </c>
      <c r="B220" s="218" t="s">
        <v>1106</v>
      </c>
    </row>
    <row r="221">
      <c r="A221" s="430">
        <v>8.13693080001E13</v>
      </c>
      <c r="B221" s="218" t="s">
        <v>1107</v>
      </c>
    </row>
    <row r="222">
      <c r="A222" s="430">
        <v>8.13699020001E13</v>
      </c>
      <c r="B222" s="218" t="s">
        <v>1108</v>
      </c>
    </row>
    <row r="223">
      <c r="A223" s="430">
        <v>8.0943947000175E13</v>
      </c>
      <c r="B223" s="218" t="s">
        <v>1109</v>
      </c>
    </row>
    <row r="224">
      <c r="A224" s="430">
        <v>8.0943962000113E13</v>
      </c>
      <c r="B224" s="218" t="s">
        <v>1110</v>
      </c>
    </row>
    <row r="225">
      <c r="A225" s="430">
        <v>8.0945918000142E13</v>
      </c>
      <c r="B225" s="218" t="s">
        <v>1111</v>
      </c>
    </row>
    <row r="226">
      <c r="A226" s="430">
        <v>8.0946205000101E13</v>
      </c>
      <c r="B226" s="218" t="s">
        <v>1112</v>
      </c>
    </row>
    <row r="227">
      <c r="A227" s="430">
        <v>8.0949977000199E13</v>
      </c>
      <c r="B227" s="218" t="s">
        <v>1113</v>
      </c>
    </row>
    <row r="228">
      <c r="A228" s="430">
        <v>8.0955818000105E13</v>
      </c>
      <c r="B228" s="218" t="s">
        <v>1114</v>
      </c>
    </row>
    <row r="229">
      <c r="A229" s="430">
        <v>8.0938293000191E13</v>
      </c>
      <c r="B229" s="218" t="s">
        <v>1115</v>
      </c>
    </row>
    <row r="230">
      <c r="A230" s="430">
        <v>8.097139300011E13</v>
      </c>
      <c r="B230" s="218" t="s">
        <v>1116</v>
      </c>
    </row>
    <row r="231">
      <c r="A231" s="430">
        <v>8.0973084000189E13</v>
      </c>
      <c r="B231" s="218" t="s">
        <v>1117</v>
      </c>
    </row>
    <row r="232">
      <c r="A232" s="430">
        <v>8.2142373000161E13</v>
      </c>
      <c r="B232" s="218" t="s">
        <v>1118</v>
      </c>
    </row>
    <row r="233">
      <c r="A233" s="430">
        <v>8.2144379000178E13</v>
      </c>
      <c r="B233" s="218" t="s">
        <v>1119</v>
      </c>
    </row>
    <row r="234">
      <c r="A234" s="430">
        <v>8.161578300011E13</v>
      </c>
      <c r="B234" s="218" t="s">
        <v>1120</v>
      </c>
    </row>
    <row r="235">
      <c r="A235" s="430">
        <v>8.1617284000161E13</v>
      </c>
      <c r="B235" s="218" t="s">
        <v>1121</v>
      </c>
    </row>
    <row r="236">
      <c r="A236" s="430">
        <v>8.16309980001E13</v>
      </c>
      <c r="B236" s="218" t="s">
        <v>1122</v>
      </c>
    </row>
    <row r="237">
      <c r="A237" s="430">
        <v>8.1774143000152E13</v>
      </c>
      <c r="B237" s="218" t="s">
        <v>1123</v>
      </c>
    </row>
    <row r="238">
      <c r="A238" s="430">
        <v>8.1775090000194E13</v>
      </c>
      <c r="B238" s="218" t="s">
        <v>1124</v>
      </c>
    </row>
    <row r="239">
      <c r="A239" s="430">
        <v>8.177720300019E13</v>
      </c>
      <c r="B239" s="218" t="s">
        <v>1125</v>
      </c>
    </row>
    <row r="240">
      <c r="A240" s="430">
        <v>8.1597833000183E13</v>
      </c>
      <c r="B240" s="218" t="s">
        <v>1126</v>
      </c>
    </row>
    <row r="241">
      <c r="A241" s="430">
        <v>8.1599433000107E13</v>
      </c>
      <c r="B241" s="218" t="s">
        <v>1127</v>
      </c>
    </row>
    <row r="242">
      <c r="A242" s="430">
        <v>8.1600215000145E13</v>
      </c>
      <c r="B242" s="218" t="s">
        <v>1128</v>
      </c>
    </row>
    <row r="243">
      <c r="A243" s="430">
        <v>8.1606766000116E13</v>
      </c>
      <c r="B243" s="218" t="s">
        <v>1129</v>
      </c>
    </row>
    <row r="244">
      <c r="A244" s="430">
        <v>8.1614620000112E13</v>
      </c>
      <c r="B244" s="218" t="s">
        <v>1130</v>
      </c>
    </row>
    <row r="245">
      <c r="A245" s="430">
        <v>8.177761700011E13</v>
      </c>
      <c r="B245" s="218" t="s">
        <v>1131</v>
      </c>
    </row>
    <row r="246">
      <c r="A246" s="430">
        <v>8.1782104000105E13</v>
      </c>
      <c r="B246" s="218" t="s">
        <v>1132</v>
      </c>
    </row>
    <row r="247">
      <c r="A247" s="430">
        <v>8.1782146000138E13</v>
      </c>
      <c r="B247" s="218" t="s">
        <v>1133</v>
      </c>
    </row>
    <row r="248">
      <c r="A248" s="430">
        <v>8.1782237000173E13</v>
      </c>
      <c r="B248" s="218" t="s">
        <v>1134</v>
      </c>
    </row>
    <row r="249">
      <c r="A249" s="430">
        <v>8.1792855000102E13</v>
      </c>
      <c r="B249" s="218" t="s">
        <v>1135</v>
      </c>
    </row>
    <row r="250">
      <c r="A250" s="430">
        <v>8.1792947000184E13</v>
      </c>
      <c r="B250" s="218" t="s">
        <v>1136</v>
      </c>
    </row>
    <row r="251">
      <c r="A251" s="430">
        <v>8.179470300013E13</v>
      </c>
      <c r="B251" s="218" t="s">
        <v>1137</v>
      </c>
    </row>
    <row r="252">
      <c r="A252" s="430">
        <v>8.1861361000124E13</v>
      </c>
      <c r="B252" s="218" t="s">
        <v>1138</v>
      </c>
    </row>
    <row r="253">
      <c r="A253" s="430">
        <v>8.1866352000126E13</v>
      </c>
      <c r="B253" s="218" t="s">
        <v>1139</v>
      </c>
    </row>
    <row r="254">
      <c r="A254" s="430">
        <v>8.2113085000189E13</v>
      </c>
      <c r="B254" s="218" t="s">
        <v>1140</v>
      </c>
    </row>
    <row r="255">
      <c r="A255" s="430">
        <v>8.2114190000132E13</v>
      </c>
      <c r="B255" s="218" t="s">
        <v>1141</v>
      </c>
    </row>
    <row r="256">
      <c r="A256" s="430">
        <v>8.2116278000193E13</v>
      </c>
      <c r="B256" s="218" t="s">
        <v>1142</v>
      </c>
    </row>
    <row r="257">
      <c r="A257" s="430">
        <v>8.2120858000154E13</v>
      </c>
      <c r="B257" s="218" t="s">
        <v>1143</v>
      </c>
    </row>
    <row r="258">
      <c r="A258" s="430">
        <v>8.2129420000137E13</v>
      </c>
      <c r="B258" s="218" t="s">
        <v>1144</v>
      </c>
    </row>
    <row r="259">
      <c r="A259" s="430">
        <v>8.2130519000159E13</v>
      </c>
      <c r="B259" s="218" t="s">
        <v>1145</v>
      </c>
    </row>
    <row r="260">
      <c r="A260" s="430">
        <v>8.213284600014E13</v>
      </c>
      <c r="B260" s="218" t="s">
        <v>1146</v>
      </c>
    </row>
    <row r="261">
      <c r="A261" s="430">
        <v>3.060588000167E12</v>
      </c>
      <c r="B261" s="218" t="s">
        <v>1147</v>
      </c>
    </row>
    <row r="262">
      <c r="A262" s="430">
        <v>2.871360000194E12</v>
      </c>
      <c r="B262" s="218" t="s">
        <v>1148</v>
      </c>
    </row>
    <row r="263">
      <c r="A263" s="430">
        <v>3.3041062000109E13</v>
      </c>
      <c r="B263" s="218" t="s">
        <v>1149</v>
      </c>
    </row>
    <row r="264">
      <c r="A264" s="430">
        <v>2.033283000101E12</v>
      </c>
      <c r="B264" s="218" t="s">
        <v>1150</v>
      </c>
    </row>
    <row r="265">
      <c r="A265" s="430">
        <v>1.685053000156E12</v>
      </c>
      <c r="B265" s="218" t="s">
        <v>1151</v>
      </c>
    </row>
    <row r="266">
      <c r="A266" s="430">
        <v>2.372797000183E12</v>
      </c>
      <c r="B266" s="218" t="s">
        <v>1152</v>
      </c>
    </row>
    <row r="267">
      <c r="A267" s="430">
        <v>8.349527500017E13</v>
      </c>
      <c r="B267" s="218" t="s">
        <v>1153</v>
      </c>
    </row>
    <row r="268">
      <c r="A268" s="430">
        <v>1.21194400017E12</v>
      </c>
      <c r="B268" s="218" t="s">
        <v>1154</v>
      </c>
    </row>
    <row r="269">
      <c r="A269" s="430">
        <v>3.94460043975E11</v>
      </c>
      <c r="B269" s="218" t="s">
        <v>1155</v>
      </c>
    </row>
    <row r="270">
      <c r="A270" s="430">
        <v>3.669040000119E12</v>
      </c>
      <c r="B270" s="218" t="s">
        <v>1156</v>
      </c>
    </row>
    <row r="271">
      <c r="A271" s="430">
        <v>2.476491000177E12</v>
      </c>
      <c r="B271" s="218" t="s">
        <v>1157</v>
      </c>
    </row>
    <row r="272">
      <c r="A272" s="430">
        <v>6.1573796000166E13</v>
      </c>
      <c r="B272" s="218" t="s">
        <v>1158</v>
      </c>
    </row>
    <row r="273">
      <c r="A273" s="430">
        <v>7.5877092000191E13</v>
      </c>
      <c r="B273" s="218" t="s">
        <v>1159</v>
      </c>
    </row>
    <row r="274">
      <c r="A274" s="430">
        <v>8.539267800011E13</v>
      </c>
      <c r="B274" s="218" t="s">
        <v>1160</v>
      </c>
    </row>
    <row r="275">
      <c r="A275" s="430">
        <v>8.3564443000132E13</v>
      </c>
      <c r="B275" s="218" t="s">
        <v>1161</v>
      </c>
    </row>
    <row r="276">
      <c r="A276" s="430">
        <v>7.9942173000189E13</v>
      </c>
      <c r="B276" s="218" t="s">
        <v>1162</v>
      </c>
    </row>
    <row r="277">
      <c r="A277" s="430">
        <v>1.989322000178E12</v>
      </c>
      <c r="B277" s="218" t="s">
        <v>1163</v>
      </c>
    </row>
    <row r="278">
      <c r="A278" s="430">
        <v>8.874382800018E13</v>
      </c>
      <c r="B278" s="218" t="s">
        <v>1164</v>
      </c>
    </row>
    <row r="279">
      <c r="A279" s="430">
        <v>3.60305000104E11</v>
      </c>
      <c r="B279" s="218" t="s">
        <v>1165</v>
      </c>
    </row>
    <row r="280">
      <c r="A280" s="430">
        <v>3.3372251006278E13</v>
      </c>
      <c r="B280" s="218" t="s">
        <v>1166</v>
      </c>
    </row>
    <row r="281">
      <c r="A281" s="430">
        <v>5.299767000187E12</v>
      </c>
      <c r="B281" s="218" t="s">
        <v>1167</v>
      </c>
    </row>
    <row r="282">
      <c r="A282" s="430">
        <v>4.581151000565E12</v>
      </c>
      <c r="B282" s="218" t="s">
        <v>1168</v>
      </c>
    </row>
    <row r="283">
      <c r="A283" s="430">
        <v>3.158130000145E12</v>
      </c>
      <c r="B283" s="218" t="s">
        <v>1169</v>
      </c>
    </row>
    <row r="284">
      <c r="A284" s="430">
        <v>8.5194504000142E13</v>
      </c>
      <c r="B284" s="218" t="s">
        <v>1170</v>
      </c>
    </row>
    <row r="285">
      <c r="A285" s="430">
        <v>6.1533949000141E13</v>
      </c>
      <c r="B285" s="218" t="s">
        <v>1171</v>
      </c>
    </row>
    <row r="286">
      <c r="A286" s="430">
        <v>6.15341860018E13</v>
      </c>
      <c r="B286" s="218" t="s">
        <v>1172</v>
      </c>
    </row>
    <row r="287">
      <c r="A287" s="430">
        <v>1.245077000194E12</v>
      </c>
      <c r="B287" s="218" t="s">
        <v>1173</v>
      </c>
    </row>
    <row r="288">
      <c r="A288" s="430">
        <v>8.2998873000108E13</v>
      </c>
      <c r="B288" s="218" t="s">
        <v>1174</v>
      </c>
    </row>
    <row r="289">
      <c r="A289" s="430">
        <v>8.2695420000102E13</v>
      </c>
      <c r="B289" s="218" t="s">
        <v>1175</v>
      </c>
    </row>
    <row r="290">
      <c r="A290" s="430">
        <v>3.3426420003451E13</v>
      </c>
      <c r="B290" s="218" t="s">
        <v>1176</v>
      </c>
    </row>
    <row r="291">
      <c r="A291" s="430">
        <v>8.0974389000105E13</v>
      </c>
      <c r="B291" s="218" t="s">
        <v>1177</v>
      </c>
    </row>
    <row r="292">
      <c r="A292" s="430">
        <v>1.16680000103E11</v>
      </c>
      <c r="B292" s="218" t="s">
        <v>1178</v>
      </c>
    </row>
    <row r="293">
      <c r="A293" s="430">
        <v>6.0579703000148E13</v>
      </c>
      <c r="B293" s="218" t="s">
        <v>1179</v>
      </c>
    </row>
    <row r="294">
      <c r="A294" s="430">
        <v>7.9807368000116E13</v>
      </c>
      <c r="B294" s="218" t="s">
        <v>1180</v>
      </c>
    </row>
    <row r="295">
      <c r="A295" s="430">
        <v>2.503428000182E12</v>
      </c>
      <c r="B295" s="218" t="s">
        <v>1181</v>
      </c>
    </row>
    <row r="296">
      <c r="A296" s="430">
        <v>2.2413230001E12</v>
      </c>
      <c r="B296" s="218" t="s">
        <v>1182</v>
      </c>
    </row>
    <row r="297">
      <c r="A297" s="430">
        <v>5.19389670004E13</v>
      </c>
      <c r="B297" s="218" t="s">
        <v>1183</v>
      </c>
    </row>
    <row r="298">
      <c r="A298" s="430">
        <v>1.578276000114E12</v>
      </c>
      <c r="B298" s="218" t="s">
        <v>1184</v>
      </c>
    </row>
    <row r="299">
      <c r="A299" s="430">
        <v>1.104244000187E12</v>
      </c>
      <c r="B299" s="218" t="s">
        <v>1185</v>
      </c>
    </row>
    <row r="300">
      <c r="A300" s="430">
        <v>3.3530486000129E13</v>
      </c>
      <c r="B300" s="218" t="s">
        <v>1186</v>
      </c>
    </row>
    <row r="301">
      <c r="A301" s="430">
        <v>8.3064741000163E13</v>
      </c>
      <c r="B301" s="218" t="s">
        <v>1187</v>
      </c>
    </row>
    <row r="302">
      <c r="A302" s="430">
        <v>8.3286443000118E13</v>
      </c>
      <c r="B302" s="218" t="s">
        <v>1188</v>
      </c>
    </row>
    <row r="303">
      <c r="A303" s="430">
        <v>3.3426420000193E13</v>
      </c>
      <c r="B303" s="218" t="s">
        <v>1176</v>
      </c>
    </row>
    <row r="304">
      <c r="A304" s="430">
        <v>3.530746000103E12</v>
      </c>
      <c r="B304" s="218" t="s">
        <v>1189</v>
      </c>
    </row>
    <row r="305">
      <c r="A305" s="430">
        <v>3.338971000134E12</v>
      </c>
      <c r="B305" s="218" t="s">
        <v>1190</v>
      </c>
    </row>
    <row r="306">
      <c r="A306" s="430">
        <v>8.518353100011E13</v>
      </c>
      <c r="B306" s="218" t="s">
        <v>1191</v>
      </c>
    </row>
    <row r="307">
      <c r="A307" s="430">
        <v>6.33716000126E11</v>
      </c>
      <c r="B307" s="218" t="s">
        <v>1192</v>
      </c>
    </row>
    <row r="308">
      <c r="A308" s="430">
        <v>9.2665611014984E13</v>
      </c>
      <c r="B308" s="218" t="s">
        <v>1193</v>
      </c>
    </row>
    <row r="309">
      <c r="A309" s="430">
        <v>7.6581958000185E13</v>
      </c>
      <c r="B309" s="218" t="s">
        <v>1194</v>
      </c>
    </row>
    <row r="310">
      <c r="A310" s="430">
        <v>8.0650633000184E13</v>
      </c>
      <c r="B310" s="218" t="s">
        <v>1195</v>
      </c>
    </row>
    <row r="311">
      <c r="A311" s="430">
        <v>2.00180000155E11</v>
      </c>
      <c r="B311" s="218" t="s">
        <v>1196</v>
      </c>
    </row>
    <row r="312">
      <c r="A312" s="430">
        <v>7.5406082000178E13</v>
      </c>
      <c r="B312" s="218" t="s">
        <v>1197</v>
      </c>
    </row>
    <row r="313">
      <c r="A313" s="430">
        <v>2.659237000104E12</v>
      </c>
      <c r="B313" s="218" t="s">
        <v>1198</v>
      </c>
    </row>
    <row r="314">
      <c r="A314" s="430">
        <v>8.3462325000113E13</v>
      </c>
      <c r="B314" s="218" t="s">
        <v>1199</v>
      </c>
    </row>
    <row r="315">
      <c r="A315" s="430">
        <v>8.3462325000628E13</v>
      </c>
      <c r="B315" s="218" t="s">
        <v>1199</v>
      </c>
    </row>
    <row r="316">
      <c r="A316" s="430">
        <v>7.5491688000159E13</v>
      </c>
      <c r="B316" s="218" t="s">
        <v>1200</v>
      </c>
    </row>
    <row r="317">
      <c r="A317" s="430">
        <v>8.3462325000385E13</v>
      </c>
      <c r="B317" s="218" t="s">
        <v>1199</v>
      </c>
    </row>
    <row r="318">
      <c r="A318" s="430">
        <v>8.1600371000106E13</v>
      </c>
      <c r="B318" s="218" t="s">
        <v>1201</v>
      </c>
    </row>
    <row r="319">
      <c r="A319" s="430">
        <v>5.910442200015E13</v>
      </c>
      <c r="B319" s="218" t="s">
        <v>1202</v>
      </c>
    </row>
    <row r="320">
      <c r="A320" s="430">
        <v>2.4916009000105E13</v>
      </c>
      <c r="B320" s="218" t="s">
        <v>1203</v>
      </c>
    </row>
    <row r="321">
      <c r="A321" s="430">
        <v>7.7963866000122E13</v>
      </c>
      <c r="B321" s="218" t="s">
        <v>1204</v>
      </c>
    </row>
    <row r="322">
      <c r="A322" s="430">
        <v>7.832309400047E13</v>
      </c>
      <c r="B322" s="218" t="s">
        <v>1205</v>
      </c>
    </row>
    <row r="323">
      <c r="A323" s="430">
        <v>5.2913241000125E13</v>
      </c>
      <c r="B323" s="218" t="s">
        <v>1206</v>
      </c>
    </row>
    <row r="324">
      <c r="A324" s="430">
        <v>2.608673000154E12</v>
      </c>
      <c r="B324" s="218" t="s">
        <v>1207</v>
      </c>
    </row>
    <row r="325">
      <c r="A325" s="430">
        <v>8.5207512000186E13</v>
      </c>
      <c r="B325" s="218" t="s">
        <v>1208</v>
      </c>
    </row>
    <row r="326">
      <c r="A326" s="430">
        <v>1.88942000145E11</v>
      </c>
      <c r="B326" s="218" t="s">
        <v>1209</v>
      </c>
    </row>
    <row r="327">
      <c r="A327" s="430">
        <v>8.263959200015E13</v>
      </c>
      <c r="B327" s="218" t="s">
        <v>1210</v>
      </c>
    </row>
    <row r="328">
      <c r="A328" s="430">
        <v>8.1164642000209E13</v>
      </c>
      <c r="B328" s="218" t="s">
        <v>1211</v>
      </c>
    </row>
    <row r="329">
      <c r="A329" s="430">
        <v>8.2135542000136E13</v>
      </c>
      <c r="B329" s="218" t="s">
        <v>1212</v>
      </c>
    </row>
    <row r="330">
      <c r="A330" s="430">
        <v>8.213556700013E13</v>
      </c>
      <c r="B330" s="218" t="s">
        <v>1213</v>
      </c>
    </row>
    <row r="331">
      <c r="A331" s="430">
        <v>8.2139452000113E13</v>
      </c>
      <c r="B331" s="218" t="s">
        <v>1214</v>
      </c>
    </row>
    <row r="332">
      <c r="A332" s="430">
        <v>8.1816027000159E13</v>
      </c>
      <c r="B332" s="218" t="s">
        <v>1215</v>
      </c>
    </row>
    <row r="333">
      <c r="A333" s="430">
        <v>8.1824823000123E13</v>
      </c>
      <c r="B333" s="218" t="s">
        <v>1216</v>
      </c>
    </row>
    <row r="334">
      <c r="A334" s="430">
        <v>8.1824823000133E13</v>
      </c>
      <c r="B334" s="218" t="s">
        <v>1216</v>
      </c>
    </row>
    <row r="335">
      <c r="A335" s="430">
        <v>8.1834038000161E13</v>
      </c>
      <c r="B335" s="218" t="s">
        <v>1217</v>
      </c>
    </row>
    <row r="336">
      <c r="A336" s="430">
        <v>8.1834525000124E13</v>
      </c>
      <c r="B336" s="218" t="s">
        <v>1218</v>
      </c>
    </row>
    <row r="337">
      <c r="A337" s="430">
        <v>8.1837882000146E13</v>
      </c>
      <c r="B337" s="218" t="s">
        <v>1219</v>
      </c>
    </row>
    <row r="338">
      <c r="A338" s="430">
        <v>8.1840746000105E13</v>
      </c>
      <c r="B338" s="218" t="s">
        <v>1220</v>
      </c>
    </row>
    <row r="339">
      <c r="A339" s="430">
        <v>8.1377442000153E13</v>
      </c>
      <c r="B339" s="218" t="s">
        <v>1221</v>
      </c>
    </row>
    <row r="340">
      <c r="A340" s="430">
        <v>8.1382079000164E13</v>
      </c>
      <c r="B340" s="218" t="s">
        <v>1222</v>
      </c>
    </row>
    <row r="341">
      <c r="A341" s="430">
        <v>8.1383622000148E13</v>
      </c>
      <c r="B341" s="218" t="s">
        <v>1223</v>
      </c>
    </row>
    <row r="342">
      <c r="A342" s="430">
        <v>8.1383622000418E13</v>
      </c>
      <c r="B342" s="218" t="s">
        <v>1224</v>
      </c>
    </row>
    <row r="343">
      <c r="A343" s="430">
        <v>8.1384034000129E13</v>
      </c>
      <c r="B343" s="218" t="s">
        <v>1225</v>
      </c>
    </row>
    <row r="344">
      <c r="A344" s="430">
        <v>8.1484784000172E13</v>
      </c>
      <c r="B344" s="218" t="s">
        <v>1226</v>
      </c>
    </row>
    <row r="345">
      <c r="A345" s="430">
        <v>8.15143090001E13</v>
      </c>
      <c r="B345" s="218" t="s">
        <v>1227</v>
      </c>
    </row>
    <row r="346">
      <c r="A346" s="430">
        <v>8.1515348000113E13</v>
      </c>
      <c r="B346" s="218" t="s">
        <v>1228</v>
      </c>
    </row>
    <row r="347">
      <c r="A347" s="430">
        <v>8.1515967000108E13</v>
      </c>
      <c r="B347" s="218" t="s">
        <v>1229</v>
      </c>
    </row>
    <row r="348">
      <c r="A348" s="430">
        <v>8.1518615000106E13</v>
      </c>
      <c r="B348" s="218" t="s">
        <v>1230</v>
      </c>
    </row>
    <row r="349">
      <c r="A349" s="430">
        <v>8.2648155000101E13</v>
      </c>
      <c r="B349" s="218" t="s">
        <v>1231</v>
      </c>
    </row>
    <row r="350">
      <c r="A350" s="430">
        <v>8.2648742000273E13</v>
      </c>
      <c r="B350" s="218" t="s">
        <v>1232</v>
      </c>
    </row>
    <row r="351">
      <c r="A351" s="430">
        <v>8.2649328000106E13</v>
      </c>
      <c r="B351" s="218" t="s">
        <v>1233</v>
      </c>
    </row>
    <row r="352">
      <c r="A352" s="430">
        <v>8.2650235000193E13</v>
      </c>
      <c r="B352" s="218" t="s">
        <v>1234</v>
      </c>
    </row>
    <row r="353">
      <c r="A353" s="430">
        <v>8.2653585000103E13</v>
      </c>
      <c r="B353" s="218" t="s">
        <v>1235</v>
      </c>
    </row>
    <row r="354">
      <c r="A354" s="430">
        <v>8.2657248000194E13</v>
      </c>
      <c r="B354" s="218" t="s">
        <v>1236</v>
      </c>
    </row>
    <row r="355">
      <c r="A355" s="430">
        <v>8.266031700038E13</v>
      </c>
      <c r="B355" s="218" t="s">
        <v>1006</v>
      </c>
    </row>
    <row r="356">
      <c r="A356" s="430">
        <v>8.2175977000104E13</v>
      </c>
      <c r="B356" s="218" t="s">
        <v>1237</v>
      </c>
    </row>
    <row r="357">
      <c r="A357" s="430">
        <v>8.2176983000186E13</v>
      </c>
      <c r="B357" s="218" t="s">
        <v>1238</v>
      </c>
    </row>
    <row r="358">
      <c r="A358" s="430">
        <v>8.2178435000195E13</v>
      </c>
      <c r="B358" s="218" t="s">
        <v>1239</v>
      </c>
    </row>
    <row r="359">
      <c r="A359" s="430">
        <v>8.2181561000107E13</v>
      </c>
      <c r="B359" s="218" t="s">
        <v>1240</v>
      </c>
    </row>
    <row r="360">
      <c r="A360" s="430">
        <v>8.218236100016E13</v>
      </c>
      <c r="B360" s="218" t="s">
        <v>1241</v>
      </c>
    </row>
    <row r="361">
      <c r="A361" s="430">
        <v>8.219367300017E13</v>
      </c>
      <c r="B361" s="218" t="s">
        <v>1242</v>
      </c>
    </row>
    <row r="362">
      <c r="A362" s="430">
        <v>8.220712700014E13</v>
      </c>
      <c r="B362" s="218" t="s">
        <v>1243</v>
      </c>
    </row>
    <row r="363">
      <c r="A363" s="430">
        <v>8.224744600018E13</v>
      </c>
      <c r="B363" s="218" t="s">
        <v>1244</v>
      </c>
    </row>
    <row r="364">
      <c r="A364" s="430">
        <v>8.2285685000124E13</v>
      </c>
      <c r="B364" s="218" t="s">
        <v>1245</v>
      </c>
    </row>
    <row r="365">
      <c r="A365" s="430">
        <v>8.2296062000157E13</v>
      </c>
      <c r="B365" s="218" t="s">
        <v>1246</v>
      </c>
    </row>
    <row r="366">
      <c r="A366" s="430">
        <v>8.2321803000102E13</v>
      </c>
      <c r="B366" s="218" t="s">
        <v>1247</v>
      </c>
    </row>
    <row r="367">
      <c r="A367" s="430">
        <v>8.2149394000109E13</v>
      </c>
      <c r="B367" s="218" t="s">
        <v>1248</v>
      </c>
    </row>
    <row r="368">
      <c r="A368" s="430">
        <v>8.2150533000114E13</v>
      </c>
      <c r="B368" s="218" t="s">
        <v>1249</v>
      </c>
    </row>
    <row r="369">
      <c r="A369" s="430">
        <v>8.2163890000117E13</v>
      </c>
      <c r="B369" s="218" t="s">
        <v>1250</v>
      </c>
    </row>
    <row r="370">
      <c r="A370" s="430">
        <v>8.2166935000107E13</v>
      </c>
      <c r="B370" s="218" t="s">
        <v>1251</v>
      </c>
    </row>
    <row r="371">
      <c r="A371" s="430">
        <v>8.2637968000198E13</v>
      </c>
      <c r="B371" s="218" t="s">
        <v>1252</v>
      </c>
    </row>
    <row r="372">
      <c r="A372" s="430">
        <v>8.2637968000864E13</v>
      </c>
      <c r="B372" s="218" t="s">
        <v>1253</v>
      </c>
    </row>
    <row r="373">
      <c r="A373" s="430">
        <v>2.5724160001E12</v>
      </c>
      <c r="B373" s="218" t="s">
        <v>1254</v>
      </c>
    </row>
    <row r="374">
      <c r="A374" s="430">
        <v>1.834190000105E12</v>
      </c>
      <c r="B374" s="218" t="s">
        <v>1255</v>
      </c>
    </row>
    <row r="375">
      <c r="A375" s="430">
        <v>4.65796000158E11</v>
      </c>
      <c r="B375" s="218" t="s">
        <v>1256</v>
      </c>
    </row>
    <row r="376">
      <c r="A376" s="430">
        <v>7.2135650000155E13</v>
      </c>
      <c r="B376" s="218" t="s">
        <v>1257</v>
      </c>
    </row>
    <row r="377">
      <c r="A377" s="430">
        <v>7.3425290000199E13</v>
      </c>
      <c r="B377" s="218" t="s">
        <v>1258</v>
      </c>
    </row>
    <row r="378">
      <c r="A378" s="430">
        <v>8.0998016000174E13</v>
      </c>
      <c r="B378" s="218" t="s">
        <v>1259</v>
      </c>
    </row>
    <row r="379">
      <c r="A379" s="430">
        <v>7.6488071000309E13</v>
      </c>
      <c r="B379" s="218" t="s">
        <v>1260</v>
      </c>
    </row>
    <row r="380">
      <c r="A380" s="430">
        <v>7.5509612000103E13</v>
      </c>
      <c r="B380" s="218" t="s">
        <v>1261</v>
      </c>
    </row>
    <row r="381">
      <c r="A381" s="430">
        <v>6.0834272000119E13</v>
      </c>
      <c r="B381" s="218" t="s">
        <v>1262</v>
      </c>
    </row>
    <row r="382">
      <c r="A382" s="430">
        <v>8.3876201000184E13</v>
      </c>
      <c r="B382" s="218" t="s">
        <v>1263</v>
      </c>
    </row>
    <row r="383">
      <c r="A383" s="430">
        <v>8.5247930000105E13</v>
      </c>
      <c r="B383" s="218" t="s">
        <v>1264</v>
      </c>
    </row>
    <row r="384">
      <c r="A384" s="430">
        <v>8.0154974000169E13</v>
      </c>
      <c r="B384" s="218" t="s">
        <v>1265</v>
      </c>
    </row>
    <row r="385">
      <c r="A385" s="430">
        <v>2.523792000104E12</v>
      </c>
      <c r="B385" s="218" t="s">
        <v>1266</v>
      </c>
    </row>
    <row r="386">
      <c r="A386" s="430">
        <v>7.9311031000113E13</v>
      </c>
      <c r="B386" s="218" t="s">
        <v>1267</v>
      </c>
    </row>
    <row r="387">
      <c r="A387" s="430">
        <v>7.6631084000204E13</v>
      </c>
      <c r="B387" s="218" t="s">
        <v>1268</v>
      </c>
    </row>
    <row r="388">
      <c r="A388" s="430">
        <v>2.9213386005322E13</v>
      </c>
      <c r="B388" s="218" t="s">
        <v>1269</v>
      </c>
    </row>
    <row r="389">
      <c r="A389" s="430">
        <v>8.2882986000135E13</v>
      </c>
      <c r="B389" s="218" t="s">
        <v>1270</v>
      </c>
    </row>
    <row r="390">
      <c r="A390" s="430">
        <v>2.5385212000165E13</v>
      </c>
      <c r="B390" s="218" t="s">
        <v>1271</v>
      </c>
    </row>
    <row r="391">
      <c r="A391" s="430">
        <v>7.8323094000127E13</v>
      </c>
      <c r="B391" s="218" t="s">
        <v>1272</v>
      </c>
    </row>
    <row r="392">
      <c r="A392" s="430">
        <v>1.917219000112E12</v>
      </c>
      <c r="B392" s="218" t="s">
        <v>1273</v>
      </c>
    </row>
    <row r="393">
      <c r="A393" s="430">
        <v>6.59261000118E11</v>
      </c>
      <c r="B393" s="218" t="s">
        <v>1274</v>
      </c>
    </row>
    <row r="394">
      <c r="A394" s="430">
        <v>9.282170100029E13</v>
      </c>
      <c r="B394" s="218" t="s">
        <v>1275</v>
      </c>
    </row>
    <row r="395">
      <c r="A395" s="430">
        <v>7.9414512000154E13</v>
      </c>
      <c r="B395" s="218" t="s">
        <v>1276</v>
      </c>
    </row>
    <row r="396">
      <c r="A396" s="430">
        <v>7.9677605000171E13</v>
      </c>
      <c r="B396" s="218" t="s">
        <v>1277</v>
      </c>
    </row>
    <row r="397">
      <c r="A397" s="430">
        <v>7.9683892000122E13</v>
      </c>
      <c r="B397" s="218" t="s">
        <v>1278</v>
      </c>
    </row>
    <row r="398">
      <c r="A398" s="430">
        <v>7.9694790000102E13</v>
      </c>
      <c r="B398" s="218" t="s">
        <v>1279</v>
      </c>
    </row>
    <row r="399">
      <c r="A399" s="430">
        <v>7.9808887000107E13</v>
      </c>
      <c r="B399" s="218" t="s">
        <v>1280</v>
      </c>
    </row>
    <row r="400">
      <c r="A400" s="430">
        <v>7.9812350000102E13</v>
      </c>
      <c r="B400" s="218" t="s">
        <v>1281</v>
      </c>
    </row>
    <row r="401">
      <c r="A401" s="430">
        <v>7.9821146000158E13</v>
      </c>
      <c r="B401" s="218" t="s">
        <v>1282</v>
      </c>
    </row>
    <row r="402">
      <c r="A402" s="430">
        <v>9.7419022000122E13</v>
      </c>
      <c r="B402" s="218" t="s">
        <v>1283</v>
      </c>
    </row>
    <row r="403">
      <c r="A403" s="430">
        <v>5.21113000132E11</v>
      </c>
      <c r="B403" s="218" t="s">
        <v>1284</v>
      </c>
    </row>
    <row r="404">
      <c r="A404" s="430">
        <v>1.275386000107E12</v>
      </c>
      <c r="B404" s="218" t="s">
        <v>1285</v>
      </c>
    </row>
    <row r="405">
      <c r="A405" s="430">
        <v>7.6579507000103E13</v>
      </c>
      <c r="B405" s="218" t="s">
        <v>1286</v>
      </c>
    </row>
    <row r="406">
      <c r="A406" s="430">
        <v>8.3650994000119E13</v>
      </c>
      <c r="B406" s="218" t="s">
        <v>1287</v>
      </c>
    </row>
    <row r="407">
      <c r="A407" s="430">
        <v>7.9250676000193E13</v>
      </c>
      <c r="B407" s="218" t="s">
        <v>1288</v>
      </c>
    </row>
    <row r="408">
      <c r="A408" s="430">
        <v>3.164923000177E12</v>
      </c>
      <c r="B408" s="218" t="s">
        <v>1289</v>
      </c>
    </row>
    <row r="409">
      <c r="A409" s="430">
        <v>7.8946845000242E13</v>
      </c>
      <c r="B409" s="218" t="s">
        <v>1290</v>
      </c>
    </row>
    <row r="410">
      <c r="A410" s="430">
        <v>7.2407547000117E13</v>
      </c>
      <c r="B410" s="218" t="s">
        <v>1291</v>
      </c>
    </row>
    <row r="411">
      <c r="A411" s="430">
        <v>7.820721400012E13</v>
      </c>
      <c r="B411" s="218" t="s">
        <v>1292</v>
      </c>
    </row>
    <row r="412">
      <c r="A412" s="430">
        <v>8.5240869000166E13</v>
      </c>
      <c r="B412" s="218" t="s">
        <v>1293</v>
      </c>
    </row>
    <row r="413">
      <c r="A413" s="430">
        <v>8.1851040000149E13</v>
      </c>
      <c r="B413" s="218" t="s">
        <v>1294</v>
      </c>
    </row>
    <row r="414">
      <c r="A414" s="430">
        <v>6.1160768000117E13</v>
      </c>
      <c r="B414" s="218" t="s">
        <v>1295</v>
      </c>
    </row>
    <row r="415">
      <c r="A415" s="430">
        <v>8.6781069000115E13</v>
      </c>
      <c r="B415" s="218" t="s">
        <v>1296</v>
      </c>
    </row>
    <row r="416">
      <c r="A416" s="430">
        <v>1.983974000103E12</v>
      </c>
      <c r="B416" s="218" t="s">
        <v>1297</v>
      </c>
    </row>
    <row r="417">
      <c r="A417" s="430">
        <v>7.2227945000151E13</v>
      </c>
      <c r="B417" s="218" t="s">
        <v>1298</v>
      </c>
    </row>
    <row r="418">
      <c r="A418" s="430">
        <v>2.7436302000163E13</v>
      </c>
      <c r="B418" s="218" t="s">
        <v>1299</v>
      </c>
    </row>
    <row r="419">
      <c r="A419" s="430">
        <v>5.5974398000159E13</v>
      </c>
      <c r="B419" s="218" t="s">
        <v>1300</v>
      </c>
    </row>
    <row r="420">
      <c r="A420" s="430">
        <v>7.3973331000181E13</v>
      </c>
      <c r="B420" s="218" t="s">
        <v>1301</v>
      </c>
    </row>
    <row r="421">
      <c r="A421" s="430">
        <v>8.385597300013E13</v>
      </c>
      <c r="B421" s="218" t="s">
        <v>1302</v>
      </c>
    </row>
    <row r="422">
      <c r="A422" s="430">
        <v>8.3953331000173E13</v>
      </c>
      <c r="B422" s="218" t="s">
        <v>1303</v>
      </c>
    </row>
    <row r="423">
      <c r="A423" s="430">
        <v>3.25400000177E11</v>
      </c>
      <c r="B423" s="218" t="s">
        <v>1304</v>
      </c>
    </row>
    <row r="424">
      <c r="A424" s="430">
        <v>7.6674704000101E13</v>
      </c>
      <c r="B424" s="218" t="s">
        <v>1305</v>
      </c>
    </row>
    <row r="425">
      <c r="A425" s="430">
        <v>7.6841121000128E13</v>
      </c>
      <c r="B425" s="218" t="s">
        <v>1306</v>
      </c>
    </row>
    <row r="426">
      <c r="A426" s="430">
        <v>7.99458610001E13</v>
      </c>
      <c r="B426" s="218" t="s">
        <v>1307</v>
      </c>
    </row>
    <row r="427">
      <c r="A427" s="430">
        <v>8.184035700018E13</v>
      </c>
      <c r="B427" s="218" t="s">
        <v>1308</v>
      </c>
    </row>
    <row r="428">
      <c r="A428" s="430">
        <v>4.4013159000116E13</v>
      </c>
      <c r="B428" s="218" t="s">
        <v>1309</v>
      </c>
    </row>
    <row r="429">
      <c r="A429" s="430">
        <v>8.0038417000182E13</v>
      </c>
      <c r="B429" s="218" t="s">
        <v>1310</v>
      </c>
    </row>
    <row r="430">
      <c r="A430" s="430">
        <v>8.00726300001E13</v>
      </c>
      <c r="B430" s="218" t="s">
        <v>1311</v>
      </c>
    </row>
    <row r="431">
      <c r="A431" s="430">
        <v>1.467792000171E12</v>
      </c>
      <c r="B431" s="218" t="s">
        <v>1312</v>
      </c>
    </row>
    <row r="432">
      <c r="A432" s="430">
        <v>1.852296000131E12</v>
      </c>
      <c r="B432" s="218" t="s">
        <v>1313</v>
      </c>
    </row>
    <row r="433">
      <c r="A433" s="430">
        <v>7.3870065000161E13</v>
      </c>
      <c r="B433" s="218" t="s">
        <v>1314</v>
      </c>
    </row>
    <row r="434">
      <c r="A434" s="430">
        <v>7.6311802000184E13</v>
      </c>
      <c r="B434" s="218" t="s">
        <v>1315</v>
      </c>
    </row>
    <row r="435">
      <c r="A435" s="430">
        <v>2.994122000176E12</v>
      </c>
      <c r="B435" s="218" t="s">
        <v>1316</v>
      </c>
    </row>
    <row r="436">
      <c r="A436" s="430">
        <v>3.379700000127E12</v>
      </c>
      <c r="B436" s="218" t="s">
        <v>1317</v>
      </c>
    </row>
    <row r="437">
      <c r="A437" s="430">
        <v>6.56809000176E11</v>
      </c>
      <c r="B437" s="218" t="s">
        <v>1318</v>
      </c>
    </row>
    <row r="438">
      <c r="A438" s="430">
        <v>6.031907000102E12</v>
      </c>
      <c r="B438" s="218" t="s">
        <v>1319</v>
      </c>
    </row>
    <row r="439">
      <c r="A439" s="430">
        <v>2.882399000298E12</v>
      </c>
      <c r="B439" s="218" t="s">
        <v>1320</v>
      </c>
    </row>
    <row r="440">
      <c r="A440" s="430">
        <v>8.3755975000157E13</v>
      </c>
      <c r="B440" s="218" t="s">
        <v>1321</v>
      </c>
    </row>
    <row r="441">
      <c r="A441" s="430">
        <v>3.803054000183E12</v>
      </c>
      <c r="B441" s="218" t="s">
        <v>1322</v>
      </c>
    </row>
    <row r="442">
      <c r="A442" s="430">
        <v>7.2046881000192E13</v>
      </c>
      <c r="B442" s="218" t="s">
        <v>1323</v>
      </c>
    </row>
    <row r="443">
      <c r="A443" s="430">
        <v>5.364553000147E12</v>
      </c>
      <c r="B443" s="218" t="s">
        <v>1324</v>
      </c>
    </row>
    <row r="444">
      <c r="A444" s="430">
        <v>8.2640053000131E13</v>
      </c>
      <c r="B444" s="218" t="s">
        <v>1325</v>
      </c>
    </row>
    <row r="445">
      <c r="A445" s="430">
        <v>8.2640632000931E13</v>
      </c>
      <c r="B445" s="218" t="s">
        <v>1326</v>
      </c>
    </row>
    <row r="446">
      <c r="A446" s="430">
        <v>8.264160600017E13</v>
      </c>
      <c r="B446" s="218" t="s">
        <v>1327</v>
      </c>
    </row>
    <row r="447">
      <c r="A447" s="430">
        <v>8.2641606000332E13</v>
      </c>
      <c r="B447" s="218" t="s">
        <v>1327</v>
      </c>
    </row>
    <row r="448">
      <c r="A448" s="430">
        <v>7.9020566000135E13</v>
      </c>
      <c r="B448" s="218" t="s">
        <v>1328</v>
      </c>
    </row>
    <row r="449">
      <c r="A449" s="430">
        <v>7.902117600018E13</v>
      </c>
      <c r="B449" s="218" t="s">
        <v>1329</v>
      </c>
    </row>
    <row r="450">
      <c r="A450" s="430">
        <v>7.9021390000217E13</v>
      </c>
      <c r="B450" s="218" t="s">
        <v>1330</v>
      </c>
    </row>
    <row r="451">
      <c r="A451" s="430">
        <v>7.9021754000188E13</v>
      </c>
      <c r="B451" s="218" t="s">
        <v>1331</v>
      </c>
    </row>
    <row r="452">
      <c r="A452" s="430">
        <v>7.9022877000133E13</v>
      </c>
      <c r="B452" s="218" t="s">
        <v>1332</v>
      </c>
    </row>
    <row r="453">
      <c r="A453" s="430">
        <v>7.8876950003179E13</v>
      </c>
      <c r="B453" s="218" t="s">
        <v>1333</v>
      </c>
    </row>
    <row r="454">
      <c r="A454" s="430">
        <v>7.8879087000106E13</v>
      </c>
      <c r="B454" s="218" t="s">
        <v>1334</v>
      </c>
    </row>
    <row r="455">
      <c r="A455" s="430">
        <v>7.8659976000168E13</v>
      </c>
      <c r="B455" s="218" t="s">
        <v>1335</v>
      </c>
    </row>
    <row r="456">
      <c r="A456" s="430">
        <v>7.8665791000166E13</v>
      </c>
      <c r="B456" s="218" t="s">
        <v>1336</v>
      </c>
    </row>
    <row r="457">
      <c r="A457" s="430">
        <v>7.866615300016E13</v>
      </c>
      <c r="B457" s="218" t="s">
        <v>1337</v>
      </c>
    </row>
    <row r="458">
      <c r="A458" s="430">
        <v>7.9822169000187E13</v>
      </c>
      <c r="B458" s="218" t="s">
        <v>1338</v>
      </c>
    </row>
    <row r="459">
      <c r="A459" s="430">
        <v>7.982441300014E13</v>
      </c>
      <c r="B459" s="218" t="s">
        <v>1339</v>
      </c>
    </row>
    <row r="460">
      <c r="A460" s="430">
        <v>7.9827382000181E13</v>
      </c>
      <c r="B460" s="218" t="s">
        <v>1340</v>
      </c>
    </row>
    <row r="461">
      <c r="A461" s="430">
        <v>7.9828869000189E13</v>
      </c>
      <c r="B461" s="218" t="s">
        <v>1341</v>
      </c>
    </row>
    <row r="462">
      <c r="A462" s="430">
        <v>7.9833943000155E13</v>
      </c>
      <c r="B462" s="218" t="s">
        <v>1342</v>
      </c>
    </row>
    <row r="463">
      <c r="A463" s="430">
        <v>7.98342710001E13</v>
      </c>
      <c r="B463" s="218" t="s">
        <v>1343</v>
      </c>
    </row>
    <row r="464">
      <c r="A464" s="430">
        <v>7.951860100014E13</v>
      </c>
      <c r="B464" s="218" t="s">
        <v>1344</v>
      </c>
    </row>
    <row r="465">
      <c r="A465" s="430">
        <v>7.9313615000128E13</v>
      </c>
      <c r="B465" s="218" t="s">
        <v>1345</v>
      </c>
    </row>
    <row r="466">
      <c r="A466" s="430">
        <v>7.9315321000135E13</v>
      </c>
      <c r="B466" s="218" t="s">
        <v>1346</v>
      </c>
    </row>
    <row r="467">
      <c r="A467" s="430">
        <v>7.9370417000104E13</v>
      </c>
      <c r="B467" s="218" t="s">
        <v>1347</v>
      </c>
    </row>
    <row r="468">
      <c r="A468" s="430">
        <v>7.9379046000113E13</v>
      </c>
      <c r="B468" s="218" t="s">
        <v>1348</v>
      </c>
    </row>
    <row r="469">
      <c r="A469" s="430">
        <v>7.9380143000126E13</v>
      </c>
      <c r="B469" s="218" t="s">
        <v>1349</v>
      </c>
    </row>
    <row r="470">
      <c r="A470" s="430">
        <v>7.9380424000189E13</v>
      </c>
      <c r="B470" s="218" t="s">
        <v>1350</v>
      </c>
    </row>
    <row r="471">
      <c r="A471" s="430">
        <v>7.9381216000102E13</v>
      </c>
      <c r="B471" s="218" t="s">
        <v>1351</v>
      </c>
    </row>
    <row r="472">
      <c r="A472" s="430">
        <v>7.9381299000121E13</v>
      </c>
      <c r="B472" s="218" t="s">
        <v>1352</v>
      </c>
    </row>
    <row r="473">
      <c r="A473" s="430">
        <v>7.9386264000185E13</v>
      </c>
      <c r="B473" s="218" t="s">
        <v>1353</v>
      </c>
    </row>
    <row r="474">
      <c r="A474" s="430">
        <v>7.9394888000144E13</v>
      </c>
      <c r="B474" s="218" t="s">
        <v>1354</v>
      </c>
    </row>
    <row r="475">
      <c r="A475" s="430">
        <v>7.9398640000151E13</v>
      </c>
      <c r="B475" s="218" t="s">
        <v>1355</v>
      </c>
    </row>
    <row r="476">
      <c r="A476" s="430">
        <v>7.939906900019E13</v>
      </c>
      <c r="B476" s="218" t="s">
        <v>1356</v>
      </c>
    </row>
    <row r="477">
      <c r="A477" s="430">
        <v>7.9402970000173E13</v>
      </c>
      <c r="B477" s="218" t="s">
        <v>1357</v>
      </c>
    </row>
    <row r="478">
      <c r="A478" s="430">
        <v>7.9480216000151E13</v>
      </c>
      <c r="B478" s="218" t="s">
        <v>1358</v>
      </c>
    </row>
    <row r="479">
      <c r="A479" s="430">
        <v>7.9480521000143E13</v>
      </c>
      <c r="B479" s="218" t="s">
        <v>1359</v>
      </c>
    </row>
    <row r="480">
      <c r="A480" s="430">
        <v>7.9646329000184E13</v>
      </c>
      <c r="B480" s="218" t="s">
        <v>1360</v>
      </c>
    </row>
    <row r="481">
      <c r="A481" s="430">
        <v>7.9646436000102E13</v>
      </c>
      <c r="B481" s="218" t="s">
        <v>1361</v>
      </c>
    </row>
    <row r="482">
      <c r="A482" s="430">
        <v>7.965591600013E13</v>
      </c>
      <c r="B482" s="218" t="s">
        <v>1362</v>
      </c>
    </row>
    <row r="483">
      <c r="A483" s="430">
        <v>7.9661252000111E13</v>
      </c>
      <c r="B483" s="218" t="s">
        <v>1363</v>
      </c>
    </row>
    <row r="484">
      <c r="A484" s="430">
        <v>7.9665667000163E13</v>
      </c>
      <c r="B484" s="218" t="s">
        <v>1364</v>
      </c>
    </row>
    <row r="485">
      <c r="A485" s="430">
        <v>7.9668174000187E13</v>
      </c>
      <c r="B485" s="218" t="s">
        <v>1365</v>
      </c>
    </row>
    <row r="486">
      <c r="A486" s="430">
        <v>7.9669131000116E13</v>
      </c>
      <c r="B486" s="218" t="s">
        <v>1366</v>
      </c>
    </row>
    <row r="487">
      <c r="A487" s="430">
        <v>7.9674412000167E13</v>
      </c>
      <c r="B487" s="218" t="s">
        <v>1367</v>
      </c>
    </row>
    <row r="488">
      <c r="A488" s="430">
        <v>1.247997000141E12</v>
      </c>
      <c r="B488" s="218" t="s">
        <v>1368</v>
      </c>
    </row>
    <row r="489">
      <c r="A489" s="430">
        <v>8.5254498000171E13</v>
      </c>
      <c r="B489" s="218" t="s">
        <v>1369</v>
      </c>
    </row>
    <row r="490">
      <c r="A490" s="430">
        <v>7.7808000177E10</v>
      </c>
      <c r="B490" s="218" t="s">
        <v>1370</v>
      </c>
    </row>
    <row r="491">
      <c r="A491" s="430">
        <v>7.0414000197E10</v>
      </c>
      <c r="B491" s="218" t="s">
        <v>1371</v>
      </c>
    </row>
    <row r="492">
      <c r="A492" s="430">
        <v>8.3566299000173E13</v>
      </c>
      <c r="B492" s="218" t="s">
        <v>1372</v>
      </c>
    </row>
    <row r="493">
      <c r="A493" s="430">
        <v>7.92318900001E13</v>
      </c>
      <c r="B493" s="218" t="s">
        <v>1373</v>
      </c>
    </row>
    <row r="494">
      <c r="A494" s="430">
        <v>2.47656600011E12</v>
      </c>
      <c r="B494" s="218" t="s">
        <v>1374</v>
      </c>
    </row>
    <row r="495">
      <c r="A495" s="430">
        <v>7.9863213000105E13</v>
      </c>
      <c r="B495" s="218" t="s">
        <v>1375</v>
      </c>
    </row>
    <row r="496">
      <c r="A496" s="430">
        <v>1.942016000186E12</v>
      </c>
      <c r="B496" s="218" t="s">
        <v>1376</v>
      </c>
    </row>
    <row r="497">
      <c r="A497" s="430">
        <v>8.5316289000105E13</v>
      </c>
      <c r="B497" s="218" t="s">
        <v>1377</v>
      </c>
    </row>
    <row r="498">
      <c r="A498" s="430">
        <v>8.5322196000193E13</v>
      </c>
      <c r="B498" s="218" t="s">
        <v>1378</v>
      </c>
    </row>
    <row r="499">
      <c r="A499" s="430">
        <v>8.5323517000174E13</v>
      </c>
      <c r="B499" s="218" t="s">
        <v>1379</v>
      </c>
    </row>
    <row r="500">
      <c r="A500" s="430">
        <v>8.5324861000188E13</v>
      </c>
      <c r="B500" s="218" t="s">
        <v>1380</v>
      </c>
    </row>
    <row r="501">
      <c r="A501" s="430">
        <v>8.5326411000124E13</v>
      </c>
      <c r="B501" s="218" t="s">
        <v>1381</v>
      </c>
    </row>
    <row r="502">
      <c r="A502" s="430">
        <v>8.5157410000101E13</v>
      </c>
      <c r="B502" s="218" t="s">
        <v>1382</v>
      </c>
    </row>
    <row r="503">
      <c r="A503" s="430">
        <v>8.52540350001E13</v>
      </c>
      <c r="B503" s="218" t="s">
        <v>1383</v>
      </c>
    </row>
    <row r="504">
      <c r="A504" s="430">
        <v>8.5255495000152E13</v>
      </c>
      <c r="B504" s="218" t="s">
        <v>1384</v>
      </c>
    </row>
    <row r="505">
      <c r="A505" s="430">
        <v>8.526013100016E13</v>
      </c>
      <c r="B505" s="218" t="s">
        <v>1385</v>
      </c>
    </row>
    <row r="506">
      <c r="A506" s="430">
        <v>8.5262558000106E13</v>
      </c>
      <c r="B506" s="218" t="s">
        <v>1386</v>
      </c>
    </row>
    <row r="507">
      <c r="A507" s="430">
        <v>8.5263499000182E13</v>
      </c>
      <c r="B507" s="218" t="s">
        <v>1387</v>
      </c>
    </row>
    <row r="508">
      <c r="A508" s="430">
        <v>8.526477800016E13</v>
      </c>
      <c r="B508" s="218" t="s">
        <v>1388</v>
      </c>
    </row>
    <row r="509">
      <c r="A509" s="430">
        <v>8.515757600011E13</v>
      </c>
      <c r="B509" s="218" t="s">
        <v>1389</v>
      </c>
    </row>
    <row r="510">
      <c r="A510" s="430">
        <v>8.5161396000101E13</v>
      </c>
      <c r="B510" s="218" t="s">
        <v>1390</v>
      </c>
    </row>
    <row r="511">
      <c r="A511" s="430">
        <v>8.5165553000157E13</v>
      </c>
      <c r="B511" s="218" t="s">
        <v>1391</v>
      </c>
    </row>
    <row r="512">
      <c r="A512" s="430">
        <v>8.5168995000157E13</v>
      </c>
      <c r="B512" s="218" t="s">
        <v>1392</v>
      </c>
    </row>
    <row r="513">
      <c r="A513" s="430">
        <v>8.5174266000103E13</v>
      </c>
      <c r="B513" s="218" t="s">
        <v>1393</v>
      </c>
    </row>
    <row r="514">
      <c r="A514" s="430">
        <v>8.5174266000294E13</v>
      </c>
      <c r="B514" s="218" t="s">
        <v>1393</v>
      </c>
    </row>
    <row r="515">
      <c r="A515" s="430">
        <v>8.5176378000101E13</v>
      </c>
      <c r="B515" s="218" t="s">
        <v>1394</v>
      </c>
    </row>
    <row r="516">
      <c r="A516" s="430">
        <v>8.51839370001E13</v>
      </c>
      <c r="B516" s="218" t="s">
        <v>1395</v>
      </c>
    </row>
    <row r="517">
      <c r="A517" s="430">
        <v>8.519024700017E13</v>
      </c>
      <c r="B517" s="218" t="s">
        <v>1396</v>
      </c>
    </row>
    <row r="518">
      <c r="A518" s="430">
        <v>8.5135515000151E13</v>
      </c>
      <c r="B518" s="218" t="s">
        <v>1397</v>
      </c>
    </row>
    <row r="519">
      <c r="A519" s="430">
        <v>8.513609100014E13</v>
      </c>
      <c r="B519" s="218" t="s">
        <v>1398</v>
      </c>
    </row>
    <row r="520">
      <c r="A520" s="430">
        <v>2.742578000149E12</v>
      </c>
      <c r="B520" s="218" t="s">
        <v>1399</v>
      </c>
    </row>
    <row r="521">
      <c r="A521" s="430">
        <v>2.568550000137E12</v>
      </c>
      <c r="B521" s="218" t="s">
        <v>1400</v>
      </c>
    </row>
    <row r="522">
      <c r="A522" s="430">
        <v>2.87389200016E12</v>
      </c>
      <c r="B522" s="218" t="s">
        <v>1401</v>
      </c>
    </row>
    <row r="523">
      <c r="A523" s="430">
        <v>5.1754240000112E13</v>
      </c>
      <c r="B523" s="218" t="s">
        <v>1402</v>
      </c>
    </row>
    <row r="524">
      <c r="A524" s="430">
        <v>7.9488540000116E13</v>
      </c>
      <c r="B524" s="218" t="s">
        <v>1403</v>
      </c>
    </row>
    <row r="525">
      <c r="A525" s="430">
        <v>7.9488607000112E13</v>
      </c>
      <c r="B525" s="218" t="s">
        <v>1404</v>
      </c>
    </row>
    <row r="526">
      <c r="A526" s="430">
        <v>7.949264100016E13</v>
      </c>
      <c r="B526" s="218" t="s">
        <v>1405</v>
      </c>
    </row>
    <row r="527">
      <c r="A527" s="430">
        <v>7.9504536000102E13</v>
      </c>
      <c r="B527" s="218" t="s">
        <v>1406</v>
      </c>
    </row>
    <row r="528">
      <c r="A528" s="430">
        <v>7.9504601000191E13</v>
      </c>
      <c r="B528" s="218" t="s">
        <v>1407</v>
      </c>
    </row>
    <row r="529">
      <c r="A529" s="430">
        <v>7.9505558000189E13</v>
      </c>
      <c r="B529" s="218" t="s">
        <v>1408</v>
      </c>
    </row>
    <row r="530">
      <c r="A530" s="430">
        <v>7.9508933000144E13</v>
      </c>
      <c r="B530" s="218" t="s">
        <v>1409</v>
      </c>
    </row>
    <row r="531">
      <c r="A531" s="430">
        <v>7.9512505000195E13</v>
      </c>
      <c r="B531" s="218" t="s">
        <v>1410</v>
      </c>
    </row>
    <row r="532">
      <c r="A532" s="430">
        <v>7.9515607000164E13</v>
      </c>
      <c r="B532" s="218" t="s">
        <v>1411</v>
      </c>
    </row>
    <row r="533">
      <c r="A533" s="430">
        <v>7.9313508000108E13</v>
      </c>
      <c r="B533" s="218" t="s">
        <v>1412</v>
      </c>
    </row>
    <row r="534">
      <c r="A534" s="430">
        <v>7.9024394000178E13</v>
      </c>
      <c r="B534" s="218" t="s">
        <v>1413</v>
      </c>
    </row>
    <row r="535">
      <c r="A535" s="430">
        <v>7.902584700018E13</v>
      </c>
      <c r="B535" s="218" t="s">
        <v>1414</v>
      </c>
    </row>
    <row r="536">
      <c r="A536" s="430">
        <v>7.9065181000194E13</v>
      </c>
      <c r="B536" s="218" t="s">
        <v>1415</v>
      </c>
    </row>
    <row r="537">
      <c r="A537" s="430">
        <v>7.9095303000195E13</v>
      </c>
      <c r="B537" s="218" t="s">
        <v>1416</v>
      </c>
    </row>
    <row r="538">
      <c r="A538" s="430">
        <v>8.0109341000139E13</v>
      </c>
      <c r="B538" s="218" t="s">
        <v>1417</v>
      </c>
    </row>
    <row r="539">
      <c r="A539" s="430">
        <v>8.0116817000169E13</v>
      </c>
      <c r="B539" s="218" t="s">
        <v>1418</v>
      </c>
    </row>
    <row r="540">
      <c r="A540" s="430">
        <v>8.01176900001E13</v>
      </c>
      <c r="B540" s="218" t="s">
        <v>1419</v>
      </c>
    </row>
    <row r="541">
      <c r="A541" s="430">
        <v>8.0120256000171E13</v>
      </c>
      <c r="B541" s="218" t="s">
        <v>1420</v>
      </c>
    </row>
    <row r="542">
      <c r="A542" s="430">
        <v>8.01215020001E13</v>
      </c>
      <c r="B542" s="218" t="s">
        <v>1421</v>
      </c>
    </row>
    <row r="543">
      <c r="A543" s="430">
        <v>8.012497700015E13</v>
      </c>
      <c r="B543" s="218" t="s">
        <v>1422</v>
      </c>
    </row>
    <row r="544">
      <c r="A544" s="430">
        <v>8.0133317000135E13</v>
      </c>
      <c r="B544" s="218" t="s">
        <v>1423</v>
      </c>
    </row>
    <row r="545">
      <c r="A545" s="430">
        <v>7.9938775000162E13</v>
      </c>
      <c r="B545" s="218" t="s">
        <v>1424</v>
      </c>
    </row>
    <row r="546">
      <c r="A546" s="430">
        <v>7.993966600016E13</v>
      </c>
      <c r="B546" s="218" t="s">
        <v>1425</v>
      </c>
    </row>
    <row r="547">
      <c r="A547" s="430">
        <v>7.994136500017E13</v>
      </c>
      <c r="B547" s="218" t="s">
        <v>1426</v>
      </c>
    </row>
    <row r="548">
      <c r="A548" s="430">
        <v>8.0065519000197E13</v>
      </c>
      <c r="B548" s="218" t="s">
        <v>1427</v>
      </c>
    </row>
    <row r="549">
      <c r="A549" s="430">
        <v>7.9856134000169E13</v>
      </c>
      <c r="B549" s="218" t="s">
        <v>1428</v>
      </c>
    </row>
    <row r="550">
      <c r="A550" s="430">
        <v>7.9865275000148E13</v>
      </c>
      <c r="B550" s="218" t="s">
        <v>1429</v>
      </c>
    </row>
    <row r="551">
      <c r="A551" s="430">
        <v>7.9872164000169E13</v>
      </c>
      <c r="B551" s="218" t="s">
        <v>1430</v>
      </c>
    </row>
    <row r="552">
      <c r="A552" s="430">
        <v>7.987404600019E13</v>
      </c>
      <c r="B552" s="218" t="s">
        <v>1431</v>
      </c>
    </row>
    <row r="553">
      <c r="A553" s="430">
        <v>7.9875217000103E13</v>
      </c>
      <c r="B553" s="218" t="s">
        <v>1432</v>
      </c>
    </row>
    <row r="554">
      <c r="A554" s="430">
        <v>7.9880126000158E13</v>
      </c>
      <c r="B554" s="218" t="s">
        <v>1433</v>
      </c>
    </row>
    <row r="555">
      <c r="A555" s="430">
        <v>7.9880845000179E13</v>
      </c>
      <c r="B555" s="218" t="s">
        <v>1434</v>
      </c>
    </row>
    <row r="556">
      <c r="A556" s="430">
        <v>7.9881587000226E13</v>
      </c>
      <c r="B556" s="218" t="s">
        <v>1435</v>
      </c>
    </row>
    <row r="557">
      <c r="A557" s="430">
        <v>7.9881629000148E13</v>
      </c>
      <c r="B557" s="218" t="s">
        <v>1436</v>
      </c>
    </row>
    <row r="558">
      <c r="A558" s="430">
        <v>7.9889911000171E13</v>
      </c>
      <c r="B558" s="218" t="s">
        <v>1437</v>
      </c>
    </row>
    <row r="559">
      <c r="A559" s="430">
        <v>7.9889978000106E13</v>
      </c>
      <c r="B559" s="218" t="s">
        <v>1438</v>
      </c>
    </row>
    <row r="560">
      <c r="A560" s="430">
        <v>7.9892915000109E13</v>
      </c>
      <c r="B560" s="218" t="s">
        <v>1439</v>
      </c>
    </row>
    <row r="561">
      <c r="A561" s="430">
        <v>8.0088040000176E13</v>
      </c>
      <c r="B561" s="218" t="s">
        <v>1440</v>
      </c>
    </row>
    <row r="562">
      <c r="A562" s="430">
        <v>3.066296000131E12</v>
      </c>
      <c r="B562" s="218" t="s">
        <v>1441</v>
      </c>
    </row>
    <row r="563">
      <c r="A563" s="430">
        <v>2.767427000145E12</v>
      </c>
      <c r="B563" s="218" t="s">
        <v>1442</v>
      </c>
    </row>
    <row r="564">
      <c r="A564" s="430">
        <v>1.659075000141E12</v>
      </c>
      <c r="B564" s="218" t="s">
        <v>1443</v>
      </c>
    </row>
    <row r="565">
      <c r="A565" s="430">
        <v>7.3215196000105E13</v>
      </c>
      <c r="B565" s="218" t="s">
        <v>1444</v>
      </c>
    </row>
    <row r="566">
      <c r="A566" s="430">
        <v>3.170935000104E12</v>
      </c>
      <c r="B566" s="218" t="s">
        <v>1445</v>
      </c>
    </row>
    <row r="567">
      <c r="A567" s="430">
        <v>8.379703500012E13</v>
      </c>
      <c r="B567" s="218" t="s">
        <v>1446</v>
      </c>
    </row>
    <row r="568">
      <c r="A568" s="430">
        <v>3.034313000159E12</v>
      </c>
      <c r="B568" s="218" t="s">
        <v>1447</v>
      </c>
    </row>
    <row r="569">
      <c r="A569" s="430">
        <v>1.764170000105E12</v>
      </c>
      <c r="B569" s="218" t="s">
        <v>1448</v>
      </c>
    </row>
    <row r="570">
      <c r="A570" s="430">
        <v>3.4028316002823E13</v>
      </c>
      <c r="B570" s="218" t="s">
        <v>1449</v>
      </c>
    </row>
    <row r="571">
      <c r="A571" s="430">
        <v>8.2894221000115E13</v>
      </c>
      <c r="B571" s="218" t="s">
        <v>1450</v>
      </c>
    </row>
    <row r="572">
      <c r="A572" s="430">
        <v>1.83111700018E12</v>
      </c>
      <c r="B572" s="218" t="s">
        <v>1451</v>
      </c>
    </row>
    <row r="573">
      <c r="A573" s="430">
        <v>8.2868696000137E13</v>
      </c>
      <c r="B573" s="218" t="s">
        <v>1452</v>
      </c>
    </row>
    <row r="574">
      <c r="A574" s="430">
        <v>9.7436406000153E13</v>
      </c>
      <c r="B574" s="218" t="s">
        <v>1453</v>
      </c>
    </row>
    <row r="575">
      <c r="A575" s="430">
        <v>3.172740000101E12</v>
      </c>
      <c r="B575" s="218" t="s">
        <v>1454</v>
      </c>
    </row>
    <row r="576">
      <c r="A576" s="430">
        <v>27634.0</v>
      </c>
      <c r="B576" s="218" t="s">
        <v>1455</v>
      </c>
    </row>
    <row r="577">
      <c r="A577" s="430">
        <v>58602.0</v>
      </c>
      <c r="B577" s="218" t="s">
        <v>1455</v>
      </c>
    </row>
    <row r="578">
      <c r="A578" s="430">
        <v>104647.0</v>
      </c>
      <c r="B578" s="218" t="s">
        <v>1455</v>
      </c>
    </row>
    <row r="579">
      <c r="A579" s="430">
        <v>1678.0</v>
      </c>
      <c r="B579" s="218" t="s">
        <v>1455</v>
      </c>
    </row>
    <row r="580">
      <c r="A580" s="430">
        <v>8.2090564000127E13</v>
      </c>
      <c r="B580" s="218" t="s">
        <v>1456</v>
      </c>
    </row>
    <row r="581">
      <c r="A581" s="430">
        <v>34339.0</v>
      </c>
      <c r="B581" s="218" t="s">
        <v>1455</v>
      </c>
    </row>
    <row r="582">
      <c r="A582" s="430">
        <v>40142.0</v>
      </c>
      <c r="B582" s="218" t="s">
        <v>1455</v>
      </c>
    </row>
    <row r="583">
      <c r="A583" s="430">
        <v>6.8988419000137E13</v>
      </c>
      <c r="B583" s="218" t="s">
        <v>1457</v>
      </c>
    </row>
    <row r="584">
      <c r="A584" s="430">
        <v>1.2449930001E12</v>
      </c>
      <c r="B584" s="218" t="s">
        <v>1458</v>
      </c>
    </row>
    <row r="585">
      <c r="A585" s="430">
        <v>1.109317000123E12</v>
      </c>
      <c r="B585" s="218" t="s">
        <v>1459</v>
      </c>
    </row>
    <row r="586">
      <c r="A586" s="430">
        <v>8.5497147000191E13</v>
      </c>
      <c r="B586" s="218" t="s">
        <v>1460</v>
      </c>
    </row>
    <row r="587">
      <c r="A587" s="430">
        <v>8.10250000197E11</v>
      </c>
      <c r="B587" s="218" t="s">
        <v>1461</v>
      </c>
    </row>
    <row r="588">
      <c r="A588" s="430">
        <v>3.094629000136E12</v>
      </c>
      <c r="B588" s="218" t="s">
        <v>1462</v>
      </c>
    </row>
    <row r="589">
      <c r="A589" s="430">
        <v>8.0139876000152E13</v>
      </c>
      <c r="B589" s="218" t="s">
        <v>1463</v>
      </c>
    </row>
    <row r="590">
      <c r="A590" s="430">
        <v>8.0161540000196E13</v>
      </c>
      <c r="B590" s="218" t="s">
        <v>1464</v>
      </c>
    </row>
    <row r="591">
      <c r="A591" s="430">
        <v>8.0166440000152E13</v>
      </c>
      <c r="B591" s="218" t="s">
        <v>1465</v>
      </c>
    </row>
    <row r="592">
      <c r="A592" s="430">
        <v>8.0166598000122E13</v>
      </c>
      <c r="B592" s="218" t="s">
        <v>1466</v>
      </c>
    </row>
    <row r="593">
      <c r="A593" s="430">
        <v>8.040601000016E13</v>
      </c>
      <c r="B593" s="218" t="s">
        <v>1467</v>
      </c>
    </row>
    <row r="594">
      <c r="A594" s="430">
        <v>8.0409311000148E13</v>
      </c>
      <c r="B594" s="218" t="s">
        <v>1468</v>
      </c>
    </row>
    <row r="595">
      <c r="A595" s="430">
        <v>8.0414576000134E13</v>
      </c>
      <c r="B595" s="218" t="s">
        <v>1469</v>
      </c>
    </row>
    <row r="596">
      <c r="A596" s="430">
        <v>8.0417330000116E13</v>
      </c>
      <c r="B596" s="218" t="s">
        <v>1470</v>
      </c>
    </row>
    <row r="597">
      <c r="A597" s="430">
        <v>8.0418288000158E13</v>
      </c>
      <c r="B597" s="218" t="s">
        <v>1471</v>
      </c>
    </row>
    <row r="598">
      <c r="A598" s="430">
        <v>8.3460956000101E13</v>
      </c>
      <c r="B598" s="218" t="s">
        <v>1472</v>
      </c>
    </row>
    <row r="599">
      <c r="A599" s="430">
        <v>8.3462325000709E13</v>
      </c>
      <c r="B599" s="218" t="s">
        <v>1473</v>
      </c>
    </row>
    <row r="600">
      <c r="A600" s="430">
        <v>8.317358300018E13</v>
      </c>
      <c r="B600" s="218" t="s">
        <v>1474</v>
      </c>
    </row>
    <row r="601">
      <c r="A601" s="430">
        <v>8.3181230000121E13</v>
      </c>
      <c r="B601" s="218" t="s">
        <v>1475</v>
      </c>
    </row>
    <row r="602">
      <c r="A602" s="430">
        <v>8.3186551000119E13</v>
      </c>
      <c r="B602" s="218" t="s">
        <v>1476</v>
      </c>
    </row>
    <row r="603">
      <c r="A603" s="430">
        <v>8.3202804000109E13</v>
      </c>
      <c r="B603" s="218" t="s">
        <v>1477</v>
      </c>
    </row>
    <row r="604">
      <c r="A604" s="430">
        <v>8.321874300016E13</v>
      </c>
      <c r="B604" s="218" t="s">
        <v>1478</v>
      </c>
    </row>
    <row r="605">
      <c r="A605" s="430">
        <v>8.32310840001E13</v>
      </c>
      <c r="B605" s="218" t="s">
        <v>1479</v>
      </c>
    </row>
    <row r="606">
      <c r="A606" s="430">
        <v>8.3233353000169E13</v>
      </c>
      <c r="B606" s="218" t="s">
        <v>1480</v>
      </c>
    </row>
    <row r="607">
      <c r="A607" s="430">
        <v>8.3240333000972E13</v>
      </c>
      <c r="B607" s="218" t="s">
        <v>1481</v>
      </c>
    </row>
    <row r="608">
      <c r="A608" s="430">
        <v>8.3240333001006E13</v>
      </c>
      <c r="B608" s="218" t="s">
        <v>1482</v>
      </c>
    </row>
    <row r="609">
      <c r="A609" s="430">
        <v>8.3042028000119E13</v>
      </c>
      <c r="B609" s="218" t="s">
        <v>1483</v>
      </c>
    </row>
    <row r="610">
      <c r="A610" s="430">
        <v>8.304298600019E13</v>
      </c>
      <c r="B610" s="218" t="s">
        <v>1484</v>
      </c>
    </row>
    <row r="611">
      <c r="A611" s="430">
        <v>8.3043497000233E13</v>
      </c>
      <c r="B611" s="218" t="s">
        <v>1485</v>
      </c>
    </row>
    <row r="612">
      <c r="A612" s="430">
        <v>8.3043679000123E13</v>
      </c>
      <c r="B612" s="218" t="s">
        <v>1486</v>
      </c>
    </row>
    <row r="613">
      <c r="A613" s="430">
        <v>8.3050336000196E13</v>
      </c>
      <c r="B613" s="218" t="s">
        <v>1487</v>
      </c>
    </row>
    <row r="614">
      <c r="A614" s="430">
        <v>8.3050492000157E13</v>
      </c>
      <c r="B614" s="218" t="s">
        <v>1488</v>
      </c>
    </row>
    <row r="615">
      <c r="A615" s="430">
        <v>8.3050625000195E13</v>
      </c>
      <c r="B615" s="218" t="s">
        <v>1489</v>
      </c>
    </row>
    <row r="616">
      <c r="A616" s="430">
        <v>8.3053223000144E13</v>
      </c>
      <c r="B616" s="218" t="s">
        <v>1490</v>
      </c>
    </row>
    <row r="617">
      <c r="A617" s="430">
        <v>8.3032094000108E13</v>
      </c>
      <c r="B617" s="218" t="s">
        <v>1491</v>
      </c>
    </row>
    <row r="618">
      <c r="A618" s="430">
        <v>8.3033928000108E13</v>
      </c>
      <c r="B618" s="218" t="s">
        <v>1492</v>
      </c>
    </row>
    <row r="619">
      <c r="A619" s="430">
        <v>8.3038604000154E13</v>
      </c>
      <c r="B619" s="218" t="s">
        <v>1493</v>
      </c>
    </row>
    <row r="620">
      <c r="A620" s="430">
        <v>8.3040170000127E13</v>
      </c>
      <c r="B620" s="218" t="s">
        <v>1494</v>
      </c>
    </row>
    <row r="621">
      <c r="A621" s="430">
        <v>8.3059170000179E13</v>
      </c>
      <c r="B621" s="218" t="s">
        <v>1495</v>
      </c>
    </row>
    <row r="622">
      <c r="A622" s="430">
        <v>8.3060012000139E13</v>
      </c>
      <c r="B622" s="218" t="s">
        <v>1496</v>
      </c>
    </row>
    <row r="623">
      <c r="A623" s="430">
        <v>8.3074369000176E13</v>
      </c>
      <c r="B623" s="218" t="s">
        <v>1497</v>
      </c>
    </row>
    <row r="624">
      <c r="A624" s="430">
        <v>8.3082339000101E13</v>
      </c>
      <c r="B624" s="218" t="s">
        <v>1498</v>
      </c>
    </row>
    <row r="625">
      <c r="A625" s="430">
        <v>8.53571500001E13</v>
      </c>
      <c r="B625" s="218" t="s">
        <v>1499</v>
      </c>
    </row>
    <row r="626">
      <c r="A626" s="430">
        <v>8.5359388000174E13</v>
      </c>
      <c r="B626" s="218" t="s">
        <v>1500</v>
      </c>
    </row>
    <row r="627">
      <c r="A627" s="430">
        <v>8.5360808000132E13</v>
      </c>
      <c r="B627" s="218" t="s">
        <v>1501</v>
      </c>
    </row>
    <row r="628">
      <c r="A628" s="430">
        <v>8.5362689000157E13</v>
      </c>
      <c r="B628" s="218" t="s">
        <v>1502</v>
      </c>
    </row>
    <row r="629">
      <c r="A629" s="430">
        <v>8.5329225000149E13</v>
      </c>
      <c r="B629" s="218" t="s">
        <v>1503</v>
      </c>
    </row>
    <row r="630">
      <c r="A630" s="430">
        <v>8.5329456000152E13</v>
      </c>
      <c r="B630" s="218" t="s">
        <v>1504</v>
      </c>
    </row>
    <row r="631">
      <c r="A631" s="430">
        <v>8.534016400011E13</v>
      </c>
      <c r="B631" s="218" t="s">
        <v>1505</v>
      </c>
    </row>
    <row r="632">
      <c r="A632" s="430">
        <v>8.5342228000112E13</v>
      </c>
      <c r="B632" s="218" t="s">
        <v>1506</v>
      </c>
    </row>
    <row r="633">
      <c r="A633" s="430">
        <v>8.5365559000178E13</v>
      </c>
      <c r="B633" s="218" t="s">
        <v>1507</v>
      </c>
    </row>
    <row r="634">
      <c r="A634" s="430">
        <v>8.537046800012E13</v>
      </c>
      <c r="B634" s="218" t="s">
        <v>1508</v>
      </c>
    </row>
    <row r="635">
      <c r="A635" s="430">
        <v>8.537163100017E13</v>
      </c>
      <c r="B635" s="218" t="s">
        <v>1509</v>
      </c>
    </row>
    <row r="636">
      <c r="A636" s="430">
        <v>8.5383222000193E13</v>
      </c>
      <c r="B636" s="218" t="s">
        <v>1510</v>
      </c>
    </row>
    <row r="637">
      <c r="A637" s="430">
        <v>8.5387850000147E13</v>
      </c>
      <c r="B637" s="218" t="s">
        <v>1511</v>
      </c>
    </row>
    <row r="638">
      <c r="A638" s="430">
        <v>8.5388221000131E13</v>
      </c>
      <c r="B638" s="218" t="s">
        <v>1512</v>
      </c>
    </row>
    <row r="639">
      <c r="A639" s="430">
        <v>8.538950000011E13</v>
      </c>
      <c r="B639" s="218" t="s">
        <v>1513</v>
      </c>
    </row>
    <row r="640">
      <c r="A640" s="430">
        <v>8.5390581000178E13</v>
      </c>
      <c r="B640" s="218" t="s">
        <v>1514</v>
      </c>
    </row>
    <row r="641">
      <c r="A641" s="430">
        <v>8.5391746000126E13</v>
      </c>
      <c r="B641" s="218" t="s">
        <v>1515</v>
      </c>
    </row>
    <row r="642">
      <c r="A642" s="430">
        <v>8.5402691000102E13</v>
      </c>
      <c r="B642" s="218" t="s">
        <v>1516</v>
      </c>
    </row>
    <row r="643">
      <c r="A643" s="430">
        <v>8.9411771002714E13</v>
      </c>
      <c r="B643" s="218" t="s">
        <v>1517</v>
      </c>
    </row>
    <row r="644">
      <c r="A644" s="430">
        <v>8.942190300015E13</v>
      </c>
      <c r="B644" s="218" t="s">
        <v>1518</v>
      </c>
    </row>
    <row r="645">
      <c r="A645" s="430">
        <v>8.9422836000783E13</v>
      </c>
      <c r="B645" s="218" t="s">
        <v>1519</v>
      </c>
    </row>
    <row r="646">
      <c r="A646" s="430">
        <v>8.9423529000393E13</v>
      </c>
      <c r="B646" s="218" t="s">
        <v>1520</v>
      </c>
    </row>
    <row r="647">
      <c r="A647" s="430">
        <v>8.9848543027962E13</v>
      </c>
      <c r="B647" s="218" t="s">
        <v>1521</v>
      </c>
    </row>
    <row r="648">
      <c r="A648" s="430">
        <v>8.9962294000901E13</v>
      </c>
      <c r="B648" s="218" t="s">
        <v>1522</v>
      </c>
    </row>
    <row r="649">
      <c r="A649" s="430">
        <v>9.0015835000108E13</v>
      </c>
      <c r="B649" s="218" t="s">
        <v>1523</v>
      </c>
    </row>
    <row r="650">
      <c r="A650" s="430">
        <v>9.0021726000284E13</v>
      </c>
      <c r="B650" s="218" t="s">
        <v>1524</v>
      </c>
    </row>
    <row r="651">
      <c r="A651" s="430">
        <v>9.0025826000106E13</v>
      </c>
      <c r="B651" s="218" t="s">
        <v>1525</v>
      </c>
    </row>
    <row r="652">
      <c r="A652" s="430">
        <v>9.012546900014E13</v>
      </c>
      <c r="B652" s="218" t="s">
        <v>1526</v>
      </c>
    </row>
    <row r="653">
      <c r="A653" s="430">
        <v>9.0149022000291E13</v>
      </c>
      <c r="B653" s="218" t="s">
        <v>1527</v>
      </c>
    </row>
    <row r="654">
      <c r="A654" s="430">
        <v>9.0189960000134E13</v>
      </c>
      <c r="B654" s="218" t="s">
        <v>1528</v>
      </c>
    </row>
    <row r="655">
      <c r="A655" s="430">
        <v>8.6554854000135E13</v>
      </c>
      <c r="B655" s="218" t="s">
        <v>1529</v>
      </c>
    </row>
    <row r="656">
      <c r="A656" s="430">
        <v>8.670333700018E13</v>
      </c>
      <c r="B656" s="218" t="s">
        <v>1530</v>
      </c>
    </row>
    <row r="657">
      <c r="A657" s="430">
        <v>8.6738606000144E13</v>
      </c>
      <c r="B657" s="218" t="s">
        <v>1531</v>
      </c>
    </row>
    <row r="658">
      <c r="A658" s="430">
        <v>8.67575070001E13</v>
      </c>
      <c r="B658" s="218" t="s">
        <v>1532</v>
      </c>
    </row>
    <row r="659">
      <c r="A659" s="430">
        <v>8.67793450001E13</v>
      </c>
      <c r="B659" s="218" t="s">
        <v>1533</v>
      </c>
    </row>
    <row r="660">
      <c r="A660" s="430">
        <v>8.6783396000106E13</v>
      </c>
      <c r="B660" s="218" t="s">
        <v>1534</v>
      </c>
    </row>
    <row r="661">
      <c r="A661" s="430">
        <v>8.6783644000119E13</v>
      </c>
      <c r="B661" s="218" t="s">
        <v>1535</v>
      </c>
    </row>
    <row r="662">
      <c r="A662" s="430">
        <v>8.833059200015E13</v>
      </c>
      <c r="B662" s="218" t="s">
        <v>1536</v>
      </c>
    </row>
    <row r="663">
      <c r="A663" s="430">
        <v>8.8451678003621E13</v>
      </c>
      <c r="B663" s="218" t="s">
        <v>1537</v>
      </c>
    </row>
    <row r="664">
      <c r="A664" s="430">
        <v>8.8629290000188E13</v>
      </c>
      <c r="B664" s="218" t="s">
        <v>1538</v>
      </c>
    </row>
    <row r="665">
      <c r="A665" s="430">
        <v>8.862929000034E13</v>
      </c>
      <c r="B665" s="218" t="s">
        <v>1539</v>
      </c>
    </row>
    <row r="666">
      <c r="A666" s="430">
        <v>8.8683459000192E13</v>
      </c>
      <c r="B666" s="218" t="s">
        <v>1540</v>
      </c>
    </row>
    <row r="667">
      <c r="A667" s="430">
        <v>8.8193594003594E13</v>
      </c>
      <c r="B667" s="218" t="s">
        <v>1541</v>
      </c>
    </row>
    <row r="668">
      <c r="A668" s="430">
        <v>8.8955444000145E13</v>
      </c>
      <c r="B668" s="218" t="s">
        <v>1542</v>
      </c>
    </row>
    <row r="669">
      <c r="A669" s="430">
        <v>9.14075000188E11</v>
      </c>
      <c r="B669" s="218" t="s">
        <v>1543</v>
      </c>
    </row>
    <row r="670">
      <c r="A670" s="430">
        <v>3.350082000192E12</v>
      </c>
      <c r="B670" s="218" t="s">
        <v>1544</v>
      </c>
    </row>
    <row r="671">
      <c r="A671" s="430">
        <v>1.582374000125E12</v>
      </c>
      <c r="B671" s="218" t="s">
        <v>1545</v>
      </c>
    </row>
    <row r="672">
      <c r="A672" s="430">
        <v>3.717101000176E12</v>
      </c>
      <c r="B672" s="218" t="s">
        <v>1546</v>
      </c>
    </row>
    <row r="673">
      <c r="A673" s="430">
        <v>7.14072000109E11</v>
      </c>
      <c r="B673" s="218" t="s">
        <v>1547</v>
      </c>
    </row>
    <row r="674">
      <c r="A674" s="430">
        <v>8.4683481000177E13</v>
      </c>
      <c r="B674" s="218" t="s">
        <v>1548</v>
      </c>
    </row>
    <row r="675">
      <c r="A675" s="430">
        <v>2.432910000179E12</v>
      </c>
      <c r="B675" s="218" t="s">
        <v>1549</v>
      </c>
    </row>
    <row r="676">
      <c r="A676" s="430">
        <v>2.715849000177E12</v>
      </c>
      <c r="B676" s="218" t="s">
        <v>1550</v>
      </c>
    </row>
    <row r="677">
      <c r="A677" s="430">
        <v>7.5818393000144E13</v>
      </c>
      <c r="B677" s="218" t="s">
        <v>1551</v>
      </c>
    </row>
    <row r="678">
      <c r="A678" s="430">
        <v>1.372957000121E12</v>
      </c>
      <c r="B678" s="218" t="s">
        <v>1552</v>
      </c>
    </row>
    <row r="679">
      <c r="A679" s="430">
        <v>8.5096675000139E13</v>
      </c>
      <c r="B679" s="218" t="s">
        <v>1553</v>
      </c>
    </row>
    <row r="680">
      <c r="A680" s="430">
        <v>7.9913802000142E13</v>
      </c>
      <c r="B680" s="218" t="s">
        <v>1554</v>
      </c>
    </row>
    <row r="681">
      <c r="A681" s="430">
        <v>1.539957000173E12</v>
      </c>
      <c r="B681" s="218" t="s">
        <v>1555</v>
      </c>
    </row>
    <row r="682">
      <c r="A682" s="430">
        <v>5.3842977000112E13</v>
      </c>
      <c r="B682" s="218" t="s">
        <v>1556</v>
      </c>
    </row>
    <row r="683">
      <c r="A683" s="430">
        <v>7.636628500014E13</v>
      </c>
      <c r="B683" s="218" t="s">
        <v>1557</v>
      </c>
    </row>
    <row r="684">
      <c r="A684" s="430">
        <v>8.29565740001E13</v>
      </c>
      <c r="B684" s="218" t="s">
        <v>1558</v>
      </c>
    </row>
    <row r="685">
      <c r="A685" s="430">
        <v>7.9303384000171E13</v>
      </c>
      <c r="B685" s="218" t="s">
        <v>1559</v>
      </c>
    </row>
    <row r="686">
      <c r="A686" s="430">
        <v>3.669894000103E12</v>
      </c>
      <c r="B686" s="218" t="s">
        <v>1560</v>
      </c>
    </row>
    <row r="687">
      <c r="A687" s="430">
        <v>3.655041000104E12</v>
      </c>
      <c r="B687" s="218" t="s">
        <v>1561</v>
      </c>
    </row>
    <row r="688">
      <c r="A688" s="430">
        <v>2.290779000152E12</v>
      </c>
      <c r="B688" s="218" t="s">
        <v>1562</v>
      </c>
    </row>
    <row r="689">
      <c r="A689" s="430">
        <v>4.62379000151E11</v>
      </c>
      <c r="B689" s="218" t="s">
        <v>1563</v>
      </c>
    </row>
    <row r="690">
      <c r="A690" s="430">
        <v>3.830911000134E12</v>
      </c>
      <c r="B690" s="218" t="s">
        <v>1564</v>
      </c>
    </row>
    <row r="691">
      <c r="A691" s="430">
        <v>2.076369000103E12</v>
      </c>
      <c r="B691" s="218" t="s">
        <v>1565</v>
      </c>
    </row>
    <row r="692">
      <c r="A692" s="430">
        <v>3.8034807000118E13</v>
      </c>
      <c r="B692" s="218" t="s">
        <v>1566</v>
      </c>
    </row>
    <row r="693">
      <c r="A693" s="430">
        <v>9.3305910000163E13</v>
      </c>
      <c r="B693" s="218" t="s">
        <v>1567</v>
      </c>
    </row>
    <row r="694">
      <c r="A694" s="430">
        <v>5.162871000125E12</v>
      </c>
      <c r="B694" s="218" t="s">
        <v>1568</v>
      </c>
    </row>
    <row r="695">
      <c r="A695" s="430">
        <v>4.47896600019E12</v>
      </c>
      <c r="B695" s="218" t="s">
        <v>1569</v>
      </c>
    </row>
    <row r="696">
      <c r="A696" s="430">
        <v>5.522187000107E12</v>
      </c>
      <c r="B696" s="218" t="s">
        <v>1570</v>
      </c>
    </row>
    <row r="697">
      <c r="A697" s="430">
        <v>1.369373000105E12</v>
      </c>
      <c r="B697" s="218" t="s">
        <v>1571</v>
      </c>
    </row>
    <row r="698">
      <c r="A698" s="430">
        <v>3.10059000186E11</v>
      </c>
      <c r="B698" s="218" t="s">
        <v>1572</v>
      </c>
    </row>
    <row r="699">
      <c r="A699" s="430">
        <v>1.98124300011E12</v>
      </c>
      <c r="B699" s="218" t="s">
        <v>1573</v>
      </c>
    </row>
    <row r="700">
      <c r="A700" s="430">
        <v>9.5832465000115E13</v>
      </c>
      <c r="B700" s="218" t="s">
        <v>1574</v>
      </c>
    </row>
    <row r="701">
      <c r="A701" s="430">
        <v>1.709412000168E12</v>
      </c>
      <c r="B701" s="218" t="s">
        <v>1575</v>
      </c>
    </row>
    <row r="702">
      <c r="A702" s="430">
        <v>7.9931500014E11</v>
      </c>
      <c r="B702" s="218" t="s">
        <v>1576</v>
      </c>
    </row>
    <row r="703">
      <c r="A703" s="430">
        <v>4.620910000128E12</v>
      </c>
      <c r="B703" s="218" t="s">
        <v>1577</v>
      </c>
    </row>
    <row r="704">
      <c r="A704" s="430">
        <v>8.3471292000178E13</v>
      </c>
      <c r="B704" s="218" t="s">
        <v>1578</v>
      </c>
    </row>
    <row r="705">
      <c r="A705" s="430">
        <v>8.2112293000163E13</v>
      </c>
      <c r="B705" s="218" t="s">
        <v>1579</v>
      </c>
    </row>
    <row r="706">
      <c r="A706" s="430">
        <v>2.05525000163E11</v>
      </c>
      <c r="B706" s="218" t="s">
        <v>1580</v>
      </c>
    </row>
    <row r="707">
      <c r="A707" s="430">
        <v>8.3802215000153E13</v>
      </c>
      <c r="B707" s="218" t="s">
        <v>1581</v>
      </c>
    </row>
    <row r="708">
      <c r="A708" s="430">
        <v>7.821379000018E13</v>
      </c>
      <c r="B708" s="218" t="s">
        <v>1582</v>
      </c>
    </row>
    <row r="709">
      <c r="A709" s="430">
        <v>7.18661000157E11</v>
      </c>
      <c r="B709" s="218" t="s">
        <v>1583</v>
      </c>
    </row>
    <row r="710">
      <c r="A710" s="430">
        <v>9.37430000134E11</v>
      </c>
      <c r="B710" s="218" t="s">
        <v>1584</v>
      </c>
    </row>
    <row r="711">
      <c r="A711" s="430">
        <v>1.066048000165E12</v>
      </c>
      <c r="B711" s="218" t="s">
        <v>1585</v>
      </c>
    </row>
    <row r="712">
      <c r="A712" s="430">
        <v>9.5870895000121E13</v>
      </c>
      <c r="B712" s="218" t="s">
        <v>1586</v>
      </c>
    </row>
    <row r="713">
      <c r="A713" s="430">
        <v>1.014038000186E12</v>
      </c>
      <c r="B713" s="218" t="s">
        <v>1587</v>
      </c>
    </row>
    <row r="714">
      <c r="A714" s="430">
        <v>7.5393736000176E13</v>
      </c>
      <c r="B714" s="218" t="s">
        <v>1588</v>
      </c>
    </row>
    <row r="715">
      <c r="A715" s="430">
        <v>8.009089700012E13</v>
      </c>
      <c r="B715" s="218" t="s">
        <v>1589</v>
      </c>
    </row>
    <row r="716">
      <c r="A716" s="430">
        <v>8.0095557000192E13</v>
      </c>
      <c r="B716" s="218" t="s">
        <v>1590</v>
      </c>
    </row>
    <row r="717">
      <c r="A717" s="430">
        <v>8.0097637000187E13</v>
      </c>
      <c r="B717" s="218" t="s">
        <v>1591</v>
      </c>
    </row>
    <row r="718">
      <c r="A718" s="430">
        <v>8.0101678000108E13</v>
      </c>
      <c r="B718" s="218" t="s">
        <v>1592</v>
      </c>
    </row>
    <row r="719">
      <c r="A719" s="430">
        <v>8.0106883000158E13</v>
      </c>
      <c r="B719" s="218" t="s">
        <v>1593</v>
      </c>
    </row>
    <row r="720">
      <c r="A720" s="430">
        <v>8.0109010000107E13</v>
      </c>
      <c r="B720" s="218" t="s">
        <v>1594</v>
      </c>
    </row>
    <row r="721">
      <c r="A721" s="430">
        <v>7.9893276000199E13</v>
      </c>
      <c r="B721" s="218" t="s">
        <v>1595</v>
      </c>
    </row>
    <row r="722">
      <c r="A722" s="430">
        <v>7.9899936000156E13</v>
      </c>
      <c r="B722" s="218" t="s">
        <v>1596</v>
      </c>
    </row>
    <row r="723">
      <c r="A723" s="430">
        <v>7.9902466000132E13</v>
      </c>
      <c r="B723" s="218" t="s">
        <v>1597</v>
      </c>
    </row>
    <row r="724">
      <c r="A724" s="430">
        <v>7.9905584000102E13</v>
      </c>
      <c r="B724" s="218" t="s">
        <v>1598</v>
      </c>
    </row>
    <row r="725">
      <c r="A725" s="430">
        <v>7.990725900017E13</v>
      </c>
      <c r="B725" s="218" t="s">
        <v>1599</v>
      </c>
    </row>
    <row r="726">
      <c r="A726" s="430">
        <v>7.9917977000128E13</v>
      </c>
      <c r="B726" s="218" t="s">
        <v>1600</v>
      </c>
    </row>
    <row r="727">
      <c r="A727" s="430">
        <v>7.9918439000158E13</v>
      </c>
      <c r="B727" s="218" t="s">
        <v>1601</v>
      </c>
    </row>
    <row r="728">
      <c r="A728" s="430">
        <v>7.9930053000161E13</v>
      </c>
      <c r="B728" s="218" t="s">
        <v>1602</v>
      </c>
    </row>
    <row r="729">
      <c r="A729" s="430">
        <v>7.9936928000132E13</v>
      </c>
      <c r="B729" s="218" t="s">
        <v>1603</v>
      </c>
    </row>
    <row r="730">
      <c r="A730" s="430">
        <v>7.984114400012E13</v>
      </c>
      <c r="B730" s="218" t="s">
        <v>1604</v>
      </c>
    </row>
    <row r="731">
      <c r="A731" s="430">
        <v>7.9841144000392E13</v>
      </c>
      <c r="B731" s="218" t="s">
        <v>1604</v>
      </c>
    </row>
    <row r="732">
      <c r="A732" s="430">
        <v>7.9847836000186E13</v>
      </c>
      <c r="B732" s="218" t="s">
        <v>1605</v>
      </c>
    </row>
    <row r="733">
      <c r="A733" s="430">
        <v>7.9849865000187E13</v>
      </c>
      <c r="B733" s="218" t="s">
        <v>1606</v>
      </c>
    </row>
    <row r="734">
      <c r="A734" s="430">
        <v>7.9855128000197E13</v>
      </c>
      <c r="B734" s="218" t="s">
        <v>1607</v>
      </c>
    </row>
    <row r="735">
      <c r="A735" s="430">
        <v>7.9525853000105E13</v>
      </c>
      <c r="B735" s="218" t="s">
        <v>1608</v>
      </c>
    </row>
    <row r="736">
      <c r="A736" s="430">
        <v>7.952675200014E13</v>
      </c>
      <c r="B736" s="218" t="s">
        <v>1609</v>
      </c>
    </row>
    <row r="737">
      <c r="A737" s="430">
        <v>7.9529939000106E13</v>
      </c>
      <c r="B737" s="218" t="s">
        <v>1610</v>
      </c>
    </row>
    <row r="738">
      <c r="A738" s="430">
        <v>7.9530754000103E13</v>
      </c>
      <c r="B738" s="218" t="s">
        <v>1611</v>
      </c>
    </row>
    <row r="739">
      <c r="A739" s="430">
        <v>7.9569471000175E13</v>
      </c>
      <c r="B739" s="218" t="s">
        <v>1612</v>
      </c>
    </row>
    <row r="740">
      <c r="A740" s="430">
        <v>8.0443633000103E13</v>
      </c>
      <c r="B740" s="218" t="s">
        <v>1613</v>
      </c>
    </row>
    <row r="741">
      <c r="A741" s="430">
        <v>8.0444961000124E13</v>
      </c>
      <c r="B741" s="218" t="s">
        <v>1614</v>
      </c>
    </row>
    <row r="742">
      <c r="A742" s="430">
        <v>8.0445182000143E13</v>
      </c>
      <c r="B742" s="218" t="s">
        <v>1615</v>
      </c>
    </row>
    <row r="743">
      <c r="A743" s="430">
        <v>8.0446735000182E13</v>
      </c>
      <c r="B743" s="218" t="s">
        <v>1616</v>
      </c>
    </row>
    <row r="744">
      <c r="A744" s="430">
        <v>8.0484470000107E13</v>
      </c>
      <c r="B744" s="218" t="s">
        <v>1617</v>
      </c>
    </row>
    <row r="745">
      <c r="A745" s="430">
        <v>8.0496292000134E13</v>
      </c>
      <c r="B745" s="218" t="s">
        <v>1618</v>
      </c>
    </row>
    <row r="746">
      <c r="A746" s="430">
        <v>8.0497795000124E13</v>
      </c>
      <c r="B746" s="218" t="s">
        <v>1619</v>
      </c>
    </row>
    <row r="747">
      <c r="A747" s="430">
        <v>8.0498199000169E13</v>
      </c>
      <c r="B747" s="218" t="s">
        <v>1620</v>
      </c>
    </row>
    <row r="748">
      <c r="A748" s="430">
        <v>8.0499163000108E13</v>
      </c>
      <c r="B748" s="218" t="s">
        <v>1621</v>
      </c>
    </row>
    <row r="749">
      <c r="A749" s="430">
        <v>8.0501562000158E13</v>
      </c>
      <c r="B749" s="218" t="s">
        <v>1622</v>
      </c>
    </row>
    <row r="750">
      <c r="A750" s="430">
        <v>8.0644305000175E13</v>
      </c>
      <c r="B750" s="218" t="s">
        <v>1623</v>
      </c>
    </row>
    <row r="751">
      <c r="A751" s="430">
        <v>8.0651201000279E13</v>
      </c>
      <c r="B751" s="218" t="s">
        <v>1624</v>
      </c>
    </row>
    <row r="752">
      <c r="A752" s="430">
        <v>8.065120100035E13</v>
      </c>
      <c r="B752" s="218" t="s">
        <v>1625</v>
      </c>
    </row>
    <row r="753">
      <c r="A753" s="430">
        <v>8.0651532000128E13</v>
      </c>
      <c r="B753" s="218" t="s">
        <v>1626</v>
      </c>
    </row>
    <row r="754">
      <c r="A754" s="430">
        <v>8.0652027000106E13</v>
      </c>
      <c r="B754" s="218" t="s">
        <v>1627</v>
      </c>
    </row>
    <row r="755">
      <c r="A755" s="430">
        <v>8.065207600013E13</v>
      </c>
      <c r="B755" s="218" t="s">
        <v>1628</v>
      </c>
    </row>
    <row r="756">
      <c r="A756" s="430">
        <v>8.0166798000122E13</v>
      </c>
      <c r="B756" s="218" t="s">
        <v>1629</v>
      </c>
    </row>
    <row r="757">
      <c r="A757" s="430">
        <v>8.0167190000175E13</v>
      </c>
      <c r="B757" s="218" t="s">
        <v>1630</v>
      </c>
    </row>
    <row r="758">
      <c r="A758" s="430">
        <v>8.5138550000124E13</v>
      </c>
      <c r="B758" s="218" t="s">
        <v>1631</v>
      </c>
    </row>
    <row r="759">
      <c r="A759" s="430">
        <v>8.5151819000102E13</v>
      </c>
      <c r="B759" s="218" t="s">
        <v>1632</v>
      </c>
    </row>
    <row r="760">
      <c r="A760" s="430">
        <v>8.5151835000103E13</v>
      </c>
      <c r="B760" s="218" t="s">
        <v>1633</v>
      </c>
    </row>
    <row r="761">
      <c r="A761" s="430">
        <v>8.5193936000139E13</v>
      </c>
      <c r="B761" s="218" t="s">
        <v>1634</v>
      </c>
    </row>
    <row r="762">
      <c r="A762" s="430">
        <v>8.519479300018E13</v>
      </c>
      <c r="B762" s="218" t="s">
        <v>1635</v>
      </c>
    </row>
    <row r="763">
      <c r="A763" s="430">
        <v>8.5199123000237E13</v>
      </c>
      <c r="B763" s="218" t="s">
        <v>1636</v>
      </c>
    </row>
    <row r="764">
      <c r="A764" s="430">
        <v>8.5200996000131E13</v>
      </c>
      <c r="B764" s="218" t="s">
        <v>1637</v>
      </c>
    </row>
    <row r="765">
      <c r="A765" s="430">
        <v>8.52028930001E13</v>
      </c>
      <c r="B765" s="218" t="s">
        <v>1638</v>
      </c>
    </row>
    <row r="766">
      <c r="A766" s="430">
        <v>8.520429500017E13</v>
      </c>
      <c r="B766" s="218" t="s">
        <v>1639</v>
      </c>
    </row>
    <row r="767">
      <c r="A767" s="430">
        <v>8.5206068000184E13</v>
      </c>
      <c r="B767" s="218" t="s">
        <v>1640</v>
      </c>
    </row>
    <row r="768">
      <c r="A768" s="430">
        <v>8.5207447000199E13</v>
      </c>
      <c r="B768" s="218" t="s">
        <v>1641</v>
      </c>
    </row>
    <row r="769">
      <c r="A769" s="430">
        <v>8.5214732000137E13</v>
      </c>
      <c r="B769" s="218" t="s">
        <v>1642</v>
      </c>
    </row>
    <row r="770">
      <c r="A770" s="430">
        <v>8.578089800011E13</v>
      </c>
      <c r="B770" s="218" t="s">
        <v>1643</v>
      </c>
    </row>
    <row r="771">
      <c r="A771" s="430">
        <v>8.6024445000127E13</v>
      </c>
      <c r="B771" s="218" t="s">
        <v>1644</v>
      </c>
    </row>
    <row r="772">
      <c r="A772" s="430">
        <v>8.6049301000125E13</v>
      </c>
      <c r="B772" s="218" t="s">
        <v>1645</v>
      </c>
    </row>
    <row r="773">
      <c r="A773" s="430">
        <v>8.6050564000154E13</v>
      </c>
      <c r="B773" s="218" t="s">
        <v>1646</v>
      </c>
    </row>
    <row r="774">
      <c r="A774" s="430">
        <v>8.6050978000183E13</v>
      </c>
      <c r="B774" s="218" t="s">
        <v>1647</v>
      </c>
    </row>
    <row r="775">
      <c r="A775" s="430">
        <v>8.618337300016E13</v>
      </c>
      <c r="B775" s="218" t="s">
        <v>1648</v>
      </c>
    </row>
    <row r="776">
      <c r="A776" s="430">
        <v>8.5406635000146E13</v>
      </c>
      <c r="B776" s="218" t="s">
        <v>1649</v>
      </c>
    </row>
    <row r="777">
      <c r="A777" s="430">
        <v>8.540724500019E13</v>
      </c>
      <c r="B777" s="218" t="s">
        <v>1650</v>
      </c>
    </row>
    <row r="778">
      <c r="A778" s="430">
        <v>8.5476281000106E13</v>
      </c>
      <c r="B778" s="218" t="s">
        <v>1651</v>
      </c>
    </row>
    <row r="779">
      <c r="A779" s="430">
        <v>8.5509776000194E13</v>
      </c>
      <c r="B779" s="218" t="s">
        <v>1652</v>
      </c>
    </row>
    <row r="780">
      <c r="A780" s="430">
        <v>8.6183381000107E13</v>
      </c>
      <c r="B780" s="218" t="s">
        <v>1653</v>
      </c>
    </row>
    <row r="781">
      <c r="A781" s="430">
        <v>8.6184074001899E13</v>
      </c>
      <c r="B781" s="218" t="s">
        <v>1654</v>
      </c>
    </row>
    <row r="782">
      <c r="A782" s="430">
        <v>8.624398700019E13</v>
      </c>
      <c r="B782" s="218" t="s">
        <v>1655</v>
      </c>
    </row>
    <row r="783">
      <c r="A783" s="430">
        <v>8.6248655000107E13</v>
      </c>
      <c r="B783" s="218" t="s">
        <v>1656</v>
      </c>
    </row>
    <row r="784">
      <c r="A784" s="430">
        <v>8.6251519000168E13</v>
      </c>
      <c r="B784" s="218" t="s">
        <v>1657</v>
      </c>
    </row>
    <row r="785">
      <c r="A785" s="430">
        <v>8.6365350000843E13</v>
      </c>
      <c r="B785" s="218" t="s">
        <v>1658</v>
      </c>
    </row>
    <row r="786">
      <c r="A786" s="430">
        <v>8.6428836001006E13</v>
      </c>
      <c r="B786" s="218" t="s">
        <v>1659</v>
      </c>
    </row>
    <row r="787">
      <c r="A787" s="430">
        <v>8.6428893000196E13</v>
      </c>
      <c r="B787" s="218" t="s">
        <v>1660</v>
      </c>
    </row>
    <row r="788">
      <c r="A788" s="430">
        <v>8.64291980003E13</v>
      </c>
      <c r="B788" s="218" t="s">
        <v>1661</v>
      </c>
    </row>
    <row r="789">
      <c r="A789" s="430">
        <v>8.6431749000109E13</v>
      </c>
      <c r="B789" s="218" t="s">
        <v>1662</v>
      </c>
    </row>
    <row r="790">
      <c r="A790" s="430">
        <v>8.5777555000105E13</v>
      </c>
      <c r="B790" s="218" t="s">
        <v>1663</v>
      </c>
    </row>
    <row r="791">
      <c r="A791" s="430">
        <v>8.6432234001014E13</v>
      </c>
      <c r="B791" s="218" t="s">
        <v>1664</v>
      </c>
    </row>
    <row r="792">
      <c r="A792" s="430">
        <v>8.6432234001286E13</v>
      </c>
      <c r="B792" s="218" t="s">
        <v>1664</v>
      </c>
    </row>
    <row r="793">
      <c r="A793" s="430">
        <v>8.6517619011766E13</v>
      </c>
      <c r="B793" s="218" t="s">
        <v>1665</v>
      </c>
    </row>
    <row r="794">
      <c r="A794" s="430">
        <v>8.6532538002963E13</v>
      </c>
      <c r="B794" s="218" t="s">
        <v>1666</v>
      </c>
    </row>
    <row r="795">
      <c r="A795" s="430">
        <v>8.5343044000177E13</v>
      </c>
      <c r="B795" s="218" t="s">
        <v>1667</v>
      </c>
    </row>
    <row r="796">
      <c r="A796" s="430">
        <v>8.5343044000258E13</v>
      </c>
      <c r="B796" s="218" t="s">
        <v>1667</v>
      </c>
    </row>
    <row r="797">
      <c r="A797" s="430">
        <v>8.534767200012E13</v>
      </c>
      <c r="B797" s="218" t="s">
        <v>1668</v>
      </c>
    </row>
    <row r="798">
      <c r="A798" s="430">
        <v>8.5352136000113E13</v>
      </c>
      <c r="B798" s="218" t="s">
        <v>1669</v>
      </c>
    </row>
    <row r="799">
      <c r="A799" s="430">
        <v>8.535458700019E13</v>
      </c>
      <c r="B799" s="218" t="s">
        <v>1670</v>
      </c>
    </row>
    <row r="800">
      <c r="A800" s="430">
        <v>8.535581600019E13</v>
      </c>
      <c r="B800" s="218" t="s">
        <v>1671</v>
      </c>
    </row>
    <row r="801">
      <c r="A801" s="430">
        <v>8.5356269000168E13</v>
      </c>
      <c r="B801" s="218" t="s">
        <v>1672</v>
      </c>
    </row>
    <row r="802">
      <c r="A802" s="430">
        <v>8.02350000171E11</v>
      </c>
      <c r="B802" s="218" t="s">
        <v>1673</v>
      </c>
    </row>
    <row r="803">
      <c r="A803" s="430">
        <v>1.151152000158E12</v>
      </c>
      <c r="B803" s="218" t="s">
        <v>1674</v>
      </c>
    </row>
    <row r="804">
      <c r="A804" s="430">
        <v>3.545149000144E12</v>
      </c>
      <c r="B804" s="218" t="s">
        <v>1675</v>
      </c>
    </row>
    <row r="805">
      <c r="A805" s="430">
        <v>1.1626360001E12</v>
      </c>
      <c r="B805" s="218" t="s">
        <v>1676</v>
      </c>
    </row>
    <row r="806">
      <c r="A806" s="430">
        <v>1.413452000168E12</v>
      </c>
      <c r="B806" s="218" t="s">
        <v>1677</v>
      </c>
    </row>
    <row r="807">
      <c r="A807" s="430">
        <v>8.9683510000114E13</v>
      </c>
      <c r="B807" s="218" t="s">
        <v>1678</v>
      </c>
    </row>
    <row r="808">
      <c r="A808" s="430">
        <v>2.7845200013E11</v>
      </c>
      <c r="B808" s="218" t="s">
        <v>1679</v>
      </c>
    </row>
    <row r="809">
      <c r="A809" s="430">
        <v>3.035831000197E12</v>
      </c>
      <c r="B809" s="218" t="s">
        <v>1680</v>
      </c>
    </row>
    <row r="810">
      <c r="A810" s="430">
        <v>9.327729100014E13</v>
      </c>
      <c r="B810" s="218" t="s">
        <v>1681</v>
      </c>
    </row>
    <row r="811">
      <c r="A811" s="430">
        <v>5.8170994000174E13</v>
      </c>
      <c r="B811" s="218" t="s">
        <v>1682</v>
      </c>
    </row>
    <row r="812">
      <c r="A812" s="430">
        <v>3.302345000198E12</v>
      </c>
      <c r="B812" s="218" t="s">
        <v>1683</v>
      </c>
    </row>
    <row r="813">
      <c r="A813" s="430">
        <v>9.0108283000182E13</v>
      </c>
      <c r="B813" s="218" t="s">
        <v>1684</v>
      </c>
    </row>
    <row r="814">
      <c r="A814" s="430">
        <v>9.54637000117E11</v>
      </c>
      <c r="B814" s="218" t="s">
        <v>1685</v>
      </c>
    </row>
    <row r="815">
      <c r="A815" s="430">
        <v>2.94301300012E12</v>
      </c>
      <c r="B815" s="218" t="s">
        <v>1686</v>
      </c>
    </row>
    <row r="816">
      <c r="A816" s="430">
        <v>3.031391000108E12</v>
      </c>
      <c r="B816" s="218" t="s">
        <v>1687</v>
      </c>
    </row>
    <row r="817">
      <c r="A817" s="430">
        <v>3.149835000104E12</v>
      </c>
      <c r="B817" s="218" t="s">
        <v>1688</v>
      </c>
    </row>
    <row r="818">
      <c r="A818" s="430">
        <v>1.846276000158E12</v>
      </c>
      <c r="B818" s="218" t="s">
        <v>1689</v>
      </c>
    </row>
    <row r="819">
      <c r="A819" s="430">
        <v>8.3896829000141E13</v>
      </c>
      <c r="B819" s="218" t="s">
        <v>1690</v>
      </c>
    </row>
    <row r="820">
      <c r="A820" s="430">
        <v>9.5844882000188E13</v>
      </c>
      <c r="B820" s="218" t="s">
        <v>1691</v>
      </c>
    </row>
    <row r="821">
      <c r="A821" s="430">
        <v>8.305799200011E13</v>
      </c>
      <c r="B821" s="218" t="s">
        <v>1692</v>
      </c>
    </row>
    <row r="822">
      <c r="A822" s="430">
        <v>7.86095590001E13</v>
      </c>
      <c r="B822" s="218" t="s">
        <v>1693</v>
      </c>
    </row>
    <row r="823">
      <c r="A823" s="430">
        <v>3.21020500019E12</v>
      </c>
      <c r="B823" s="218" t="s">
        <v>1694</v>
      </c>
    </row>
    <row r="824">
      <c r="A824" s="430">
        <v>7.9684833000179E13</v>
      </c>
      <c r="B824" s="218" t="s">
        <v>1695</v>
      </c>
    </row>
    <row r="825">
      <c r="A825" s="430">
        <v>8.5376689000106E13</v>
      </c>
      <c r="B825" s="218" t="s">
        <v>1696</v>
      </c>
    </row>
    <row r="826">
      <c r="A826" s="430">
        <v>1.27003000018E12</v>
      </c>
      <c r="B826" s="218" t="s">
        <v>1697</v>
      </c>
    </row>
    <row r="827">
      <c r="A827" s="430">
        <v>8.7103248000166E13</v>
      </c>
      <c r="B827" s="218" t="s">
        <v>1698</v>
      </c>
    </row>
    <row r="828">
      <c r="A828" s="430">
        <v>8.3017350000198E13</v>
      </c>
      <c r="B828" s="218" t="s">
        <v>1699</v>
      </c>
    </row>
    <row r="829">
      <c r="A829" s="430">
        <v>8.37247650001E13</v>
      </c>
      <c r="B829" s="218" t="s">
        <v>1700</v>
      </c>
    </row>
    <row r="830">
      <c r="A830" s="430">
        <v>1.759096000139E12</v>
      </c>
      <c r="B830" s="218" t="s">
        <v>1701</v>
      </c>
    </row>
    <row r="831">
      <c r="A831" s="430">
        <v>1.07295000108E11</v>
      </c>
      <c r="B831" s="218" t="s">
        <v>1702</v>
      </c>
    </row>
    <row r="832">
      <c r="A832" s="430">
        <v>2.7922913000111E13</v>
      </c>
      <c r="B832" s="218" t="s">
        <v>1703</v>
      </c>
    </row>
    <row r="833">
      <c r="A833" s="430">
        <v>7.7856656000135E13</v>
      </c>
      <c r="B833" s="218" t="s">
        <v>1704</v>
      </c>
    </row>
    <row r="834">
      <c r="A834" s="430">
        <v>1.733371000145E12</v>
      </c>
      <c r="B834" s="218" t="s">
        <v>1705</v>
      </c>
    </row>
    <row r="835">
      <c r="A835" s="430">
        <v>3.425833000192E12</v>
      </c>
      <c r="B835" s="218" t="s">
        <v>1706</v>
      </c>
    </row>
    <row r="836">
      <c r="A836" s="430">
        <v>3.549389000117E12</v>
      </c>
      <c r="B836" s="218" t="s">
        <v>1707</v>
      </c>
    </row>
    <row r="837">
      <c r="A837" s="430">
        <v>5.84226000187E11</v>
      </c>
      <c r="B837" s="218" t="s">
        <v>1708</v>
      </c>
    </row>
    <row r="838">
      <c r="A838" s="430">
        <v>7.90341530001E13</v>
      </c>
      <c r="B838" s="218" t="s">
        <v>1709</v>
      </c>
    </row>
    <row r="839">
      <c r="A839" s="430">
        <v>8.3230441000107E13</v>
      </c>
      <c r="B839" s="218" t="s">
        <v>1710</v>
      </c>
    </row>
    <row r="840">
      <c r="A840" s="430">
        <v>7.5459461000126E13</v>
      </c>
      <c r="B840" s="218" t="s">
        <v>1711</v>
      </c>
    </row>
    <row r="841">
      <c r="A841" s="430">
        <v>7.347196300561E13</v>
      </c>
      <c r="B841" s="218" t="s">
        <v>1712</v>
      </c>
    </row>
    <row r="842">
      <c r="A842" s="430">
        <v>1.54225300015E12</v>
      </c>
      <c r="B842" s="218" t="s">
        <v>1713</v>
      </c>
    </row>
    <row r="843">
      <c r="A843" s="430">
        <v>1.609747000104E12</v>
      </c>
      <c r="B843" s="218" t="s">
        <v>1714</v>
      </c>
    </row>
    <row r="844">
      <c r="A844" s="430">
        <v>2.586702000124E12</v>
      </c>
      <c r="B844" s="218" t="s">
        <v>1715</v>
      </c>
    </row>
    <row r="845">
      <c r="A845" s="430">
        <v>7.648381700012E13</v>
      </c>
      <c r="B845" s="218" t="s">
        <v>1716</v>
      </c>
    </row>
    <row r="846">
      <c r="A846" s="430">
        <v>7.9846465000118E13</v>
      </c>
      <c r="B846" s="218" t="s">
        <v>1717</v>
      </c>
    </row>
    <row r="847">
      <c r="A847" s="430">
        <v>8.3901728000111E13</v>
      </c>
      <c r="B847" s="218" t="s">
        <v>1718</v>
      </c>
    </row>
    <row r="848">
      <c r="A848" s="430">
        <v>8.0480767000102E13</v>
      </c>
      <c r="B848" s="218" t="s">
        <v>1719</v>
      </c>
    </row>
    <row r="849">
      <c r="A849" s="430">
        <v>8.0169063000105E13</v>
      </c>
      <c r="B849" s="218" t="s">
        <v>1720</v>
      </c>
    </row>
    <row r="850">
      <c r="A850" s="430">
        <v>8.01713900001E13</v>
      </c>
      <c r="B850" s="218" t="s">
        <v>1721</v>
      </c>
    </row>
    <row r="851">
      <c r="A851" s="430">
        <v>8.0255326000107E13</v>
      </c>
      <c r="B851" s="218" t="s">
        <v>1722</v>
      </c>
    </row>
    <row r="852">
      <c r="A852" s="430">
        <v>8.0322886000129E13</v>
      </c>
      <c r="B852" s="218" t="s">
        <v>1723</v>
      </c>
    </row>
    <row r="853">
      <c r="A853" s="430">
        <v>8.0369631000621E13</v>
      </c>
      <c r="B853" s="218" t="s">
        <v>1724</v>
      </c>
    </row>
    <row r="854">
      <c r="A854" s="430">
        <v>8.0134463000185E13</v>
      </c>
      <c r="B854" s="218" t="s">
        <v>1725</v>
      </c>
    </row>
    <row r="855">
      <c r="A855" s="430">
        <v>1.3964110001E12</v>
      </c>
      <c r="B855" s="218" t="s">
        <v>1726</v>
      </c>
    </row>
    <row r="856">
      <c r="A856" s="430">
        <v>7.9000527000176E13</v>
      </c>
      <c r="B856" s="218" t="s">
        <v>1727</v>
      </c>
    </row>
    <row r="857">
      <c r="A857" s="430">
        <v>1.162636000283E12</v>
      </c>
      <c r="B857" s="218" t="s">
        <v>1728</v>
      </c>
    </row>
    <row r="858">
      <c r="A858" s="430">
        <v>3.245654000173E12</v>
      </c>
      <c r="B858" s="218" t="s">
        <v>1729</v>
      </c>
    </row>
    <row r="859">
      <c r="A859" s="430">
        <v>7.6831999000182E13</v>
      </c>
      <c r="B859" s="218" t="s">
        <v>1730</v>
      </c>
    </row>
    <row r="860">
      <c r="A860" s="430">
        <v>2.175833000119E12</v>
      </c>
      <c r="B860" s="218" t="s">
        <v>1731</v>
      </c>
    </row>
    <row r="861">
      <c r="A861" s="430">
        <v>1.22284000199E11</v>
      </c>
      <c r="B861" s="218" t="s">
        <v>1732</v>
      </c>
    </row>
    <row r="862">
      <c r="A862" s="430">
        <v>1.61324800019E12</v>
      </c>
      <c r="B862" s="218" t="s">
        <v>1733</v>
      </c>
    </row>
    <row r="863">
      <c r="A863" s="430">
        <v>8.5241727000113E13</v>
      </c>
      <c r="B863" s="218" t="s">
        <v>1734</v>
      </c>
    </row>
    <row r="864">
      <c r="A864" s="430">
        <v>3.51520000149E11</v>
      </c>
      <c r="B864" s="218" t="s">
        <v>1735</v>
      </c>
    </row>
    <row r="865">
      <c r="A865" s="430">
        <v>7.4708223000144E13</v>
      </c>
      <c r="B865" s="218" t="s">
        <v>1736</v>
      </c>
    </row>
    <row r="866">
      <c r="A866" s="430">
        <v>2.8986003476E10</v>
      </c>
      <c r="B866" s="218" t="s">
        <v>1737</v>
      </c>
    </row>
    <row r="867">
      <c r="A867" s="430">
        <v>8.50936000101E11</v>
      </c>
      <c r="B867" s="218" t="s">
        <v>1738</v>
      </c>
    </row>
    <row r="868">
      <c r="A868" s="430">
        <v>2.694109000282E12</v>
      </c>
      <c r="B868" s="218" t="s">
        <v>1739</v>
      </c>
    </row>
    <row r="869">
      <c r="A869" s="430">
        <v>7.2236870000175E13</v>
      </c>
      <c r="B869" s="218" t="s">
        <v>1740</v>
      </c>
    </row>
    <row r="870">
      <c r="A870" s="430">
        <v>6.30610000179E11</v>
      </c>
      <c r="B870" s="218" t="s">
        <v>1741</v>
      </c>
    </row>
    <row r="871">
      <c r="A871" s="430">
        <v>7.3243222000109E13</v>
      </c>
      <c r="B871" s="218" t="s">
        <v>1742</v>
      </c>
    </row>
    <row r="872">
      <c r="A872" s="430">
        <v>8.0727977000144E13</v>
      </c>
      <c r="B872" s="218" t="s">
        <v>1743</v>
      </c>
    </row>
    <row r="873">
      <c r="A873" s="430">
        <v>7.919336300014E13</v>
      </c>
      <c r="B873" s="218" t="s">
        <v>1744</v>
      </c>
    </row>
    <row r="874">
      <c r="A874" s="430">
        <v>7.8640810000108E13</v>
      </c>
      <c r="B874" s="218" t="s">
        <v>1745</v>
      </c>
    </row>
    <row r="875">
      <c r="A875" s="430">
        <v>7.8359098000165E13</v>
      </c>
      <c r="B875" s="218" t="s">
        <v>1746</v>
      </c>
    </row>
    <row r="876">
      <c r="A876" s="430">
        <v>7.8359197000147E13</v>
      </c>
      <c r="B876" s="218" t="s">
        <v>1747</v>
      </c>
    </row>
    <row r="877">
      <c r="A877" s="430">
        <v>7.8521440000181E13</v>
      </c>
      <c r="B877" s="218" t="s">
        <v>1748</v>
      </c>
    </row>
    <row r="878">
      <c r="A878" s="430">
        <v>7.8645447000105E13</v>
      </c>
      <c r="B878" s="218" t="s">
        <v>1749</v>
      </c>
    </row>
    <row r="879">
      <c r="A879" s="430">
        <v>7.8653672000193E13</v>
      </c>
      <c r="B879" s="218" t="s">
        <v>1750</v>
      </c>
    </row>
    <row r="880">
      <c r="A880" s="430">
        <v>7.8215019000142E13</v>
      </c>
      <c r="B880" s="218" t="s">
        <v>1751</v>
      </c>
    </row>
    <row r="881">
      <c r="A881" s="430">
        <v>8.6859121000109E13</v>
      </c>
      <c r="B881" s="218" t="s">
        <v>1752</v>
      </c>
    </row>
    <row r="882">
      <c r="A882" s="430">
        <v>8.6859147000157E13</v>
      </c>
      <c r="B882" s="218" t="s">
        <v>1753</v>
      </c>
    </row>
    <row r="883">
      <c r="A883" s="430">
        <v>8.6859147100057E13</v>
      </c>
      <c r="B883" s="218" t="s">
        <v>1754</v>
      </c>
    </row>
    <row r="884">
      <c r="A884" s="430">
        <v>8.6879459000122E13</v>
      </c>
      <c r="B884" s="218" t="s">
        <v>1755</v>
      </c>
    </row>
    <row r="885">
      <c r="A885" s="430">
        <v>8.6937877000129E13</v>
      </c>
      <c r="B885" s="218" t="s">
        <v>1756</v>
      </c>
    </row>
    <row r="886">
      <c r="A886" s="430">
        <v>8.6975547000128E13</v>
      </c>
      <c r="B886" s="218" t="s">
        <v>1757</v>
      </c>
    </row>
    <row r="887">
      <c r="A887" s="430">
        <v>8.6999687000136E13</v>
      </c>
      <c r="B887" s="218" t="s">
        <v>1758</v>
      </c>
    </row>
    <row r="888">
      <c r="A888" s="430">
        <v>8.709573200019E13</v>
      </c>
      <c r="B888" s="218" t="s">
        <v>1759</v>
      </c>
    </row>
    <row r="889">
      <c r="A889" s="430">
        <v>8.712720500011E13</v>
      </c>
      <c r="B889" s="218" t="s">
        <v>1760</v>
      </c>
    </row>
    <row r="890">
      <c r="A890" s="430">
        <v>8.713591900017E13</v>
      </c>
      <c r="B890" s="218" t="s">
        <v>1761</v>
      </c>
    </row>
    <row r="891">
      <c r="A891" s="430">
        <v>8.7546552000188E13</v>
      </c>
      <c r="B891" s="218" t="s">
        <v>1762</v>
      </c>
    </row>
    <row r="892">
      <c r="A892" s="430">
        <v>8.801977300016E13</v>
      </c>
      <c r="B892" s="218" t="s">
        <v>1763</v>
      </c>
    </row>
    <row r="893">
      <c r="A893" s="430">
        <v>8.5776557000171E13</v>
      </c>
      <c r="B893" s="218" t="s">
        <v>1764</v>
      </c>
    </row>
    <row r="894">
      <c r="A894" s="430">
        <v>9.358037100017E13</v>
      </c>
      <c r="B894" s="218" t="s">
        <v>1765</v>
      </c>
    </row>
    <row r="895">
      <c r="A895" s="430">
        <v>9.3761815000174E13</v>
      </c>
      <c r="B895" s="218" t="s">
        <v>1766</v>
      </c>
    </row>
    <row r="896">
      <c r="A896" s="430">
        <v>9.2749639000605E13</v>
      </c>
      <c r="B896" s="218" t="s">
        <v>1767</v>
      </c>
    </row>
    <row r="897">
      <c r="A897" s="430">
        <v>9.2750207000363E13</v>
      </c>
      <c r="B897" s="218" t="s">
        <v>1768</v>
      </c>
    </row>
    <row r="898">
      <c r="A898" s="430">
        <v>9.2772821024691E13</v>
      </c>
      <c r="B898" s="218" t="s">
        <v>1769</v>
      </c>
    </row>
    <row r="899">
      <c r="A899" s="430">
        <v>9.3997062000109E13</v>
      </c>
      <c r="B899" s="218" t="s">
        <v>1770</v>
      </c>
    </row>
    <row r="900">
      <c r="A900" s="430">
        <v>9.4640539000159E13</v>
      </c>
      <c r="B900" s="218" t="s">
        <v>1771</v>
      </c>
    </row>
    <row r="901">
      <c r="A901" s="430">
        <v>9.4667391000146E13</v>
      </c>
      <c r="B901" s="218" t="s">
        <v>1772</v>
      </c>
    </row>
    <row r="902">
      <c r="A902" s="430">
        <v>9.479919400018E13</v>
      </c>
      <c r="B902" s="218" t="s">
        <v>1773</v>
      </c>
    </row>
    <row r="903">
      <c r="A903" s="430">
        <v>9.5179396000192E13</v>
      </c>
      <c r="B903" s="218" t="s">
        <v>1774</v>
      </c>
    </row>
    <row r="904">
      <c r="A904" s="430">
        <v>9.5364197000141E13</v>
      </c>
      <c r="B904" s="218" t="s">
        <v>1775</v>
      </c>
    </row>
    <row r="905">
      <c r="A905" s="430">
        <v>9.538150500015E13</v>
      </c>
      <c r="B905" s="218" t="s">
        <v>1776</v>
      </c>
    </row>
    <row r="906">
      <c r="A906" s="430">
        <v>8.2724543000116E13</v>
      </c>
      <c r="B906" s="218" t="s">
        <v>1777</v>
      </c>
    </row>
    <row r="907">
      <c r="A907" s="430">
        <v>7.5402099000157E13</v>
      </c>
      <c r="B907" s="218" t="s">
        <v>1778</v>
      </c>
    </row>
    <row r="908">
      <c r="A908" s="430">
        <v>8.5252757000125E13</v>
      </c>
      <c r="B908" s="218" t="s">
        <v>1779</v>
      </c>
    </row>
    <row r="909">
      <c r="A909" s="430">
        <v>7.55990000178E11</v>
      </c>
      <c r="B909" s="218" t="s">
        <v>1780</v>
      </c>
    </row>
    <row r="910">
      <c r="A910" s="430">
        <v>8.3878710000146E13</v>
      </c>
      <c r="B910" s="218" t="s">
        <v>1781</v>
      </c>
    </row>
    <row r="911">
      <c r="A911" s="430">
        <v>6.0260957000107E13</v>
      </c>
      <c r="B911" s="218" t="s">
        <v>1782</v>
      </c>
    </row>
    <row r="912">
      <c r="A912" s="430">
        <v>3.644612000105E12</v>
      </c>
      <c r="B912" s="218" t="s">
        <v>1783</v>
      </c>
    </row>
    <row r="913">
      <c r="A913" s="430">
        <v>8.137417500016E13</v>
      </c>
      <c r="B913" s="218" t="s">
        <v>1784</v>
      </c>
    </row>
    <row r="914">
      <c r="A914" s="430">
        <v>3.39426000174E11</v>
      </c>
      <c r="B914" s="218" t="s">
        <v>1785</v>
      </c>
    </row>
    <row r="915">
      <c r="A915" s="430">
        <v>1.05032000151E11</v>
      </c>
      <c r="B915" s="218" t="s">
        <v>1786</v>
      </c>
    </row>
    <row r="916">
      <c r="A916" s="430">
        <v>3.839789000167E12</v>
      </c>
      <c r="B916" s="218" t="s">
        <v>1787</v>
      </c>
    </row>
    <row r="917">
      <c r="A917" s="430">
        <v>2.88015000105E11</v>
      </c>
      <c r="B917" s="218" t="s">
        <v>1788</v>
      </c>
    </row>
    <row r="918">
      <c r="A918" s="430">
        <v>2.521875000164E12</v>
      </c>
      <c r="B918" s="218" t="s">
        <v>920</v>
      </c>
    </row>
    <row r="919">
      <c r="A919" s="430">
        <v>3.777341002614E12</v>
      </c>
      <c r="B919" s="218" t="s">
        <v>1789</v>
      </c>
    </row>
    <row r="920">
      <c r="A920" s="430">
        <v>8.5159093000154E13</v>
      </c>
      <c r="B920" s="218" t="s">
        <v>1790</v>
      </c>
    </row>
    <row r="921">
      <c r="A921" s="430">
        <v>2.7175370001E12</v>
      </c>
      <c r="B921" s="218" t="s">
        <v>1791</v>
      </c>
    </row>
    <row r="922">
      <c r="A922" s="430">
        <v>6.8886605000165E13</v>
      </c>
      <c r="B922" s="218" t="s">
        <v>1792</v>
      </c>
    </row>
    <row r="923">
      <c r="A923" s="430">
        <v>5.2101400015E11</v>
      </c>
      <c r="B923" s="218" t="s">
        <v>1793</v>
      </c>
    </row>
    <row r="924">
      <c r="A924" s="430">
        <v>7.8908266000124E13</v>
      </c>
      <c r="B924" s="218" t="s">
        <v>1794</v>
      </c>
    </row>
    <row r="925">
      <c r="A925" s="430">
        <v>9.45012000199E11</v>
      </c>
      <c r="B925" s="218" t="s">
        <v>1795</v>
      </c>
    </row>
    <row r="926">
      <c r="A926" s="430">
        <v>6.0643228019574E13</v>
      </c>
      <c r="B926" s="218" t="s">
        <v>1796</v>
      </c>
    </row>
    <row r="927">
      <c r="A927" s="430">
        <v>3.318159000147E12</v>
      </c>
      <c r="B927" s="218" t="s">
        <v>1797</v>
      </c>
    </row>
    <row r="928">
      <c r="A928" s="430">
        <v>8.0983869000132E13</v>
      </c>
      <c r="B928" s="218" t="s">
        <v>1798</v>
      </c>
    </row>
    <row r="929">
      <c r="A929" s="430">
        <v>4.3456599000185E13</v>
      </c>
      <c r="B929" s="218" t="s">
        <v>1799</v>
      </c>
    </row>
    <row r="930">
      <c r="A930" s="430">
        <v>1.92405500015E12</v>
      </c>
      <c r="B930" s="218" t="s">
        <v>1800</v>
      </c>
    </row>
    <row r="931">
      <c r="A931" s="430">
        <v>4.9532000016E11</v>
      </c>
      <c r="B931" s="218" t="s">
        <v>1801</v>
      </c>
    </row>
    <row r="932">
      <c r="A932" s="430">
        <v>2.22001700018E12</v>
      </c>
      <c r="B932" s="218" t="s">
        <v>1802</v>
      </c>
    </row>
    <row r="933">
      <c r="A933" s="430">
        <v>2.6258130001E12</v>
      </c>
      <c r="B933" s="218" t="s">
        <v>1803</v>
      </c>
    </row>
    <row r="934">
      <c r="A934" s="430">
        <v>7.8998051000222E13</v>
      </c>
      <c r="B934" s="218" t="s">
        <v>1804</v>
      </c>
    </row>
    <row r="935">
      <c r="A935" s="430">
        <v>7.8998481000163E13</v>
      </c>
      <c r="B935" s="218" t="s">
        <v>1805</v>
      </c>
    </row>
    <row r="936">
      <c r="A936" s="430">
        <v>7.900230900017E13</v>
      </c>
      <c r="B936" s="218" t="s">
        <v>1806</v>
      </c>
    </row>
    <row r="937">
      <c r="A937" s="430">
        <v>7.9005195000112E13</v>
      </c>
      <c r="B937" s="218" t="s">
        <v>1807</v>
      </c>
    </row>
    <row r="938">
      <c r="A938" s="430">
        <v>7.9015384000176E13</v>
      </c>
      <c r="B938" s="218" t="s">
        <v>1808</v>
      </c>
    </row>
    <row r="939">
      <c r="A939" s="430">
        <v>7.6513506000166E13</v>
      </c>
      <c r="B939" s="218" t="s">
        <v>1809</v>
      </c>
    </row>
    <row r="940">
      <c r="A940" s="430">
        <v>7.6516921000688E13</v>
      </c>
      <c r="B940" s="218" t="s">
        <v>1810</v>
      </c>
    </row>
    <row r="941">
      <c r="A941" s="430">
        <v>7.6011519000137E13</v>
      </c>
      <c r="B941" s="218" t="s">
        <v>1811</v>
      </c>
    </row>
    <row r="942">
      <c r="A942" s="430">
        <v>7.6075902000159E13</v>
      </c>
      <c r="B942" s="218" t="s">
        <v>1812</v>
      </c>
    </row>
    <row r="943">
      <c r="A943" s="430">
        <v>7.6314723000127E13</v>
      </c>
      <c r="B943" s="218" t="s">
        <v>1813</v>
      </c>
    </row>
    <row r="944">
      <c r="A944" s="430">
        <v>7.63236170001E13</v>
      </c>
      <c r="B944" s="218" t="s">
        <v>1814</v>
      </c>
    </row>
    <row r="945">
      <c r="A945" s="430">
        <v>7.6329374000117E13</v>
      </c>
      <c r="B945" s="218" t="s">
        <v>1815</v>
      </c>
    </row>
    <row r="946">
      <c r="A946" s="430">
        <v>7.6330927000151E13</v>
      </c>
      <c r="B946" s="218" t="s">
        <v>1816</v>
      </c>
    </row>
    <row r="947">
      <c r="A947" s="430">
        <v>7.6341460000145E13</v>
      </c>
      <c r="B947" s="218" t="s">
        <v>1817</v>
      </c>
    </row>
    <row r="948">
      <c r="A948" s="430">
        <v>7.6342500000173E13</v>
      </c>
      <c r="B948" s="218" t="s">
        <v>1818</v>
      </c>
    </row>
    <row r="949">
      <c r="A949" s="430">
        <v>7.6342600000173E13</v>
      </c>
      <c r="B949" s="218" t="s">
        <v>1819</v>
      </c>
    </row>
    <row r="950">
      <c r="A950" s="430">
        <v>7.6351774000129E13</v>
      </c>
      <c r="B950" s="218" t="s">
        <v>1820</v>
      </c>
    </row>
    <row r="951">
      <c r="A951" s="430">
        <v>7.6358092000148E13</v>
      </c>
      <c r="B951" s="218" t="s">
        <v>1821</v>
      </c>
    </row>
    <row r="952">
      <c r="A952" s="430">
        <v>7.635963700013E13</v>
      </c>
      <c r="B952" s="218" t="s">
        <v>1822</v>
      </c>
    </row>
    <row r="953">
      <c r="A953" s="430">
        <v>7.6369370000162E13</v>
      </c>
      <c r="B953" s="218" t="s">
        <v>1823</v>
      </c>
    </row>
    <row r="954">
      <c r="A954" s="430">
        <v>7.6369974000109E13</v>
      </c>
      <c r="B954" s="218" t="s">
        <v>1824</v>
      </c>
    </row>
    <row r="955">
      <c r="A955" s="430">
        <v>7.6372838000178E13</v>
      </c>
      <c r="B955" s="218" t="s">
        <v>1825</v>
      </c>
    </row>
    <row r="956">
      <c r="A956" s="430">
        <v>7.6375740000174E13</v>
      </c>
      <c r="B956" s="218" t="s">
        <v>1826</v>
      </c>
    </row>
    <row r="957">
      <c r="A957" s="430">
        <v>7.6483916006738E13</v>
      </c>
      <c r="B957" s="218" t="s">
        <v>1827</v>
      </c>
    </row>
    <row r="958">
      <c r="A958" s="430">
        <v>7.6484104001071E13</v>
      </c>
      <c r="B958" s="218" t="s">
        <v>1828</v>
      </c>
    </row>
    <row r="959">
      <c r="A959" s="430">
        <v>7.6488071000651E13</v>
      </c>
      <c r="B959" s="218" t="s">
        <v>1829</v>
      </c>
    </row>
    <row r="960">
      <c r="A960" s="430">
        <v>7.6496256000365E13</v>
      </c>
      <c r="B960" s="218" t="s">
        <v>1830</v>
      </c>
    </row>
    <row r="961">
      <c r="A961" s="430">
        <v>7.6509108000508E13</v>
      </c>
      <c r="B961" s="218" t="s">
        <v>1831</v>
      </c>
    </row>
    <row r="962">
      <c r="A962" s="430">
        <v>7.5893784000123E13</v>
      </c>
      <c r="B962" s="218" t="s">
        <v>1832</v>
      </c>
    </row>
    <row r="963">
      <c r="A963" s="430">
        <v>7.5895326000123E13</v>
      </c>
      <c r="B963" s="218" t="s">
        <v>1833</v>
      </c>
    </row>
    <row r="964">
      <c r="A964" s="430">
        <v>7.5901587000109E13</v>
      </c>
      <c r="B964" s="218" t="s">
        <v>1834</v>
      </c>
    </row>
    <row r="965">
      <c r="A965" s="430">
        <v>7.5997247000123E13</v>
      </c>
      <c r="B965" s="218" t="s">
        <v>1835</v>
      </c>
    </row>
    <row r="966">
      <c r="A966" s="430">
        <v>7.5523589000101E13</v>
      </c>
      <c r="B966" s="218" t="s">
        <v>1836</v>
      </c>
    </row>
    <row r="967">
      <c r="A967" s="430">
        <v>7.5526111000135E13</v>
      </c>
      <c r="B967" s="218" t="s">
        <v>1837</v>
      </c>
    </row>
    <row r="968">
      <c r="A968" s="430">
        <v>7.5537969000103E13</v>
      </c>
      <c r="B968" s="218" t="s">
        <v>1838</v>
      </c>
    </row>
    <row r="969">
      <c r="A969" s="430">
        <v>7.55448900001E13</v>
      </c>
      <c r="B969" s="218" t="s">
        <v>1839</v>
      </c>
    </row>
    <row r="970">
      <c r="A970" s="430">
        <v>7.5545186000163E13</v>
      </c>
      <c r="B970" s="218" t="s">
        <v>1840</v>
      </c>
    </row>
    <row r="971">
      <c r="A971" s="430">
        <v>7.5564211000156E13</v>
      </c>
      <c r="B971" s="218" t="s">
        <v>1841</v>
      </c>
    </row>
    <row r="972">
      <c r="A972" s="430">
        <v>7.5744581000175E13</v>
      </c>
      <c r="B972" s="218" t="s">
        <v>1842</v>
      </c>
    </row>
    <row r="973">
      <c r="A973" s="430">
        <v>7.5772251000193E13</v>
      </c>
      <c r="B973" s="218" t="s">
        <v>1843</v>
      </c>
    </row>
    <row r="974">
      <c r="A974" s="430">
        <v>7.5772632000172E13</v>
      </c>
      <c r="B974" s="218" t="s">
        <v>1844</v>
      </c>
    </row>
    <row r="975">
      <c r="A975" s="430">
        <v>7.5786319000193E13</v>
      </c>
      <c r="B975" s="218" t="s">
        <v>1845</v>
      </c>
    </row>
    <row r="976">
      <c r="A976" s="430">
        <v>8.32605620001E13</v>
      </c>
      <c r="B976" s="218" t="s">
        <v>1846</v>
      </c>
    </row>
    <row r="977">
      <c r="A977" s="430">
        <v>8.3262923000149E13</v>
      </c>
      <c r="B977" s="218" t="s">
        <v>1847</v>
      </c>
    </row>
    <row r="978">
      <c r="A978" s="430">
        <v>8.3404483000117E13</v>
      </c>
      <c r="B978" s="218" t="s">
        <v>1848</v>
      </c>
    </row>
    <row r="979">
      <c r="A979" s="430">
        <v>8.340511800055E13</v>
      </c>
      <c r="B979" s="218" t="s">
        <v>1849</v>
      </c>
    </row>
    <row r="980">
      <c r="A980" s="430">
        <v>8.3417295000123E13</v>
      </c>
      <c r="B980" s="218" t="s">
        <v>1850</v>
      </c>
    </row>
    <row r="981">
      <c r="A981" s="430">
        <v>8.3432401000148E13</v>
      </c>
      <c r="B981" s="218" t="s">
        <v>1851</v>
      </c>
    </row>
    <row r="982">
      <c r="A982" s="430">
        <v>8.3779827000172E13</v>
      </c>
      <c r="B982" s="218" t="s">
        <v>1852</v>
      </c>
    </row>
    <row r="983">
      <c r="A983" s="430">
        <v>8.3785733000106E13</v>
      </c>
      <c r="B983" s="218" t="s">
        <v>1853</v>
      </c>
    </row>
    <row r="984">
      <c r="A984" s="430">
        <v>8.3793075000102E13</v>
      </c>
      <c r="B984" s="218" t="s">
        <v>1854</v>
      </c>
    </row>
    <row r="985">
      <c r="A985" s="430">
        <v>8.3801217000128E13</v>
      </c>
      <c r="B985" s="218" t="s">
        <v>1855</v>
      </c>
    </row>
    <row r="986">
      <c r="A986" s="430">
        <v>8.3801837000167E13</v>
      </c>
      <c r="B986" s="218" t="s">
        <v>1856</v>
      </c>
    </row>
    <row r="987">
      <c r="A987" s="430">
        <v>8.3804229000106E13</v>
      </c>
      <c r="B987" s="218" t="s">
        <v>1857</v>
      </c>
    </row>
    <row r="988">
      <c r="A988" s="430">
        <v>8.3804724000115E13</v>
      </c>
      <c r="B988" s="218" t="s">
        <v>1858</v>
      </c>
    </row>
    <row r="989">
      <c r="A989" s="430">
        <v>8.3806299000101E13</v>
      </c>
      <c r="B989" s="218" t="s">
        <v>1859</v>
      </c>
    </row>
    <row r="990">
      <c r="A990" s="430">
        <v>8.3722603000124E13</v>
      </c>
      <c r="B990" s="218" t="s">
        <v>1860</v>
      </c>
    </row>
    <row r="991">
      <c r="A991" s="430">
        <v>8.3724435000106E13</v>
      </c>
      <c r="B991" s="218" t="s">
        <v>1861</v>
      </c>
    </row>
    <row r="992">
      <c r="A992" s="430">
        <v>8.3807586000128E13</v>
      </c>
      <c r="B992" s="218" t="s">
        <v>1862</v>
      </c>
    </row>
    <row r="993">
      <c r="A993" s="430">
        <v>8.38076850001E13</v>
      </c>
      <c r="B993" s="218" t="s">
        <v>1863</v>
      </c>
    </row>
    <row r="994">
      <c r="A994" s="430">
        <v>8.3807727000102E13</v>
      </c>
      <c r="B994" s="218" t="s">
        <v>1864</v>
      </c>
    </row>
    <row r="995">
      <c r="A995" s="430">
        <v>8.3808246000111E13</v>
      </c>
      <c r="B995" s="218" t="s">
        <v>1865</v>
      </c>
    </row>
    <row r="996">
      <c r="A996" s="430">
        <v>8.3808501000126E13</v>
      </c>
      <c r="B996" s="218" t="s">
        <v>1866</v>
      </c>
    </row>
    <row r="997">
      <c r="A997" s="430">
        <v>8.3811737000111E13</v>
      </c>
      <c r="B997" s="218" t="s">
        <v>1867</v>
      </c>
    </row>
    <row r="998">
      <c r="A998" s="430">
        <v>8.3824797000179E13</v>
      </c>
      <c r="B998" s="218" t="s">
        <v>1868</v>
      </c>
    </row>
    <row r="999">
      <c r="A999" s="430">
        <v>8.3840801000192E13</v>
      </c>
      <c r="B999" s="218" t="s">
        <v>1869</v>
      </c>
    </row>
    <row r="1000">
      <c r="A1000" s="430">
        <v>8.3844837000144E13</v>
      </c>
      <c r="B1000" s="218" t="s">
        <v>1870</v>
      </c>
    </row>
    <row r="1001">
      <c r="A1001" s="430">
        <v>8.3845172000193E13</v>
      </c>
      <c r="B1001" s="218" t="s">
        <v>1871</v>
      </c>
    </row>
    <row r="1002">
      <c r="A1002" s="430">
        <v>8.3846865000109E13</v>
      </c>
      <c r="B1002" s="218" t="s">
        <v>1872</v>
      </c>
    </row>
    <row r="1003">
      <c r="A1003" s="430">
        <v>8.3849802000106E13</v>
      </c>
      <c r="B1003" s="218" t="s">
        <v>1873</v>
      </c>
    </row>
    <row r="1004">
      <c r="A1004" s="430">
        <v>8.3874768000383E13</v>
      </c>
      <c r="B1004" s="218" t="s">
        <v>1874</v>
      </c>
    </row>
    <row r="1005">
      <c r="A1005" s="430">
        <v>8.3874768000464E13</v>
      </c>
      <c r="B1005" s="218" t="s">
        <v>1874</v>
      </c>
    </row>
    <row r="1006">
      <c r="A1006" s="430">
        <v>8.387481800016E13</v>
      </c>
      <c r="B1006" s="218" t="s">
        <v>1875</v>
      </c>
    </row>
    <row r="1007">
      <c r="A1007" s="430">
        <v>8.3874818002457E13</v>
      </c>
      <c r="B1007" s="218" t="s">
        <v>1875</v>
      </c>
    </row>
    <row r="1008">
      <c r="A1008" s="430">
        <v>8.3875021000188E13</v>
      </c>
      <c r="B1008" s="218" t="s">
        <v>1876</v>
      </c>
    </row>
    <row r="1009">
      <c r="A1009" s="430">
        <v>8.3875286000186E13</v>
      </c>
      <c r="B1009" s="218" t="s">
        <v>1877</v>
      </c>
    </row>
    <row r="1010">
      <c r="A1010" s="430">
        <v>8.3729954000167E13</v>
      </c>
      <c r="B1010" s="218" t="s">
        <v>1878</v>
      </c>
    </row>
    <row r="1011">
      <c r="A1011" s="430">
        <v>8.3743138000108E13</v>
      </c>
      <c r="B1011" s="218" t="s">
        <v>1879</v>
      </c>
    </row>
    <row r="1012">
      <c r="A1012" s="430">
        <v>8.364662000012E13</v>
      </c>
      <c r="B1012" s="218" t="s">
        <v>1880</v>
      </c>
    </row>
    <row r="1013">
      <c r="A1013" s="430">
        <v>8.3646984001424E13</v>
      </c>
      <c r="B1013" s="218" t="s">
        <v>1881</v>
      </c>
    </row>
    <row r="1014">
      <c r="A1014" s="430">
        <v>8.3647289000162E13</v>
      </c>
      <c r="B1014" s="218" t="s">
        <v>1882</v>
      </c>
    </row>
    <row r="1015">
      <c r="A1015" s="430">
        <v>8.3647420000191E13</v>
      </c>
      <c r="B1015" s="218" t="s">
        <v>1883</v>
      </c>
    </row>
    <row r="1016">
      <c r="A1016" s="430">
        <v>8.364747900018E13</v>
      </c>
      <c r="B1016" s="218" t="s">
        <v>1884</v>
      </c>
    </row>
    <row r="1017">
      <c r="A1017" s="430">
        <v>8.3647909000163E13</v>
      </c>
      <c r="B1017" s="218" t="s">
        <v>1885</v>
      </c>
    </row>
    <row r="1018">
      <c r="A1018" s="430">
        <v>8.3648477000539E13</v>
      </c>
      <c r="B1018" s="218" t="s">
        <v>1886</v>
      </c>
    </row>
    <row r="1019">
      <c r="A1019" s="430">
        <v>8.3649012000179E13</v>
      </c>
      <c r="B1019" s="218" t="s">
        <v>1887</v>
      </c>
    </row>
    <row r="1020">
      <c r="A1020" s="430">
        <v>6.206763200012E13</v>
      </c>
      <c r="B1020" s="218" t="s">
        <v>1888</v>
      </c>
    </row>
    <row r="1021">
      <c r="A1021" s="430">
        <v>2.929467000146E12</v>
      </c>
      <c r="B1021" s="218" t="s">
        <v>1889</v>
      </c>
    </row>
    <row r="1022">
      <c r="A1022" s="430">
        <v>8.3813477000113E13</v>
      </c>
      <c r="B1022" s="218" t="s">
        <v>1890</v>
      </c>
    </row>
    <row r="1023">
      <c r="A1023" s="430">
        <v>1.8204610000172E13</v>
      </c>
      <c r="B1023" s="218" t="s">
        <v>1891</v>
      </c>
    </row>
    <row r="1024">
      <c r="A1024" s="430">
        <v>6.1086336014163E13</v>
      </c>
      <c r="B1024" s="218" t="s">
        <v>1892</v>
      </c>
    </row>
    <row r="1025">
      <c r="A1025" s="430">
        <v>7.9253134000174E13</v>
      </c>
      <c r="B1025" s="218" t="s">
        <v>1893</v>
      </c>
    </row>
    <row r="1026">
      <c r="A1026" s="430">
        <v>7.9258224000158E13</v>
      </c>
      <c r="B1026" s="218" t="s">
        <v>1894</v>
      </c>
    </row>
    <row r="1027">
      <c r="A1027" s="430">
        <v>7.925835600018E13</v>
      </c>
      <c r="B1027" s="218" t="s">
        <v>1895</v>
      </c>
    </row>
    <row r="1028">
      <c r="A1028" s="430">
        <v>7.925839800011E13</v>
      </c>
      <c r="B1028" s="218" t="s">
        <v>1896</v>
      </c>
    </row>
    <row r="1029">
      <c r="A1029" s="430">
        <v>7.9275772000196E13</v>
      </c>
      <c r="B1029" s="218" t="s">
        <v>1897</v>
      </c>
    </row>
    <row r="1030">
      <c r="A1030" s="430">
        <v>7.9276283000159E13</v>
      </c>
      <c r="B1030" s="218" t="s">
        <v>1898</v>
      </c>
    </row>
    <row r="1031">
      <c r="A1031" s="430">
        <v>7.9287298000112E13</v>
      </c>
      <c r="B1031" s="218" t="s">
        <v>1899</v>
      </c>
    </row>
    <row r="1032">
      <c r="A1032" s="430">
        <v>7.9288379000137E13</v>
      </c>
      <c r="B1032" s="218" t="s">
        <v>1900</v>
      </c>
    </row>
    <row r="1033">
      <c r="A1033" s="430">
        <v>7.9291472000109E13</v>
      </c>
      <c r="B1033" s="218" t="s">
        <v>1901</v>
      </c>
    </row>
    <row r="1034">
      <c r="A1034" s="430">
        <v>7.9292579000163E13</v>
      </c>
      <c r="B1034" s="218" t="s">
        <v>1902</v>
      </c>
    </row>
    <row r="1035">
      <c r="A1035" s="430">
        <v>7.929783400016E13</v>
      </c>
      <c r="B1035" s="218" t="s">
        <v>1903</v>
      </c>
    </row>
    <row r="1036">
      <c r="A1036" s="430">
        <v>7.930835900018E13</v>
      </c>
      <c r="B1036" s="218" t="s">
        <v>1904</v>
      </c>
    </row>
    <row r="1037">
      <c r="A1037" s="430">
        <v>7.9309969000107E13</v>
      </c>
      <c r="B1037" s="218" t="s">
        <v>1905</v>
      </c>
    </row>
    <row r="1038">
      <c r="A1038" s="430">
        <v>7.9310389000121E13</v>
      </c>
      <c r="B1038" s="218" t="s">
        <v>1906</v>
      </c>
    </row>
    <row r="1039">
      <c r="A1039" s="430">
        <v>7.9023099000105E13</v>
      </c>
      <c r="B1039" s="218" t="s">
        <v>1907</v>
      </c>
    </row>
    <row r="1040">
      <c r="A1040" s="430">
        <v>7.9023917000161E13</v>
      </c>
      <c r="B1040" s="218" t="s">
        <v>1908</v>
      </c>
    </row>
    <row r="1041">
      <c r="A1041" s="430">
        <v>7.8879590000161E13</v>
      </c>
      <c r="B1041" s="218" t="s">
        <v>1909</v>
      </c>
    </row>
    <row r="1042">
      <c r="A1042" s="430">
        <v>7.8880010000156E13</v>
      </c>
      <c r="B1042" s="218" t="s">
        <v>1910</v>
      </c>
    </row>
    <row r="1043">
      <c r="A1043" s="430">
        <v>7.8881638000176E13</v>
      </c>
      <c r="B1043" s="218" t="s">
        <v>1911</v>
      </c>
    </row>
    <row r="1044">
      <c r="A1044" s="430">
        <v>7.889294000012E13</v>
      </c>
      <c r="B1044" s="218" t="s">
        <v>1912</v>
      </c>
    </row>
    <row r="1045">
      <c r="A1045" s="430">
        <v>7.89790280001E13</v>
      </c>
      <c r="B1045" s="218" t="s">
        <v>1913</v>
      </c>
    </row>
    <row r="1046">
      <c r="A1046" s="430">
        <v>7.9157475000146E13</v>
      </c>
      <c r="B1046" s="218" t="s">
        <v>1914</v>
      </c>
    </row>
    <row r="1047">
      <c r="A1047" s="430">
        <v>7.9224051000157E13</v>
      </c>
      <c r="B1047" s="218" t="s">
        <v>1915</v>
      </c>
    </row>
    <row r="1048">
      <c r="A1048" s="430">
        <v>7.9232856000142E13</v>
      </c>
      <c r="B1048" s="218" t="s">
        <v>1916</v>
      </c>
    </row>
    <row r="1049">
      <c r="A1049" s="430">
        <v>7.9236378000149E13</v>
      </c>
      <c r="B1049" s="218" t="s">
        <v>1917</v>
      </c>
    </row>
    <row r="1050">
      <c r="A1050" s="430">
        <v>7.9240941000152E13</v>
      </c>
      <c r="B1050" s="218" t="s">
        <v>1918</v>
      </c>
    </row>
    <row r="1051">
      <c r="A1051" s="430">
        <v>7.9252789000128E13</v>
      </c>
      <c r="B1051" s="218" t="s">
        <v>1919</v>
      </c>
    </row>
    <row r="1052">
      <c r="A1052" s="430">
        <v>7.898002600013E13</v>
      </c>
      <c r="B1052" s="218" t="s">
        <v>1920</v>
      </c>
    </row>
    <row r="1053">
      <c r="A1053" s="430">
        <v>7.8983392000143E13</v>
      </c>
      <c r="B1053" s="218" t="s">
        <v>1921</v>
      </c>
    </row>
    <row r="1054">
      <c r="A1054" s="430">
        <v>7.8984119000133E13</v>
      </c>
      <c r="B1054" s="218" t="s">
        <v>1922</v>
      </c>
    </row>
    <row r="1055">
      <c r="A1055" s="430">
        <v>7.8990504000274E13</v>
      </c>
      <c r="B1055" s="218" t="s">
        <v>1923</v>
      </c>
    </row>
    <row r="1056">
      <c r="A1056" s="430">
        <v>7.899051200013E13</v>
      </c>
      <c r="B1056" s="218" t="s">
        <v>1924</v>
      </c>
    </row>
    <row r="1057">
      <c r="A1057" s="430">
        <v>7.899248400019E13</v>
      </c>
      <c r="B1057" s="218" t="s">
        <v>1925</v>
      </c>
    </row>
    <row r="1058">
      <c r="A1058" s="430">
        <v>7.8994415000115E13</v>
      </c>
      <c r="B1058" s="218" t="s">
        <v>1926</v>
      </c>
    </row>
    <row r="1059">
      <c r="A1059" s="430">
        <v>7.89979880001E13</v>
      </c>
      <c r="B1059" s="218" t="s">
        <v>1927</v>
      </c>
    </row>
    <row r="1060">
      <c r="A1060" s="430">
        <v>8.3086686000102E13</v>
      </c>
      <c r="B1060" s="218" t="s">
        <v>1928</v>
      </c>
    </row>
    <row r="1061">
      <c r="A1061" s="430">
        <v>8.3560433000129E13</v>
      </c>
      <c r="B1061" s="218" t="s">
        <v>1929</v>
      </c>
    </row>
    <row r="1062">
      <c r="A1062" s="430">
        <v>8.3560763000114E13</v>
      </c>
      <c r="B1062" s="218" t="s">
        <v>1930</v>
      </c>
    </row>
    <row r="1063">
      <c r="A1063" s="430">
        <v>8.3562892000141E13</v>
      </c>
      <c r="B1063" s="218" t="s">
        <v>1931</v>
      </c>
    </row>
    <row r="1064">
      <c r="A1064" s="430">
        <v>8.3564377000109E13</v>
      </c>
      <c r="B1064" s="218" t="s">
        <v>1932</v>
      </c>
    </row>
    <row r="1065">
      <c r="A1065" s="430">
        <v>8.3482034000197E13</v>
      </c>
      <c r="B1065" s="218" t="s">
        <v>1933</v>
      </c>
    </row>
    <row r="1066">
      <c r="A1066" s="430">
        <v>8.3483123000158E13</v>
      </c>
      <c r="B1066" s="218" t="s">
        <v>1934</v>
      </c>
    </row>
    <row r="1067">
      <c r="A1067" s="430">
        <v>8.3483487000138E13</v>
      </c>
      <c r="B1067" s="218" t="s">
        <v>1935</v>
      </c>
    </row>
    <row r="1068">
      <c r="A1068" s="430">
        <v>8.3487538000108E13</v>
      </c>
      <c r="B1068" s="218" t="s">
        <v>1936</v>
      </c>
    </row>
    <row r="1069">
      <c r="A1069" s="430">
        <v>8.35681470001E13</v>
      </c>
      <c r="B1069" s="218" t="s">
        <v>1937</v>
      </c>
    </row>
    <row r="1070">
      <c r="A1070" s="430">
        <v>8.359642900011E13</v>
      </c>
      <c r="B1070" s="218" t="s">
        <v>1938</v>
      </c>
    </row>
    <row r="1071">
      <c r="A1071" s="430">
        <v>8.3598995000161E13</v>
      </c>
      <c r="B1071" s="218" t="s">
        <v>1939</v>
      </c>
    </row>
    <row r="1072">
      <c r="A1072" s="430">
        <v>8.359902700017E13</v>
      </c>
      <c r="B1072" s="218" t="s">
        <v>1940</v>
      </c>
    </row>
    <row r="1073">
      <c r="A1073" s="430">
        <v>8.3599605000178E13</v>
      </c>
      <c r="B1073" s="218" t="s">
        <v>1941</v>
      </c>
    </row>
    <row r="1074">
      <c r="A1074" s="430">
        <v>8.3603324000141E13</v>
      </c>
      <c r="B1074" s="218" t="s">
        <v>1942</v>
      </c>
    </row>
    <row r="1075">
      <c r="A1075" s="430">
        <v>8.360373800017E13</v>
      </c>
      <c r="B1075" s="218" t="s">
        <v>1943</v>
      </c>
    </row>
    <row r="1076">
      <c r="A1076" s="430">
        <v>8.3604181000192E13</v>
      </c>
      <c r="B1076" s="218" t="s">
        <v>1944</v>
      </c>
    </row>
    <row r="1077">
      <c r="A1077" s="430">
        <v>8.3608463000148E13</v>
      </c>
      <c r="B1077" s="218" t="s">
        <v>1945</v>
      </c>
    </row>
    <row r="1078">
      <c r="A1078" s="430">
        <v>8.3608463000168E13</v>
      </c>
      <c r="B1078" s="218" t="s">
        <v>1946</v>
      </c>
    </row>
    <row r="1079">
      <c r="A1079" s="430">
        <v>8.361855300013E13</v>
      </c>
      <c r="B1079" s="218" t="s">
        <v>1947</v>
      </c>
    </row>
    <row r="1080">
      <c r="A1080" s="430">
        <v>8.328139400012E13</v>
      </c>
      <c r="B1080" s="218" t="s">
        <v>1948</v>
      </c>
    </row>
    <row r="1081">
      <c r="A1081" s="430">
        <v>8.3287292000112E13</v>
      </c>
      <c r="B1081" s="218" t="s">
        <v>1949</v>
      </c>
    </row>
    <row r="1082">
      <c r="A1082" s="430">
        <v>8.3294876000115E13</v>
      </c>
      <c r="B1082" s="218" t="s">
        <v>1950</v>
      </c>
    </row>
    <row r="1083">
      <c r="A1083" s="430">
        <v>8.3697722000174E13</v>
      </c>
      <c r="B1083" s="218" t="s">
        <v>1951</v>
      </c>
    </row>
    <row r="1084">
      <c r="A1084" s="430">
        <v>8.3700435000176E13</v>
      </c>
      <c r="B1084" s="218" t="s">
        <v>1952</v>
      </c>
    </row>
    <row r="1085">
      <c r="A1085" s="430">
        <v>8.370214200039E13</v>
      </c>
      <c r="B1085" s="218" t="s">
        <v>1953</v>
      </c>
    </row>
    <row r="1086">
      <c r="A1086" s="430">
        <v>8.3702597000143E13</v>
      </c>
      <c r="B1086" s="218" t="s">
        <v>1954</v>
      </c>
    </row>
    <row r="1087">
      <c r="A1087" s="430">
        <v>8.3714964000129E13</v>
      </c>
      <c r="B1087" s="218" t="s">
        <v>1955</v>
      </c>
    </row>
    <row r="1088">
      <c r="A1088" s="430">
        <v>8.3715003000139E13</v>
      </c>
      <c r="B1088" s="218" t="s">
        <v>1956</v>
      </c>
    </row>
    <row r="1089">
      <c r="A1089" s="430">
        <v>8.3722504000142E13</v>
      </c>
      <c r="B1089" s="218" t="s">
        <v>1957</v>
      </c>
    </row>
    <row r="1090">
      <c r="A1090" s="430">
        <v>8.3500025000181E13</v>
      </c>
      <c r="B1090" s="218" t="s">
        <v>1958</v>
      </c>
    </row>
    <row r="1091">
      <c r="A1091" s="430">
        <v>8.3504175000163E13</v>
      </c>
      <c r="B1091" s="218" t="s">
        <v>1959</v>
      </c>
    </row>
    <row r="1092">
      <c r="A1092" s="430">
        <v>8.3539569000157E13</v>
      </c>
      <c r="B1092" s="218" t="s">
        <v>1960</v>
      </c>
    </row>
    <row r="1093">
      <c r="A1093" s="430">
        <v>8.3541524000117E13</v>
      </c>
      <c r="B1093" s="218" t="s">
        <v>1961</v>
      </c>
    </row>
    <row r="1094">
      <c r="A1094" s="430">
        <v>8.3555599000157E13</v>
      </c>
      <c r="B1094" s="218" t="s">
        <v>1962</v>
      </c>
    </row>
    <row r="1095">
      <c r="A1095" s="430">
        <v>8.35579260001E13</v>
      </c>
      <c r="B1095" s="218" t="s">
        <v>1963</v>
      </c>
    </row>
    <row r="1096">
      <c r="A1096" s="430">
        <v>8.356040900019E13</v>
      </c>
      <c r="B1096" s="218" t="s">
        <v>1964</v>
      </c>
    </row>
    <row r="1097">
      <c r="A1097" s="430">
        <v>8.3296905000188E13</v>
      </c>
      <c r="B1097" s="218" t="s">
        <v>1965</v>
      </c>
    </row>
    <row r="1098">
      <c r="A1098" s="430">
        <v>8.3298208000166E13</v>
      </c>
      <c r="B1098" s="218" t="s">
        <v>1966</v>
      </c>
    </row>
    <row r="1099">
      <c r="A1099" s="430">
        <v>8.3309492000129E13</v>
      </c>
      <c r="B1099" s="218" t="s">
        <v>1967</v>
      </c>
    </row>
    <row r="1100">
      <c r="A1100" s="430">
        <v>8.338893400017E13</v>
      </c>
      <c r="B1100" s="218" t="s">
        <v>1968</v>
      </c>
    </row>
    <row r="1101">
      <c r="A1101" s="430">
        <v>8.3397315000141E13</v>
      </c>
      <c r="B1101" s="218" t="s">
        <v>1969</v>
      </c>
    </row>
    <row r="1102">
      <c r="A1102" s="430">
        <v>8.3241950000135E13</v>
      </c>
      <c r="B1102" s="218" t="s">
        <v>1970</v>
      </c>
    </row>
    <row r="1103">
      <c r="A1103" s="430">
        <v>8.3256933000171E13</v>
      </c>
      <c r="B1103" s="218" t="s">
        <v>1971</v>
      </c>
    </row>
    <row r="1104">
      <c r="A1104" s="430">
        <v>8.915591500018E13</v>
      </c>
      <c r="B1104" s="218" t="s">
        <v>1972</v>
      </c>
    </row>
    <row r="1105">
      <c r="A1105" s="430">
        <v>8.9411771001408E13</v>
      </c>
      <c r="B1105" s="218" t="s">
        <v>1973</v>
      </c>
    </row>
    <row r="1106">
      <c r="A1106" s="430">
        <v>8.6790458000107E13</v>
      </c>
      <c r="B1106" s="218" t="s">
        <v>1974</v>
      </c>
    </row>
    <row r="1107">
      <c r="A1107" s="430">
        <v>8.6790458000298E13</v>
      </c>
      <c r="B1107" s="218" t="s">
        <v>1975</v>
      </c>
    </row>
    <row r="1108">
      <c r="A1108" s="430">
        <v>8.6853207000124E13</v>
      </c>
      <c r="B1108" s="218" t="s">
        <v>1976</v>
      </c>
    </row>
    <row r="1109">
      <c r="A1109" s="430">
        <v>8.6547833000869E13</v>
      </c>
      <c r="B1109" s="218" t="s">
        <v>1977</v>
      </c>
    </row>
    <row r="1110">
      <c r="A1110" s="430">
        <v>8.654872400027E13</v>
      </c>
      <c r="B1110" s="218" t="s">
        <v>1978</v>
      </c>
    </row>
    <row r="1111">
      <c r="A1111" s="430">
        <v>8.68576870001E13</v>
      </c>
      <c r="B1111" s="218" t="s">
        <v>1979</v>
      </c>
    </row>
    <row r="1112">
      <c r="A1112" s="430">
        <v>7.6594365000153E13</v>
      </c>
      <c r="B1112" s="218" t="s">
        <v>1980</v>
      </c>
    </row>
    <row r="1113">
      <c r="A1113" s="430">
        <v>7.6599505000186E13</v>
      </c>
      <c r="B1113" s="218" t="s">
        <v>1981</v>
      </c>
    </row>
    <row r="1114">
      <c r="A1114" s="430">
        <v>7.6599877000102E13</v>
      </c>
      <c r="B1114" s="218" t="s">
        <v>1982</v>
      </c>
    </row>
    <row r="1115">
      <c r="A1115" s="430">
        <v>7.6603992000103E13</v>
      </c>
      <c r="B1115" s="218" t="s">
        <v>1983</v>
      </c>
    </row>
    <row r="1116">
      <c r="A1116" s="430">
        <v>7.6607316000108E13</v>
      </c>
      <c r="B1116" s="218" t="s">
        <v>1984</v>
      </c>
    </row>
    <row r="1117">
      <c r="A1117" s="430">
        <v>7.6609874000102E13</v>
      </c>
      <c r="B1117" s="218" t="s">
        <v>1985</v>
      </c>
    </row>
    <row r="1118">
      <c r="A1118" s="430">
        <v>7.650904100017E13</v>
      </c>
      <c r="B1118" s="218" t="s">
        <v>1986</v>
      </c>
    </row>
    <row r="1119">
      <c r="A1119" s="430">
        <v>7.8257615000195E13</v>
      </c>
      <c r="B1119" s="218" t="s">
        <v>1987</v>
      </c>
    </row>
    <row r="1120">
      <c r="A1120" s="430">
        <v>7.8258514000139E13</v>
      </c>
      <c r="B1120" s="218" t="s">
        <v>1988</v>
      </c>
    </row>
    <row r="1121">
      <c r="A1121" s="430">
        <v>7.8260486000194E13</v>
      </c>
      <c r="B1121" s="218" t="s">
        <v>1989</v>
      </c>
    </row>
    <row r="1122">
      <c r="A1122" s="430">
        <v>7.8261799000167E13</v>
      </c>
      <c r="B1122" s="218" t="s">
        <v>1990</v>
      </c>
    </row>
    <row r="1123">
      <c r="A1123" s="430">
        <v>7.8265162000149E13</v>
      </c>
      <c r="B1123" s="218" t="s">
        <v>1991</v>
      </c>
    </row>
    <row r="1124">
      <c r="A1124" s="430">
        <v>7.826652500016E13</v>
      </c>
      <c r="B1124" s="218" t="s">
        <v>1992</v>
      </c>
    </row>
    <row r="1125">
      <c r="A1125" s="430">
        <v>7.8267234000197E13</v>
      </c>
      <c r="B1125" s="218" t="s">
        <v>1993</v>
      </c>
    </row>
    <row r="1126">
      <c r="A1126" s="430">
        <v>7.8267424000104E13</v>
      </c>
      <c r="B1126" s="218" t="s">
        <v>1994</v>
      </c>
    </row>
    <row r="1127">
      <c r="A1127" s="430">
        <v>7.8269230000148E13</v>
      </c>
      <c r="B1127" s="218" t="s">
        <v>1995</v>
      </c>
    </row>
    <row r="1128">
      <c r="A1128" s="430">
        <v>7.8126950000154E13</v>
      </c>
      <c r="B1128" s="218" t="s">
        <v>1996</v>
      </c>
    </row>
    <row r="1129">
      <c r="A1129" s="430">
        <v>7.8163508000106E13</v>
      </c>
      <c r="B1129" s="218" t="s">
        <v>1997</v>
      </c>
    </row>
    <row r="1130">
      <c r="A1130" s="430">
        <v>7.816350800117E13</v>
      </c>
      <c r="B1130" s="218" t="s">
        <v>1998</v>
      </c>
    </row>
    <row r="1131">
      <c r="A1131" s="430">
        <v>7.8163508001846E13</v>
      </c>
      <c r="B1131" s="218" t="s">
        <v>1999</v>
      </c>
    </row>
    <row r="1132">
      <c r="A1132" s="430">
        <v>7.8269354000123E13</v>
      </c>
      <c r="B1132" s="218" t="s">
        <v>2000</v>
      </c>
    </row>
    <row r="1133">
      <c r="A1133" s="430">
        <v>7.8325602000106E13</v>
      </c>
      <c r="B1133" s="218" t="s">
        <v>2001</v>
      </c>
    </row>
    <row r="1134">
      <c r="A1134" s="430">
        <v>7.8328820000102E13</v>
      </c>
      <c r="B1134" s="218" t="s">
        <v>2002</v>
      </c>
    </row>
    <row r="1135">
      <c r="A1135" s="430">
        <v>7.835214300015E13</v>
      </c>
      <c r="B1135" s="218" t="s">
        <v>2003</v>
      </c>
    </row>
    <row r="1136">
      <c r="A1136" s="430">
        <v>7.835560900017E13</v>
      </c>
      <c r="B1136" s="218" t="s">
        <v>2004</v>
      </c>
    </row>
    <row r="1137">
      <c r="A1137" s="430">
        <v>7.8356649000137E13</v>
      </c>
      <c r="B1137" s="218" t="s">
        <v>2005</v>
      </c>
    </row>
    <row r="1138">
      <c r="A1138" s="430">
        <v>7.8357860000174E13</v>
      </c>
      <c r="B1138" s="218" t="s">
        <v>2006</v>
      </c>
    </row>
    <row r="1139">
      <c r="A1139" s="430">
        <v>7.8216058000164E13</v>
      </c>
      <c r="B1139" s="218" t="s">
        <v>2007</v>
      </c>
    </row>
    <row r="1140">
      <c r="A1140" s="430">
        <v>7.8253903000252E13</v>
      </c>
      <c r="B1140" s="218" t="s">
        <v>2008</v>
      </c>
    </row>
    <row r="1141">
      <c r="A1141" s="430">
        <v>7.8255247000146E13</v>
      </c>
      <c r="B1141" s="218" t="s">
        <v>2009</v>
      </c>
    </row>
    <row r="1142">
      <c r="A1142" s="430">
        <v>7.8256278000111E13</v>
      </c>
      <c r="B1142" s="218" t="s">
        <v>2010</v>
      </c>
    </row>
    <row r="1143">
      <c r="A1143" s="430">
        <v>8.3872580000134E13</v>
      </c>
      <c r="B1143" s="218" t="s">
        <v>2011</v>
      </c>
    </row>
    <row r="1144">
      <c r="A1144" s="430">
        <v>8.3872952000122E13</v>
      </c>
      <c r="B1144" s="218" t="s">
        <v>2012</v>
      </c>
    </row>
    <row r="1145">
      <c r="A1145" s="430">
        <v>8.3873059000626E13</v>
      </c>
      <c r="B1145" s="218" t="s">
        <v>2013</v>
      </c>
    </row>
    <row r="1146">
      <c r="A1146" s="430">
        <v>8.3873570000113E13</v>
      </c>
      <c r="B1146" s="218" t="s">
        <v>2014</v>
      </c>
    </row>
    <row r="1147">
      <c r="A1147" s="430">
        <v>8.3861351000203E13</v>
      </c>
      <c r="B1147" s="218" t="s">
        <v>2015</v>
      </c>
    </row>
    <row r="1148">
      <c r="A1148" s="430">
        <v>8.386156700018E13</v>
      </c>
      <c r="B1148" s="218" t="s">
        <v>2016</v>
      </c>
    </row>
    <row r="1149">
      <c r="A1149" s="430">
        <v>8.387367900015E13</v>
      </c>
      <c r="B1149" s="218" t="s">
        <v>1482</v>
      </c>
    </row>
    <row r="1150">
      <c r="A1150" s="430">
        <v>8.3873877000114E13</v>
      </c>
      <c r="B1150" s="218" t="s">
        <v>2017</v>
      </c>
    </row>
    <row r="1151">
      <c r="A1151" s="430">
        <v>8.3874123000189E13</v>
      </c>
      <c r="B1151" s="218" t="s">
        <v>2018</v>
      </c>
    </row>
    <row r="1152">
      <c r="A1152" s="430">
        <v>8.387412300026E13</v>
      </c>
      <c r="B1152" s="218" t="s">
        <v>2019</v>
      </c>
    </row>
    <row r="1153">
      <c r="A1153" s="430">
        <v>8.3874495000458E13</v>
      </c>
      <c r="B1153" s="218" t="s">
        <v>2020</v>
      </c>
    </row>
    <row r="1154">
      <c r="A1154" s="430">
        <v>8.387458600014E13</v>
      </c>
      <c r="B1154" s="218" t="s">
        <v>2021</v>
      </c>
    </row>
    <row r="1155">
      <c r="A1155" s="430">
        <v>8.387463600019E13</v>
      </c>
      <c r="B1155" s="218" t="s">
        <v>2022</v>
      </c>
    </row>
    <row r="1156">
      <c r="A1156" s="430">
        <v>8.387475000011E13</v>
      </c>
      <c r="B1156" s="218" t="s">
        <v>2023</v>
      </c>
    </row>
    <row r="1157">
      <c r="A1157" s="430">
        <v>8.3874768000111E13</v>
      </c>
      <c r="B1157" s="218" t="s">
        <v>1874</v>
      </c>
    </row>
    <row r="1158">
      <c r="A1158" s="430">
        <v>8.3874768000183E13</v>
      </c>
      <c r="B1158" s="218" t="s">
        <v>1874</v>
      </c>
    </row>
    <row r="1159">
      <c r="A1159" s="430">
        <v>8.4937242000104E13</v>
      </c>
      <c r="B1159" s="218" t="s">
        <v>2024</v>
      </c>
    </row>
    <row r="1160">
      <c r="A1160" s="430">
        <v>8.458400200067E13</v>
      </c>
      <c r="B1160" s="218" t="s">
        <v>2025</v>
      </c>
    </row>
    <row r="1161">
      <c r="A1161" s="430">
        <v>8.4958404000182E13</v>
      </c>
      <c r="B1161" s="218" t="s">
        <v>2026</v>
      </c>
    </row>
    <row r="1162">
      <c r="A1162" s="430">
        <v>8.5027464000144E13</v>
      </c>
      <c r="B1162" s="218" t="s">
        <v>2027</v>
      </c>
    </row>
    <row r="1163">
      <c r="A1163" s="430">
        <v>8.50968570001E13</v>
      </c>
      <c r="B1163" s="218" t="s">
        <v>2028</v>
      </c>
    </row>
    <row r="1164">
      <c r="A1164" s="430">
        <v>8.5100808000101E13</v>
      </c>
      <c r="B1164" s="218" t="s">
        <v>2029</v>
      </c>
    </row>
    <row r="1165">
      <c r="A1165" s="430">
        <v>8.510260300019E13</v>
      </c>
      <c r="B1165" s="218" t="s">
        <v>2030</v>
      </c>
    </row>
    <row r="1166">
      <c r="A1166" s="430">
        <v>8.5102846000195E13</v>
      </c>
      <c r="B1166" s="218" t="s">
        <v>2031</v>
      </c>
    </row>
    <row r="1167">
      <c r="A1167" s="430">
        <v>8.5105294000109E13</v>
      </c>
      <c r="B1167" s="218" t="s">
        <v>2032</v>
      </c>
    </row>
    <row r="1168">
      <c r="A1168" s="430">
        <v>8.5109650000122E13</v>
      </c>
      <c r="B1168" s="218" t="s">
        <v>2033</v>
      </c>
    </row>
    <row r="1169">
      <c r="A1169" s="430">
        <v>8.5110732000197E13</v>
      </c>
      <c r="B1169" s="218" t="s">
        <v>2034</v>
      </c>
    </row>
    <row r="1170">
      <c r="A1170" s="430">
        <v>8.51121260001E13</v>
      </c>
      <c r="B1170" s="218" t="s">
        <v>2035</v>
      </c>
    </row>
    <row r="1171">
      <c r="A1171" s="430">
        <v>8.511405600012E13</v>
      </c>
      <c r="B1171" s="218" t="s">
        <v>2036</v>
      </c>
    </row>
    <row r="1172">
      <c r="A1172" s="430">
        <v>8.5117109000166E13</v>
      </c>
      <c r="B1172" s="218" t="s">
        <v>2037</v>
      </c>
    </row>
    <row r="1173">
      <c r="A1173" s="430">
        <v>8.5124550000175E13</v>
      </c>
      <c r="B1173" s="218" t="s">
        <v>2038</v>
      </c>
    </row>
    <row r="1174">
      <c r="A1174" s="430">
        <v>8.3930438000104E13</v>
      </c>
      <c r="B1174" s="218" t="s">
        <v>2039</v>
      </c>
    </row>
    <row r="1175">
      <c r="A1175" s="430">
        <v>8.39309740001E13</v>
      </c>
      <c r="B1175" s="218" t="s">
        <v>2040</v>
      </c>
    </row>
    <row r="1176">
      <c r="A1176" s="430">
        <v>8.3931949000132E13</v>
      </c>
      <c r="B1176" s="218" t="s">
        <v>2041</v>
      </c>
    </row>
    <row r="1177">
      <c r="A1177" s="430">
        <v>8.3931956000134E13</v>
      </c>
      <c r="B1177" s="218" t="s">
        <v>2042</v>
      </c>
    </row>
    <row r="1178">
      <c r="A1178" s="430">
        <v>8.3932418000164E13</v>
      </c>
      <c r="B1178" s="218" t="s">
        <v>2043</v>
      </c>
    </row>
    <row r="1179">
      <c r="A1179" s="430">
        <v>8.5215382000123E13</v>
      </c>
      <c r="B1179" s="218" t="s">
        <v>2044</v>
      </c>
    </row>
    <row r="1180">
      <c r="A1180" s="430">
        <v>8.52318760001E13</v>
      </c>
      <c r="B1180" s="218" t="s">
        <v>2045</v>
      </c>
    </row>
    <row r="1181">
      <c r="A1181" s="430">
        <v>8.4584879000156E13</v>
      </c>
      <c r="B1181" s="218" t="s">
        <v>2046</v>
      </c>
    </row>
    <row r="1182">
      <c r="A1182" s="430">
        <v>8.4683994000188E13</v>
      </c>
      <c r="B1182" s="218" t="s">
        <v>2047</v>
      </c>
    </row>
    <row r="1183">
      <c r="A1183" s="430">
        <v>8.4684182000157E13</v>
      </c>
      <c r="B1183" s="218" t="s">
        <v>2048</v>
      </c>
    </row>
    <row r="1184">
      <c r="A1184" s="430">
        <v>8.4685627000113E13</v>
      </c>
      <c r="B1184" s="218" t="s">
        <v>2049</v>
      </c>
    </row>
    <row r="1185">
      <c r="A1185" s="430">
        <v>8.46894470001E13</v>
      </c>
      <c r="B1185" s="218" t="s">
        <v>2050</v>
      </c>
    </row>
    <row r="1186">
      <c r="A1186" s="430">
        <v>1.34428500014E12</v>
      </c>
      <c r="B1186" s="218" t="s">
        <v>2051</v>
      </c>
    </row>
    <row r="1187">
      <c r="A1187" s="430">
        <v>3.42566400019E12</v>
      </c>
      <c r="B1187" s="218" t="s">
        <v>2052</v>
      </c>
    </row>
    <row r="1188">
      <c r="A1188" s="430">
        <v>3.342642000094E13</v>
      </c>
      <c r="B1188" s="218" t="s">
        <v>1176</v>
      </c>
    </row>
    <row r="1189">
      <c r="A1189" s="430">
        <v>7.9250676000274E13</v>
      </c>
      <c r="B1189" s="218" t="s">
        <v>1288</v>
      </c>
    </row>
    <row r="1190">
      <c r="A1190" s="430">
        <v>8.5254829000173E13</v>
      </c>
      <c r="B1190" s="218" t="s">
        <v>2053</v>
      </c>
    </row>
    <row r="1191">
      <c r="A1191" s="430">
        <v>1.608827000145E12</v>
      </c>
      <c r="B1191" s="218" t="s">
        <v>2054</v>
      </c>
    </row>
    <row r="1192">
      <c r="A1192" s="430">
        <v>7.631963100013E13</v>
      </c>
      <c r="B1192" s="218" t="s">
        <v>2055</v>
      </c>
    </row>
    <row r="1193">
      <c r="A1193" s="430">
        <v>6.1086336013515E13</v>
      </c>
      <c r="B1193" s="218" t="s">
        <v>1892</v>
      </c>
    </row>
    <row r="1194">
      <c r="A1194" s="430">
        <v>3.893009000167E12</v>
      </c>
      <c r="B1194" s="218" t="s">
        <v>2056</v>
      </c>
    </row>
    <row r="1195">
      <c r="A1195" s="430">
        <v>2.364410000147E12</v>
      </c>
      <c r="B1195" s="218" t="s">
        <v>2057</v>
      </c>
    </row>
    <row r="1196">
      <c r="A1196" s="430">
        <v>9.28532000193E11</v>
      </c>
      <c r="B1196" s="218" t="s">
        <v>2058</v>
      </c>
    </row>
    <row r="1197">
      <c r="A1197" s="430">
        <v>8.8664000154E10</v>
      </c>
      <c r="B1197" s="218" t="s">
        <v>2059</v>
      </c>
    </row>
    <row r="1198">
      <c r="A1198" s="430">
        <v>9.3216737000127E13</v>
      </c>
      <c r="B1198" s="218" t="s">
        <v>2060</v>
      </c>
    </row>
    <row r="1199">
      <c r="A1199" s="430">
        <v>3.43759000177E11</v>
      </c>
      <c r="B1199" s="218" t="s">
        <v>2061</v>
      </c>
    </row>
    <row r="1200">
      <c r="A1200" s="430">
        <v>8.346232500097E13</v>
      </c>
      <c r="B1200" s="218" t="s">
        <v>2062</v>
      </c>
    </row>
    <row r="1201">
      <c r="A1201" s="430">
        <v>1.111547000127E12</v>
      </c>
      <c r="B1201" s="218" t="s">
        <v>2063</v>
      </c>
    </row>
    <row r="1202">
      <c r="A1202" s="430">
        <v>8.1551103000141E13</v>
      </c>
      <c r="B1202" s="218" t="s">
        <v>2064</v>
      </c>
    </row>
    <row r="1203">
      <c r="A1203" s="430">
        <v>3.774688000406E12</v>
      </c>
      <c r="B1203" s="218" t="s">
        <v>2065</v>
      </c>
    </row>
    <row r="1204">
      <c r="A1204" s="430">
        <v>7.356946900011E13</v>
      </c>
      <c r="B1204" s="218" t="s">
        <v>2066</v>
      </c>
    </row>
    <row r="1205">
      <c r="A1205" s="430">
        <v>3.400949000177E12</v>
      </c>
      <c r="B1205" s="218" t="s">
        <v>2067</v>
      </c>
    </row>
    <row r="1206">
      <c r="A1206" s="430">
        <v>5.679536200017E13</v>
      </c>
      <c r="B1206" s="218" t="s">
        <v>2068</v>
      </c>
    </row>
    <row r="1207">
      <c r="A1207" s="430">
        <v>9.7512610000106E13</v>
      </c>
      <c r="B1207" s="218" t="s">
        <v>2069</v>
      </c>
    </row>
    <row r="1208">
      <c r="A1208" s="430">
        <v>4.3217850000159E13</v>
      </c>
      <c r="B1208" s="218" t="s">
        <v>2070</v>
      </c>
    </row>
    <row r="1209">
      <c r="A1209" s="430">
        <v>2.800397000121E12</v>
      </c>
      <c r="B1209" s="218" t="s">
        <v>2071</v>
      </c>
    </row>
    <row r="1210">
      <c r="A1210" s="430">
        <v>7.8210853000145E13</v>
      </c>
      <c r="B1210" s="218" t="s">
        <v>2072</v>
      </c>
    </row>
    <row r="1211">
      <c r="A1211" s="430">
        <v>1.181368000166E12</v>
      </c>
      <c r="B1211" s="218" t="s">
        <v>2073</v>
      </c>
    </row>
    <row r="1212">
      <c r="A1212" s="430">
        <v>3.84497000199E11</v>
      </c>
      <c r="B1212" s="218" t="s">
        <v>2074</v>
      </c>
    </row>
    <row r="1213">
      <c r="A1213" s="430">
        <v>8.3102764000115E13</v>
      </c>
      <c r="B1213" s="218" t="s">
        <v>2075</v>
      </c>
    </row>
    <row r="1214">
      <c r="A1214" s="430">
        <v>3.117024000113E12</v>
      </c>
      <c r="B1214" s="218" t="s">
        <v>2076</v>
      </c>
    </row>
    <row r="1215">
      <c r="A1215" s="430">
        <v>6.244439300018E13</v>
      </c>
      <c r="B1215" s="218" t="s">
        <v>2077</v>
      </c>
    </row>
    <row r="1216">
      <c r="A1216" s="430">
        <v>5.51837000129E11</v>
      </c>
      <c r="B1216" s="218" t="s">
        <v>2078</v>
      </c>
    </row>
    <row r="1217">
      <c r="A1217" s="430">
        <v>3.136487000122E12</v>
      </c>
      <c r="B1217" s="218" t="s">
        <v>2079</v>
      </c>
    </row>
    <row r="1218">
      <c r="A1218" s="430">
        <v>7.681547100011E13</v>
      </c>
      <c r="B1218" s="218" t="s">
        <v>2080</v>
      </c>
    </row>
    <row r="1219">
      <c r="A1219" s="430">
        <v>8.3457176000102E13</v>
      </c>
      <c r="B1219" s="218" t="s">
        <v>2081</v>
      </c>
    </row>
    <row r="1220">
      <c r="A1220" s="430">
        <v>6.1550141000172E13</v>
      </c>
      <c r="B1220" s="218" t="s">
        <v>2082</v>
      </c>
    </row>
    <row r="1221">
      <c r="A1221" s="430">
        <v>8.529088000013E13</v>
      </c>
      <c r="B1221" s="218" t="s">
        <v>2083</v>
      </c>
    </row>
    <row r="1222">
      <c r="A1222" s="430">
        <v>2.189204000148E12</v>
      </c>
      <c r="B1222" s="218" t="s">
        <v>2084</v>
      </c>
    </row>
    <row r="1223">
      <c r="A1223" s="430">
        <v>6.5618800012E11</v>
      </c>
      <c r="B1223" s="218" t="s">
        <v>2085</v>
      </c>
    </row>
    <row r="1224">
      <c r="A1224" s="430">
        <v>9.583330700018E13</v>
      </c>
      <c r="B1224" s="218" t="s">
        <v>2086</v>
      </c>
    </row>
    <row r="1225">
      <c r="A1225" s="430">
        <v>7.2192131000129E13</v>
      </c>
      <c r="B1225" s="218" t="s">
        <v>2087</v>
      </c>
    </row>
    <row r="1226">
      <c r="A1226" s="430">
        <v>8.154761400019E13</v>
      </c>
      <c r="B1226" s="218" t="s">
        <v>2088</v>
      </c>
    </row>
    <row r="1227">
      <c r="A1227" s="430">
        <v>3.54898000104E11</v>
      </c>
      <c r="B1227" s="218" t="s">
        <v>2089</v>
      </c>
    </row>
    <row r="1228">
      <c r="A1228" s="430">
        <v>1.27072000102E11</v>
      </c>
      <c r="B1228" s="218" t="s">
        <v>2090</v>
      </c>
    </row>
    <row r="1229">
      <c r="A1229" s="430">
        <v>1.447904000122E12</v>
      </c>
      <c r="B1229" s="218" t="s">
        <v>2091</v>
      </c>
    </row>
    <row r="1230">
      <c r="A1230" s="430">
        <v>8.1329286000155E13</v>
      </c>
      <c r="B1230" s="218" t="s">
        <v>2092</v>
      </c>
    </row>
    <row r="1231">
      <c r="A1231" s="430">
        <v>2.773629001171E12</v>
      </c>
      <c r="B1231" s="218" t="s">
        <v>2093</v>
      </c>
    </row>
    <row r="1232">
      <c r="A1232" s="430">
        <v>8.045753400018E13</v>
      </c>
      <c r="B1232" s="218" t="s">
        <v>2094</v>
      </c>
    </row>
    <row r="1233">
      <c r="A1233" s="430">
        <v>7.5788455000112E13</v>
      </c>
      <c r="B1233" s="218" t="s">
        <v>2095</v>
      </c>
    </row>
    <row r="1234">
      <c r="A1234" s="430">
        <v>7.5805903000149E13</v>
      </c>
      <c r="B1234" s="218" t="s">
        <v>2096</v>
      </c>
    </row>
    <row r="1235">
      <c r="A1235" s="430">
        <v>7.5806139000121E13</v>
      </c>
      <c r="B1235" s="218" t="s">
        <v>2097</v>
      </c>
    </row>
    <row r="1236">
      <c r="A1236" s="430">
        <v>7.580966500014E13</v>
      </c>
      <c r="B1236" s="218" t="s">
        <v>2098</v>
      </c>
    </row>
    <row r="1237">
      <c r="A1237" s="430">
        <v>7.5811786000126E13</v>
      </c>
      <c r="B1237" s="218" t="s">
        <v>2099</v>
      </c>
    </row>
    <row r="1238">
      <c r="A1238" s="430">
        <v>7.5817775000153E13</v>
      </c>
      <c r="B1238" s="218" t="s">
        <v>2100</v>
      </c>
    </row>
    <row r="1239">
      <c r="A1239" s="430">
        <v>7.5831156000113E13</v>
      </c>
      <c r="B1239" s="218" t="s">
        <v>2101</v>
      </c>
    </row>
    <row r="1240">
      <c r="A1240" s="430">
        <v>7.583653600014E13</v>
      </c>
      <c r="B1240" s="218" t="s">
        <v>2102</v>
      </c>
    </row>
    <row r="1241">
      <c r="A1241" s="430">
        <v>7.58743620001E13</v>
      </c>
      <c r="B1241" s="218" t="s">
        <v>2103</v>
      </c>
    </row>
    <row r="1242">
      <c r="A1242" s="430">
        <v>7.5880625000194E13</v>
      </c>
      <c r="B1242" s="218" t="s">
        <v>2104</v>
      </c>
    </row>
    <row r="1243">
      <c r="A1243" s="430">
        <v>7.5891168000133E13</v>
      </c>
      <c r="B1243" s="218" t="s">
        <v>2105</v>
      </c>
    </row>
    <row r="1244">
      <c r="A1244" s="430">
        <v>7.5484162000141E13</v>
      </c>
      <c r="B1244" s="218" t="s">
        <v>2106</v>
      </c>
    </row>
    <row r="1245">
      <c r="A1245" s="430">
        <v>7.6831007000117E13</v>
      </c>
      <c r="B1245" s="218" t="s">
        <v>2107</v>
      </c>
    </row>
    <row r="1246">
      <c r="A1246" s="430">
        <v>7.6832054000185E13</v>
      </c>
      <c r="B1246" s="218" t="s">
        <v>2108</v>
      </c>
    </row>
    <row r="1247">
      <c r="A1247" s="430">
        <v>7.6837285000018E13</v>
      </c>
      <c r="B1247" s="218" t="s">
        <v>2109</v>
      </c>
    </row>
    <row r="1248">
      <c r="A1248" s="430">
        <v>7.683754100013E13</v>
      </c>
      <c r="B1248" s="218" t="s">
        <v>2110</v>
      </c>
    </row>
    <row r="1249">
      <c r="A1249" s="430">
        <v>7.6838168000213E13</v>
      </c>
      <c r="B1249" s="218" t="s">
        <v>2111</v>
      </c>
    </row>
    <row r="1250">
      <c r="A1250" s="430">
        <v>7.683850700018E13</v>
      </c>
      <c r="B1250" s="218" t="s">
        <v>2112</v>
      </c>
    </row>
    <row r="1251">
      <c r="A1251" s="430">
        <v>7.6839372000178E13</v>
      </c>
      <c r="B1251" s="218" t="s">
        <v>2113</v>
      </c>
    </row>
    <row r="1252">
      <c r="A1252" s="430">
        <v>7.6844190000195E13</v>
      </c>
      <c r="B1252" s="218" t="s">
        <v>2114</v>
      </c>
    </row>
    <row r="1253">
      <c r="A1253" s="430">
        <v>7.6844505000102E13</v>
      </c>
      <c r="B1253" s="218" t="s">
        <v>2115</v>
      </c>
    </row>
    <row r="1254">
      <c r="A1254" s="430">
        <v>7.68453790001E13</v>
      </c>
      <c r="B1254" s="218" t="s">
        <v>2116</v>
      </c>
    </row>
    <row r="1255">
      <c r="A1255" s="430">
        <v>7.6851096000163E13</v>
      </c>
      <c r="B1255" s="218" t="s">
        <v>2117</v>
      </c>
    </row>
    <row r="1256">
      <c r="A1256" s="430">
        <v>7.6857150000188E13</v>
      </c>
      <c r="B1256" s="218" t="s">
        <v>2118</v>
      </c>
    </row>
    <row r="1257">
      <c r="A1257" s="430">
        <v>7.6857242000168E13</v>
      </c>
      <c r="B1257" s="218" t="s">
        <v>2119</v>
      </c>
    </row>
    <row r="1258">
      <c r="A1258" s="430">
        <v>7.6858372000115E13</v>
      </c>
      <c r="B1258" s="218" t="s">
        <v>2120</v>
      </c>
    </row>
    <row r="1259">
      <c r="A1259" s="430">
        <v>7.661258900014E13</v>
      </c>
      <c r="B1259" s="218" t="s">
        <v>2121</v>
      </c>
    </row>
    <row r="1260">
      <c r="A1260" s="430">
        <v>7.6613405000167E13</v>
      </c>
      <c r="B1260" s="218" t="s">
        <v>2122</v>
      </c>
    </row>
    <row r="1261">
      <c r="A1261" s="430">
        <v>7.6618891000106E13</v>
      </c>
      <c r="B1261" s="218" t="s">
        <v>2123</v>
      </c>
    </row>
    <row r="1262">
      <c r="A1262" s="430">
        <v>7.6520667000691E13</v>
      </c>
      <c r="B1262" s="218" t="s">
        <v>2124</v>
      </c>
    </row>
    <row r="1263">
      <c r="A1263" s="430">
        <v>7.6861996000191E13</v>
      </c>
      <c r="B1263" s="218" t="s">
        <v>2125</v>
      </c>
    </row>
    <row r="1264">
      <c r="A1264" s="430">
        <v>7.6631084000395E13</v>
      </c>
      <c r="B1264" s="218" t="s">
        <v>2126</v>
      </c>
    </row>
    <row r="1265">
      <c r="A1265" s="430">
        <v>7.6633189000111E13</v>
      </c>
      <c r="B1265" s="218" t="s">
        <v>2127</v>
      </c>
    </row>
    <row r="1266">
      <c r="A1266" s="430">
        <v>7.6777887000352E13</v>
      </c>
      <c r="B1266" s="218" t="s">
        <v>2128</v>
      </c>
    </row>
    <row r="1267">
      <c r="A1267" s="430">
        <v>7.681829300018E13</v>
      </c>
      <c r="B1267" s="218" t="s">
        <v>2129</v>
      </c>
    </row>
    <row r="1268">
      <c r="A1268" s="430">
        <v>7.6818293000261E13</v>
      </c>
      <c r="B1268" s="218" t="s">
        <v>2130</v>
      </c>
    </row>
    <row r="1269">
      <c r="A1269" s="430">
        <v>7.6821529000138E13</v>
      </c>
      <c r="B1269" s="218" t="s">
        <v>2131</v>
      </c>
    </row>
    <row r="1270">
      <c r="A1270" s="430">
        <v>7.6825918000131E13</v>
      </c>
      <c r="B1270" s="218" t="s">
        <v>2132</v>
      </c>
    </row>
    <row r="1271">
      <c r="A1271" s="430">
        <v>7.6828591000137E13</v>
      </c>
      <c r="B1271" s="218" t="s">
        <v>2133</v>
      </c>
    </row>
    <row r="1272">
      <c r="A1272" s="430">
        <v>7.6828607000126E13</v>
      </c>
      <c r="B1272" s="218" t="s">
        <v>2134</v>
      </c>
    </row>
    <row r="1273">
      <c r="A1273" s="430">
        <v>7.6520667001825E13</v>
      </c>
      <c r="B1273" s="218" t="s">
        <v>2124</v>
      </c>
    </row>
    <row r="1274">
      <c r="A1274" s="430">
        <v>7.6534957000422E13</v>
      </c>
      <c r="B1274" s="218" t="s">
        <v>2135</v>
      </c>
    </row>
    <row r="1275">
      <c r="A1275" s="430">
        <v>7.6535079000117E13</v>
      </c>
      <c r="B1275" s="218" t="s">
        <v>2136</v>
      </c>
    </row>
    <row r="1276">
      <c r="A1276" s="430">
        <v>8.3649186000131E13</v>
      </c>
      <c r="B1276" s="218" t="s">
        <v>2137</v>
      </c>
    </row>
    <row r="1277">
      <c r="A1277" s="430">
        <v>8.3618819000144E13</v>
      </c>
      <c r="B1277" s="218" t="s">
        <v>2138</v>
      </c>
    </row>
    <row r="1278">
      <c r="A1278" s="430">
        <v>8.3619320000232E13</v>
      </c>
      <c r="B1278" s="218" t="s">
        <v>2139</v>
      </c>
    </row>
    <row r="1279">
      <c r="A1279" s="430">
        <v>8.3646562001378E13</v>
      </c>
      <c r="B1279" s="218" t="s">
        <v>2140</v>
      </c>
    </row>
    <row r="1280">
      <c r="A1280" s="430">
        <v>8.3660035000184E13</v>
      </c>
      <c r="B1280" s="218" t="s">
        <v>2141</v>
      </c>
    </row>
    <row r="1281">
      <c r="A1281" s="430">
        <v>8.3662171000103E13</v>
      </c>
      <c r="B1281" s="218" t="s">
        <v>2142</v>
      </c>
    </row>
    <row r="1282">
      <c r="A1282" s="430">
        <v>8.366292400018E13</v>
      </c>
      <c r="B1282" s="218" t="s">
        <v>2143</v>
      </c>
    </row>
    <row r="1283">
      <c r="A1283" s="430">
        <v>8.3665190000193E13</v>
      </c>
      <c r="B1283" s="218" t="s">
        <v>2144</v>
      </c>
    </row>
    <row r="1284">
      <c r="A1284" s="430">
        <v>8.3683987000113E13</v>
      </c>
      <c r="B1284" s="218" t="s">
        <v>2145</v>
      </c>
    </row>
    <row r="1285">
      <c r="A1285" s="430">
        <v>8.3685966000137E13</v>
      </c>
      <c r="B1285" s="218" t="s">
        <v>2146</v>
      </c>
    </row>
    <row r="1286">
      <c r="A1286" s="430">
        <v>8.3697482000108E13</v>
      </c>
      <c r="B1286" s="218" t="s">
        <v>2147</v>
      </c>
    </row>
    <row r="1287">
      <c r="A1287" s="430">
        <v>8.3876847000161E13</v>
      </c>
      <c r="B1287" s="218" t="s">
        <v>2148</v>
      </c>
    </row>
    <row r="1288">
      <c r="A1288" s="430">
        <v>8.3876912000159E13</v>
      </c>
      <c r="B1288" s="218" t="s">
        <v>2149</v>
      </c>
    </row>
    <row r="1289">
      <c r="A1289" s="430">
        <v>8.3877076000127E13</v>
      </c>
      <c r="B1289" s="218" t="s">
        <v>2150</v>
      </c>
    </row>
    <row r="1290">
      <c r="A1290" s="430">
        <v>8.3877076000208E13</v>
      </c>
      <c r="B1290" s="218" t="s">
        <v>2150</v>
      </c>
    </row>
    <row r="1291">
      <c r="A1291" s="430">
        <v>8.3878199000182E13</v>
      </c>
      <c r="B1291" s="218" t="s">
        <v>2151</v>
      </c>
    </row>
    <row r="1292">
      <c r="A1292" s="430">
        <v>8.3878512000182E13</v>
      </c>
      <c r="B1292" s="218" t="s">
        <v>2152</v>
      </c>
    </row>
    <row r="1293">
      <c r="A1293" s="430">
        <v>8.3879056000195E13</v>
      </c>
      <c r="B1293" s="218" t="s">
        <v>2153</v>
      </c>
    </row>
    <row r="1294">
      <c r="A1294" s="430">
        <v>8.387935300013E13</v>
      </c>
      <c r="B1294" s="218" t="s">
        <v>2154</v>
      </c>
    </row>
    <row r="1295">
      <c r="A1295" s="430">
        <v>8.3879676000124E13</v>
      </c>
      <c r="B1295" s="218" t="s">
        <v>2155</v>
      </c>
    </row>
    <row r="1296">
      <c r="A1296" s="430">
        <v>8.3880468000145E13</v>
      </c>
      <c r="B1296" s="218" t="s">
        <v>2156</v>
      </c>
    </row>
    <row r="1297">
      <c r="A1297" s="430">
        <v>8.388143300012E13</v>
      </c>
      <c r="B1297" s="218" t="s">
        <v>2157</v>
      </c>
    </row>
    <row r="1298">
      <c r="A1298" s="430">
        <v>8.3876169000307E13</v>
      </c>
      <c r="B1298" s="218" t="s">
        <v>2158</v>
      </c>
    </row>
    <row r="1299">
      <c r="A1299" s="430">
        <v>8.3876672000192E13</v>
      </c>
      <c r="B1299" s="218" t="s">
        <v>2159</v>
      </c>
    </row>
    <row r="1300">
      <c r="A1300" s="430">
        <v>8.3876771000174E13</v>
      </c>
      <c r="B1300" s="218" t="s">
        <v>2160</v>
      </c>
    </row>
    <row r="1301">
      <c r="A1301" s="430">
        <v>8.3876839000115E13</v>
      </c>
      <c r="B1301" s="218" t="s">
        <v>2161</v>
      </c>
    </row>
    <row r="1302">
      <c r="A1302" s="430">
        <v>8.388245600015E13</v>
      </c>
      <c r="B1302" s="218" t="s">
        <v>2162</v>
      </c>
    </row>
    <row r="1303">
      <c r="A1303" s="430">
        <v>8.3882480000199E13</v>
      </c>
      <c r="B1303" s="218" t="s">
        <v>2163</v>
      </c>
    </row>
    <row r="1304">
      <c r="A1304" s="430">
        <v>8.3883306001213E13</v>
      </c>
      <c r="B1304" s="218" t="s">
        <v>2164</v>
      </c>
    </row>
    <row r="1305">
      <c r="A1305" s="430">
        <v>8.4436922000136E13</v>
      </c>
      <c r="B1305" s="218" t="s">
        <v>2165</v>
      </c>
    </row>
    <row r="1306">
      <c r="A1306" s="430">
        <v>8.4437276000121E13</v>
      </c>
      <c r="B1306" s="218" t="s">
        <v>2166</v>
      </c>
    </row>
    <row r="1307">
      <c r="A1307" s="430">
        <v>8.4437367000167E13</v>
      </c>
      <c r="B1307" s="218" t="s">
        <v>2167</v>
      </c>
    </row>
    <row r="1308">
      <c r="A1308" s="430">
        <v>8.4437375000103E13</v>
      </c>
      <c r="B1308" s="218" t="s">
        <v>2168</v>
      </c>
    </row>
    <row r="1309">
      <c r="A1309" s="430">
        <v>8.3884353000129E13</v>
      </c>
      <c r="B1309" s="218" t="s">
        <v>2169</v>
      </c>
    </row>
    <row r="1310">
      <c r="A1310" s="430">
        <v>8.388570700015E13</v>
      </c>
      <c r="B1310" s="218" t="s">
        <v>2170</v>
      </c>
    </row>
    <row r="1311">
      <c r="A1311" s="430">
        <v>8.3886762000164E13</v>
      </c>
      <c r="B1311" s="218" t="s">
        <v>2171</v>
      </c>
    </row>
    <row r="1312">
      <c r="A1312" s="430">
        <v>8.3886804000167E13</v>
      </c>
      <c r="B1312" s="218" t="s">
        <v>2172</v>
      </c>
    </row>
    <row r="1313">
      <c r="A1313" s="430">
        <v>8.3887076000108E13</v>
      </c>
      <c r="B1313" s="218" t="s">
        <v>2150</v>
      </c>
    </row>
    <row r="1314">
      <c r="A1314" s="430">
        <v>8.3890814000257E13</v>
      </c>
      <c r="B1314" s="218" t="s">
        <v>2173</v>
      </c>
    </row>
    <row r="1315">
      <c r="A1315" s="430">
        <v>8.389722300012E13</v>
      </c>
      <c r="B1315" s="218" t="s">
        <v>2174</v>
      </c>
    </row>
    <row r="1316">
      <c r="A1316" s="430">
        <v>8.3861765000143E13</v>
      </c>
      <c r="B1316" s="218" t="s">
        <v>2175</v>
      </c>
    </row>
    <row r="1317">
      <c r="A1317" s="430">
        <v>8.3865485000103E13</v>
      </c>
      <c r="B1317" s="218" t="s">
        <v>2176</v>
      </c>
    </row>
    <row r="1318">
      <c r="A1318" s="430">
        <v>8.3872085000125E13</v>
      </c>
      <c r="B1318" s="218" t="s">
        <v>2177</v>
      </c>
    </row>
    <row r="1319">
      <c r="A1319" s="430">
        <v>8.3872556000286E13</v>
      </c>
      <c r="B1319" s="218" t="s">
        <v>2178</v>
      </c>
    </row>
    <row r="1320">
      <c r="A1320" s="430">
        <v>8.1380339000162E13</v>
      </c>
      <c r="B1320" s="218" t="s">
        <v>2179</v>
      </c>
    </row>
    <row r="1321">
      <c r="A1321" s="430">
        <v>3883.0</v>
      </c>
      <c r="B1321" s="218" t="s">
        <v>1455</v>
      </c>
    </row>
    <row r="1322">
      <c r="A1322" s="430">
        <v>8.536720900014E13</v>
      </c>
      <c r="B1322" s="218" t="s">
        <v>2180</v>
      </c>
    </row>
    <row r="1323">
      <c r="A1323" s="430">
        <v>3.95020800016E12</v>
      </c>
      <c r="B1323" s="218" t="s">
        <v>2181</v>
      </c>
    </row>
    <row r="1324">
      <c r="A1324" s="430">
        <v>9.576794300015E13</v>
      </c>
      <c r="B1324" s="218" t="s">
        <v>2182</v>
      </c>
    </row>
    <row r="1325">
      <c r="A1325" s="430">
        <v>8.5099224000155E13</v>
      </c>
      <c r="B1325" s="218" t="s">
        <v>2183</v>
      </c>
    </row>
    <row r="1326">
      <c r="A1326" s="430">
        <v>3.83301300013E12</v>
      </c>
      <c r="B1326" s="218" t="s">
        <v>2184</v>
      </c>
    </row>
    <row r="1327">
      <c r="A1327" s="430">
        <v>9.5870069000182E13</v>
      </c>
      <c r="B1327" s="218" t="s">
        <v>2185</v>
      </c>
    </row>
    <row r="1328">
      <c r="A1328" s="430">
        <v>3.648225000147E12</v>
      </c>
      <c r="B1328" s="218" t="s">
        <v>2186</v>
      </c>
    </row>
    <row r="1329">
      <c r="A1329" s="430">
        <v>6.2071089000134E13</v>
      </c>
      <c r="B1329" s="218" t="s">
        <v>2187</v>
      </c>
    </row>
    <row r="1330">
      <c r="A1330" s="430">
        <v>2.326340000132E12</v>
      </c>
      <c r="B1330" s="218" t="s">
        <v>2188</v>
      </c>
    </row>
    <row r="1331">
      <c r="A1331" s="430">
        <v>9.5869079000106E13</v>
      </c>
      <c r="B1331" s="218" t="s">
        <v>2189</v>
      </c>
    </row>
    <row r="1332">
      <c r="A1332" s="430">
        <v>1.915579000185E12</v>
      </c>
      <c r="B1332" s="218" t="s">
        <v>2190</v>
      </c>
    </row>
    <row r="1333">
      <c r="A1333" s="430">
        <v>2.563581000103E12</v>
      </c>
      <c r="B1333" s="218" t="s">
        <v>2191</v>
      </c>
    </row>
    <row r="1334">
      <c r="A1334" s="430">
        <v>8.288063400014E13</v>
      </c>
      <c r="B1334" s="218" t="s">
        <v>2192</v>
      </c>
    </row>
    <row r="1335">
      <c r="A1335" s="430">
        <v>7.5826347000197E13</v>
      </c>
      <c r="B1335" s="218" t="s">
        <v>2193</v>
      </c>
    </row>
    <row r="1336">
      <c r="A1336" s="430">
        <v>7.6557032000154E13</v>
      </c>
      <c r="B1336" s="218" t="s">
        <v>2194</v>
      </c>
    </row>
    <row r="1337">
      <c r="A1337" s="430">
        <v>6.54664000174E11</v>
      </c>
      <c r="B1337" s="218" t="s">
        <v>2195</v>
      </c>
    </row>
    <row r="1338">
      <c r="A1338" s="430">
        <v>8.3413286000164E13</v>
      </c>
      <c r="B1338" s="218" t="s">
        <v>2196</v>
      </c>
    </row>
    <row r="1339">
      <c r="A1339" s="430">
        <v>2.04528000018E12</v>
      </c>
      <c r="B1339" s="218" t="s">
        <v>2197</v>
      </c>
    </row>
    <row r="1340">
      <c r="A1340" s="430">
        <v>7.5400218000485E13</v>
      </c>
      <c r="B1340" s="218" t="s">
        <v>2198</v>
      </c>
    </row>
    <row r="1341">
      <c r="A1341" s="430">
        <v>8.1252793000138E13</v>
      </c>
      <c r="B1341" s="218" t="s">
        <v>2199</v>
      </c>
    </row>
    <row r="1342">
      <c r="A1342" s="430">
        <v>7.583908400015E13</v>
      </c>
      <c r="B1342" s="218" t="s">
        <v>2200</v>
      </c>
    </row>
    <row r="1343">
      <c r="A1343" s="430">
        <v>1.56276100028E12</v>
      </c>
      <c r="B1343" s="218" t="s">
        <v>2201</v>
      </c>
    </row>
    <row r="1344">
      <c r="A1344" s="430">
        <v>8.3470898000199E13</v>
      </c>
      <c r="B1344" s="218" t="s">
        <v>2202</v>
      </c>
    </row>
    <row r="1345">
      <c r="A1345" s="430">
        <v>2.782502000147E12</v>
      </c>
      <c r="B1345" s="218" t="s">
        <v>2203</v>
      </c>
    </row>
    <row r="1346">
      <c r="A1346" s="430">
        <v>6.71553000176E11</v>
      </c>
      <c r="B1346" s="218" t="s">
        <v>2204</v>
      </c>
    </row>
    <row r="1347">
      <c r="A1347" s="430">
        <v>7.8863610000106E13</v>
      </c>
      <c r="B1347" s="218" t="s">
        <v>2205</v>
      </c>
    </row>
    <row r="1348">
      <c r="A1348" s="430">
        <v>2.122628000861E12</v>
      </c>
      <c r="B1348" s="218" t="s">
        <v>2206</v>
      </c>
    </row>
    <row r="1349">
      <c r="A1349" s="430">
        <v>2.553748000147E12</v>
      </c>
      <c r="B1349" s="218" t="s">
        <v>2207</v>
      </c>
    </row>
    <row r="1350">
      <c r="A1350" s="430">
        <v>5.4286505000193E13</v>
      </c>
      <c r="B1350" s="218" t="s">
        <v>2208</v>
      </c>
    </row>
    <row r="1351">
      <c r="A1351" s="430">
        <v>7.9685814000167E13</v>
      </c>
      <c r="B1351" s="218" t="s">
        <v>2209</v>
      </c>
    </row>
    <row r="1352">
      <c r="A1352" s="430">
        <v>1.08467100014E12</v>
      </c>
      <c r="B1352" s="218" t="s">
        <v>2210</v>
      </c>
    </row>
    <row r="1353">
      <c r="A1353" s="430">
        <v>8.3048090000118E13</v>
      </c>
      <c r="B1353" s="218" t="s">
        <v>2211</v>
      </c>
    </row>
    <row r="1354">
      <c r="A1354" s="430">
        <v>8.5116150000118E13</v>
      </c>
      <c r="B1354" s="218" t="s">
        <v>2212</v>
      </c>
    </row>
    <row r="1355">
      <c r="A1355" s="430">
        <v>2.77362900028E12</v>
      </c>
      <c r="B1355" s="218" t="s">
        <v>2093</v>
      </c>
    </row>
    <row r="1356">
      <c r="A1356" s="430">
        <v>8.0502917000123E13</v>
      </c>
      <c r="B1356" s="218" t="s">
        <v>2213</v>
      </c>
    </row>
    <row r="1357">
      <c r="A1357" s="430">
        <v>1.92020100017E12</v>
      </c>
      <c r="B1357" s="218" t="s">
        <v>2214</v>
      </c>
    </row>
    <row r="1358">
      <c r="A1358" s="430">
        <v>8.2698408000143E13</v>
      </c>
      <c r="B1358" s="218" t="s">
        <v>2215</v>
      </c>
    </row>
    <row r="1359">
      <c r="A1359" s="430">
        <v>7.9025276000184E13</v>
      </c>
      <c r="B1359" s="218" t="s">
        <v>2216</v>
      </c>
    </row>
    <row r="1360">
      <c r="A1360" s="430">
        <v>8.340361800012E13</v>
      </c>
      <c r="B1360" s="218" t="s">
        <v>2217</v>
      </c>
    </row>
    <row r="1361">
      <c r="A1361" s="430">
        <v>1.570002000189E12</v>
      </c>
      <c r="B1361" s="218" t="s">
        <v>2218</v>
      </c>
    </row>
    <row r="1362">
      <c r="A1362" s="430">
        <v>2.05703000016E12</v>
      </c>
      <c r="B1362" s="218" t="s">
        <v>2219</v>
      </c>
    </row>
    <row r="1363">
      <c r="A1363" s="430">
        <v>8.1684508000158E13</v>
      </c>
      <c r="B1363" s="218" t="s">
        <v>2220</v>
      </c>
    </row>
    <row r="1364">
      <c r="A1364" s="430">
        <v>2.729636000102E12</v>
      </c>
      <c r="B1364" s="218" t="s">
        <v>2221</v>
      </c>
    </row>
    <row r="1365">
      <c r="A1365" s="430">
        <v>7.6542745000144E13</v>
      </c>
      <c r="B1365" s="218" t="s">
        <v>2222</v>
      </c>
    </row>
    <row r="1366">
      <c r="A1366" s="430">
        <v>7.6545151000197E13</v>
      </c>
      <c r="B1366" s="218" t="s">
        <v>2223</v>
      </c>
    </row>
    <row r="1367">
      <c r="A1367" s="430">
        <v>7.6549922000114E13</v>
      </c>
      <c r="B1367" s="218" t="s">
        <v>2224</v>
      </c>
    </row>
    <row r="1368">
      <c r="A1368" s="430">
        <v>7.6563147000151E13</v>
      </c>
      <c r="B1368" s="218" t="s">
        <v>2225</v>
      </c>
    </row>
    <row r="1369">
      <c r="A1369" s="430">
        <v>7.6564129000194E13</v>
      </c>
      <c r="B1369" s="218" t="s">
        <v>2226</v>
      </c>
    </row>
    <row r="1370">
      <c r="A1370" s="430">
        <v>7.6564129000518E13</v>
      </c>
      <c r="B1370" s="218" t="s">
        <v>2226</v>
      </c>
    </row>
    <row r="1371">
      <c r="A1371" s="430">
        <v>7.6565191000109E13</v>
      </c>
      <c r="B1371" s="218" t="s">
        <v>2227</v>
      </c>
    </row>
    <row r="1372">
      <c r="A1372" s="430">
        <v>7.657257700013E13</v>
      </c>
      <c r="B1372" s="218" t="s">
        <v>2228</v>
      </c>
    </row>
    <row r="1373">
      <c r="A1373" s="430">
        <v>7.6578194000179E13</v>
      </c>
      <c r="B1373" s="218" t="s">
        <v>2229</v>
      </c>
    </row>
    <row r="1374">
      <c r="A1374" s="430">
        <v>7.6586692000163E13</v>
      </c>
      <c r="B1374" s="218" t="s">
        <v>2230</v>
      </c>
    </row>
    <row r="1375">
      <c r="A1375" s="430">
        <v>7.6587591000107E13</v>
      </c>
      <c r="B1375" s="218" t="s">
        <v>2231</v>
      </c>
    </row>
    <row r="1376">
      <c r="A1376" s="430">
        <v>7.6589845000126E13</v>
      </c>
      <c r="B1376" s="218" t="s">
        <v>2232</v>
      </c>
    </row>
    <row r="1377">
      <c r="A1377" s="430">
        <v>1.869195000173E12</v>
      </c>
      <c r="B1377" s="218" t="s">
        <v>2233</v>
      </c>
    </row>
    <row r="1378">
      <c r="A1378" s="430">
        <v>6.0501293000112E13</v>
      </c>
      <c r="B1378" s="218" t="s">
        <v>2234</v>
      </c>
    </row>
    <row r="1379">
      <c r="A1379" s="430">
        <v>8.82673000112E11</v>
      </c>
      <c r="B1379" s="218" t="s">
        <v>2235</v>
      </c>
    </row>
    <row r="1380">
      <c r="A1380" s="430">
        <v>7.9578571000168E13</v>
      </c>
      <c r="B1380" s="218" t="s">
        <v>2236</v>
      </c>
    </row>
    <row r="1381">
      <c r="A1381" s="430">
        <v>2.353141000113E12</v>
      </c>
      <c r="B1381" s="218" t="s">
        <v>2237</v>
      </c>
    </row>
    <row r="1382">
      <c r="A1382" s="430">
        <v>8.3476911000117E13</v>
      </c>
      <c r="B1382" s="218" t="s">
        <v>2238</v>
      </c>
    </row>
    <row r="1383">
      <c r="A1383" s="430">
        <v>8.0485212000145E13</v>
      </c>
      <c r="B1383" s="218" t="s">
        <v>2239</v>
      </c>
    </row>
    <row r="1384">
      <c r="A1384" s="430">
        <v>7.8643129000105E13</v>
      </c>
      <c r="B1384" s="218" t="s">
        <v>2240</v>
      </c>
    </row>
    <row r="1385">
      <c r="A1385" s="430">
        <v>8.4307974000102E13</v>
      </c>
      <c r="B1385" s="218" t="s">
        <v>2241</v>
      </c>
    </row>
    <row r="1386">
      <c r="A1386" s="430">
        <v>8.8943311000992E13</v>
      </c>
      <c r="B1386" s="218" t="s">
        <v>2242</v>
      </c>
    </row>
    <row r="1387">
      <c r="A1387" s="430">
        <v>8.3564534000178E13</v>
      </c>
      <c r="B1387" s="218" t="s">
        <v>2243</v>
      </c>
    </row>
    <row r="1388">
      <c r="A1388" s="430">
        <v>4.79140000194E11</v>
      </c>
      <c r="B1388" s="218" t="s">
        <v>2244</v>
      </c>
    </row>
    <row r="1389">
      <c r="A1389" s="430">
        <v>9.288084800017E13</v>
      </c>
      <c r="B1389" s="218" t="s">
        <v>2245</v>
      </c>
    </row>
    <row r="1390">
      <c r="A1390" s="430">
        <v>5.65447000108E11</v>
      </c>
      <c r="B1390" s="218" t="s">
        <v>2246</v>
      </c>
    </row>
    <row r="1391">
      <c r="A1391" s="430">
        <v>7.6631084000123E13</v>
      </c>
      <c r="B1391" s="218" t="s">
        <v>1268</v>
      </c>
    </row>
    <row r="1392">
      <c r="A1392" s="430">
        <v>9.5806808000177E13</v>
      </c>
      <c r="B1392" s="218" t="s">
        <v>2247</v>
      </c>
    </row>
    <row r="1393">
      <c r="A1393" s="430">
        <v>1.79580900011E12</v>
      </c>
      <c r="B1393" s="218" t="s">
        <v>2248</v>
      </c>
    </row>
    <row r="1394">
      <c r="A1394" s="430">
        <v>4.652252000156E12</v>
      </c>
      <c r="B1394" s="218" t="s">
        <v>2249</v>
      </c>
    </row>
    <row r="1395">
      <c r="A1395" s="430">
        <v>8.2536000101E10</v>
      </c>
      <c r="B1395" s="218" t="s">
        <v>2250</v>
      </c>
    </row>
    <row r="1396">
      <c r="A1396" s="430">
        <v>2.270918000186E12</v>
      </c>
      <c r="B1396" s="218" t="s">
        <v>2251</v>
      </c>
    </row>
    <row r="1397">
      <c r="A1397" s="430">
        <v>4.015987000179E12</v>
      </c>
      <c r="B1397" s="218" t="s">
        <v>2252</v>
      </c>
    </row>
    <row r="1398">
      <c r="A1398" s="430">
        <v>4.637525000193E12</v>
      </c>
      <c r="B1398" s="218" t="s">
        <v>2253</v>
      </c>
    </row>
    <row r="1399">
      <c r="A1399" s="430">
        <v>8.4208123000102E13</v>
      </c>
      <c r="B1399" s="218" t="s">
        <v>2254</v>
      </c>
    </row>
    <row r="1400">
      <c r="A1400" s="430">
        <v>8.4290402000168E13</v>
      </c>
      <c r="B1400" s="218" t="s">
        <v>2255</v>
      </c>
    </row>
    <row r="1401">
      <c r="A1401" s="430">
        <v>8.4290717000105E13</v>
      </c>
      <c r="B1401" s="218" t="s">
        <v>2256</v>
      </c>
    </row>
    <row r="1402">
      <c r="A1402" s="430">
        <v>8.430054000018E13</v>
      </c>
      <c r="B1402" s="218" t="s">
        <v>2257</v>
      </c>
    </row>
    <row r="1403">
      <c r="A1403" s="430">
        <v>8.4306943000137E13</v>
      </c>
      <c r="B1403" s="218" t="s">
        <v>2258</v>
      </c>
    </row>
    <row r="1404">
      <c r="A1404" s="430">
        <v>8.4319081000103E13</v>
      </c>
      <c r="B1404" s="218" t="s">
        <v>2259</v>
      </c>
    </row>
    <row r="1405">
      <c r="A1405" s="430">
        <v>8.4430065000167E13</v>
      </c>
      <c r="B1405" s="218" t="s">
        <v>2260</v>
      </c>
    </row>
    <row r="1406">
      <c r="A1406" s="430">
        <v>8.5272656000116E13</v>
      </c>
      <c r="B1406" s="218" t="s">
        <v>2261</v>
      </c>
    </row>
    <row r="1407">
      <c r="A1407" s="430">
        <v>8.5272698000157E13</v>
      </c>
      <c r="B1407" s="218" t="s">
        <v>2262</v>
      </c>
    </row>
    <row r="1408">
      <c r="A1408" s="430">
        <v>8.5240133000198E13</v>
      </c>
      <c r="B1408" s="218" t="s">
        <v>2263</v>
      </c>
    </row>
    <row r="1409">
      <c r="A1409" s="430">
        <v>8.5245462000121E13</v>
      </c>
      <c r="B1409" s="218" t="s">
        <v>2264</v>
      </c>
    </row>
    <row r="1410">
      <c r="A1410" s="430">
        <v>8.5248342000188E13</v>
      </c>
      <c r="B1410" s="218" t="s">
        <v>2265</v>
      </c>
    </row>
    <row r="1411">
      <c r="A1411" s="430">
        <v>8.5253920000174E13</v>
      </c>
      <c r="B1411" s="218" t="s">
        <v>2266</v>
      </c>
    </row>
    <row r="1412">
      <c r="A1412" s="430">
        <v>8.527537800015E13</v>
      </c>
      <c r="B1412" s="218" t="s">
        <v>2267</v>
      </c>
    </row>
    <row r="1413">
      <c r="A1413" s="430">
        <v>8.5277119000169E13</v>
      </c>
      <c r="B1413" s="218" t="s">
        <v>2268</v>
      </c>
    </row>
    <row r="1414">
      <c r="A1414" s="430">
        <v>8.5292712000184E13</v>
      </c>
      <c r="B1414" s="218" t="s">
        <v>2269</v>
      </c>
    </row>
    <row r="1415">
      <c r="A1415" s="430">
        <v>8.529608500015E13</v>
      </c>
      <c r="B1415" s="218" t="s">
        <v>2270</v>
      </c>
    </row>
    <row r="1416">
      <c r="A1416" s="430">
        <v>8.5297653000137E13</v>
      </c>
      <c r="B1416" s="218" t="s">
        <v>2271</v>
      </c>
    </row>
    <row r="1417">
      <c r="A1417" s="430">
        <v>8.5304061000103E13</v>
      </c>
      <c r="B1417" s="218" t="s">
        <v>2272</v>
      </c>
    </row>
    <row r="1418">
      <c r="A1418" s="430">
        <v>8.5305266000103E13</v>
      </c>
      <c r="B1418" s="218" t="s">
        <v>2273</v>
      </c>
    </row>
    <row r="1419">
      <c r="A1419" s="430">
        <v>8.5309771000118E13</v>
      </c>
      <c r="B1419" s="218" t="s">
        <v>2274</v>
      </c>
    </row>
    <row r="1420">
      <c r="A1420" s="430">
        <v>8.2794892000104E13</v>
      </c>
      <c r="B1420" s="218" t="s">
        <v>2275</v>
      </c>
    </row>
    <row r="1421">
      <c r="A1421" s="430">
        <v>8.2806449000106E13</v>
      </c>
      <c r="B1421" s="218" t="s">
        <v>2276</v>
      </c>
    </row>
    <row r="1422">
      <c r="A1422" s="430">
        <v>8.282074700015E13</v>
      </c>
      <c r="B1422" s="218" t="s">
        <v>2277</v>
      </c>
    </row>
    <row r="1423">
      <c r="A1423" s="430">
        <v>8.28268680001E13</v>
      </c>
      <c r="B1423" s="218" t="s">
        <v>2278</v>
      </c>
    </row>
    <row r="1424">
      <c r="A1424" s="430">
        <v>8.2827007000146E13</v>
      </c>
      <c r="B1424" s="218" t="s">
        <v>2279</v>
      </c>
    </row>
    <row r="1425">
      <c r="A1425" s="430">
        <v>8.282700700057E13</v>
      </c>
      <c r="B1425" s="218" t="s">
        <v>2279</v>
      </c>
    </row>
    <row r="1426">
      <c r="A1426" s="430">
        <v>8.2831975000126E13</v>
      </c>
      <c r="B1426" s="218" t="s">
        <v>2280</v>
      </c>
    </row>
    <row r="1427">
      <c r="A1427" s="430">
        <v>8.2853987000151E13</v>
      </c>
      <c r="B1427" s="218" t="s">
        <v>2281</v>
      </c>
    </row>
    <row r="1428">
      <c r="A1428" s="430">
        <v>8.2536244000158E13</v>
      </c>
      <c r="B1428" s="218" t="s">
        <v>2282</v>
      </c>
    </row>
    <row r="1429">
      <c r="A1429" s="430">
        <v>3.925540000174E12</v>
      </c>
      <c r="B1429" s="218" t="s">
        <v>2283</v>
      </c>
    </row>
    <row r="1430">
      <c r="A1430" s="430">
        <v>1.72912500011E12</v>
      </c>
      <c r="B1430" s="218" t="s">
        <v>2284</v>
      </c>
    </row>
    <row r="1431">
      <c r="A1431" s="430">
        <v>9.44677000188E11</v>
      </c>
      <c r="B1431" s="218" t="s">
        <v>2285</v>
      </c>
    </row>
    <row r="1432">
      <c r="A1432" s="430">
        <v>1.463762000197E12</v>
      </c>
      <c r="B1432" s="218" t="s">
        <v>2286</v>
      </c>
    </row>
    <row r="1433">
      <c r="A1433" s="430">
        <v>1.8211102000111E13</v>
      </c>
      <c r="B1433" s="218" t="s">
        <v>2287</v>
      </c>
    </row>
    <row r="1434">
      <c r="A1434" s="430">
        <v>7.3266645000144E13</v>
      </c>
      <c r="B1434" s="218" t="s">
        <v>2288</v>
      </c>
    </row>
    <row r="1435">
      <c r="A1435" s="430">
        <v>3.774688000236E12</v>
      </c>
      <c r="B1435" s="218" t="s">
        <v>2289</v>
      </c>
    </row>
    <row r="1436">
      <c r="A1436" s="430">
        <v>3.479502000135E12</v>
      </c>
      <c r="B1436" s="218" t="s">
        <v>2290</v>
      </c>
    </row>
    <row r="1437">
      <c r="A1437" s="430">
        <v>8.2510280000142E13</v>
      </c>
      <c r="B1437" s="218" t="s">
        <v>2291</v>
      </c>
    </row>
    <row r="1438">
      <c r="A1438" s="430">
        <v>8.328577500034E13</v>
      </c>
      <c r="B1438" s="218" t="s">
        <v>2292</v>
      </c>
    </row>
    <row r="1439">
      <c r="A1439" s="430">
        <v>8.3432930000141E13</v>
      </c>
      <c r="B1439" s="218" t="s">
        <v>2293</v>
      </c>
    </row>
    <row r="1440">
      <c r="A1440" s="430">
        <v>9.5828216000156E13</v>
      </c>
      <c r="B1440" s="218" t="s">
        <v>2294</v>
      </c>
    </row>
    <row r="1441">
      <c r="A1441" s="430">
        <v>7.703645700018E13</v>
      </c>
      <c r="B1441" s="218" t="s">
        <v>2295</v>
      </c>
    </row>
    <row r="1442">
      <c r="A1442" s="430">
        <v>3.04312800012E12</v>
      </c>
      <c r="B1442" s="218" t="s">
        <v>2296</v>
      </c>
    </row>
    <row r="1443">
      <c r="A1443" s="430">
        <v>7.7902351000112E13</v>
      </c>
      <c r="B1443" s="218" t="s">
        <v>2297</v>
      </c>
    </row>
    <row r="1444">
      <c r="A1444" s="430">
        <v>8.1868358000132E13</v>
      </c>
      <c r="B1444" s="218" t="s">
        <v>2298</v>
      </c>
    </row>
    <row r="1445">
      <c r="A1445" s="430">
        <v>8.3878892000155E13</v>
      </c>
      <c r="B1445" s="218" t="s">
        <v>2299</v>
      </c>
    </row>
    <row r="1446">
      <c r="A1446" s="430">
        <v>7.5400218000809E13</v>
      </c>
      <c r="B1446" s="218" t="s">
        <v>2198</v>
      </c>
    </row>
    <row r="1447">
      <c r="A1447" s="430">
        <v>7.5400218000132E13</v>
      </c>
      <c r="B1447" s="218" t="s">
        <v>2198</v>
      </c>
    </row>
    <row r="1448">
      <c r="A1448" s="430">
        <v>4.281477000143E12</v>
      </c>
      <c r="B1448" s="218" t="s">
        <v>2300</v>
      </c>
    </row>
    <row r="1449">
      <c r="A1449" s="430">
        <v>6.15501410036E13</v>
      </c>
      <c r="B1449" s="218" t="s">
        <v>2301</v>
      </c>
    </row>
    <row r="1450">
      <c r="A1450" s="430">
        <v>7.6362524000194E13</v>
      </c>
      <c r="B1450" s="218" t="s">
        <v>2302</v>
      </c>
    </row>
    <row r="1451">
      <c r="A1451" s="430">
        <v>1.129789000148E12</v>
      </c>
      <c r="B1451" s="218" t="s">
        <v>2303</v>
      </c>
    </row>
    <row r="1452">
      <c r="A1452" s="430">
        <v>4.164077000158E12</v>
      </c>
      <c r="B1452" s="218" t="s">
        <v>2304</v>
      </c>
    </row>
    <row r="1453">
      <c r="A1453" s="430">
        <v>7.2643943000143E13</v>
      </c>
      <c r="B1453" s="218" t="s">
        <v>2305</v>
      </c>
    </row>
    <row r="1454">
      <c r="A1454" s="430">
        <v>3.324933000122E12</v>
      </c>
      <c r="B1454" s="218" t="s">
        <v>2306</v>
      </c>
    </row>
    <row r="1455">
      <c r="A1455" s="430">
        <v>1.79750700018E12</v>
      </c>
      <c r="B1455" s="218" t="s">
        <v>2307</v>
      </c>
    </row>
    <row r="1456">
      <c r="A1456" s="430">
        <v>1.54298500014E12</v>
      </c>
      <c r="B1456" s="218" t="s">
        <v>2308</v>
      </c>
    </row>
    <row r="1457">
      <c r="A1457" s="430">
        <v>5.233956000157E12</v>
      </c>
      <c r="B1457" s="218" t="s">
        <v>2309</v>
      </c>
    </row>
    <row r="1458">
      <c r="A1458" s="430">
        <v>6.298532000133E12</v>
      </c>
      <c r="B1458" s="218" t="s">
        <v>2310</v>
      </c>
    </row>
    <row r="1459">
      <c r="A1459" s="430">
        <v>8.53654000168E11</v>
      </c>
      <c r="B1459" s="218" t="s">
        <v>2311</v>
      </c>
    </row>
    <row r="1460">
      <c r="A1460" s="430">
        <v>8.3813139000181E13</v>
      </c>
      <c r="B1460" s="218" t="s">
        <v>2312</v>
      </c>
    </row>
    <row r="1461">
      <c r="A1461" s="430">
        <v>1.16999900016E12</v>
      </c>
      <c r="B1461" s="218" t="s">
        <v>2313</v>
      </c>
    </row>
    <row r="1462">
      <c r="A1462" s="430">
        <v>5.585958000105E12</v>
      </c>
      <c r="B1462" s="218" t="s">
        <v>2314</v>
      </c>
    </row>
    <row r="1463">
      <c r="A1463" s="430">
        <v>6.331471000169E12</v>
      </c>
      <c r="B1463" s="218" t="s">
        <v>2315</v>
      </c>
    </row>
    <row r="1464">
      <c r="A1464" s="430">
        <v>7.9345583000142E13</v>
      </c>
      <c r="B1464" s="218" t="s">
        <v>2316</v>
      </c>
    </row>
    <row r="1465">
      <c r="A1465" s="430">
        <v>5.377814000163E12</v>
      </c>
      <c r="B1465" s="218" t="s">
        <v>2317</v>
      </c>
    </row>
    <row r="1466">
      <c r="A1466" s="430">
        <v>1.810293000135E12</v>
      </c>
      <c r="B1466" s="218" t="s">
        <v>2318</v>
      </c>
    </row>
    <row r="1467">
      <c r="A1467" s="430">
        <v>7.5300269000192E13</v>
      </c>
      <c r="B1467" s="218" t="s">
        <v>2319</v>
      </c>
    </row>
    <row r="1468">
      <c r="A1468" s="430">
        <v>2.364299000199E12</v>
      </c>
      <c r="B1468" s="218" t="s">
        <v>2320</v>
      </c>
    </row>
    <row r="1469">
      <c r="A1469" s="430">
        <v>2.211888000137E12</v>
      </c>
      <c r="B1469" s="218" t="s">
        <v>2321</v>
      </c>
    </row>
    <row r="1470">
      <c r="A1470" s="430">
        <v>1.041098000198E12</v>
      </c>
      <c r="B1470" s="218" t="s">
        <v>2322</v>
      </c>
    </row>
    <row r="1471">
      <c r="A1471" s="430">
        <v>7.6862937000138E13</v>
      </c>
      <c r="B1471" s="218" t="s">
        <v>2323</v>
      </c>
    </row>
    <row r="1472">
      <c r="A1472" s="430">
        <v>7.6872324000181E13</v>
      </c>
      <c r="B1472" s="218" t="s">
        <v>2324</v>
      </c>
    </row>
    <row r="1473">
      <c r="A1473" s="430">
        <v>7.6872423000163E13</v>
      </c>
      <c r="B1473" s="218" t="s">
        <v>2325</v>
      </c>
    </row>
    <row r="1474">
      <c r="A1474" s="430">
        <v>7.6873223000125E13</v>
      </c>
      <c r="B1474" s="218" t="s">
        <v>2326</v>
      </c>
    </row>
    <row r="1475">
      <c r="A1475" s="430">
        <v>7.6874486000159E13</v>
      </c>
      <c r="B1475" s="218" t="s">
        <v>2327</v>
      </c>
    </row>
    <row r="1476">
      <c r="A1476" s="430">
        <v>7.6875111000103E13</v>
      </c>
      <c r="B1476" s="218" t="s">
        <v>2328</v>
      </c>
    </row>
    <row r="1477">
      <c r="A1477" s="430">
        <v>7.6948637000176E13</v>
      </c>
      <c r="B1477" s="218" t="s">
        <v>2329</v>
      </c>
    </row>
    <row r="1478">
      <c r="A1478" s="430">
        <v>7.7168565000298E13</v>
      </c>
      <c r="B1478" s="218" t="s">
        <v>2330</v>
      </c>
    </row>
    <row r="1479">
      <c r="A1479" s="430">
        <v>7.718533800019E13</v>
      </c>
      <c r="B1479" s="218" t="s">
        <v>2331</v>
      </c>
    </row>
    <row r="1480">
      <c r="A1480" s="430">
        <v>7.7230713000128E13</v>
      </c>
      <c r="B1480" s="218" t="s">
        <v>2332</v>
      </c>
    </row>
    <row r="1481">
      <c r="A1481" s="430">
        <v>7.7681872000197E13</v>
      </c>
      <c r="B1481" s="218" t="s">
        <v>2333</v>
      </c>
    </row>
    <row r="1482">
      <c r="A1482" s="430">
        <v>7.7775492000111E13</v>
      </c>
      <c r="B1482" s="218" t="s">
        <v>2334</v>
      </c>
    </row>
    <row r="1483">
      <c r="A1483" s="430">
        <v>7.7853803000196E13</v>
      </c>
      <c r="B1483" s="218" t="s">
        <v>2335</v>
      </c>
    </row>
    <row r="1484">
      <c r="A1484" s="430">
        <v>7.7854073000175E13</v>
      </c>
      <c r="B1484" s="218" t="s">
        <v>2336</v>
      </c>
    </row>
    <row r="1485">
      <c r="A1485" s="430">
        <v>7.7857407000164E13</v>
      </c>
      <c r="B1485" s="218" t="s">
        <v>2337</v>
      </c>
    </row>
    <row r="1486">
      <c r="A1486" s="430">
        <v>7.7865012000103E13</v>
      </c>
      <c r="B1486" s="218" t="s">
        <v>2338</v>
      </c>
    </row>
    <row r="1487">
      <c r="A1487" s="430">
        <v>7.787513600017E13</v>
      </c>
      <c r="B1487" s="218" t="s">
        <v>2339</v>
      </c>
    </row>
    <row r="1488">
      <c r="A1488" s="430">
        <v>7.7884211000169E13</v>
      </c>
      <c r="B1488" s="218" t="s">
        <v>2340</v>
      </c>
    </row>
    <row r="1489">
      <c r="A1489" s="430">
        <v>7.7891125000183E13</v>
      </c>
      <c r="B1489" s="218" t="s">
        <v>2341</v>
      </c>
    </row>
    <row r="1490">
      <c r="A1490" s="430">
        <v>7.7894913000123E13</v>
      </c>
      <c r="B1490" s="218" t="s">
        <v>2342</v>
      </c>
    </row>
    <row r="1491">
      <c r="A1491" s="430">
        <v>7.7894913000476E13</v>
      </c>
      <c r="B1491" s="218" t="s">
        <v>2343</v>
      </c>
    </row>
    <row r="1492">
      <c r="A1492" s="430">
        <v>7.7896223000123E13</v>
      </c>
      <c r="B1492" s="218" t="s">
        <v>2344</v>
      </c>
    </row>
    <row r="1493">
      <c r="A1493" s="430">
        <v>7.7909836000138E13</v>
      </c>
      <c r="B1493" s="218" t="s">
        <v>2345</v>
      </c>
    </row>
    <row r="1494">
      <c r="A1494" s="430">
        <v>7.7941490000155E13</v>
      </c>
      <c r="B1494" s="218" t="s">
        <v>2346</v>
      </c>
    </row>
    <row r="1495">
      <c r="A1495" s="430">
        <v>7.7987089000156E13</v>
      </c>
      <c r="B1495" s="218" t="s">
        <v>2347</v>
      </c>
    </row>
    <row r="1496">
      <c r="A1496" s="430">
        <v>7.8116394000126E13</v>
      </c>
      <c r="B1496" s="218" t="s">
        <v>2348</v>
      </c>
    </row>
    <row r="1497">
      <c r="A1497" s="430">
        <v>7.8852357000195E13</v>
      </c>
      <c r="B1497" s="218" t="s">
        <v>2349</v>
      </c>
    </row>
    <row r="1498">
      <c r="A1498" s="430">
        <v>7.8862828000146E13</v>
      </c>
      <c r="B1498" s="218" t="s">
        <v>2350</v>
      </c>
    </row>
    <row r="1499">
      <c r="A1499" s="430">
        <v>7.8864063000183E13</v>
      </c>
      <c r="B1499" s="218" t="s">
        <v>2351</v>
      </c>
    </row>
    <row r="1500">
      <c r="A1500" s="430">
        <v>7.886737100012E12</v>
      </c>
      <c r="B1500" s="218" t="s">
        <v>2352</v>
      </c>
    </row>
    <row r="1501">
      <c r="A1501" s="430">
        <v>7.8867371000162E13</v>
      </c>
      <c r="B1501" s="218" t="s">
        <v>2352</v>
      </c>
    </row>
    <row r="1502">
      <c r="A1502" s="430">
        <v>7.8869773000104E13</v>
      </c>
      <c r="B1502" s="218" t="s">
        <v>2353</v>
      </c>
    </row>
    <row r="1503">
      <c r="A1503" s="430">
        <v>7.887371800018E13</v>
      </c>
      <c r="B1503" s="218" t="s">
        <v>2354</v>
      </c>
    </row>
    <row r="1504">
      <c r="A1504" s="430">
        <v>7.8875416000221E13</v>
      </c>
      <c r="B1504" s="218" t="s">
        <v>2355</v>
      </c>
    </row>
    <row r="1505">
      <c r="A1505" s="430">
        <v>7.8653797000113E13</v>
      </c>
      <c r="B1505" s="218" t="s">
        <v>2356</v>
      </c>
    </row>
    <row r="1506">
      <c r="A1506" s="430">
        <v>7.8655164000144E13</v>
      </c>
      <c r="B1506" s="218" t="s">
        <v>2357</v>
      </c>
    </row>
    <row r="1507">
      <c r="A1507" s="430">
        <v>7.8655594000166E13</v>
      </c>
      <c r="B1507" s="218" t="s">
        <v>2358</v>
      </c>
    </row>
    <row r="1508">
      <c r="A1508" s="430">
        <v>7.8659380000168E13</v>
      </c>
      <c r="B1508" s="218" t="s">
        <v>2359</v>
      </c>
    </row>
    <row r="1509">
      <c r="A1509" s="430">
        <v>7.8523644000151E13</v>
      </c>
      <c r="B1509" s="218" t="s">
        <v>2360</v>
      </c>
    </row>
    <row r="1510">
      <c r="A1510" s="430">
        <v>7.8523909000111E13</v>
      </c>
      <c r="B1510" s="218" t="s">
        <v>2361</v>
      </c>
    </row>
    <row r="1511">
      <c r="A1511" s="430">
        <v>7.8524733000112E13</v>
      </c>
      <c r="B1511" s="218" t="s">
        <v>2362</v>
      </c>
    </row>
    <row r="1512">
      <c r="A1512" s="430">
        <v>7.8527751000158E13</v>
      </c>
      <c r="B1512" s="218" t="s">
        <v>2363</v>
      </c>
    </row>
    <row r="1513">
      <c r="A1513" s="430">
        <v>7.853165400021E13</v>
      </c>
      <c r="B1513" s="218" t="s">
        <v>2364</v>
      </c>
    </row>
    <row r="1514">
      <c r="A1514" s="430">
        <v>7.8537497000179E13</v>
      </c>
      <c r="B1514" s="218" t="s">
        <v>2365</v>
      </c>
    </row>
    <row r="1515">
      <c r="A1515" s="430">
        <v>7.8538469000176E13</v>
      </c>
      <c r="B1515" s="218" t="s">
        <v>2366</v>
      </c>
    </row>
    <row r="1516">
      <c r="A1516" s="430">
        <v>8.286073500023E13</v>
      </c>
      <c r="B1516" s="218" t="s">
        <v>2367</v>
      </c>
    </row>
    <row r="1517">
      <c r="A1517" s="430">
        <v>8.286503100017E13</v>
      </c>
      <c r="B1517" s="218" t="s">
        <v>2368</v>
      </c>
    </row>
    <row r="1518">
      <c r="A1518" s="430">
        <v>8.2866260000109E13</v>
      </c>
      <c r="B1518" s="218" t="s">
        <v>2369</v>
      </c>
    </row>
    <row r="1519">
      <c r="A1519" s="430">
        <v>8.2872706000108E13</v>
      </c>
      <c r="B1519" s="218" t="s">
        <v>2370</v>
      </c>
    </row>
    <row r="1520">
      <c r="A1520" s="430">
        <v>8.2531104000197E13</v>
      </c>
      <c r="B1520" s="218" t="s">
        <v>2371</v>
      </c>
    </row>
    <row r="1521">
      <c r="A1521" s="430">
        <v>8.2531179000178E13</v>
      </c>
      <c r="B1521" s="218" t="s">
        <v>2372</v>
      </c>
    </row>
    <row r="1522">
      <c r="A1522" s="430">
        <v>8.2534439000169E13</v>
      </c>
      <c r="B1522" s="218" t="s">
        <v>2373</v>
      </c>
    </row>
    <row r="1523">
      <c r="A1523" s="430">
        <v>8.2563891000159E13</v>
      </c>
      <c r="B1523" s="218" t="s">
        <v>2374</v>
      </c>
    </row>
    <row r="1524">
      <c r="A1524" s="430">
        <v>8.2566357000104E13</v>
      </c>
      <c r="B1524" s="218" t="s">
        <v>2375</v>
      </c>
    </row>
    <row r="1525">
      <c r="A1525" s="430">
        <v>8.2577093000149E13</v>
      </c>
      <c r="B1525" s="218" t="s">
        <v>2376</v>
      </c>
    </row>
    <row r="1526">
      <c r="A1526" s="430">
        <v>8.2604166000181E13</v>
      </c>
      <c r="B1526" s="218" t="s">
        <v>2377</v>
      </c>
    </row>
    <row r="1527">
      <c r="A1527" s="430">
        <v>8.25301480001E13</v>
      </c>
      <c r="B1527" s="218" t="s">
        <v>2378</v>
      </c>
    </row>
    <row r="1528">
      <c r="A1528" s="430">
        <v>8.2530148000283E13</v>
      </c>
      <c r="B1528" s="218" t="s">
        <v>2378</v>
      </c>
    </row>
    <row r="1529">
      <c r="A1529" s="430">
        <v>8.2624685000101E13</v>
      </c>
      <c r="B1529" s="218" t="s">
        <v>2379</v>
      </c>
    </row>
    <row r="1530">
      <c r="A1530" s="430">
        <v>8.389356000014E13</v>
      </c>
      <c r="B1530" s="218" t="s">
        <v>2380</v>
      </c>
    </row>
    <row r="1531">
      <c r="A1531" s="430">
        <v>3.978626000165E12</v>
      </c>
      <c r="B1531" s="218" t="s">
        <v>2381</v>
      </c>
    </row>
    <row r="1532">
      <c r="A1532" s="430">
        <v>4.885248000138E12</v>
      </c>
      <c r="B1532" s="218" t="s">
        <v>2382</v>
      </c>
    </row>
    <row r="1533">
      <c r="A1533" s="430">
        <v>5.294407000192E12</v>
      </c>
      <c r="B1533" s="218" t="s">
        <v>2383</v>
      </c>
    </row>
    <row r="1534">
      <c r="A1534" s="430">
        <v>4.115617000103E12</v>
      </c>
      <c r="B1534" s="218" t="s">
        <v>2384</v>
      </c>
    </row>
    <row r="1535">
      <c r="A1535" s="430">
        <v>1.765750000117E12</v>
      </c>
      <c r="B1535" s="218" t="s">
        <v>2385</v>
      </c>
    </row>
    <row r="1536">
      <c r="A1536" s="430">
        <v>6.538085000142E12</v>
      </c>
      <c r="B1536" s="218" t="s">
        <v>2386</v>
      </c>
    </row>
    <row r="1537">
      <c r="A1537" s="430">
        <v>1.450818000179E12</v>
      </c>
      <c r="B1537" s="218" t="s">
        <v>2387</v>
      </c>
    </row>
    <row r="1538">
      <c r="A1538" s="430">
        <v>1.134852000134E12</v>
      </c>
      <c r="B1538" s="218" t="s">
        <v>2388</v>
      </c>
    </row>
    <row r="1539">
      <c r="A1539" s="430">
        <v>1.063549000198E12</v>
      </c>
      <c r="B1539" s="218" t="s">
        <v>2389</v>
      </c>
    </row>
    <row r="1540">
      <c r="A1540" s="430">
        <v>6.323261000129E12</v>
      </c>
      <c r="B1540" s="218" t="s">
        <v>2390</v>
      </c>
    </row>
    <row r="1541">
      <c r="A1541" s="430">
        <v>3.3304213003262E13</v>
      </c>
      <c r="B1541" s="218" t="s">
        <v>2391</v>
      </c>
    </row>
    <row r="1542">
      <c r="A1542" s="430">
        <v>8.5787737000159E13</v>
      </c>
      <c r="B1542" s="218" t="s">
        <v>2392</v>
      </c>
    </row>
    <row r="1543">
      <c r="A1543" s="430">
        <v>6.1086336000103E13</v>
      </c>
      <c r="B1543" s="218" t="s">
        <v>1892</v>
      </c>
    </row>
    <row r="1544">
      <c r="A1544" s="430">
        <v>8.4968874000127E13</v>
      </c>
      <c r="B1544" s="218" t="s">
        <v>2393</v>
      </c>
    </row>
    <row r="1545">
      <c r="A1545" s="430">
        <v>7.8570397000144E13</v>
      </c>
      <c r="B1545" s="218" t="s">
        <v>2394</v>
      </c>
    </row>
    <row r="1546">
      <c r="A1546" s="430">
        <v>7.8586724000156E13</v>
      </c>
      <c r="B1546" s="218" t="s">
        <v>2395</v>
      </c>
    </row>
    <row r="1547">
      <c r="A1547" s="430">
        <v>7.8666179000108E13</v>
      </c>
      <c r="B1547" s="218" t="s">
        <v>2396</v>
      </c>
    </row>
    <row r="1548">
      <c r="A1548" s="430">
        <v>7.8716198000282E13</v>
      </c>
      <c r="B1548" s="218" t="s">
        <v>2397</v>
      </c>
    </row>
    <row r="1549">
      <c r="A1549" s="430">
        <v>7.8747821000183E13</v>
      </c>
      <c r="B1549" s="218" t="s">
        <v>2398</v>
      </c>
    </row>
    <row r="1550">
      <c r="A1550" s="430">
        <v>7.8815636000189E13</v>
      </c>
      <c r="B1550" s="218" t="s">
        <v>2399</v>
      </c>
    </row>
    <row r="1551">
      <c r="A1551" s="430">
        <v>7.8816444000197E13</v>
      </c>
      <c r="B1551" s="218" t="s">
        <v>2400</v>
      </c>
    </row>
    <row r="1552">
      <c r="A1552" s="430">
        <v>7.882006500017E13</v>
      </c>
      <c r="B1552" s="218" t="s">
        <v>2401</v>
      </c>
    </row>
    <row r="1553">
      <c r="A1553" s="430">
        <v>7.8831591000136E13</v>
      </c>
      <c r="B1553" s="218" t="s">
        <v>2402</v>
      </c>
    </row>
    <row r="1554">
      <c r="A1554" s="430">
        <v>7.883845500041E13</v>
      </c>
      <c r="B1554" s="218" t="s">
        <v>2403</v>
      </c>
    </row>
    <row r="1555">
      <c r="A1555" s="430">
        <v>7.8838588000144E13</v>
      </c>
      <c r="B1555" s="218" t="s">
        <v>2404</v>
      </c>
    </row>
    <row r="1556">
      <c r="A1556" s="430">
        <v>7.8843216000106E13</v>
      </c>
      <c r="B1556" s="218" t="s">
        <v>2405</v>
      </c>
    </row>
    <row r="1557">
      <c r="A1557" s="430">
        <v>7.8851151000574E13</v>
      </c>
      <c r="B1557" s="218" t="s">
        <v>2406</v>
      </c>
    </row>
    <row r="1558">
      <c r="A1558" s="430">
        <v>7.8852217000117E13</v>
      </c>
      <c r="B1558" s="218" t="s">
        <v>2407</v>
      </c>
    </row>
    <row r="1559">
      <c r="A1559" s="430">
        <v>7.8605441000104E13</v>
      </c>
      <c r="B1559" s="218" t="s">
        <v>2408</v>
      </c>
    </row>
    <row r="1560">
      <c r="A1560" s="430">
        <v>7.8616554000105E13</v>
      </c>
      <c r="B1560" s="218" t="s">
        <v>2409</v>
      </c>
    </row>
    <row r="1561">
      <c r="A1561" s="430">
        <v>7.8618030000153E13</v>
      </c>
      <c r="B1561" s="218" t="s">
        <v>2410</v>
      </c>
    </row>
    <row r="1562">
      <c r="A1562" s="430">
        <v>7.8618105000104E13</v>
      </c>
      <c r="B1562" s="218" t="s">
        <v>2411</v>
      </c>
    </row>
    <row r="1563">
      <c r="A1563" s="430">
        <v>7.8624624000177E13</v>
      </c>
      <c r="B1563" s="218" t="s">
        <v>2412</v>
      </c>
    </row>
    <row r="1564">
      <c r="A1564" s="430">
        <v>7.8627726000146E13</v>
      </c>
      <c r="B1564" s="218" t="s">
        <v>2413</v>
      </c>
    </row>
    <row r="1565">
      <c r="A1565" s="430">
        <v>7.8632387000196E13</v>
      </c>
      <c r="B1565" s="218" t="s">
        <v>2414</v>
      </c>
    </row>
    <row r="1566">
      <c r="A1566" s="430">
        <v>7.8635612000148E13</v>
      </c>
      <c r="B1566" s="218" t="s">
        <v>2415</v>
      </c>
    </row>
    <row r="1567">
      <c r="A1567" s="430">
        <v>7.863952300017E13</v>
      </c>
      <c r="B1567" s="218" t="s">
        <v>2416</v>
      </c>
    </row>
    <row r="1568">
      <c r="A1568" s="430">
        <v>8.0420953000148E13</v>
      </c>
      <c r="B1568" s="218" t="s">
        <v>2417</v>
      </c>
    </row>
    <row r="1569">
      <c r="A1569" s="430">
        <v>8.0427271000167E13</v>
      </c>
      <c r="B1569" s="218" t="s">
        <v>2418</v>
      </c>
    </row>
    <row r="1570">
      <c r="A1570" s="430">
        <v>8.043536000016E13</v>
      </c>
      <c r="B1570" s="218" t="s">
        <v>2419</v>
      </c>
    </row>
    <row r="1571">
      <c r="A1571" s="430">
        <v>8.043567000017E13</v>
      </c>
      <c r="B1571" s="218" t="s">
        <v>2420</v>
      </c>
    </row>
    <row r="1572">
      <c r="A1572" s="430">
        <v>8.043919300011E13</v>
      </c>
      <c r="B1572" s="218" t="s">
        <v>2421</v>
      </c>
    </row>
    <row r="1573">
      <c r="A1573" s="430">
        <v>8.04398880001E13</v>
      </c>
      <c r="B1573" s="218" t="s">
        <v>2422</v>
      </c>
    </row>
    <row r="1574">
      <c r="A1574" s="430">
        <v>8.0440316000133E13</v>
      </c>
      <c r="B1574" s="218" t="s">
        <v>2423</v>
      </c>
    </row>
    <row r="1575">
      <c r="A1575" s="430">
        <v>8.0066384000184E13</v>
      </c>
      <c r="B1575" s="218" t="s">
        <v>2424</v>
      </c>
    </row>
    <row r="1576">
      <c r="A1576" s="430">
        <v>8.0069776000105E13</v>
      </c>
      <c r="B1576" s="218" t="s">
        <v>2425</v>
      </c>
    </row>
    <row r="1577">
      <c r="A1577" s="430">
        <v>8.0079031000119E13</v>
      </c>
      <c r="B1577" s="218" t="s">
        <v>2426</v>
      </c>
    </row>
    <row r="1578">
      <c r="A1578" s="430">
        <v>8.0084429000143E13</v>
      </c>
      <c r="B1578" s="218" t="s">
        <v>2427</v>
      </c>
    </row>
    <row r="1579">
      <c r="A1579" s="430">
        <v>8.008522800016E13</v>
      </c>
      <c r="B1579" s="218" t="s">
        <v>2428</v>
      </c>
    </row>
    <row r="1580">
      <c r="A1580" s="430">
        <v>8.0085525000106E13</v>
      </c>
      <c r="B1580" s="218" t="s">
        <v>2429</v>
      </c>
    </row>
    <row r="1581">
      <c r="A1581" s="430">
        <v>8.1013302000104E13</v>
      </c>
      <c r="B1581" s="218" t="s">
        <v>2430</v>
      </c>
    </row>
    <row r="1582">
      <c r="A1582" s="430">
        <v>8.1013872000196E13</v>
      </c>
      <c r="B1582" s="218" t="s">
        <v>2431</v>
      </c>
    </row>
    <row r="1583">
      <c r="A1583" s="430">
        <v>8.1014680000102E13</v>
      </c>
      <c r="B1583" s="218" t="s">
        <v>2432</v>
      </c>
    </row>
    <row r="1584">
      <c r="A1584" s="430">
        <v>8.101958000016E13</v>
      </c>
      <c r="B1584" s="218" t="s">
        <v>2433</v>
      </c>
    </row>
    <row r="1585">
      <c r="A1585" s="430">
        <v>8.1028616000128E13</v>
      </c>
      <c r="B1585" s="218" t="s">
        <v>2434</v>
      </c>
    </row>
    <row r="1586">
      <c r="A1586" s="430">
        <v>8.1031387000145E13</v>
      </c>
      <c r="B1586" s="218" t="s">
        <v>2435</v>
      </c>
    </row>
    <row r="1587">
      <c r="A1587" s="430">
        <v>8.4696491000147E13</v>
      </c>
      <c r="B1587" s="218" t="s">
        <v>2436</v>
      </c>
    </row>
    <row r="1588">
      <c r="A1588" s="430">
        <v>8.4921345000178E13</v>
      </c>
      <c r="B1588" s="218" t="s">
        <v>2437</v>
      </c>
    </row>
    <row r="1589">
      <c r="A1589" s="430">
        <v>8.4933126000109E13</v>
      </c>
      <c r="B1589" s="218" t="s">
        <v>2438</v>
      </c>
    </row>
    <row r="1590">
      <c r="A1590" s="430">
        <v>8.493379500018E13</v>
      </c>
      <c r="B1590" s="218" t="s">
        <v>2439</v>
      </c>
    </row>
    <row r="1591">
      <c r="A1591" s="430">
        <v>8.4933795000776E13</v>
      </c>
      <c r="B1591" s="218" t="s">
        <v>2439</v>
      </c>
    </row>
    <row r="1592">
      <c r="A1592" s="430">
        <v>8.3935452000192E13</v>
      </c>
      <c r="B1592" s="218" t="s">
        <v>2440</v>
      </c>
    </row>
    <row r="1593">
      <c r="A1593" s="430">
        <v>8.3936658000137E13</v>
      </c>
      <c r="B1593" s="218" t="s">
        <v>2441</v>
      </c>
    </row>
    <row r="1594">
      <c r="A1594" s="430">
        <v>8.3937656000162E13</v>
      </c>
      <c r="B1594" s="218" t="s">
        <v>2442</v>
      </c>
    </row>
    <row r="1595">
      <c r="A1595" s="430">
        <v>8.3937656000677E13</v>
      </c>
      <c r="B1595" s="218" t="s">
        <v>2442</v>
      </c>
    </row>
    <row r="1596">
      <c r="A1596" s="430">
        <v>8.3898197000155E13</v>
      </c>
      <c r="B1596" s="218" t="s">
        <v>2443</v>
      </c>
    </row>
    <row r="1597">
      <c r="A1597" s="430">
        <v>8.3902387000107E13</v>
      </c>
      <c r="B1597" s="218" t="s">
        <v>2444</v>
      </c>
    </row>
    <row r="1598">
      <c r="A1598" s="430">
        <v>8.3929810000154E13</v>
      </c>
      <c r="B1598" s="218" t="s">
        <v>2445</v>
      </c>
    </row>
    <row r="1599">
      <c r="A1599" s="430">
        <v>8.3940700000193E13</v>
      </c>
      <c r="B1599" s="218" t="s">
        <v>2446</v>
      </c>
    </row>
    <row r="1600">
      <c r="A1600" s="430">
        <v>8.3952648000195E13</v>
      </c>
      <c r="B1600" s="218" t="s">
        <v>2447</v>
      </c>
    </row>
    <row r="1601">
      <c r="A1601" s="430">
        <v>8.4043298000107E13</v>
      </c>
      <c r="B1601" s="218" t="s">
        <v>2448</v>
      </c>
    </row>
    <row r="1602">
      <c r="A1602" s="430">
        <v>8.18562880001E13</v>
      </c>
      <c r="B1602" s="218" t="s">
        <v>2449</v>
      </c>
    </row>
    <row r="1603">
      <c r="A1603" s="430">
        <v>1.694503000177E12</v>
      </c>
      <c r="B1603" s="218" t="s">
        <v>2450</v>
      </c>
    </row>
    <row r="1604">
      <c r="A1604" s="430">
        <v>4.3209436000106E13</v>
      </c>
      <c r="B1604" s="218" t="s">
        <v>2451</v>
      </c>
    </row>
    <row r="1605">
      <c r="A1605" s="430">
        <v>2.663424000161E12</v>
      </c>
      <c r="B1605" s="218" t="s">
        <v>2452</v>
      </c>
    </row>
    <row r="1606">
      <c r="A1606" s="430">
        <v>7.3721755000159E13</v>
      </c>
      <c r="B1606" s="218" t="s">
        <v>2453</v>
      </c>
    </row>
    <row r="1607">
      <c r="A1607" s="430">
        <v>1.517954000139E12</v>
      </c>
      <c r="B1607" s="218" t="s">
        <v>2454</v>
      </c>
    </row>
    <row r="1608">
      <c r="A1608" s="430">
        <v>1.28807000015E12</v>
      </c>
      <c r="B1608" s="218" t="s">
        <v>2455</v>
      </c>
    </row>
    <row r="1609">
      <c r="A1609" s="430">
        <v>6.8797869000142E13</v>
      </c>
      <c r="B1609" s="218" t="s">
        <v>2456</v>
      </c>
    </row>
    <row r="1610">
      <c r="A1610" s="430">
        <v>8.0977556000171E13</v>
      </c>
      <c r="B1610" s="218" t="s">
        <v>2457</v>
      </c>
    </row>
    <row r="1611">
      <c r="A1611" s="430">
        <v>8.4590900000126E13</v>
      </c>
      <c r="B1611" s="218" t="s">
        <v>2458</v>
      </c>
    </row>
    <row r="1612">
      <c r="A1612" s="430">
        <v>1.426724000164E12</v>
      </c>
      <c r="B1612" s="218" t="s">
        <v>2459</v>
      </c>
    </row>
    <row r="1613">
      <c r="A1613" s="430">
        <v>2.525367000154E12</v>
      </c>
      <c r="B1613" s="218" t="s">
        <v>2460</v>
      </c>
    </row>
    <row r="1614">
      <c r="A1614" s="430">
        <v>1.70405600019E12</v>
      </c>
      <c r="B1614" s="218" t="s">
        <v>2461</v>
      </c>
    </row>
    <row r="1615">
      <c r="A1615" s="430">
        <v>6.1099008000141E13</v>
      </c>
      <c r="B1615" s="218" t="s">
        <v>2462</v>
      </c>
    </row>
    <row r="1616">
      <c r="A1616" s="430">
        <v>8.1530628000109E13</v>
      </c>
      <c r="B1616" s="218" t="s">
        <v>2463</v>
      </c>
    </row>
    <row r="1617">
      <c r="A1617" s="430">
        <v>8.15359080001E13</v>
      </c>
      <c r="B1617" s="218" t="s">
        <v>2464</v>
      </c>
    </row>
    <row r="1618">
      <c r="A1618" s="430">
        <v>8.1546772000125E13</v>
      </c>
      <c r="B1618" s="218" t="s">
        <v>2465</v>
      </c>
    </row>
    <row r="1619">
      <c r="A1619" s="430">
        <v>8.1553307000111E13</v>
      </c>
      <c r="B1619" s="218" t="s">
        <v>2466</v>
      </c>
    </row>
    <row r="1620">
      <c r="A1620" s="430">
        <v>8.1559619000132E13</v>
      </c>
      <c r="B1620" s="218" t="s">
        <v>2467</v>
      </c>
    </row>
    <row r="1621">
      <c r="A1621" s="430">
        <v>8.1560394000122E13</v>
      </c>
      <c r="B1621" s="218" t="s">
        <v>2468</v>
      </c>
    </row>
    <row r="1622">
      <c r="A1622" s="430">
        <v>8.1561540000146E13</v>
      </c>
      <c r="B1622" s="218" t="s">
        <v>2469</v>
      </c>
    </row>
    <row r="1623">
      <c r="A1623" s="430">
        <v>8.1569964000157E13</v>
      </c>
      <c r="B1623" s="218" t="s">
        <v>2470</v>
      </c>
    </row>
    <row r="1624">
      <c r="A1624" s="430">
        <v>8.1577173000179E13</v>
      </c>
      <c r="B1624" s="218" t="s">
        <v>2471</v>
      </c>
    </row>
    <row r="1625">
      <c r="A1625" s="430">
        <v>8.1588659000102E13</v>
      </c>
      <c r="B1625" s="218" t="s">
        <v>2472</v>
      </c>
    </row>
    <row r="1626">
      <c r="A1626" s="430">
        <v>8.1594665000172E13</v>
      </c>
      <c r="B1626" s="218" t="s">
        <v>2473</v>
      </c>
    </row>
    <row r="1627">
      <c r="A1627" s="430">
        <v>8.1594681000165E13</v>
      </c>
      <c r="B1627" s="218" t="s">
        <v>2474</v>
      </c>
    </row>
    <row r="1628">
      <c r="A1628" s="430">
        <v>8.104729200011E13</v>
      </c>
      <c r="B1628" s="218" t="s">
        <v>2475</v>
      </c>
    </row>
    <row r="1629">
      <c r="A1629" s="430">
        <v>8.1285652000111E13</v>
      </c>
      <c r="B1629" s="218" t="s">
        <v>2476</v>
      </c>
    </row>
    <row r="1630">
      <c r="A1630" s="430">
        <v>8.129074400019E13</v>
      </c>
      <c r="B1630" s="218" t="s">
        <v>2477</v>
      </c>
    </row>
    <row r="1631">
      <c r="A1631" s="430">
        <v>8.12947380001E13</v>
      </c>
      <c r="B1631" s="218" t="s">
        <v>2478</v>
      </c>
    </row>
    <row r="1632">
      <c r="A1632" s="430">
        <v>8.129812700013E13</v>
      </c>
      <c r="B1632" s="218" t="s">
        <v>2479</v>
      </c>
    </row>
    <row r="1633">
      <c r="A1633" s="430">
        <v>8.129818400011E13</v>
      </c>
      <c r="B1633" s="218" t="s">
        <v>2480</v>
      </c>
    </row>
    <row r="1634">
      <c r="A1634" s="430">
        <v>8.1299125000166E13</v>
      </c>
      <c r="B1634" s="218" t="s">
        <v>2481</v>
      </c>
    </row>
    <row r="1635">
      <c r="A1635" s="430">
        <v>8.1302515000148E13</v>
      </c>
      <c r="B1635" s="218" t="s">
        <v>2482</v>
      </c>
    </row>
    <row r="1636">
      <c r="A1636" s="430">
        <v>8.1370231000199E13</v>
      </c>
      <c r="B1636" s="218" t="s">
        <v>2483</v>
      </c>
    </row>
    <row r="1637">
      <c r="A1637" s="430">
        <v>8.1522856000129E13</v>
      </c>
      <c r="B1637" s="218" t="s">
        <v>2484</v>
      </c>
    </row>
    <row r="1638">
      <c r="A1638" s="430">
        <v>8.1523003000101E13</v>
      </c>
      <c r="B1638" s="218" t="s">
        <v>2485</v>
      </c>
    </row>
    <row r="1639">
      <c r="A1639" s="430">
        <v>8.1525073000107E13</v>
      </c>
      <c r="B1639" s="218" t="s">
        <v>2486</v>
      </c>
    </row>
    <row r="1640">
      <c r="A1640" s="430">
        <v>8.1031817000129E13</v>
      </c>
      <c r="B1640" s="218" t="s">
        <v>2487</v>
      </c>
    </row>
    <row r="1641">
      <c r="A1641" s="430">
        <v>8.1302622000176E13</v>
      </c>
      <c r="B1641" s="218" t="s">
        <v>2488</v>
      </c>
    </row>
    <row r="1642">
      <c r="A1642" s="430">
        <v>8.1313488000109E13</v>
      </c>
      <c r="B1642" s="218" t="s">
        <v>2489</v>
      </c>
    </row>
    <row r="1643">
      <c r="A1643" s="430">
        <v>8.1314197000135E13</v>
      </c>
      <c r="B1643" s="218" t="s">
        <v>2490</v>
      </c>
    </row>
    <row r="1644">
      <c r="A1644" s="430">
        <v>8.13299140001E13</v>
      </c>
      <c r="B1644" s="218" t="s">
        <v>2491</v>
      </c>
    </row>
    <row r="1645">
      <c r="A1645" s="430">
        <v>8.13325040001E13</v>
      </c>
      <c r="B1645" s="218" t="s">
        <v>2492</v>
      </c>
    </row>
    <row r="1646">
      <c r="A1646" s="430">
        <v>8.1332553000143E13</v>
      </c>
      <c r="B1646" s="218" t="s">
        <v>2493</v>
      </c>
    </row>
    <row r="1647">
      <c r="A1647" s="430">
        <v>8.133440100018E13</v>
      </c>
      <c r="B1647" s="218" t="s">
        <v>2494</v>
      </c>
    </row>
    <row r="1648">
      <c r="A1648" s="430">
        <v>8.2642521000107E13</v>
      </c>
      <c r="B1648" s="218" t="s">
        <v>2495</v>
      </c>
    </row>
    <row r="1649">
      <c r="A1649" s="430">
        <v>8.2420985000179E13</v>
      </c>
      <c r="B1649" s="218" t="s">
        <v>2496</v>
      </c>
    </row>
    <row r="1650">
      <c r="A1650" s="430">
        <v>8.2422387000139E13</v>
      </c>
      <c r="B1650" s="218" t="s">
        <v>2497</v>
      </c>
    </row>
    <row r="1651">
      <c r="A1651" s="430">
        <v>8.2499096000149E13</v>
      </c>
      <c r="B1651" s="218" t="s">
        <v>2498</v>
      </c>
    </row>
    <row r="1652">
      <c r="A1652" s="430">
        <v>8.2501560000194E13</v>
      </c>
      <c r="B1652" s="218" t="s">
        <v>2499</v>
      </c>
    </row>
    <row r="1653">
      <c r="A1653" s="430">
        <v>8.2509423000104E13</v>
      </c>
      <c r="B1653" s="218" t="s">
        <v>2500</v>
      </c>
    </row>
    <row r="1654">
      <c r="A1654" s="430">
        <v>8.2511825000135E13</v>
      </c>
      <c r="B1654" s="218" t="s">
        <v>2501</v>
      </c>
    </row>
    <row r="1655">
      <c r="A1655" s="430">
        <v>8.2513490000194E13</v>
      </c>
      <c r="B1655" s="218" t="s">
        <v>2502</v>
      </c>
    </row>
    <row r="1656">
      <c r="A1656" s="430">
        <v>8.2515412000129E13</v>
      </c>
      <c r="B1656" s="218" t="s">
        <v>2503</v>
      </c>
    </row>
    <row r="1657">
      <c r="A1657" s="430">
        <v>8.2516857000123E13</v>
      </c>
      <c r="B1657" s="218" t="s">
        <v>2504</v>
      </c>
    </row>
    <row r="1658">
      <c r="A1658" s="430">
        <v>8.2516857000204E13</v>
      </c>
      <c r="B1658" s="218" t="s">
        <v>2505</v>
      </c>
    </row>
    <row r="1659">
      <c r="A1659" s="430">
        <v>8.3440529000153E13</v>
      </c>
      <c r="B1659" s="218" t="s">
        <v>2506</v>
      </c>
    </row>
    <row r="1660">
      <c r="A1660" s="430">
        <v>8.3457978000104E13</v>
      </c>
      <c r="B1660" s="218" t="s">
        <v>2507</v>
      </c>
    </row>
    <row r="1661">
      <c r="A1661" s="430">
        <v>9.5384434000149E13</v>
      </c>
      <c r="B1661" s="218" t="s">
        <v>2508</v>
      </c>
    </row>
    <row r="1662">
      <c r="A1662" s="430">
        <v>9.5764197000141E13</v>
      </c>
      <c r="B1662" s="218" t="s">
        <v>1775</v>
      </c>
    </row>
    <row r="1663">
      <c r="A1663" s="430">
        <v>9.5777561000108E13</v>
      </c>
      <c r="B1663" s="218" t="s">
        <v>2509</v>
      </c>
    </row>
    <row r="1664">
      <c r="A1664" s="430">
        <v>9.5791489000173E13</v>
      </c>
      <c r="B1664" s="218" t="s">
        <v>2510</v>
      </c>
    </row>
    <row r="1665">
      <c r="A1665" s="430">
        <v>9.5792982000108E13</v>
      </c>
      <c r="B1665" s="218" t="s">
        <v>2511</v>
      </c>
    </row>
    <row r="1666">
      <c r="A1666" s="430">
        <v>9.1010504000148E13</v>
      </c>
      <c r="B1666" s="218" t="s">
        <v>2512</v>
      </c>
    </row>
    <row r="1667">
      <c r="A1667" s="430">
        <v>9.1088328000167E13</v>
      </c>
      <c r="B1667" s="218" t="s">
        <v>2513</v>
      </c>
    </row>
    <row r="1668">
      <c r="A1668" s="430">
        <v>9.1331231000133E13</v>
      </c>
      <c r="B1668" s="218" t="s">
        <v>2514</v>
      </c>
    </row>
    <row r="1669">
      <c r="A1669" s="430">
        <v>9.1355396000151E13</v>
      </c>
      <c r="B1669" s="218" t="s">
        <v>2515</v>
      </c>
    </row>
    <row r="1670">
      <c r="A1670" s="430">
        <v>9.154894100011E13</v>
      </c>
      <c r="B1670" s="218" t="s">
        <v>2516</v>
      </c>
    </row>
    <row r="1671">
      <c r="A1671" s="430">
        <v>9.201246700017E13</v>
      </c>
      <c r="B1671" s="218" t="s">
        <v>2517</v>
      </c>
    </row>
    <row r="1672">
      <c r="A1672" s="430">
        <v>9.2864883000368E13</v>
      </c>
      <c r="B1672" s="218" t="s">
        <v>2518</v>
      </c>
    </row>
    <row r="1673">
      <c r="A1673" s="430">
        <v>9.288347900106E13</v>
      </c>
      <c r="B1673" s="218" t="s">
        <v>2519</v>
      </c>
    </row>
    <row r="1674">
      <c r="A1674" s="430">
        <v>9.2903707001017E13</v>
      </c>
      <c r="B1674" s="218" t="s">
        <v>2520</v>
      </c>
    </row>
    <row r="1675">
      <c r="A1675" s="430">
        <v>8.2628470000169E13</v>
      </c>
      <c r="B1675" s="218" t="s">
        <v>2521</v>
      </c>
    </row>
    <row r="1676">
      <c r="A1676" s="430">
        <v>8.3102491000109E13</v>
      </c>
      <c r="B1676" s="218" t="s">
        <v>2522</v>
      </c>
    </row>
    <row r="1677">
      <c r="A1677" s="430">
        <v>8.2956160000173E13</v>
      </c>
      <c r="B1677" s="218" t="s">
        <v>2523</v>
      </c>
    </row>
    <row r="1678">
      <c r="A1678" s="430">
        <v>8.2956509000177E13</v>
      </c>
      <c r="B1678" s="218" t="s">
        <v>2524</v>
      </c>
    </row>
    <row r="1679">
      <c r="A1679" s="430">
        <v>8.2956814000169E13</v>
      </c>
      <c r="B1679" s="218" t="s">
        <v>2525</v>
      </c>
    </row>
    <row r="1680">
      <c r="A1680" s="430">
        <v>8.2957713000102E13</v>
      </c>
      <c r="B1680" s="218" t="s">
        <v>2526</v>
      </c>
    </row>
    <row r="1681">
      <c r="A1681" s="430">
        <v>8.2957713000617E13</v>
      </c>
      <c r="B1681" s="218" t="s">
        <v>2526</v>
      </c>
    </row>
    <row r="1682">
      <c r="A1682" s="430">
        <v>8.2959271000133E13</v>
      </c>
      <c r="B1682" s="218" t="s">
        <v>2527</v>
      </c>
    </row>
    <row r="1683">
      <c r="A1683" s="430">
        <v>8.2961145000113E13</v>
      </c>
      <c r="B1683" s="218" t="s">
        <v>2528</v>
      </c>
    </row>
    <row r="1684">
      <c r="A1684" s="430">
        <v>8.2961384000173E13</v>
      </c>
      <c r="B1684" s="218" t="s">
        <v>2529</v>
      </c>
    </row>
    <row r="1685">
      <c r="A1685" s="430">
        <v>8.2961582000137E13</v>
      </c>
      <c r="B1685" s="218" t="s">
        <v>2530</v>
      </c>
    </row>
    <row r="1686">
      <c r="A1686" s="430">
        <v>8.2969072000106E13</v>
      </c>
      <c r="B1686" s="218" t="s">
        <v>2531</v>
      </c>
    </row>
    <row r="1687">
      <c r="A1687" s="430">
        <v>8.2969312000172E13</v>
      </c>
      <c r="B1687" s="218" t="s">
        <v>2532</v>
      </c>
    </row>
    <row r="1688">
      <c r="A1688" s="430">
        <v>8.295093200016E13</v>
      </c>
      <c r="B1688" s="218" t="s">
        <v>2533</v>
      </c>
    </row>
    <row r="1689">
      <c r="A1689" s="430">
        <v>8.2951021000157E13</v>
      </c>
      <c r="B1689" s="218" t="s">
        <v>2534</v>
      </c>
    </row>
    <row r="1690">
      <c r="A1690" s="430">
        <v>8.2952516000109E13</v>
      </c>
      <c r="B1690" s="218" t="s">
        <v>2535</v>
      </c>
    </row>
    <row r="1691">
      <c r="A1691" s="430">
        <v>8.2979089000144E13</v>
      </c>
      <c r="B1691" s="218" t="s">
        <v>2536</v>
      </c>
    </row>
    <row r="1692">
      <c r="A1692" s="430">
        <v>8.298134100015E13</v>
      </c>
      <c r="B1692" s="218" t="s">
        <v>2537</v>
      </c>
    </row>
    <row r="1693">
      <c r="A1693" s="430">
        <v>8.298181200012E13</v>
      </c>
      <c r="B1693" s="218" t="s">
        <v>2538</v>
      </c>
    </row>
    <row r="1694">
      <c r="A1694" s="430">
        <v>8.308812000011E13</v>
      </c>
      <c r="B1694" s="218" t="s">
        <v>2539</v>
      </c>
    </row>
    <row r="1695">
      <c r="A1695" s="430">
        <v>8.309724600015E13</v>
      </c>
      <c r="B1695" s="218" t="s">
        <v>2540</v>
      </c>
    </row>
    <row r="1696">
      <c r="A1696" s="430">
        <v>8.3098616000174E13</v>
      </c>
      <c r="B1696" s="218" t="s">
        <v>2541</v>
      </c>
    </row>
    <row r="1697">
      <c r="A1697" s="430">
        <v>8.3102285000107E13</v>
      </c>
      <c r="B1697" s="218" t="s">
        <v>2542</v>
      </c>
    </row>
    <row r="1698">
      <c r="A1698" s="430">
        <v>8.3102343000194E13</v>
      </c>
      <c r="B1698" s="218" t="s">
        <v>2543</v>
      </c>
    </row>
    <row r="1699">
      <c r="A1699" s="430">
        <v>8.3102459000123E13</v>
      </c>
      <c r="B1699" s="218" t="s">
        <v>2544</v>
      </c>
    </row>
    <row r="1700">
      <c r="A1700" s="430">
        <v>8.310246700017E13</v>
      </c>
      <c r="B1700" s="218" t="s">
        <v>2545</v>
      </c>
    </row>
    <row r="1701">
      <c r="A1701" s="430">
        <v>1.322816000102E12</v>
      </c>
      <c r="B1701" s="218" t="s">
        <v>2546</v>
      </c>
    </row>
    <row r="1702">
      <c r="A1702" s="430">
        <v>6.1966131000112E13</v>
      </c>
      <c r="B1702" s="218" t="s">
        <v>2547</v>
      </c>
    </row>
    <row r="1703">
      <c r="A1703" s="430">
        <v>2.030715000899E12</v>
      </c>
      <c r="B1703" s="218" t="s">
        <v>2548</v>
      </c>
    </row>
    <row r="1704">
      <c r="A1704" s="430">
        <v>1.381571000186E12</v>
      </c>
      <c r="B1704" s="218" t="s">
        <v>2549</v>
      </c>
    </row>
    <row r="1705">
      <c r="A1705" s="430">
        <v>8.103173400013E13</v>
      </c>
      <c r="B1705" s="218" t="s">
        <v>2550</v>
      </c>
    </row>
    <row r="1706">
      <c r="A1706" s="430">
        <v>3.425565000109E12</v>
      </c>
      <c r="B1706" s="218" t="s">
        <v>2551</v>
      </c>
    </row>
    <row r="1707">
      <c r="A1707" s="430">
        <v>7.81391000129E11</v>
      </c>
      <c r="B1707" s="218" t="s">
        <v>2552</v>
      </c>
    </row>
    <row r="1708">
      <c r="A1708" s="430">
        <v>1.171815000104E12</v>
      </c>
      <c r="B1708" s="218" t="s">
        <v>2553</v>
      </c>
    </row>
    <row r="1709">
      <c r="A1709" s="430">
        <v>2.992596000189E12</v>
      </c>
      <c r="B1709" s="218" t="s">
        <v>2554</v>
      </c>
    </row>
    <row r="1710">
      <c r="A1710" s="430">
        <v>3.362389300018E13</v>
      </c>
      <c r="B1710" s="218" t="s">
        <v>2555</v>
      </c>
    </row>
    <row r="1711">
      <c r="A1711" s="430">
        <v>3.60305041803E11</v>
      </c>
      <c r="B1711" s="218" t="s">
        <v>2556</v>
      </c>
    </row>
    <row r="1712">
      <c r="A1712" s="430">
        <v>7.9362117000175E13</v>
      </c>
      <c r="B1712" s="218" t="s">
        <v>2557</v>
      </c>
    </row>
    <row r="1713">
      <c r="A1713" s="430">
        <v>8.3703033000125E13</v>
      </c>
      <c r="B1713" s="218" t="s">
        <v>2558</v>
      </c>
    </row>
    <row r="1714">
      <c r="A1714" s="430">
        <v>8.3779462000186E13</v>
      </c>
      <c r="B1714" s="218" t="s">
        <v>2559</v>
      </c>
    </row>
    <row r="1715">
      <c r="A1715" s="430">
        <v>7.634333400012E13</v>
      </c>
      <c r="B1715" s="218" t="s">
        <v>2560</v>
      </c>
    </row>
    <row r="1716">
      <c r="A1716" s="430">
        <v>8.2508433000117E13</v>
      </c>
      <c r="B1716" s="218" t="s">
        <v>2561</v>
      </c>
    </row>
    <row r="1717">
      <c r="A1717" s="430">
        <v>3.270727000187E12</v>
      </c>
      <c r="B1717" s="218" t="s">
        <v>2562</v>
      </c>
    </row>
    <row r="1718">
      <c r="A1718" s="430">
        <v>3.847647000141E12</v>
      </c>
      <c r="B1718" s="218" t="s">
        <v>2563</v>
      </c>
    </row>
    <row r="1719">
      <c r="A1719" s="430">
        <v>7.6535764000143E13</v>
      </c>
      <c r="B1719" s="218" t="s">
        <v>2564</v>
      </c>
    </row>
    <row r="1720">
      <c r="A1720" s="430">
        <v>7.6535764032266E13</v>
      </c>
      <c r="B1720" s="218" t="s">
        <v>2565</v>
      </c>
    </row>
    <row r="1721">
      <c r="A1721" s="430">
        <v>2.322756000182E12</v>
      </c>
      <c r="B1721" s="218" t="s">
        <v>2566</v>
      </c>
    </row>
    <row r="1722">
      <c r="A1722" s="430">
        <v>9.7367254000184E13</v>
      </c>
      <c r="B1722" s="218" t="s">
        <v>2567</v>
      </c>
    </row>
    <row r="1723">
      <c r="A1723" s="430">
        <v>1.314631000148E12</v>
      </c>
      <c r="B1723" s="218" t="s">
        <v>2568</v>
      </c>
    </row>
    <row r="1724">
      <c r="A1724" s="430">
        <v>7.2116932000105E13</v>
      </c>
      <c r="B1724" s="218" t="s">
        <v>2569</v>
      </c>
    </row>
    <row r="1725">
      <c r="A1725" s="430">
        <v>7.9217188000184E13</v>
      </c>
      <c r="B1725" s="218" t="s">
        <v>2570</v>
      </c>
    </row>
    <row r="1726">
      <c r="A1726" s="430">
        <v>8.2993528000173E13</v>
      </c>
      <c r="B1726" s="218" t="s">
        <v>2571</v>
      </c>
    </row>
    <row r="1727">
      <c r="A1727" s="430">
        <v>8.0697188000108E13</v>
      </c>
      <c r="B1727" s="218" t="s">
        <v>2572</v>
      </c>
    </row>
    <row r="1728">
      <c r="A1728" s="430">
        <v>8.38739350001E13</v>
      </c>
      <c r="B1728" s="218" t="s">
        <v>2573</v>
      </c>
    </row>
    <row r="1729">
      <c r="A1729" s="430">
        <v>4.62763000154E11</v>
      </c>
      <c r="B1729" s="218" t="s">
        <v>2574</v>
      </c>
    </row>
    <row r="1730">
      <c r="A1730" s="430">
        <v>2.773629000108E12</v>
      </c>
      <c r="B1730" s="218" t="s">
        <v>2093</v>
      </c>
    </row>
    <row r="1731">
      <c r="A1731" s="430">
        <v>8.5307056000146E13</v>
      </c>
      <c r="B1731" s="218" t="s">
        <v>2575</v>
      </c>
    </row>
    <row r="1732">
      <c r="A1732" s="430">
        <v>7.3922171000141E13</v>
      </c>
      <c r="B1732" s="218" t="s">
        <v>2576</v>
      </c>
    </row>
    <row r="1733">
      <c r="A1733" s="430">
        <v>1.851092000186E12</v>
      </c>
      <c r="B1733" s="218" t="s">
        <v>2577</v>
      </c>
    </row>
    <row r="1734">
      <c r="A1734" s="430">
        <v>8.5313971000144E13</v>
      </c>
      <c r="B1734" s="218" t="s">
        <v>2578</v>
      </c>
    </row>
    <row r="1735">
      <c r="A1735" s="430">
        <v>8.7167458000118E13</v>
      </c>
      <c r="B1735" s="218" t="s">
        <v>2579</v>
      </c>
    </row>
    <row r="1736">
      <c r="A1736" s="430">
        <v>8.986311200018E13</v>
      </c>
      <c r="B1736" s="218" t="s">
        <v>2580</v>
      </c>
    </row>
    <row r="1737">
      <c r="A1737" s="430">
        <v>8.2948977000108E13</v>
      </c>
      <c r="B1737" s="218" t="s">
        <v>2581</v>
      </c>
    </row>
    <row r="1738">
      <c r="A1738" s="430">
        <v>8.9456404000106E13</v>
      </c>
      <c r="B1738" s="218" t="s">
        <v>2582</v>
      </c>
    </row>
    <row r="1739">
      <c r="A1739" s="430">
        <v>8.9962294000146E13</v>
      </c>
      <c r="B1739" s="218" t="s">
        <v>2583</v>
      </c>
    </row>
    <row r="1740">
      <c r="A1740" s="430">
        <v>4.8085146000103E13</v>
      </c>
      <c r="B1740" s="218" t="s">
        <v>2584</v>
      </c>
    </row>
    <row r="1741">
      <c r="A1741" s="430">
        <v>8.4687003000135E13</v>
      </c>
      <c r="B1741" s="218" t="s">
        <v>2585</v>
      </c>
    </row>
    <row r="1742">
      <c r="A1742" s="430">
        <v>2.396329000149E12</v>
      </c>
      <c r="B1742" s="218" t="s">
        <v>2586</v>
      </c>
    </row>
    <row r="1743">
      <c r="A1743" s="430">
        <v>8.6432234000123E13</v>
      </c>
      <c r="B1743" s="218" t="s">
        <v>2587</v>
      </c>
    </row>
    <row r="1744">
      <c r="A1744" s="430">
        <v>8.3727875000117E13</v>
      </c>
      <c r="B1744" s="218" t="s">
        <v>2588</v>
      </c>
    </row>
    <row r="1745">
      <c r="A1745" s="430">
        <v>4.2153841000189E13</v>
      </c>
      <c r="B1745" s="218" t="s">
        <v>2589</v>
      </c>
    </row>
    <row r="1746">
      <c r="A1746" s="430">
        <v>8.52881730001E13</v>
      </c>
      <c r="B1746" s="218" t="s">
        <v>2590</v>
      </c>
    </row>
    <row r="1747">
      <c r="A1747" s="430">
        <v>8.0680358000141E13</v>
      </c>
      <c r="B1747" s="218" t="s">
        <v>2591</v>
      </c>
    </row>
    <row r="1748">
      <c r="A1748" s="430">
        <v>8.0683766000157E13</v>
      </c>
      <c r="B1748" s="218" t="s">
        <v>2592</v>
      </c>
    </row>
    <row r="1749">
      <c r="A1749" s="430">
        <v>8.0689862000102E13</v>
      </c>
      <c r="B1749" s="218" t="s">
        <v>2593</v>
      </c>
    </row>
    <row r="1750">
      <c r="A1750" s="430">
        <v>8.0693880000168E13</v>
      </c>
      <c r="B1750" s="218" t="s">
        <v>2594</v>
      </c>
    </row>
    <row r="1751">
      <c r="A1751" s="430">
        <v>8.069418500011E13</v>
      </c>
      <c r="B1751" s="218" t="s">
        <v>2595</v>
      </c>
    </row>
    <row r="1752">
      <c r="A1752" s="430">
        <v>8.0694243000106E13</v>
      </c>
      <c r="B1752" s="218" t="s">
        <v>2596</v>
      </c>
    </row>
    <row r="1753">
      <c r="A1753" s="430">
        <v>8.0696842000169E13</v>
      </c>
      <c r="B1753" s="218" t="s">
        <v>2597</v>
      </c>
    </row>
    <row r="1754">
      <c r="A1754" s="430">
        <v>8.0706195000129E13</v>
      </c>
      <c r="B1754" s="218" t="s">
        <v>2598</v>
      </c>
    </row>
    <row r="1755">
      <c r="A1755" s="430">
        <v>8.0706492000174E13</v>
      </c>
      <c r="B1755" s="218" t="s">
        <v>2599</v>
      </c>
    </row>
    <row r="1756">
      <c r="A1756" s="430">
        <v>8.07255750001E13</v>
      </c>
      <c r="B1756" s="218" t="s">
        <v>2600</v>
      </c>
    </row>
    <row r="1757">
      <c r="A1757" s="430">
        <v>8.0668676000197E13</v>
      </c>
      <c r="B1757" s="218" t="s">
        <v>2601</v>
      </c>
    </row>
    <row r="1758">
      <c r="A1758" s="430">
        <v>8.0675739000132E13</v>
      </c>
      <c r="B1758" s="218" t="s">
        <v>2602</v>
      </c>
    </row>
    <row r="1759">
      <c r="A1759" s="430">
        <v>8.0677966000105E13</v>
      </c>
      <c r="B1759" s="218" t="s">
        <v>2603</v>
      </c>
    </row>
    <row r="1760">
      <c r="A1760" s="430">
        <v>8.0728017000107E13</v>
      </c>
      <c r="B1760" s="218" t="s">
        <v>2604</v>
      </c>
    </row>
    <row r="1761">
      <c r="A1761" s="430">
        <v>8.097690500013E13</v>
      </c>
      <c r="B1761" s="218" t="s">
        <v>2605</v>
      </c>
    </row>
    <row r="1762">
      <c r="A1762" s="430">
        <v>8.0980139000188E13</v>
      </c>
      <c r="B1762" s="218" t="s">
        <v>2606</v>
      </c>
    </row>
    <row r="1763">
      <c r="A1763" s="430">
        <v>8.0980154000126E13</v>
      </c>
      <c r="B1763" s="218" t="s">
        <v>2607</v>
      </c>
    </row>
    <row r="1764">
      <c r="A1764" s="430">
        <v>8.0982572000152E13</v>
      </c>
      <c r="B1764" s="218" t="s">
        <v>2608</v>
      </c>
    </row>
    <row r="1765">
      <c r="A1765" s="430">
        <v>8.0983075000179E13</v>
      </c>
      <c r="B1765" s="218" t="s">
        <v>2609</v>
      </c>
    </row>
    <row r="1766">
      <c r="A1766" s="430">
        <v>8.0993611000117E13</v>
      </c>
      <c r="B1766" s="218" t="s">
        <v>2610</v>
      </c>
    </row>
    <row r="1767">
      <c r="A1767" s="430">
        <v>8.0994379000131E13</v>
      </c>
      <c r="B1767" s="218" t="s">
        <v>2611</v>
      </c>
    </row>
    <row r="1768">
      <c r="A1768" s="430">
        <v>8.0994536000109E13</v>
      </c>
      <c r="B1768" s="218" t="s">
        <v>2612</v>
      </c>
    </row>
    <row r="1769">
      <c r="A1769" s="430">
        <v>8.100216400015E13</v>
      </c>
      <c r="B1769" s="218" t="s">
        <v>2613</v>
      </c>
    </row>
    <row r="1770">
      <c r="A1770" s="430">
        <v>8.101321100016E13</v>
      </c>
      <c r="B1770" s="218" t="s">
        <v>2614</v>
      </c>
    </row>
    <row r="1771">
      <c r="A1771" s="430">
        <v>8.0728082000124E13</v>
      </c>
      <c r="B1771" s="218" t="s">
        <v>2615</v>
      </c>
    </row>
    <row r="1772">
      <c r="A1772" s="430">
        <v>8.0729833000127E13</v>
      </c>
      <c r="B1772" s="218" t="s">
        <v>2616</v>
      </c>
    </row>
    <row r="1773">
      <c r="A1773" s="430">
        <v>8.0730377000135E13</v>
      </c>
      <c r="B1773" s="218" t="s">
        <v>2617</v>
      </c>
    </row>
    <row r="1774">
      <c r="A1774" s="430">
        <v>8.0737612000109E13</v>
      </c>
      <c r="B1774" s="218" t="s">
        <v>2618</v>
      </c>
    </row>
    <row r="1775">
      <c r="A1775" s="430">
        <v>8.0757859000189E13</v>
      </c>
      <c r="B1775" s="218" t="s">
        <v>2619</v>
      </c>
    </row>
    <row r="1776">
      <c r="A1776" s="430">
        <v>8.0858053000187E13</v>
      </c>
      <c r="B1776" s="218" t="s">
        <v>2620</v>
      </c>
    </row>
    <row r="1777">
      <c r="A1777" s="430">
        <v>8.0861636000167E13</v>
      </c>
      <c r="B1777" s="218" t="s">
        <v>2621</v>
      </c>
    </row>
    <row r="1778">
      <c r="A1778" s="430">
        <v>8.0864636000167E13</v>
      </c>
      <c r="B1778" s="218" t="s">
        <v>2622</v>
      </c>
    </row>
    <row r="1779">
      <c r="A1779" s="430">
        <v>8.08660800001E13</v>
      </c>
      <c r="B1779" s="218" t="s">
        <v>2623</v>
      </c>
    </row>
    <row r="1780">
      <c r="A1780" s="430">
        <v>8.0934664000167E13</v>
      </c>
      <c r="B1780" s="218" t="s">
        <v>2624</v>
      </c>
    </row>
    <row r="1781">
      <c r="A1781" s="430">
        <v>8.0934672000103E13</v>
      </c>
      <c r="B1781" s="218" t="s">
        <v>2625</v>
      </c>
    </row>
    <row r="1782">
      <c r="A1782" s="430">
        <v>8.0935291000133E13</v>
      </c>
      <c r="B1782" s="218" t="s">
        <v>2626</v>
      </c>
    </row>
    <row r="1783">
      <c r="A1783" s="430">
        <v>8.09381940001E13</v>
      </c>
      <c r="B1783" s="218" t="s">
        <v>2627</v>
      </c>
    </row>
    <row r="1784">
      <c r="A1784" s="430">
        <v>8.0451628000142E13</v>
      </c>
      <c r="B1784" s="218" t="s">
        <v>2628</v>
      </c>
    </row>
    <row r="1785">
      <c r="A1785" s="430">
        <v>8.045179200015E13</v>
      </c>
      <c r="B1785" s="218" t="s">
        <v>2629</v>
      </c>
    </row>
    <row r="1786">
      <c r="A1786" s="430">
        <v>8.0452253000135E13</v>
      </c>
      <c r="B1786" s="218" t="s">
        <v>2630</v>
      </c>
    </row>
    <row r="1787">
      <c r="A1787" s="430">
        <v>8.0453756000125E13</v>
      </c>
      <c r="B1787" s="218" t="s">
        <v>2631</v>
      </c>
    </row>
    <row r="1788">
      <c r="A1788" s="430">
        <v>8.0455553000178E13</v>
      </c>
      <c r="B1788" s="218" t="s">
        <v>1872</v>
      </c>
    </row>
    <row r="1789">
      <c r="A1789" s="430">
        <v>8.0464282000117E13</v>
      </c>
      <c r="B1789" s="218" t="s">
        <v>2632</v>
      </c>
    </row>
    <row r="1790">
      <c r="A1790" s="430">
        <v>8.0466337000128E13</v>
      </c>
      <c r="B1790" s="218" t="s">
        <v>2633</v>
      </c>
    </row>
    <row r="1791">
      <c r="A1791" s="430">
        <v>8.047006500013E13</v>
      </c>
      <c r="B1791" s="218" t="s">
        <v>2634</v>
      </c>
    </row>
    <row r="1792">
      <c r="A1792" s="430">
        <v>8.3102475000116E13</v>
      </c>
      <c r="B1792" s="218" t="s">
        <v>2635</v>
      </c>
    </row>
    <row r="1793">
      <c r="A1793" s="430">
        <v>8.3102483000162E13</v>
      </c>
      <c r="B1793" s="218" t="s">
        <v>2636</v>
      </c>
    </row>
    <row r="1794">
      <c r="A1794" s="430">
        <v>8.2983826000182E13</v>
      </c>
      <c r="B1794" s="218" t="s">
        <v>2637</v>
      </c>
    </row>
    <row r="1795">
      <c r="A1795" s="430">
        <v>8.2995671000102E13</v>
      </c>
      <c r="B1795" s="218" t="s">
        <v>2638</v>
      </c>
    </row>
    <row r="1796">
      <c r="A1796" s="430">
        <v>8.3001057000132E13</v>
      </c>
      <c r="B1796" s="218" t="s">
        <v>2639</v>
      </c>
    </row>
    <row r="1797">
      <c r="A1797" s="430">
        <v>8.3014936000107E13</v>
      </c>
      <c r="B1797" s="218" t="s">
        <v>2640</v>
      </c>
    </row>
    <row r="1798">
      <c r="A1798" s="430">
        <v>8.301784800015E13</v>
      </c>
      <c r="B1798" s="218" t="s">
        <v>2641</v>
      </c>
    </row>
    <row r="1799">
      <c r="A1799" s="430">
        <v>8.3020420000167E13</v>
      </c>
      <c r="B1799" s="218" t="s">
        <v>2642</v>
      </c>
    </row>
    <row r="1800">
      <c r="A1800" s="430">
        <v>8.288576500011E13</v>
      </c>
      <c r="B1800" s="218" t="s">
        <v>2643</v>
      </c>
    </row>
    <row r="1801">
      <c r="A1801" s="430">
        <v>8.2889387000143E13</v>
      </c>
      <c r="B1801" s="218" t="s">
        <v>2644</v>
      </c>
    </row>
    <row r="1802">
      <c r="A1802" s="430">
        <v>8.2892282000143E13</v>
      </c>
      <c r="B1802" s="218" t="s">
        <v>2645</v>
      </c>
    </row>
    <row r="1803">
      <c r="A1803" s="430">
        <v>8.2896606000111E13</v>
      </c>
      <c r="B1803" s="218" t="s">
        <v>2646</v>
      </c>
    </row>
    <row r="1804">
      <c r="A1804" s="430">
        <v>8.289847900019E13</v>
      </c>
      <c r="B1804" s="218" t="s">
        <v>2647</v>
      </c>
    </row>
    <row r="1805">
      <c r="A1805" s="430">
        <v>8.2911249000113E13</v>
      </c>
      <c r="B1805" s="218" t="s">
        <v>2648</v>
      </c>
    </row>
    <row r="1806">
      <c r="A1806" s="430">
        <v>8.2913443000138E13</v>
      </c>
      <c r="B1806" s="218" t="s">
        <v>2649</v>
      </c>
    </row>
    <row r="1807">
      <c r="A1807" s="430">
        <v>8.2916818000113E13</v>
      </c>
      <c r="B1807" s="218" t="s">
        <v>2650</v>
      </c>
    </row>
    <row r="1808">
      <c r="A1808" s="430">
        <v>8.2917923000177E13</v>
      </c>
      <c r="B1808" s="218" t="s">
        <v>2651</v>
      </c>
    </row>
    <row r="1809">
      <c r="A1809" s="430">
        <v>8.2922071000106E13</v>
      </c>
      <c r="B1809" s="218" t="s">
        <v>2652</v>
      </c>
    </row>
    <row r="1810">
      <c r="A1810" s="430">
        <v>8.2922774000134E13</v>
      </c>
      <c r="B1810" s="218" t="s">
        <v>2653</v>
      </c>
    </row>
    <row r="1811">
      <c r="A1811" s="430">
        <v>8.2922774000215E13</v>
      </c>
      <c r="B1811" s="218" t="s">
        <v>2653</v>
      </c>
    </row>
    <row r="1812">
      <c r="A1812" s="430">
        <v>8.292402800018E13</v>
      </c>
      <c r="B1812" s="218" t="s">
        <v>2654</v>
      </c>
    </row>
    <row r="1813">
      <c r="A1813" s="430">
        <v>8.292704700016E13</v>
      </c>
      <c r="B1813" s="218" t="s">
        <v>2655</v>
      </c>
    </row>
    <row r="1814">
      <c r="A1814" s="430">
        <v>8.3469965000155E13</v>
      </c>
      <c r="B1814" s="218" t="s">
        <v>2656</v>
      </c>
    </row>
    <row r="1815">
      <c r="A1815" s="430">
        <v>8.3473322000185E13</v>
      </c>
      <c r="B1815" s="218" t="s">
        <v>2657</v>
      </c>
    </row>
    <row r="1816">
      <c r="A1816" s="430">
        <v>8.34739830001E13</v>
      </c>
      <c r="B1816" s="218" t="s">
        <v>2658</v>
      </c>
    </row>
    <row r="1817">
      <c r="A1817" s="430">
        <v>8.3108357000115E13</v>
      </c>
      <c r="B1817" s="218" t="s">
        <v>2659</v>
      </c>
    </row>
    <row r="1818">
      <c r="A1818" s="430">
        <v>8.3109470000115E13</v>
      </c>
      <c r="B1818" s="218" t="s">
        <v>2660</v>
      </c>
    </row>
    <row r="1819">
      <c r="A1819" s="430">
        <v>8.3120469000191E13</v>
      </c>
      <c r="B1819" s="218" t="s">
        <v>2661</v>
      </c>
    </row>
    <row r="1820">
      <c r="A1820" s="430">
        <v>8.3121079000136E13</v>
      </c>
      <c r="B1820" s="218" t="s">
        <v>2662</v>
      </c>
    </row>
    <row r="1821">
      <c r="A1821" s="430">
        <v>8.3121487000185E13</v>
      </c>
      <c r="B1821" s="218" t="s">
        <v>2663</v>
      </c>
    </row>
    <row r="1822">
      <c r="A1822" s="430">
        <v>8.3121640000187E13</v>
      </c>
      <c r="B1822" s="218" t="s">
        <v>2664</v>
      </c>
    </row>
    <row r="1823">
      <c r="A1823" s="430">
        <v>8.3122143000101E13</v>
      </c>
      <c r="B1823" s="218" t="s">
        <v>2665</v>
      </c>
    </row>
    <row r="1824">
      <c r="A1824" s="430">
        <v>8.3128504000119E13</v>
      </c>
      <c r="B1824" s="218" t="s">
        <v>2666</v>
      </c>
    </row>
    <row r="1825">
      <c r="A1825" s="430">
        <v>8.3133728000119E13</v>
      </c>
      <c r="B1825" s="218" t="s">
        <v>2667</v>
      </c>
    </row>
    <row r="1826">
      <c r="A1826" s="430">
        <v>8.3134031000162E13</v>
      </c>
      <c r="B1826" s="218" t="s">
        <v>2668</v>
      </c>
    </row>
    <row r="1827">
      <c r="A1827" s="430">
        <v>8.31378690001E13</v>
      </c>
      <c r="B1827" s="218" t="s">
        <v>2669</v>
      </c>
    </row>
    <row r="1828">
      <c r="A1828" s="430">
        <v>8.31027980001E13</v>
      </c>
      <c r="B1828" s="218" t="s">
        <v>2670</v>
      </c>
    </row>
    <row r="1829">
      <c r="A1829" s="430">
        <v>8.3106219000125E13</v>
      </c>
      <c r="B1829" s="218" t="s">
        <v>2671</v>
      </c>
    </row>
    <row r="1830">
      <c r="A1830" s="430">
        <v>8.3139282000157E13</v>
      </c>
      <c r="B1830" s="218" t="s">
        <v>2672</v>
      </c>
    </row>
    <row r="1831">
      <c r="A1831" s="430">
        <v>8.3159707000172E13</v>
      </c>
      <c r="B1831" s="218" t="s">
        <v>2673</v>
      </c>
    </row>
    <row r="1832">
      <c r="A1832" s="430">
        <v>8.316063000015E13</v>
      </c>
      <c r="B1832" s="218" t="s">
        <v>2674</v>
      </c>
    </row>
    <row r="1833">
      <c r="A1833" s="430">
        <v>8.3437814000115E13</v>
      </c>
      <c r="B1833" s="218" t="s">
        <v>2675</v>
      </c>
    </row>
    <row r="1834">
      <c r="A1834" s="430">
        <v>1.20930000189E11</v>
      </c>
      <c r="B1834" s="218" t="s">
        <v>2676</v>
      </c>
    </row>
    <row r="1835">
      <c r="A1835" s="430">
        <v>2.238399000179E12</v>
      </c>
      <c r="B1835" s="218" t="s">
        <v>2677</v>
      </c>
    </row>
    <row r="1836">
      <c r="A1836" s="430">
        <v>8.2170838000198E13</v>
      </c>
      <c r="B1836" s="218" t="s">
        <v>2678</v>
      </c>
    </row>
    <row r="1837">
      <c r="A1837" s="430">
        <v>2.14825700011E12</v>
      </c>
      <c r="B1837" s="218" t="s">
        <v>2679</v>
      </c>
    </row>
    <row r="1838">
      <c r="A1838" s="430">
        <v>8.5209989000109E13</v>
      </c>
      <c r="B1838" s="218" t="s">
        <v>2680</v>
      </c>
    </row>
    <row r="1839">
      <c r="A1839" s="430">
        <v>7.6867225000101E13</v>
      </c>
      <c r="B1839" s="218" t="s">
        <v>2681</v>
      </c>
    </row>
    <row r="1840">
      <c r="A1840" s="430">
        <v>8.3874495000105E13</v>
      </c>
      <c r="B1840" s="218" t="s">
        <v>2682</v>
      </c>
    </row>
    <row r="1841">
      <c r="A1841" s="430">
        <v>8.5329126000167E13</v>
      </c>
      <c r="B1841" s="218" t="s">
        <v>2683</v>
      </c>
    </row>
    <row r="1842">
      <c r="A1842" s="430">
        <v>2.788838000117E12</v>
      </c>
      <c r="B1842" s="218" t="s">
        <v>2684</v>
      </c>
    </row>
    <row r="1843">
      <c r="A1843" s="430">
        <v>7.7974525000152E13</v>
      </c>
      <c r="B1843" s="218" t="s">
        <v>2685</v>
      </c>
    </row>
    <row r="1844">
      <c r="A1844" s="430">
        <v>7.75795630001E13</v>
      </c>
      <c r="B1844" s="218" t="s">
        <v>2686</v>
      </c>
    </row>
    <row r="1845">
      <c r="A1845" s="430">
        <v>2.39295000153E11</v>
      </c>
      <c r="B1845" s="218" t="s">
        <v>2687</v>
      </c>
    </row>
    <row r="1846">
      <c r="A1846" s="430">
        <v>8.6365350000177E13</v>
      </c>
      <c r="B1846" s="218" t="s">
        <v>2688</v>
      </c>
    </row>
    <row r="1847">
      <c r="A1847" s="430">
        <v>8.64361000186E11</v>
      </c>
      <c r="B1847" s="218" t="s">
        <v>2689</v>
      </c>
    </row>
    <row r="1848">
      <c r="A1848" s="430">
        <v>2.0948100014E11</v>
      </c>
      <c r="B1848" s="218" t="s">
        <v>2690</v>
      </c>
    </row>
    <row r="1849">
      <c r="A1849" s="430">
        <v>8.14022000195E11</v>
      </c>
      <c r="B1849" s="218" t="s">
        <v>2691</v>
      </c>
    </row>
    <row r="1850">
      <c r="A1850" s="430">
        <v>8.1583791000121E13</v>
      </c>
      <c r="B1850" s="218" t="s">
        <v>2692</v>
      </c>
    </row>
    <row r="1851">
      <c r="A1851" s="430">
        <v>8.0414451000104E13</v>
      </c>
      <c r="B1851" s="218" t="s">
        <v>2693</v>
      </c>
    </row>
    <row r="1852">
      <c r="A1852" s="430">
        <v>3.3055146000193E13</v>
      </c>
      <c r="B1852" s="218" t="s">
        <v>2694</v>
      </c>
    </row>
    <row r="1853">
      <c r="A1853" s="430">
        <v>7.8653946000659E13</v>
      </c>
      <c r="B1853" s="218" t="s">
        <v>2695</v>
      </c>
    </row>
    <row r="1854">
      <c r="A1854" s="430">
        <v>2.9213386011136E13</v>
      </c>
      <c r="B1854" s="218" t="s">
        <v>1269</v>
      </c>
    </row>
    <row r="1855">
      <c r="A1855" s="430">
        <v>8.3841288000154E13</v>
      </c>
      <c r="B1855" s="218" t="s">
        <v>2696</v>
      </c>
    </row>
    <row r="1856">
      <c r="A1856" s="430">
        <v>1.898000001E11</v>
      </c>
      <c r="B1856" s="218" t="s">
        <v>2697</v>
      </c>
    </row>
    <row r="1857">
      <c r="A1857" s="430">
        <v>2.839153000152E12</v>
      </c>
      <c r="B1857" s="218" t="s">
        <v>2698</v>
      </c>
    </row>
    <row r="1858">
      <c r="A1858" s="430">
        <v>7.5418657000172E13</v>
      </c>
      <c r="B1858" s="218" t="s">
        <v>2699</v>
      </c>
    </row>
    <row r="1859">
      <c r="A1859" s="430">
        <v>2.74817000158E11</v>
      </c>
      <c r="B1859" s="218" t="s">
        <v>2700</v>
      </c>
    </row>
    <row r="1860">
      <c r="A1860" s="430">
        <v>8.2516949000103E13</v>
      </c>
      <c r="B1860" s="218" t="s">
        <v>2701</v>
      </c>
    </row>
    <row r="1861">
      <c r="A1861" s="430">
        <v>9.1479360000173E13</v>
      </c>
      <c r="B1861" s="218" t="s">
        <v>2702</v>
      </c>
    </row>
    <row r="1862">
      <c r="A1862" s="430">
        <v>8.643223400098E13</v>
      </c>
      <c r="B1862" s="218" t="s">
        <v>2587</v>
      </c>
    </row>
    <row r="1863">
      <c r="A1863" s="430">
        <v>5.5163042000135E13</v>
      </c>
      <c r="B1863" s="218" t="s">
        <v>2703</v>
      </c>
    </row>
    <row r="1864">
      <c r="A1864" s="430">
        <v>9.29449580004E13</v>
      </c>
      <c r="B1864" s="218" t="s">
        <v>2704</v>
      </c>
    </row>
    <row r="1865">
      <c r="A1865" s="430">
        <v>9.2981422000294E13</v>
      </c>
      <c r="B1865" s="218" t="s">
        <v>2705</v>
      </c>
    </row>
    <row r="1866">
      <c r="A1866" s="430">
        <v>9.3177731000198E13</v>
      </c>
      <c r="B1866" s="218" t="s">
        <v>2706</v>
      </c>
    </row>
    <row r="1867">
      <c r="A1867" s="430">
        <v>9.2147875000139E13</v>
      </c>
      <c r="B1867" s="218" t="s">
        <v>2707</v>
      </c>
    </row>
    <row r="1868">
      <c r="A1868" s="430">
        <v>9.0302332000113E13</v>
      </c>
      <c r="B1868" s="218" t="s">
        <v>2708</v>
      </c>
    </row>
    <row r="1869">
      <c r="A1869" s="430">
        <v>9.0731472000107E13</v>
      </c>
      <c r="B1869" s="218" t="s">
        <v>2709</v>
      </c>
    </row>
    <row r="1870">
      <c r="A1870" s="430">
        <v>9.088640900014E13</v>
      </c>
      <c r="B1870" s="218" t="s">
        <v>2710</v>
      </c>
    </row>
    <row r="1871">
      <c r="A1871" s="430">
        <v>9.0994880000151E13</v>
      </c>
      <c r="B1871" s="218" t="s">
        <v>2711</v>
      </c>
    </row>
    <row r="1872">
      <c r="A1872" s="430">
        <v>9.2231562000164E13</v>
      </c>
      <c r="B1872" s="218" t="s">
        <v>2712</v>
      </c>
    </row>
    <row r="1873">
      <c r="A1873" s="430">
        <v>9.2291954000119E13</v>
      </c>
      <c r="B1873" s="218" t="s">
        <v>2713</v>
      </c>
    </row>
    <row r="1874">
      <c r="A1874" s="430">
        <v>9.26686310001E13</v>
      </c>
      <c r="B1874" s="218" t="s">
        <v>2714</v>
      </c>
    </row>
    <row r="1875">
      <c r="A1875" s="430">
        <v>9.2679331000118E13</v>
      </c>
      <c r="B1875" s="218" t="s">
        <v>2715</v>
      </c>
    </row>
    <row r="1876">
      <c r="A1876" s="430">
        <v>9.268917300476E13</v>
      </c>
      <c r="B1876" s="218" t="s">
        <v>2716</v>
      </c>
    </row>
    <row r="1877">
      <c r="A1877" s="430">
        <v>9.2689272000169E13</v>
      </c>
      <c r="B1877" s="218" t="s">
        <v>2717</v>
      </c>
    </row>
    <row r="1878">
      <c r="A1878" s="430">
        <v>9.2693209001763E13</v>
      </c>
      <c r="B1878" s="218" t="s">
        <v>2718</v>
      </c>
    </row>
    <row r="1879">
      <c r="A1879" s="430">
        <v>9.2702174000114E13</v>
      </c>
      <c r="B1879" s="218" t="s">
        <v>2719</v>
      </c>
    </row>
    <row r="1880">
      <c r="A1880" s="430">
        <v>9.2718359000175E13</v>
      </c>
      <c r="B1880" s="218" t="s">
        <v>2720</v>
      </c>
    </row>
    <row r="1881">
      <c r="A1881" s="430">
        <v>9.2724053000173E13</v>
      </c>
      <c r="B1881" s="218" t="s">
        <v>2721</v>
      </c>
    </row>
    <row r="1882">
      <c r="A1882" s="430">
        <v>9.27240530019E13</v>
      </c>
      <c r="B1882" s="218" t="s">
        <v>2722</v>
      </c>
    </row>
    <row r="1883">
      <c r="A1883" s="430">
        <v>9.2744739000126E13</v>
      </c>
      <c r="B1883" s="218" t="s">
        <v>2723</v>
      </c>
    </row>
    <row r="1884">
      <c r="A1884" s="430">
        <v>9.2749639000192E13</v>
      </c>
      <c r="B1884" s="218" t="s">
        <v>1767</v>
      </c>
    </row>
    <row r="1885">
      <c r="A1885" s="430">
        <v>8.8209697000318E13</v>
      </c>
      <c r="B1885" s="218" t="s">
        <v>2724</v>
      </c>
    </row>
    <row r="1886">
      <c r="A1886" s="430">
        <v>8.8209861000125E13</v>
      </c>
      <c r="B1886" s="218" t="s">
        <v>2725</v>
      </c>
    </row>
    <row r="1887">
      <c r="A1887" s="430">
        <v>9.7407787000142E13</v>
      </c>
      <c r="B1887" s="218" t="s">
        <v>2726</v>
      </c>
    </row>
    <row r="1888">
      <c r="A1888" s="430">
        <v>9.7475073000171E13</v>
      </c>
      <c r="B1888" s="218" t="s">
        <v>2727</v>
      </c>
    </row>
    <row r="1889">
      <c r="A1889" s="430">
        <v>9.7486963000189E13</v>
      </c>
      <c r="B1889" s="218" t="s">
        <v>2728</v>
      </c>
    </row>
    <row r="1890">
      <c r="A1890" s="430">
        <v>9.749459500011E13</v>
      </c>
      <c r="B1890" s="218" t="s">
        <v>2729</v>
      </c>
    </row>
    <row r="1891">
      <c r="A1891" s="430">
        <v>7.5290973000101E13</v>
      </c>
      <c r="B1891" s="218" t="s">
        <v>2730</v>
      </c>
    </row>
    <row r="1892">
      <c r="A1892" s="430">
        <v>8.5388130000104E13</v>
      </c>
      <c r="B1892" s="218" t="s">
        <v>2731</v>
      </c>
    </row>
    <row r="1893">
      <c r="A1893" s="430">
        <v>2.816751000106E12</v>
      </c>
      <c r="B1893" s="218" t="s">
        <v>2732</v>
      </c>
    </row>
    <row r="1894">
      <c r="A1894" s="430">
        <v>1.738452000138E12</v>
      </c>
      <c r="B1894" s="218" t="s">
        <v>2733</v>
      </c>
    </row>
    <row r="1895">
      <c r="A1895" s="430">
        <v>8.2799727000145E13</v>
      </c>
      <c r="B1895" s="218" t="s">
        <v>2734</v>
      </c>
    </row>
    <row r="1896">
      <c r="A1896" s="430">
        <v>5.302274000159E12</v>
      </c>
      <c r="B1896" s="218" t="s">
        <v>2735</v>
      </c>
    </row>
    <row r="1897">
      <c r="A1897" s="430">
        <v>3.16548900014E12</v>
      </c>
      <c r="B1897" s="218" t="s">
        <v>2736</v>
      </c>
    </row>
    <row r="1898">
      <c r="A1898" s="430">
        <v>7.6361492000102E13</v>
      </c>
      <c r="B1898" s="218" t="s">
        <v>2737</v>
      </c>
    </row>
    <row r="1899">
      <c r="A1899" s="430">
        <v>4.130482000155E12</v>
      </c>
      <c r="B1899" s="218" t="s">
        <v>2738</v>
      </c>
    </row>
    <row r="1900">
      <c r="A1900" s="430">
        <v>5.032658000107E12</v>
      </c>
      <c r="B1900" s="218" t="s">
        <v>2739</v>
      </c>
    </row>
    <row r="1901">
      <c r="A1901" s="430">
        <v>3.189078300015E13</v>
      </c>
      <c r="B1901" s="218" t="s">
        <v>2740</v>
      </c>
    </row>
    <row r="1902">
      <c r="A1902" s="430">
        <v>4.8250765000106E13</v>
      </c>
      <c r="B1902" s="218" t="s">
        <v>2287</v>
      </c>
    </row>
    <row r="1903">
      <c r="A1903" s="430">
        <v>8.1834061000156E13</v>
      </c>
      <c r="B1903" s="218" t="s">
        <v>2741</v>
      </c>
    </row>
    <row r="1904">
      <c r="A1904" s="430">
        <v>3.3292103000121E13</v>
      </c>
      <c r="B1904" s="218" t="s">
        <v>2742</v>
      </c>
    </row>
    <row r="1905">
      <c r="A1905" s="430">
        <v>5.920362000114E12</v>
      </c>
      <c r="B1905" s="218" t="s">
        <v>2743</v>
      </c>
    </row>
    <row r="1906">
      <c r="A1906" s="430">
        <v>7.199886000193E12</v>
      </c>
      <c r="B1906" s="218" t="s">
        <v>2744</v>
      </c>
    </row>
    <row r="1907">
      <c r="A1907" s="430">
        <v>5.3458022000166E13</v>
      </c>
      <c r="B1907" s="218" t="s">
        <v>2745</v>
      </c>
    </row>
    <row r="1908">
      <c r="A1908" s="430">
        <v>4.151335000161E12</v>
      </c>
      <c r="B1908" s="218" t="s">
        <v>2746</v>
      </c>
    </row>
    <row r="1909">
      <c r="A1909" s="430">
        <v>7.5417121000132E13</v>
      </c>
      <c r="B1909" s="218" t="s">
        <v>2747</v>
      </c>
    </row>
    <row r="1910">
      <c r="A1910" s="430">
        <v>6.0815966000109E13</v>
      </c>
      <c r="B1910" s="218" t="s">
        <v>2748</v>
      </c>
    </row>
    <row r="1911">
      <c r="A1911" s="430">
        <v>3.435858000177E12</v>
      </c>
      <c r="B1911" s="218" t="s">
        <v>2749</v>
      </c>
    </row>
    <row r="1912">
      <c r="A1912" s="430">
        <v>6.01760900015E12</v>
      </c>
      <c r="B1912" s="218" t="s">
        <v>2750</v>
      </c>
    </row>
    <row r="1913">
      <c r="A1913" s="430">
        <v>7.046913000198E12</v>
      </c>
      <c r="B1913" s="218" t="s">
        <v>2751</v>
      </c>
    </row>
    <row r="1914">
      <c r="A1914" s="430">
        <v>2.985342000133E12</v>
      </c>
      <c r="B1914" s="218" t="s">
        <v>2752</v>
      </c>
    </row>
    <row r="1915">
      <c r="A1915" s="430">
        <v>1.922380000184E12</v>
      </c>
      <c r="B1915" s="218" t="s">
        <v>2753</v>
      </c>
    </row>
    <row r="1916">
      <c r="A1916" s="430">
        <v>9.3531366000178E13</v>
      </c>
      <c r="B1916" s="218" t="s">
        <v>2754</v>
      </c>
    </row>
    <row r="1917">
      <c r="A1917" s="430">
        <v>9.3567345000102E13</v>
      </c>
      <c r="B1917" s="218" t="s">
        <v>2755</v>
      </c>
    </row>
    <row r="1918">
      <c r="A1918" s="430">
        <v>3.893926000141E12</v>
      </c>
      <c r="B1918" s="218" t="s">
        <v>2756</v>
      </c>
    </row>
    <row r="1919">
      <c r="A1919" s="430">
        <v>7.4527748000183E13</v>
      </c>
      <c r="B1919" s="218" t="s">
        <v>2757</v>
      </c>
    </row>
    <row r="1920">
      <c r="A1920" s="430">
        <v>1.354395000193E12</v>
      </c>
      <c r="B1920" s="218" t="s">
        <v>2758</v>
      </c>
    </row>
    <row r="1921">
      <c r="A1921" s="430">
        <v>7.3454464000141E13</v>
      </c>
      <c r="B1921" s="218" t="s">
        <v>2759</v>
      </c>
    </row>
    <row r="1922">
      <c r="A1922" s="430">
        <v>2.58708000147E11</v>
      </c>
      <c r="B1922" s="218" t="s">
        <v>2760</v>
      </c>
    </row>
    <row r="1923">
      <c r="A1923" s="430">
        <v>3.101978000138E12</v>
      </c>
      <c r="B1923" s="218" t="s">
        <v>2761</v>
      </c>
    </row>
    <row r="1924">
      <c r="A1924" s="430">
        <v>8.6858099000182E13</v>
      </c>
      <c r="B1924" s="218" t="s">
        <v>2762</v>
      </c>
    </row>
    <row r="1925">
      <c r="A1925" s="430">
        <v>2.12262800078E12</v>
      </c>
      <c r="B1925" s="218" t="s">
        <v>2206</v>
      </c>
    </row>
    <row r="1926">
      <c r="A1926" s="430">
        <v>7.9426334000181E13</v>
      </c>
      <c r="B1926" s="218" t="s">
        <v>2763</v>
      </c>
    </row>
    <row r="1927">
      <c r="A1927" s="430">
        <v>2.0258232000151E13</v>
      </c>
      <c r="B1927" s="218" t="s">
        <v>2764</v>
      </c>
    </row>
    <row r="1928">
      <c r="A1928" s="430">
        <v>8.0100704000175E13</v>
      </c>
      <c r="B1928" s="218" t="s">
        <v>2765</v>
      </c>
    </row>
    <row r="1929">
      <c r="A1929" s="430">
        <v>3.314516000107E12</v>
      </c>
      <c r="B1929" s="218" t="s">
        <v>2766</v>
      </c>
    </row>
    <row r="1930">
      <c r="A1930" s="430">
        <v>2.883377000161E12</v>
      </c>
      <c r="B1930" s="218" t="s">
        <v>2767</v>
      </c>
    </row>
    <row r="1931">
      <c r="A1931" s="430">
        <v>9.1828244000112E13</v>
      </c>
      <c r="B1931" s="218" t="s">
        <v>2768</v>
      </c>
    </row>
    <row r="1932">
      <c r="A1932" s="430">
        <v>8.1076234000114E13</v>
      </c>
      <c r="B1932" s="218" t="s">
        <v>2769</v>
      </c>
    </row>
    <row r="1933">
      <c r="A1933" s="430">
        <v>1.256488000266E12</v>
      </c>
      <c r="B1933" s="218" t="s">
        <v>2770</v>
      </c>
    </row>
    <row r="1934">
      <c r="A1934" s="430">
        <v>4.441528000157E12</v>
      </c>
      <c r="B1934" s="218" t="s">
        <v>2771</v>
      </c>
    </row>
    <row r="1935">
      <c r="A1935" s="430">
        <v>3.774819001419E12</v>
      </c>
      <c r="B1935" s="218" t="s">
        <v>2772</v>
      </c>
    </row>
    <row r="1936">
      <c r="A1936" s="430">
        <v>8.2874819000142E13</v>
      </c>
      <c r="B1936" s="218" t="s">
        <v>2773</v>
      </c>
    </row>
    <row r="1937">
      <c r="A1937" s="430">
        <v>7.2332687000173E13</v>
      </c>
      <c r="B1937" s="218" t="s">
        <v>2774</v>
      </c>
    </row>
    <row r="1938">
      <c r="A1938" s="430">
        <v>6.70863000176E11</v>
      </c>
      <c r="B1938" s="218" t="s">
        <v>2775</v>
      </c>
    </row>
    <row r="1939">
      <c r="A1939" s="430">
        <v>2.937557000189E12</v>
      </c>
      <c r="B1939" s="218" t="s">
        <v>2776</v>
      </c>
    </row>
    <row r="1940">
      <c r="A1940" s="430">
        <v>9.2097997000168E13</v>
      </c>
      <c r="B1940" s="218" t="s">
        <v>2777</v>
      </c>
    </row>
    <row r="1941">
      <c r="A1941" s="430">
        <v>4.891502900012E13</v>
      </c>
      <c r="B1941" s="218" t="s">
        <v>2778</v>
      </c>
    </row>
    <row r="1942">
      <c r="A1942" s="430">
        <v>9.5870069000263E13</v>
      </c>
      <c r="B1942" s="218" t="s">
        <v>2779</v>
      </c>
    </row>
    <row r="1943">
      <c r="A1943" s="430">
        <v>3.2641410001E12</v>
      </c>
      <c r="B1943" s="218" t="s">
        <v>2780</v>
      </c>
    </row>
    <row r="1944">
      <c r="A1944" s="430">
        <v>3.305450300028E13</v>
      </c>
      <c r="B1944" s="218" t="s">
        <v>2781</v>
      </c>
    </row>
    <row r="1945">
      <c r="A1945" s="430">
        <v>2.797782000167E12</v>
      </c>
      <c r="B1945" s="218" t="s">
        <v>2782</v>
      </c>
    </row>
    <row r="1946">
      <c r="A1946" s="430">
        <v>7.3922916000172E13</v>
      </c>
      <c r="B1946" s="218" t="s">
        <v>2783</v>
      </c>
    </row>
    <row r="1947">
      <c r="A1947" s="430">
        <v>7.8381613000537E13</v>
      </c>
      <c r="B1947" s="218" t="s">
        <v>2784</v>
      </c>
    </row>
    <row r="1948">
      <c r="A1948" s="430">
        <v>1.8055000013E11</v>
      </c>
      <c r="B1948" s="218" t="s">
        <v>2785</v>
      </c>
    </row>
    <row r="1949">
      <c r="A1949" s="430">
        <v>2.094145000205E12</v>
      </c>
      <c r="B1949" s="218" t="s">
        <v>2786</v>
      </c>
    </row>
    <row r="1950">
      <c r="A1950" s="430">
        <v>1.40370000124E11</v>
      </c>
      <c r="B1950" s="218" t="s">
        <v>2787</v>
      </c>
    </row>
    <row r="1951">
      <c r="A1951" s="430">
        <v>1.4548900019E11</v>
      </c>
      <c r="B1951" s="218" t="s">
        <v>2788</v>
      </c>
    </row>
    <row r="1952">
      <c r="A1952" s="430">
        <v>1.48365000168E11</v>
      </c>
      <c r="B1952" s="218" t="s">
        <v>2789</v>
      </c>
    </row>
    <row r="1953">
      <c r="A1953" s="430">
        <v>1.58191000114E11</v>
      </c>
      <c r="B1953" s="218" t="s">
        <v>2790</v>
      </c>
    </row>
    <row r="1954">
      <c r="A1954" s="430">
        <v>1.73127000102E11</v>
      </c>
      <c r="B1954" s="218" t="s">
        <v>2791</v>
      </c>
    </row>
    <row r="1955">
      <c r="A1955" s="430">
        <v>1.8313300014E11</v>
      </c>
      <c r="B1955" s="218" t="s">
        <v>2792</v>
      </c>
    </row>
    <row r="1956">
      <c r="A1956" s="430">
        <v>1.98488000103E11</v>
      </c>
      <c r="B1956" s="218" t="s">
        <v>2793</v>
      </c>
    </row>
    <row r="1957">
      <c r="A1957" s="430">
        <v>2.00232000193E11</v>
      </c>
      <c r="B1957" s="218" t="s">
        <v>2794</v>
      </c>
    </row>
    <row r="1958">
      <c r="A1958" s="430">
        <v>2.01532000197E11</v>
      </c>
      <c r="B1958" s="218" t="s">
        <v>2795</v>
      </c>
    </row>
    <row r="1959">
      <c r="A1959" s="430">
        <v>2.12347000106E11</v>
      </c>
      <c r="B1959" s="218" t="s">
        <v>2796</v>
      </c>
    </row>
    <row r="1960">
      <c r="A1960" s="430">
        <v>2.14079000153E11</v>
      </c>
      <c r="B1960" s="218" t="s">
        <v>2797</v>
      </c>
    </row>
    <row r="1961">
      <c r="A1961" s="430">
        <v>2.41470000147E11</v>
      </c>
      <c r="B1961" s="218" t="s">
        <v>2798</v>
      </c>
    </row>
    <row r="1962">
      <c r="A1962" s="430">
        <v>2.45783000173E11</v>
      </c>
      <c r="B1962" s="218" t="s">
        <v>2799</v>
      </c>
    </row>
    <row r="1963">
      <c r="A1963" s="430">
        <v>2.47441000192E11</v>
      </c>
      <c r="B1963" s="218" t="s">
        <v>2800</v>
      </c>
    </row>
    <row r="1964">
      <c r="A1964" s="430">
        <v>2.67908000166E11</v>
      </c>
      <c r="B1964" s="218" t="s">
        <v>2801</v>
      </c>
    </row>
    <row r="1965">
      <c r="A1965" s="430">
        <v>2.74740000116E11</v>
      </c>
      <c r="B1965" s="218" t="s">
        <v>2802</v>
      </c>
    </row>
    <row r="1966">
      <c r="A1966" s="430">
        <v>9.189800015E10</v>
      </c>
      <c r="B1966" s="218" t="s">
        <v>2803</v>
      </c>
    </row>
    <row r="1967">
      <c r="A1967" s="430">
        <v>9.404000014E10</v>
      </c>
      <c r="B1967" s="218" t="s">
        <v>2804</v>
      </c>
    </row>
    <row r="1968">
      <c r="A1968" s="430">
        <v>4.980709000151E12</v>
      </c>
      <c r="B1968" s="218" t="s">
        <v>2805</v>
      </c>
    </row>
    <row r="1969">
      <c r="A1969" s="430">
        <v>5.4484753000149E13</v>
      </c>
      <c r="B1969" s="218" t="s">
        <v>2806</v>
      </c>
    </row>
    <row r="1970">
      <c r="A1970" s="430">
        <v>7.23327940001E13</v>
      </c>
      <c r="B1970" s="218" t="s">
        <v>2807</v>
      </c>
    </row>
    <row r="1971">
      <c r="A1971" s="430">
        <v>5.0668722000197E13</v>
      </c>
      <c r="B1971" s="218" t="s">
        <v>2808</v>
      </c>
    </row>
    <row r="1972">
      <c r="A1972" s="430">
        <v>5.0668722001916E13</v>
      </c>
      <c r="B1972" s="218" t="s">
        <v>2808</v>
      </c>
    </row>
    <row r="1973">
      <c r="A1973" s="430">
        <v>2.120911000188E12</v>
      </c>
      <c r="B1973" s="218" t="s">
        <v>2809</v>
      </c>
    </row>
    <row r="1974">
      <c r="A1974" s="430">
        <v>4.196935000227E12</v>
      </c>
      <c r="B1974" s="218" t="s">
        <v>2810</v>
      </c>
    </row>
    <row r="1975">
      <c r="A1975" s="430">
        <v>2.844437000137E12</v>
      </c>
      <c r="B1975" s="218" t="s">
        <v>2811</v>
      </c>
    </row>
    <row r="1976">
      <c r="A1976" s="430">
        <v>2.279276000186E12</v>
      </c>
      <c r="B1976" s="218" t="s">
        <v>2812</v>
      </c>
    </row>
    <row r="1977">
      <c r="A1977" s="430">
        <v>6.8028232000191E13</v>
      </c>
      <c r="B1977" s="218" t="s">
        <v>2813</v>
      </c>
    </row>
    <row r="1978">
      <c r="A1978" s="430">
        <v>9.31405640001E13</v>
      </c>
      <c r="B1978" s="218" t="s">
        <v>2814</v>
      </c>
    </row>
    <row r="1979">
      <c r="A1979" s="430">
        <v>8.1521668000186E13</v>
      </c>
      <c r="B1979" s="218" t="s">
        <v>2815</v>
      </c>
    </row>
    <row r="1980">
      <c r="A1980" s="430">
        <v>8.1355778000115E13</v>
      </c>
      <c r="B1980" s="218" t="s">
        <v>2816</v>
      </c>
    </row>
    <row r="1981">
      <c r="A1981" s="430">
        <v>4.5987005000198E13</v>
      </c>
      <c r="B1981" s="218" t="s">
        <v>2817</v>
      </c>
    </row>
    <row r="1982">
      <c r="A1982" s="430">
        <v>7.392375700012E13</v>
      </c>
      <c r="B1982" s="218" t="s">
        <v>2818</v>
      </c>
    </row>
    <row r="1983">
      <c r="A1983" s="430">
        <v>6.113048000192E12</v>
      </c>
      <c r="B1983" s="218" t="s">
        <v>2819</v>
      </c>
    </row>
    <row r="1984">
      <c r="A1984" s="430">
        <v>5.15048200018E12</v>
      </c>
      <c r="B1984" s="218" t="s">
        <v>2820</v>
      </c>
    </row>
    <row r="1985">
      <c r="A1985" s="430">
        <v>2.997871000157E12</v>
      </c>
      <c r="B1985" s="218" t="s">
        <v>2821</v>
      </c>
    </row>
    <row r="1986">
      <c r="A1986" s="430">
        <v>3.230856000141E12</v>
      </c>
      <c r="B1986" s="218" t="s">
        <v>2822</v>
      </c>
    </row>
    <row r="1987">
      <c r="A1987" s="430">
        <v>4.443102000132E12</v>
      </c>
      <c r="B1987" s="218" t="s">
        <v>2823</v>
      </c>
    </row>
    <row r="1988">
      <c r="A1988" s="430">
        <v>7.598481000128E12</v>
      </c>
      <c r="B1988" s="218" t="s">
        <v>2824</v>
      </c>
    </row>
    <row r="1989">
      <c r="A1989" s="430">
        <v>3.3166158000195E13</v>
      </c>
      <c r="B1989" s="218" t="s">
        <v>2825</v>
      </c>
    </row>
    <row r="1990">
      <c r="A1990" s="430">
        <v>8.4592369000554E13</v>
      </c>
      <c r="B1990" s="218" t="s">
        <v>2826</v>
      </c>
    </row>
    <row r="1991">
      <c r="A1991" s="430">
        <v>1.787967000128E12</v>
      </c>
      <c r="B1991" s="218" t="s">
        <v>2827</v>
      </c>
    </row>
    <row r="1992">
      <c r="A1992" s="430">
        <v>8.328558500016E13</v>
      </c>
      <c r="B1992" s="218" t="s">
        <v>2828</v>
      </c>
    </row>
    <row r="1993">
      <c r="A1993" s="430">
        <v>7.8541547000191E13</v>
      </c>
      <c r="B1993" s="218" t="s">
        <v>2829</v>
      </c>
    </row>
    <row r="1994">
      <c r="A1994" s="430">
        <v>3.866011000147E12</v>
      </c>
      <c r="B1994" s="218" t="s">
        <v>2830</v>
      </c>
    </row>
    <row r="1995">
      <c r="A1995" s="430">
        <v>5.66692500019E12</v>
      </c>
      <c r="B1995" s="218" t="s">
        <v>2831</v>
      </c>
    </row>
    <row r="1996">
      <c r="A1996" s="430">
        <v>9.4995693000143E13</v>
      </c>
      <c r="B1996" s="218" t="s">
        <v>2832</v>
      </c>
    </row>
    <row r="1997">
      <c r="A1997" s="430">
        <v>2.177977000104E12</v>
      </c>
      <c r="B1997" s="218" t="s">
        <v>2833</v>
      </c>
    </row>
    <row r="1998">
      <c r="A1998" s="430">
        <v>7.3232449000159E13</v>
      </c>
      <c r="B1998" s="218" t="s">
        <v>2834</v>
      </c>
    </row>
    <row r="1999">
      <c r="A1999" s="430">
        <v>6.2004395000158E13</v>
      </c>
      <c r="B1999" s="218" t="s">
        <v>2835</v>
      </c>
    </row>
    <row r="2000">
      <c r="A2000" s="430">
        <v>9.5433397000111E13</v>
      </c>
      <c r="B2000" s="218" t="s">
        <v>2836</v>
      </c>
    </row>
    <row r="2001">
      <c r="A2001" s="430">
        <v>9.58375000169E11</v>
      </c>
      <c r="B2001" s="218" t="s">
        <v>2837</v>
      </c>
    </row>
    <row r="2002">
      <c r="A2002" s="430">
        <v>7.6002179000188E13</v>
      </c>
      <c r="B2002" s="218" t="s">
        <v>2838</v>
      </c>
    </row>
    <row r="2003">
      <c r="A2003" s="430">
        <v>8.5349595000148E13</v>
      </c>
      <c r="B2003" s="218" t="s">
        <v>2839</v>
      </c>
    </row>
    <row r="2004">
      <c r="A2004" s="430">
        <v>7.452760000189E12</v>
      </c>
      <c r="B2004" s="218" t="s">
        <v>2840</v>
      </c>
    </row>
    <row r="2005">
      <c r="A2005" s="430">
        <v>7.507089000126E12</v>
      </c>
      <c r="B2005" s="218" t="s">
        <v>2841</v>
      </c>
    </row>
    <row r="2006">
      <c r="A2006" s="430">
        <v>4.882159000138E12</v>
      </c>
      <c r="B2006" s="218" t="s">
        <v>2842</v>
      </c>
    </row>
    <row r="2007">
      <c r="A2007" s="430">
        <v>5.8362674000116E13</v>
      </c>
      <c r="B2007" s="218" t="s">
        <v>2843</v>
      </c>
    </row>
    <row r="2008">
      <c r="A2008" s="430">
        <v>8.1485450000113E13</v>
      </c>
      <c r="B2008" s="218" t="s">
        <v>2844</v>
      </c>
    </row>
    <row r="2009">
      <c r="A2009" s="430">
        <v>4.624123000154E12</v>
      </c>
      <c r="B2009" s="218" t="s">
        <v>2845</v>
      </c>
    </row>
    <row r="2010">
      <c r="A2010" s="430">
        <v>3.091878000178E12</v>
      </c>
      <c r="B2010" s="218" t="s">
        <v>2846</v>
      </c>
    </row>
    <row r="2011">
      <c r="A2011" s="430">
        <v>6.926016000106E12</v>
      </c>
      <c r="B2011" s="218" t="s">
        <v>2847</v>
      </c>
    </row>
    <row r="2012">
      <c r="A2012" s="430">
        <v>7.254850600014E13</v>
      </c>
      <c r="B2012" s="218" t="s">
        <v>2848</v>
      </c>
    </row>
    <row r="2013">
      <c r="A2013" s="430">
        <v>7.1104012000104E13</v>
      </c>
      <c r="B2013" s="218" t="s">
        <v>2849</v>
      </c>
    </row>
    <row r="2014">
      <c r="A2014" s="430">
        <v>7.2098460000105E13</v>
      </c>
      <c r="B2014" s="218" t="s">
        <v>2850</v>
      </c>
    </row>
    <row r="2015">
      <c r="A2015" s="430">
        <v>7.2111263000189E13</v>
      </c>
      <c r="B2015" s="218" t="s">
        <v>2851</v>
      </c>
    </row>
    <row r="2016">
      <c r="A2016" s="430">
        <v>7.2115025000141E13</v>
      </c>
      <c r="B2016" s="218" t="s">
        <v>2852</v>
      </c>
    </row>
    <row r="2017">
      <c r="A2017" s="430">
        <v>7.2135288000112E13</v>
      </c>
      <c r="B2017" s="218" t="s">
        <v>2853</v>
      </c>
    </row>
    <row r="2018">
      <c r="A2018" s="430">
        <v>7.5492991000257E13</v>
      </c>
      <c r="B2018" s="218" t="s">
        <v>2854</v>
      </c>
    </row>
    <row r="2019">
      <c r="A2019" s="430">
        <v>7.5495523000155E13</v>
      </c>
      <c r="B2019" s="218" t="s">
        <v>2855</v>
      </c>
    </row>
    <row r="2020">
      <c r="A2020" s="430">
        <v>7.5502120000196E13</v>
      </c>
      <c r="B2020" s="218" t="s">
        <v>2856</v>
      </c>
    </row>
    <row r="2021">
      <c r="A2021" s="430">
        <v>7.5279794000335E13</v>
      </c>
      <c r="B2021" s="218" t="s">
        <v>2857</v>
      </c>
    </row>
    <row r="2022">
      <c r="A2022" s="430">
        <v>7.5296343000144E13</v>
      </c>
      <c r="B2022" s="218" t="s">
        <v>2858</v>
      </c>
    </row>
    <row r="2023">
      <c r="A2023" s="430">
        <v>7.530224000014E13</v>
      </c>
      <c r="B2023" s="218" t="s">
        <v>2859</v>
      </c>
    </row>
    <row r="2024">
      <c r="A2024" s="430">
        <v>7.5302745000104E13</v>
      </c>
      <c r="B2024" s="218" t="s">
        <v>2860</v>
      </c>
    </row>
    <row r="2025">
      <c r="A2025" s="430">
        <v>7.5331579000174E13</v>
      </c>
      <c r="B2025" s="218" t="s">
        <v>2861</v>
      </c>
    </row>
    <row r="2026">
      <c r="A2026" s="430">
        <v>7.5336834000171E13</v>
      </c>
      <c r="B2026" s="218" t="s">
        <v>2862</v>
      </c>
    </row>
    <row r="2027">
      <c r="A2027" s="430">
        <v>7.5350058000164E13</v>
      </c>
      <c r="B2027" s="218" t="s">
        <v>2863</v>
      </c>
    </row>
    <row r="2028">
      <c r="A2028" s="430">
        <v>7.5362160000503E13</v>
      </c>
      <c r="B2028" s="218" t="s">
        <v>2864</v>
      </c>
    </row>
    <row r="2029">
      <c r="A2029" s="430">
        <v>7.5362160000937E13</v>
      </c>
      <c r="B2029" s="218" t="s">
        <v>2864</v>
      </c>
    </row>
    <row r="2030">
      <c r="A2030" s="430">
        <v>7.5365478000114E13</v>
      </c>
      <c r="B2030" s="218" t="s">
        <v>2865</v>
      </c>
    </row>
    <row r="2031">
      <c r="A2031" s="430">
        <v>7.5369595000156E13</v>
      </c>
      <c r="B2031" s="218" t="s">
        <v>2866</v>
      </c>
    </row>
    <row r="2032">
      <c r="A2032" s="430">
        <v>7.5396085000178E13</v>
      </c>
      <c r="B2032" s="218" t="s">
        <v>2867</v>
      </c>
    </row>
    <row r="2033">
      <c r="A2033" s="430">
        <v>7.539665500012E13</v>
      </c>
      <c r="B2033" s="218" t="s">
        <v>2868</v>
      </c>
    </row>
    <row r="2034">
      <c r="A2034" s="430">
        <v>7.776473600016E13</v>
      </c>
      <c r="B2034" s="218" t="s">
        <v>2869</v>
      </c>
    </row>
    <row r="2035">
      <c r="A2035" s="430">
        <v>5.128653000174E12</v>
      </c>
      <c r="B2035" s="218" t="s">
        <v>2870</v>
      </c>
    </row>
    <row r="2036">
      <c r="A2036" s="430">
        <v>9.09950000133E11</v>
      </c>
      <c r="B2036" s="218" t="s">
        <v>2871</v>
      </c>
    </row>
    <row r="2037">
      <c r="A2037" s="430">
        <v>9.0148016000139E13</v>
      </c>
      <c r="B2037" s="218" t="s">
        <v>2872</v>
      </c>
    </row>
    <row r="2038">
      <c r="A2038" s="430">
        <v>2.6989715002903E13</v>
      </c>
      <c r="B2038" s="218" t="s">
        <v>2873</v>
      </c>
    </row>
    <row r="2039">
      <c r="A2039" s="430">
        <v>3.456766000173E12</v>
      </c>
      <c r="B2039" s="218" t="s">
        <v>2874</v>
      </c>
    </row>
    <row r="2040">
      <c r="A2040" s="430">
        <v>4.92538100017E12</v>
      </c>
      <c r="B2040" s="218" t="s">
        <v>2875</v>
      </c>
    </row>
    <row r="2041">
      <c r="A2041" s="430">
        <v>4.554202000136E12</v>
      </c>
      <c r="B2041" s="218" t="s">
        <v>2876</v>
      </c>
    </row>
    <row r="2042">
      <c r="A2042" s="430">
        <v>8.173674600016E13</v>
      </c>
      <c r="B2042" s="218" t="s">
        <v>2877</v>
      </c>
    </row>
    <row r="2043">
      <c r="A2043" s="430">
        <v>7.1639620001E12</v>
      </c>
      <c r="B2043" s="218" t="s">
        <v>2878</v>
      </c>
    </row>
    <row r="2044">
      <c r="A2044" s="430">
        <v>1.045397000109E12</v>
      </c>
      <c r="B2044" s="218" t="s">
        <v>2879</v>
      </c>
    </row>
    <row r="2045">
      <c r="A2045" s="430">
        <v>4.7354400017E11</v>
      </c>
      <c r="B2045" s="218" t="s">
        <v>2880</v>
      </c>
    </row>
    <row r="2046">
      <c r="A2046" s="430">
        <v>7.233019000127E12</v>
      </c>
      <c r="B2046" s="218" t="s">
        <v>2881</v>
      </c>
    </row>
    <row r="2047">
      <c r="A2047" s="430">
        <v>1.035814000124E12</v>
      </c>
      <c r="B2047" s="218" t="s">
        <v>2882</v>
      </c>
    </row>
    <row r="2048">
      <c r="A2048" s="430">
        <v>6.101250000102E12</v>
      </c>
      <c r="B2048" s="218" t="s">
        <v>2883</v>
      </c>
    </row>
    <row r="2049">
      <c r="A2049" s="430">
        <v>9.1402016000186E13</v>
      </c>
      <c r="B2049" s="218" t="s">
        <v>2884</v>
      </c>
    </row>
    <row r="2050">
      <c r="A2050" s="430">
        <v>4.555820000109E12</v>
      </c>
      <c r="B2050" s="218" t="s">
        <v>2885</v>
      </c>
    </row>
    <row r="2051">
      <c r="A2051" s="430">
        <v>4.255500000125E12</v>
      </c>
      <c r="B2051" s="218" t="s">
        <v>2886</v>
      </c>
    </row>
    <row r="2052">
      <c r="A2052" s="430">
        <v>3.118035000118E12</v>
      </c>
      <c r="B2052" s="218" t="s">
        <v>2887</v>
      </c>
    </row>
    <row r="2053">
      <c r="A2053" s="430">
        <v>5.9439300001E12</v>
      </c>
      <c r="B2053" s="218" t="s">
        <v>2888</v>
      </c>
    </row>
    <row r="2054">
      <c r="A2054" s="430">
        <v>1.47109000156E11</v>
      </c>
      <c r="B2054" s="218" t="s">
        <v>2889</v>
      </c>
    </row>
    <row r="2055">
      <c r="A2055" s="430">
        <v>2.5288184000168E13</v>
      </c>
      <c r="B2055" s="218" t="s">
        <v>2890</v>
      </c>
    </row>
    <row r="2056">
      <c r="A2056" s="430">
        <v>4.370377000193E12</v>
      </c>
      <c r="B2056" s="218" t="s">
        <v>2891</v>
      </c>
    </row>
    <row r="2057">
      <c r="A2057" s="430">
        <v>3.570860000159E12</v>
      </c>
      <c r="B2057" s="218" t="s">
        <v>2892</v>
      </c>
    </row>
    <row r="2058">
      <c r="A2058" s="430">
        <v>8.046789000123E12</v>
      </c>
      <c r="B2058" s="218" t="s">
        <v>2893</v>
      </c>
    </row>
    <row r="2059">
      <c r="A2059" s="430">
        <v>2.153191000157E12</v>
      </c>
      <c r="B2059" s="218" t="s">
        <v>2894</v>
      </c>
    </row>
    <row r="2060">
      <c r="A2060" s="430">
        <v>7.01403100014E12</v>
      </c>
      <c r="B2060" s="218" t="s">
        <v>2895</v>
      </c>
    </row>
    <row r="2061">
      <c r="A2061" s="430">
        <v>7.777721000151E12</v>
      </c>
      <c r="B2061" s="218" t="s">
        <v>2896</v>
      </c>
    </row>
    <row r="2062">
      <c r="A2062" s="430">
        <v>2.244858000127E12</v>
      </c>
      <c r="B2062" s="218" t="s">
        <v>2897</v>
      </c>
    </row>
    <row r="2063">
      <c r="A2063" s="430">
        <v>7.989888000186E12</v>
      </c>
      <c r="B2063" s="218" t="s">
        <v>2898</v>
      </c>
    </row>
    <row r="2064">
      <c r="A2064" s="430">
        <v>6.138349300018E13</v>
      </c>
      <c r="B2064" s="218" t="s">
        <v>2899</v>
      </c>
    </row>
    <row r="2065">
      <c r="A2065" s="430">
        <v>6.16491300012E12</v>
      </c>
      <c r="B2065" s="218" t="s">
        <v>2900</v>
      </c>
    </row>
    <row r="2066">
      <c r="A2066" s="430">
        <v>8.3707836000158E13</v>
      </c>
      <c r="B2066" s="218" t="s">
        <v>2901</v>
      </c>
    </row>
    <row r="2067">
      <c r="A2067" s="430">
        <v>5.070976000154E12</v>
      </c>
      <c r="B2067" s="218" t="s">
        <v>2902</v>
      </c>
    </row>
    <row r="2068">
      <c r="A2068" s="430">
        <v>7.3931628000265E13</v>
      </c>
      <c r="B2068" s="218" t="s">
        <v>2903</v>
      </c>
    </row>
    <row r="2069">
      <c r="A2069" s="430">
        <v>7.273033000154E12</v>
      </c>
      <c r="B2069" s="218" t="s">
        <v>2904</v>
      </c>
    </row>
    <row r="2070">
      <c r="A2070" s="430">
        <v>1.005844000198E12</v>
      </c>
      <c r="B2070" s="218" t="s">
        <v>2905</v>
      </c>
    </row>
    <row r="2071">
      <c r="A2071" s="430">
        <v>7.268152000119E12</v>
      </c>
      <c r="B2071" s="218" t="s">
        <v>2906</v>
      </c>
    </row>
    <row r="2072">
      <c r="A2072" s="430">
        <v>5.317701000172E12</v>
      </c>
      <c r="B2072" s="218" t="s">
        <v>2907</v>
      </c>
    </row>
    <row r="2073">
      <c r="A2073" s="430">
        <v>7.321421000163E12</v>
      </c>
      <c r="B2073" s="218" t="s">
        <v>2908</v>
      </c>
    </row>
    <row r="2074">
      <c r="A2074" s="430">
        <v>2.215012000169E12</v>
      </c>
      <c r="B2074" s="218" t="s">
        <v>2909</v>
      </c>
    </row>
    <row r="2075">
      <c r="A2075" s="430">
        <v>8.3899526000182E13</v>
      </c>
      <c r="B2075" s="218" t="s">
        <v>2910</v>
      </c>
    </row>
    <row r="2076">
      <c r="A2076" s="430">
        <v>9.7165161000177E13</v>
      </c>
      <c r="B2076" s="218" t="s">
        <v>2911</v>
      </c>
    </row>
    <row r="2077">
      <c r="A2077" s="430">
        <v>8.602472600018E13</v>
      </c>
      <c r="B2077" s="218" t="s">
        <v>2912</v>
      </c>
    </row>
    <row r="2078">
      <c r="A2078" s="430">
        <v>7.3384661000131E13</v>
      </c>
      <c r="B2078" s="218" t="s">
        <v>2913</v>
      </c>
    </row>
    <row r="2079">
      <c r="A2079" s="430">
        <v>3.30962000109E11</v>
      </c>
      <c r="B2079" s="218" t="s">
        <v>2914</v>
      </c>
    </row>
    <row r="2080">
      <c r="A2080" s="430">
        <v>8.524026500011E13</v>
      </c>
      <c r="B2080" s="218" t="s">
        <v>2915</v>
      </c>
    </row>
    <row r="2081">
      <c r="A2081" s="430">
        <v>5.42119000196E11</v>
      </c>
      <c r="B2081" s="218" t="s">
        <v>2916</v>
      </c>
    </row>
    <row r="2082">
      <c r="A2082" s="430">
        <v>5.945841000195E12</v>
      </c>
      <c r="B2082" s="218" t="s">
        <v>2917</v>
      </c>
    </row>
    <row r="2083">
      <c r="A2083" s="430">
        <v>7.9228193000192E13</v>
      </c>
      <c r="B2083" s="218" t="s">
        <v>2918</v>
      </c>
    </row>
    <row r="2084">
      <c r="A2084" s="430">
        <v>7.9223871000124E13</v>
      </c>
      <c r="B2084" s="218" t="s">
        <v>2919</v>
      </c>
    </row>
    <row r="2085">
      <c r="A2085" s="430">
        <v>4.259978000123E12</v>
      </c>
      <c r="B2085" s="218" t="s">
        <v>2920</v>
      </c>
    </row>
    <row r="2086">
      <c r="A2086" s="430">
        <v>8.0468549000144E13</v>
      </c>
      <c r="B2086" s="218" t="s">
        <v>2921</v>
      </c>
    </row>
    <row r="2087">
      <c r="A2087" s="430">
        <v>3.661582000145E12</v>
      </c>
      <c r="B2087" s="218" t="s">
        <v>2922</v>
      </c>
    </row>
    <row r="2088">
      <c r="A2088" s="430">
        <v>4.46731400015E12</v>
      </c>
      <c r="B2088" s="218" t="s">
        <v>2923</v>
      </c>
    </row>
    <row r="2089">
      <c r="A2089" s="430">
        <v>2.974114000168E12</v>
      </c>
      <c r="B2089" s="218" t="s">
        <v>2924</v>
      </c>
    </row>
    <row r="2090">
      <c r="A2090" s="430">
        <v>9.16994390001E13</v>
      </c>
      <c r="B2090" s="218" t="s">
        <v>2925</v>
      </c>
    </row>
    <row r="2091">
      <c r="A2091" s="430">
        <v>7.6599257000173E13</v>
      </c>
      <c r="B2091" s="218" t="s">
        <v>2926</v>
      </c>
    </row>
    <row r="2092">
      <c r="A2092" s="430">
        <v>9.5851879000191E13</v>
      </c>
      <c r="B2092" s="218" t="s">
        <v>2927</v>
      </c>
    </row>
    <row r="2093">
      <c r="A2093" s="430">
        <v>7.8863784000179E13</v>
      </c>
      <c r="B2093" s="218" t="s">
        <v>2928</v>
      </c>
    </row>
    <row r="2094">
      <c r="A2094" s="430">
        <v>7.4856900013E11</v>
      </c>
      <c r="B2094" s="218" t="s">
        <v>2929</v>
      </c>
    </row>
    <row r="2095">
      <c r="A2095" s="430">
        <v>8.2897075000181E13</v>
      </c>
      <c r="B2095" s="218" t="s">
        <v>2930</v>
      </c>
    </row>
    <row r="2096">
      <c r="A2096" s="430">
        <v>8.395147500019E13</v>
      </c>
      <c r="B2096" s="218" t="s">
        <v>2931</v>
      </c>
    </row>
    <row r="2097">
      <c r="A2097" s="430">
        <v>8.370764600013E13</v>
      </c>
      <c r="B2097" s="218" t="s">
        <v>2932</v>
      </c>
    </row>
    <row r="2098">
      <c r="A2098" s="430">
        <v>9.14068000186E11</v>
      </c>
      <c r="B2098" s="218" t="s">
        <v>2933</v>
      </c>
    </row>
    <row r="2099">
      <c r="A2099" s="430">
        <v>0.0</v>
      </c>
      <c r="B2099" s="218" t="s">
        <v>2934</v>
      </c>
    </row>
    <row r="2100">
      <c r="A2100" s="430">
        <v>191.0</v>
      </c>
      <c r="B2100" s="218" t="s">
        <v>1455</v>
      </c>
    </row>
    <row r="2101">
      <c r="A2101" s="430">
        <v>9571.0</v>
      </c>
      <c r="B2101" s="218" t="s">
        <v>2935</v>
      </c>
    </row>
    <row r="2102">
      <c r="A2102" s="430">
        <v>6.0460912000178E13</v>
      </c>
      <c r="B2102" s="218" t="s">
        <v>2936</v>
      </c>
    </row>
    <row r="2103">
      <c r="A2103" s="430">
        <v>6.0472925000167E13</v>
      </c>
      <c r="B2103" s="218" t="s">
        <v>2937</v>
      </c>
    </row>
    <row r="2104">
      <c r="A2104" s="430">
        <v>6.0502291000148E13</v>
      </c>
      <c r="B2104" s="218" t="s">
        <v>2938</v>
      </c>
    </row>
    <row r="2105">
      <c r="A2105" s="430">
        <v>6.0607637000172E13</v>
      </c>
      <c r="B2105" s="218" t="s">
        <v>2939</v>
      </c>
    </row>
    <row r="2106">
      <c r="A2106" s="430">
        <v>6.0656774000105E13</v>
      </c>
      <c r="B2106" s="218" t="s">
        <v>2940</v>
      </c>
    </row>
    <row r="2107">
      <c r="A2107" s="430">
        <v>6.0703923010013E13</v>
      </c>
      <c r="B2107" s="218" t="s">
        <v>2941</v>
      </c>
    </row>
    <row r="2108">
      <c r="A2108" s="430">
        <v>6.0717469000178E13</v>
      </c>
      <c r="B2108" s="218" t="s">
        <v>2942</v>
      </c>
    </row>
    <row r="2109">
      <c r="A2109" s="430">
        <v>6.0746948000112E13</v>
      </c>
      <c r="B2109" s="218" t="s">
        <v>2943</v>
      </c>
    </row>
    <row r="2110">
      <c r="A2110" s="430">
        <v>6.0872173000121E13</v>
      </c>
      <c r="B2110" s="218" t="s">
        <v>2944</v>
      </c>
    </row>
    <row r="2111">
      <c r="A2111" s="430">
        <v>6.0886413007907E13</v>
      </c>
      <c r="B2111" s="218" t="s">
        <v>2945</v>
      </c>
    </row>
    <row r="2112">
      <c r="A2112" s="430">
        <v>6.1099008001202E13</v>
      </c>
      <c r="B2112" s="218" t="s">
        <v>2946</v>
      </c>
    </row>
    <row r="2113">
      <c r="A2113" s="430">
        <v>6.1150751000189E13</v>
      </c>
      <c r="B2113" s="218" t="s">
        <v>2947</v>
      </c>
    </row>
    <row r="2114">
      <c r="A2114" s="430">
        <v>6.120626400019E13</v>
      </c>
      <c r="B2114" s="218" t="s">
        <v>2948</v>
      </c>
    </row>
    <row r="2115">
      <c r="A2115" s="430">
        <v>6.1222987000127E13</v>
      </c>
      <c r="B2115" s="218" t="s">
        <v>2949</v>
      </c>
    </row>
    <row r="2116">
      <c r="A2116" s="430">
        <v>6.12289120001E13</v>
      </c>
      <c r="B2116" s="218" t="s">
        <v>2950</v>
      </c>
    </row>
    <row r="2117">
      <c r="A2117" s="430">
        <v>6.1287546002022E13</v>
      </c>
      <c r="B2117" s="218" t="s">
        <v>2951</v>
      </c>
    </row>
    <row r="2118">
      <c r="A2118" s="430">
        <v>7.4182544000158E13</v>
      </c>
      <c r="B2118" s="218" t="s">
        <v>2952</v>
      </c>
    </row>
    <row r="2119">
      <c r="A2119" s="430">
        <v>7.4386400000113E13</v>
      </c>
      <c r="B2119" s="218" t="s">
        <v>2953</v>
      </c>
    </row>
    <row r="2120">
      <c r="A2120" s="430">
        <v>7.3418196000102E13</v>
      </c>
      <c r="B2120" s="218" t="s">
        <v>2954</v>
      </c>
    </row>
    <row r="2121">
      <c r="A2121" s="430">
        <v>7.233193700015E13</v>
      </c>
      <c r="B2121" s="218" t="s">
        <v>2955</v>
      </c>
    </row>
    <row r="2122">
      <c r="A2122" s="430">
        <v>7.2354723000108E13</v>
      </c>
      <c r="B2122" s="218" t="s">
        <v>2956</v>
      </c>
    </row>
    <row r="2123">
      <c r="A2123" s="430">
        <v>7.2371263000118E13</v>
      </c>
      <c r="B2123" s="218" t="s">
        <v>2957</v>
      </c>
    </row>
    <row r="2124">
      <c r="A2124" s="430">
        <v>7.2565872000108E13</v>
      </c>
      <c r="B2124" s="218" t="s">
        <v>2958</v>
      </c>
    </row>
    <row r="2125">
      <c r="A2125" s="430">
        <v>7.2566524000155E13</v>
      </c>
      <c r="B2125" s="218" t="s">
        <v>2959</v>
      </c>
    </row>
    <row r="2126">
      <c r="A2126" s="430">
        <v>7.2741861000131E13</v>
      </c>
      <c r="B2126" s="218" t="s">
        <v>2960</v>
      </c>
    </row>
    <row r="2127">
      <c r="A2127" s="430">
        <v>7.3209264000123E13</v>
      </c>
      <c r="B2127" s="218" t="s">
        <v>2961</v>
      </c>
    </row>
    <row r="2128">
      <c r="A2128" s="430">
        <v>7.3232498000191E13</v>
      </c>
      <c r="B2128" s="218" t="s">
        <v>2962</v>
      </c>
    </row>
    <row r="2129">
      <c r="A2129" s="430">
        <v>7.3240228000122E13</v>
      </c>
      <c r="B2129" s="218" t="s">
        <v>2963</v>
      </c>
    </row>
    <row r="2130">
      <c r="A2130" s="430">
        <v>7.3247288000149E13</v>
      </c>
      <c r="B2130" s="218" t="s">
        <v>2964</v>
      </c>
    </row>
    <row r="2131">
      <c r="A2131" s="430">
        <v>7.3255085000122E13</v>
      </c>
      <c r="B2131" s="218" t="s">
        <v>2965</v>
      </c>
    </row>
    <row r="2132">
      <c r="A2132" s="430">
        <v>7.325911100019E13</v>
      </c>
      <c r="B2132" s="218" t="s">
        <v>2966</v>
      </c>
    </row>
    <row r="2133">
      <c r="A2133" s="430">
        <v>7.3309296000109E13</v>
      </c>
      <c r="B2133" s="218" t="s">
        <v>2967</v>
      </c>
    </row>
    <row r="2134">
      <c r="A2134" s="430">
        <v>7.3333593000181E13</v>
      </c>
      <c r="B2134" s="218" t="s">
        <v>2968</v>
      </c>
    </row>
    <row r="2135">
      <c r="A2135" s="430">
        <v>7.3347247000152E13</v>
      </c>
      <c r="B2135" s="218" t="s">
        <v>2969</v>
      </c>
    </row>
    <row r="2136">
      <c r="A2136" s="430">
        <v>7.3347288000149E13</v>
      </c>
      <c r="B2136" s="218" t="s">
        <v>2970</v>
      </c>
    </row>
    <row r="2137">
      <c r="A2137" s="430">
        <v>7.335435900013E13</v>
      </c>
      <c r="B2137" s="218" t="s">
        <v>2971</v>
      </c>
    </row>
    <row r="2138">
      <c r="A2138" s="430">
        <v>6.792664000117E12</v>
      </c>
      <c r="B2138" s="218" t="s">
        <v>2972</v>
      </c>
    </row>
    <row r="2139">
      <c r="A2139" s="430">
        <v>7.1777825000165E13</v>
      </c>
      <c r="B2139" s="218" t="s">
        <v>2973</v>
      </c>
    </row>
    <row r="2140">
      <c r="A2140" s="430">
        <v>5.261718000155E12</v>
      </c>
      <c r="B2140" s="218" t="s">
        <v>2974</v>
      </c>
    </row>
    <row r="2141">
      <c r="A2141" s="430">
        <v>1.084420000166E12</v>
      </c>
      <c r="B2141" s="218" t="s">
        <v>2975</v>
      </c>
    </row>
    <row r="2142">
      <c r="A2142" s="430">
        <v>7.082476000168E12</v>
      </c>
      <c r="B2142" s="218" t="s">
        <v>2976</v>
      </c>
    </row>
    <row r="2143">
      <c r="A2143" s="430">
        <v>9.02931000185E11</v>
      </c>
      <c r="B2143" s="218" t="s">
        <v>2977</v>
      </c>
    </row>
    <row r="2144">
      <c r="A2144" s="430">
        <v>4.199546000174E12</v>
      </c>
      <c r="B2144" s="218" t="s">
        <v>2978</v>
      </c>
    </row>
    <row r="2145">
      <c r="A2145" s="430">
        <v>6.6004359000145E13</v>
      </c>
      <c r="B2145" s="218" t="s">
        <v>2979</v>
      </c>
    </row>
    <row r="2146">
      <c r="A2146" s="430">
        <v>3.915909000168E12</v>
      </c>
      <c r="B2146" s="218" t="s">
        <v>2980</v>
      </c>
    </row>
    <row r="2147">
      <c r="A2147" s="430">
        <v>2.099433000171E12</v>
      </c>
      <c r="B2147" s="218" t="s">
        <v>2981</v>
      </c>
    </row>
    <row r="2148">
      <c r="A2148" s="430">
        <v>3.500309000139E12</v>
      </c>
      <c r="B2148" s="218" t="s">
        <v>2982</v>
      </c>
    </row>
    <row r="2149">
      <c r="A2149" s="430">
        <v>6.228652000164E12</v>
      </c>
      <c r="B2149" s="218" t="s">
        <v>2983</v>
      </c>
    </row>
    <row r="2150">
      <c r="A2150" s="430">
        <v>4.523002000116E12</v>
      </c>
      <c r="B2150" s="218" t="s">
        <v>2984</v>
      </c>
    </row>
    <row r="2151">
      <c r="A2151" s="430">
        <v>3.4055368000179E13</v>
      </c>
      <c r="B2151" s="218" t="s">
        <v>2985</v>
      </c>
    </row>
    <row r="2152">
      <c r="A2152" s="430">
        <v>5.252466000106E12</v>
      </c>
      <c r="B2152" s="218" t="s">
        <v>2986</v>
      </c>
    </row>
    <row r="2153">
      <c r="A2153" s="430">
        <v>8.1431777000102E13</v>
      </c>
      <c r="B2153" s="218" t="s">
        <v>2987</v>
      </c>
    </row>
    <row r="2154">
      <c r="A2154" s="430">
        <v>4.267012000138E12</v>
      </c>
      <c r="B2154" s="218" t="s">
        <v>2988</v>
      </c>
    </row>
    <row r="2155">
      <c r="A2155" s="430">
        <v>1.717587000117E12</v>
      </c>
      <c r="B2155" s="218" t="s">
        <v>2989</v>
      </c>
    </row>
    <row r="2156">
      <c r="A2156" s="430">
        <v>7.137622000105E12</v>
      </c>
      <c r="B2156" s="218" t="s">
        <v>2990</v>
      </c>
    </row>
    <row r="2157">
      <c r="A2157" s="430">
        <v>2.027413000195E12</v>
      </c>
      <c r="B2157" s="218" t="s">
        <v>2991</v>
      </c>
    </row>
    <row r="2158">
      <c r="A2158" s="430">
        <v>4.66163500019E12</v>
      </c>
      <c r="B2158" s="218" t="s">
        <v>2992</v>
      </c>
    </row>
    <row r="2159">
      <c r="A2159" s="430">
        <v>6.0141630001E12</v>
      </c>
      <c r="B2159" s="218" t="s">
        <v>2993</v>
      </c>
    </row>
    <row r="2160">
      <c r="A2160" s="430">
        <v>7.275920000161E12</v>
      </c>
      <c r="B2160" s="218" t="s">
        <v>2994</v>
      </c>
    </row>
    <row r="2161">
      <c r="A2161" s="430">
        <v>7.570999000153E12</v>
      </c>
      <c r="B2161" s="218" t="s">
        <v>2995</v>
      </c>
    </row>
    <row r="2162">
      <c r="A2162" s="430">
        <v>4.4075687000108E13</v>
      </c>
      <c r="B2162" s="218" t="s">
        <v>2996</v>
      </c>
    </row>
    <row r="2163">
      <c r="A2163" s="430">
        <v>3.225855000109E12</v>
      </c>
      <c r="B2163" s="218" t="s">
        <v>2997</v>
      </c>
    </row>
    <row r="2164">
      <c r="A2164" s="430">
        <v>4.76027400013E12</v>
      </c>
      <c r="B2164" s="218" t="s">
        <v>2998</v>
      </c>
    </row>
    <row r="2165">
      <c r="A2165" s="430">
        <v>1.207939000194E12</v>
      </c>
      <c r="B2165" s="218" t="s">
        <v>2999</v>
      </c>
    </row>
    <row r="2166">
      <c r="A2166" s="430">
        <v>7.133304000176E12</v>
      </c>
      <c r="B2166" s="218" t="s">
        <v>3000</v>
      </c>
    </row>
    <row r="2167">
      <c r="A2167" s="430">
        <v>5.966572000143E12</v>
      </c>
      <c r="B2167" s="218" t="s">
        <v>3001</v>
      </c>
    </row>
    <row r="2168">
      <c r="A2168" s="430">
        <v>7.573030000136E12</v>
      </c>
      <c r="B2168" s="218" t="s">
        <v>3002</v>
      </c>
    </row>
    <row r="2169">
      <c r="A2169" s="430">
        <v>1.406705000176E12</v>
      </c>
      <c r="B2169" s="218" t="s">
        <v>3003</v>
      </c>
    </row>
    <row r="2170">
      <c r="A2170" s="430">
        <v>4.924266000181E12</v>
      </c>
      <c r="B2170" s="218" t="s">
        <v>3004</v>
      </c>
    </row>
    <row r="2171">
      <c r="A2171" s="430">
        <v>8.10869700012E12</v>
      </c>
      <c r="B2171" s="218" t="s">
        <v>3005</v>
      </c>
    </row>
    <row r="2172">
      <c r="A2172" s="430">
        <v>5.936031000172E12</v>
      </c>
      <c r="B2172" s="218" t="s">
        <v>3006</v>
      </c>
    </row>
    <row r="2173">
      <c r="A2173" s="430">
        <v>5.437734000156E12</v>
      </c>
      <c r="B2173" s="218" t="s">
        <v>3007</v>
      </c>
    </row>
    <row r="2174">
      <c r="A2174" s="430">
        <v>4.121930000154E12</v>
      </c>
      <c r="B2174" s="218" t="s">
        <v>3008</v>
      </c>
    </row>
    <row r="2175">
      <c r="A2175" s="430">
        <v>5.1764058000142E13</v>
      </c>
      <c r="B2175" s="218" t="s">
        <v>3009</v>
      </c>
    </row>
    <row r="2176">
      <c r="A2176" s="430">
        <v>9.4316916000107E13</v>
      </c>
      <c r="B2176" s="218" t="s">
        <v>3010</v>
      </c>
    </row>
    <row r="2177">
      <c r="A2177" s="430">
        <v>7.887115000199E12</v>
      </c>
      <c r="B2177" s="218" t="s">
        <v>3011</v>
      </c>
    </row>
    <row r="2178">
      <c r="A2178" s="430">
        <v>8.3452680000101E13</v>
      </c>
      <c r="B2178" s="218" t="s">
        <v>3012</v>
      </c>
    </row>
    <row r="2179">
      <c r="A2179" s="430">
        <v>8.563244000194E12</v>
      </c>
      <c r="B2179" s="218" t="s">
        <v>3013</v>
      </c>
    </row>
    <row r="2180">
      <c r="A2180" s="430">
        <v>7.9858924000183E13</v>
      </c>
      <c r="B2180" s="218" t="s">
        <v>3014</v>
      </c>
    </row>
    <row r="2181">
      <c r="A2181" s="430">
        <v>4.16973000106E11</v>
      </c>
      <c r="B2181" s="218" t="s">
        <v>3015</v>
      </c>
    </row>
    <row r="2182">
      <c r="A2182" s="430">
        <v>1.04875300013E12</v>
      </c>
      <c r="B2182" s="218" t="s">
        <v>3016</v>
      </c>
    </row>
    <row r="2183">
      <c r="A2183" s="430">
        <v>6.750236000121E12</v>
      </c>
      <c r="B2183" s="218" t="s">
        <v>3017</v>
      </c>
    </row>
    <row r="2184">
      <c r="A2184" s="430">
        <v>4.892991000115E12</v>
      </c>
      <c r="B2184" s="218" t="s">
        <v>469</v>
      </c>
    </row>
    <row r="2185">
      <c r="A2185" s="430">
        <v>4.611484000166E12</v>
      </c>
      <c r="B2185" s="218" t="s">
        <v>3018</v>
      </c>
    </row>
    <row r="2186">
      <c r="A2186" s="430">
        <v>1.47592900013E12</v>
      </c>
      <c r="B2186" s="218" t="s">
        <v>3019</v>
      </c>
    </row>
    <row r="2187">
      <c r="A2187" s="430">
        <v>3.3255787000191E13</v>
      </c>
      <c r="B2187" s="218" t="s">
        <v>3020</v>
      </c>
    </row>
    <row r="2188">
      <c r="A2188" s="430">
        <v>4.63911900016E12</v>
      </c>
      <c r="B2188" s="218" t="s">
        <v>3021</v>
      </c>
    </row>
    <row r="2189">
      <c r="A2189" s="430">
        <v>4.814239000156E12</v>
      </c>
      <c r="B2189" s="218" t="s">
        <v>3022</v>
      </c>
    </row>
    <row r="2190">
      <c r="A2190" s="430">
        <v>1.609743000126E12</v>
      </c>
      <c r="B2190" s="218" t="s">
        <v>3023</v>
      </c>
    </row>
    <row r="2191">
      <c r="A2191" s="430">
        <v>3.107524000174E12</v>
      </c>
      <c r="B2191" s="218" t="s">
        <v>3024</v>
      </c>
    </row>
    <row r="2192">
      <c r="A2192" s="430">
        <v>8.72497000138E11</v>
      </c>
      <c r="B2192" s="218" t="s">
        <v>3025</v>
      </c>
    </row>
    <row r="2193">
      <c r="A2193" s="430">
        <v>3.7791560001E12</v>
      </c>
      <c r="B2193" s="218" t="s">
        <v>3026</v>
      </c>
    </row>
    <row r="2194">
      <c r="A2194" s="430">
        <v>2.83810300015E12</v>
      </c>
      <c r="B2194" s="218" t="s">
        <v>3027</v>
      </c>
    </row>
    <row r="2195">
      <c r="A2195" s="430">
        <v>4.820428000131E12</v>
      </c>
      <c r="B2195" s="218" t="s">
        <v>3028</v>
      </c>
    </row>
    <row r="2196">
      <c r="A2196" s="430">
        <v>3.695317000188E12</v>
      </c>
      <c r="B2196" s="218" t="s">
        <v>3029</v>
      </c>
    </row>
    <row r="2197">
      <c r="A2197" s="430">
        <v>8.3240028000123E13</v>
      </c>
      <c r="B2197" s="218" t="s">
        <v>3030</v>
      </c>
    </row>
    <row r="2198">
      <c r="A2198" s="430">
        <v>6.9119410000152E13</v>
      </c>
      <c r="B2198" s="218" t="s">
        <v>3031</v>
      </c>
    </row>
    <row r="2199">
      <c r="A2199" s="430">
        <v>4.514896000188E12</v>
      </c>
      <c r="B2199" s="218" t="s">
        <v>3032</v>
      </c>
    </row>
    <row r="2200">
      <c r="A2200" s="430">
        <v>6.0722311000196E13</v>
      </c>
      <c r="B2200" s="218" t="s">
        <v>3033</v>
      </c>
    </row>
    <row r="2201">
      <c r="A2201" s="430">
        <v>8.9954671000103E13</v>
      </c>
      <c r="B2201" s="218" t="s">
        <v>3034</v>
      </c>
    </row>
    <row r="2202">
      <c r="A2202" s="430">
        <v>1.465258000126E12</v>
      </c>
      <c r="B2202" s="218" t="s">
        <v>3035</v>
      </c>
    </row>
    <row r="2203">
      <c r="A2203" s="430">
        <v>8.1862252000121E13</v>
      </c>
      <c r="B2203" s="218" t="s">
        <v>3036</v>
      </c>
    </row>
    <row r="2204">
      <c r="A2204" s="430">
        <v>7.3359259000105E13</v>
      </c>
      <c r="B2204" s="218" t="s">
        <v>3037</v>
      </c>
    </row>
    <row r="2205">
      <c r="A2205" s="430">
        <v>7.3369068000116E13</v>
      </c>
      <c r="B2205" s="218" t="s">
        <v>3038</v>
      </c>
    </row>
    <row r="2206">
      <c r="A2206" s="430">
        <v>7.2153307000133E13</v>
      </c>
      <c r="B2206" s="218" t="s">
        <v>3039</v>
      </c>
    </row>
    <row r="2207">
      <c r="A2207" s="430">
        <v>7.2185796000105E13</v>
      </c>
      <c r="B2207" s="218" t="s">
        <v>3040</v>
      </c>
    </row>
    <row r="2208">
      <c r="A2208" s="430">
        <v>7.2220866000119E13</v>
      </c>
      <c r="B2208" s="218" t="s">
        <v>3041</v>
      </c>
    </row>
    <row r="2209">
      <c r="A2209" s="430">
        <v>7.22424980001E13</v>
      </c>
      <c r="B2209" s="218" t="s">
        <v>3042</v>
      </c>
    </row>
    <row r="2210">
      <c r="A2210" s="430">
        <v>7.2259310000136E13</v>
      </c>
      <c r="B2210" s="218" t="s">
        <v>3043</v>
      </c>
    </row>
    <row r="2211">
      <c r="A2211" s="430">
        <v>6.5997058000105E13</v>
      </c>
      <c r="B2211" s="218" t="s">
        <v>3044</v>
      </c>
    </row>
    <row r="2212">
      <c r="A2212" s="430">
        <v>6.6152240000209E13</v>
      </c>
      <c r="B2212" s="218" t="s">
        <v>3045</v>
      </c>
    </row>
    <row r="2213">
      <c r="A2213" s="430">
        <v>6.7684308000174E13</v>
      </c>
      <c r="B2213" s="218" t="s">
        <v>3046</v>
      </c>
    </row>
    <row r="2214">
      <c r="A2214" s="430">
        <v>6.7687111000199E13</v>
      </c>
      <c r="B2214" s="218" t="s">
        <v>3047</v>
      </c>
    </row>
    <row r="2215">
      <c r="A2215" s="430">
        <v>6.8121002000127E13</v>
      </c>
      <c r="B2215" s="218" t="s">
        <v>3048</v>
      </c>
    </row>
    <row r="2216">
      <c r="A2216" s="430">
        <v>6.8452820000158E13</v>
      </c>
      <c r="B2216" s="218" t="s">
        <v>3049</v>
      </c>
    </row>
    <row r="2217">
      <c r="A2217" s="430">
        <v>6.8943851000101E13</v>
      </c>
      <c r="B2217" s="218" t="s">
        <v>3050</v>
      </c>
    </row>
    <row r="2218">
      <c r="A2218" s="430">
        <v>6.9048718000154E13</v>
      </c>
      <c r="B2218" s="218" t="s">
        <v>3051</v>
      </c>
    </row>
    <row r="2219">
      <c r="A2219" s="430">
        <v>6.9341709000157E13</v>
      </c>
      <c r="B2219" s="218" t="s">
        <v>3052</v>
      </c>
    </row>
    <row r="2220">
      <c r="A2220" s="430">
        <v>6.9808355000869E13</v>
      </c>
      <c r="B2220" s="218" t="s">
        <v>895</v>
      </c>
    </row>
    <row r="2221">
      <c r="A2221" s="430">
        <v>5.269844000156E12</v>
      </c>
      <c r="B2221" s="218" t="s">
        <v>3053</v>
      </c>
    </row>
    <row r="2222">
      <c r="A2222" s="430">
        <v>3.955067000178E12</v>
      </c>
      <c r="B2222" s="218" t="s">
        <v>3054</v>
      </c>
    </row>
    <row r="2223">
      <c r="A2223" s="430">
        <v>3.985006000153E12</v>
      </c>
      <c r="B2223" s="218" t="s">
        <v>3055</v>
      </c>
    </row>
    <row r="2224">
      <c r="A2224" s="430">
        <v>3.130750000176E12</v>
      </c>
      <c r="B2224" s="218" t="s">
        <v>3056</v>
      </c>
    </row>
    <row r="2225">
      <c r="A2225" s="430">
        <v>8.2951310000156E13</v>
      </c>
      <c r="B2225" s="218" t="s">
        <v>3057</v>
      </c>
    </row>
    <row r="2226">
      <c r="A2226" s="430">
        <v>2.942440000193E12</v>
      </c>
      <c r="B2226" s="218" t="s">
        <v>3058</v>
      </c>
    </row>
    <row r="2227">
      <c r="A2227" s="430">
        <v>6.948000000102E12</v>
      </c>
      <c r="B2227" s="218" t="s">
        <v>3059</v>
      </c>
    </row>
    <row r="2228">
      <c r="A2228" s="430">
        <v>511102.0</v>
      </c>
      <c r="B2228" s="218" t="s">
        <v>3060</v>
      </c>
    </row>
    <row r="2229">
      <c r="A2229" s="430">
        <v>2.841221000118E12</v>
      </c>
      <c r="B2229" s="218" t="s">
        <v>3061</v>
      </c>
    </row>
    <row r="2230">
      <c r="A2230" s="430">
        <v>8.3687756000188E13</v>
      </c>
      <c r="B2230" s="218" t="s">
        <v>3062</v>
      </c>
    </row>
    <row r="2231">
      <c r="A2231" s="430">
        <v>9.5048351000189E13</v>
      </c>
      <c r="B2231" s="218" t="s">
        <v>3063</v>
      </c>
    </row>
    <row r="2232">
      <c r="A2232" s="430">
        <v>8.2566944000195E13</v>
      </c>
      <c r="B2232" s="218" t="s">
        <v>3064</v>
      </c>
    </row>
    <row r="2233">
      <c r="A2233" s="430">
        <v>9.2664028002519E13</v>
      </c>
      <c r="B2233" s="218" t="s">
        <v>3065</v>
      </c>
    </row>
    <row r="2234">
      <c r="A2234" s="430">
        <v>8.5136588000168E13</v>
      </c>
      <c r="B2234" s="218" t="s">
        <v>3066</v>
      </c>
    </row>
    <row r="2235">
      <c r="A2235" s="430">
        <v>8.5151504000165E13</v>
      </c>
      <c r="B2235" s="218" t="s">
        <v>3067</v>
      </c>
    </row>
    <row r="2236">
      <c r="A2236" s="430">
        <v>5.9548206000101E13</v>
      </c>
      <c r="B2236" s="218" t="s">
        <v>3068</v>
      </c>
    </row>
    <row r="2237">
      <c r="A2237" s="430">
        <v>3.992239000183E12</v>
      </c>
      <c r="B2237" s="218" t="s">
        <v>3069</v>
      </c>
    </row>
    <row r="2238">
      <c r="A2238" s="430">
        <v>1.885041000175E12</v>
      </c>
      <c r="B2238" s="218" t="s">
        <v>3070</v>
      </c>
    </row>
    <row r="2239">
      <c r="A2239" s="430">
        <v>6.7929943000174E13</v>
      </c>
      <c r="B2239" s="218" t="s">
        <v>3071</v>
      </c>
    </row>
    <row r="2240">
      <c r="A2240" s="430">
        <v>5.69057000106E11</v>
      </c>
      <c r="B2240" s="218" t="s">
        <v>3072</v>
      </c>
    </row>
    <row r="2241">
      <c r="A2241" s="430">
        <v>3.770961000173E12</v>
      </c>
      <c r="B2241" s="218" t="s">
        <v>3073</v>
      </c>
    </row>
    <row r="2242">
      <c r="A2242" s="430">
        <v>5.3617676000195E13</v>
      </c>
      <c r="B2242" s="218" t="s">
        <v>3074</v>
      </c>
    </row>
    <row r="2243">
      <c r="A2243" s="430">
        <v>5.150336000154E12</v>
      </c>
      <c r="B2243" s="218" t="s">
        <v>3075</v>
      </c>
    </row>
    <row r="2244">
      <c r="A2244" s="430">
        <v>1.531901000172E12</v>
      </c>
      <c r="B2244" s="218" t="s">
        <v>3076</v>
      </c>
    </row>
    <row r="2245">
      <c r="A2245" s="430">
        <v>1.169177000189E12</v>
      </c>
      <c r="B2245" s="218" t="s">
        <v>3077</v>
      </c>
    </row>
    <row r="2246">
      <c r="A2246" s="430">
        <v>1.8248620001E12</v>
      </c>
      <c r="B2246" s="218" t="s">
        <v>3078</v>
      </c>
    </row>
    <row r="2247">
      <c r="A2247" s="430">
        <v>5.898561000173E12</v>
      </c>
      <c r="B2247" s="218" t="s">
        <v>3079</v>
      </c>
    </row>
    <row r="2248">
      <c r="A2248" s="430">
        <v>7.1342935000102E13</v>
      </c>
      <c r="B2248" s="218" t="s">
        <v>3080</v>
      </c>
    </row>
    <row r="2249">
      <c r="A2249" s="430">
        <v>2.246690000199E12</v>
      </c>
      <c r="B2249" s="218" t="s">
        <v>3081</v>
      </c>
    </row>
    <row r="2250">
      <c r="A2250" s="430">
        <v>4.3456425000112E13</v>
      </c>
      <c r="B2250" s="218" t="s">
        <v>3082</v>
      </c>
    </row>
    <row r="2251">
      <c r="A2251" s="430">
        <v>2.854346000182E12</v>
      </c>
      <c r="B2251" s="218" t="s">
        <v>3083</v>
      </c>
    </row>
    <row r="2252">
      <c r="A2252" s="430">
        <v>3.3683111000107E13</v>
      </c>
      <c r="B2252" s="218" t="s">
        <v>3084</v>
      </c>
    </row>
    <row r="2253">
      <c r="A2253" s="430">
        <v>6.090879000196E12</v>
      </c>
      <c r="B2253" s="218" t="s">
        <v>3085</v>
      </c>
    </row>
    <row r="2254">
      <c r="A2254" s="430">
        <v>7.654699000152E12</v>
      </c>
      <c r="B2254" s="218" t="s">
        <v>3086</v>
      </c>
    </row>
    <row r="2255">
      <c r="A2255" s="430">
        <v>2.403524000159E12</v>
      </c>
      <c r="B2255" s="218" t="s">
        <v>3087</v>
      </c>
    </row>
    <row r="2256">
      <c r="A2256" s="430">
        <v>1.993902000139E12</v>
      </c>
      <c r="B2256" s="218" t="s">
        <v>3088</v>
      </c>
    </row>
    <row r="2257">
      <c r="A2257" s="430">
        <v>5.97692600013E12</v>
      </c>
      <c r="B2257" s="218" t="s">
        <v>3089</v>
      </c>
    </row>
    <row r="2258">
      <c r="A2258" s="430">
        <v>8.2042094000126E13</v>
      </c>
      <c r="B2258" s="218" t="s">
        <v>3090</v>
      </c>
    </row>
    <row r="2259">
      <c r="A2259" s="430">
        <v>7.664805400012E13</v>
      </c>
      <c r="B2259" s="218" t="s">
        <v>3091</v>
      </c>
    </row>
    <row r="2260">
      <c r="A2260" s="430">
        <v>6.108037000017E13</v>
      </c>
      <c r="B2260" s="218" t="s">
        <v>3092</v>
      </c>
    </row>
    <row r="2261">
      <c r="A2261" s="430">
        <v>6.7640441000714E13</v>
      </c>
      <c r="B2261" s="218" t="s">
        <v>3093</v>
      </c>
    </row>
    <row r="2262">
      <c r="A2262" s="430">
        <v>7.505227000138E12</v>
      </c>
      <c r="B2262" s="218" t="s">
        <v>3094</v>
      </c>
    </row>
    <row r="2263">
      <c r="A2263" s="430">
        <v>7.587643000122E12</v>
      </c>
      <c r="B2263" s="218" t="s">
        <v>3095</v>
      </c>
    </row>
    <row r="2264">
      <c r="A2264" s="430">
        <v>8.33678300019E12</v>
      </c>
      <c r="B2264" s="218" t="s">
        <v>3096</v>
      </c>
    </row>
    <row r="2265">
      <c r="A2265" s="430">
        <v>4.1966450001E12</v>
      </c>
      <c r="B2265" s="218" t="s">
        <v>3097</v>
      </c>
    </row>
    <row r="2266">
      <c r="A2266" s="430">
        <v>4.560772000139E12</v>
      </c>
      <c r="B2266" s="218" t="s">
        <v>3098</v>
      </c>
    </row>
    <row r="2267">
      <c r="A2267" s="430">
        <v>3.53781000106E11</v>
      </c>
      <c r="B2267" s="218" t="s">
        <v>3099</v>
      </c>
    </row>
    <row r="2268">
      <c r="A2268" s="430">
        <v>8.3102574000106E13</v>
      </c>
      <c r="B2268" s="218" t="s">
        <v>3100</v>
      </c>
    </row>
    <row r="2269">
      <c r="A2269" s="430">
        <v>8.16305270001E13</v>
      </c>
      <c r="B2269" s="218" t="s">
        <v>3101</v>
      </c>
    </row>
    <row r="2270">
      <c r="A2270" s="430">
        <v>5.155075000165E12</v>
      </c>
      <c r="B2270" s="218" t="s">
        <v>3102</v>
      </c>
    </row>
    <row r="2271">
      <c r="A2271" s="430">
        <v>4.220160000105E12</v>
      </c>
      <c r="B2271" s="218" t="s">
        <v>3103</v>
      </c>
    </row>
    <row r="2272">
      <c r="A2272" s="430">
        <v>1.68813200011E12</v>
      </c>
      <c r="B2272" s="218" t="s">
        <v>3104</v>
      </c>
    </row>
    <row r="2273">
      <c r="A2273" s="430">
        <v>3.6133520001E12</v>
      </c>
      <c r="B2273" s="218" t="s">
        <v>3105</v>
      </c>
    </row>
    <row r="2274">
      <c r="A2274" s="430">
        <v>8.99778000184E11</v>
      </c>
      <c r="B2274" s="218" t="s">
        <v>3106</v>
      </c>
    </row>
    <row r="2275">
      <c r="A2275" s="430">
        <v>3.3641663000144E13</v>
      </c>
      <c r="B2275" s="218" t="s">
        <v>3107</v>
      </c>
    </row>
    <row r="2276">
      <c r="A2276" s="430">
        <v>3.162586000189E12</v>
      </c>
      <c r="B2276" s="218" t="s">
        <v>3108</v>
      </c>
    </row>
    <row r="2277">
      <c r="A2277" s="430">
        <v>8.4297217000103E13</v>
      </c>
      <c r="B2277" s="218" t="s">
        <v>3109</v>
      </c>
    </row>
    <row r="2278">
      <c r="A2278" s="430">
        <v>4.5987005007796E13</v>
      </c>
      <c r="B2278" s="218" t="s">
        <v>3110</v>
      </c>
    </row>
    <row r="2279">
      <c r="A2279" s="430">
        <v>7.06782000189E11</v>
      </c>
      <c r="B2279" s="218" t="s">
        <v>3111</v>
      </c>
    </row>
    <row r="2280">
      <c r="A2280" s="430">
        <v>1.580470000134E12</v>
      </c>
      <c r="B2280" s="218" t="s">
        <v>3112</v>
      </c>
    </row>
    <row r="2281">
      <c r="A2281" s="430">
        <v>5.7486359000219E13</v>
      </c>
      <c r="B2281" s="218" t="s">
        <v>3113</v>
      </c>
    </row>
    <row r="2282">
      <c r="A2282" s="430">
        <v>5.7486359000138E13</v>
      </c>
      <c r="B2282" s="218" t="s">
        <v>3113</v>
      </c>
    </row>
    <row r="2283">
      <c r="A2283" s="430">
        <v>8.3873752000194E13</v>
      </c>
      <c r="B2283" s="218" t="s">
        <v>3114</v>
      </c>
    </row>
    <row r="2284">
      <c r="A2284" s="430">
        <v>8.5124428000107E13</v>
      </c>
      <c r="B2284" s="218" t="s">
        <v>3115</v>
      </c>
    </row>
    <row r="2285">
      <c r="A2285" s="430">
        <v>1.588376000121E12</v>
      </c>
      <c r="B2285" s="218" t="s">
        <v>3116</v>
      </c>
    </row>
    <row r="2286">
      <c r="A2286" s="430">
        <v>3.23162000012E12</v>
      </c>
      <c r="B2286" s="218" t="s">
        <v>3117</v>
      </c>
    </row>
    <row r="2287">
      <c r="A2287" s="430">
        <v>4.552933000142E12</v>
      </c>
      <c r="B2287" s="218" t="s">
        <v>3118</v>
      </c>
    </row>
    <row r="2288">
      <c r="A2288" s="430">
        <v>2.8688802000236E13</v>
      </c>
      <c r="B2288" s="218" t="s">
        <v>3119</v>
      </c>
    </row>
    <row r="2289">
      <c r="A2289" s="430">
        <v>4.38943500012E12</v>
      </c>
      <c r="B2289" s="218" t="s">
        <v>3120</v>
      </c>
    </row>
    <row r="2290">
      <c r="A2290" s="430">
        <v>3.603739000771E12</v>
      </c>
      <c r="B2290" s="218" t="s">
        <v>3121</v>
      </c>
    </row>
    <row r="2291">
      <c r="A2291" s="430">
        <v>4.365245000173E12</v>
      </c>
      <c r="B2291" s="218" t="s">
        <v>3122</v>
      </c>
    </row>
    <row r="2292">
      <c r="A2292" s="430">
        <v>9.5821872000127E13</v>
      </c>
      <c r="B2292" s="218" t="s">
        <v>3123</v>
      </c>
    </row>
    <row r="2293">
      <c r="A2293" s="430">
        <v>8.5402865000137E13</v>
      </c>
      <c r="B2293" s="218" t="s">
        <v>3124</v>
      </c>
    </row>
    <row r="2294">
      <c r="A2294" s="430">
        <v>3.1231200013E11</v>
      </c>
      <c r="B2294" s="218" t="s">
        <v>3125</v>
      </c>
    </row>
    <row r="2295">
      <c r="A2295" s="430">
        <v>4.431262000161E12</v>
      </c>
      <c r="B2295" s="218" t="s">
        <v>3126</v>
      </c>
    </row>
    <row r="2296">
      <c r="A2296" s="430">
        <v>6.5492000101E10</v>
      </c>
      <c r="B2296" s="218" t="s">
        <v>3127</v>
      </c>
    </row>
    <row r="2297">
      <c r="A2297" s="430">
        <v>8.3624791000158E13</v>
      </c>
      <c r="B2297" s="218" t="s">
        <v>3128</v>
      </c>
    </row>
    <row r="2298">
      <c r="A2298" s="430">
        <v>8.7038000143E10</v>
      </c>
      <c r="B2298" s="218" t="s">
        <v>3129</v>
      </c>
    </row>
    <row r="2299">
      <c r="A2299" s="430">
        <v>4.023657000125E12</v>
      </c>
      <c r="B2299" s="218" t="s">
        <v>3130</v>
      </c>
    </row>
    <row r="2300">
      <c r="A2300" s="430">
        <v>4.618462000128E12</v>
      </c>
      <c r="B2300" s="218" t="s">
        <v>3131</v>
      </c>
    </row>
    <row r="2301">
      <c r="A2301" s="430">
        <v>6.255878000154E12</v>
      </c>
      <c r="B2301" s="218" t="s">
        <v>3132</v>
      </c>
    </row>
    <row r="2302">
      <c r="A2302" s="430">
        <v>7.8186228000105E13</v>
      </c>
      <c r="B2302" s="218" t="s">
        <v>3133</v>
      </c>
    </row>
    <row r="2303">
      <c r="A2303" s="430">
        <v>5.9804765000127E13</v>
      </c>
      <c r="B2303" s="218" t="s">
        <v>3134</v>
      </c>
    </row>
    <row r="2304">
      <c r="A2304" s="430">
        <v>8.1114803000179E13</v>
      </c>
      <c r="B2304" s="218" t="s">
        <v>3135</v>
      </c>
    </row>
    <row r="2305">
      <c r="A2305" s="430">
        <v>3.378946000184E12</v>
      </c>
      <c r="B2305" s="218" t="s">
        <v>3136</v>
      </c>
    </row>
    <row r="2306">
      <c r="A2306" s="430">
        <v>2.580492000167E12</v>
      </c>
      <c r="B2306" s="218" t="s">
        <v>3137</v>
      </c>
    </row>
    <row r="2307">
      <c r="A2307" s="430">
        <v>9.0218199000111E13</v>
      </c>
      <c r="B2307" s="218" t="s">
        <v>3138</v>
      </c>
    </row>
    <row r="2308">
      <c r="A2308" s="430">
        <v>8.1542649000136E13</v>
      </c>
      <c r="B2308" s="218" t="s">
        <v>3139</v>
      </c>
    </row>
    <row r="2309">
      <c r="A2309" s="430">
        <v>8.2908799000183E13</v>
      </c>
      <c r="B2309" s="218" t="s">
        <v>3140</v>
      </c>
    </row>
    <row r="2310">
      <c r="A2310" s="430">
        <v>5.8697640000182E13</v>
      </c>
      <c r="B2310" s="218" t="s">
        <v>3141</v>
      </c>
    </row>
    <row r="2311">
      <c r="A2311" s="430">
        <v>9.6560701000154E13</v>
      </c>
      <c r="B2311" s="218" t="s">
        <v>3142</v>
      </c>
    </row>
    <row r="2312">
      <c r="A2312" s="430">
        <v>3.23487000143E11</v>
      </c>
      <c r="B2312" s="218" t="s">
        <v>3143</v>
      </c>
    </row>
    <row r="2313">
      <c r="A2313" s="430">
        <v>4.258566000179E12</v>
      </c>
      <c r="B2313" s="218" t="s">
        <v>3144</v>
      </c>
    </row>
    <row r="2314">
      <c r="A2314" s="430">
        <v>8.5266468000185E13</v>
      </c>
      <c r="B2314" s="218" t="s">
        <v>3145</v>
      </c>
    </row>
    <row r="2315">
      <c r="A2315" s="430">
        <v>5.9555094000108E13</v>
      </c>
      <c r="B2315" s="218" t="s">
        <v>3146</v>
      </c>
    </row>
    <row r="2316">
      <c r="A2316" s="430">
        <v>3.874632000172E12</v>
      </c>
      <c r="B2316" s="218" t="s">
        <v>3147</v>
      </c>
    </row>
    <row r="2317">
      <c r="A2317" s="430">
        <v>3.3041260024268E13</v>
      </c>
      <c r="B2317" s="218" t="s">
        <v>3148</v>
      </c>
    </row>
    <row r="2318">
      <c r="A2318" s="430">
        <v>2.362841000174E12</v>
      </c>
      <c r="B2318" s="218" t="s">
        <v>3149</v>
      </c>
    </row>
    <row r="2319">
      <c r="A2319" s="430">
        <v>2.877566000121E12</v>
      </c>
      <c r="B2319" s="218" t="s">
        <v>3150</v>
      </c>
    </row>
    <row r="2320">
      <c r="A2320" s="430">
        <v>7.6751528000164E13</v>
      </c>
      <c r="B2320" s="218" t="s">
        <v>3151</v>
      </c>
    </row>
    <row r="2321">
      <c r="A2321" s="430">
        <v>9.2665611015018E13</v>
      </c>
      <c r="B2321" s="218" t="s">
        <v>1193</v>
      </c>
    </row>
    <row r="2322">
      <c r="A2322" s="430">
        <v>7.09537700011E12</v>
      </c>
      <c r="B2322" s="218" t="s">
        <v>3152</v>
      </c>
    </row>
    <row r="2323">
      <c r="A2323" s="430">
        <v>7.9646550000132E13</v>
      </c>
      <c r="B2323" s="218" t="s">
        <v>3153</v>
      </c>
    </row>
    <row r="2324">
      <c r="A2324" s="430">
        <v>6.07866400015E12</v>
      </c>
      <c r="B2324" s="218" t="s">
        <v>3154</v>
      </c>
    </row>
    <row r="2325">
      <c r="A2325" s="430">
        <v>7.529283900014E13</v>
      </c>
      <c r="B2325" s="218" t="s">
        <v>3155</v>
      </c>
    </row>
    <row r="2326">
      <c r="A2326" s="430">
        <v>5.068048000155E12</v>
      </c>
      <c r="B2326" s="218" t="s">
        <v>3156</v>
      </c>
    </row>
    <row r="2327">
      <c r="A2327" s="430">
        <v>8.0469257000126E13</v>
      </c>
      <c r="B2327" s="218" t="s">
        <v>3157</v>
      </c>
    </row>
    <row r="2328">
      <c r="A2328" s="430">
        <v>3.427893000144E12</v>
      </c>
      <c r="B2328" s="218" t="s">
        <v>3158</v>
      </c>
    </row>
    <row r="2329">
      <c r="A2329" s="430">
        <v>3.740767000145E12</v>
      </c>
      <c r="B2329" s="218" t="s">
        <v>3159</v>
      </c>
    </row>
    <row r="2330">
      <c r="A2330" s="430">
        <v>1.96526000199E11</v>
      </c>
      <c r="B2330" s="218" t="s">
        <v>3160</v>
      </c>
    </row>
    <row r="2331">
      <c r="A2331" s="430">
        <v>8.3843904000106E13</v>
      </c>
      <c r="B2331" s="218" t="s">
        <v>3161</v>
      </c>
    </row>
    <row r="2332">
      <c r="A2332" s="430">
        <v>4.707464000193E12</v>
      </c>
      <c r="B2332" s="218" t="s">
        <v>3162</v>
      </c>
    </row>
    <row r="2333">
      <c r="A2333" s="430">
        <v>2.142738000119E12</v>
      </c>
      <c r="B2333" s="218" t="s">
        <v>3163</v>
      </c>
    </row>
    <row r="2334">
      <c r="A2334" s="430">
        <v>4.120909000134E12</v>
      </c>
      <c r="B2334" s="218" t="s">
        <v>3164</v>
      </c>
    </row>
    <row r="2335">
      <c r="A2335" s="430">
        <v>4.6119673000166E13</v>
      </c>
      <c r="B2335" s="218" t="s">
        <v>3165</v>
      </c>
    </row>
    <row r="2336">
      <c r="A2336" s="430">
        <v>8.381312100018E13</v>
      </c>
      <c r="B2336" s="218" t="s">
        <v>3166</v>
      </c>
    </row>
    <row r="2337">
      <c r="A2337" s="430">
        <v>7.3077299000156E13</v>
      </c>
      <c r="B2337" s="218" t="s">
        <v>3167</v>
      </c>
    </row>
    <row r="2338">
      <c r="A2338" s="430">
        <v>1.38492800018E12</v>
      </c>
      <c r="B2338" s="218" t="s">
        <v>3168</v>
      </c>
    </row>
    <row r="2339">
      <c r="A2339" s="430">
        <v>1.468282000119E12</v>
      </c>
      <c r="B2339" s="218" t="s">
        <v>3169</v>
      </c>
    </row>
    <row r="2340">
      <c r="A2340" s="430">
        <v>4.553788000114E12</v>
      </c>
      <c r="B2340" s="218" t="s">
        <v>3170</v>
      </c>
    </row>
    <row r="2341">
      <c r="A2341" s="430">
        <v>3.046207000195E12</v>
      </c>
      <c r="B2341" s="218" t="s">
        <v>3171</v>
      </c>
    </row>
    <row r="2342">
      <c r="A2342" s="430">
        <v>7.2256654000191E13</v>
      </c>
      <c r="B2342" s="218" t="s">
        <v>3172</v>
      </c>
    </row>
    <row r="2343">
      <c r="A2343" s="430">
        <v>7.5400218000213E13</v>
      </c>
      <c r="B2343" s="218" t="s">
        <v>3173</v>
      </c>
    </row>
    <row r="2344">
      <c r="A2344" s="430">
        <v>7.5408567000109E13</v>
      </c>
      <c r="B2344" s="218" t="s">
        <v>3174</v>
      </c>
    </row>
    <row r="2345">
      <c r="A2345" s="430">
        <v>7.5414664000104E13</v>
      </c>
      <c r="B2345" s="218" t="s">
        <v>3175</v>
      </c>
    </row>
    <row r="2346">
      <c r="A2346" s="430">
        <v>7.5415372000188E13</v>
      </c>
      <c r="B2346" s="218" t="s">
        <v>3176</v>
      </c>
    </row>
    <row r="2347">
      <c r="A2347" s="430">
        <v>7.5416818000199E13</v>
      </c>
      <c r="B2347" s="218" t="s">
        <v>3177</v>
      </c>
    </row>
    <row r="2348">
      <c r="A2348" s="430">
        <v>7.5464651000131E13</v>
      </c>
      <c r="B2348" s="218" t="s">
        <v>3178</v>
      </c>
    </row>
    <row r="2349">
      <c r="A2349" s="430">
        <v>7.5470997000142E13</v>
      </c>
      <c r="B2349" s="218" t="s">
        <v>3179</v>
      </c>
    </row>
    <row r="2350">
      <c r="A2350" s="430">
        <v>7.5062489000206E13</v>
      </c>
      <c r="B2350" s="218" t="s">
        <v>3180</v>
      </c>
    </row>
    <row r="2351">
      <c r="A2351" s="430">
        <v>7.5104422000106E13</v>
      </c>
      <c r="B2351" s="218" t="s">
        <v>3181</v>
      </c>
    </row>
    <row r="2352">
      <c r="A2352" s="430">
        <v>7.5155200000112E13</v>
      </c>
      <c r="B2352" s="218" t="s">
        <v>3182</v>
      </c>
    </row>
    <row r="2353">
      <c r="A2353" s="430">
        <v>7.5275156000184E13</v>
      </c>
      <c r="B2353" s="218" t="s">
        <v>3183</v>
      </c>
    </row>
    <row r="2354">
      <c r="A2354" s="430">
        <v>7.5279489000181E13</v>
      </c>
      <c r="B2354" s="218" t="s">
        <v>3184</v>
      </c>
    </row>
    <row r="2355">
      <c r="A2355" s="430">
        <v>7.3442436000104E13</v>
      </c>
      <c r="B2355" s="218" t="s">
        <v>3185</v>
      </c>
    </row>
    <row r="2356">
      <c r="A2356" s="430">
        <v>7.3451312000195E13</v>
      </c>
      <c r="B2356" s="218" t="s">
        <v>3186</v>
      </c>
    </row>
    <row r="2357">
      <c r="A2357" s="430">
        <v>7.3474777000161E13</v>
      </c>
      <c r="B2357" s="218" t="s">
        <v>3187</v>
      </c>
    </row>
    <row r="2358">
      <c r="A2358" s="430">
        <v>7.34780670001E13</v>
      </c>
      <c r="B2358" s="218" t="s">
        <v>3188</v>
      </c>
    </row>
    <row r="2359">
      <c r="A2359" s="430">
        <v>7.3539389000111E13</v>
      </c>
      <c r="B2359" s="218" t="s">
        <v>3189</v>
      </c>
    </row>
    <row r="2360">
      <c r="A2360" s="430">
        <v>7.3567448000246E13</v>
      </c>
      <c r="B2360" s="218" t="s">
        <v>3190</v>
      </c>
    </row>
    <row r="2361">
      <c r="A2361" s="430">
        <v>7.356876800013E12</v>
      </c>
      <c r="B2361" s="218" t="s">
        <v>3191</v>
      </c>
    </row>
    <row r="2362">
      <c r="A2362" s="430">
        <v>7.356876800013E13</v>
      </c>
      <c r="B2362" s="218" t="s">
        <v>3192</v>
      </c>
    </row>
    <row r="2363">
      <c r="A2363" s="430">
        <v>7.36166330001E13</v>
      </c>
      <c r="B2363" s="218" t="s">
        <v>3193</v>
      </c>
    </row>
    <row r="2364">
      <c r="A2364" s="430">
        <v>7.366957400012E13</v>
      </c>
      <c r="B2364" s="218" t="s">
        <v>3194</v>
      </c>
    </row>
    <row r="2365">
      <c r="A2365" s="430">
        <v>7.3722894000105E13</v>
      </c>
      <c r="B2365" s="218" t="s">
        <v>3195</v>
      </c>
    </row>
    <row r="2366">
      <c r="A2366" s="430">
        <v>7.3742306000197E13</v>
      </c>
      <c r="B2366" s="218" t="s">
        <v>3196</v>
      </c>
    </row>
    <row r="2367">
      <c r="A2367" s="430">
        <v>7.3810065000161E13</v>
      </c>
      <c r="B2367" s="218" t="s">
        <v>3197</v>
      </c>
    </row>
    <row r="2368">
      <c r="A2368" s="430">
        <v>7.3930984000183E13</v>
      </c>
      <c r="B2368" s="218" t="s">
        <v>3198</v>
      </c>
    </row>
    <row r="2369">
      <c r="A2369" s="430">
        <v>7.4020918000139E13</v>
      </c>
      <c r="B2369" s="218" t="s">
        <v>3199</v>
      </c>
    </row>
    <row r="2370">
      <c r="A2370" s="430">
        <v>7.4045840000107E13</v>
      </c>
      <c r="B2370" s="218" t="s">
        <v>3200</v>
      </c>
    </row>
    <row r="2371">
      <c r="A2371" s="430">
        <v>7.4064536000107E13</v>
      </c>
      <c r="B2371" s="218" t="s">
        <v>3201</v>
      </c>
    </row>
    <row r="2372">
      <c r="A2372" s="430">
        <v>7.4073693000189E13</v>
      </c>
      <c r="B2372" s="218" t="s">
        <v>3202</v>
      </c>
    </row>
    <row r="2373">
      <c r="A2373" s="430">
        <v>7.4098139000108E13</v>
      </c>
      <c r="B2373" s="218" t="s">
        <v>3203</v>
      </c>
    </row>
    <row r="2374">
      <c r="A2374" s="430">
        <v>7.4170143000188E13</v>
      </c>
      <c r="B2374" s="218" t="s">
        <v>3204</v>
      </c>
    </row>
    <row r="2375">
      <c r="A2375" s="430">
        <v>7.3263568000179E13</v>
      </c>
      <c r="B2375" s="218" t="s">
        <v>3205</v>
      </c>
    </row>
    <row r="2376">
      <c r="A2376" s="430">
        <v>5.795352000102E12</v>
      </c>
      <c r="B2376" s="218" t="s">
        <v>3206</v>
      </c>
    </row>
    <row r="2377">
      <c r="A2377" s="430">
        <v>2.561993000104E12</v>
      </c>
      <c r="B2377" s="218" t="s">
        <v>3207</v>
      </c>
    </row>
    <row r="2378">
      <c r="A2378" s="430">
        <v>3.603739000186E12</v>
      </c>
      <c r="B2378" s="218" t="s">
        <v>3208</v>
      </c>
    </row>
    <row r="2379">
      <c r="A2379" s="430">
        <v>2.671645000181E12</v>
      </c>
      <c r="B2379" s="218" t="s">
        <v>3209</v>
      </c>
    </row>
    <row r="2380">
      <c r="A2380" s="430">
        <v>3.168125000113E12</v>
      </c>
      <c r="B2380" s="218" t="s">
        <v>3210</v>
      </c>
    </row>
    <row r="2381">
      <c r="A2381" s="430">
        <v>7.16471100014E12</v>
      </c>
      <c r="B2381" s="218" t="s">
        <v>3211</v>
      </c>
    </row>
    <row r="2382">
      <c r="A2382" s="430">
        <v>4.9814200012E11</v>
      </c>
      <c r="B2382" s="218" t="s">
        <v>3212</v>
      </c>
    </row>
    <row r="2383">
      <c r="A2383" s="430">
        <v>6.860063000102E12</v>
      </c>
      <c r="B2383" s="218" t="s">
        <v>3213</v>
      </c>
    </row>
    <row r="2384">
      <c r="A2384" s="430">
        <v>6.132270000132E12</v>
      </c>
      <c r="B2384" s="218" t="s">
        <v>3214</v>
      </c>
    </row>
    <row r="2385">
      <c r="A2385" s="430">
        <v>5.423963000111E12</v>
      </c>
      <c r="B2385" s="218" t="s">
        <v>3215</v>
      </c>
    </row>
    <row r="2386">
      <c r="A2386" s="430">
        <v>6.746832000138E12</v>
      </c>
      <c r="B2386" s="218" t="s">
        <v>3216</v>
      </c>
    </row>
    <row r="2387">
      <c r="A2387" s="430">
        <v>4.431591900014E13</v>
      </c>
      <c r="B2387" s="218" t="s">
        <v>3217</v>
      </c>
    </row>
    <row r="2388">
      <c r="A2388" s="430">
        <v>3.849383000165E12</v>
      </c>
      <c r="B2388" s="218" t="s">
        <v>3218</v>
      </c>
    </row>
    <row r="2389">
      <c r="A2389" s="430">
        <v>8.3155804000197E13</v>
      </c>
      <c r="B2389" s="218" t="s">
        <v>3219</v>
      </c>
    </row>
    <row r="2390">
      <c r="A2390" s="430">
        <v>1.07787200011E12</v>
      </c>
      <c r="B2390" s="218" t="s">
        <v>3220</v>
      </c>
    </row>
    <row r="2391">
      <c r="A2391" s="430">
        <v>8.1546806000181E13</v>
      </c>
      <c r="B2391" s="218" t="s">
        <v>3221</v>
      </c>
    </row>
    <row r="2392">
      <c r="A2392" s="430">
        <v>5.5305100014E11</v>
      </c>
      <c r="B2392" s="218" t="s">
        <v>3222</v>
      </c>
    </row>
    <row r="2393">
      <c r="A2393" s="430">
        <v>8.518000800013E13</v>
      </c>
      <c r="B2393" s="218" t="s">
        <v>3223</v>
      </c>
    </row>
    <row r="2394">
      <c r="A2394" s="430">
        <v>3.181584000137E12</v>
      </c>
      <c r="B2394" s="218" t="s">
        <v>3224</v>
      </c>
    </row>
    <row r="2395">
      <c r="A2395" s="430">
        <v>9.1421511000132E13</v>
      </c>
      <c r="B2395" s="218" t="s">
        <v>3225</v>
      </c>
    </row>
    <row r="2396">
      <c r="A2396" s="430">
        <v>4.483711000115E12</v>
      </c>
      <c r="B2396" s="218" t="s">
        <v>3226</v>
      </c>
    </row>
    <row r="2397">
      <c r="A2397" s="430">
        <v>9.2294700015E11</v>
      </c>
      <c r="B2397" s="218" t="s">
        <v>3227</v>
      </c>
    </row>
    <row r="2398">
      <c r="A2398" s="430">
        <v>9.91768000174E11</v>
      </c>
      <c r="B2398" s="218" t="s">
        <v>3228</v>
      </c>
    </row>
    <row r="2399">
      <c r="A2399" s="430">
        <v>7.5470252000183E13</v>
      </c>
      <c r="B2399" s="218" t="s">
        <v>3229</v>
      </c>
    </row>
    <row r="2400">
      <c r="A2400" s="430">
        <v>4.75387400017E12</v>
      </c>
      <c r="B2400" s="218" t="s">
        <v>3230</v>
      </c>
    </row>
    <row r="2401">
      <c r="A2401" s="430">
        <v>2.833650000143E12</v>
      </c>
      <c r="B2401" s="218" t="s">
        <v>3231</v>
      </c>
    </row>
    <row r="2402">
      <c r="A2402" s="430">
        <v>7.945188600014E13</v>
      </c>
      <c r="B2402" s="218" t="s">
        <v>3232</v>
      </c>
    </row>
    <row r="2403">
      <c r="A2403" s="430">
        <v>2.663663000111E12</v>
      </c>
      <c r="B2403" s="218" t="s">
        <v>3233</v>
      </c>
    </row>
    <row r="2404">
      <c r="A2404" s="430">
        <v>3.3742859000125E13</v>
      </c>
      <c r="B2404" s="218" t="s">
        <v>3234</v>
      </c>
    </row>
    <row r="2405">
      <c r="A2405" s="430">
        <v>8.3611681000151E13</v>
      </c>
      <c r="B2405" s="218" t="s">
        <v>3235</v>
      </c>
    </row>
    <row r="2406">
      <c r="A2406" s="430">
        <v>8.0426257000149E13</v>
      </c>
      <c r="B2406" s="218" t="s">
        <v>3236</v>
      </c>
    </row>
    <row r="2407">
      <c r="A2407" s="430">
        <v>8.5266625000152E13</v>
      </c>
      <c r="B2407" s="218" t="s">
        <v>3237</v>
      </c>
    </row>
    <row r="2408">
      <c r="A2408" s="430">
        <v>4.50204400017E12</v>
      </c>
      <c r="B2408" s="218" t="s">
        <v>3238</v>
      </c>
    </row>
    <row r="2409">
      <c r="A2409" s="430">
        <v>8.4592369000635E13</v>
      </c>
      <c r="B2409" s="218" t="s">
        <v>3239</v>
      </c>
    </row>
    <row r="2410">
      <c r="A2410" s="430">
        <v>4.519713000117E12</v>
      </c>
      <c r="B2410" s="218" t="s">
        <v>3240</v>
      </c>
    </row>
    <row r="2411">
      <c r="A2411" s="430">
        <v>3.3457565000151E13</v>
      </c>
      <c r="B2411" s="218" t="s">
        <v>3241</v>
      </c>
    </row>
    <row r="2412">
      <c r="A2412" s="430">
        <v>3.3564543002053E13</v>
      </c>
      <c r="B2412" s="218" t="s">
        <v>3242</v>
      </c>
    </row>
    <row r="2413">
      <c r="A2413" s="430">
        <v>3.3564543033447E13</v>
      </c>
      <c r="B2413" s="218" t="s">
        <v>3243</v>
      </c>
    </row>
    <row r="2414">
      <c r="A2414" s="430">
        <v>3.383275900019E13</v>
      </c>
      <c r="B2414" s="218" t="s">
        <v>3244</v>
      </c>
    </row>
    <row r="2415">
      <c r="A2415" s="430">
        <v>3.3832759001757E13</v>
      </c>
      <c r="B2415" s="218" t="s">
        <v>3245</v>
      </c>
    </row>
    <row r="2416">
      <c r="A2416" s="430">
        <v>3.4265918000184E13</v>
      </c>
      <c r="B2416" s="218" t="s">
        <v>3246</v>
      </c>
    </row>
    <row r="2417">
      <c r="A2417" s="430">
        <v>3.48076850001E13</v>
      </c>
      <c r="B2417" s="218" t="s">
        <v>3247</v>
      </c>
    </row>
    <row r="2418">
      <c r="A2418" s="430">
        <v>5.5610968000121E13</v>
      </c>
      <c r="B2418" s="218" t="s">
        <v>3248</v>
      </c>
    </row>
    <row r="2419">
      <c r="A2419" s="430">
        <v>5.5777106000198E13</v>
      </c>
      <c r="B2419" s="218" t="s">
        <v>3249</v>
      </c>
    </row>
    <row r="2420">
      <c r="A2420" s="430">
        <v>5.5818169000147E13</v>
      </c>
      <c r="B2420" s="218" t="s">
        <v>3250</v>
      </c>
    </row>
    <row r="2421">
      <c r="A2421" s="430" t="s">
        <v>3251</v>
      </c>
      <c r="B2421" s="218" t="s">
        <v>3252</v>
      </c>
    </row>
    <row r="2422">
      <c r="A2422" s="430">
        <v>5.6024714000194E13</v>
      </c>
      <c r="B2422" s="218" t="s">
        <v>3253</v>
      </c>
    </row>
    <row r="2423">
      <c r="A2423" s="430">
        <v>5.3773933000188E13</v>
      </c>
      <c r="B2423" s="218" t="s">
        <v>3254</v>
      </c>
    </row>
    <row r="2424">
      <c r="A2424" s="430">
        <v>5.3775862000152E13</v>
      </c>
      <c r="B2424" s="218" t="s">
        <v>3255</v>
      </c>
    </row>
    <row r="2425">
      <c r="A2425" s="430">
        <v>5.3948899000135E13</v>
      </c>
      <c r="B2425" s="218" t="s">
        <v>3256</v>
      </c>
    </row>
    <row r="2426">
      <c r="A2426" s="430">
        <v>5.4171723000182E13</v>
      </c>
      <c r="B2426" s="218" t="s">
        <v>3257</v>
      </c>
    </row>
    <row r="2427">
      <c r="A2427" s="430">
        <v>4.8739101000168E13</v>
      </c>
      <c r="B2427" s="218" t="s">
        <v>3258</v>
      </c>
    </row>
    <row r="2428">
      <c r="A2428" s="430">
        <v>4.9253776000102E13</v>
      </c>
      <c r="B2428" s="218" t="s">
        <v>3259</v>
      </c>
    </row>
    <row r="2429">
      <c r="A2429" s="430">
        <v>5.625315000148E12</v>
      </c>
      <c r="B2429" s="218" t="s">
        <v>3260</v>
      </c>
    </row>
    <row r="2430">
      <c r="A2430" s="430">
        <v>8.4861210000164E13</v>
      </c>
      <c r="B2430" s="218" t="s">
        <v>3261</v>
      </c>
    </row>
    <row r="2431">
      <c r="A2431" s="430">
        <v>5.13893000012E12</v>
      </c>
      <c r="B2431" s="218" t="s">
        <v>3262</v>
      </c>
    </row>
    <row r="2432">
      <c r="A2432" s="430">
        <v>3.298154000108E12</v>
      </c>
      <c r="B2432" s="218" t="s">
        <v>3263</v>
      </c>
    </row>
    <row r="2433">
      <c r="A2433" s="430">
        <v>4.066371000127E12</v>
      </c>
      <c r="B2433" s="218" t="s">
        <v>3264</v>
      </c>
    </row>
    <row r="2434">
      <c r="A2434" s="430">
        <v>7.6585298000291E13</v>
      </c>
      <c r="B2434" s="218" t="s">
        <v>3265</v>
      </c>
    </row>
    <row r="2435">
      <c r="A2435" s="430">
        <v>4.540890000185E12</v>
      </c>
      <c r="B2435" s="218" t="s">
        <v>3266</v>
      </c>
    </row>
    <row r="2436">
      <c r="A2436" s="430">
        <v>4.620190000109E12</v>
      </c>
      <c r="B2436" s="218" t="s">
        <v>3267</v>
      </c>
    </row>
    <row r="2437">
      <c r="A2437" s="430">
        <v>3.213262000122E12</v>
      </c>
      <c r="B2437" s="218" t="s">
        <v>3268</v>
      </c>
    </row>
    <row r="2438">
      <c r="A2438" s="430">
        <v>6.745683000192E12</v>
      </c>
      <c r="B2438" s="218" t="s">
        <v>3269</v>
      </c>
    </row>
    <row r="2439">
      <c r="A2439" s="430">
        <v>5.49455500015E12</v>
      </c>
      <c r="B2439" s="218" t="s">
        <v>3270</v>
      </c>
    </row>
    <row r="2440">
      <c r="A2440" s="430">
        <v>4.581151000131E12</v>
      </c>
      <c r="B2440" s="218" t="s">
        <v>1168</v>
      </c>
    </row>
    <row r="2441">
      <c r="A2441" s="430">
        <v>3.599702000121E12</v>
      </c>
      <c r="B2441" s="218" t="s">
        <v>3271</v>
      </c>
    </row>
    <row r="2442">
      <c r="A2442" s="430">
        <v>7.835607800013E13</v>
      </c>
      <c r="B2442" s="218" t="s">
        <v>3272</v>
      </c>
    </row>
    <row r="2443">
      <c r="A2443" s="430">
        <v>4.854911000137E12</v>
      </c>
      <c r="B2443" s="218" t="s">
        <v>3273</v>
      </c>
    </row>
    <row r="2444">
      <c r="A2444" s="430">
        <v>5.116896000192E12</v>
      </c>
      <c r="B2444" s="218" t="s">
        <v>3274</v>
      </c>
    </row>
    <row r="2445">
      <c r="A2445" s="430">
        <v>2.752754000123E12</v>
      </c>
      <c r="B2445" s="218" t="s">
        <v>3275</v>
      </c>
    </row>
    <row r="2446">
      <c r="A2446" s="430">
        <v>4.29878900016E12</v>
      </c>
      <c r="B2446" s="218" t="s">
        <v>3276</v>
      </c>
    </row>
    <row r="2447">
      <c r="A2447" s="430">
        <v>6.120136000111E12</v>
      </c>
      <c r="B2447" s="218" t="s">
        <v>3277</v>
      </c>
    </row>
    <row r="2448">
      <c r="A2448" s="430">
        <v>5.158156000119E12</v>
      </c>
      <c r="B2448" s="218" t="s">
        <v>3278</v>
      </c>
    </row>
    <row r="2449">
      <c r="A2449" s="430">
        <v>7.2348170000172E13</v>
      </c>
      <c r="B2449" s="218" t="s">
        <v>3279</v>
      </c>
    </row>
    <row r="2450">
      <c r="A2450" s="430">
        <v>7.2591688000132E13</v>
      </c>
      <c r="B2450" s="218" t="s">
        <v>3280</v>
      </c>
    </row>
    <row r="2451">
      <c r="A2451" s="430">
        <v>8.5387348000136E13</v>
      </c>
      <c r="B2451" s="218" t="s">
        <v>3281</v>
      </c>
    </row>
    <row r="2452">
      <c r="A2452" s="430">
        <v>8.2892274000105E13</v>
      </c>
      <c r="B2452" s="218" t="s">
        <v>3282</v>
      </c>
    </row>
    <row r="2453">
      <c r="A2453" s="430">
        <v>8.675380000166E12</v>
      </c>
      <c r="B2453" s="218" t="s">
        <v>3283</v>
      </c>
    </row>
    <row r="2454">
      <c r="A2454" s="430">
        <v>4.6393400016E11</v>
      </c>
      <c r="B2454" s="218" t="s">
        <v>3284</v>
      </c>
    </row>
    <row r="2455">
      <c r="A2455" s="430">
        <v>7.383502000198E12</v>
      </c>
      <c r="B2455" s="218" t="s">
        <v>3285</v>
      </c>
    </row>
    <row r="2456">
      <c r="A2456" s="430">
        <v>2.329055000175E12</v>
      </c>
      <c r="B2456" s="218" t="s">
        <v>3286</v>
      </c>
    </row>
    <row r="2457">
      <c r="A2457" s="430">
        <v>7.726089000117E12</v>
      </c>
      <c r="B2457" s="218" t="s">
        <v>3287</v>
      </c>
    </row>
    <row r="2458">
      <c r="A2458" s="430">
        <v>6.31003000018E12</v>
      </c>
      <c r="B2458" s="218" t="s">
        <v>3288</v>
      </c>
    </row>
    <row r="2459">
      <c r="A2459" s="430">
        <v>1.66011400012E12</v>
      </c>
      <c r="B2459" s="218" t="s">
        <v>3289</v>
      </c>
    </row>
    <row r="2460">
      <c r="A2460" s="430">
        <v>1.503433000122E12</v>
      </c>
      <c r="B2460" s="218" t="s">
        <v>3290</v>
      </c>
    </row>
    <row r="2461">
      <c r="A2461" s="430">
        <v>4.838602000173E12</v>
      </c>
      <c r="B2461" s="218" t="s">
        <v>3291</v>
      </c>
    </row>
    <row r="2462">
      <c r="A2462" s="430">
        <v>7.587881000138E12</v>
      </c>
      <c r="B2462" s="218" t="s">
        <v>3292</v>
      </c>
    </row>
    <row r="2463">
      <c r="A2463" s="430">
        <v>4.310261000169E12</v>
      </c>
      <c r="B2463" s="218" t="s">
        <v>3293</v>
      </c>
    </row>
    <row r="2464">
      <c r="A2464" s="430">
        <v>3.76656000103E11</v>
      </c>
      <c r="B2464" s="218" t="s">
        <v>3294</v>
      </c>
    </row>
    <row r="2465">
      <c r="A2465" s="430">
        <v>4.1499650001E12</v>
      </c>
      <c r="B2465" s="218" t="s">
        <v>3295</v>
      </c>
    </row>
    <row r="2466">
      <c r="A2466" s="430">
        <v>7.7134211000141E13</v>
      </c>
      <c r="B2466" s="218" t="s">
        <v>3296</v>
      </c>
    </row>
    <row r="2467">
      <c r="A2467" s="430">
        <v>2.656438000239E12</v>
      </c>
      <c r="B2467" s="218" t="s">
        <v>3297</v>
      </c>
    </row>
    <row r="2468">
      <c r="A2468" s="430">
        <v>8.132625800077E13</v>
      </c>
      <c r="B2468" s="218" t="s">
        <v>3298</v>
      </c>
    </row>
    <row r="2469">
      <c r="A2469" s="430">
        <v>4.590539000107E12</v>
      </c>
      <c r="B2469" s="218" t="s">
        <v>3299</v>
      </c>
    </row>
    <row r="2470">
      <c r="A2470" s="430">
        <v>2.59301800017E12</v>
      </c>
      <c r="B2470" s="218" t="s">
        <v>3300</v>
      </c>
    </row>
    <row r="2471">
      <c r="A2471" s="430">
        <v>3.143756000188E12</v>
      </c>
      <c r="B2471" s="218" t="s">
        <v>3301</v>
      </c>
    </row>
    <row r="2472">
      <c r="A2472" s="430">
        <v>8.2956244000107E13</v>
      </c>
      <c r="B2472" s="218" t="s">
        <v>3302</v>
      </c>
    </row>
    <row r="2473">
      <c r="A2473" s="430">
        <v>9.577398200016E13</v>
      </c>
      <c r="B2473" s="218" t="s">
        <v>3303</v>
      </c>
    </row>
    <row r="2474">
      <c r="A2474" s="430">
        <v>8.6252046000113E13</v>
      </c>
      <c r="B2474" s="218" t="s">
        <v>3304</v>
      </c>
    </row>
    <row r="2475">
      <c r="A2475" s="430">
        <v>6.0859519000151E13</v>
      </c>
      <c r="B2475" s="218" t="s">
        <v>3305</v>
      </c>
    </row>
    <row r="2476">
      <c r="A2476" s="430">
        <v>3.584678000157E12</v>
      </c>
      <c r="B2476" s="218" t="s">
        <v>3306</v>
      </c>
    </row>
    <row r="2477">
      <c r="A2477" s="430">
        <v>1.0089930001E12</v>
      </c>
      <c r="B2477" s="218" t="s">
        <v>3307</v>
      </c>
    </row>
    <row r="2478">
      <c r="A2478" s="430">
        <v>4.74590900012E12</v>
      </c>
      <c r="B2478" s="218" t="s">
        <v>3308</v>
      </c>
    </row>
    <row r="2479">
      <c r="A2479" s="430">
        <v>8.3851345000186E13</v>
      </c>
      <c r="B2479" s="218" t="s">
        <v>3309</v>
      </c>
    </row>
    <row r="2480">
      <c r="A2480" s="430">
        <v>3.508407000112E12</v>
      </c>
      <c r="B2480" s="218" t="s">
        <v>3310</v>
      </c>
    </row>
    <row r="2481">
      <c r="A2481" s="430">
        <v>6.119816400016E13</v>
      </c>
      <c r="B2481" s="218" t="s">
        <v>3311</v>
      </c>
    </row>
    <row r="2482">
      <c r="A2482" s="430">
        <v>1.312265000198E12</v>
      </c>
      <c r="B2482" s="218" t="s">
        <v>3312</v>
      </c>
    </row>
    <row r="2483">
      <c r="A2483" s="430">
        <v>6.6588100016E11</v>
      </c>
      <c r="B2483" s="218" t="s">
        <v>3313</v>
      </c>
    </row>
    <row r="2484">
      <c r="A2484" s="430">
        <v>1.747720000188E12</v>
      </c>
      <c r="B2484" s="218" t="s">
        <v>3314</v>
      </c>
    </row>
    <row r="2485">
      <c r="A2485" s="430">
        <v>7.2317282000166E13</v>
      </c>
      <c r="B2485" s="218" t="s">
        <v>3315</v>
      </c>
    </row>
    <row r="2486">
      <c r="A2486" s="430">
        <v>8.2535675000876E13</v>
      </c>
      <c r="B2486" s="218" t="s">
        <v>974</v>
      </c>
    </row>
    <row r="2487">
      <c r="A2487" s="430">
        <v>8.5219558000115E13</v>
      </c>
      <c r="B2487" s="218" t="s">
        <v>3316</v>
      </c>
    </row>
    <row r="2488">
      <c r="A2488" s="430">
        <v>7.9283065000141E13</v>
      </c>
      <c r="B2488" s="218" t="s">
        <v>3317</v>
      </c>
    </row>
    <row r="2489">
      <c r="A2489" s="430">
        <v>8.2890328000195E13</v>
      </c>
      <c r="B2489" s="218" t="s">
        <v>3318</v>
      </c>
    </row>
    <row r="2490">
      <c r="A2490" s="430">
        <v>8.1031858000115E13</v>
      </c>
      <c r="B2490" s="218" t="s">
        <v>3319</v>
      </c>
    </row>
    <row r="2491">
      <c r="A2491" s="430">
        <v>8.5405744000149E13</v>
      </c>
      <c r="B2491" s="218" t="s">
        <v>3320</v>
      </c>
    </row>
    <row r="2492">
      <c r="A2492" s="430">
        <v>8.2963836000156E13</v>
      </c>
      <c r="B2492" s="218" t="s">
        <v>3321</v>
      </c>
    </row>
    <row r="2493">
      <c r="A2493" s="430">
        <v>4.989956000119E12</v>
      </c>
      <c r="B2493" s="218" t="s">
        <v>3322</v>
      </c>
    </row>
    <row r="2494">
      <c r="A2494" s="430">
        <v>3.158525000148E12</v>
      </c>
      <c r="B2494" s="218" t="s">
        <v>3323</v>
      </c>
    </row>
    <row r="2495">
      <c r="A2495" s="430">
        <v>7.8977071000136E13</v>
      </c>
      <c r="B2495" s="218" t="s">
        <v>3324</v>
      </c>
    </row>
    <row r="2496">
      <c r="A2496" s="430">
        <v>9.4374253000179E13</v>
      </c>
      <c r="B2496" s="218" t="s">
        <v>3325</v>
      </c>
    </row>
    <row r="2497">
      <c r="A2497" s="430">
        <v>1.74282000143E11</v>
      </c>
      <c r="B2497" s="218" t="s">
        <v>3326</v>
      </c>
    </row>
    <row r="2498">
      <c r="A2498" s="430">
        <v>5.099250000144E12</v>
      </c>
      <c r="B2498" s="218" t="s">
        <v>3327</v>
      </c>
    </row>
    <row r="2499">
      <c r="A2499" s="430">
        <v>3.821728000172E12</v>
      </c>
      <c r="B2499" s="218" t="s">
        <v>3328</v>
      </c>
    </row>
    <row r="2500">
      <c r="A2500" s="430">
        <v>7.65852980001E13</v>
      </c>
      <c r="B2500" s="218" t="s">
        <v>3329</v>
      </c>
    </row>
    <row r="2501">
      <c r="A2501" s="430">
        <v>8.94561000181E11</v>
      </c>
      <c r="B2501" s="218" t="s">
        <v>3330</v>
      </c>
    </row>
    <row r="2502">
      <c r="A2502" s="430">
        <v>9.5857249000124E13</v>
      </c>
      <c r="B2502" s="218" t="s">
        <v>3331</v>
      </c>
    </row>
    <row r="2503">
      <c r="A2503" s="430">
        <v>5.214518000141E12</v>
      </c>
      <c r="B2503" s="218" t="s">
        <v>3332</v>
      </c>
    </row>
    <row r="2504">
      <c r="A2504" s="430">
        <v>8.3713057000165E13</v>
      </c>
      <c r="B2504" s="218" t="s">
        <v>3333</v>
      </c>
    </row>
    <row r="2505">
      <c r="A2505" s="430">
        <v>1.106498000134E12</v>
      </c>
      <c r="B2505" s="218" t="s">
        <v>3334</v>
      </c>
    </row>
    <row r="2506">
      <c r="A2506" s="430">
        <v>4.427253000105E12</v>
      </c>
      <c r="B2506" s="218" t="s">
        <v>3335</v>
      </c>
    </row>
    <row r="2507">
      <c r="A2507" s="430">
        <v>9.0917964000353E13</v>
      </c>
      <c r="B2507" s="218" t="s">
        <v>3336</v>
      </c>
    </row>
    <row r="2508">
      <c r="A2508" s="430">
        <v>3.952368000148E12</v>
      </c>
      <c r="B2508" s="218" t="s">
        <v>3337</v>
      </c>
    </row>
    <row r="2509">
      <c r="A2509" s="430">
        <v>4.102978000115E12</v>
      </c>
      <c r="B2509" s="218" t="s">
        <v>3338</v>
      </c>
    </row>
    <row r="2510">
      <c r="A2510" s="430">
        <v>2.916030000178E12</v>
      </c>
      <c r="B2510" s="218" t="s">
        <v>3339</v>
      </c>
    </row>
    <row r="2511">
      <c r="A2511" s="430">
        <v>4.368898000106E12</v>
      </c>
      <c r="B2511" s="218" t="s">
        <v>3340</v>
      </c>
    </row>
    <row r="2512">
      <c r="A2512" s="430">
        <v>3.135637000183E12</v>
      </c>
      <c r="B2512" s="218" t="s">
        <v>3341</v>
      </c>
    </row>
    <row r="2513">
      <c r="A2513" s="430">
        <v>7.05069400011E12</v>
      </c>
      <c r="B2513" s="218" t="s">
        <v>3342</v>
      </c>
    </row>
    <row r="2514">
      <c r="A2514" s="430">
        <v>3.5764562000196E13</v>
      </c>
      <c r="B2514" s="218" t="s">
        <v>3343</v>
      </c>
    </row>
    <row r="2515">
      <c r="A2515" s="430">
        <v>4.634373000175E12</v>
      </c>
      <c r="B2515" s="218" t="s">
        <v>3344</v>
      </c>
    </row>
    <row r="2516">
      <c r="A2516" s="430">
        <v>4.3999630000124E13</v>
      </c>
      <c r="B2516" s="218" t="s">
        <v>3345</v>
      </c>
    </row>
    <row r="2517">
      <c r="A2517" s="430">
        <v>6.161105000109E12</v>
      </c>
      <c r="B2517" s="218" t="s">
        <v>3346</v>
      </c>
    </row>
    <row r="2518">
      <c r="A2518" s="430">
        <v>2.77362900524E12</v>
      </c>
      <c r="B2518" s="218" t="s">
        <v>2093</v>
      </c>
    </row>
    <row r="2519">
      <c r="A2519" s="430">
        <v>5.414808000139E12</v>
      </c>
      <c r="B2519" s="218" t="s">
        <v>3347</v>
      </c>
    </row>
    <row r="2520">
      <c r="A2520" s="430">
        <v>4.62754200022E12</v>
      </c>
      <c r="B2520" s="218" t="s">
        <v>3348</v>
      </c>
    </row>
    <row r="2521">
      <c r="A2521" s="430">
        <v>5.922461000135E12</v>
      </c>
      <c r="B2521" s="218" t="s">
        <v>3349</v>
      </c>
    </row>
    <row r="2522">
      <c r="A2522" s="430">
        <v>9.1227108000177E13</v>
      </c>
      <c r="B2522" s="218" t="s">
        <v>3350</v>
      </c>
    </row>
    <row r="2523">
      <c r="A2523" s="430">
        <v>4.925303000176E12</v>
      </c>
      <c r="B2523" s="218" t="s">
        <v>3351</v>
      </c>
    </row>
    <row r="2524">
      <c r="A2524" s="430">
        <v>7.925153400014E13</v>
      </c>
      <c r="B2524" s="218" t="s">
        <v>3352</v>
      </c>
    </row>
    <row r="2525">
      <c r="A2525" s="430">
        <v>2.883177000109E12</v>
      </c>
      <c r="B2525" s="218" t="s">
        <v>3353</v>
      </c>
    </row>
    <row r="2526">
      <c r="A2526" s="430">
        <v>4.97602000104E11</v>
      </c>
      <c r="B2526" s="218" t="s">
        <v>3354</v>
      </c>
    </row>
    <row r="2527">
      <c r="A2527" s="430">
        <v>3.3372251002876E13</v>
      </c>
      <c r="B2527" s="218" t="s">
        <v>3355</v>
      </c>
    </row>
    <row r="2528">
      <c r="A2528" s="430">
        <v>7.682391300017E13</v>
      </c>
      <c r="B2528" s="218" t="s">
        <v>3356</v>
      </c>
    </row>
    <row r="2529">
      <c r="A2529" s="430">
        <v>9.577095400019E13</v>
      </c>
      <c r="B2529" s="218" t="s">
        <v>3357</v>
      </c>
    </row>
    <row r="2530">
      <c r="A2530" s="430">
        <v>8.387449500061E13</v>
      </c>
      <c r="B2530" s="218" t="s">
        <v>2682</v>
      </c>
    </row>
    <row r="2531">
      <c r="A2531" s="430">
        <v>8.53325830001E13</v>
      </c>
      <c r="B2531" s="218" t="s">
        <v>3358</v>
      </c>
    </row>
    <row r="2532">
      <c r="A2532" s="430">
        <v>4.024413000167E12</v>
      </c>
      <c r="B2532" s="218" t="s">
        <v>3359</v>
      </c>
    </row>
    <row r="2533">
      <c r="A2533" s="430">
        <v>8.290940900019E13</v>
      </c>
      <c r="B2533" s="218" t="s">
        <v>3360</v>
      </c>
    </row>
    <row r="2534">
      <c r="A2534" s="430">
        <v>2.993971000105E12</v>
      </c>
      <c r="B2534" s="218" t="s">
        <v>3361</v>
      </c>
    </row>
    <row r="2535">
      <c r="A2535" s="430">
        <v>2.811258000101E12</v>
      </c>
      <c r="B2535" s="218" t="s">
        <v>3362</v>
      </c>
    </row>
    <row r="2536">
      <c r="A2536" s="430">
        <v>7.08263400018E12</v>
      </c>
      <c r="B2536" s="218" t="s">
        <v>3363</v>
      </c>
    </row>
    <row r="2537">
      <c r="A2537" s="430">
        <v>7.206987000144E12</v>
      </c>
      <c r="B2537" s="218" t="s">
        <v>3364</v>
      </c>
    </row>
    <row r="2538">
      <c r="A2538" s="430">
        <v>3.3402892000106E13</v>
      </c>
      <c r="B2538" s="218" t="s">
        <v>3365</v>
      </c>
    </row>
    <row r="2539">
      <c r="A2539" s="430">
        <v>3.3402892000297E13</v>
      </c>
      <c r="B2539" s="218" t="s">
        <v>3365</v>
      </c>
    </row>
    <row r="2540">
      <c r="A2540" s="430">
        <v>4.81841000168E11</v>
      </c>
      <c r="B2540" s="218" t="s">
        <v>3366</v>
      </c>
    </row>
    <row r="2541">
      <c r="A2541" s="430">
        <v>6.156356000103E12</v>
      </c>
      <c r="B2541" s="218" t="s">
        <v>3367</v>
      </c>
    </row>
    <row r="2542">
      <c r="A2542" s="430">
        <v>4.01372600011E12</v>
      </c>
      <c r="B2542" s="218" t="s">
        <v>3368</v>
      </c>
    </row>
    <row r="2543">
      <c r="A2543" s="430">
        <v>8.02002000102E11</v>
      </c>
      <c r="B2543" s="218" t="s">
        <v>3369</v>
      </c>
    </row>
    <row r="2544">
      <c r="A2544" s="430">
        <v>3.964470000163E12</v>
      </c>
      <c r="B2544" s="218" t="s">
        <v>3370</v>
      </c>
    </row>
    <row r="2545">
      <c r="A2545" s="430">
        <v>3.87113000191E11</v>
      </c>
      <c r="B2545" s="218" t="s">
        <v>3371</v>
      </c>
    </row>
    <row r="2546">
      <c r="A2546" s="430">
        <v>5.4089404000122E13</v>
      </c>
      <c r="B2546" s="218" t="s">
        <v>3372</v>
      </c>
    </row>
    <row r="2547">
      <c r="A2547" s="430">
        <v>7.3931628000184E13</v>
      </c>
      <c r="B2547" s="218" t="s">
        <v>3373</v>
      </c>
    </row>
    <row r="2548">
      <c r="A2548" s="430">
        <v>9.584354600011E13</v>
      </c>
      <c r="B2548" s="218" t="s">
        <v>3374</v>
      </c>
    </row>
    <row r="2549">
      <c r="A2549" s="430">
        <v>9.566910001E11</v>
      </c>
      <c r="B2549" s="218" t="s">
        <v>3375</v>
      </c>
    </row>
    <row r="2550">
      <c r="A2550" s="430">
        <v>8.5378503001634E13</v>
      </c>
      <c r="B2550" s="218" t="s">
        <v>3376</v>
      </c>
    </row>
    <row r="2551">
      <c r="A2551" s="430">
        <v>5.509590000104E12</v>
      </c>
      <c r="B2551" s="218" t="s">
        <v>3377</v>
      </c>
    </row>
    <row r="2552">
      <c r="A2552" s="430">
        <v>9.5806667000192E13</v>
      </c>
      <c r="B2552" s="218" t="s">
        <v>3378</v>
      </c>
    </row>
    <row r="2553">
      <c r="A2553" s="430">
        <v>1.19937600013E12</v>
      </c>
      <c r="B2553" s="218" t="s">
        <v>3379</v>
      </c>
    </row>
    <row r="2554">
      <c r="A2554" s="430">
        <v>2.757021000181E12</v>
      </c>
      <c r="B2554" s="218" t="s">
        <v>3380</v>
      </c>
    </row>
    <row r="2555">
      <c r="A2555" s="430">
        <v>7.537001500014E13</v>
      </c>
      <c r="B2555" s="218" t="s">
        <v>3381</v>
      </c>
    </row>
    <row r="2556">
      <c r="A2556" s="430">
        <v>2.357582000193E12</v>
      </c>
      <c r="B2556" s="218" t="s">
        <v>3382</v>
      </c>
    </row>
    <row r="2557">
      <c r="A2557" s="430">
        <v>6.612945300012E13</v>
      </c>
      <c r="B2557" s="218" t="s">
        <v>3383</v>
      </c>
    </row>
    <row r="2558">
      <c r="A2558" s="430">
        <v>5.75356000153E11</v>
      </c>
      <c r="B2558" s="218" t="s">
        <v>3384</v>
      </c>
    </row>
    <row r="2559">
      <c r="A2559" s="430">
        <v>3.072391000148E12</v>
      </c>
      <c r="B2559" s="218" t="s">
        <v>3385</v>
      </c>
    </row>
    <row r="2560">
      <c r="A2560" s="430">
        <v>2.39347000191E11</v>
      </c>
      <c r="B2560" s="218" t="s">
        <v>3386</v>
      </c>
    </row>
    <row r="2561">
      <c r="A2561" s="430">
        <v>5.486290000149E12</v>
      </c>
      <c r="B2561" s="218" t="s">
        <v>3387</v>
      </c>
    </row>
    <row r="2562">
      <c r="A2562" s="430">
        <v>5.927579200015E13</v>
      </c>
      <c r="B2562" s="218" t="s">
        <v>3388</v>
      </c>
    </row>
    <row r="2563">
      <c r="A2563" s="430">
        <v>5.31931300012E12</v>
      </c>
      <c r="B2563" s="218" t="s">
        <v>3389</v>
      </c>
    </row>
    <row r="2564">
      <c r="A2564" s="430">
        <v>5.0562440001E12</v>
      </c>
      <c r="B2564" s="218" t="s">
        <v>3390</v>
      </c>
    </row>
    <row r="2565">
      <c r="A2565" s="430">
        <v>1.545327000101E12</v>
      </c>
      <c r="B2565" s="218" t="s">
        <v>3391</v>
      </c>
    </row>
    <row r="2566">
      <c r="A2566" s="430">
        <v>5.275173000136E12</v>
      </c>
      <c r="B2566" s="218" t="s">
        <v>3392</v>
      </c>
    </row>
    <row r="2567">
      <c r="A2567" s="430">
        <v>5.818625000189E12</v>
      </c>
      <c r="B2567" s="218" t="s">
        <v>3393</v>
      </c>
    </row>
    <row r="2568">
      <c r="A2568" s="430">
        <v>7.150924000113E12</v>
      </c>
      <c r="B2568" s="218" t="s">
        <v>3394</v>
      </c>
    </row>
    <row r="2569">
      <c r="A2569" s="430">
        <v>1.210342000107E12</v>
      </c>
      <c r="B2569" s="218" t="s">
        <v>3395</v>
      </c>
    </row>
    <row r="2570">
      <c r="A2570" s="430">
        <v>2.250287000133E12</v>
      </c>
      <c r="B2570" s="218" t="s">
        <v>3396</v>
      </c>
    </row>
    <row r="2571">
      <c r="A2571" s="430">
        <v>9.87340000158E11</v>
      </c>
      <c r="B2571" s="218" t="s">
        <v>3397</v>
      </c>
    </row>
    <row r="2572">
      <c r="A2572" s="430">
        <v>5.934545000199E12</v>
      </c>
      <c r="B2572" s="218" t="s">
        <v>3398</v>
      </c>
    </row>
    <row r="2573">
      <c r="A2573" s="430">
        <v>1.855890000186E12</v>
      </c>
      <c r="B2573" s="218" t="s">
        <v>3399</v>
      </c>
    </row>
    <row r="2574">
      <c r="A2574" s="430">
        <v>7.00127000113E11</v>
      </c>
      <c r="B2574" s="218" t="s">
        <v>3400</v>
      </c>
    </row>
    <row r="2575">
      <c r="A2575" s="430">
        <v>8.1607707000162E13</v>
      </c>
      <c r="B2575" s="218" t="s">
        <v>3401</v>
      </c>
    </row>
    <row r="2576">
      <c r="A2576" s="430">
        <v>8.3892174000133E13</v>
      </c>
      <c r="B2576" s="218" t="s">
        <v>3402</v>
      </c>
    </row>
    <row r="2577">
      <c r="A2577" s="430">
        <v>7.8537503000198E13</v>
      </c>
      <c r="B2577" s="218" t="s">
        <v>3403</v>
      </c>
    </row>
    <row r="2578">
      <c r="A2578" s="430">
        <v>7.9227526000169E13</v>
      </c>
      <c r="B2578" s="218" t="s">
        <v>3404</v>
      </c>
    </row>
    <row r="2579">
      <c r="A2579" s="430">
        <v>6.68382000126E11</v>
      </c>
      <c r="B2579" s="218" t="s">
        <v>3405</v>
      </c>
    </row>
    <row r="2580">
      <c r="A2580" s="430">
        <v>8.2154741000191E13</v>
      </c>
      <c r="B2580" s="218" t="s">
        <v>3406</v>
      </c>
    </row>
    <row r="2581">
      <c r="A2581" s="430">
        <v>2.010911000125E12</v>
      </c>
      <c r="B2581" s="218" t="s">
        <v>3407</v>
      </c>
    </row>
    <row r="2582">
      <c r="A2582" s="430">
        <v>2.474862000181E12</v>
      </c>
      <c r="B2582" s="218" t="s">
        <v>3408</v>
      </c>
    </row>
    <row r="2583">
      <c r="A2583" s="430">
        <v>8.2949785000108E13</v>
      </c>
      <c r="B2583" s="218" t="s">
        <v>3409</v>
      </c>
    </row>
    <row r="2584">
      <c r="A2584" s="430">
        <v>7.5285965000177E13</v>
      </c>
      <c r="B2584" s="218" t="s">
        <v>3410</v>
      </c>
    </row>
    <row r="2585">
      <c r="A2585" s="430">
        <v>9.5798286000109E13</v>
      </c>
      <c r="B2585" s="218" t="s">
        <v>3411</v>
      </c>
    </row>
    <row r="2586">
      <c r="A2586" s="430">
        <v>8.0747702000172E13</v>
      </c>
      <c r="B2586" s="218" t="s">
        <v>3412</v>
      </c>
    </row>
    <row r="2587">
      <c r="A2587" s="430">
        <v>8.5215051000193E13</v>
      </c>
      <c r="B2587" s="218" t="s">
        <v>3413</v>
      </c>
    </row>
    <row r="2588">
      <c r="A2588" s="430">
        <v>8.3512657000165E13</v>
      </c>
      <c r="B2588" s="218" t="s">
        <v>3414</v>
      </c>
    </row>
    <row r="2589">
      <c r="A2589" s="430">
        <v>4.4198172000189E13</v>
      </c>
      <c r="B2589" s="218" t="s">
        <v>3415</v>
      </c>
    </row>
    <row r="2590">
      <c r="A2590" s="430">
        <v>4.516940600013E13</v>
      </c>
      <c r="B2590" s="218" t="s">
        <v>3416</v>
      </c>
    </row>
    <row r="2591">
      <c r="A2591" s="430">
        <v>4.5621992000248E13</v>
      </c>
      <c r="B2591" s="218" t="s">
        <v>3417</v>
      </c>
    </row>
    <row r="2592">
      <c r="A2592" s="430">
        <v>4.5691227000169E13</v>
      </c>
      <c r="B2592" s="218" t="s">
        <v>3418</v>
      </c>
    </row>
    <row r="2593">
      <c r="A2593" s="430">
        <v>4.6078432001783E13</v>
      </c>
      <c r="B2593" s="218" t="s">
        <v>3419</v>
      </c>
    </row>
    <row r="2594">
      <c r="A2594" s="430">
        <v>4.637553100016E13</v>
      </c>
      <c r="B2594" s="218" t="s">
        <v>3420</v>
      </c>
    </row>
    <row r="2595">
      <c r="A2595" s="430">
        <v>6.1405858000716E13</v>
      </c>
      <c r="B2595" s="218" t="s">
        <v>3421</v>
      </c>
    </row>
    <row r="2596">
      <c r="A2596" s="430">
        <v>6.1460762000831E13</v>
      </c>
      <c r="B2596" s="218" t="s">
        <v>3422</v>
      </c>
    </row>
    <row r="2597">
      <c r="A2597" s="430">
        <v>6.1460762008573E13</v>
      </c>
      <c r="B2597" s="218" t="s">
        <v>3423</v>
      </c>
    </row>
    <row r="2598">
      <c r="A2598" s="430">
        <v>6.1460952000182E13</v>
      </c>
      <c r="B2598" s="218" t="s">
        <v>3424</v>
      </c>
    </row>
    <row r="2599">
      <c r="A2599" s="430">
        <v>6.1461034000178E13</v>
      </c>
      <c r="B2599" s="218" t="s">
        <v>3425</v>
      </c>
    </row>
    <row r="2600">
      <c r="A2600" s="430">
        <v>5.9893560000165E13</v>
      </c>
      <c r="B2600" s="218" t="s">
        <v>3426</v>
      </c>
    </row>
    <row r="2601">
      <c r="A2601" s="430">
        <v>6.0207768000162E13</v>
      </c>
      <c r="B2601" s="218" t="s">
        <v>3427</v>
      </c>
    </row>
    <row r="2602">
      <c r="A2602" s="430">
        <v>1.92081900013E12</v>
      </c>
      <c r="B2602" s="218" t="s">
        <v>3428</v>
      </c>
    </row>
    <row r="2603">
      <c r="A2603" s="430">
        <v>8.3518407000132E13</v>
      </c>
      <c r="B2603" s="218" t="s">
        <v>3429</v>
      </c>
    </row>
    <row r="2604">
      <c r="A2604" s="430">
        <v>7.3930000175E10</v>
      </c>
      <c r="B2604" s="218" t="s">
        <v>3430</v>
      </c>
    </row>
    <row r="2605">
      <c r="A2605" s="430">
        <v>2.531343000108E12</v>
      </c>
      <c r="B2605" s="218" t="s">
        <v>3431</v>
      </c>
    </row>
    <row r="2606">
      <c r="A2606" s="430">
        <v>8.0448442000134E13</v>
      </c>
      <c r="B2606" s="218" t="s">
        <v>3432</v>
      </c>
    </row>
    <row r="2607">
      <c r="A2607" s="430">
        <v>1.028936000193E12</v>
      </c>
      <c r="B2607" s="218" t="s">
        <v>3433</v>
      </c>
    </row>
    <row r="2608">
      <c r="A2608" s="430">
        <v>3.8841433000142E13</v>
      </c>
      <c r="B2608" s="218" t="s">
        <v>3434</v>
      </c>
    </row>
    <row r="2609">
      <c r="A2609" s="430">
        <v>2.872296000166E12</v>
      </c>
      <c r="B2609" s="218" t="s">
        <v>3435</v>
      </c>
    </row>
    <row r="2610">
      <c r="A2610" s="430">
        <v>7.6157676000155E13</v>
      </c>
      <c r="B2610" s="218" t="s">
        <v>3436</v>
      </c>
    </row>
    <row r="2611">
      <c r="A2611" s="430">
        <v>4.528569000185E12</v>
      </c>
      <c r="B2611" s="218" t="s">
        <v>3437</v>
      </c>
    </row>
    <row r="2612">
      <c r="A2612" s="430">
        <v>3.619930000116E12</v>
      </c>
      <c r="B2612" s="218" t="s">
        <v>3438</v>
      </c>
    </row>
    <row r="2613">
      <c r="A2613" s="430">
        <v>2.125249000159E12</v>
      </c>
      <c r="B2613" s="218" t="s">
        <v>3439</v>
      </c>
    </row>
    <row r="2614">
      <c r="A2614" s="430">
        <v>9.1411371000111E13</v>
      </c>
      <c r="B2614" s="218" t="s">
        <v>3440</v>
      </c>
    </row>
    <row r="2615">
      <c r="A2615" s="430">
        <v>7.7954659000101E13</v>
      </c>
      <c r="B2615" s="218" t="s">
        <v>3441</v>
      </c>
    </row>
    <row r="2616">
      <c r="A2616" s="430">
        <v>3.604805000132E12</v>
      </c>
      <c r="B2616" s="218" t="s">
        <v>3442</v>
      </c>
    </row>
    <row r="2617">
      <c r="A2617" s="430">
        <v>4.9228695000152E13</v>
      </c>
      <c r="B2617" s="218" t="s">
        <v>3443</v>
      </c>
    </row>
    <row r="2618">
      <c r="A2618" s="430">
        <v>6.993347000169E12</v>
      </c>
      <c r="B2618" s="218" t="s">
        <v>3444</v>
      </c>
    </row>
    <row r="2619">
      <c r="A2619" s="430">
        <v>5.411354000142E12</v>
      </c>
      <c r="B2619" s="218" t="s">
        <v>3445</v>
      </c>
    </row>
    <row r="2620">
      <c r="A2620" s="430">
        <v>4.7207923000182E13</v>
      </c>
      <c r="B2620" s="218" t="s">
        <v>3446</v>
      </c>
    </row>
    <row r="2621">
      <c r="A2621" s="430">
        <v>2.903051000159E12</v>
      </c>
      <c r="B2621" s="218" t="s">
        <v>3447</v>
      </c>
    </row>
    <row r="2622">
      <c r="A2622" s="430">
        <v>4.273060000139E12</v>
      </c>
      <c r="B2622" s="218" t="s">
        <v>3448</v>
      </c>
    </row>
    <row r="2623">
      <c r="A2623" s="430">
        <v>5.879114000177E12</v>
      </c>
      <c r="B2623" s="218" t="s">
        <v>3449</v>
      </c>
    </row>
    <row r="2624">
      <c r="A2624" s="430">
        <v>7.2326267000184E13</v>
      </c>
      <c r="B2624" s="218" t="s">
        <v>3450</v>
      </c>
    </row>
    <row r="2625">
      <c r="A2625" s="430">
        <v>8.1516106000144E13</v>
      </c>
      <c r="B2625" s="218" t="s">
        <v>3451</v>
      </c>
    </row>
    <row r="2626">
      <c r="A2626" s="430">
        <v>2.264011000104E12</v>
      </c>
      <c r="B2626" s="218" t="s">
        <v>3452</v>
      </c>
    </row>
    <row r="2627">
      <c r="A2627" s="430">
        <v>6.93173000132E11</v>
      </c>
      <c r="B2627" s="218" t="s">
        <v>3453</v>
      </c>
    </row>
    <row r="2628">
      <c r="A2628" s="430">
        <v>2.97902400016E12</v>
      </c>
      <c r="B2628" s="218" t="s">
        <v>3454</v>
      </c>
    </row>
    <row r="2629">
      <c r="A2629" s="430">
        <v>2.963216000188E12</v>
      </c>
      <c r="B2629" s="218" t="s">
        <v>3455</v>
      </c>
    </row>
    <row r="2630">
      <c r="A2630" s="430">
        <v>8.170140100017E13</v>
      </c>
      <c r="B2630" s="218" t="s">
        <v>3456</v>
      </c>
    </row>
    <row r="2631">
      <c r="A2631" s="430">
        <v>8.3403816000193E13</v>
      </c>
      <c r="B2631" s="218" t="s">
        <v>3457</v>
      </c>
    </row>
    <row r="2632">
      <c r="A2632" s="430">
        <v>8.0452998000102E13</v>
      </c>
      <c r="B2632" s="218" t="s">
        <v>3458</v>
      </c>
    </row>
    <row r="2633">
      <c r="A2633" s="430">
        <v>1.77524200011E12</v>
      </c>
      <c r="B2633" s="218" t="s">
        <v>3459</v>
      </c>
    </row>
    <row r="2634">
      <c r="A2634" s="430">
        <v>1.277450000199E12</v>
      </c>
      <c r="B2634" s="218" t="s">
        <v>3460</v>
      </c>
    </row>
    <row r="2635">
      <c r="A2635" s="430">
        <v>2.067651000124E12</v>
      </c>
      <c r="B2635" s="218" t="s">
        <v>3461</v>
      </c>
    </row>
    <row r="2636">
      <c r="A2636" s="430">
        <v>1.405667000137E12</v>
      </c>
      <c r="B2636" s="218" t="s">
        <v>3462</v>
      </c>
    </row>
    <row r="2637">
      <c r="A2637" s="430">
        <v>8.050007700024E13</v>
      </c>
      <c r="B2637" s="218" t="s">
        <v>3463</v>
      </c>
    </row>
    <row r="2638">
      <c r="A2638" s="430">
        <v>3.32358000111E11</v>
      </c>
      <c r="B2638" s="218" t="s">
        <v>3464</v>
      </c>
    </row>
    <row r="2639">
      <c r="A2639" s="430">
        <v>8.3049312000117E13</v>
      </c>
      <c r="B2639" s="218" t="s">
        <v>3465</v>
      </c>
    </row>
    <row r="2640">
      <c r="A2640" s="430">
        <v>7.6816362000117E13</v>
      </c>
      <c r="B2640" s="218" t="s">
        <v>3466</v>
      </c>
    </row>
    <row r="2641">
      <c r="A2641" s="430">
        <v>8.5396638000146E13</v>
      </c>
      <c r="B2641" s="218" t="s">
        <v>3467</v>
      </c>
    </row>
    <row r="2642">
      <c r="A2642" s="430">
        <v>8.3121210000165E13</v>
      </c>
      <c r="B2642" s="218" t="s">
        <v>3468</v>
      </c>
    </row>
    <row r="2643">
      <c r="A2643" s="430">
        <v>7.5404335000174E13</v>
      </c>
      <c r="B2643" s="218" t="s">
        <v>3469</v>
      </c>
    </row>
    <row r="2644">
      <c r="A2644" s="430">
        <v>6.78044000175E11</v>
      </c>
      <c r="B2644" s="218" t="s">
        <v>3470</v>
      </c>
    </row>
    <row r="2645">
      <c r="A2645" s="430">
        <v>6.51715000104E11</v>
      </c>
      <c r="B2645" s="218" t="s">
        <v>3471</v>
      </c>
    </row>
    <row r="2646">
      <c r="A2646" s="430">
        <v>8.36469840001E13</v>
      </c>
      <c r="B2646" s="218" t="s">
        <v>3472</v>
      </c>
    </row>
    <row r="2647">
      <c r="A2647" s="430">
        <v>1.43758000189E11</v>
      </c>
      <c r="B2647" s="218" t="s">
        <v>3473</v>
      </c>
    </row>
    <row r="2648">
      <c r="A2648" s="430">
        <v>4.254150000182E12</v>
      </c>
      <c r="B2648" s="218" t="s">
        <v>3474</v>
      </c>
    </row>
    <row r="2649">
      <c r="A2649" s="430">
        <v>8.008054200015E13</v>
      </c>
      <c r="B2649" s="218" t="s">
        <v>3475</v>
      </c>
    </row>
    <row r="2650">
      <c r="A2650" s="430">
        <v>1.54298500022E12</v>
      </c>
      <c r="B2650" s="218" t="s">
        <v>2308</v>
      </c>
    </row>
    <row r="2651">
      <c r="A2651" s="430">
        <v>3.18695200013E12</v>
      </c>
      <c r="B2651" s="218" t="s">
        <v>3476</v>
      </c>
    </row>
    <row r="2652">
      <c r="A2652" s="430">
        <v>3.71074000134E11</v>
      </c>
      <c r="B2652" s="218" t="s">
        <v>3477</v>
      </c>
    </row>
    <row r="2653">
      <c r="A2653" s="430">
        <v>2.364268000138E12</v>
      </c>
      <c r="B2653" s="218" t="s">
        <v>3478</v>
      </c>
    </row>
    <row r="2654">
      <c r="A2654" s="430">
        <v>5.100972000171E12</v>
      </c>
      <c r="B2654" s="218" t="s">
        <v>3479</v>
      </c>
    </row>
    <row r="2655">
      <c r="A2655" s="430">
        <v>1.662587000167E12</v>
      </c>
      <c r="B2655" s="218" t="s">
        <v>3480</v>
      </c>
    </row>
    <row r="2656">
      <c r="A2656" s="430">
        <v>9.4489895000113E13</v>
      </c>
      <c r="B2656" s="218" t="s">
        <v>3481</v>
      </c>
    </row>
    <row r="2657">
      <c r="A2657" s="430">
        <v>4.648056000108E12</v>
      </c>
      <c r="B2657" s="218" t="s">
        <v>3482</v>
      </c>
    </row>
    <row r="2658">
      <c r="A2658" s="430">
        <v>4.7331822000119E13</v>
      </c>
      <c r="B2658" s="218" t="s">
        <v>3483</v>
      </c>
    </row>
    <row r="2659">
      <c r="A2659" s="430">
        <v>4.896336000135E12</v>
      </c>
      <c r="B2659" s="218" t="s">
        <v>3484</v>
      </c>
    </row>
    <row r="2660">
      <c r="A2660" s="430">
        <v>4.770051000153E12</v>
      </c>
      <c r="B2660" s="218" t="s">
        <v>3485</v>
      </c>
    </row>
    <row r="2661">
      <c r="A2661" s="430">
        <v>3.603739000348E12</v>
      </c>
      <c r="B2661" s="218" t="s">
        <v>3486</v>
      </c>
    </row>
    <row r="2662">
      <c r="A2662" s="430">
        <v>4.681231000169E12</v>
      </c>
      <c r="B2662" s="218" t="s">
        <v>3487</v>
      </c>
    </row>
    <row r="2663">
      <c r="A2663" s="430">
        <v>3.579303300011E13</v>
      </c>
      <c r="B2663" s="218" t="s">
        <v>3488</v>
      </c>
    </row>
    <row r="2664">
      <c r="A2664" s="430">
        <v>8.3741942000158E13</v>
      </c>
      <c r="B2664" s="218" t="s">
        <v>3489</v>
      </c>
    </row>
    <row r="2665">
      <c r="A2665" s="430">
        <v>2.523179000197E12</v>
      </c>
      <c r="B2665" s="218" t="s">
        <v>3490</v>
      </c>
    </row>
    <row r="2666">
      <c r="A2666" s="430">
        <v>3.291896000101E12</v>
      </c>
      <c r="B2666" s="218" t="s">
        <v>3491</v>
      </c>
    </row>
    <row r="2667">
      <c r="A2667" s="430">
        <v>9.4626785000156E13</v>
      </c>
      <c r="B2667" s="218" t="s">
        <v>3492</v>
      </c>
    </row>
    <row r="2668">
      <c r="A2668" s="430">
        <v>3.603739001077E12</v>
      </c>
      <c r="B2668" s="218" t="s">
        <v>3486</v>
      </c>
    </row>
    <row r="2669">
      <c r="A2669" s="430">
        <v>7.5885954000128E13</v>
      </c>
      <c r="B2669" s="218" t="s">
        <v>3493</v>
      </c>
    </row>
    <row r="2670">
      <c r="A2670" s="430">
        <v>5.6525025000163E13</v>
      </c>
      <c r="B2670" s="218" t="s">
        <v>3494</v>
      </c>
    </row>
    <row r="2671">
      <c r="A2671" s="430">
        <v>5.6821721000117E13</v>
      </c>
      <c r="B2671" s="218" t="s">
        <v>3495</v>
      </c>
    </row>
    <row r="2672">
      <c r="A2672" s="430">
        <v>5.6913627000198E13</v>
      </c>
      <c r="B2672" s="218" t="s">
        <v>3496</v>
      </c>
    </row>
    <row r="2673">
      <c r="A2673" s="430">
        <v>5.6930498000146E13</v>
      </c>
      <c r="B2673" s="218" t="s">
        <v>3497</v>
      </c>
    </row>
    <row r="2674">
      <c r="A2674" s="430">
        <v>5.746267300018E13</v>
      </c>
      <c r="B2674" s="218" t="s">
        <v>3498</v>
      </c>
    </row>
    <row r="2675">
      <c r="A2675" s="430">
        <v>5.761305100061E13</v>
      </c>
      <c r="B2675" s="218" t="s">
        <v>3499</v>
      </c>
    </row>
    <row r="2676">
      <c r="A2676" s="430">
        <v>5.7905812000101E13</v>
      </c>
      <c r="B2676" s="218" t="s">
        <v>3500</v>
      </c>
    </row>
    <row r="2677">
      <c r="A2677" s="430">
        <v>5.834470600015E13</v>
      </c>
      <c r="B2677" s="218" t="s">
        <v>3501</v>
      </c>
    </row>
    <row r="2678">
      <c r="A2678" s="430">
        <v>5.8500273000185E13</v>
      </c>
      <c r="B2678" s="218" t="s">
        <v>3502</v>
      </c>
    </row>
    <row r="2679">
      <c r="A2679" s="430">
        <v>5.8579293000193E13</v>
      </c>
      <c r="B2679" s="218" t="s">
        <v>3503</v>
      </c>
    </row>
    <row r="2680">
      <c r="A2680" s="430">
        <v>5.9104422002446E13</v>
      </c>
      <c r="B2680" s="218" t="s">
        <v>3504</v>
      </c>
    </row>
    <row r="2681">
      <c r="A2681" s="430">
        <v>5.9104422005895E13</v>
      </c>
      <c r="B2681" s="218" t="s">
        <v>3505</v>
      </c>
    </row>
    <row r="2682">
      <c r="A2682" s="430">
        <v>5.9105999003959E13</v>
      </c>
      <c r="B2682" s="218" t="s">
        <v>3506</v>
      </c>
    </row>
    <row r="2683">
      <c r="A2683" s="430">
        <v>5.912374500019E13</v>
      </c>
      <c r="B2683" s="218" t="s">
        <v>3507</v>
      </c>
    </row>
    <row r="2684">
      <c r="A2684" s="430">
        <v>5.9126867000836E13</v>
      </c>
      <c r="B2684" s="218" t="s">
        <v>3508</v>
      </c>
    </row>
    <row r="2685">
      <c r="A2685" s="430">
        <v>5.9141960000114E13</v>
      </c>
      <c r="B2685" s="218" t="s">
        <v>3509</v>
      </c>
    </row>
    <row r="2686">
      <c r="A2686" s="430">
        <v>5.932983900011E13</v>
      </c>
      <c r="B2686" s="218" t="s">
        <v>3510</v>
      </c>
    </row>
    <row r="2687">
      <c r="A2687" s="430">
        <v>5.9519587000192E13</v>
      </c>
      <c r="B2687" s="218" t="s">
        <v>3511</v>
      </c>
    </row>
    <row r="2688">
      <c r="A2688" s="430">
        <v>5.9565334000162E13</v>
      </c>
      <c r="B2688" s="218" t="s">
        <v>3512</v>
      </c>
    </row>
    <row r="2689">
      <c r="A2689" s="430">
        <v>5.97485532968E11</v>
      </c>
      <c r="B2689" s="218" t="s">
        <v>3513</v>
      </c>
    </row>
    <row r="2690">
      <c r="A2690" s="430">
        <v>7.5420885000187E13</v>
      </c>
      <c r="B2690" s="218" t="s">
        <v>3514</v>
      </c>
    </row>
    <row r="2691">
      <c r="A2691" s="430">
        <v>8.4683481000339E13</v>
      </c>
      <c r="B2691" s="218" t="s">
        <v>1548</v>
      </c>
    </row>
    <row r="2692">
      <c r="A2692" s="430">
        <v>7.7903383000132E13</v>
      </c>
      <c r="B2692" s="218" t="s">
        <v>3515</v>
      </c>
    </row>
    <row r="2693">
      <c r="A2693" s="430">
        <v>9.583288700019E13</v>
      </c>
      <c r="B2693" s="218" t="s">
        <v>3516</v>
      </c>
    </row>
    <row r="2694">
      <c r="A2694" s="430">
        <v>2.943008000117E12</v>
      </c>
      <c r="B2694" s="218" t="s">
        <v>3517</v>
      </c>
    </row>
    <row r="2695">
      <c r="A2695" s="430">
        <v>8.2977109000148E13</v>
      </c>
      <c r="B2695" s="218" t="s">
        <v>3518</v>
      </c>
    </row>
    <row r="2696">
      <c r="A2696" s="430">
        <v>3.01060000144E11</v>
      </c>
      <c r="B2696" s="218" t="s">
        <v>3519</v>
      </c>
    </row>
    <row r="2697">
      <c r="A2697" s="430">
        <v>8.3424762000142E13</v>
      </c>
      <c r="B2697" s="218" t="s">
        <v>3520</v>
      </c>
    </row>
    <row r="2698">
      <c r="A2698" s="430">
        <v>1.0298620001E12</v>
      </c>
      <c r="B2698" s="218" t="s">
        <v>3521</v>
      </c>
    </row>
    <row r="2699">
      <c r="A2699" s="430">
        <v>1.062182000198E12</v>
      </c>
      <c r="B2699" s="218" t="s">
        <v>3522</v>
      </c>
    </row>
    <row r="2700">
      <c r="A2700" s="430">
        <v>1.125840000143E12</v>
      </c>
      <c r="B2700" s="218" t="s">
        <v>3523</v>
      </c>
    </row>
    <row r="2701">
      <c r="A2701" s="430">
        <v>8.2159104000108E13</v>
      </c>
      <c r="B2701" s="218" t="s">
        <v>3524</v>
      </c>
    </row>
    <row r="2702">
      <c r="A2702" s="430">
        <v>7.8530102000106E13</v>
      </c>
      <c r="B2702" s="218" t="s">
        <v>3525</v>
      </c>
    </row>
    <row r="2703">
      <c r="A2703" s="430">
        <v>5.9069914000151E13</v>
      </c>
      <c r="B2703" s="218" t="s">
        <v>3526</v>
      </c>
    </row>
    <row r="2704">
      <c r="A2704" s="430">
        <v>8.065306600011E13</v>
      </c>
      <c r="B2704" s="218" t="s">
        <v>3527</v>
      </c>
    </row>
    <row r="2705">
      <c r="A2705" s="430">
        <v>7.8983798000126E13</v>
      </c>
      <c r="B2705" s="218" t="s">
        <v>3528</v>
      </c>
    </row>
    <row r="2706">
      <c r="A2706" s="430">
        <v>7.9808754000122E13</v>
      </c>
      <c r="B2706" s="218" t="s">
        <v>3529</v>
      </c>
    </row>
    <row r="2707">
      <c r="A2707" s="430">
        <v>8.5249779000136E13</v>
      </c>
      <c r="B2707" s="218" t="s">
        <v>3530</v>
      </c>
    </row>
    <row r="2708">
      <c r="A2708" s="430">
        <v>2.20057000104E11</v>
      </c>
      <c r="B2708" s="218" t="s">
        <v>3531</v>
      </c>
    </row>
    <row r="2709">
      <c r="A2709" s="430">
        <v>8.053442300012E13</v>
      </c>
      <c r="B2709" s="218" t="s">
        <v>3532</v>
      </c>
    </row>
    <row r="2710">
      <c r="A2710" s="430">
        <v>8.0482920000122E13</v>
      </c>
      <c r="B2710" s="218" t="s">
        <v>3533</v>
      </c>
    </row>
    <row r="2711">
      <c r="A2711" s="430">
        <v>5.03477700019E12</v>
      </c>
      <c r="B2711" s="218" t="s">
        <v>3534</v>
      </c>
    </row>
    <row r="2712">
      <c r="A2712" s="430">
        <v>3.51991600014E12</v>
      </c>
      <c r="B2712" s="218" t="s">
        <v>3535</v>
      </c>
    </row>
    <row r="2713">
      <c r="A2713" s="430">
        <v>4.89352000152E11</v>
      </c>
      <c r="B2713" s="218" t="s">
        <v>3536</v>
      </c>
    </row>
    <row r="2714">
      <c r="A2714" s="430">
        <v>1.437568000137E12</v>
      </c>
      <c r="B2714" s="218" t="s">
        <v>3537</v>
      </c>
    </row>
    <row r="2715">
      <c r="A2715" s="430">
        <v>1.303150000137E12</v>
      </c>
      <c r="B2715" s="218" t="s">
        <v>3538</v>
      </c>
    </row>
    <row r="2716">
      <c r="A2716" s="430">
        <v>8.3891093000119E13</v>
      </c>
      <c r="B2716" s="218" t="s">
        <v>3539</v>
      </c>
    </row>
    <row r="2717">
      <c r="A2717" s="430">
        <v>7.17791000175E11</v>
      </c>
      <c r="B2717" s="218" t="s">
        <v>3540</v>
      </c>
    </row>
    <row r="2718">
      <c r="A2718" s="430">
        <v>8.8957659003873E13</v>
      </c>
      <c r="B2718" s="218" t="s">
        <v>3541</v>
      </c>
    </row>
    <row r="2719">
      <c r="A2719" s="430">
        <v>8.3043745000165E13</v>
      </c>
      <c r="B2719" s="218" t="s">
        <v>3542</v>
      </c>
    </row>
    <row r="2720">
      <c r="A2720" s="430">
        <v>4.054653000104E12</v>
      </c>
      <c r="B2720" s="218" t="s">
        <v>3543</v>
      </c>
    </row>
    <row r="2721">
      <c r="A2721" s="430">
        <v>8.2697160000104E13</v>
      </c>
      <c r="B2721" s="218" t="s">
        <v>3544</v>
      </c>
    </row>
    <row r="2722">
      <c r="A2722" s="430">
        <v>8.0303761000151E13</v>
      </c>
      <c r="B2722" s="218" t="s">
        <v>3545</v>
      </c>
    </row>
    <row r="2723">
      <c r="A2723" s="430">
        <v>5.0269521000117E13</v>
      </c>
      <c r="B2723" s="218" t="s">
        <v>3546</v>
      </c>
    </row>
    <row r="2724">
      <c r="A2724" s="430">
        <v>5.0747732000118E13</v>
      </c>
      <c r="B2724" s="218" t="s">
        <v>3547</v>
      </c>
    </row>
    <row r="2725">
      <c r="A2725" s="430">
        <v>5.0747732002757E13</v>
      </c>
      <c r="B2725" s="218" t="s">
        <v>3547</v>
      </c>
    </row>
    <row r="2726">
      <c r="A2726" s="430">
        <v>5.0980606000109E13</v>
      </c>
      <c r="B2726" s="218" t="s">
        <v>3548</v>
      </c>
    </row>
    <row r="2727">
      <c r="A2727" s="430" t="s">
        <v>3549</v>
      </c>
      <c r="B2727" s="218" t="s">
        <v>3550</v>
      </c>
    </row>
    <row r="2728">
      <c r="A2728" s="430">
        <v>5.1357127000186E13</v>
      </c>
      <c r="B2728" s="218" t="s">
        <v>3551</v>
      </c>
    </row>
    <row r="2729">
      <c r="A2729" s="430">
        <v>5.1508647000126E13</v>
      </c>
      <c r="B2729" s="218" t="s">
        <v>3552</v>
      </c>
    </row>
    <row r="2730">
      <c r="A2730" s="430">
        <v>5.1754240001607E13</v>
      </c>
      <c r="B2730" s="218" t="s">
        <v>3553</v>
      </c>
    </row>
    <row r="2731">
      <c r="A2731" s="430">
        <v>5.1756849002255E13</v>
      </c>
      <c r="B2731" s="218" t="s">
        <v>3554</v>
      </c>
    </row>
    <row r="2732">
      <c r="A2732" s="430">
        <v>5.17640580017E13</v>
      </c>
      <c r="B2732" s="218" t="s">
        <v>3555</v>
      </c>
    </row>
    <row r="2733">
      <c r="A2733" s="430">
        <v>5.1813904000121E13</v>
      </c>
      <c r="B2733" s="218" t="s">
        <v>3556</v>
      </c>
    </row>
    <row r="2734">
      <c r="A2734" s="430">
        <v>5.2121839000177E13</v>
      </c>
      <c r="B2734" s="218" t="s">
        <v>3557</v>
      </c>
    </row>
    <row r="2735">
      <c r="A2735" s="430">
        <v>5.2771607000179E13</v>
      </c>
      <c r="B2735" s="218" t="s">
        <v>3558</v>
      </c>
    </row>
    <row r="2736">
      <c r="A2736" s="430">
        <v>5.2929353000174E13</v>
      </c>
      <c r="B2736" s="218" t="s">
        <v>3559</v>
      </c>
    </row>
    <row r="2737">
      <c r="A2737" s="430">
        <v>4.7866934001812E13</v>
      </c>
      <c r="B2737" s="218" t="s">
        <v>3560</v>
      </c>
    </row>
    <row r="2738">
      <c r="A2738" s="430">
        <v>5.3011250000193E13</v>
      </c>
      <c r="B2738" s="218" t="s">
        <v>3561</v>
      </c>
    </row>
    <row r="2739">
      <c r="A2739" s="430">
        <v>5.3385415000197E13</v>
      </c>
      <c r="B2739" s="218" t="s">
        <v>3562</v>
      </c>
    </row>
    <row r="2740">
      <c r="A2740" s="430">
        <v>5.3570438000171E13</v>
      </c>
      <c r="B2740" s="218" t="s">
        <v>3563</v>
      </c>
    </row>
    <row r="2741">
      <c r="A2741" s="430">
        <v>4.334685700017E13</v>
      </c>
      <c r="B2741" s="218" t="s">
        <v>3564</v>
      </c>
    </row>
    <row r="2742">
      <c r="A2742" s="430">
        <v>4.363373400011E13</v>
      </c>
      <c r="B2742" s="218" t="s">
        <v>3565</v>
      </c>
    </row>
    <row r="2743">
      <c r="A2743" s="430">
        <v>4.3695931000164E13</v>
      </c>
      <c r="B2743" s="218" t="s">
        <v>3566</v>
      </c>
    </row>
    <row r="2744">
      <c r="A2744" s="430">
        <v>4.390094300085E13</v>
      </c>
      <c r="B2744" s="218" t="s">
        <v>3567</v>
      </c>
    </row>
    <row r="2745">
      <c r="A2745" s="430">
        <v>5.475073000153E12</v>
      </c>
      <c r="B2745" s="218" t="s">
        <v>3568</v>
      </c>
    </row>
    <row r="2746">
      <c r="A2746" s="430">
        <v>6.2279617000145E13</v>
      </c>
      <c r="B2746" s="218" t="s">
        <v>3569</v>
      </c>
    </row>
    <row r="2747">
      <c r="A2747" s="430">
        <v>8.0937766000136E13</v>
      </c>
      <c r="B2747" s="218" t="s">
        <v>3570</v>
      </c>
    </row>
    <row r="2748">
      <c r="A2748" s="430">
        <v>9.5782751000113E13</v>
      </c>
      <c r="B2748" s="218" t="s">
        <v>3571</v>
      </c>
    </row>
    <row r="2749">
      <c r="A2749" s="430">
        <v>3.774688001712E12</v>
      </c>
      <c r="B2749" s="218" t="s">
        <v>2065</v>
      </c>
    </row>
    <row r="2750">
      <c r="A2750" s="430">
        <v>8.459236900012E13</v>
      </c>
      <c r="B2750" s="218" t="s">
        <v>2826</v>
      </c>
    </row>
    <row r="2751">
      <c r="A2751" s="430">
        <v>8.5391720000188E13</v>
      </c>
      <c r="B2751" s="218" t="s">
        <v>3572</v>
      </c>
    </row>
    <row r="2752">
      <c r="A2752" s="430">
        <v>8.2110818000121E13</v>
      </c>
      <c r="B2752" s="218" t="s">
        <v>3573</v>
      </c>
    </row>
    <row r="2753">
      <c r="A2753" s="430">
        <v>2.332397002007E12</v>
      </c>
      <c r="B2753" s="218" t="s">
        <v>3574</v>
      </c>
    </row>
    <row r="2754">
      <c r="A2754" s="430">
        <v>3.3010100012E11</v>
      </c>
      <c r="B2754" s="218" t="s">
        <v>3575</v>
      </c>
    </row>
    <row r="2755">
      <c r="A2755" s="430">
        <v>3.60405237542E11</v>
      </c>
      <c r="B2755" s="218" t="s">
        <v>2556</v>
      </c>
    </row>
    <row r="2756">
      <c r="A2756" s="430">
        <v>3.70123000114E11</v>
      </c>
      <c r="B2756" s="218" t="s">
        <v>3576</v>
      </c>
    </row>
    <row r="2757">
      <c r="A2757" s="430">
        <v>3.8434600013E11</v>
      </c>
      <c r="B2757" s="218" t="s">
        <v>3577</v>
      </c>
    </row>
    <row r="2758">
      <c r="A2758" s="430">
        <v>3.9446001401E11</v>
      </c>
      <c r="B2758" s="218" t="s">
        <v>3578</v>
      </c>
    </row>
    <row r="2759">
      <c r="A2759" s="430">
        <v>3.94460014282E11</v>
      </c>
      <c r="B2759" s="218" t="s">
        <v>3579</v>
      </c>
    </row>
    <row r="2760">
      <c r="A2760" s="430">
        <v>4.23862000127E11</v>
      </c>
      <c r="B2760" s="218" t="s">
        <v>3580</v>
      </c>
    </row>
    <row r="2761">
      <c r="A2761" s="430">
        <v>4.29640000111E11</v>
      </c>
      <c r="B2761" s="218" t="s">
        <v>3581</v>
      </c>
    </row>
    <row r="2762">
      <c r="A2762" s="430">
        <v>4.3671700018E11</v>
      </c>
      <c r="B2762" s="218" t="s">
        <v>3582</v>
      </c>
    </row>
    <row r="2763">
      <c r="A2763" s="430">
        <v>4.74800000144E11</v>
      </c>
      <c r="B2763" s="218" t="s">
        <v>3583</v>
      </c>
    </row>
    <row r="2764">
      <c r="A2764" s="430">
        <v>4.82219000174E11</v>
      </c>
      <c r="B2764" s="218" t="s">
        <v>3584</v>
      </c>
    </row>
    <row r="2765">
      <c r="A2765" s="430">
        <v>4.87594000107E11</v>
      </c>
      <c r="B2765" s="218" t="s">
        <v>3585</v>
      </c>
    </row>
    <row r="2766">
      <c r="A2766" s="430">
        <v>5.06608000192E11</v>
      </c>
      <c r="B2766" s="218" t="s">
        <v>3586</v>
      </c>
    </row>
    <row r="2767">
      <c r="A2767" s="430">
        <v>5.08711000171E11</v>
      </c>
      <c r="B2767" s="218" t="s">
        <v>3587</v>
      </c>
    </row>
    <row r="2768">
      <c r="A2768" s="430">
        <v>5.09018002086E11</v>
      </c>
      <c r="B2768" s="218" t="s">
        <v>3588</v>
      </c>
    </row>
    <row r="2769">
      <c r="A2769" s="430">
        <v>5.09556000108E11</v>
      </c>
      <c r="B2769" s="218" t="s">
        <v>3589</v>
      </c>
    </row>
    <row r="2770">
      <c r="A2770" s="430">
        <v>5.09968000148E11</v>
      </c>
      <c r="B2770" s="218" t="s">
        <v>3590</v>
      </c>
    </row>
    <row r="2771">
      <c r="A2771" s="430">
        <v>5.099680003E11</v>
      </c>
      <c r="B2771" s="218" t="s">
        <v>3591</v>
      </c>
    </row>
    <row r="2772">
      <c r="A2772" s="430">
        <v>5.09968001039E11</v>
      </c>
      <c r="B2772" s="218" t="s">
        <v>3592</v>
      </c>
    </row>
    <row r="2773">
      <c r="A2773" s="430">
        <v>5.11328000172E11</v>
      </c>
      <c r="B2773" s="218" t="s">
        <v>3593</v>
      </c>
    </row>
    <row r="2774">
      <c r="A2774" s="430">
        <v>3.01008000198E11</v>
      </c>
      <c r="B2774" s="218" t="s">
        <v>3594</v>
      </c>
    </row>
    <row r="2775">
      <c r="A2775" s="430">
        <v>3.010080006E11</v>
      </c>
      <c r="B2775" s="218" t="s">
        <v>3594</v>
      </c>
    </row>
    <row r="2776">
      <c r="A2776" s="430">
        <v>3.09475000164E11</v>
      </c>
      <c r="B2776" s="218" t="s">
        <v>3595</v>
      </c>
    </row>
    <row r="2777">
      <c r="A2777" s="430">
        <v>9.6165000109E10</v>
      </c>
      <c r="B2777" s="218" t="s">
        <v>3596</v>
      </c>
    </row>
    <row r="2778">
      <c r="A2778" s="430">
        <v>1.05026000102E11</v>
      </c>
      <c r="B2778" s="218" t="s">
        <v>3597</v>
      </c>
    </row>
    <row r="2779">
      <c r="A2779" s="430">
        <v>1.06924000177E11</v>
      </c>
      <c r="B2779" s="218" t="s">
        <v>3598</v>
      </c>
    </row>
    <row r="2780">
      <c r="A2780" s="430">
        <v>1.07083000112E11</v>
      </c>
      <c r="B2780" s="218" t="s">
        <v>3599</v>
      </c>
    </row>
    <row r="2781">
      <c r="A2781" s="430">
        <v>1.13607000188E11</v>
      </c>
      <c r="B2781" s="218" t="s">
        <v>3600</v>
      </c>
    </row>
    <row r="2782">
      <c r="A2782" s="430">
        <v>1.18449000159E11</v>
      </c>
      <c r="B2782" s="218" t="s">
        <v>3601</v>
      </c>
    </row>
    <row r="2783">
      <c r="A2783" s="430">
        <v>3.291896000201E12</v>
      </c>
      <c r="B2783" s="218" t="s">
        <v>3602</v>
      </c>
    </row>
    <row r="2784">
      <c r="A2784" s="430">
        <v>3.332054000142E12</v>
      </c>
      <c r="B2784" s="218" t="s">
        <v>3603</v>
      </c>
    </row>
    <row r="2785">
      <c r="A2785" s="430">
        <v>3.507408000112E12</v>
      </c>
      <c r="B2785" s="218" t="s">
        <v>3604</v>
      </c>
    </row>
    <row r="2786">
      <c r="A2786" s="430">
        <v>3.527754000192E12</v>
      </c>
      <c r="B2786" s="218" t="s">
        <v>3605</v>
      </c>
    </row>
    <row r="2787">
      <c r="A2787" s="430">
        <v>3.820651000892E12</v>
      </c>
      <c r="B2787" s="218" t="s">
        <v>3606</v>
      </c>
    </row>
    <row r="2788">
      <c r="A2788" s="430">
        <v>4.078588000157E12</v>
      </c>
      <c r="B2788" s="218" t="s">
        <v>3607</v>
      </c>
    </row>
    <row r="2789">
      <c r="A2789" s="430">
        <v>4.422099000141E12</v>
      </c>
      <c r="B2789" s="218" t="s">
        <v>3608</v>
      </c>
    </row>
    <row r="2790">
      <c r="A2790" s="430">
        <v>4.6047630001E12</v>
      </c>
      <c r="B2790" s="218" t="s">
        <v>3609</v>
      </c>
    </row>
    <row r="2791">
      <c r="A2791" s="430">
        <v>2.071657000175E12</v>
      </c>
      <c r="B2791" s="218" t="s">
        <v>3610</v>
      </c>
    </row>
    <row r="2792">
      <c r="A2792" s="430">
        <v>4.620910000632E12</v>
      </c>
      <c r="B2792" s="218" t="s">
        <v>3611</v>
      </c>
    </row>
    <row r="2793">
      <c r="A2793" s="430">
        <v>4.68485500013E12</v>
      </c>
      <c r="B2793" s="218" t="s">
        <v>3612</v>
      </c>
    </row>
    <row r="2794">
      <c r="A2794" s="430">
        <v>5.03477700013E12</v>
      </c>
      <c r="B2794" s="218" t="s">
        <v>3534</v>
      </c>
    </row>
    <row r="2795">
      <c r="A2795" s="430">
        <v>1.004788011177E12</v>
      </c>
      <c r="B2795" s="218" t="s">
        <v>3613</v>
      </c>
    </row>
    <row r="2796">
      <c r="A2796" s="430">
        <v>2.542169000107E12</v>
      </c>
      <c r="B2796" s="218" t="s">
        <v>3614</v>
      </c>
    </row>
    <row r="2797">
      <c r="A2797" s="430">
        <v>4.48862400015E12</v>
      </c>
      <c r="B2797" s="218" t="s">
        <v>3615</v>
      </c>
    </row>
    <row r="2798">
      <c r="A2798" s="430">
        <v>2.1892302000191E13</v>
      </c>
      <c r="B2798" s="218" t="s">
        <v>3616</v>
      </c>
    </row>
    <row r="2799">
      <c r="A2799" s="430">
        <v>3.556998000101E12</v>
      </c>
      <c r="B2799" s="218" t="s">
        <v>3617</v>
      </c>
    </row>
    <row r="2800">
      <c r="A2800" s="430">
        <v>3.580884000199E12</v>
      </c>
      <c r="B2800" s="218" t="s">
        <v>3618</v>
      </c>
    </row>
    <row r="2801">
      <c r="A2801" s="430">
        <v>5.867167000178E12</v>
      </c>
      <c r="B2801" s="218" t="s">
        <v>3619</v>
      </c>
    </row>
    <row r="2802">
      <c r="A2802" s="430">
        <v>5.983000000172E12</v>
      </c>
      <c r="B2802" s="218" t="s">
        <v>3620</v>
      </c>
    </row>
    <row r="2803">
      <c r="A2803" s="430">
        <v>2.854912000156E12</v>
      </c>
      <c r="B2803" s="218" t="s">
        <v>3621</v>
      </c>
    </row>
    <row r="2804">
      <c r="A2804" s="430">
        <v>7.5284372000196E13</v>
      </c>
      <c r="B2804" s="218" t="s">
        <v>3622</v>
      </c>
    </row>
    <row r="2805">
      <c r="A2805" s="430">
        <v>5.678218000113E12</v>
      </c>
      <c r="B2805" s="218" t="s">
        <v>3623</v>
      </c>
    </row>
    <row r="2806">
      <c r="A2806" s="430">
        <v>9.2325323000173E13</v>
      </c>
      <c r="B2806" s="218" t="s">
        <v>3624</v>
      </c>
    </row>
    <row r="2807">
      <c r="A2807" s="430">
        <v>7.8889896000107E13</v>
      </c>
      <c r="B2807" s="218" t="s">
        <v>3625</v>
      </c>
    </row>
    <row r="2808">
      <c r="A2808" s="430">
        <v>6.39867000191E11</v>
      </c>
      <c r="B2808" s="218" t="s">
        <v>3626</v>
      </c>
    </row>
    <row r="2809">
      <c r="A2809" s="430">
        <v>5.4516661000101E13</v>
      </c>
      <c r="B2809" s="218" t="s">
        <v>3627</v>
      </c>
    </row>
    <row r="2810">
      <c r="A2810" s="430">
        <v>5.4516661000284E13</v>
      </c>
      <c r="B2810" s="218" t="s">
        <v>3628</v>
      </c>
    </row>
    <row r="2811">
      <c r="A2811" s="430">
        <v>5.4526082000131E13</v>
      </c>
      <c r="B2811" s="218" t="s">
        <v>3629</v>
      </c>
    </row>
    <row r="2812">
      <c r="A2812" s="430">
        <v>5.4526082000484E13</v>
      </c>
      <c r="B2812" s="218" t="s">
        <v>3630</v>
      </c>
    </row>
    <row r="2813">
      <c r="A2813" s="430">
        <v>5.4647938000127E13</v>
      </c>
      <c r="B2813" s="218" t="s">
        <v>3631</v>
      </c>
    </row>
    <row r="2814">
      <c r="A2814" s="430">
        <v>5.4651716000188E13</v>
      </c>
      <c r="B2814" s="218" t="s">
        <v>3632</v>
      </c>
    </row>
    <row r="2815">
      <c r="A2815" s="430">
        <v>5.47809290001E13</v>
      </c>
      <c r="B2815" s="218" t="s">
        <v>3633</v>
      </c>
    </row>
    <row r="2816">
      <c r="A2816" s="430">
        <v>5.4823380000193E13</v>
      </c>
      <c r="B2816" s="218" t="s">
        <v>3634</v>
      </c>
    </row>
    <row r="2817">
      <c r="A2817" s="430">
        <v>5.484240600014E13</v>
      </c>
      <c r="B2817" s="218" t="s">
        <v>3635</v>
      </c>
    </row>
    <row r="2818">
      <c r="A2818" s="430">
        <v>5.5319255001266E13</v>
      </c>
      <c r="B2818" s="218" t="s">
        <v>3636</v>
      </c>
    </row>
    <row r="2819">
      <c r="A2819" s="430">
        <v>5.5454078000178E13</v>
      </c>
      <c r="B2819" s="218" t="s">
        <v>3637</v>
      </c>
    </row>
    <row r="2820">
      <c r="A2820" s="430">
        <v>5.5454079000178E13</v>
      </c>
      <c r="B2820" s="218" t="s">
        <v>3638</v>
      </c>
    </row>
    <row r="2821">
      <c r="A2821" s="430">
        <v>6.4996564000109E13</v>
      </c>
      <c r="B2821" s="218" t="s">
        <v>3639</v>
      </c>
    </row>
    <row r="2822">
      <c r="A2822" s="430">
        <v>3.6003671000153E13</v>
      </c>
      <c r="B2822" s="218" t="s">
        <v>3640</v>
      </c>
    </row>
    <row r="2823">
      <c r="A2823" s="430">
        <v>6.310958000165E12</v>
      </c>
      <c r="B2823" s="218" t="s">
        <v>3641</v>
      </c>
    </row>
    <row r="2824">
      <c r="A2824" s="430">
        <v>4.41376000131E11</v>
      </c>
      <c r="B2824" s="218" t="s">
        <v>3642</v>
      </c>
    </row>
    <row r="2825">
      <c r="A2825" s="430">
        <v>8.1532822000115E13</v>
      </c>
      <c r="B2825" s="218" t="s">
        <v>3643</v>
      </c>
    </row>
    <row r="2826">
      <c r="A2826" s="430">
        <v>2.860738000154E12</v>
      </c>
      <c r="B2826" s="218" t="s">
        <v>3644</v>
      </c>
    </row>
    <row r="2827">
      <c r="A2827" s="430">
        <v>8.3901884000182E13</v>
      </c>
      <c r="B2827" s="218" t="s">
        <v>3645</v>
      </c>
    </row>
    <row r="2828">
      <c r="A2828" s="430">
        <v>3.3072307009618E13</v>
      </c>
      <c r="B2828" s="218" t="s">
        <v>3646</v>
      </c>
    </row>
    <row r="2829">
      <c r="A2829" s="430">
        <v>2.737636000146E12</v>
      </c>
      <c r="B2829" s="218" t="s">
        <v>3647</v>
      </c>
    </row>
    <row r="2830">
      <c r="A2830" s="430">
        <v>2.864224000177E12</v>
      </c>
      <c r="B2830" s="218" t="s">
        <v>3648</v>
      </c>
    </row>
    <row r="2831">
      <c r="A2831" s="430">
        <v>4.62754200014E12</v>
      </c>
      <c r="B2831" s="218" t="s">
        <v>3649</v>
      </c>
    </row>
    <row r="2832">
      <c r="A2832" s="430">
        <v>2.8019214000129E13</v>
      </c>
      <c r="B2832" s="218" t="s">
        <v>3650</v>
      </c>
    </row>
    <row r="2833">
      <c r="A2833" s="430">
        <v>2.537391000103E12</v>
      </c>
      <c r="B2833" s="218" t="s">
        <v>3651</v>
      </c>
    </row>
    <row r="2834">
      <c r="A2834" s="430">
        <v>6.314327000467E12</v>
      </c>
      <c r="B2834" s="218" t="s">
        <v>3652</v>
      </c>
    </row>
    <row r="2835">
      <c r="A2835" s="430">
        <v>3.3641663000306E13</v>
      </c>
      <c r="B2835" s="218" t="s">
        <v>3107</v>
      </c>
    </row>
    <row r="2836">
      <c r="A2836" s="430">
        <v>4.965425000196E12</v>
      </c>
      <c r="B2836" s="218" t="s">
        <v>3653</v>
      </c>
    </row>
    <row r="2837">
      <c r="A2837" s="430">
        <v>8.4717693000128E13</v>
      </c>
      <c r="B2837" s="218" t="s">
        <v>3654</v>
      </c>
    </row>
    <row r="2838">
      <c r="A2838" s="430">
        <v>7.1796478000118E13</v>
      </c>
      <c r="B2838" s="218" t="s">
        <v>3655</v>
      </c>
    </row>
    <row r="2839">
      <c r="A2839" s="430">
        <v>7.687026000018E13</v>
      </c>
      <c r="B2839" s="218" t="s">
        <v>3656</v>
      </c>
    </row>
    <row r="2840">
      <c r="A2840" s="430">
        <v>2.678737000193E12</v>
      </c>
      <c r="B2840" s="218" t="s">
        <v>3657</v>
      </c>
    </row>
    <row r="2841">
      <c r="A2841" s="430">
        <v>1.449425000145E12</v>
      </c>
      <c r="B2841" s="218" t="s">
        <v>3658</v>
      </c>
    </row>
    <row r="2842">
      <c r="A2842" s="430">
        <v>2.453937000148E12</v>
      </c>
      <c r="B2842" s="218" t="s">
        <v>3659</v>
      </c>
    </row>
    <row r="2843">
      <c r="A2843" s="430">
        <v>2.611777000118E12</v>
      </c>
      <c r="B2843" s="218" t="s">
        <v>3660</v>
      </c>
    </row>
    <row r="2844">
      <c r="A2844" s="430">
        <v>1.760778000161E12</v>
      </c>
      <c r="B2844" s="218" t="s">
        <v>3661</v>
      </c>
    </row>
    <row r="2845">
      <c r="A2845" s="430">
        <v>8.296552600017E13</v>
      </c>
      <c r="B2845" s="218" t="s">
        <v>3662</v>
      </c>
    </row>
    <row r="2846">
      <c r="A2846" s="430">
        <v>1.600510000162E12</v>
      </c>
      <c r="B2846" s="218" t="s">
        <v>3663</v>
      </c>
    </row>
    <row r="2847">
      <c r="A2847" s="430">
        <v>5.62109000112E11</v>
      </c>
      <c r="B2847" s="218" t="s">
        <v>3664</v>
      </c>
    </row>
    <row r="2848">
      <c r="A2848" s="430">
        <v>2.249556000141E12</v>
      </c>
      <c r="B2848" s="218" t="s">
        <v>3665</v>
      </c>
    </row>
    <row r="2849">
      <c r="A2849" s="430">
        <v>2.92526000192E11</v>
      </c>
      <c r="B2849" s="218" t="s">
        <v>3666</v>
      </c>
    </row>
    <row r="2850">
      <c r="A2850" s="430">
        <v>8.1867095000147E13</v>
      </c>
      <c r="B2850" s="218" t="s">
        <v>3667</v>
      </c>
    </row>
    <row r="2851">
      <c r="A2851" s="430">
        <v>8.3189308000154E13</v>
      </c>
      <c r="B2851" s="218" t="s">
        <v>3668</v>
      </c>
    </row>
    <row r="2852">
      <c r="A2852" s="430">
        <v>6.78924000141E11</v>
      </c>
      <c r="B2852" s="218" t="s">
        <v>3669</v>
      </c>
    </row>
    <row r="2853">
      <c r="A2853" s="430">
        <v>7.3781593000144E13</v>
      </c>
      <c r="B2853" s="218" t="s">
        <v>3670</v>
      </c>
    </row>
    <row r="2854">
      <c r="A2854" s="430">
        <v>1.8525501000157E13</v>
      </c>
      <c r="B2854" s="218" t="s">
        <v>3671</v>
      </c>
    </row>
    <row r="2855">
      <c r="A2855" s="430">
        <v>5.3475570000102E13</v>
      </c>
      <c r="B2855" s="218" t="s">
        <v>3672</v>
      </c>
    </row>
    <row r="2856">
      <c r="A2856" s="430">
        <v>9.4007697000176E13</v>
      </c>
      <c r="B2856" s="218" t="s">
        <v>3673</v>
      </c>
    </row>
    <row r="2857">
      <c r="A2857" s="430">
        <v>4.237532000106E12</v>
      </c>
      <c r="B2857" s="218" t="s">
        <v>3674</v>
      </c>
    </row>
    <row r="2858">
      <c r="A2858" s="430">
        <v>8.269958800042E13</v>
      </c>
      <c r="B2858" s="218" t="s">
        <v>1026</v>
      </c>
    </row>
    <row r="2859">
      <c r="A2859" s="430">
        <v>4.5708250001E12</v>
      </c>
      <c r="B2859" s="218" t="s">
        <v>3675</v>
      </c>
    </row>
    <row r="2860">
      <c r="A2860" s="430">
        <v>8.16366150001E13</v>
      </c>
      <c r="B2860" s="218" t="s">
        <v>3676</v>
      </c>
    </row>
    <row r="2861">
      <c r="A2861" s="430">
        <v>1.160462000139E12</v>
      </c>
      <c r="B2861" s="218" t="s">
        <v>3677</v>
      </c>
    </row>
    <row r="2862">
      <c r="A2862" s="430">
        <v>8.2995515000133E13</v>
      </c>
      <c r="B2862" s="218" t="s">
        <v>3678</v>
      </c>
    </row>
    <row r="2863">
      <c r="A2863" s="430">
        <v>8.4840834000103E13</v>
      </c>
      <c r="B2863" s="218" t="s">
        <v>3679</v>
      </c>
    </row>
    <row r="2864">
      <c r="A2864" s="430">
        <v>5.843050000154E12</v>
      </c>
      <c r="B2864" s="218" t="s">
        <v>3680</v>
      </c>
    </row>
    <row r="2865">
      <c r="A2865" s="430">
        <v>1.18395000121E11</v>
      </c>
      <c r="B2865" s="218" t="s">
        <v>3681</v>
      </c>
    </row>
    <row r="2866">
      <c r="A2866" s="430">
        <v>2.753293000103E12</v>
      </c>
      <c r="B2866" s="218" t="s">
        <v>3682</v>
      </c>
    </row>
    <row r="2867">
      <c r="A2867" s="430">
        <v>4.791524000107E12</v>
      </c>
      <c r="B2867" s="218" t="s">
        <v>3683</v>
      </c>
    </row>
    <row r="2868">
      <c r="A2868" s="430">
        <v>8.3717454000105E13</v>
      </c>
      <c r="B2868" s="218" t="s">
        <v>3684</v>
      </c>
    </row>
    <row r="2869">
      <c r="A2869" s="430">
        <v>4.929978000193E12</v>
      </c>
      <c r="B2869" s="218" t="s">
        <v>3685</v>
      </c>
    </row>
    <row r="2870">
      <c r="A2870" s="430">
        <v>2.87969300016E12</v>
      </c>
      <c r="B2870" s="218" t="s">
        <v>3686</v>
      </c>
    </row>
    <row r="2871">
      <c r="A2871" s="430">
        <v>4.153634000135E12</v>
      </c>
      <c r="B2871" s="218" t="s">
        <v>3687</v>
      </c>
    </row>
    <row r="2872">
      <c r="A2872" s="430">
        <v>4.741645000136E12</v>
      </c>
      <c r="B2872" s="218" t="s">
        <v>3688</v>
      </c>
    </row>
    <row r="2873">
      <c r="A2873" s="430">
        <v>1.297300014E10</v>
      </c>
      <c r="B2873" s="218" t="s">
        <v>3689</v>
      </c>
    </row>
    <row r="2874">
      <c r="A2874" s="430">
        <v>2.7570000175E10</v>
      </c>
      <c r="B2874" s="218" t="s">
        <v>3690</v>
      </c>
    </row>
    <row r="2875">
      <c r="A2875" s="430">
        <v>6.0098000172E10</v>
      </c>
      <c r="B2875" s="218" t="s">
        <v>3691</v>
      </c>
    </row>
    <row r="2876">
      <c r="A2876" s="430">
        <v>6.059500017E10</v>
      </c>
      <c r="B2876" s="218" t="s">
        <v>3692</v>
      </c>
    </row>
    <row r="2877">
      <c r="A2877" s="430">
        <v>7.0378000161E10</v>
      </c>
      <c r="B2877" s="218" t="s">
        <v>3693</v>
      </c>
    </row>
    <row r="2878">
      <c r="A2878" s="430">
        <v>7.4033000186E10</v>
      </c>
      <c r="B2878" s="218" t="s">
        <v>3694</v>
      </c>
    </row>
    <row r="2879">
      <c r="A2879" s="430">
        <v>8.1688000181E10</v>
      </c>
      <c r="B2879" s="218" t="s">
        <v>3695</v>
      </c>
    </row>
    <row r="2880">
      <c r="A2880" s="430">
        <v>8.751700016E10</v>
      </c>
      <c r="B2880" s="218" t="s">
        <v>3696</v>
      </c>
    </row>
    <row r="2881">
      <c r="A2881" s="430">
        <v>6.16891000105E11</v>
      </c>
      <c r="B2881" s="218" t="s">
        <v>3697</v>
      </c>
    </row>
    <row r="2882">
      <c r="A2882" s="430">
        <v>6.61093000103E11</v>
      </c>
      <c r="B2882" s="218" t="s">
        <v>3698</v>
      </c>
    </row>
    <row r="2883">
      <c r="A2883" s="430">
        <v>6.80163000162E11</v>
      </c>
      <c r="B2883" s="218" t="s">
        <v>3699</v>
      </c>
    </row>
    <row r="2884">
      <c r="A2884" s="430">
        <v>6.82926000104E11</v>
      </c>
      <c r="B2884" s="218" t="s">
        <v>3700</v>
      </c>
    </row>
    <row r="2885">
      <c r="A2885" s="430">
        <v>6.8320300012E11</v>
      </c>
      <c r="B2885" s="218" t="s">
        <v>3701</v>
      </c>
    </row>
    <row r="2886">
      <c r="A2886" s="430">
        <v>6.852520001E11</v>
      </c>
      <c r="B2886" s="218" t="s">
        <v>3702</v>
      </c>
    </row>
    <row r="2887">
      <c r="A2887" s="430">
        <v>6.85664000131E11</v>
      </c>
      <c r="B2887" s="218" t="s">
        <v>3703</v>
      </c>
    </row>
    <row r="2888">
      <c r="A2888" s="430">
        <v>6.96543000195E11</v>
      </c>
      <c r="B2888" s="218" t="s">
        <v>3704</v>
      </c>
    </row>
    <row r="2889">
      <c r="A2889" s="430">
        <v>7.48229000109E11</v>
      </c>
      <c r="B2889" s="218" t="s">
        <v>3705</v>
      </c>
    </row>
    <row r="2890">
      <c r="A2890" s="430">
        <v>7.78694000192E11</v>
      </c>
      <c r="B2890" s="218" t="s">
        <v>3706</v>
      </c>
    </row>
    <row r="2891">
      <c r="A2891" s="430">
        <v>7.79888000102E11</v>
      </c>
      <c r="B2891" s="218" t="s">
        <v>3707</v>
      </c>
    </row>
    <row r="2892">
      <c r="A2892" s="430">
        <v>8.4955900019E11</v>
      </c>
      <c r="B2892" s="218" t="s">
        <v>3708</v>
      </c>
    </row>
    <row r="2893">
      <c r="A2893" s="430">
        <v>5.16227000194E11</v>
      </c>
      <c r="B2893" s="218" t="s">
        <v>3709</v>
      </c>
    </row>
    <row r="2894">
      <c r="A2894" s="430">
        <v>8.68643000151E11</v>
      </c>
      <c r="B2894" s="218" t="s">
        <v>3710</v>
      </c>
    </row>
    <row r="2895">
      <c r="A2895" s="430">
        <v>3.12218000181E11</v>
      </c>
      <c r="B2895" s="218" t="s">
        <v>3711</v>
      </c>
    </row>
    <row r="2896">
      <c r="A2896" s="430">
        <v>6.5716151000196E13</v>
      </c>
      <c r="B2896" s="218" t="s">
        <v>3712</v>
      </c>
    </row>
    <row r="2897">
      <c r="A2897" s="430">
        <v>7.2135361000156E13</v>
      </c>
      <c r="B2897" s="218" t="s">
        <v>3713</v>
      </c>
    </row>
    <row r="2898">
      <c r="A2898" s="430">
        <v>7.2139207000152E13</v>
      </c>
      <c r="B2898" s="218" t="s">
        <v>3714</v>
      </c>
    </row>
    <row r="2899">
      <c r="A2899" s="430">
        <v>7.214021300012E13</v>
      </c>
      <c r="B2899" s="218" t="s">
        <v>3715</v>
      </c>
    </row>
    <row r="2900">
      <c r="A2900" s="430">
        <v>6.1839459000136E13</v>
      </c>
      <c r="B2900" s="218" t="s">
        <v>3716</v>
      </c>
    </row>
    <row r="2901">
      <c r="A2901" s="430">
        <v>6.1952895000195E13</v>
      </c>
      <c r="B2901" s="218" t="s">
        <v>3717</v>
      </c>
    </row>
    <row r="2902">
      <c r="A2902" s="430">
        <v>6.2004395001804E13</v>
      </c>
      <c r="B2902" s="218" t="s">
        <v>3718</v>
      </c>
    </row>
    <row r="2903">
      <c r="A2903" s="430">
        <v>6.209887600025E13</v>
      </c>
      <c r="B2903" s="218" t="s">
        <v>3719</v>
      </c>
    </row>
    <row r="2904">
      <c r="A2904" s="430">
        <v>6.2228135000166E13</v>
      </c>
      <c r="B2904" s="218" t="s">
        <v>3720</v>
      </c>
    </row>
    <row r="2905">
      <c r="A2905" s="430">
        <v>6.2322953000123E13</v>
      </c>
      <c r="B2905" s="218" t="s">
        <v>3721</v>
      </c>
    </row>
    <row r="2906">
      <c r="A2906" s="430">
        <v>6.2357926000196E13</v>
      </c>
      <c r="B2906" s="218" t="s">
        <v>3722</v>
      </c>
    </row>
    <row r="2907">
      <c r="A2907" s="430">
        <v>6.2359883000131E13</v>
      </c>
      <c r="B2907" s="218" t="s">
        <v>3723</v>
      </c>
    </row>
    <row r="2908">
      <c r="A2908" s="430">
        <v>6.2387097000194E13</v>
      </c>
      <c r="B2908" s="218" t="s">
        <v>3724</v>
      </c>
    </row>
    <row r="2909">
      <c r="A2909" s="430">
        <v>6.2389085000107E13</v>
      </c>
      <c r="B2909" s="218" t="s">
        <v>3725</v>
      </c>
    </row>
    <row r="2910">
      <c r="A2910" s="430">
        <v>6.2410352000687E13</v>
      </c>
      <c r="B2910" s="218" t="s">
        <v>3726</v>
      </c>
    </row>
    <row r="2911">
      <c r="A2911" s="430">
        <v>6.254173500018E13</v>
      </c>
      <c r="B2911" s="218" t="s">
        <v>3727</v>
      </c>
    </row>
    <row r="2912">
      <c r="A2912" s="430">
        <v>6.2683685000418E13</v>
      </c>
      <c r="B2912" s="218" t="s">
        <v>3728</v>
      </c>
    </row>
    <row r="2913">
      <c r="A2913" s="430">
        <v>6.2783881000111E13</v>
      </c>
      <c r="B2913" s="218" t="s">
        <v>3729</v>
      </c>
    </row>
    <row r="2914">
      <c r="A2914" s="430">
        <v>6.2857859000179E13</v>
      </c>
      <c r="B2914" s="218" t="s">
        <v>3730</v>
      </c>
    </row>
    <row r="2915">
      <c r="A2915" s="430">
        <v>6.305117100016E13</v>
      </c>
      <c r="B2915" s="218" t="s">
        <v>3731</v>
      </c>
    </row>
    <row r="2916">
      <c r="A2916" s="430">
        <v>6.3074892000195E13</v>
      </c>
      <c r="B2916" s="218" t="s">
        <v>3732</v>
      </c>
    </row>
    <row r="2917">
      <c r="A2917" s="430">
        <v>6.4514045000167E13</v>
      </c>
      <c r="B2917" s="218" t="s">
        <v>3733</v>
      </c>
    </row>
    <row r="2918">
      <c r="A2918" s="430">
        <v>6.1534186000153E13</v>
      </c>
      <c r="B2918" s="218" t="s">
        <v>1172</v>
      </c>
    </row>
    <row r="2919">
      <c r="A2919" s="430">
        <v>6.1534186001206E13</v>
      </c>
      <c r="B2919" s="218" t="s">
        <v>1172</v>
      </c>
    </row>
    <row r="2920">
      <c r="A2920" s="430">
        <v>6.153418600171E13</v>
      </c>
      <c r="B2920" s="218" t="s">
        <v>1172</v>
      </c>
    </row>
    <row r="2921">
      <c r="A2921" s="430">
        <v>6.1539813000149E13</v>
      </c>
      <c r="B2921" s="218" t="s">
        <v>3734</v>
      </c>
    </row>
    <row r="2922">
      <c r="A2922" s="430">
        <v>6.452607200015E13</v>
      </c>
      <c r="B2922" s="218" t="s">
        <v>3735</v>
      </c>
    </row>
    <row r="2923">
      <c r="A2923" s="430">
        <v>6.1602199012986E13</v>
      </c>
      <c r="B2923" s="218" t="s">
        <v>3736</v>
      </c>
    </row>
    <row r="2924">
      <c r="A2924" s="430">
        <v>1.379966000144E12</v>
      </c>
      <c r="B2924" s="218" t="s">
        <v>3737</v>
      </c>
    </row>
    <row r="2925">
      <c r="A2925" s="430">
        <v>5.96822300016E12</v>
      </c>
      <c r="B2925" s="218" t="s">
        <v>3738</v>
      </c>
    </row>
    <row r="2926">
      <c r="A2926" s="430">
        <v>4.48425100014E12</v>
      </c>
      <c r="B2926" s="218" t="s">
        <v>3739</v>
      </c>
    </row>
    <row r="2927">
      <c r="A2927" s="430">
        <v>1.528867000187E12</v>
      </c>
      <c r="B2927" s="218" t="s">
        <v>3740</v>
      </c>
    </row>
    <row r="2928">
      <c r="A2928" s="430">
        <v>9.5596100015E11</v>
      </c>
      <c r="B2928" s="218" t="s">
        <v>3741</v>
      </c>
    </row>
    <row r="2929">
      <c r="A2929" s="430">
        <v>3.966838000122E12</v>
      </c>
      <c r="B2929" s="218" t="s">
        <v>3742</v>
      </c>
    </row>
    <row r="2930">
      <c r="A2930" s="430">
        <v>3.761263000101E12</v>
      </c>
      <c r="B2930" s="218" t="s">
        <v>3743</v>
      </c>
    </row>
    <row r="2931">
      <c r="A2931" s="430">
        <v>6.096906000138E12</v>
      </c>
      <c r="B2931" s="218" t="s">
        <v>3744</v>
      </c>
    </row>
    <row r="2932">
      <c r="A2932" s="430">
        <v>4.901269000108E12</v>
      </c>
      <c r="B2932" s="218" t="s">
        <v>3745</v>
      </c>
    </row>
    <row r="2933">
      <c r="A2933" s="430">
        <v>5.577056000127E12</v>
      </c>
      <c r="B2933" s="218" t="s">
        <v>3746</v>
      </c>
    </row>
    <row r="2934">
      <c r="A2934" s="430">
        <v>6.1112215000199E13</v>
      </c>
      <c r="B2934" s="218" t="s">
        <v>3747</v>
      </c>
    </row>
    <row r="2935">
      <c r="A2935" s="430">
        <v>2.51009300012E12</v>
      </c>
      <c r="B2935" s="218" t="s">
        <v>3748</v>
      </c>
    </row>
    <row r="2936">
      <c r="A2936" s="430">
        <v>4.1769803000192E13</v>
      </c>
      <c r="B2936" s="218" t="s">
        <v>3749</v>
      </c>
    </row>
    <row r="2937">
      <c r="A2937" s="430">
        <v>2.715582000118E12</v>
      </c>
      <c r="B2937" s="218" t="s">
        <v>3750</v>
      </c>
    </row>
    <row r="2938">
      <c r="A2938" s="430">
        <v>5.73721200017E12</v>
      </c>
      <c r="B2938" s="218" t="s">
        <v>3751</v>
      </c>
    </row>
    <row r="2939">
      <c r="A2939" s="430">
        <v>3.9119656000163E13</v>
      </c>
      <c r="B2939" s="218" t="s">
        <v>3752</v>
      </c>
    </row>
    <row r="2940">
      <c r="A2940" s="430">
        <v>2.898290000168E12</v>
      </c>
      <c r="B2940" s="218" t="s">
        <v>3753</v>
      </c>
    </row>
    <row r="2941">
      <c r="A2941" s="430">
        <v>3.603739001905E12</v>
      </c>
      <c r="B2941" s="218" t="s">
        <v>3754</v>
      </c>
    </row>
    <row r="2942">
      <c r="A2942" s="430">
        <v>7.213157000144E12</v>
      </c>
      <c r="B2942" s="218" t="s">
        <v>3755</v>
      </c>
    </row>
    <row r="2943">
      <c r="A2943" s="430">
        <v>8.3240028000557E13</v>
      </c>
      <c r="B2943" s="218" t="s">
        <v>3030</v>
      </c>
    </row>
    <row r="2944">
      <c r="A2944" s="430">
        <v>5.94568900014E12</v>
      </c>
      <c r="B2944" s="218" t="s">
        <v>3756</v>
      </c>
    </row>
    <row r="2945">
      <c r="A2945" s="430">
        <v>1.88874000114E11</v>
      </c>
      <c r="B2945" s="218" t="s">
        <v>3757</v>
      </c>
    </row>
    <row r="2946">
      <c r="A2946" s="430">
        <v>7.8531969000186E13</v>
      </c>
      <c r="B2946" s="218" t="s">
        <v>3758</v>
      </c>
    </row>
    <row r="2947">
      <c r="A2947" s="430">
        <v>5.936724000165E12</v>
      </c>
      <c r="B2947" s="218" t="s">
        <v>3759</v>
      </c>
    </row>
    <row r="2948">
      <c r="A2948" s="430">
        <v>6.605202800018E13</v>
      </c>
      <c r="B2948" s="218" t="s">
        <v>3760</v>
      </c>
    </row>
    <row r="2949">
      <c r="A2949" s="430">
        <v>4.475157000124E12</v>
      </c>
      <c r="B2949" s="218" t="s">
        <v>3761</v>
      </c>
    </row>
    <row r="2950">
      <c r="A2950" s="430">
        <v>3.2279549000153E13</v>
      </c>
      <c r="B2950" s="218" t="s">
        <v>3762</v>
      </c>
    </row>
    <row r="2951">
      <c r="A2951" s="430">
        <v>6.48431000169E11</v>
      </c>
      <c r="B2951" s="218" t="s">
        <v>3763</v>
      </c>
    </row>
    <row r="2952">
      <c r="A2952" s="430">
        <v>8.2894114000197E13</v>
      </c>
      <c r="B2952" s="218" t="s">
        <v>3764</v>
      </c>
    </row>
    <row r="2953">
      <c r="A2953" s="430">
        <v>3.87137400017E12</v>
      </c>
      <c r="B2953" s="218" t="s">
        <v>3765</v>
      </c>
    </row>
    <row r="2954">
      <c r="A2954" s="430">
        <v>1.721335000161E12</v>
      </c>
      <c r="B2954" s="218" t="s">
        <v>3766</v>
      </c>
    </row>
    <row r="2955">
      <c r="A2955" s="430">
        <v>5.739378000125E12</v>
      </c>
      <c r="B2955" s="218" t="s">
        <v>3767</v>
      </c>
    </row>
    <row r="2956">
      <c r="A2956" s="430">
        <v>2.402365000178E12</v>
      </c>
      <c r="B2956" s="218" t="s">
        <v>3768</v>
      </c>
    </row>
    <row r="2957">
      <c r="A2957" s="430">
        <v>3.146063000149E12</v>
      </c>
      <c r="B2957" s="218" t="s">
        <v>3769</v>
      </c>
    </row>
    <row r="2958">
      <c r="A2958" s="430">
        <v>8.3948380000118E13</v>
      </c>
      <c r="B2958" s="218" t="s">
        <v>3770</v>
      </c>
    </row>
    <row r="2959">
      <c r="A2959" s="430">
        <v>7.99308000149E11</v>
      </c>
      <c r="B2959" s="218" t="s">
        <v>3771</v>
      </c>
    </row>
    <row r="2960">
      <c r="A2960" s="430">
        <v>2.36729200012E12</v>
      </c>
      <c r="B2960" s="218" t="s">
        <v>3772</v>
      </c>
    </row>
    <row r="2961">
      <c r="A2961" s="430">
        <v>8.287668100011E13</v>
      </c>
      <c r="B2961" s="218" t="s">
        <v>977</v>
      </c>
    </row>
    <row r="2962">
      <c r="A2962" s="430">
        <v>8.5343424000101E13</v>
      </c>
      <c r="B2962" s="218" t="s">
        <v>3773</v>
      </c>
    </row>
    <row r="2963">
      <c r="A2963" s="430">
        <v>2.78480100011E12</v>
      </c>
      <c r="B2963" s="218" t="s">
        <v>3774</v>
      </c>
    </row>
    <row r="2964">
      <c r="A2964" s="430">
        <v>2.835498000138E12</v>
      </c>
      <c r="B2964" s="218" t="s">
        <v>3775</v>
      </c>
    </row>
    <row r="2965">
      <c r="A2965" s="430">
        <v>3.45675000016E12</v>
      </c>
      <c r="B2965" s="218" t="s">
        <v>3776</v>
      </c>
    </row>
    <row r="2966">
      <c r="A2966" s="430">
        <v>2.7327320001E12</v>
      </c>
      <c r="B2966" s="218" t="s">
        <v>3777</v>
      </c>
    </row>
    <row r="2967">
      <c r="A2967" s="430">
        <v>3.094213000118E12</v>
      </c>
      <c r="B2967" s="218" t="s">
        <v>3778</v>
      </c>
    </row>
    <row r="2968">
      <c r="A2968" s="430">
        <v>3.910635600014E13</v>
      </c>
      <c r="B2968" s="218" t="s">
        <v>3779</v>
      </c>
    </row>
    <row r="2969">
      <c r="A2969" s="430">
        <v>4.904271000122E12</v>
      </c>
      <c r="B2969" s="218" t="s">
        <v>3780</v>
      </c>
    </row>
    <row r="2970">
      <c r="A2970" s="430">
        <v>5.754129000109E12</v>
      </c>
      <c r="B2970" s="218" t="s">
        <v>3781</v>
      </c>
    </row>
    <row r="2971">
      <c r="A2971" s="430">
        <v>7.8653946002279E13</v>
      </c>
      <c r="B2971" s="218" t="s">
        <v>3782</v>
      </c>
    </row>
    <row r="2972">
      <c r="A2972" s="430">
        <v>1.278303000133E12</v>
      </c>
      <c r="B2972" s="218" t="s">
        <v>3783</v>
      </c>
    </row>
    <row r="2973">
      <c r="A2973" s="430">
        <v>5.569714000139E12</v>
      </c>
      <c r="B2973" s="218" t="s">
        <v>3784</v>
      </c>
    </row>
    <row r="2974">
      <c r="A2974" s="430">
        <v>8.3875856000138E13</v>
      </c>
      <c r="B2974" s="218" t="s">
        <v>3785</v>
      </c>
    </row>
    <row r="2975">
      <c r="A2975" s="430">
        <v>2.747153000122E12</v>
      </c>
      <c r="B2975" s="218" t="s">
        <v>3786</v>
      </c>
    </row>
    <row r="2976">
      <c r="A2976" s="430">
        <v>7.4169830000183E13</v>
      </c>
      <c r="B2976" s="218" t="s">
        <v>3787</v>
      </c>
    </row>
    <row r="2977">
      <c r="A2977" s="430">
        <v>6.017932000123E12</v>
      </c>
      <c r="B2977" s="218" t="s">
        <v>3788</v>
      </c>
    </row>
    <row r="2978">
      <c r="A2978" s="430">
        <v>7.927697800013E13</v>
      </c>
      <c r="B2978" s="218" t="s">
        <v>3789</v>
      </c>
    </row>
    <row r="2979">
      <c r="A2979" s="430">
        <v>8.0109804000162E13</v>
      </c>
      <c r="B2979" s="218" t="s">
        <v>3790</v>
      </c>
    </row>
    <row r="2980">
      <c r="A2980" s="430">
        <v>7.588710000123E12</v>
      </c>
      <c r="B2980" s="218" t="s">
        <v>3791</v>
      </c>
    </row>
    <row r="2981">
      <c r="A2981" s="430">
        <v>5.78277000104E11</v>
      </c>
      <c r="B2981" s="218" t="s">
        <v>3792</v>
      </c>
    </row>
    <row r="2982">
      <c r="A2982" s="430">
        <v>2.4635359972E13</v>
      </c>
      <c r="B2982" s="218" t="s">
        <v>3793</v>
      </c>
    </row>
    <row r="2983">
      <c r="A2983" s="430">
        <v>2.4825440000146E13</v>
      </c>
      <c r="B2983" s="218" t="s">
        <v>3794</v>
      </c>
    </row>
    <row r="2984">
      <c r="A2984" s="430">
        <v>2.48889760001E13</v>
      </c>
      <c r="B2984" s="218" t="s">
        <v>3795</v>
      </c>
    </row>
    <row r="2985">
      <c r="A2985" s="430">
        <v>2.5525106000806E13</v>
      </c>
      <c r="B2985" s="218" t="s">
        <v>3796</v>
      </c>
    </row>
    <row r="2986">
      <c r="A2986" s="430">
        <v>6.09099400016E12</v>
      </c>
      <c r="B2986" s="218" t="s">
        <v>3797</v>
      </c>
    </row>
    <row r="2987">
      <c r="A2987" s="430">
        <v>5.267933000163E12</v>
      </c>
      <c r="B2987" s="218" t="s">
        <v>3798</v>
      </c>
    </row>
    <row r="2988">
      <c r="A2988" s="430">
        <v>6.346077000102E12</v>
      </c>
      <c r="B2988" s="218" t="s">
        <v>3799</v>
      </c>
    </row>
    <row r="2989">
      <c r="A2989" s="430">
        <v>8.3063933000155E13</v>
      </c>
      <c r="B2989" s="218" t="s">
        <v>3800</v>
      </c>
    </row>
    <row r="2990">
      <c r="A2990" s="430">
        <v>1.33753000175E11</v>
      </c>
      <c r="B2990" s="218" t="s">
        <v>3801</v>
      </c>
    </row>
    <row r="2991">
      <c r="A2991" s="430">
        <v>9.316900001E11</v>
      </c>
      <c r="B2991" s="218" t="s">
        <v>3802</v>
      </c>
    </row>
    <row r="2992">
      <c r="A2992" s="430">
        <v>8.5277390000102E13</v>
      </c>
      <c r="B2992" s="218" t="s">
        <v>3803</v>
      </c>
    </row>
    <row r="2993">
      <c r="A2993" s="430">
        <v>2.048427000195E12</v>
      </c>
      <c r="B2993" s="218" t="s">
        <v>3804</v>
      </c>
    </row>
    <row r="2994">
      <c r="A2994" s="430">
        <v>5.222464000166E12</v>
      </c>
      <c r="B2994" s="218" t="s">
        <v>3805</v>
      </c>
    </row>
    <row r="2995">
      <c r="A2995" s="430">
        <v>3.5563220001E12</v>
      </c>
      <c r="B2995" s="218" t="s">
        <v>3806</v>
      </c>
    </row>
    <row r="2996">
      <c r="A2996" s="430">
        <v>7.3250722000178E13</v>
      </c>
      <c r="B2996" s="218" t="s">
        <v>3807</v>
      </c>
    </row>
    <row r="2997">
      <c r="A2997" s="430">
        <v>4.094138000158E12</v>
      </c>
      <c r="B2997" s="218" t="s">
        <v>3808</v>
      </c>
    </row>
    <row r="2998">
      <c r="A2998" s="430">
        <v>2.7681000181E10</v>
      </c>
      <c r="B2998" s="218" t="s">
        <v>3809</v>
      </c>
    </row>
    <row r="2999">
      <c r="A2999" s="430">
        <v>3.774688000317E12</v>
      </c>
      <c r="B2999" s="218" t="s">
        <v>2065</v>
      </c>
    </row>
    <row r="3000">
      <c r="A3000" s="430">
        <v>2.6976381000132E13</v>
      </c>
      <c r="B3000" s="218" t="s">
        <v>3810</v>
      </c>
    </row>
    <row r="3001">
      <c r="A3001" s="430">
        <v>5.315582000119E12</v>
      </c>
      <c r="B3001" s="218" t="s">
        <v>3811</v>
      </c>
    </row>
    <row r="3002">
      <c r="A3002" s="430">
        <v>2.437690000257E12</v>
      </c>
      <c r="B3002" s="218" t="s">
        <v>3812</v>
      </c>
    </row>
    <row r="3003">
      <c r="A3003" s="430">
        <v>8.389218200018E13</v>
      </c>
      <c r="B3003" s="218" t="s">
        <v>3813</v>
      </c>
    </row>
    <row r="3004">
      <c r="A3004" s="430">
        <v>2.404548000122E12</v>
      </c>
      <c r="B3004" s="218" t="s">
        <v>3814</v>
      </c>
    </row>
    <row r="3005">
      <c r="A3005" s="430">
        <v>2.173150000122E12</v>
      </c>
      <c r="B3005" s="218" t="s">
        <v>3815</v>
      </c>
    </row>
    <row r="3006">
      <c r="A3006" s="430">
        <v>2.225285000194E12</v>
      </c>
      <c r="B3006" s="218" t="s">
        <v>3816</v>
      </c>
    </row>
    <row r="3007">
      <c r="A3007" s="430">
        <v>3.53950000108E11</v>
      </c>
      <c r="B3007" s="218" t="s">
        <v>3817</v>
      </c>
    </row>
    <row r="3008">
      <c r="A3008" s="430">
        <v>8.5102689000118E13</v>
      </c>
      <c r="B3008" s="218" t="s">
        <v>3818</v>
      </c>
    </row>
    <row r="3009">
      <c r="A3009" s="430">
        <v>8.3029587000199E13</v>
      </c>
      <c r="B3009" s="218" t="s">
        <v>3819</v>
      </c>
    </row>
    <row r="3010">
      <c r="A3010" s="430">
        <v>5.554620000196E12</v>
      </c>
      <c r="B3010" s="218" t="s">
        <v>3820</v>
      </c>
    </row>
    <row r="3011">
      <c r="A3011" s="430">
        <v>5.666048000157E12</v>
      </c>
      <c r="B3011" s="218" t="s">
        <v>3821</v>
      </c>
    </row>
    <row r="3012">
      <c r="A3012" s="430">
        <v>3.261750000105E12</v>
      </c>
      <c r="B3012" s="218" t="s">
        <v>3822</v>
      </c>
    </row>
    <row r="3013">
      <c r="A3013" s="430">
        <v>4.848808000184E12</v>
      </c>
      <c r="B3013" s="218" t="s">
        <v>3823</v>
      </c>
    </row>
    <row r="3014">
      <c r="A3014" s="430">
        <v>7.641792000122E12</v>
      </c>
      <c r="B3014" s="218" t="s">
        <v>3824</v>
      </c>
    </row>
    <row r="3015">
      <c r="A3015" s="430">
        <v>5.4492860001E12</v>
      </c>
      <c r="B3015" s="218" t="s">
        <v>3825</v>
      </c>
    </row>
    <row r="3016">
      <c r="A3016" s="430">
        <v>6.37224600017E12</v>
      </c>
      <c r="B3016" s="218" t="s">
        <v>3826</v>
      </c>
    </row>
    <row r="3017">
      <c r="A3017" s="430">
        <v>3.539651000142E12</v>
      </c>
      <c r="B3017" s="218" t="s">
        <v>3827</v>
      </c>
    </row>
    <row r="3018">
      <c r="A3018" s="430">
        <v>2.77361600012E12</v>
      </c>
      <c r="B3018" s="218" t="s">
        <v>3828</v>
      </c>
    </row>
    <row r="3019">
      <c r="A3019" s="430">
        <v>3.906261000163E12</v>
      </c>
      <c r="B3019" s="218" t="s">
        <v>3829</v>
      </c>
    </row>
    <row r="3020">
      <c r="A3020" s="430">
        <v>5.97199700014E12</v>
      </c>
      <c r="B3020" s="218" t="s">
        <v>3830</v>
      </c>
    </row>
    <row r="3021">
      <c r="A3021" s="430">
        <v>5.7837312000171E13</v>
      </c>
      <c r="B3021" s="218" t="s">
        <v>3831</v>
      </c>
    </row>
    <row r="3022">
      <c r="A3022" s="430">
        <v>8.6444791000164E13</v>
      </c>
      <c r="B3022" s="218" t="s">
        <v>3832</v>
      </c>
    </row>
    <row r="3023">
      <c r="A3023" s="430">
        <v>2.696182000102E12</v>
      </c>
      <c r="B3023" s="218" t="s">
        <v>3833</v>
      </c>
    </row>
    <row r="3024">
      <c r="A3024" s="430">
        <v>1.837998000146E12</v>
      </c>
      <c r="B3024" s="218" t="s">
        <v>3834</v>
      </c>
    </row>
    <row r="3025">
      <c r="A3025" s="430">
        <v>2.259171000165E12</v>
      </c>
      <c r="B3025" s="218" t="s">
        <v>3835</v>
      </c>
    </row>
    <row r="3026">
      <c r="A3026" s="430">
        <v>2.940662000177E12</v>
      </c>
      <c r="B3026" s="218" t="s">
        <v>3836</v>
      </c>
    </row>
    <row r="3027">
      <c r="A3027" s="430">
        <v>5.472936000139E12</v>
      </c>
      <c r="B3027" s="218" t="s">
        <v>3837</v>
      </c>
    </row>
    <row r="3028">
      <c r="A3028" s="430">
        <v>7.2461072000147E13</v>
      </c>
      <c r="B3028" s="218" t="s">
        <v>3838</v>
      </c>
    </row>
    <row r="3029">
      <c r="A3029" s="430">
        <v>8.188783800014E13</v>
      </c>
      <c r="B3029" s="218" t="s">
        <v>3839</v>
      </c>
    </row>
    <row r="3030">
      <c r="A3030" s="430">
        <v>8.793530000014E13</v>
      </c>
      <c r="B3030" s="218" t="s">
        <v>3840</v>
      </c>
    </row>
    <row r="3031">
      <c r="A3031" s="430">
        <v>1.314933000116E12</v>
      </c>
      <c r="B3031" s="218" t="s">
        <v>3841</v>
      </c>
    </row>
    <row r="3032">
      <c r="A3032" s="430">
        <v>7.58405000193E11</v>
      </c>
      <c r="B3032" s="218" t="s">
        <v>3842</v>
      </c>
    </row>
    <row r="3033">
      <c r="A3033" s="430">
        <v>3.4709400017E11</v>
      </c>
      <c r="B3033" s="218" t="s">
        <v>3843</v>
      </c>
    </row>
    <row r="3034">
      <c r="A3034" s="430">
        <v>1.950100000141E12</v>
      </c>
      <c r="B3034" s="218" t="s">
        <v>3844</v>
      </c>
    </row>
    <row r="3035">
      <c r="A3035" s="430">
        <v>6.27612000109E11</v>
      </c>
      <c r="B3035" s="218" t="s">
        <v>3845</v>
      </c>
    </row>
    <row r="3036">
      <c r="A3036" s="430">
        <v>2.603503000187E12</v>
      </c>
      <c r="B3036" s="218" t="s">
        <v>3846</v>
      </c>
    </row>
    <row r="3037">
      <c r="A3037" s="430">
        <v>4.3641430000103E13</v>
      </c>
      <c r="B3037" s="218" t="s">
        <v>3847</v>
      </c>
    </row>
    <row r="3038">
      <c r="A3038" s="430">
        <v>6.66896000142E11</v>
      </c>
      <c r="B3038" s="218" t="s">
        <v>3848</v>
      </c>
    </row>
    <row r="3039">
      <c r="A3039" s="430">
        <v>8.6745346000134E13</v>
      </c>
      <c r="B3039" s="218" t="s">
        <v>3849</v>
      </c>
    </row>
    <row r="3040">
      <c r="A3040" s="430">
        <v>2.945697000107E12</v>
      </c>
      <c r="B3040" s="218" t="s">
        <v>3850</v>
      </c>
    </row>
    <row r="3041">
      <c r="A3041" s="430">
        <v>5.674677000129E12</v>
      </c>
      <c r="B3041" s="218" t="s">
        <v>3851</v>
      </c>
    </row>
    <row r="3042">
      <c r="A3042" s="430">
        <v>3.3402892000882E13</v>
      </c>
      <c r="B3042" s="218" t="s">
        <v>3852</v>
      </c>
    </row>
    <row r="3043">
      <c r="A3043" s="430">
        <v>2.874454000117E12</v>
      </c>
      <c r="B3043" s="218" t="s">
        <v>3853</v>
      </c>
    </row>
    <row r="3044">
      <c r="A3044" s="430">
        <v>8.3289199000147E13</v>
      </c>
      <c r="B3044" s="218" t="s">
        <v>3854</v>
      </c>
    </row>
    <row r="3045">
      <c r="A3045" s="430">
        <v>7.4333246000111E13</v>
      </c>
      <c r="B3045" s="218" t="s">
        <v>3855</v>
      </c>
    </row>
    <row r="3046">
      <c r="A3046" s="430">
        <v>4.3217850000825E13</v>
      </c>
      <c r="B3046" s="218" t="s">
        <v>3856</v>
      </c>
    </row>
    <row r="3047">
      <c r="A3047" s="430">
        <v>5.213768000167E12</v>
      </c>
      <c r="B3047" s="218" t="s">
        <v>3857</v>
      </c>
    </row>
    <row r="3048">
      <c r="A3048" s="430">
        <v>2.19302200014E12</v>
      </c>
      <c r="B3048" s="218" t="s">
        <v>3858</v>
      </c>
    </row>
    <row r="3049">
      <c r="A3049" s="430">
        <v>1.562766000122E12</v>
      </c>
      <c r="B3049" s="218" t="s">
        <v>3859</v>
      </c>
    </row>
    <row r="3050">
      <c r="A3050" s="430">
        <v>2.7008481000138E13</v>
      </c>
      <c r="B3050" s="218" t="s">
        <v>3860</v>
      </c>
    </row>
    <row r="3051">
      <c r="A3051" s="430">
        <v>2.8688802000155E13</v>
      </c>
      <c r="B3051" s="218" t="s">
        <v>3119</v>
      </c>
    </row>
    <row r="3052">
      <c r="A3052" s="430">
        <v>2.8973550000106E13</v>
      </c>
      <c r="B3052" s="218" t="s">
        <v>3861</v>
      </c>
    </row>
    <row r="3053">
      <c r="A3053" s="430">
        <v>7.209612024827E12</v>
      </c>
      <c r="B3053" s="218" t="s">
        <v>3862</v>
      </c>
    </row>
    <row r="3054">
      <c r="A3054" s="430">
        <v>1.1696820001662E13</v>
      </c>
      <c r="B3054" s="218" t="s">
        <v>3863</v>
      </c>
    </row>
    <row r="3055">
      <c r="A3055" s="430">
        <v>1.5781941000187E13</v>
      </c>
      <c r="B3055" s="218" t="s">
        <v>3864</v>
      </c>
    </row>
    <row r="3056">
      <c r="A3056" s="430">
        <v>1.666443500017E13</v>
      </c>
      <c r="B3056" s="218" t="s">
        <v>3865</v>
      </c>
    </row>
    <row r="3057">
      <c r="A3057" s="430">
        <v>1.715651405996E13</v>
      </c>
      <c r="B3057" s="218" t="s">
        <v>3866</v>
      </c>
    </row>
    <row r="3058">
      <c r="A3058" s="430">
        <v>1.718882200014E13</v>
      </c>
      <c r="B3058" s="218" t="s">
        <v>3867</v>
      </c>
    </row>
    <row r="3059">
      <c r="A3059" s="430">
        <v>2.221363000182E12</v>
      </c>
      <c r="B3059" s="218" t="s">
        <v>3868</v>
      </c>
    </row>
    <row r="3060">
      <c r="A3060" s="430">
        <v>5.699006000112E12</v>
      </c>
      <c r="B3060" s="218" t="s">
        <v>3869</v>
      </c>
    </row>
    <row r="3061">
      <c r="A3061" s="430">
        <v>9.3371862000101E13</v>
      </c>
      <c r="B3061" s="218" t="s">
        <v>3870</v>
      </c>
    </row>
    <row r="3062">
      <c r="A3062" s="430">
        <v>5.876117000157E12</v>
      </c>
      <c r="B3062" s="218" t="s">
        <v>3871</v>
      </c>
    </row>
    <row r="3063">
      <c r="A3063" s="430">
        <v>7.126682000122E12</v>
      </c>
      <c r="B3063" s="218" t="s">
        <v>3872</v>
      </c>
    </row>
    <row r="3064">
      <c r="A3064" s="430">
        <v>7.2297468000109E13</v>
      </c>
      <c r="B3064" s="218" t="s">
        <v>3873</v>
      </c>
    </row>
    <row r="3065">
      <c r="A3065" s="430">
        <v>7.036937000166E12</v>
      </c>
      <c r="B3065" s="218" t="s">
        <v>3874</v>
      </c>
    </row>
    <row r="3066">
      <c r="A3066" s="430">
        <v>7.028417000101E12</v>
      </c>
      <c r="B3066" s="218" t="s">
        <v>3875</v>
      </c>
    </row>
    <row r="3067">
      <c r="A3067" s="430">
        <v>9.42450000101E11</v>
      </c>
      <c r="B3067" s="218" t="s">
        <v>3876</v>
      </c>
    </row>
    <row r="3068">
      <c r="A3068" s="430">
        <v>8.2896903000167E13</v>
      </c>
      <c r="B3068" s="218" t="s">
        <v>3877</v>
      </c>
    </row>
    <row r="3069">
      <c r="A3069" s="430">
        <v>7.6677145000193E13</v>
      </c>
      <c r="B3069" s="218" t="s">
        <v>3878</v>
      </c>
    </row>
    <row r="3070">
      <c r="A3070" s="430">
        <v>3.319178000198E12</v>
      </c>
      <c r="B3070" s="218" t="s">
        <v>3879</v>
      </c>
    </row>
    <row r="3071">
      <c r="A3071" s="430">
        <v>5.488136000106E12</v>
      </c>
      <c r="B3071" s="218" t="s">
        <v>3880</v>
      </c>
    </row>
    <row r="3072">
      <c r="A3072" s="430">
        <v>2.624659000144E12</v>
      </c>
      <c r="B3072" s="218" t="s">
        <v>3881</v>
      </c>
    </row>
    <row r="3073">
      <c r="A3073" s="430">
        <v>1.885039000104E12</v>
      </c>
      <c r="B3073" s="218" t="s">
        <v>3882</v>
      </c>
    </row>
    <row r="3074">
      <c r="A3074" s="430">
        <v>7.5290122000169E13</v>
      </c>
      <c r="B3074" s="218" t="s">
        <v>3883</v>
      </c>
    </row>
    <row r="3075">
      <c r="A3075" s="430">
        <v>4.547522000169E12</v>
      </c>
      <c r="B3075" s="218" t="s">
        <v>3884</v>
      </c>
    </row>
    <row r="3076">
      <c r="A3076" s="430">
        <v>3.265706000173E12</v>
      </c>
      <c r="B3076" s="218" t="s">
        <v>3885</v>
      </c>
    </row>
    <row r="3077">
      <c r="A3077" s="430">
        <v>8.3160671000147E13</v>
      </c>
      <c r="B3077" s="218" t="s">
        <v>3886</v>
      </c>
    </row>
    <row r="3078">
      <c r="A3078" s="430">
        <v>3.661538000135E12</v>
      </c>
      <c r="B3078" s="218" t="s">
        <v>3887</v>
      </c>
    </row>
    <row r="3079">
      <c r="A3079" s="430">
        <v>5.554557000198E12</v>
      </c>
      <c r="B3079" s="218" t="s">
        <v>3888</v>
      </c>
    </row>
    <row r="3080">
      <c r="A3080" s="430">
        <v>8.0127855000117E13</v>
      </c>
      <c r="B3080" s="218" t="s">
        <v>3889</v>
      </c>
    </row>
    <row r="3081">
      <c r="A3081" s="430">
        <v>8.8623459000192E13</v>
      </c>
      <c r="B3081" s="218" t="s">
        <v>1540</v>
      </c>
    </row>
    <row r="3082">
      <c r="A3082" s="430">
        <v>7.8821519000128E13</v>
      </c>
      <c r="B3082" s="218" t="s">
        <v>3890</v>
      </c>
    </row>
    <row r="3083">
      <c r="A3083" s="430">
        <v>5.619490000122E12</v>
      </c>
      <c r="B3083" s="218" t="s">
        <v>3891</v>
      </c>
    </row>
    <row r="3084">
      <c r="A3084" s="430">
        <v>8.3105593000188E13</v>
      </c>
      <c r="B3084" s="218" t="s">
        <v>3892</v>
      </c>
    </row>
    <row r="3085">
      <c r="A3085" s="430">
        <v>3.774688002018E12</v>
      </c>
      <c r="B3085" s="218" t="s">
        <v>2065</v>
      </c>
    </row>
    <row r="3086">
      <c r="A3086" s="430">
        <v>2.656108000162E12</v>
      </c>
      <c r="B3086" s="218" t="s">
        <v>3893</v>
      </c>
    </row>
    <row r="3087">
      <c r="A3087" s="430">
        <v>8.2123274000132E13</v>
      </c>
      <c r="B3087" s="218" t="s">
        <v>3894</v>
      </c>
    </row>
    <row r="3088">
      <c r="A3088" s="430">
        <v>7.8873908000105E13</v>
      </c>
      <c r="B3088" s="218" t="s">
        <v>3895</v>
      </c>
    </row>
    <row r="3089">
      <c r="A3089" s="430">
        <v>3.119421000124E12</v>
      </c>
      <c r="B3089" s="218" t="s">
        <v>3896</v>
      </c>
    </row>
    <row r="3090">
      <c r="A3090" s="430">
        <v>1.029902000113E12</v>
      </c>
      <c r="B3090" s="218" t="s">
        <v>3897</v>
      </c>
    </row>
    <row r="3091">
      <c r="A3091" s="430">
        <v>1.2212910001E12</v>
      </c>
      <c r="B3091" s="218" t="s">
        <v>3898</v>
      </c>
    </row>
    <row r="3092">
      <c r="A3092" s="430">
        <v>1.252309000131E12</v>
      </c>
      <c r="B3092" s="218" t="s">
        <v>3899</v>
      </c>
    </row>
    <row r="3093">
      <c r="A3093" s="430">
        <v>1.276046000109E12</v>
      </c>
      <c r="B3093" s="218" t="s">
        <v>3900</v>
      </c>
    </row>
    <row r="3094">
      <c r="A3094" s="430">
        <v>1.319738000189E12</v>
      </c>
      <c r="B3094" s="218" t="s">
        <v>3901</v>
      </c>
    </row>
    <row r="3095">
      <c r="A3095" s="430">
        <v>1.331395000178E12</v>
      </c>
      <c r="B3095" s="218" t="s">
        <v>3902</v>
      </c>
    </row>
    <row r="3096">
      <c r="A3096" s="430">
        <v>1.409571000147E12</v>
      </c>
      <c r="B3096" s="218" t="s">
        <v>3903</v>
      </c>
    </row>
    <row r="3097">
      <c r="A3097" s="430">
        <v>1.447737000209E12</v>
      </c>
      <c r="B3097" s="218" t="s">
        <v>3904</v>
      </c>
    </row>
    <row r="3098">
      <c r="A3098" s="430">
        <v>1.615626000175E12</v>
      </c>
      <c r="B3098" s="218" t="s">
        <v>3905</v>
      </c>
    </row>
    <row r="3099">
      <c r="A3099" s="430">
        <v>1.642776000178E12</v>
      </c>
      <c r="B3099" s="218" t="s">
        <v>3906</v>
      </c>
    </row>
    <row r="3100">
      <c r="A3100" s="430">
        <v>1.713816000125E12</v>
      </c>
      <c r="B3100" s="218" t="s">
        <v>3907</v>
      </c>
    </row>
    <row r="3101">
      <c r="A3101" s="430">
        <v>1.734172000151E12</v>
      </c>
      <c r="B3101" s="218" t="s">
        <v>3908</v>
      </c>
    </row>
    <row r="3102">
      <c r="A3102" s="430">
        <v>1.741960000175E12</v>
      </c>
      <c r="B3102" s="218" t="s">
        <v>3909</v>
      </c>
    </row>
    <row r="3103">
      <c r="A3103" s="430">
        <v>1.742556000116E12</v>
      </c>
      <c r="B3103" s="218" t="s">
        <v>3910</v>
      </c>
    </row>
    <row r="3104">
      <c r="A3104" s="430">
        <v>1.791803000174E12</v>
      </c>
      <c r="B3104" s="218" t="s">
        <v>3911</v>
      </c>
    </row>
    <row r="3105">
      <c r="A3105" s="430">
        <v>1.88211300012E12</v>
      </c>
      <c r="B3105" s="218" t="s">
        <v>3912</v>
      </c>
    </row>
    <row r="3106">
      <c r="A3106" s="430">
        <v>9.14087000102E11</v>
      </c>
      <c r="B3106" s="218" t="s">
        <v>3913</v>
      </c>
    </row>
    <row r="3107">
      <c r="A3107" s="430">
        <v>9.91023000105E11</v>
      </c>
      <c r="B3107" s="218" t="s">
        <v>3914</v>
      </c>
    </row>
    <row r="3108">
      <c r="A3108" s="430">
        <v>2.054061000167E12</v>
      </c>
      <c r="B3108" s="218" t="s">
        <v>3915</v>
      </c>
    </row>
    <row r="3109">
      <c r="A3109" s="430">
        <v>5.30279000115E11</v>
      </c>
      <c r="B3109" s="218" t="s">
        <v>3916</v>
      </c>
    </row>
    <row r="3110">
      <c r="A3110" s="430">
        <v>5.30279000468E11</v>
      </c>
      <c r="B3110" s="218" t="s">
        <v>3917</v>
      </c>
    </row>
    <row r="3111">
      <c r="A3111" s="430">
        <v>5.30279000549E11</v>
      </c>
      <c r="B3111" s="218" t="s">
        <v>3918</v>
      </c>
    </row>
    <row r="3112">
      <c r="A3112" s="430">
        <v>5.31640000128E11</v>
      </c>
      <c r="B3112" s="218" t="s">
        <v>3919</v>
      </c>
    </row>
    <row r="3113">
      <c r="A3113" s="430">
        <v>5.52991000115E11</v>
      </c>
      <c r="B3113" s="218" t="s">
        <v>3920</v>
      </c>
    </row>
    <row r="3114">
      <c r="A3114" s="430">
        <v>5.53806000107E11</v>
      </c>
      <c r="B3114" s="218" t="s">
        <v>3921</v>
      </c>
    </row>
    <row r="3115">
      <c r="A3115" s="430">
        <v>5.57696000151E11</v>
      </c>
      <c r="B3115" s="218" t="s">
        <v>3922</v>
      </c>
    </row>
    <row r="3116">
      <c r="A3116" s="430">
        <v>7.214657000109E12</v>
      </c>
      <c r="B3116" s="218" t="s">
        <v>3923</v>
      </c>
    </row>
    <row r="3117">
      <c r="A3117" s="430">
        <v>7.9682852000166E13</v>
      </c>
      <c r="B3117" s="218" t="s">
        <v>3924</v>
      </c>
    </row>
    <row r="3118">
      <c r="A3118" s="430">
        <v>6.5706061000114E13</v>
      </c>
      <c r="B3118" s="218" t="s">
        <v>3925</v>
      </c>
    </row>
    <row r="3119">
      <c r="A3119" s="430">
        <v>3.41506600013E12</v>
      </c>
      <c r="B3119" s="218" t="s">
        <v>3926</v>
      </c>
    </row>
    <row r="3120">
      <c r="A3120" s="430">
        <v>8.3487876000131E13</v>
      </c>
      <c r="B3120" s="218" t="s">
        <v>3927</v>
      </c>
    </row>
    <row r="3121">
      <c r="A3121" s="430">
        <v>7.10985000149E11</v>
      </c>
      <c r="B3121" s="218" t="s">
        <v>3928</v>
      </c>
    </row>
    <row r="3122">
      <c r="A3122" s="430">
        <v>4.455050000114E12</v>
      </c>
      <c r="B3122" s="218" t="s">
        <v>3929</v>
      </c>
    </row>
    <row r="3123">
      <c r="A3123" s="430">
        <v>8.5232197000147E13</v>
      </c>
      <c r="B3123" s="218" t="s">
        <v>3930</v>
      </c>
    </row>
    <row r="3124">
      <c r="A3124" s="430">
        <v>2.654108000123E12</v>
      </c>
      <c r="B3124" s="218" t="s">
        <v>3931</v>
      </c>
    </row>
    <row r="3125">
      <c r="A3125" s="430">
        <v>8.3470286000104E13</v>
      </c>
      <c r="B3125" s="218" t="s">
        <v>3932</v>
      </c>
    </row>
    <row r="3126">
      <c r="A3126" s="430">
        <v>5.402226000132E12</v>
      </c>
      <c r="B3126" s="218" t="s">
        <v>3933</v>
      </c>
    </row>
    <row r="3127">
      <c r="A3127" s="430">
        <v>5.10277000164E11</v>
      </c>
      <c r="B3127" s="218" t="s">
        <v>3934</v>
      </c>
    </row>
    <row r="3128">
      <c r="A3128" s="430">
        <v>9.2753268000112E13</v>
      </c>
      <c r="B3128" s="218" t="s">
        <v>3935</v>
      </c>
    </row>
    <row r="3129">
      <c r="A3129" s="430">
        <v>6.56370000181E11</v>
      </c>
      <c r="B3129" s="218" t="s">
        <v>3936</v>
      </c>
    </row>
    <row r="3130">
      <c r="A3130" s="430">
        <v>2.8194652003068E13</v>
      </c>
      <c r="B3130" s="218" t="s">
        <v>3937</v>
      </c>
    </row>
    <row r="3131">
      <c r="A3131" s="430">
        <v>8.5096758000128E13</v>
      </c>
      <c r="B3131" s="218" t="s">
        <v>3938</v>
      </c>
    </row>
    <row r="3132">
      <c r="A3132" s="430">
        <v>2.297410000171E12</v>
      </c>
      <c r="B3132" s="218" t="s">
        <v>3939</v>
      </c>
    </row>
    <row r="3133">
      <c r="A3133" s="430">
        <v>7.39169000168E11</v>
      </c>
      <c r="B3133" s="218" t="s">
        <v>3940</v>
      </c>
    </row>
    <row r="3134">
      <c r="A3134" s="430">
        <v>3.46132300017E12</v>
      </c>
      <c r="B3134" s="218" t="s">
        <v>3941</v>
      </c>
    </row>
    <row r="3135">
      <c r="A3135" s="430">
        <v>5.377321000123E12</v>
      </c>
      <c r="B3135" s="218" t="s">
        <v>3942</v>
      </c>
    </row>
    <row r="3136">
      <c r="A3136" s="430">
        <v>4.927746000104E12</v>
      </c>
      <c r="B3136" s="218" t="s">
        <v>3943</v>
      </c>
    </row>
    <row r="3137">
      <c r="A3137" s="430">
        <v>5.498853000119E12</v>
      </c>
      <c r="B3137" s="218" t="s">
        <v>3944</v>
      </c>
    </row>
    <row r="3138">
      <c r="A3138" s="430">
        <v>7.6556992000108E13</v>
      </c>
      <c r="B3138" s="218" t="s">
        <v>3945</v>
      </c>
    </row>
    <row r="3139">
      <c r="A3139" s="430">
        <v>7.906518100086E13</v>
      </c>
      <c r="B3139" s="218" t="s">
        <v>1415</v>
      </c>
    </row>
    <row r="3140">
      <c r="A3140" s="430">
        <v>6.125765000134E12</v>
      </c>
      <c r="B3140" s="218" t="s">
        <v>3946</v>
      </c>
    </row>
    <row r="3141">
      <c r="A3141" s="430">
        <v>4.6753307000164E13</v>
      </c>
      <c r="B3141" s="218" t="s">
        <v>3947</v>
      </c>
    </row>
    <row r="3142">
      <c r="A3142" s="430">
        <v>4.328381100015E13</v>
      </c>
      <c r="B3142" s="218" t="s">
        <v>3948</v>
      </c>
    </row>
    <row r="3143">
      <c r="A3143" s="430">
        <v>4.696212200016E13</v>
      </c>
      <c r="B3143" s="218" t="s">
        <v>3949</v>
      </c>
    </row>
    <row r="3144">
      <c r="A3144" s="430">
        <v>4.7508411101948E13</v>
      </c>
      <c r="B3144" s="218" t="s">
        <v>3950</v>
      </c>
    </row>
    <row r="3145">
      <c r="A3145" s="430">
        <v>4.7866934000174E13</v>
      </c>
      <c r="B3145" s="218" t="s">
        <v>3951</v>
      </c>
    </row>
    <row r="3146">
      <c r="A3146" s="430">
        <v>3.892735100019E13</v>
      </c>
      <c r="B3146" s="218" t="s">
        <v>3952</v>
      </c>
    </row>
    <row r="3147">
      <c r="A3147" s="430">
        <v>4.0507361000139E13</v>
      </c>
      <c r="B3147" s="218" t="s">
        <v>3953</v>
      </c>
    </row>
    <row r="3148">
      <c r="A3148" s="430">
        <v>4.1785197000107E13</v>
      </c>
      <c r="B3148" s="218" t="s">
        <v>3954</v>
      </c>
    </row>
    <row r="3149">
      <c r="A3149" s="430">
        <v>4.1942087000101E13</v>
      </c>
      <c r="B3149" s="218" t="s">
        <v>3955</v>
      </c>
    </row>
    <row r="3150">
      <c r="A3150" s="430">
        <v>4.2318949000184E13</v>
      </c>
      <c r="B3150" s="218" t="s">
        <v>3956</v>
      </c>
    </row>
    <row r="3151">
      <c r="A3151" s="430">
        <v>4.2318949000931E13</v>
      </c>
      <c r="B3151" s="218" t="s">
        <v>3957</v>
      </c>
    </row>
    <row r="3152">
      <c r="A3152" s="430">
        <v>4.24939400001E13</v>
      </c>
      <c r="B3152" s="218" t="s">
        <v>3958</v>
      </c>
    </row>
    <row r="3153">
      <c r="A3153" s="430">
        <v>4.2515767000101E13</v>
      </c>
      <c r="B3153" s="218" t="s">
        <v>3959</v>
      </c>
    </row>
    <row r="3154">
      <c r="A3154" s="430">
        <v>4.2528778000118E13</v>
      </c>
      <c r="B3154" s="218" t="s">
        <v>3960</v>
      </c>
    </row>
    <row r="3155">
      <c r="A3155" s="430">
        <v>4.321785000031E13</v>
      </c>
      <c r="B3155" s="218" t="s">
        <v>3961</v>
      </c>
    </row>
    <row r="3156">
      <c r="A3156" s="430">
        <v>4.3217850001805E13</v>
      </c>
      <c r="B3156" s="218" t="s">
        <v>3962</v>
      </c>
    </row>
    <row r="3157">
      <c r="A3157" s="430">
        <v>3.7992393000177E13</v>
      </c>
      <c r="B3157" s="218" t="s">
        <v>3963</v>
      </c>
    </row>
    <row r="3158">
      <c r="A3158" s="430">
        <v>2.367269000136E12</v>
      </c>
      <c r="B3158" s="218" t="s">
        <v>3964</v>
      </c>
    </row>
    <row r="3159">
      <c r="A3159" s="430">
        <v>2.377622000169E12</v>
      </c>
      <c r="B3159" s="218" t="s">
        <v>3965</v>
      </c>
    </row>
    <row r="3160">
      <c r="A3160" s="430">
        <v>2.482005000123E12</v>
      </c>
      <c r="B3160" s="218" t="s">
        <v>3966</v>
      </c>
    </row>
    <row r="3161">
      <c r="A3161" s="430">
        <v>2.607776000108E12</v>
      </c>
      <c r="B3161" s="218" t="s">
        <v>3967</v>
      </c>
    </row>
    <row r="3162">
      <c r="A3162" s="430">
        <v>2.711286000149E12</v>
      </c>
      <c r="B3162" s="218" t="s">
        <v>3968</v>
      </c>
    </row>
    <row r="3163">
      <c r="A3163" s="430">
        <v>2.742773000179E12</v>
      </c>
      <c r="B3163" s="218" t="s">
        <v>3969</v>
      </c>
    </row>
    <row r="3164">
      <c r="A3164" s="430">
        <v>3.5379108000136E13</v>
      </c>
      <c r="B3164" s="218" t="s">
        <v>3970</v>
      </c>
    </row>
    <row r="3165">
      <c r="A3165" s="430">
        <v>3.5798651000153E13</v>
      </c>
      <c r="B3165" s="218" t="s">
        <v>3971</v>
      </c>
    </row>
    <row r="3166">
      <c r="A3166" s="430">
        <v>3.582044801109E13</v>
      </c>
      <c r="B3166" s="218" t="s">
        <v>3972</v>
      </c>
    </row>
    <row r="3167">
      <c r="A3167" s="430">
        <v>2.59882000104E11</v>
      </c>
      <c r="B3167" s="218" t="s">
        <v>3973</v>
      </c>
    </row>
    <row r="3168">
      <c r="A3168" s="430">
        <v>7.82114060001E13</v>
      </c>
      <c r="B3168" s="218" t="s">
        <v>3974</v>
      </c>
    </row>
    <row r="3169">
      <c r="A3169" s="430">
        <v>1.51657200019E12</v>
      </c>
      <c r="B3169" s="218" t="s">
        <v>3975</v>
      </c>
    </row>
    <row r="3170">
      <c r="A3170" s="430">
        <v>4.973609000106E12</v>
      </c>
      <c r="B3170" s="218" t="s">
        <v>3976</v>
      </c>
    </row>
    <row r="3171">
      <c r="A3171" s="430">
        <v>7.4169962000105E13</v>
      </c>
      <c r="B3171" s="218" t="s">
        <v>3977</v>
      </c>
    </row>
    <row r="3172">
      <c r="A3172" s="430">
        <v>8.510260600019E13</v>
      </c>
      <c r="B3172" s="218" t="s">
        <v>3978</v>
      </c>
    </row>
    <row r="3173">
      <c r="A3173" s="430">
        <v>4.8254833000105E13</v>
      </c>
      <c r="B3173" s="218" t="s">
        <v>3979</v>
      </c>
    </row>
    <row r="3174">
      <c r="A3174" s="430">
        <v>7.2633019000186E13</v>
      </c>
      <c r="B3174" s="218" t="s">
        <v>3980</v>
      </c>
    </row>
    <row r="3175">
      <c r="A3175" s="430">
        <v>6.01339000143E11</v>
      </c>
      <c r="B3175" s="218" t="s">
        <v>3981</v>
      </c>
    </row>
    <row r="3176">
      <c r="A3176" s="430">
        <v>3.603739001409E12</v>
      </c>
      <c r="B3176" s="218" t="s">
        <v>3754</v>
      </c>
    </row>
    <row r="3177">
      <c r="A3177" s="430">
        <v>8.3660670000242E13</v>
      </c>
      <c r="B3177" s="218" t="s">
        <v>3982</v>
      </c>
    </row>
    <row r="3178">
      <c r="A3178" s="430">
        <v>1.62355900013E12</v>
      </c>
      <c r="B3178" s="218" t="s">
        <v>3983</v>
      </c>
    </row>
    <row r="3179">
      <c r="A3179" s="430">
        <v>8.3600510000127E13</v>
      </c>
      <c r="B3179" s="218" t="s">
        <v>3984</v>
      </c>
    </row>
    <row r="3180">
      <c r="A3180" s="430">
        <v>4.24980400018E12</v>
      </c>
      <c r="B3180" s="218" t="s">
        <v>3985</v>
      </c>
    </row>
    <row r="3181">
      <c r="A3181" s="430">
        <v>4.868551000122E12</v>
      </c>
      <c r="B3181" s="218" t="s">
        <v>3986</v>
      </c>
    </row>
    <row r="3182">
      <c r="A3182" s="430">
        <v>8.0705684000166E13</v>
      </c>
      <c r="B3182" s="218" t="s">
        <v>3987</v>
      </c>
    </row>
    <row r="3183">
      <c r="A3183" s="430">
        <v>7.211286500015E13</v>
      </c>
      <c r="B3183" s="218" t="s">
        <v>3988</v>
      </c>
    </row>
    <row r="3184">
      <c r="A3184" s="430">
        <v>4.87994800011E12</v>
      </c>
      <c r="B3184" s="218" t="s">
        <v>3989</v>
      </c>
    </row>
    <row r="3185">
      <c r="A3185" s="430">
        <v>8.14765000165E11</v>
      </c>
      <c r="B3185" s="218" t="s">
        <v>3990</v>
      </c>
    </row>
    <row r="3186">
      <c r="A3186" s="430">
        <v>8.156426200018E13</v>
      </c>
      <c r="B3186" s="218" t="s">
        <v>3991</v>
      </c>
    </row>
    <row r="3187">
      <c r="A3187" s="430">
        <v>5.013257000444E12</v>
      </c>
      <c r="B3187" s="218" t="s">
        <v>3992</v>
      </c>
    </row>
    <row r="3188">
      <c r="A3188" s="430">
        <v>3.991951000168E12</v>
      </c>
      <c r="B3188" s="218" t="s">
        <v>3993</v>
      </c>
    </row>
    <row r="3189">
      <c r="A3189" s="430">
        <v>5.000415000189E12</v>
      </c>
      <c r="B3189" s="218" t="s">
        <v>3994</v>
      </c>
    </row>
    <row r="3190">
      <c r="A3190" s="430">
        <v>8.5372290000157E13</v>
      </c>
      <c r="B3190" s="218" t="s">
        <v>3995</v>
      </c>
    </row>
    <row r="3191">
      <c r="A3191" s="430">
        <v>6.121005000159E12</v>
      </c>
      <c r="B3191" s="218" t="s">
        <v>3996</v>
      </c>
    </row>
    <row r="3192">
      <c r="A3192" s="430">
        <v>5.532421000187E12</v>
      </c>
      <c r="B3192" s="218" t="s">
        <v>3997</v>
      </c>
    </row>
    <row r="3193">
      <c r="A3193" s="430">
        <v>7.6535764032185E13</v>
      </c>
      <c r="B3193" s="218" t="s">
        <v>2565</v>
      </c>
    </row>
    <row r="3194">
      <c r="A3194" s="430">
        <v>3.096318000106E12</v>
      </c>
      <c r="B3194" s="218" t="s">
        <v>3998</v>
      </c>
    </row>
    <row r="3195">
      <c r="A3195" s="430">
        <v>6.179300000166E12</v>
      </c>
      <c r="B3195" s="218" t="s">
        <v>3999</v>
      </c>
    </row>
    <row r="3196">
      <c r="A3196" s="430">
        <v>5.4484753001382E13</v>
      </c>
      <c r="B3196" s="218" t="s">
        <v>4000</v>
      </c>
    </row>
    <row r="3197">
      <c r="A3197" s="430">
        <v>8.3021808000182E13</v>
      </c>
      <c r="B3197" s="218" t="s">
        <v>4001</v>
      </c>
    </row>
    <row r="3198">
      <c r="A3198" s="430">
        <v>3.60373900069E12</v>
      </c>
      <c r="B3198" s="218" t="s">
        <v>4002</v>
      </c>
    </row>
    <row r="3199">
      <c r="A3199" s="430">
        <v>6.886540000109E12</v>
      </c>
      <c r="B3199" s="218" t="s">
        <v>4003</v>
      </c>
    </row>
    <row r="3200">
      <c r="A3200" s="430">
        <v>9.5812012000127E13</v>
      </c>
      <c r="B3200" s="218" t="s">
        <v>4004</v>
      </c>
    </row>
    <row r="3201">
      <c r="A3201" s="430">
        <v>8.2951351000304E13</v>
      </c>
      <c r="B3201" s="218" t="s">
        <v>4005</v>
      </c>
    </row>
    <row r="3202">
      <c r="A3202" s="430">
        <v>3.3072307000157E13</v>
      </c>
      <c r="B3202" s="218" t="s">
        <v>3646</v>
      </c>
    </row>
    <row r="3203">
      <c r="A3203" s="430">
        <v>1.878721000161E12</v>
      </c>
      <c r="B3203" s="218" t="s">
        <v>4006</v>
      </c>
    </row>
    <row r="3204">
      <c r="A3204" s="430">
        <v>7.60693400011E12</v>
      </c>
      <c r="B3204" s="218" t="s">
        <v>4007</v>
      </c>
    </row>
    <row r="3205">
      <c r="A3205" s="430">
        <v>6.927749000165E12</v>
      </c>
      <c r="B3205" s="218" t="s">
        <v>4008</v>
      </c>
    </row>
    <row r="3206">
      <c r="A3206" s="430">
        <v>7.5420350001E12</v>
      </c>
      <c r="B3206" s="218" t="s">
        <v>4009</v>
      </c>
    </row>
    <row r="3207">
      <c r="A3207" s="430">
        <v>8.0722770000187E13</v>
      </c>
      <c r="B3207" s="218" t="s">
        <v>4010</v>
      </c>
    </row>
    <row r="3208">
      <c r="A3208" s="430">
        <v>3.603739000429E12</v>
      </c>
      <c r="B3208" s="218" t="s">
        <v>3754</v>
      </c>
    </row>
    <row r="3209">
      <c r="A3209" s="430">
        <v>2.866437000138E12</v>
      </c>
      <c r="B3209" s="218" t="s">
        <v>4011</v>
      </c>
    </row>
    <row r="3210">
      <c r="A3210" s="430">
        <v>6.9981835000176E13</v>
      </c>
      <c r="B3210" s="218" t="s">
        <v>4012</v>
      </c>
    </row>
    <row r="3211">
      <c r="A3211" s="430">
        <v>3.257571000102E12</v>
      </c>
      <c r="B3211" s="218" t="s">
        <v>4013</v>
      </c>
    </row>
    <row r="3212">
      <c r="A3212" s="430">
        <v>3.968926000163E12</v>
      </c>
      <c r="B3212" s="218" t="s">
        <v>4014</v>
      </c>
    </row>
    <row r="3213">
      <c r="A3213" s="430">
        <v>9.3327161000175E13</v>
      </c>
      <c r="B3213" s="218" t="s">
        <v>4015</v>
      </c>
    </row>
    <row r="3214">
      <c r="A3214" s="430">
        <v>4.586694000141E12</v>
      </c>
      <c r="B3214" s="218" t="s">
        <v>4016</v>
      </c>
    </row>
    <row r="3215">
      <c r="A3215" s="430">
        <v>8.2883893000125E13</v>
      </c>
      <c r="B3215" s="218" t="s">
        <v>4017</v>
      </c>
    </row>
    <row r="3216">
      <c r="A3216" s="430">
        <v>8.522084600019E13</v>
      </c>
      <c r="B3216" s="218" t="s">
        <v>4018</v>
      </c>
    </row>
    <row r="3217">
      <c r="A3217" s="430">
        <v>1.687899000125E12</v>
      </c>
      <c r="B3217" s="218" t="s">
        <v>4019</v>
      </c>
    </row>
    <row r="3218">
      <c r="A3218" s="430">
        <v>8.3931659000199E13</v>
      </c>
      <c r="B3218" s="218" t="s">
        <v>4020</v>
      </c>
    </row>
    <row r="3219">
      <c r="A3219" s="430">
        <v>8.32899910001E13</v>
      </c>
      <c r="B3219" s="218" t="s">
        <v>4021</v>
      </c>
    </row>
    <row r="3220">
      <c r="A3220" s="430">
        <v>4.704829000126E12</v>
      </c>
      <c r="B3220" s="218" t="s">
        <v>4022</v>
      </c>
    </row>
    <row r="3221">
      <c r="A3221" s="430">
        <v>6.192898200017E13</v>
      </c>
      <c r="B3221" s="218" t="s">
        <v>4023</v>
      </c>
    </row>
    <row r="3222">
      <c r="A3222" s="430">
        <v>8.4683614000105E13</v>
      </c>
      <c r="B3222" s="218" t="s">
        <v>4024</v>
      </c>
    </row>
    <row r="3223">
      <c r="A3223" s="430">
        <v>8.9168553000161E13</v>
      </c>
      <c r="B3223" s="218" t="s">
        <v>4025</v>
      </c>
    </row>
    <row r="3224">
      <c r="A3224" s="430">
        <v>8.5107480000147E13</v>
      </c>
      <c r="B3224" s="218" t="s">
        <v>4026</v>
      </c>
    </row>
    <row r="3225">
      <c r="A3225" s="430">
        <v>7.2473903000109E13</v>
      </c>
      <c r="B3225" s="218" t="s">
        <v>4027</v>
      </c>
    </row>
    <row r="3226">
      <c r="A3226" s="430">
        <v>7.9155891000105E13</v>
      </c>
      <c r="B3226" s="218" t="s">
        <v>4028</v>
      </c>
    </row>
    <row r="3227">
      <c r="A3227" s="430">
        <v>8.3083428000172E13</v>
      </c>
      <c r="B3227" s="218" t="s">
        <v>4029</v>
      </c>
    </row>
    <row r="3228">
      <c r="A3228" s="430">
        <v>1.1151100018E11</v>
      </c>
      <c r="B3228" s="218" t="s">
        <v>4030</v>
      </c>
    </row>
    <row r="3229">
      <c r="A3229" s="430">
        <v>3.94494001612E11</v>
      </c>
      <c r="B3229" s="218" t="s">
        <v>4031</v>
      </c>
    </row>
    <row r="3230">
      <c r="A3230" s="430">
        <v>3.540046000272E12</v>
      </c>
      <c r="B3230" s="218" t="s">
        <v>4032</v>
      </c>
    </row>
    <row r="3231">
      <c r="A3231" s="430">
        <v>1.338486000135E12</v>
      </c>
      <c r="B3231" s="218" t="s">
        <v>4033</v>
      </c>
    </row>
    <row r="3232">
      <c r="A3232" s="430">
        <v>3.6214809000136E13</v>
      </c>
      <c r="B3232" s="218" t="s">
        <v>4034</v>
      </c>
    </row>
    <row r="3233">
      <c r="A3233" s="430">
        <v>3.709696300014E13</v>
      </c>
      <c r="B3233" s="218" t="s">
        <v>4035</v>
      </c>
    </row>
    <row r="3234">
      <c r="A3234" s="430">
        <v>3.7522183000144E13</v>
      </c>
      <c r="B3234" s="218" t="s">
        <v>4036</v>
      </c>
    </row>
    <row r="3235">
      <c r="A3235" s="430">
        <v>3.3330564000141E13</v>
      </c>
      <c r="B3235" s="218" t="s">
        <v>4037</v>
      </c>
    </row>
    <row r="3236">
      <c r="A3236" s="430">
        <v>3.3372251012324E13</v>
      </c>
      <c r="B3236" s="218" t="s">
        <v>4038</v>
      </c>
    </row>
    <row r="3237">
      <c r="A3237" s="430">
        <v>3.3402892000378E13</v>
      </c>
      <c r="B3237" s="218" t="s">
        <v>4039</v>
      </c>
    </row>
    <row r="3238">
      <c r="A3238" s="430">
        <v>2.9080539000152E13</v>
      </c>
      <c r="B3238" s="218" t="s">
        <v>4040</v>
      </c>
    </row>
    <row r="3239">
      <c r="A3239" s="430">
        <v>2.9105913000154E13</v>
      </c>
      <c r="B3239" s="218" t="s">
        <v>4041</v>
      </c>
    </row>
    <row r="3240">
      <c r="A3240" s="430">
        <v>2.9263068000145E13</v>
      </c>
      <c r="B3240" s="218" t="s">
        <v>4042</v>
      </c>
    </row>
    <row r="3241">
      <c r="A3241" s="430">
        <v>2.9297785000198E13</v>
      </c>
      <c r="B3241" s="218" t="s">
        <v>4043</v>
      </c>
    </row>
    <row r="3242">
      <c r="A3242" s="430">
        <v>2.929778500035E13</v>
      </c>
      <c r="B3242" s="218" t="s">
        <v>4044</v>
      </c>
    </row>
    <row r="3243">
      <c r="A3243" s="430">
        <v>2.9339834000107E13</v>
      </c>
      <c r="B3243" s="218" t="s">
        <v>4045</v>
      </c>
    </row>
    <row r="3244">
      <c r="A3244" s="430">
        <v>2.9526373000182E13</v>
      </c>
      <c r="B3244" s="218" t="s">
        <v>4046</v>
      </c>
    </row>
    <row r="3245">
      <c r="A3245" s="430">
        <v>2.9651601000146E13</v>
      </c>
      <c r="B3245" s="218" t="s">
        <v>4047</v>
      </c>
    </row>
    <row r="3246">
      <c r="A3246" s="430">
        <v>2.99790360311E13</v>
      </c>
      <c r="B3246" s="218" t="s">
        <v>4048</v>
      </c>
    </row>
    <row r="3247">
      <c r="A3247" s="430">
        <v>2.9979036033405E13</v>
      </c>
      <c r="B3247" s="218" t="s">
        <v>4048</v>
      </c>
    </row>
    <row r="3248">
      <c r="A3248" s="430">
        <v>3.0528277000152E13</v>
      </c>
      <c r="B3248" s="218" t="s">
        <v>4049</v>
      </c>
    </row>
    <row r="3249">
      <c r="A3249" s="430">
        <v>3.0800346000488E13</v>
      </c>
      <c r="B3249" s="218" t="s">
        <v>4050</v>
      </c>
    </row>
    <row r="3250">
      <c r="A3250" s="430">
        <v>3.2075103000107E13</v>
      </c>
      <c r="B3250" s="218" t="s">
        <v>4051</v>
      </c>
    </row>
    <row r="3251">
      <c r="A3251" s="430">
        <v>3.3035866001673E13</v>
      </c>
      <c r="B3251" s="218" t="s">
        <v>4052</v>
      </c>
    </row>
    <row r="3252">
      <c r="A3252" s="430">
        <v>3.3054503000107E13</v>
      </c>
      <c r="B3252" s="218" t="s">
        <v>4053</v>
      </c>
    </row>
    <row r="3253">
      <c r="A3253" s="430">
        <v>3.3255787000272E13</v>
      </c>
      <c r="B3253" s="218" t="s">
        <v>4054</v>
      </c>
    </row>
    <row r="3254">
      <c r="A3254" s="430">
        <v>3.3255787000949E13</v>
      </c>
      <c r="B3254" s="218" t="s">
        <v>4055</v>
      </c>
    </row>
    <row r="3255">
      <c r="A3255" s="430">
        <v>3.3311721000171E13</v>
      </c>
      <c r="B3255" s="218" t="s">
        <v>4056</v>
      </c>
    </row>
    <row r="3256">
      <c r="A3256" s="430">
        <v>1.8743724001758E13</v>
      </c>
      <c r="B3256" s="218" t="s">
        <v>4057</v>
      </c>
    </row>
    <row r="3257">
      <c r="A3257" s="430">
        <v>1.916982000013E13</v>
      </c>
      <c r="B3257" s="218" t="s">
        <v>4058</v>
      </c>
    </row>
    <row r="3258">
      <c r="A3258" s="430">
        <v>1.9268267000192E13</v>
      </c>
      <c r="B3258" s="218" t="s">
        <v>4059</v>
      </c>
    </row>
    <row r="3259">
      <c r="A3259" s="430">
        <v>1.97918960085E13</v>
      </c>
      <c r="B3259" s="218" t="s">
        <v>4060</v>
      </c>
    </row>
    <row r="3260">
      <c r="A3260" s="430">
        <v>2.1203567000135E13</v>
      </c>
      <c r="B3260" s="218" t="s">
        <v>4061</v>
      </c>
    </row>
    <row r="3261">
      <c r="A3261" s="430">
        <v>8.636535000041E13</v>
      </c>
      <c r="B3261" s="218" t="s">
        <v>4062</v>
      </c>
    </row>
    <row r="3262">
      <c r="A3262" s="430">
        <v>8.0707490000108E13</v>
      </c>
      <c r="B3262" s="218" t="s">
        <v>4063</v>
      </c>
    </row>
    <row r="3263">
      <c r="A3263" s="430">
        <v>3.63645000199E11</v>
      </c>
      <c r="B3263" s="218" t="s">
        <v>4064</v>
      </c>
    </row>
    <row r="3264">
      <c r="A3264" s="430">
        <v>2.021807000136E12</v>
      </c>
      <c r="B3264" s="218" t="s">
        <v>4065</v>
      </c>
    </row>
    <row r="3265">
      <c r="A3265" s="430">
        <v>8.6879152000121E13</v>
      </c>
      <c r="B3265" s="218" t="s">
        <v>4066</v>
      </c>
    </row>
    <row r="3266">
      <c r="A3266" s="430">
        <v>3.341777000108E12</v>
      </c>
      <c r="B3266" s="218" t="s">
        <v>4067</v>
      </c>
    </row>
    <row r="3267">
      <c r="A3267" s="430">
        <v>8.346383600015E13</v>
      </c>
      <c r="B3267" s="218" t="s">
        <v>4068</v>
      </c>
    </row>
    <row r="3268">
      <c r="A3268" s="430">
        <v>3.672019000172E12</v>
      </c>
      <c r="B3268" s="218" t="s">
        <v>4069</v>
      </c>
    </row>
    <row r="3269">
      <c r="A3269" s="430">
        <v>8.5241248000105E13</v>
      </c>
      <c r="B3269" s="218" t="s">
        <v>4070</v>
      </c>
    </row>
    <row r="3270">
      <c r="A3270" s="430">
        <v>7.1736375000162E13</v>
      </c>
      <c r="B3270" s="218" t="s">
        <v>4071</v>
      </c>
    </row>
    <row r="3271">
      <c r="A3271" s="430">
        <v>4.516636000141E12</v>
      </c>
      <c r="B3271" s="218" t="s">
        <v>4072</v>
      </c>
    </row>
    <row r="3272">
      <c r="A3272" s="430">
        <v>6.0734357000125E13</v>
      </c>
      <c r="B3272" s="218" t="s">
        <v>4073</v>
      </c>
    </row>
    <row r="3273">
      <c r="A3273" s="430">
        <v>9.289370000017E13</v>
      </c>
      <c r="B3273" s="218" t="s">
        <v>4074</v>
      </c>
    </row>
    <row r="3274">
      <c r="A3274" s="430">
        <v>7.2327950000136E13</v>
      </c>
      <c r="B3274" s="218" t="s">
        <v>4075</v>
      </c>
    </row>
    <row r="3275">
      <c r="A3275" s="430">
        <v>5.9043489000121E13</v>
      </c>
      <c r="B3275" s="218" t="s">
        <v>4076</v>
      </c>
    </row>
    <row r="3276">
      <c r="A3276" s="430">
        <v>6.369263000159E12</v>
      </c>
      <c r="B3276" s="218" t="s">
        <v>4077</v>
      </c>
    </row>
    <row r="3277">
      <c r="A3277" s="430">
        <v>4.688249000192E12</v>
      </c>
      <c r="B3277" s="218" t="s">
        <v>4078</v>
      </c>
    </row>
    <row r="3278">
      <c r="A3278" s="430">
        <v>8.5109031000138E13</v>
      </c>
      <c r="B3278" s="218" t="s">
        <v>4079</v>
      </c>
    </row>
    <row r="3279">
      <c r="A3279" s="430">
        <v>4.523292000106E12</v>
      </c>
      <c r="B3279" s="218" t="s">
        <v>4080</v>
      </c>
    </row>
    <row r="3280">
      <c r="A3280" s="430">
        <v>8.4684182000408E13</v>
      </c>
      <c r="B3280" s="218" t="s">
        <v>4081</v>
      </c>
    </row>
    <row r="3281">
      <c r="A3281" s="430">
        <v>8.0669245000145E13</v>
      </c>
      <c r="B3281" s="218" t="s">
        <v>4082</v>
      </c>
    </row>
    <row r="3282">
      <c r="A3282" s="430">
        <v>8.3062463000105E13</v>
      </c>
      <c r="B3282" s="218" t="s">
        <v>4083</v>
      </c>
    </row>
    <row r="3283">
      <c r="A3283" s="430">
        <v>4.505163000187E12</v>
      </c>
      <c r="B3283" s="218" t="s">
        <v>4084</v>
      </c>
    </row>
    <row r="3284">
      <c r="A3284" s="430">
        <v>8.3933275000105E13</v>
      </c>
      <c r="B3284" s="218" t="s">
        <v>4085</v>
      </c>
    </row>
    <row r="3285">
      <c r="A3285" s="430">
        <v>1.9791896002731E13</v>
      </c>
      <c r="B3285" s="218" t="s">
        <v>4086</v>
      </c>
    </row>
    <row r="3286">
      <c r="A3286" s="430">
        <v>4.658880000149E12</v>
      </c>
      <c r="B3286" s="218" t="s">
        <v>4087</v>
      </c>
    </row>
    <row r="3287">
      <c r="A3287" s="430">
        <v>7.8890720000167E13</v>
      </c>
      <c r="B3287" s="218" t="s">
        <v>4088</v>
      </c>
    </row>
    <row r="3288">
      <c r="A3288" s="430">
        <v>8.5308161000108E13</v>
      </c>
      <c r="B3288" s="218" t="s">
        <v>4089</v>
      </c>
    </row>
    <row r="3289">
      <c r="A3289" s="430">
        <v>2.03071500178E12</v>
      </c>
      <c r="B3289" s="218" t="s">
        <v>4090</v>
      </c>
    </row>
    <row r="3290">
      <c r="A3290" s="430">
        <v>5.591544000199E12</v>
      </c>
      <c r="B3290" s="218" t="s">
        <v>4091</v>
      </c>
    </row>
    <row r="3291">
      <c r="A3291" s="430">
        <v>5.971682000101E12</v>
      </c>
      <c r="B3291" s="218" t="s">
        <v>4092</v>
      </c>
    </row>
    <row r="3292">
      <c r="A3292" s="430">
        <v>8.7081923000101E13</v>
      </c>
      <c r="B3292" s="218" t="s">
        <v>4093</v>
      </c>
    </row>
    <row r="3293">
      <c r="A3293" s="430">
        <v>5.00679300017E12</v>
      </c>
      <c r="B3293" s="218" t="s">
        <v>4094</v>
      </c>
    </row>
    <row r="3294">
      <c r="A3294" s="430">
        <v>1.672485000122E12</v>
      </c>
      <c r="B3294" s="218" t="s">
        <v>4095</v>
      </c>
    </row>
    <row r="3295">
      <c r="A3295" s="430">
        <v>3.900579000137E12</v>
      </c>
      <c r="B3295" s="218" t="s">
        <v>4096</v>
      </c>
    </row>
    <row r="3296">
      <c r="A3296" s="430">
        <v>2.531229000188E12</v>
      </c>
      <c r="B3296" s="218" t="s">
        <v>4097</v>
      </c>
    </row>
    <row r="3297">
      <c r="A3297" s="430">
        <v>7.921145000174E12</v>
      </c>
      <c r="B3297" s="218" t="s">
        <v>4098</v>
      </c>
    </row>
    <row r="3298">
      <c r="A3298" s="430">
        <v>9.96785200993E12</v>
      </c>
      <c r="B3298" s="218" t="s">
        <v>4099</v>
      </c>
    </row>
    <row r="3299">
      <c r="A3299" s="430">
        <v>3.8519484000152E13</v>
      </c>
      <c r="B3299" s="218" t="s">
        <v>4100</v>
      </c>
    </row>
    <row r="3300">
      <c r="A3300" s="430">
        <v>1.426854000105E12</v>
      </c>
      <c r="B3300" s="218" t="s">
        <v>4101</v>
      </c>
    </row>
    <row r="3301">
      <c r="A3301" s="430">
        <v>8.3493973000137E13</v>
      </c>
      <c r="B3301" s="218" t="s">
        <v>4102</v>
      </c>
    </row>
    <row r="3302">
      <c r="A3302" s="430">
        <v>8.29469200013E12</v>
      </c>
      <c r="B3302" s="218" t="s">
        <v>4103</v>
      </c>
    </row>
    <row r="3303">
      <c r="A3303" s="430">
        <v>7.182657000166E12</v>
      </c>
      <c r="B3303" s="218" t="s">
        <v>4104</v>
      </c>
    </row>
    <row r="3304">
      <c r="A3304" s="430">
        <v>4.048603000114E12</v>
      </c>
      <c r="B3304" s="218" t="s">
        <v>4105</v>
      </c>
    </row>
    <row r="3305">
      <c r="A3305" s="430">
        <v>8.2163874000124E13</v>
      </c>
      <c r="B3305" s="218" t="s">
        <v>4106</v>
      </c>
    </row>
    <row r="3306">
      <c r="A3306" s="430">
        <v>4.992498000177E12</v>
      </c>
      <c r="B3306" s="218" t="s">
        <v>4107</v>
      </c>
    </row>
    <row r="3307">
      <c r="A3307" s="430">
        <v>7.6592484001734E13</v>
      </c>
      <c r="B3307" s="218" t="s">
        <v>4108</v>
      </c>
    </row>
    <row r="3308">
      <c r="A3308" s="430">
        <v>1.66929000195E11</v>
      </c>
      <c r="B3308" s="218" t="s">
        <v>4109</v>
      </c>
    </row>
    <row r="3309">
      <c r="A3309" s="430">
        <v>5.88435000107E11</v>
      </c>
      <c r="B3309" s="218" t="s">
        <v>4110</v>
      </c>
    </row>
    <row r="3310">
      <c r="A3310" s="430">
        <v>4.617048000102E12</v>
      </c>
      <c r="B3310" s="218" t="s">
        <v>4111</v>
      </c>
    </row>
    <row r="3311">
      <c r="A3311" s="430">
        <v>3.219328000191E12</v>
      </c>
      <c r="B3311" s="218" t="s">
        <v>4112</v>
      </c>
    </row>
    <row r="3312">
      <c r="A3312" s="430">
        <v>4.527204000136E12</v>
      </c>
      <c r="B3312" s="218" t="s">
        <v>4113</v>
      </c>
    </row>
    <row r="3313">
      <c r="A3313" s="430">
        <v>7.055402000132E12</v>
      </c>
      <c r="B3313" s="218" t="s">
        <v>4114</v>
      </c>
    </row>
    <row r="3314">
      <c r="A3314" s="430">
        <v>1.328654000101E12</v>
      </c>
      <c r="B3314" s="218" t="s">
        <v>4115</v>
      </c>
    </row>
    <row r="3315">
      <c r="A3315" s="430">
        <v>4.31020400018E12</v>
      </c>
      <c r="B3315" s="218" t="s">
        <v>4116</v>
      </c>
    </row>
    <row r="3316">
      <c r="A3316" s="430">
        <v>6.886738000184E12</v>
      </c>
      <c r="B3316" s="218" t="s">
        <v>4117</v>
      </c>
    </row>
    <row r="3317">
      <c r="A3317" s="430">
        <v>9.5827697000185E13</v>
      </c>
      <c r="B3317" s="218" t="s">
        <v>4118</v>
      </c>
    </row>
    <row r="3318">
      <c r="A3318" s="430">
        <v>8.733772100017E13</v>
      </c>
      <c r="B3318" s="218" t="s">
        <v>4119</v>
      </c>
    </row>
    <row r="3319">
      <c r="A3319" s="430">
        <v>2.3155930001E12</v>
      </c>
      <c r="B3319" s="218" t="s">
        <v>4120</v>
      </c>
    </row>
    <row r="3320">
      <c r="A3320" s="430">
        <v>4.5795796000154E13</v>
      </c>
      <c r="B3320" s="218" t="s">
        <v>4121</v>
      </c>
    </row>
    <row r="3321">
      <c r="A3321" s="430">
        <v>6.4088214000144E13</v>
      </c>
      <c r="B3321" s="218" t="s">
        <v>4122</v>
      </c>
    </row>
    <row r="3322">
      <c r="A3322" s="430">
        <v>4.883789000127E12</v>
      </c>
      <c r="B3322" s="218" t="s">
        <v>4123</v>
      </c>
    </row>
    <row r="3323">
      <c r="A3323" s="430">
        <v>7.503321000158E12</v>
      </c>
      <c r="B3323" s="218" t="s">
        <v>4124</v>
      </c>
    </row>
    <row r="3324">
      <c r="A3324" s="430">
        <v>4.570816000101E12</v>
      </c>
      <c r="B3324" s="218" t="s">
        <v>4125</v>
      </c>
    </row>
    <row r="3325">
      <c r="A3325" s="430">
        <v>7.6484013000145E13</v>
      </c>
      <c r="B3325" s="218" t="s">
        <v>4126</v>
      </c>
    </row>
    <row r="3326">
      <c r="A3326" s="430">
        <v>8.17712220001E13</v>
      </c>
      <c r="B3326" s="218" t="s">
        <v>4127</v>
      </c>
    </row>
    <row r="3327">
      <c r="A3327" s="430">
        <v>4.393712000179E12</v>
      </c>
      <c r="B3327" s="218" t="s">
        <v>4128</v>
      </c>
    </row>
    <row r="3328">
      <c r="A3328" s="430">
        <v>7.5308551003484E13</v>
      </c>
      <c r="B3328" s="218" t="s">
        <v>4129</v>
      </c>
    </row>
    <row r="3329">
      <c r="A3329" s="430">
        <v>4.9332307000189E13</v>
      </c>
      <c r="B3329" s="218" t="s">
        <v>4130</v>
      </c>
    </row>
    <row r="3330">
      <c r="A3330" s="430">
        <v>8.3552307000122E13</v>
      </c>
      <c r="B3330" s="218" t="s">
        <v>4131</v>
      </c>
    </row>
    <row r="3331">
      <c r="A3331" s="430">
        <v>9.5823142000165E13</v>
      </c>
      <c r="B3331" s="218" t="s">
        <v>4132</v>
      </c>
    </row>
    <row r="3332">
      <c r="A3332" s="430">
        <v>8.136389700011E13</v>
      </c>
      <c r="B3332" s="218" t="s">
        <v>4133</v>
      </c>
    </row>
    <row r="3333">
      <c r="A3333" s="430">
        <v>7.66620300016E12</v>
      </c>
      <c r="B3333" s="218" t="s">
        <v>4134</v>
      </c>
    </row>
    <row r="3334">
      <c r="A3334" s="430">
        <v>1.144404000111E12</v>
      </c>
      <c r="B3334" s="218" t="s">
        <v>4135</v>
      </c>
    </row>
    <row r="3335">
      <c r="A3335" s="430">
        <v>1.48722800011E12</v>
      </c>
      <c r="B3335" s="218" t="s">
        <v>4136</v>
      </c>
    </row>
    <row r="3336">
      <c r="A3336" s="430">
        <v>7.13704700014E12</v>
      </c>
      <c r="B3336" s="218" t="s">
        <v>4137</v>
      </c>
    </row>
    <row r="3337">
      <c r="A3337" s="430">
        <v>2.591012000163E12</v>
      </c>
      <c r="B3337" s="218" t="s">
        <v>4138</v>
      </c>
    </row>
    <row r="3338">
      <c r="A3338" s="430">
        <v>2.309702000187E12</v>
      </c>
      <c r="B3338" s="218" t="s">
        <v>4139</v>
      </c>
    </row>
    <row r="3339">
      <c r="A3339" s="430">
        <v>1.068993000104E12</v>
      </c>
      <c r="B3339" s="218" t="s">
        <v>4140</v>
      </c>
    </row>
    <row r="3340">
      <c r="A3340" s="430">
        <v>2.203379000162E12</v>
      </c>
      <c r="B3340" s="218" t="s">
        <v>4141</v>
      </c>
    </row>
    <row r="3341">
      <c r="A3341" s="430">
        <v>7.3973604000198E13</v>
      </c>
      <c r="B3341" s="218" t="s">
        <v>4142</v>
      </c>
    </row>
    <row r="3342">
      <c r="A3342" s="430">
        <v>8.188126000143E12</v>
      </c>
      <c r="B3342" s="218" t="s">
        <v>4143</v>
      </c>
    </row>
    <row r="3343">
      <c r="A3343" s="430">
        <v>9.2821701000371E13</v>
      </c>
      <c r="B3343" s="218" t="s">
        <v>4144</v>
      </c>
    </row>
    <row r="3344">
      <c r="A3344" s="430">
        <v>1.992415000151E12</v>
      </c>
      <c r="B3344" s="218" t="s">
        <v>4145</v>
      </c>
    </row>
    <row r="3345">
      <c r="A3345" s="430">
        <v>5.880473000144E12</v>
      </c>
      <c r="B3345" s="218" t="s">
        <v>4146</v>
      </c>
    </row>
    <row r="3346">
      <c r="A3346" s="430">
        <v>8.0607237000174E13</v>
      </c>
      <c r="B3346" s="218" t="s">
        <v>4147</v>
      </c>
    </row>
    <row r="3347">
      <c r="A3347" s="430">
        <v>1.9628000139E10</v>
      </c>
      <c r="B3347" s="218" t="s">
        <v>4148</v>
      </c>
    </row>
    <row r="3348">
      <c r="A3348" s="430">
        <v>5.4651716002474E13</v>
      </c>
      <c r="B3348" s="218" t="s">
        <v>4149</v>
      </c>
    </row>
    <row r="3349">
      <c r="A3349" s="430">
        <v>5.465171600115E13</v>
      </c>
      <c r="B3349" s="218" t="s">
        <v>4149</v>
      </c>
    </row>
    <row r="3350">
      <c r="A3350" s="430">
        <v>8.1815938000242E13</v>
      </c>
      <c r="B3350" s="218" t="s">
        <v>4150</v>
      </c>
    </row>
    <row r="3351">
      <c r="A3351" s="430">
        <v>7.788379100017E13</v>
      </c>
      <c r="B3351" s="218" t="s">
        <v>4151</v>
      </c>
    </row>
    <row r="3352">
      <c r="A3352" s="430">
        <v>5.102155000152E12</v>
      </c>
      <c r="B3352" s="218" t="s">
        <v>4152</v>
      </c>
    </row>
    <row r="3353">
      <c r="A3353" s="430">
        <v>4.921047000149E12</v>
      </c>
      <c r="B3353" s="218" t="s">
        <v>4153</v>
      </c>
    </row>
    <row r="3354">
      <c r="A3354" s="430">
        <v>5.0649987000148E13</v>
      </c>
      <c r="B3354" s="218" t="s">
        <v>4154</v>
      </c>
    </row>
    <row r="3355">
      <c r="A3355" s="430">
        <v>8.589288000193E12</v>
      </c>
      <c r="B3355" s="218" t="s">
        <v>4155</v>
      </c>
    </row>
    <row r="3356">
      <c r="A3356" s="430">
        <v>1.93371300017E12</v>
      </c>
      <c r="B3356" s="218" t="s">
        <v>4156</v>
      </c>
    </row>
    <row r="3357">
      <c r="A3357" s="430">
        <v>8.3820407000192E13</v>
      </c>
      <c r="B3357" s="218" t="s">
        <v>4157</v>
      </c>
    </row>
    <row r="3358">
      <c r="A3358" s="430">
        <v>8.725357000149E12</v>
      </c>
      <c r="B3358" s="218" t="s">
        <v>4158</v>
      </c>
    </row>
    <row r="3359">
      <c r="A3359" s="430">
        <v>3.37199000148E11</v>
      </c>
      <c r="B3359" s="218" t="s">
        <v>4159</v>
      </c>
    </row>
    <row r="3360">
      <c r="A3360" s="430">
        <v>1.887292000199E12</v>
      </c>
      <c r="B3360" s="218" t="s">
        <v>4160</v>
      </c>
    </row>
    <row r="3361">
      <c r="A3361" s="430">
        <v>7.857407000189E12</v>
      </c>
      <c r="B3361" s="218" t="s">
        <v>4161</v>
      </c>
    </row>
    <row r="3362">
      <c r="A3362" s="430">
        <v>4.820375000159E12</v>
      </c>
      <c r="B3362" s="218" t="s">
        <v>4162</v>
      </c>
    </row>
    <row r="3363">
      <c r="A3363" s="430">
        <v>4.096308000133E12</v>
      </c>
      <c r="B3363" s="218" t="s">
        <v>4163</v>
      </c>
    </row>
    <row r="3364">
      <c r="A3364" s="430">
        <v>7.655417900019E13</v>
      </c>
      <c r="B3364" s="218" t="s">
        <v>4164</v>
      </c>
    </row>
    <row r="3365">
      <c r="A3365" s="430">
        <v>7.887787000102E12</v>
      </c>
      <c r="B3365" s="218" t="s">
        <v>4165</v>
      </c>
    </row>
    <row r="3366">
      <c r="A3366" s="430">
        <v>6.194125000186E12</v>
      </c>
      <c r="B3366" s="218" t="s">
        <v>4166</v>
      </c>
    </row>
    <row r="3367">
      <c r="A3367" s="430">
        <v>6.134635000168E12</v>
      </c>
      <c r="B3367" s="218" t="s">
        <v>4167</v>
      </c>
    </row>
    <row r="3368">
      <c r="A3368" s="430">
        <v>7.2631096000105E13</v>
      </c>
      <c r="B3368" s="218" t="s">
        <v>4168</v>
      </c>
    </row>
    <row r="3369">
      <c r="A3369" s="430">
        <v>8.5281921000122E13</v>
      </c>
      <c r="B3369" s="218" t="s">
        <v>4169</v>
      </c>
    </row>
    <row r="3370">
      <c r="A3370" s="430">
        <v>5.83352000117E11</v>
      </c>
      <c r="B3370" s="218" t="s">
        <v>4170</v>
      </c>
    </row>
    <row r="3371">
      <c r="A3371" s="430">
        <v>8.154698800019E13</v>
      </c>
      <c r="B3371" s="218" t="s">
        <v>4171</v>
      </c>
    </row>
    <row r="3372">
      <c r="A3372" s="430">
        <v>2.837642000175E12</v>
      </c>
      <c r="B3372" s="218" t="s">
        <v>4172</v>
      </c>
    </row>
    <row r="3373">
      <c r="A3373" s="430">
        <v>7.339923000111E12</v>
      </c>
      <c r="B3373" s="218" t="s">
        <v>4173</v>
      </c>
    </row>
    <row r="3374">
      <c r="A3374" s="430">
        <v>1.08186000016E12</v>
      </c>
      <c r="B3374" s="218" t="s">
        <v>4174</v>
      </c>
    </row>
    <row r="3375">
      <c r="A3375" s="430">
        <v>3.328973000142E12</v>
      </c>
      <c r="B3375" s="218" t="s">
        <v>4175</v>
      </c>
    </row>
    <row r="3376">
      <c r="A3376" s="430">
        <v>9.27034530001E13</v>
      </c>
      <c r="B3376" s="218" t="s">
        <v>4176</v>
      </c>
    </row>
    <row r="3377">
      <c r="A3377" s="430">
        <v>6.096391000176E12</v>
      </c>
      <c r="B3377" s="218" t="s">
        <v>4177</v>
      </c>
    </row>
    <row r="3378">
      <c r="A3378" s="430">
        <v>1.860264000188E12</v>
      </c>
      <c r="B3378" s="218" t="s">
        <v>4178</v>
      </c>
    </row>
    <row r="3379">
      <c r="A3379" s="430">
        <v>8.5250116000131E13</v>
      </c>
      <c r="B3379" s="218" t="s">
        <v>4179</v>
      </c>
    </row>
    <row r="3380">
      <c r="A3380" s="430">
        <v>3.525580000129E12</v>
      </c>
      <c r="B3380" s="218" t="s">
        <v>4180</v>
      </c>
    </row>
    <row r="3381">
      <c r="A3381" s="430">
        <v>5.441624000168E12</v>
      </c>
      <c r="B3381" s="218" t="s">
        <v>4181</v>
      </c>
    </row>
    <row r="3382">
      <c r="A3382" s="430">
        <v>8.2108432000185E13</v>
      </c>
      <c r="B3382" s="218" t="s">
        <v>4182</v>
      </c>
    </row>
    <row r="3383">
      <c r="A3383" s="430">
        <v>8.540795000132E12</v>
      </c>
      <c r="B3383" s="218" t="s">
        <v>4183</v>
      </c>
    </row>
    <row r="3384">
      <c r="A3384" s="430">
        <v>8.1828659000132E13</v>
      </c>
      <c r="B3384" s="218" t="s">
        <v>4184</v>
      </c>
    </row>
    <row r="3385">
      <c r="A3385" s="430">
        <v>8.5248326000195E13</v>
      </c>
      <c r="B3385" s="218" t="s">
        <v>4185</v>
      </c>
    </row>
    <row r="3386">
      <c r="A3386" s="430">
        <v>8.0479116000356E13</v>
      </c>
      <c r="B3386" s="218" t="s">
        <v>4186</v>
      </c>
    </row>
    <row r="3387">
      <c r="A3387" s="430">
        <v>6.204731000135E12</v>
      </c>
      <c r="B3387" s="218" t="s">
        <v>4187</v>
      </c>
    </row>
    <row r="3388">
      <c r="A3388" s="430">
        <v>2.706078000151E12</v>
      </c>
      <c r="B3388" s="218" t="s">
        <v>4188</v>
      </c>
    </row>
    <row r="3389">
      <c r="A3389" s="430">
        <v>5.596349000151E12</v>
      </c>
      <c r="B3389" s="218" t="s">
        <v>4189</v>
      </c>
    </row>
    <row r="3390">
      <c r="A3390" s="430">
        <v>8.154310000172E12</v>
      </c>
      <c r="B3390" s="218" t="s">
        <v>4190</v>
      </c>
    </row>
    <row r="3391">
      <c r="A3391" s="430">
        <v>8.0728314000144E13</v>
      </c>
      <c r="B3391" s="218" t="s">
        <v>4191</v>
      </c>
    </row>
    <row r="3392">
      <c r="A3392" s="430">
        <v>2.34082500018E12</v>
      </c>
      <c r="B3392" s="218" t="s">
        <v>4192</v>
      </c>
    </row>
    <row r="3393">
      <c r="A3393" s="430">
        <v>7.436494000109E12</v>
      </c>
      <c r="B3393" s="218" t="s">
        <v>4193</v>
      </c>
    </row>
    <row r="3394">
      <c r="A3394" s="430">
        <v>8.5405215000145E13</v>
      </c>
      <c r="B3394" s="218" t="s">
        <v>4194</v>
      </c>
    </row>
    <row r="3395">
      <c r="A3395" s="430">
        <v>3.218102000176E12</v>
      </c>
      <c r="B3395" s="218" t="s">
        <v>4195</v>
      </c>
    </row>
    <row r="3396">
      <c r="A3396" s="430">
        <v>6.3630206000115E13</v>
      </c>
      <c r="B3396" s="218" t="s">
        <v>4196</v>
      </c>
    </row>
    <row r="3397">
      <c r="A3397" s="430">
        <v>7.8126950000316E13</v>
      </c>
      <c r="B3397" s="218" t="s">
        <v>4197</v>
      </c>
    </row>
    <row r="3398">
      <c r="A3398" s="430">
        <v>2.445299000113E12</v>
      </c>
      <c r="B3398" s="218" t="s">
        <v>4198</v>
      </c>
    </row>
    <row r="3399">
      <c r="A3399" s="430">
        <v>3.987320000175E12</v>
      </c>
      <c r="B3399" s="218" t="s">
        <v>4199</v>
      </c>
    </row>
    <row r="3400">
      <c r="A3400" s="430">
        <v>3.7994738000121E13</v>
      </c>
      <c r="B3400" s="218" t="s">
        <v>4200</v>
      </c>
    </row>
    <row r="3401">
      <c r="A3401" s="430">
        <v>3.39255400017E12</v>
      </c>
      <c r="B3401" s="218" t="s">
        <v>4201</v>
      </c>
    </row>
    <row r="3402">
      <c r="A3402" s="430">
        <v>8.3874495000709E13</v>
      </c>
      <c r="B3402" s="218" t="s">
        <v>4202</v>
      </c>
    </row>
    <row r="3403">
      <c r="A3403" s="430">
        <v>3.8157010000144E13</v>
      </c>
      <c r="B3403" s="218" t="s">
        <v>4203</v>
      </c>
    </row>
    <row r="3404">
      <c r="A3404" s="430">
        <v>3.3425752000153E13</v>
      </c>
      <c r="B3404" s="218" t="s">
        <v>4204</v>
      </c>
    </row>
    <row r="3405">
      <c r="A3405" s="430">
        <v>3.3436320000148E13</v>
      </c>
      <c r="B3405" s="218" t="s">
        <v>4205</v>
      </c>
    </row>
    <row r="3406">
      <c r="A3406" s="430">
        <v>8.3002402000152E13</v>
      </c>
      <c r="B3406" s="218" t="s">
        <v>4206</v>
      </c>
    </row>
    <row r="3407">
      <c r="A3407" s="430">
        <v>5.150218000146E12</v>
      </c>
      <c r="B3407" s="218" t="s">
        <v>4207</v>
      </c>
    </row>
    <row r="3408">
      <c r="A3408" s="430">
        <v>1.6235610001E12</v>
      </c>
      <c r="B3408" s="218" t="s">
        <v>4208</v>
      </c>
    </row>
    <row r="3409">
      <c r="A3409" s="430">
        <v>8.3240028000638E13</v>
      </c>
      <c r="B3409" s="218" t="s">
        <v>4209</v>
      </c>
    </row>
    <row r="3410">
      <c r="A3410" s="430">
        <v>6.006518000119E12</v>
      </c>
      <c r="B3410" s="218" t="s">
        <v>4210</v>
      </c>
    </row>
    <row r="3411">
      <c r="A3411" s="430">
        <v>5.871431000147E12</v>
      </c>
      <c r="B3411" s="218" t="s">
        <v>4211</v>
      </c>
    </row>
    <row r="3412">
      <c r="A3412" s="430">
        <v>3.915380000182E12</v>
      </c>
      <c r="B3412" s="218" t="s">
        <v>4212</v>
      </c>
    </row>
    <row r="3413">
      <c r="A3413" s="430">
        <v>2.15920300015E12</v>
      </c>
      <c r="B3413" s="218" t="s">
        <v>4213</v>
      </c>
    </row>
    <row r="3414">
      <c r="A3414" s="430">
        <v>4.373078700015E13</v>
      </c>
      <c r="B3414" s="218" t="s">
        <v>4214</v>
      </c>
    </row>
    <row r="3415">
      <c r="A3415" s="430">
        <v>3.354241000127E12</v>
      </c>
      <c r="B3415" s="218" t="s">
        <v>4215</v>
      </c>
    </row>
    <row r="3416">
      <c r="A3416" s="430">
        <v>6.6517764000167E13</v>
      </c>
      <c r="B3416" s="218" t="s">
        <v>4216</v>
      </c>
    </row>
    <row r="3417">
      <c r="A3417" s="430">
        <v>5.935984000116E12</v>
      </c>
      <c r="B3417" s="218" t="s">
        <v>4217</v>
      </c>
    </row>
    <row r="3418">
      <c r="A3418" s="430">
        <v>5.9717553000102E13</v>
      </c>
      <c r="B3418" s="218" t="s">
        <v>4218</v>
      </c>
    </row>
    <row r="3419">
      <c r="A3419" s="430">
        <v>1.488283000125E12</v>
      </c>
      <c r="B3419" s="218" t="s">
        <v>4219</v>
      </c>
    </row>
    <row r="3420">
      <c r="A3420" s="430">
        <v>6.178662000132E12</v>
      </c>
      <c r="B3420" s="218" t="s">
        <v>4220</v>
      </c>
    </row>
    <row r="3421">
      <c r="A3421" s="430">
        <v>2.25574000168E11</v>
      </c>
      <c r="B3421" s="218" t="s">
        <v>4221</v>
      </c>
    </row>
    <row r="3422">
      <c r="A3422" s="430">
        <v>9.367612000191E12</v>
      </c>
      <c r="B3422" s="218" t="s">
        <v>4222</v>
      </c>
    </row>
    <row r="3423">
      <c r="A3423" s="430">
        <v>2.656438000158E12</v>
      </c>
      <c r="B3423" s="218" t="s">
        <v>4223</v>
      </c>
    </row>
    <row r="3424">
      <c r="A3424" s="430">
        <v>4.112923000196E12</v>
      </c>
      <c r="B3424" s="218" t="s">
        <v>4224</v>
      </c>
    </row>
    <row r="3425">
      <c r="A3425" s="430">
        <v>1.7197385000121E13</v>
      </c>
      <c r="B3425" s="218" t="s">
        <v>4225</v>
      </c>
    </row>
    <row r="3426">
      <c r="A3426" s="430">
        <v>5.09354000166E11</v>
      </c>
      <c r="B3426" s="218" t="s">
        <v>4226</v>
      </c>
    </row>
    <row r="3427">
      <c r="A3427" s="430">
        <v>7.735348000176E12</v>
      </c>
      <c r="B3427" s="218" t="s">
        <v>4227</v>
      </c>
    </row>
    <row r="3428">
      <c r="A3428" s="430">
        <v>4.581151000808E12</v>
      </c>
      <c r="B3428" s="218" t="s">
        <v>4228</v>
      </c>
    </row>
    <row r="3429">
      <c r="A3429" s="430">
        <v>7.175527000104E12</v>
      </c>
      <c r="B3429" s="218" t="s">
        <v>4229</v>
      </c>
    </row>
    <row r="3430">
      <c r="A3430" s="430">
        <v>3.75075700019E12</v>
      </c>
      <c r="B3430" s="218" t="s">
        <v>4230</v>
      </c>
    </row>
    <row r="3431">
      <c r="A3431" s="430">
        <v>2.40459600011E12</v>
      </c>
      <c r="B3431" s="218" t="s">
        <v>4231</v>
      </c>
    </row>
    <row r="3432">
      <c r="A3432" s="430">
        <v>6.749459000179E12</v>
      </c>
      <c r="B3432" s="218" t="s">
        <v>4232</v>
      </c>
    </row>
    <row r="3433">
      <c r="A3433" s="430">
        <v>5.347431000142E12</v>
      </c>
      <c r="B3433" s="218" t="s">
        <v>4233</v>
      </c>
    </row>
    <row r="3434">
      <c r="A3434" s="430">
        <v>4.438598000156E12</v>
      </c>
      <c r="B3434" s="218" t="s">
        <v>4234</v>
      </c>
    </row>
    <row r="3435">
      <c r="A3435" s="430">
        <v>4.8015119000164E13</v>
      </c>
      <c r="B3435" s="218" t="s">
        <v>4235</v>
      </c>
    </row>
    <row r="3436">
      <c r="A3436" s="430">
        <v>7.226794000155E12</v>
      </c>
      <c r="B3436" s="218" t="s">
        <v>4236</v>
      </c>
    </row>
    <row r="3437">
      <c r="A3437" s="430">
        <v>3.033589000112E12</v>
      </c>
      <c r="B3437" s="218" t="s">
        <v>4237</v>
      </c>
    </row>
    <row r="3438">
      <c r="A3438" s="430">
        <v>8.13455000126E11</v>
      </c>
      <c r="B3438" s="218" t="s">
        <v>4238</v>
      </c>
    </row>
    <row r="3439">
      <c r="A3439" s="430">
        <v>5.824906000144E12</v>
      </c>
      <c r="B3439" s="218" t="s">
        <v>4239</v>
      </c>
    </row>
    <row r="3440">
      <c r="A3440" s="430">
        <v>7.134179000119E12</v>
      </c>
      <c r="B3440" s="218" t="s">
        <v>4240</v>
      </c>
    </row>
    <row r="3441">
      <c r="A3441" s="430">
        <v>8.8648761000103E13</v>
      </c>
      <c r="B3441" s="218" t="s">
        <v>4241</v>
      </c>
    </row>
    <row r="3442">
      <c r="A3442" s="430">
        <v>7.9646550000302E13</v>
      </c>
      <c r="B3442" s="218" t="s">
        <v>3153</v>
      </c>
    </row>
    <row r="3443">
      <c r="A3443" s="430">
        <v>5.094869000166E12</v>
      </c>
      <c r="B3443" s="218" t="s">
        <v>4242</v>
      </c>
    </row>
    <row r="3444">
      <c r="A3444" s="430">
        <v>5.827190000139E12</v>
      </c>
      <c r="B3444" s="218" t="s">
        <v>4243</v>
      </c>
    </row>
    <row r="3445">
      <c r="A3445" s="430">
        <v>8.0093537000182E13</v>
      </c>
      <c r="B3445" s="218" t="s">
        <v>4244</v>
      </c>
    </row>
    <row r="3446">
      <c r="A3446" s="430">
        <v>4.9365612000177E13</v>
      </c>
      <c r="B3446" s="218" t="s">
        <v>4245</v>
      </c>
    </row>
    <row r="3447">
      <c r="A3447" s="430">
        <v>5.340040000104E12</v>
      </c>
      <c r="B3447" s="218" t="s">
        <v>4246</v>
      </c>
    </row>
    <row r="3448">
      <c r="A3448" s="430">
        <v>7.107940000123E12</v>
      </c>
      <c r="B3448" s="218" t="s">
        <v>4247</v>
      </c>
    </row>
    <row r="3449">
      <c r="A3449" s="430">
        <v>8.3931113000138E13</v>
      </c>
      <c r="B3449" s="218" t="s">
        <v>4248</v>
      </c>
    </row>
    <row r="3450">
      <c r="A3450" s="430">
        <v>8.2703117000104E13</v>
      </c>
      <c r="B3450" s="218" t="s">
        <v>4249</v>
      </c>
    </row>
    <row r="3451">
      <c r="A3451" s="430">
        <v>5.216567000113E12</v>
      </c>
      <c r="B3451" s="218" t="s">
        <v>4250</v>
      </c>
    </row>
    <row r="3452">
      <c r="A3452" s="430">
        <v>9.2821701005764E13</v>
      </c>
      <c r="B3452" s="218" t="s">
        <v>4251</v>
      </c>
    </row>
    <row r="3453">
      <c r="A3453" s="430">
        <v>4.913137000198E12</v>
      </c>
      <c r="B3453" s="218" t="s">
        <v>4252</v>
      </c>
    </row>
    <row r="3454">
      <c r="A3454" s="430">
        <v>4.432724000165E12</v>
      </c>
      <c r="B3454" s="218" t="s">
        <v>4253</v>
      </c>
    </row>
    <row r="3455">
      <c r="A3455" s="430">
        <v>4.846708000119E12</v>
      </c>
      <c r="B3455" s="218" t="s">
        <v>4254</v>
      </c>
    </row>
    <row r="3456">
      <c r="A3456" s="430">
        <v>6.555143000146E12</v>
      </c>
      <c r="B3456" s="218" t="s">
        <v>4255</v>
      </c>
    </row>
    <row r="3457">
      <c r="A3457" s="430">
        <v>8.0994908000105E13</v>
      </c>
      <c r="B3457" s="218" t="s">
        <v>4256</v>
      </c>
    </row>
    <row r="3458">
      <c r="A3458" s="430">
        <v>3.9093331000159E13</v>
      </c>
      <c r="B3458" s="218" t="s">
        <v>4257</v>
      </c>
    </row>
    <row r="3459">
      <c r="A3459" s="430">
        <v>8.255734000123E12</v>
      </c>
      <c r="B3459" s="218" t="s">
        <v>4258</v>
      </c>
    </row>
    <row r="3460">
      <c r="A3460" s="430">
        <v>7.641783000131E12</v>
      </c>
      <c r="B3460" s="218" t="s">
        <v>4259</v>
      </c>
    </row>
    <row r="3461">
      <c r="A3461" s="430">
        <v>8.672315000197E12</v>
      </c>
      <c r="B3461" s="218" t="s">
        <v>4260</v>
      </c>
    </row>
    <row r="3462">
      <c r="A3462" s="430">
        <v>4.531037000105E12</v>
      </c>
      <c r="B3462" s="218" t="s">
        <v>4261</v>
      </c>
    </row>
    <row r="3463">
      <c r="A3463" s="430">
        <v>1.635271000186E12</v>
      </c>
      <c r="B3463" s="218" t="s">
        <v>4262</v>
      </c>
    </row>
    <row r="3464">
      <c r="A3464" s="430">
        <v>3.942659000155E12</v>
      </c>
      <c r="B3464" s="218" t="s">
        <v>4263</v>
      </c>
    </row>
    <row r="3465">
      <c r="A3465" s="430">
        <v>8.5294080000198E13</v>
      </c>
      <c r="B3465" s="218" t="s">
        <v>4264</v>
      </c>
    </row>
    <row r="3466">
      <c r="A3466" s="430">
        <v>7.413166000189E12</v>
      </c>
      <c r="B3466" s="218" t="s">
        <v>4265</v>
      </c>
    </row>
    <row r="3467">
      <c r="A3467" s="430">
        <v>4.7272640001E12</v>
      </c>
      <c r="B3467" s="218" t="s">
        <v>4266</v>
      </c>
    </row>
    <row r="3468">
      <c r="A3468" s="430">
        <v>3.96534100019E12</v>
      </c>
      <c r="B3468" s="218" t="s">
        <v>4267</v>
      </c>
    </row>
    <row r="3469">
      <c r="A3469" s="430">
        <v>9.75548000157E11</v>
      </c>
      <c r="B3469" s="218" t="s">
        <v>4268</v>
      </c>
    </row>
    <row r="3470">
      <c r="A3470" s="430">
        <v>7.8362118000157E13</v>
      </c>
      <c r="B3470" s="218" t="s">
        <v>4269</v>
      </c>
    </row>
    <row r="3471">
      <c r="A3471" s="430">
        <v>2.238239004702E12</v>
      </c>
      <c r="B3471" s="218" t="s">
        <v>4270</v>
      </c>
    </row>
    <row r="3472">
      <c r="A3472" s="430">
        <v>8.5241693000167E13</v>
      </c>
      <c r="B3472" s="218" t="s">
        <v>4271</v>
      </c>
    </row>
    <row r="3473">
      <c r="A3473" s="430">
        <v>9.2821701004601E13</v>
      </c>
      <c r="B3473" s="218" t="s">
        <v>4272</v>
      </c>
    </row>
    <row r="3474">
      <c r="A3474" s="430">
        <v>3.603739000267E12</v>
      </c>
      <c r="B3474" s="218" t="s">
        <v>4273</v>
      </c>
    </row>
    <row r="3475">
      <c r="A3475" s="430">
        <v>1.111039000491E12</v>
      </c>
      <c r="B3475" s="218" t="s">
        <v>960</v>
      </c>
    </row>
    <row r="3476">
      <c r="A3476" s="430">
        <v>7.714340200017E13</v>
      </c>
      <c r="B3476" s="218" t="s">
        <v>4274</v>
      </c>
    </row>
    <row r="3477">
      <c r="A3477" s="430">
        <v>1.181242000191E12</v>
      </c>
      <c r="B3477" s="218" t="s">
        <v>4275</v>
      </c>
    </row>
    <row r="3478">
      <c r="A3478" s="430">
        <v>2.568597000109E12</v>
      </c>
      <c r="B3478" s="218" t="s">
        <v>4276</v>
      </c>
    </row>
    <row r="3479">
      <c r="A3479" s="430">
        <v>7.2438344000198E13</v>
      </c>
      <c r="B3479" s="218" t="s">
        <v>4277</v>
      </c>
    </row>
    <row r="3480">
      <c r="A3480" s="430">
        <v>7.5400218000647E13</v>
      </c>
      <c r="B3480" s="218" t="s">
        <v>2198</v>
      </c>
    </row>
    <row r="3481">
      <c r="A3481" s="430">
        <v>6.032057000159E12</v>
      </c>
      <c r="B3481" s="218" t="s">
        <v>4278</v>
      </c>
    </row>
    <row r="3482">
      <c r="A3482" s="430">
        <v>2.318345000113E12</v>
      </c>
      <c r="B3482" s="218" t="s">
        <v>4279</v>
      </c>
    </row>
    <row r="3483">
      <c r="A3483" s="430">
        <v>8.420810700011E13</v>
      </c>
      <c r="B3483" s="218" t="s">
        <v>4280</v>
      </c>
    </row>
    <row r="3484">
      <c r="A3484" s="430">
        <v>8.290938300018E13</v>
      </c>
      <c r="B3484" s="218" t="s">
        <v>4281</v>
      </c>
    </row>
    <row r="3485">
      <c r="A3485" s="430">
        <v>8.5317113000178E13</v>
      </c>
      <c r="B3485" s="218" t="s">
        <v>4282</v>
      </c>
    </row>
    <row r="3486">
      <c r="A3486" s="430">
        <v>3.68443400065E12</v>
      </c>
      <c r="B3486" s="218" t="s">
        <v>4283</v>
      </c>
    </row>
    <row r="3487">
      <c r="A3487" s="430">
        <v>3.999762000131E12</v>
      </c>
      <c r="B3487" s="218" t="s">
        <v>4284</v>
      </c>
    </row>
    <row r="3488">
      <c r="A3488" s="430">
        <v>6.08001000113E11</v>
      </c>
      <c r="B3488" s="218" t="s">
        <v>4285</v>
      </c>
    </row>
    <row r="3489">
      <c r="A3489" s="430">
        <v>3.932137000172E12</v>
      </c>
      <c r="B3489" s="218" t="s">
        <v>4286</v>
      </c>
    </row>
    <row r="3490">
      <c r="A3490" s="430">
        <v>8.1344129000119E13</v>
      </c>
      <c r="B3490" s="218" t="s">
        <v>4287</v>
      </c>
    </row>
    <row r="3491">
      <c r="A3491" s="430">
        <v>8.0952112000181E13</v>
      </c>
      <c r="B3491" s="218" t="s">
        <v>4288</v>
      </c>
    </row>
    <row r="3492">
      <c r="A3492" s="430">
        <v>3.992622000131E12</v>
      </c>
      <c r="B3492" s="218" t="s">
        <v>4289</v>
      </c>
    </row>
    <row r="3493">
      <c r="A3493" s="430">
        <v>5.116014000199E12</v>
      </c>
      <c r="B3493" s="218" t="s">
        <v>4290</v>
      </c>
    </row>
    <row r="3494">
      <c r="A3494" s="430">
        <v>7.389342000194E12</v>
      </c>
      <c r="B3494" s="218" t="s">
        <v>4291</v>
      </c>
    </row>
    <row r="3495">
      <c r="A3495" s="430">
        <v>3.121972000122E12</v>
      </c>
      <c r="B3495" s="218" t="s">
        <v>4292</v>
      </c>
    </row>
    <row r="3496">
      <c r="A3496" s="430">
        <v>2.437692000165E12</v>
      </c>
      <c r="B3496" s="218" t="s">
        <v>4293</v>
      </c>
    </row>
    <row r="3497">
      <c r="A3497" s="430">
        <v>3.705760000192E12</v>
      </c>
      <c r="B3497" s="218" t="s">
        <v>4294</v>
      </c>
    </row>
    <row r="3498">
      <c r="A3498" s="430">
        <v>7.8898913000164E13</v>
      </c>
      <c r="B3498" s="218" t="s">
        <v>4295</v>
      </c>
    </row>
    <row r="3499">
      <c r="A3499" s="430">
        <v>5.538961000178E12</v>
      </c>
      <c r="B3499" s="218" t="s">
        <v>4296</v>
      </c>
    </row>
    <row r="3500">
      <c r="A3500" s="430">
        <v>3.3284522000111E13</v>
      </c>
      <c r="B3500" s="218" t="s">
        <v>4297</v>
      </c>
    </row>
    <row r="3501">
      <c r="A3501" s="430">
        <v>4.830372000104E12</v>
      </c>
      <c r="B3501" s="218" t="s">
        <v>4298</v>
      </c>
    </row>
    <row r="3502">
      <c r="A3502" s="430">
        <v>7.2472038000178E13</v>
      </c>
      <c r="B3502" s="218" t="s">
        <v>4299</v>
      </c>
    </row>
    <row r="3503">
      <c r="A3503" s="430">
        <v>8.1726978000137E13</v>
      </c>
      <c r="B3503" s="218" t="s">
        <v>4300</v>
      </c>
    </row>
    <row r="3504">
      <c r="A3504" s="430">
        <v>7.9080602000156E13</v>
      </c>
      <c r="B3504" s="218" t="s">
        <v>4301</v>
      </c>
    </row>
    <row r="3505">
      <c r="A3505" s="430">
        <v>8.5286840001E12</v>
      </c>
      <c r="B3505" s="218" t="s">
        <v>4302</v>
      </c>
    </row>
    <row r="3506">
      <c r="A3506" s="430">
        <v>9.5764890000114E13</v>
      </c>
      <c r="B3506" s="218" t="s">
        <v>4303</v>
      </c>
    </row>
    <row r="3507">
      <c r="A3507" s="430">
        <v>1.084671000493E12</v>
      </c>
      <c r="B3507" s="218" t="s">
        <v>2210</v>
      </c>
    </row>
    <row r="3508">
      <c r="A3508" s="430">
        <v>8.04431200001E13</v>
      </c>
      <c r="B3508" s="218" t="s">
        <v>4304</v>
      </c>
    </row>
    <row r="3509">
      <c r="A3509" s="430">
        <v>8.10290430001E13</v>
      </c>
      <c r="B3509" s="218" t="s">
        <v>4305</v>
      </c>
    </row>
    <row r="3510">
      <c r="A3510" s="430">
        <v>4.639285000166E12</v>
      </c>
      <c r="B3510" s="218" t="s">
        <v>4306</v>
      </c>
    </row>
    <row r="3511">
      <c r="A3511" s="430">
        <v>3.373004000103E12</v>
      </c>
      <c r="B3511" s="218" t="s">
        <v>4307</v>
      </c>
    </row>
    <row r="3512">
      <c r="A3512" s="430">
        <v>3.317833000179E12</v>
      </c>
      <c r="B3512" s="218" t="s">
        <v>4308</v>
      </c>
    </row>
    <row r="3513">
      <c r="A3513" s="430">
        <v>7.9080602002442E13</v>
      </c>
      <c r="B3513" s="218" t="s">
        <v>4309</v>
      </c>
    </row>
    <row r="3514">
      <c r="A3514" s="430">
        <v>3.658432000182E12</v>
      </c>
      <c r="B3514" s="218" t="s">
        <v>4310</v>
      </c>
    </row>
    <row r="3515">
      <c r="A3515" s="430">
        <v>5.074615000186E12</v>
      </c>
      <c r="B3515" s="218" t="s">
        <v>4311</v>
      </c>
    </row>
    <row r="3516">
      <c r="A3516" s="430">
        <v>8.3413591000318E13</v>
      </c>
      <c r="B3516" s="218" t="s">
        <v>4312</v>
      </c>
    </row>
    <row r="3517">
      <c r="A3517" s="430">
        <v>5.99663400016E12</v>
      </c>
      <c r="B3517" s="218" t="s">
        <v>4313</v>
      </c>
    </row>
    <row r="3518">
      <c r="A3518" s="430">
        <v>3.018187000149E12</v>
      </c>
      <c r="B3518" s="218" t="s">
        <v>4314</v>
      </c>
    </row>
    <row r="3519">
      <c r="A3519" s="430">
        <v>2.317176000105E12</v>
      </c>
      <c r="B3519" s="218" t="s">
        <v>4315</v>
      </c>
    </row>
    <row r="3520">
      <c r="A3520" s="430">
        <v>9.426434800013E13</v>
      </c>
      <c r="B3520" s="218" t="s">
        <v>4316</v>
      </c>
    </row>
    <row r="3521">
      <c r="A3521" s="430">
        <v>8.10228320001E13</v>
      </c>
      <c r="B3521" s="218" t="s">
        <v>4317</v>
      </c>
    </row>
    <row r="3522">
      <c r="A3522" s="430">
        <v>7.6363571000152E13</v>
      </c>
      <c r="B3522" s="218" t="s">
        <v>4318</v>
      </c>
    </row>
    <row r="3523">
      <c r="A3523" s="430">
        <v>1.367877000188E12</v>
      </c>
      <c r="B3523" s="218" t="s">
        <v>4319</v>
      </c>
    </row>
    <row r="3524">
      <c r="A3524" s="430">
        <v>7.8527926000127E13</v>
      </c>
      <c r="B3524" s="218" t="s">
        <v>4320</v>
      </c>
    </row>
    <row r="3525">
      <c r="A3525" s="430">
        <v>3.360482000189E12</v>
      </c>
      <c r="B3525" s="218" t="s">
        <v>4321</v>
      </c>
    </row>
    <row r="3526">
      <c r="A3526" s="430">
        <v>7.85152100001E13</v>
      </c>
      <c r="B3526" s="218" t="s">
        <v>4322</v>
      </c>
    </row>
    <row r="3527">
      <c r="A3527" s="430">
        <v>2.8841170001E12</v>
      </c>
      <c r="B3527" s="218" t="s">
        <v>4323</v>
      </c>
    </row>
    <row r="3528">
      <c r="A3528" s="430">
        <v>4.09692300014E12</v>
      </c>
      <c r="B3528" s="218" t="s">
        <v>4324</v>
      </c>
    </row>
    <row r="3529">
      <c r="A3529" s="430">
        <v>1.223490000158E12</v>
      </c>
      <c r="B3529" s="218" t="s">
        <v>4325</v>
      </c>
    </row>
    <row r="3530">
      <c r="A3530" s="430">
        <v>2.909080000128E12</v>
      </c>
      <c r="B3530" s="218" t="s">
        <v>4326</v>
      </c>
    </row>
    <row r="3531">
      <c r="A3531" s="430">
        <v>1.717319000103E12</v>
      </c>
      <c r="B3531" s="218" t="s">
        <v>4327</v>
      </c>
    </row>
    <row r="3532">
      <c r="A3532" s="430">
        <v>1.71732000012E12</v>
      </c>
      <c r="B3532" s="218" t="s">
        <v>4328</v>
      </c>
    </row>
    <row r="3533">
      <c r="A3533" s="430">
        <v>7.3976318000186E13</v>
      </c>
      <c r="B3533" s="218" t="s">
        <v>4329</v>
      </c>
    </row>
    <row r="3534">
      <c r="A3534" s="430">
        <v>5.005363600017E13</v>
      </c>
      <c r="B3534" s="218" t="s">
        <v>4330</v>
      </c>
    </row>
    <row r="3535">
      <c r="A3535" s="430">
        <v>2.974635000115E12</v>
      </c>
      <c r="B3535" s="218" t="s">
        <v>4331</v>
      </c>
    </row>
    <row r="3536">
      <c r="A3536" s="430">
        <v>3.2901753000164E13</v>
      </c>
      <c r="B3536" s="218" t="s">
        <v>4332</v>
      </c>
    </row>
    <row r="3537">
      <c r="A3537" s="430">
        <v>3.64021400011E12</v>
      </c>
      <c r="B3537" s="218" t="s">
        <v>4333</v>
      </c>
    </row>
    <row r="3538">
      <c r="A3538" s="430">
        <v>1.644657000154E12</v>
      </c>
      <c r="B3538" s="218" t="s">
        <v>4334</v>
      </c>
    </row>
    <row r="3539">
      <c r="A3539" s="430">
        <v>8.0644941000105E13</v>
      </c>
      <c r="B3539" s="218" t="s">
        <v>4335</v>
      </c>
    </row>
    <row r="3540">
      <c r="A3540" s="430">
        <v>3.175843000117E12</v>
      </c>
      <c r="B3540" s="218" t="s">
        <v>4336</v>
      </c>
    </row>
    <row r="3541">
      <c r="A3541" s="430">
        <v>9.579204000012E13</v>
      </c>
      <c r="B3541" s="218" t="s">
        <v>4337</v>
      </c>
    </row>
    <row r="3542">
      <c r="A3542" s="430">
        <v>8.5204881000115E13</v>
      </c>
      <c r="B3542" s="218" t="s">
        <v>4338</v>
      </c>
    </row>
    <row r="3543">
      <c r="A3543" s="430">
        <v>1.333303000199E12</v>
      </c>
      <c r="B3543" s="218" t="s">
        <v>4339</v>
      </c>
    </row>
    <row r="3544">
      <c r="A3544" s="430">
        <v>7.95013590001E13</v>
      </c>
      <c r="B3544" s="218" t="s">
        <v>4340</v>
      </c>
    </row>
    <row r="3545">
      <c r="A3545" s="430">
        <v>7.3211393000156E13</v>
      </c>
      <c r="B3545" s="218" t="s">
        <v>4341</v>
      </c>
    </row>
    <row r="3546">
      <c r="A3546" s="430">
        <v>8.5463370001E12</v>
      </c>
      <c r="B3546" s="218" t="s">
        <v>4342</v>
      </c>
    </row>
    <row r="3547">
      <c r="A3547" s="430">
        <v>1.7197385006596E13</v>
      </c>
      <c r="B3547" s="218" t="s">
        <v>4225</v>
      </c>
    </row>
    <row r="3548">
      <c r="A3548" s="430">
        <v>8.041874200017E13</v>
      </c>
      <c r="B3548" s="218" t="s">
        <v>4343</v>
      </c>
    </row>
    <row r="3549">
      <c r="A3549" s="430">
        <v>7.014995000199E12</v>
      </c>
      <c r="B3549" s="218" t="s">
        <v>4344</v>
      </c>
    </row>
    <row r="3550">
      <c r="A3550" s="430">
        <v>4.953259000108E12</v>
      </c>
      <c r="B3550" s="218" t="s">
        <v>4345</v>
      </c>
    </row>
    <row r="3551">
      <c r="A3551" s="430">
        <v>1.547651000169E12</v>
      </c>
      <c r="B3551" s="218" t="s">
        <v>4346</v>
      </c>
    </row>
    <row r="3552">
      <c r="A3552" s="430">
        <v>5.58406600019E12</v>
      </c>
      <c r="B3552" s="218" t="s">
        <v>4347</v>
      </c>
    </row>
    <row r="3553">
      <c r="A3553" s="430">
        <v>4.195109000182E12</v>
      </c>
      <c r="B3553" s="218" t="s">
        <v>4348</v>
      </c>
    </row>
    <row r="3554">
      <c r="A3554" s="430">
        <v>7.793311000102E12</v>
      </c>
      <c r="B3554" s="218" t="s">
        <v>4349</v>
      </c>
    </row>
    <row r="3555">
      <c r="A3555" s="430">
        <v>7.32178000011E12</v>
      </c>
      <c r="B3555" s="218" t="s">
        <v>4350</v>
      </c>
    </row>
    <row r="3556">
      <c r="A3556" s="430">
        <v>8.2051897000147E13</v>
      </c>
      <c r="B3556" s="218" t="s">
        <v>4351</v>
      </c>
    </row>
    <row r="3557">
      <c r="A3557" s="430">
        <v>8.7530044000101E13</v>
      </c>
      <c r="B3557" s="218" t="s">
        <v>4352</v>
      </c>
    </row>
    <row r="3558">
      <c r="A3558" s="430">
        <v>6.0316570001E12</v>
      </c>
      <c r="B3558" s="218" t="s">
        <v>4353</v>
      </c>
    </row>
    <row r="3559">
      <c r="A3559" s="430">
        <v>4.169547000176E12</v>
      </c>
      <c r="B3559" s="218" t="s">
        <v>4354</v>
      </c>
    </row>
    <row r="3560">
      <c r="A3560" s="430">
        <v>4.485323000173E12</v>
      </c>
      <c r="B3560" s="218" t="s">
        <v>4355</v>
      </c>
    </row>
    <row r="3561">
      <c r="A3561" s="430">
        <v>2.699847000131E12</v>
      </c>
      <c r="B3561" s="218" t="s">
        <v>4356</v>
      </c>
    </row>
    <row r="3562">
      <c r="A3562" s="430">
        <v>3.404379000193E12</v>
      </c>
      <c r="B3562" s="218" t="s">
        <v>4357</v>
      </c>
    </row>
    <row r="3563">
      <c r="A3563" s="430">
        <v>2.887909000139E12</v>
      </c>
      <c r="B3563" s="218" t="s">
        <v>4358</v>
      </c>
    </row>
    <row r="3564">
      <c r="A3564" s="430">
        <v>7.909607000138E12</v>
      </c>
      <c r="B3564" s="218" t="s">
        <v>4359</v>
      </c>
    </row>
    <row r="3565">
      <c r="A3565" s="430">
        <v>7.971924000184E12</v>
      </c>
      <c r="B3565" s="218" t="s">
        <v>4360</v>
      </c>
    </row>
    <row r="3566">
      <c r="A3566" s="430">
        <v>6.275688000107E12</v>
      </c>
      <c r="B3566" s="218" t="s">
        <v>4361</v>
      </c>
    </row>
    <row r="3567">
      <c r="A3567" s="430">
        <v>1.66546400026E12</v>
      </c>
      <c r="B3567" s="218" t="s">
        <v>4362</v>
      </c>
    </row>
    <row r="3568">
      <c r="A3568" s="430">
        <v>3.814774000144E12</v>
      </c>
      <c r="B3568" s="218" t="s">
        <v>4363</v>
      </c>
    </row>
    <row r="3569">
      <c r="A3569" s="430">
        <v>5.3645172000189E13</v>
      </c>
      <c r="B3569" s="218" t="s">
        <v>4364</v>
      </c>
    </row>
    <row r="3570">
      <c r="A3570" s="430">
        <v>3.7655784000104E13</v>
      </c>
      <c r="B3570" s="218" t="s">
        <v>4365</v>
      </c>
    </row>
    <row r="3571">
      <c r="A3571" s="430">
        <v>5.75367000133E11</v>
      </c>
      <c r="B3571" s="218" t="s">
        <v>4366</v>
      </c>
    </row>
    <row r="3572">
      <c r="A3572" s="430">
        <v>7.00436000193E11</v>
      </c>
      <c r="B3572" s="218" t="s">
        <v>4367</v>
      </c>
    </row>
    <row r="3573">
      <c r="A3573" s="430">
        <v>8.5183986000135E13</v>
      </c>
      <c r="B3573" s="218" t="s">
        <v>4368</v>
      </c>
    </row>
    <row r="3574">
      <c r="A3574" s="430">
        <v>4.514699000169E12</v>
      </c>
      <c r="B3574" s="218" t="s">
        <v>4369</v>
      </c>
    </row>
    <row r="3575">
      <c r="A3575" s="430">
        <v>8.533193200017E13</v>
      </c>
      <c r="B3575" s="218" t="s">
        <v>4370</v>
      </c>
    </row>
    <row r="3576">
      <c r="A3576" s="430">
        <v>8.3874495000539E13</v>
      </c>
      <c r="B3576" s="218" t="s">
        <v>2682</v>
      </c>
    </row>
    <row r="3577">
      <c r="A3577" s="430">
        <v>8.17683430001E13</v>
      </c>
      <c r="B3577" s="218" t="s">
        <v>4371</v>
      </c>
    </row>
    <row r="3578">
      <c r="A3578" s="430">
        <v>2.599750000157E12</v>
      </c>
      <c r="B3578" s="218" t="s">
        <v>4372</v>
      </c>
    </row>
    <row r="3579">
      <c r="A3579" s="430">
        <v>4.73472400011E12</v>
      </c>
      <c r="B3579" s="218" t="s">
        <v>4373</v>
      </c>
    </row>
    <row r="3580">
      <c r="A3580" s="430">
        <v>6.7318584000119E13</v>
      </c>
      <c r="B3580" s="218" t="s">
        <v>4374</v>
      </c>
    </row>
    <row r="3581">
      <c r="A3581" s="430">
        <v>4.3217850000744E13</v>
      </c>
      <c r="B3581" s="218" t="s">
        <v>4375</v>
      </c>
    </row>
    <row r="3582">
      <c r="A3582" s="430">
        <v>1.776371000122E12</v>
      </c>
      <c r="B3582" s="218" t="s">
        <v>4376</v>
      </c>
    </row>
    <row r="3583">
      <c r="A3583" s="430">
        <v>8.804010000191E12</v>
      </c>
      <c r="B3583" s="218" t="s">
        <v>4377</v>
      </c>
    </row>
    <row r="3584">
      <c r="A3584" s="430">
        <v>7.3198616000192E13</v>
      </c>
      <c r="B3584" s="218" t="s">
        <v>4378</v>
      </c>
    </row>
    <row r="3585">
      <c r="A3585" s="430">
        <v>7.288847000162E12</v>
      </c>
      <c r="B3585" s="218" t="s">
        <v>4379</v>
      </c>
    </row>
    <row r="3586">
      <c r="A3586" s="430">
        <v>5.334041000138E12</v>
      </c>
      <c r="B3586" s="218" t="s">
        <v>4380</v>
      </c>
    </row>
    <row r="3587">
      <c r="A3587" s="430">
        <v>8.1243735000229E13</v>
      </c>
      <c r="B3587" s="218" t="s">
        <v>4381</v>
      </c>
    </row>
    <row r="3588">
      <c r="A3588" s="430">
        <v>6.179792400074E13</v>
      </c>
      <c r="B3588" s="218" t="s">
        <v>4382</v>
      </c>
    </row>
    <row r="3589">
      <c r="A3589" s="430">
        <v>7.3865008000194E13</v>
      </c>
      <c r="B3589" s="218" t="s">
        <v>4383</v>
      </c>
    </row>
    <row r="3590">
      <c r="A3590" s="430">
        <v>1.0623112000152E13</v>
      </c>
      <c r="B3590" s="218" t="s">
        <v>4384</v>
      </c>
    </row>
    <row r="3591">
      <c r="A3591" s="430">
        <v>6.172501000131E12</v>
      </c>
      <c r="B3591" s="218" t="s">
        <v>4385</v>
      </c>
    </row>
    <row r="3592">
      <c r="A3592" s="430">
        <v>8.513498000106E12</v>
      </c>
      <c r="B3592" s="218" t="s">
        <v>4386</v>
      </c>
    </row>
    <row r="3593">
      <c r="A3593" s="430">
        <v>1.690582000148E12</v>
      </c>
      <c r="B3593" s="218" t="s">
        <v>4387</v>
      </c>
    </row>
    <row r="3594">
      <c r="A3594" s="430">
        <v>7.502330000124E12</v>
      </c>
      <c r="B3594" s="218" t="s">
        <v>4388</v>
      </c>
    </row>
    <row r="3595">
      <c r="A3595" s="430">
        <v>8.087374000106E12</v>
      </c>
      <c r="B3595" s="218" t="s">
        <v>4389</v>
      </c>
    </row>
    <row r="3596">
      <c r="A3596" s="430">
        <v>4.927768000166E12</v>
      </c>
      <c r="B3596" s="218" t="s">
        <v>4390</v>
      </c>
    </row>
    <row r="3597">
      <c r="A3597" s="430">
        <v>2.061055000137E12</v>
      </c>
      <c r="B3597" s="218" t="s">
        <v>4391</v>
      </c>
    </row>
    <row r="3598">
      <c r="A3598" s="430">
        <v>2.624460000116E12</v>
      </c>
      <c r="B3598" s="218" t="s">
        <v>4392</v>
      </c>
    </row>
    <row r="3599">
      <c r="A3599" s="430">
        <v>5.158228000128E12</v>
      </c>
      <c r="B3599" s="218" t="s">
        <v>4393</v>
      </c>
    </row>
    <row r="3600">
      <c r="A3600" s="430">
        <v>2.122628000276E12</v>
      </c>
      <c r="B3600" s="218" t="s">
        <v>4394</v>
      </c>
    </row>
    <row r="3601">
      <c r="A3601" s="430">
        <v>1.614013000113E12</v>
      </c>
      <c r="B3601" s="218" t="s">
        <v>4395</v>
      </c>
    </row>
    <row r="3602">
      <c r="A3602" s="430">
        <v>7.175007000193E12</v>
      </c>
      <c r="B3602" s="218" t="s">
        <v>4396</v>
      </c>
    </row>
    <row r="3603">
      <c r="A3603" s="430">
        <v>3.7487709000173E13</v>
      </c>
      <c r="B3603" s="218" t="s">
        <v>4397</v>
      </c>
    </row>
    <row r="3604">
      <c r="A3604" s="430">
        <v>8.3948380000207E13</v>
      </c>
      <c r="B3604" s="218" t="s">
        <v>4398</v>
      </c>
    </row>
    <row r="3605">
      <c r="A3605" s="430">
        <v>1.101142000108E12</v>
      </c>
      <c r="B3605" s="218" t="s">
        <v>4399</v>
      </c>
    </row>
    <row r="3606">
      <c r="A3606" s="430">
        <v>8.31785000012E12</v>
      </c>
      <c r="B3606" s="218" t="s">
        <v>4400</v>
      </c>
    </row>
    <row r="3607">
      <c r="A3607" s="430">
        <v>9.4776143000133E13</v>
      </c>
      <c r="B3607" s="218" t="s">
        <v>4401</v>
      </c>
    </row>
    <row r="3608">
      <c r="A3608" s="430">
        <v>7.261678000177E12</v>
      </c>
      <c r="B3608" s="218" t="s">
        <v>4402</v>
      </c>
    </row>
    <row r="3609">
      <c r="A3609" s="430">
        <v>7.618000183E9</v>
      </c>
      <c r="B3609" s="218" t="s">
        <v>4403</v>
      </c>
    </row>
    <row r="3610">
      <c r="A3610" s="430">
        <v>7.357980000123E12</v>
      </c>
      <c r="B3610" s="218" t="s">
        <v>4404</v>
      </c>
    </row>
    <row r="3611">
      <c r="A3611" s="430">
        <v>8.0471618000179E13</v>
      </c>
      <c r="B3611" s="218" t="s">
        <v>4405</v>
      </c>
    </row>
    <row r="3612">
      <c r="A3612" s="430">
        <v>1.061817000132E12</v>
      </c>
      <c r="B3612" s="218" t="s">
        <v>4406</v>
      </c>
    </row>
    <row r="3613">
      <c r="A3613" s="430">
        <v>8.2892316000108E13</v>
      </c>
      <c r="B3613" s="218" t="s">
        <v>4407</v>
      </c>
    </row>
    <row r="3614">
      <c r="A3614" s="430">
        <v>6.012731000133E12</v>
      </c>
      <c r="B3614" s="218" t="s">
        <v>4408</v>
      </c>
    </row>
    <row r="3615">
      <c r="A3615" s="430">
        <v>8.906386000107E12</v>
      </c>
      <c r="B3615" s="218" t="s">
        <v>4409</v>
      </c>
    </row>
    <row r="3616">
      <c r="A3616" s="430">
        <v>5.354001000158E12</v>
      </c>
      <c r="B3616" s="218" t="s">
        <v>4410</v>
      </c>
    </row>
    <row r="3617">
      <c r="A3617" s="430">
        <v>4.38973000107E11</v>
      </c>
      <c r="B3617" s="218" t="s">
        <v>4411</v>
      </c>
    </row>
    <row r="3618">
      <c r="A3618" s="430">
        <v>7.7941490007753E13</v>
      </c>
      <c r="B3618" s="218" t="s">
        <v>4412</v>
      </c>
    </row>
    <row r="3619">
      <c r="A3619" s="430">
        <v>8.986066000104E12</v>
      </c>
      <c r="B3619" s="218" t="s">
        <v>4413</v>
      </c>
    </row>
    <row r="3620">
      <c r="A3620" s="430">
        <v>4.952814000187E12</v>
      </c>
      <c r="B3620" s="218" t="s">
        <v>4414</v>
      </c>
    </row>
    <row r="3621">
      <c r="A3621" s="430">
        <v>6.0973430001E12</v>
      </c>
      <c r="B3621" s="218" t="s">
        <v>4415</v>
      </c>
    </row>
    <row r="3622">
      <c r="A3622" s="430">
        <v>3.680486000144E12</v>
      </c>
      <c r="B3622" s="218" t="s">
        <v>4416</v>
      </c>
    </row>
    <row r="3623">
      <c r="A3623" s="430">
        <v>6.198811000125E12</v>
      </c>
      <c r="B3623" s="218" t="s">
        <v>4417</v>
      </c>
    </row>
    <row r="3624">
      <c r="A3624" s="430">
        <v>8.497435000103E12</v>
      </c>
      <c r="B3624" s="218" t="s">
        <v>4418</v>
      </c>
    </row>
    <row r="3625">
      <c r="A3625" s="430">
        <v>5.4561071000192E13</v>
      </c>
      <c r="B3625" s="218" t="s">
        <v>4419</v>
      </c>
    </row>
    <row r="3626">
      <c r="A3626" s="430">
        <v>5.159145000234E12</v>
      </c>
      <c r="B3626" s="218" t="s">
        <v>4420</v>
      </c>
    </row>
    <row r="3627">
      <c r="A3627" s="430">
        <v>7.83093000178E11</v>
      </c>
      <c r="B3627" s="218" t="s">
        <v>4421</v>
      </c>
    </row>
    <row r="3628">
      <c r="A3628" s="430">
        <v>6.8802560000101E13</v>
      </c>
      <c r="B3628" s="218" t="s">
        <v>4422</v>
      </c>
    </row>
    <row r="3629">
      <c r="A3629" s="430">
        <v>8.3710103000172E13</v>
      </c>
      <c r="B3629" s="218" t="s">
        <v>4423</v>
      </c>
    </row>
    <row r="3630">
      <c r="A3630" s="430">
        <v>7.6323401000144E13</v>
      </c>
      <c r="B3630" s="218" t="s">
        <v>4424</v>
      </c>
    </row>
    <row r="3631">
      <c r="A3631" s="430">
        <v>1.13035000137E11</v>
      </c>
      <c r="B3631" s="218" t="s">
        <v>4425</v>
      </c>
    </row>
    <row r="3632">
      <c r="A3632" s="430">
        <v>7.673647000123E12</v>
      </c>
      <c r="B3632" s="218" t="s">
        <v>4426</v>
      </c>
    </row>
    <row r="3633">
      <c r="A3633" s="430">
        <v>8.133305600016E13</v>
      </c>
      <c r="B3633" s="218" t="s">
        <v>4427</v>
      </c>
    </row>
    <row r="3634">
      <c r="A3634" s="430">
        <v>8.932619000146E12</v>
      </c>
      <c r="B3634" s="218" t="s">
        <v>4428</v>
      </c>
    </row>
    <row r="3635">
      <c r="A3635" s="430">
        <v>7.856576000102E12</v>
      </c>
      <c r="B3635" s="218" t="s">
        <v>4429</v>
      </c>
    </row>
    <row r="3636">
      <c r="A3636" s="430">
        <v>4.595012000167E12</v>
      </c>
      <c r="B3636" s="218" t="s">
        <v>4430</v>
      </c>
    </row>
    <row r="3637">
      <c r="A3637" s="430">
        <v>7.633926000163E12</v>
      </c>
      <c r="B3637" s="218" t="s">
        <v>4431</v>
      </c>
    </row>
    <row r="3638">
      <c r="A3638" s="430">
        <v>5.141936000156E12</v>
      </c>
      <c r="B3638" s="218" t="s">
        <v>4432</v>
      </c>
    </row>
    <row r="3639">
      <c r="A3639" s="430">
        <v>3.774688000155E12</v>
      </c>
      <c r="B3639" s="218" t="s">
        <v>4433</v>
      </c>
    </row>
    <row r="3640">
      <c r="A3640" s="430">
        <v>4.53055800013E12</v>
      </c>
      <c r="B3640" s="218" t="s">
        <v>4434</v>
      </c>
    </row>
    <row r="3641">
      <c r="A3641" s="430">
        <v>3.170731000173E12</v>
      </c>
      <c r="B3641" s="218" t="s">
        <v>4435</v>
      </c>
    </row>
    <row r="3642">
      <c r="A3642" s="430">
        <v>8.332687000174E12</v>
      </c>
      <c r="B3642" s="218" t="s">
        <v>4436</v>
      </c>
    </row>
    <row r="3643">
      <c r="A3643" s="430">
        <v>3.3861000028E11</v>
      </c>
      <c r="B3643" s="218" t="s">
        <v>4437</v>
      </c>
    </row>
    <row r="3644">
      <c r="A3644" s="430">
        <v>8.3901298000138E13</v>
      </c>
      <c r="B3644" s="218" t="s">
        <v>4438</v>
      </c>
    </row>
    <row r="3645">
      <c r="A3645" s="430">
        <v>3.5101200016E11</v>
      </c>
      <c r="B3645" s="218" t="s">
        <v>4439</v>
      </c>
    </row>
    <row r="3646">
      <c r="A3646" s="430">
        <v>7.865937000179E12</v>
      </c>
      <c r="B3646" s="218" t="s">
        <v>4440</v>
      </c>
    </row>
    <row r="3647">
      <c r="A3647" s="430">
        <v>8.6965811000142E13</v>
      </c>
      <c r="B3647" s="218" t="s">
        <v>4441</v>
      </c>
    </row>
    <row r="3648">
      <c r="A3648" s="430">
        <v>9.196745000142E12</v>
      </c>
      <c r="B3648" s="218" t="s">
        <v>4442</v>
      </c>
    </row>
    <row r="3649">
      <c r="A3649" s="430">
        <v>5.057323000135E12</v>
      </c>
      <c r="B3649" s="218" t="s">
        <v>4443</v>
      </c>
    </row>
    <row r="3650">
      <c r="A3650" s="430">
        <v>7.9283461000179E13</v>
      </c>
      <c r="B3650" s="218" t="s">
        <v>4444</v>
      </c>
    </row>
    <row r="3651">
      <c r="A3651" s="430">
        <v>4.20605000018E12</v>
      </c>
      <c r="B3651" s="218" t="s">
        <v>4445</v>
      </c>
    </row>
    <row r="3652">
      <c r="A3652" s="430">
        <v>6.72231000141E11</v>
      </c>
      <c r="B3652" s="218" t="s">
        <v>4446</v>
      </c>
    </row>
    <row r="3653">
      <c r="A3653" s="430">
        <v>9.5844635000181E13</v>
      </c>
      <c r="B3653" s="218" t="s">
        <v>4447</v>
      </c>
    </row>
    <row r="3654">
      <c r="A3654" s="430">
        <v>2.690520000107E12</v>
      </c>
      <c r="B3654" s="218" t="s">
        <v>4448</v>
      </c>
    </row>
    <row r="3655">
      <c r="A3655" s="430">
        <v>7.58211000198E11</v>
      </c>
      <c r="B3655" s="218" t="s">
        <v>4449</v>
      </c>
    </row>
    <row r="3656">
      <c r="A3656" s="430">
        <v>7.509766000145E12</v>
      </c>
      <c r="B3656" s="218" t="s">
        <v>4450</v>
      </c>
    </row>
    <row r="3657">
      <c r="A3657" s="430">
        <v>8.984854302842E13</v>
      </c>
      <c r="B3657" s="218" t="s">
        <v>4451</v>
      </c>
    </row>
    <row r="3658">
      <c r="A3658" s="430">
        <v>7.549864000106E12</v>
      </c>
      <c r="B3658" s="218" t="s">
        <v>4452</v>
      </c>
    </row>
    <row r="3659">
      <c r="A3659" s="430">
        <v>3.961892000185E12</v>
      </c>
      <c r="B3659" s="218" t="s">
        <v>4453</v>
      </c>
    </row>
    <row r="3660">
      <c r="A3660" s="430">
        <v>2.395868000163E12</v>
      </c>
      <c r="B3660" s="218" t="s">
        <v>4454</v>
      </c>
    </row>
    <row r="3661">
      <c r="A3661" s="430">
        <v>8.602745000132E12</v>
      </c>
      <c r="B3661" s="218" t="s">
        <v>4455</v>
      </c>
    </row>
    <row r="3662">
      <c r="A3662" s="430">
        <v>7.914077000116E12</v>
      </c>
      <c r="B3662" s="218" t="s">
        <v>4456</v>
      </c>
    </row>
    <row r="3663">
      <c r="A3663" s="430">
        <v>8.30242570001E13</v>
      </c>
      <c r="B3663" s="218" t="s">
        <v>4457</v>
      </c>
    </row>
    <row r="3664">
      <c r="A3664" s="430">
        <v>3.1583520004E12</v>
      </c>
      <c r="B3664" s="218" t="s">
        <v>4458</v>
      </c>
    </row>
    <row r="3665">
      <c r="A3665" s="430">
        <v>4.608241000179E12</v>
      </c>
      <c r="B3665" s="218" t="s">
        <v>4459</v>
      </c>
    </row>
    <row r="3666">
      <c r="A3666" s="430">
        <v>8.3661074000104E13</v>
      </c>
      <c r="B3666" s="218" t="s">
        <v>4460</v>
      </c>
    </row>
    <row r="3667">
      <c r="A3667" s="430">
        <v>9.110734000106E12</v>
      </c>
      <c r="B3667" s="218" t="s">
        <v>4461</v>
      </c>
    </row>
    <row r="3668">
      <c r="A3668" s="430">
        <v>3.11127700018E12</v>
      </c>
      <c r="B3668" s="218" t="s">
        <v>4462</v>
      </c>
    </row>
    <row r="3669">
      <c r="A3669" s="430">
        <v>6.17300990001E12</v>
      </c>
      <c r="B3669" s="218" t="s">
        <v>4463</v>
      </c>
    </row>
    <row r="3670">
      <c r="A3670" s="430">
        <v>1.201421000143E12</v>
      </c>
      <c r="B3670" s="218" t="s">
        <v>4464</v>
      </c>
    </row>
    <row r="3671">
      <c r="A3671" s="430">
        <v>7.9886032000196E13</v>
      </c>
      <c r="B3671" s="218" t="s">
        <v>4465</v>
      </c>
    </row>
    <row r="3672">
      <c r="A3672" s="430">
        <v>5.824002000119E12</v>
      </c>
      <c r="B3672" s="218" t="s">
        <v>4466</v>
      </c>
    </row>
    <row r="3673">
      <c r="A3673" s="430">
        <v>5.249955000109E12</v>
      </c>
      <c r="B3673" s="218" t="s">
        <v>4467</v>
      </c>
    </row>
    <row r="3674">
      <c r="A3674" s="430">
        <v>1.0441410000121E13</v>
      </c>
      <c r="B3674" s="218" t="s">
        <v>4468</v>
      </c>
    </row>
    <row r="3675">
      <c r="A3675" s="430">
        <v>7.378527000101E12</v>
      </c>
      <c r="B3675" s="218" t="s">
        <v>4469</v>
      </c>
    </row>
    <row r="3676">
      <c r="A3676" s="430">
        <v>7.559099000196E12</v>
      </c>
      <c r="B3676" s="218" t="s">
        <v>4470</v>
      </c>
    </row>
    <row r="3677">
      <c r="A3677" s="430">
        <v>1.9904630000119E13</v>
      </c>
      <c r="B3677" s="218" t="s">
        <v>4471</v>
      </c>
    </row>
    <row r="3678">
      <c r="A3678" s="430">
        <v>1.286003000104E12</v>
      </c>
      <c r="B3678" s="218" t="s">
        <v>4472</v>
      </c>
    </row>
    <row r="3679">
      <c r="A3679" s="430">
        <v>7.2332687000174E13</v>
      </c>
      <c r="B3679" s="218" t="s">
        <v>4473</v>
      </c>
    </row>
    <row r="3680">
      <c r="A3680" s="430">
        <v>6.0500139000126E13</v>
      </c>
      <c r="B3680" s="218" t="s">
        <v>4474</v>
      </c>
    </row>
    <row r="3681">
      <c r="A3681" s="430">
        <v>2.91061000155E11</v>
      </c>
      <c r="B3681" s="218" t="s">
        <v>4475</v>
      </c>
    </row>
    <row r="3682">
      <c r="A3682" s="430">
        <v>9.51653200015E12</v>
      </c>
      <c r="B3682" s="218" t="s">
        <v>4476</v>
      </c>
    </row>
    <row r="3683">
      <c r="A3683" s="430">
        <v>8.2611815000252E13</v>
      </c>
      <c r="B3683" s="218" t="s">
        <v>4477</v>
      </c>
    </row>
    <row r="3684">
      <c r="A3684" s="430">
        <v>8.3948562000199E13</v>
      </c>
      <c r="B3684" s="218" t="s">
        <v>4478</v>
      </c>
    </row>
    <row r="3685">
      <c r="A3685" s="430">
        <v>6.36039487E8</v>
      </c>
      <c r="B3685" s="218" t="s">
        <v>4479</v>
      </c>
    </row>
    <row r="3686">
      <c r="A3686" s="430">
        <v>8.1627838000101E13</v>
      </c>
      <c r="B3686" s="218" t="s">
        <v>4480</v>
      </c>
    </row>
    <row r="3687">
      <c r="A3687" s="430">
        <v>8.3257295000103E13</v>
      </c>
      <c r="B3687" s="218" t="s">
        <v>4481</v>
      </c>
    </row>
    <row r="3688">
      <c r="A3688" s="430">
        <v>8.4683408000103E13</v>
      </c>
      <c r="B3688" s="218" t="s">
        <v>4482</v>
      </c>
    </row>
    <row r="3689">
      <c r="A3689" s="430">
        <v>7.6837285000181E13</v>
      </c>
      <c r="B3689" s="218" t="s">
        <v>2109</v>
      </c>
    </row>
    <row r="3690">
      <c r="A3690" s="430">
        <v>8.3876169000137E13</v>
      </c>
      <c r="B3690" s="218" t="s">
        <v>2158</v>
      </c>
    </row>
    <row r="3691">
      <c r="A3691" s="430">
        <v>9.2018019000183E13</v>
      </c>
      <c r="B3691" s="218" t="s">
        <v>4483</v>
      </c>
    </row>
    <row r="3692">
      <c r="A3692" s="430">
        <v>8.3024547000316E13</v>
      </c>
      <c r="B3692" s="218" t="s">
        <v>4484</v>
      </c>
    </row>
    <row r="3693">
      <c r="A3693" s="430">
        <v>7.5799000185E10</v>
      </c>
      <c r="B3693" s="218" t="s">
        <v>4485</v>
      </c>
    </row>
    <row r="3694">
      <c r="A3694" s="430">
        <v>4.7192091004831E13</v>
      </c>
      <c r="B3694" s="218" t="s">
        <v>4486</v>
      </c>
    </row>
    <row r="3695">
      <c r="A3695" s="430">
        <v>3.790019000177E12</v>
      </c>
      <c r="B3695" s="218" t="s">
        <v>4487</v>
      </c>
    </row>
    <row r="3696">
      <c r="A3696" s="430">
        <v>7.208362000111E12</v>
      </c>
      <c r="B3696" s="218" t="s">
        <v>4488</v>
      </c>
    </row>
    <row r="3697">
      <c r="A3697" s="430">
        <v>7208.0</v>
      </c>
      <c r="B3697" s="218" t="s">
        <v>4488</v>
      </c>
    </row>
    <row r="3698">
      <c r="A3698" s="430">
        <v>8.310545000141E12</v>
      </c>
      <c r="B3698" s="218" t="s">
        <v>4489</v>
      </c>
    </row>
    <row r="3699">
      <c r="A3699" s="430">
        <v>8.310545000106E12</v>
      </c>
      <c r="B3699" s="218" t="s">
        <v>4490</v>
      </c>
    </row>
    <row r="3700">
      <c r="A3700" s="430">
        <v>9.220115000166E12</v>
      </c>
      <c r="B3700" s="218" t="s">
        <v>4491</v>
      </c>
    </row>
    <row r="3701">
      <c r="A3701" s="430">
        <v>6.166965000135E12</v>
      </c>
      <c r="B3701" s="218" t="s">
        <v>4492</v>
      </c>
    </row>
    <row r="3702">
      <c r="A3702" s="430">
        <v>3.448836000141E12</v>
      </c>
      <c r="B3702" s="218" t="s">
        <v>4493</v>
      </c>
    </row>
    <row r="3703">
      <c r="A3703" s="430">
        <v>1.048598800018E13</v>
      </c>
      <c r="B3703" s="218" t="s">
        <v>4494</v>
      </c>
    </row>
    <row r="3704">
      <c r="A3704" s="430">
        <v>7.286014000162E12</v>
      </c>
      <c r="B3704" s="218" t="s">
        <v>4495</v>
      </c>
    </row>
    <row r="3705">
      <c r="A3705" s="430">
        <v>4.563256000168E12</v>
      </c>
      <c r="B3705" s="218" t="s">
        <v>4496</v>
      </c>
    </row>
    <row r="3706">
      <c r="A3706" s="430">
        <v>1.035235200016E13</v>
      </c>
      <c r="B3706" s="218" t="s">
        <v>4497</v>
      </c>
    </row>
    <row r="3707">
      <c r="A3707" s="430">
        <v>2.402629000193E12</v>
      </c>
      <c r="B3707" s="218" t="s">
        <v>4498</v>
      </c>
    </row>
    <row r="3708">
      <c r="A3708" s="430">
        <v>1.0381236000179E13</v>
      </c>
      <c r="B3708" s="218" t="s">
        <v>4499</v>
      </c>
    </row>
    <row r="3709">
      <c r="A3709" s="430">
        <v>2.096537000122E12</v>
      </c>
      <c r="B3709" s="218" t="s">
        <v>4500</v>
      </c>
    </row>
    <row r="3710">
      <c r="A3710" s="430">
        <v>7.705081000174E12</v>
      </c>
      <c r="B3710" s="218" t="s">
        <v>4501</v>
      </c>
    </row>
    <row r="3711">
      <c r="A3711" s="430">
        <v>3.94494012061E11</v>
      </c>
      <c r="B3711" s="218" t="s">
        <v>4502</v>
      </c>
    </row>
    <row r="3712">
      <c r="A3712" s="430">
        <v>9.28490400016E12</v>
      </c>
      <c r="B3712" s="218" t="s">
        <v>4503</v>
      </c>
    </row>
    <row r="3713">
      <c r="A3713" s="430">
        <v>2.686422000198E12</v>
      </c>
      <c r="B3713" s="218" t="s">
        <v>4504</v>
      </c>
    </row>
    <row r="3714">
      <c r="A3714" s="430">
        <v>5.937391000199E12</v>
      </c>
      <c r="B3714" s="218" t="s">
        <v>4505</v>
      </c>
    </row>
    <row r="3715">
      <c r="A3715" s="430">
        <v>4.355489000175E12</v>
      </c>
      <c r="B3715" s="218" t="s">
        <v>4506</v>
      </c>
    </row>
    <row r="3716">
      <c r="A3716" s="430">
        <v>9.153233000107E12</v>
      </c>
      <c r="B3716" s="218" t="s">
        <v>4507</v>
      </c>
    </row>
    <row r="3717">
      <c r="A3717" s="430">
        <v>4.1301341231E10</v>
      </c>
      <c r="B3717" s="218" t="s">
        <v>4508</v>
      </c>
    </row>
    <row r="3718">
      <c r="A3718" s="430">
        <v>3.3372251000156E13</v>
      </c>
      <c r="B3718" s="218" t="s">
        <v>4509</v>
      </c>
    </row>
    <row r="3719">
      <c r="A3719" s="430">
        <v>1.99390900015E12</v>
      </c>
      <c r="B3719" s="218" t="s">
        <v>4510</v>
      </c>
    </row>
    <row r="3720">
      <c r="A3720" s="430">
        <v>6.2136254000199E13</v>
      </c>
      <c r="B3720" s="218" t="s">
        <v>4511</v>
      </c>
    </row>
    <row r="3721">
      <c r="A3721" s="430">
        <v>7.589610000111E12</v>
      </c>
      <c r="B3721" s="218" t="s">
        <v>4512</v>
      </c>
    </row>
    <row r="3722">
      <c r="A3722" s="430">
        <v>8.288901000132E12</v>
      </c>
      <c r="B3722" s="218" t="s">
        <v>4513</v>
      </c>
    </row>
    <row r="3723">
      <c r="A3723" s="430">
        <v>2.7845200021E11</v>
      </c>
      <c r="B3723" s="218" t="s">
        <v>4514</v>
      </c>
    </row>
    <row r="3724">
      <c r="A3724" s="430">
        <v>8.1553109000158E13</v>
      </c>
      <c r="B3724" s="218" t="s">
        <v>4515</v>
      </c>
    </row>
    <row r="3725">
      <c r="A3725" s="430">
        <v>3.8764260001E12</v>
      </c>
      <c r="B3725" s="218" t="s">
        <v>4516</v>
      </c>
    </row>
    <row r="3726">
      <c r="A3726" s="430">
        <v>8.039907000176E12</v>
      </c>
      <c r="B3726" s="218" t="s">
        <v>4517</v>
      </c>
    </row>
    <row r="3727">
      <c r="A3727" s="430">
        <v>9.38744500014E12</v>
      </c>
      <c r="B3727" s="218" t="s">
        <v>4518</v>
      </c>
    </row>
    <row r="3728">
      <c r="A3728" s="430">
        <v>1.2014210001E10</v>
      </c>
      <c r="B3728" s="218" t="s">
        <v>4519</v>
      </c>
    </row>
    <row r="3729">
      <c r="A3729" s="430">
        <v>6.1730990001E12</v>
      </c>
      <c r="B3729" s="218" t="s">
        <v>4520</v>
      </c>
    </row>
    <row r="3730">
      <c r="A3730" s="430">
        <v>8.6445293000136E13</v>
      </c>
      <c r="B3730" s="218" t="s">
        <v>4521</v>
      </c>
    </row>
    <row r="3731">
      <c r="A3731" s="430">
        <v>7.988603200019E12</v>
      </c>
      <c r="B3731" s="218" t="s">
        <v>4522</v>
      </c>
    </row>
    <row r="3732">
      <c r="A3732" s="430">
        <v>7.1966436000188E13</v>
      </c>
      <c r="B3732" s="218" t="s">
        <v>4523</v>
      </c>
    </row>
    <row r="3733">
      <c r="A3733" s="430">
        <v>9.5676943000231E13</v>
      </c>
      <c r="B3733" s="218" t="s">
        <v>4524</v>
      </c>
    </row>
    <row r="3734">
      <c r="A3734" s="430">
        <v>6.2500855000139E13</v>
      </c>
      <c r="B3734" s="218" t="s">
        <v>4525</v>
      </c>
    </row>
    <row r="3735">
      <c r="A3735" s="430">
        <v>1.0805893000104E13</v>
      </c>
      <c r="B3735" s="218" t="s">
        <v>4526</v>
      </c>
    </row>
    <row r="3736">
      <c r="A3736" s="430">
        <v>8.2827999000101E13</v>
      </c>
      <c r="B3736" s="218" t="s">
        <v>4527</v>
      </c>
    </row>
    <row r="3737">
      <c r="A3737" s="430">
        <v>1.8720938000141E13</v>
      </c>
      <c r="B3737" s="218" t="s">
        <v>4528</v>
      </c>
    </row>
    <row r="3738">
      <c r="A3738" s="430">
        <v>5.557940000108E12</v>
      </c>
      <c r="B3738" s="218" t="s">
        <v>4529</v>
      </c>
    </row>
    <row r="3739">
      <c r="A3739" s="430">
        <v>3.7079720000102E13</v>
      </c>
      <c r="B3739" s="218" t="s">
        <v>4530</v>
      </c>
    </row>
    <row r="3740">
      <c r="A3740" s="430">
        <v>5.415969000147E12</v>
      </c>
      <c r="B3740" s="218" t="s">
        <v>4531</v>
      </c>
    </row>
    <row r="3741">
      <c r="A3741" s="430">
        <v>6.263989000102E12</v>
      </c>
      <c r="B3741" s="218" t="s">
        <v>4532</v>
      </c>
    </row>
    <row r="3742">
      <c r="A3742" s="430">
        <v>7.8219367000198E13</v>
      </c>
      <c r="B3742" s="218" t="s">
        <v>4533</v>
      </c>
    </row>
    <row r="3743">
      <c r="A3743" s="430">
        <v>4.159006000167E12</v>
      </c>
      <c r="B3743" s="218" t="s">
        <v>4534</v>
      </c>
    </row>
    <row r="3744">
      <c r="A3744" s="430">
        <v>9.5855227000125E13</v>
      </c>
      <c r="B3744" s="218" t="s">
        <v>4535</v>
      </c>
    </row>
    <row r="3745">
      <c r="A3745" s="430">
        <v>8.80406900018E12</v>
      </c>
      <c r="B3745" s="218" t="s">
        <v>4536</v>
      </c>
    </row>
    <row r="3746">
      <c r="A3746" s="430">
        <v>4.145696000103E12</v>
      </c>
      <c r="B3746" s="218" t="s">
        <v>4537</v>
      </c>
    </row>
    <row r="3747">
      <c r="A3747" s="430">
        <v>177105.0</v>
      </c>
      <c r="B3747" s="218" t="s">
        <v>1455</v>
      </c>
    </row>
    <row r="3748">
      <c r="A3748" s="430">
        <v>7.38997900018E12</v>
      </c>
      <c r="B3748" s="218" t="s">
        <v>4538</v>
      </c>
    </row>
    <row r="3749">
      <c r="A3749" s="430">
        <v>7.109722000128E12</v>
      </c>
      <c r="B3749" s="218" t="s">
        <v>4539</v>
      </c>
    </row>
    <row r="3750">
      <c r="A3750" s="430">
        <v>5.07638000113E11</v>
      </c>
      <c r="B3750" s="218" t="s">
        <v>4540</v>
      </c>
    </row>
    <row r="3751">
      <c r="A3751" s="430">
        <v>7.774090000117E12</v>
      </c>
      <c r="B3751" s="218" t="s">
        <v>4541</v>
      </c>
    </row>
    <row r="3752">
      <c r="A3752" s="430">
        <v>1.0364152000127E13</v>
      </c>
      <c r="B3752" s="218" t="s">
        <v>4542</v>
      </c>
    </row>
    <row r="3753">
      <c r="A3753" s="430">
        <v>4.1639730001E12</v>
      </c>
      <c r="B3753" s="218" t="s">
        <v>4543</v>
      </c>
    </row>
    <row r="3754">
      <c r="A3754" s="430">
        <v>3.515060000135E12</v>
      </c>
      <c r="B3754" s="218" t="s">
        <v>4544</v>
      </c>
    </row>
    <row r="3755">
      <c r="A3755" s="430">
        <v>7.70431100018E12</v>
      </c>
      <c r="B3755" s="218" t="s">
        <v>4545</v>
      </c>
    </row>
    <row r="3756">
      <c r="A3756" s="430">
        <v>8.595644000181E12</v>
      </c>
      <c r="B3756" s="218" t="s">
        <v>4546</v>
      </c>
    </row>
    <row r="3757">
      <c r="A3757" s="430">
        <v>1.22327000136E11</v>
      </c>
      <c r="B3757" s="218" t="s">
        <v>4547</v>
      </c>
    </row>
    <row r="3758">
      <c r="A3758" s="430">
        <v>3.158352000168E12</v>
      </c>
      <c r="B3758" s="218" t="s">
        <v>4548</v>
      </c>
    </row>
    <row r="3759">
      <c r="A3759" s="430">
        <v>7.145149000108E12</v>
      </c>
      <c r="B3759" s="218" t="s">
        <v>4549</v>
      </c>
    </row>
    <row r="3760">
      <c r="A3760" s="430">
        <v>6.37929000126E11</v>
      </c>
      <c r="B3760" s="218" t="s">
        <v>4550</v>
      </c>
    </row>
    <row r="3761">
      <c r="A3761" s="430">
        <v>3.039126000168E12</v>
      </c>
      <c r="B3761" s="218" t="s">
        <v>4551</v>
      </c>
    </row>
    <row r="3762">
      <c r="A3762" s="430">
        <v>7.208484000108E12</v>
      </c>
      <c r="B3762" s="218" t="s">
        <v>4552</v>
      </c>
    </row>
    <row r="3763">
      <c r="A3763" s="430">
        <v>8.3201640000197E13</v>
      </c>
      <c r="B3763" s="218" t="s">
        <v>4553</v>
      </c>
    </row>
    <row r="3764">
      <c r="A3764" s="430">
        <v>3.420926000124E12</v>
      </c>
      <c r="B3764" s="218" t="s">
        <v>4554</v>
      </c>
    </row>
    <row r="3765">
      <c r="A3765" s="430">
        <v>3.489027000188E12</v>
      </c>
      <c r="B3765" s="218" t="s">
        <v>4555</v>
      </c>
    </row>
    <row r="3766">
      <c r="A3766" s="430">
        <v>1.542282000111E12</v>
      </c>
      <c r="B3766" s="218" t="s">
        <v>4556</v>
      </c>
    </row>
    <row r="3767">
      <c r="A3767" s="430">
        <v>8.829140000189E12</v>
      </c>
      <c r="B3767" s="218" t="s">
        <v>4557</v>
      </c>
    </row>
    <row r="3768">
      <c r="A3768" s="430">
        <v>7.3781361000196E13</v>
      </c>
      <c r="B3768" s="218" t="s">
        <v>4558</v>
      </c>
    </row>
    <row r="3769">
      <c r="A3769" s="430">
        <v>8.044656000118E12</v>
      </c>
      <c r="B3769" s="218" t="s">
        <v>4559</v>
      </c>
    </row>
    <row r="3770">
      <c r="A3770" s="430">
        <v>9.372774000118E12</v>
      </c>
      <c r="B3770" s="218" t="s">
        <v>4560</v>
      </c>
    </row>
    <row r="3771">
      <c r="A3771" s="430">
        <v>3.851695000103E12</v>
      </c>
      <c r="B3771" s="218" t="s">
        <v>4561</v>
      </c>
    </row>
    <row r="3772">
      <c r="A3772" s="430">
        <v>1.0678250000139E13</v>
      </c>
      <c r="B3772" s="218" t="s">
        <v>4562</v>
      </c>
    </row>
    <row r="3773">
      <c r="A3773" s="430">
        <v>8.5291698000102E13</v>
      </c>
      <c r="B3773" s="218" t="s">
        <v>4563</v>
      </c>
    </row>
    <row r="3774">
      <c r="A3774" s="430">
        <v>2.74770200024E12</v>
      </c>
      <c r="B3774" s="218" t="s">
        <v>4564</v>
      </c>
    </row>
    <row r="3775">
      <c r="A3775" s="430">
        <v>3.444743000149E12</v>
      </c>
      <c r="B3775" s="218" t="s">
        <v>4565</v>
      </c>
    </row>
    <row r="3776">
      <c r="A3776" s="430">
        <v>8.094603000101E12</v>
      </c>
      <c r="B3776" s="218" t="s">
        <v>4566</v>
      </c>
    </row>
    <row r="3777">
      <c r="A3777" s="430">
        <v>6.105781000165E12</v>
      </c>
      <c r="B3777" s="218" t="s">
        <v>4567</v>
      </c>
    </row>
    <row r="3778">
      <c r="A3778" s="430">
        <v>9.17820600018E12</v>
      </c>
      <c r="B3778" s="218" t="s">
        <v>4568</v>
      </c>
    </row>
    <row r="3779">
      <c r="A3779" s="430">
        <v>4.535084000102E12</v>
      </c>
      <c r="B3779" s="218" t="s">
        <v>4569</v>
      </c>
    </row>
    <row r="3780">
      <c r="A3780" s="430">
        <v>9.588954000131E12</v>
      </c>
      <c r="B3780" s="218" t="s">
        <v>4570</v>
      </c>
    </row>
    <row r="3781">
      <c r="A3781" s="430">
        <v>7.2982900012E11</v>
      </c>
      <c r="B3781" s="218" t="s">
        <v>4571</v>
      </c>
    </row>
    <row r="3782">
      <c r="A3782" s="430">
        <v>7.612050000179E12</v>
      </c>
      <c r="B3782" s="218" t="s">
        <v>4572</v>
      </c>
    </row>
    <row r="3783">
      <c r="A3783" s="430">
        <v>5.9588111000103E13</v>
      </c>
      <c r="B3783" s="218" t="s">
        <v>4573</v>
      </c>
    </row>
    <row r="3784">
      <c r="A3784" s="430">
        <v>8.0118235000111E13</v>
      </c>
      <c r="B3784" s="218" t="s">
        <v>4574</v>
      </c>
    </row>
    <row r="3785">
      <c r="A3785" s="430">
        <v>8.5388320000113E13</v>
      </c>
      <c r="B3785" s="218" t="s">
        <v>4575</v>
      </c>
    </row>
    <row r="3786">
      <c r="A3786" s="430">
        <v>1.0842415000166E13</v>
      </c>
      <c r="B3786" s="218" t="s">
        <v>4576</v>
      </c>
    </row>
    <row r="3787">
      <c r="A3787" s="430">
        <v>3.079229000151E12</v>
      </c>
      <c r="B3787" s="218" t="s">
        <v>4577</v>
      </c>
    </row>
    <row r="3788">
      <c r="A3788" s="430">
        <v>5.445450000101E12</v>
      </c>
      <c r="B3788" s="218" t="s">
        <v>4578</v>
      </c>
    </row>
    <row r="3789">
      <c r="A3789" s="430">
        <v>8.5249746000196E13</v>
      </c>
      <c r="B3789" s="218" t="s">
        <v>4579</v>
      </c>
    </row>
    <row r="3790">
      <c r="A3790" s="430">
        <v>7.943270000185E12</v>
      </c>
      <c r="B3790" s="218" t="s">
        <v>4580</v>
      </c>
    </row>
    <row r="3791">
      <c r="A3791" s="430">
        <v>6.162191000174E12</v>
      </c>
      <c r="B3791" s="218" t="s">
        <v>4581</v>
      </c>
    </row>
    <row r="3792">
      <c r="A3792" s="430">
        <v>6.282459000101E12</v>
      </c>
      <c r="B3792" s="218" t="s">
        <v>4582</v>
      </c>
    </row>
    <row r="3793">
      <c r="A3793" s="430">
        <v>8.4965706000188E13</v>
      </c>
      <c r="B3793" s="218" t="s">
        <v>4583</v>
      </c>
    </row>
    <row r="3794">
      <c r="A3794" s="430">
        <v>8.978150000186E12</v>
      </c>
      <c r="B3794" s="218" t="s">
        <v>4584</v>
      </c>
    </row>
    <row r="3795">
      <c r="A3795" s="430">
        <v>3.22533100012E12</v>
      </c>
      <c r="B3795" s="218" t="s">
        <v>4585</v>
      </c>
    </row>
    <row r="3796">
      <c r="A3796" s="430">
        <v>6.0730890001E12</v>
      </c>
      <c r="B3796" s="218" t="s">
        <v>4586</v>
      </c>
    </row>
    <row r="3797">
      <c r="A3797" s="430">
        <v>7.2783517000105E13</v>
      </c>
      <c r="B3797" s="218" t="s">
        <v>4587</v>
      </c>
    </row>
    <row r="3798">
      <c r="A3798" s="430">
        <v>7.641302000198E12</v>
      </c>
      <c r="B3798" s="218" t="s">
        <v>4588</v>
      </c>
    </row>
    <row r="3799">
      <c r="A3799" s="430">
        <v>7.171299000196E12</v>
      </c>
      <c r="B3799" s="218" t="s">
        <v>4589</v>
      </c>
    </row>
    <row r="3800">
      <c r="A3800" s="430">
        <v>7.797967000195E12</v>
      </c>
      <c r="B3800" s="218" t="s">
        <v>4590</v>
      </c>
    </row>
    <row r="3801">
      <c r="A3801" s="430">
        <v>8.586175000134E12</v>
      </c>
      <c r="B3801" s="218" t="s">
        <v>4591</v>
      </c>
    </row>
    <row r="3802">
      <c r="A3802" s="430">
        <v>8.0150899000168E13</v>
      </c>
      <c r="B3802" s="218" t="s">
        <v>4592</v>
      </c>
    </row>
    <row r="3803">
      <c r="A3803" s="430">
        <v>8.2858903000172E13</v>
      </c>
      <c r="B3803" s="218" t="s">
        <v>4593</v>
      </c>
    </row>
    <row r="3804">
      <c r="A3804" s="430">
        <v>8.3843912000152E13</v>
      </c>
      <c r="B3804" s="218" t="s">
        <v>4594</v>
      </c>
    </row>
    <row r="3805">
      <c r="A3805" s="430">
        <v>3.420926000639E12</v>
      </c>
      <c r="B3805" s="218" t="s">
        <v>4554</v>
      </c>
    </row>
    <row r="3806">
      <c r="A3806" s="430">
        <v>7.443648000181E12</v>
      </c>
      <c r="B3806" s="218" t="s">
        <v>4595</v>
      </c>
    </row>
    <row r="3807">
      <c r="A3807" s="430">
        <v>1.648513000176E12</v>
      </c>
      <c r="B3807" s="218" t="s">
        <v>4596</v>
      </c>
    </row>
    <row r="3808">
      <c r="A3808" s="430">
        <v>9.9836500000164E13</v>
      </c>
      <c r="B3808" s="218" t="s">
        <v>4597</v>
      </c>
    </row>
    <row r="3809">
      <c r="A3809" s="430">
        <v>6.316055000191E12</v>
      </c>
      <c r="B3809" s="218" t="s">
        <v>4598</v>
      </c>
    </row>
    <row r="3810">
      <c r="A3810" s="430">
        <v>5.968162000131E12</v>
      </c>
      <c r="B3810" s="218" t="s">
        <v>4599</v>
      </c>
    </row>
    <row r="3811">
      <c r="A3811" s="430">
        <v>1.427232000193E12</v>
      </c>
      <c r="B3811" s="218" t="s">
        <v>4600</v>
      </c>
    </row>
    <row r="3812">
      <c r="A3812" s="430">
        <v>7.9065181002138E13</v>
      </c>
      <c r="B3812" s="218" t="s">
        <v>4601</v>
      </c>
    </row>
    <row r="3813">
      <c r="A3813" s="430">
        <v>7.261562000138E12</v>
      </c>
      <c r="B3813" s="218" t="s">
        <v>4602</v>
      </c>
    </row>
    <row r="3814">
      <c r="A3814" s="430">
        <v>5.412947000123E12</v>
      </c>
      <c r="B3814" s="218" t="s">
        <v>4603</v>
      </c>
    </row>
    <row r="3815">
      <c r="A3815" s="430">
        <v>3.377448000117E12</v>
      </c>
      <c r="B3815" s="218" t="s">
        <v>4604</v>
      </c>
    </row>
    <row r="3816">
      <c r="A3816" s="430">
        <v>5.4097159000286E13</v>
      </c>
      <c r="B3816" s="218" t="s">
        <v>4605</v>
      </c>
    </row>
    <row r="3817">
      <c r="A3817" s="430">
        <v>4.068303000105E12</v>
      </c>
      <c r="B3817" s="218" t="s">
        <v>4606</v>
      </c>
    </row>
    <row r="3818">
      <c r="A3818" s="430">
        <v>5.9391698000166E13</v>
      </c>
      <c r="B3818" s="218" t="s">
        <v>4607</v>
      </c>
    </row>
    <row r="3819">
      <c r="A3819" s="430">
        <v>4.083872000111E12</v>
      </c>
      <c r="B3819" s="218" t="s">
        <v>4608</v>
      </c>
    </row>
    <row r="3820">
      <c r="A3820" s="430">
        <v>4.435721000185E12</v>
      </c>
      <c r="B3820" s="218" t="s">
        <v>4609</v>
      </c>
    </row>
    <row r="3821">
      <c r="A3821" s="430">
        <v>3.197422000197E12</v>
      </c>
      <c r="B3821" s="218" t="s">
        <v>4610</v>
      </c>
    </row>
    <row r="3822">
      <c r="A3822" s="430">
        <v>1.0721560000199E13</v>
      </c>
      <c r="B3822" s="218" t="s">
        <v>4611</v>
      </c>
    </row>
    <row r="3823">
      <c r="A3823" s="430">
        <v>5.948842000193E12</v>
      </c>
      <c r="B3823" s="218" t="s">
        <v>4612</v>
      </c>
    </row>
    <row r="3824">
      <c r="A3824" s="430">
        <v>1.0014233000105E13</v>
      </c>
      <c r="B3824" s="218" t="s">
        <v>4613</v>
      </c>
    </row>
    <row r="3825">
      <c r="A3825" s="430">
        <v>1.231832000181E12</v>
      </c>
      <c r="B3825" s="218" t="s">
        <v>4614</v>
      </c>
    </row>
    <row r="3826">
      <c r="A3826" s="430">
        <v>3.92533100012E12</v>
      </c>
      <c r="B3826" s="218" t="s">
        <v>4585</v>
      </c>
    </row>
    <row r="3827">
      <c r="A3827" s="430">
        <v>4.833048000131E12</v>
      </c>
      <c r="B3827" s="218" t="s">
        <v>4615</v>
      </c>
    </row>
    <row r="3828">
      <c r="A3828" s="430">
        <v>7.62199000276E11</v>
      </c>
      <c r="B3828" s="218" t="s">
        <v>4616</v>
      </c>
    </row>
    <row r="3829">
      <c r="A3829" s="430">
        <v>2.6990812000115E13</v>
      </c>
      <c r="B3829" s="218" t="s">
        <v>4617</v>
      </c>
    </row>
    <row r="3830">
      <c r="A3830" s="430">
        <v>1.0517974000109E13</v>
      </c>
      <c r="B3830" s="218" t="s">
        <v>4618</v>
      </c>
    </row>
    <row r="3831">
      <c r="A3831" s="430">
        <v>4.558476000101E12</v>
      </c>
      <c r="B3831" s="218" t="s">
        <v>4619</v>
      </c>
    </row>
    <row r="3832">
      <c r="A3832" s="430">
        <v>5.6992902000106E13</v>
      </c>
      <c r="B3832" s="218" t="s">
        <v>4620</v>
      </c>
    </row>
    <row r="3833">
      <c r="A3833" s="430">
        <v>8.5481851000156E13</v>
      </c>
      <c r="B3833" s="218" t="s">
        <v>4621</v>
      </c>
    </row>
    <row r="3834">
      <c r="A3834" s="430">
        <v>3.068775000197E12</v>
      </c>
      <c r="B3834" s="218" t="s">
        <v>4622</v>
      </c>
    </row>
    <row r="3835">
      <c r="A3835" s="430">
        <v>8.333934000157E12</v>
      </c>
      <c r="B3835" s="218" t="s">
        <v>4623</v>
      </c>
    </row>
    <row r="3836">
      <c r="A3836" s="430">
        <v>8.285684000127E12</v>
      </c>
      <c r="B3836" s="218" t="s">
        <v>4624</v>
      </c>
    </row>
    <row r="3837">
      <c r="A3837" s="430">
        <v>3.761248000163E12</v>
      </c>
      <c r="B3837" s="218" t="s">
        <v>4625</v>
      </c>
    </row>
    <row r="3838">
      <c r="A3838" s="430">
        <v>6.9621000121E10</v>
      </c>
      <c r="B3838" s="218" t="s">
        <v>4626</v>
      </c>
    </row>
    <row r="3839">
      <c r="A3839" s="430">
        <v>1.01129400011E12</v>
      </c>
      <c r="B3839" s="218" t="s">
        <v>4627</v>
      </c>
    </row>
    <row r="3840">
      <c r="A3840" s="430">
        <v>9.2751213000173E13</v>
      </c>
      <c r="B3840" s="218" t="s">
        <v>4628</v>
      </c>
    </row>
    <row r="3841">
      <c r="A3841" s="430">
        <v>1.4388334000199E13</v>
      </c>
      <c r="B3841" s="218" t="s">
        <v>4629</v>
      </c>
    </row>
    <row r="3842">
      <c r="A3842" s="430">
        <v>1.23673900016E12</v>
      </c>
      <c r="B3842" s="218" t="s">
        <v>4630</v>
      </c>
    </row>
    <row r="3843">
      <c r="A3843" s="430">
        <v>7.55487500001E13</v>
      </c>
      <c r="B3843" s="218" t="s">
        <v>4631</v>
      </c>
    </row>
    <row r="3844">
      <c r="A3844" s="430">
        <v>3.594924000151E12</v>
      </c>
      <c r="B3844" s="218" t="s">
        <v>4632</v>
      </c>
    </row>
    <row r="3845">
      <c r="A3845" s="430">
        <v>1.177513000135E12</v>
      </c>
      <c r="B3845" s="218" t="s">
        <v>4633</v>
      </c>
    </row>
    <row r="3846">
      <c r="A3846" s="430">
        <v>1.0771531000131E13</v>
      </c>
      <c r="B3846" s="218" t="s">
        <v>4634</v>
      </c>
    </row>
    <row r="3847">
      <c r="A3847" s="430">
        <v>5.44934700013E12</v>
      </c>
      <c r="B3847" s="218" t="s">
        <v>4635</v>
      </c>
    </row>
    <row r="3848">
      <c r="A3848" s="430">
        <v>8.544323000158E12</v>
      </c>
      <c r="B3848" s="218" t="s">
        <v>4636</v>
      </c>
    </row>
    <row r="3849">
      <c r="A3849" s="430">
        <v>8.6715380000166E13</v>
      </c>
      <c r="B3849" s="218" t="s">
        <v>4637</v>
      </c>
    </row>
    <row r="3850">
      <c r="A3850" s="430">
        <v>5.114599000108E12</v>
      </c>
      <c r="B3850" s="218" t="s">
        <v>4638</v>
      </c>
    </row>
    <row r="3851">
      <c r="A3851" s="430">
        <v>1.115345000153E12</v>
      </c>
      <c r="B3851" s="218" t="s">
        <v>4639</v>
      </c>
    </row>
    <row r="3852">
      <c r="A3852" s="430">
        <v>1.231652000108E12</v>
      </c>
      <c r="B3852" s="218" t="s">
        <v>4640</v>
      </c>
    </row>
    <row r="3853">
      <c r="A3853" s="430">
        <v>2.39236400019E12</v>
      </c>
      <c r="B3853" s="218" t="s">
        <v>4641</v>
      </c>
    </row>
    <row r="3854">
      <c r="A3854" s="430">
        <v>3.517181000116E12</v>
      </c>
      <c r="B3854" s="218" t="s">
        <v>4642</v>
      </c>
    </row>
    <row r="3855">
      <c r="A3855" s="430">
        <v>9.054830000176E12</v>
      </c>
      <c r="B3855" s="218" t="s">
        <v>4643</v>
      </c>
    </row>
    <row r="3856">
      <c r="A3856" s="430">
        <v>9.003263000129E12</v>
      </c>
      <c r="B3856" s="218" t="s">
        <v>4644</v>
      </c>
    </row>
    <row r="3857">
      <c r="A3857" s="430">
        <v>5.293074000187E12</v>
      </c>
      <c r="B3857" s="218" t="s">
        <v>4645</v>
      </c>
    </row>
    <row r="3858">
      <c r="A3858" s="430">
        <v>9.095664000156E12</v>
      </c>
      <c r="B3858" s="218" t="s">
        <v>4646</v>
      </c>
    </row>
    <row r="3859">
      <c r="A3859" s="430">
        <v>8.289097000106E12</v>
      </c>
      <c r="B3859" s="218" t="s">
        <v>4647</v>
      </c>
    </row>
    <row r="3860">
      <c r="A3860" s="430">
        <v>1.1012189000159E13</v>
      </c>
      <c r="B3860" s="218" t="s">
        <v>4648</v>
      </c>
    </row>
    <row r="3861">
      <c r="A3861" s="430">
        <v>6.346532000161E12</v>
      </c>
      <c r="B3861" s="218" t="s">
        <v>4649</v>
      </c>
    </row>
    <row r="3862">
      <c r="A3862" s="430">
        <v>3.928511000166E12</v>
      </c>
      <c r="B3862" s="218" t="s">
        <v>4650</v>
      </c>
    </row>
    <row r="3863">
      <c r="A3863" s="430">
        <v>8.6843190000124E13</v>
      </c>
      <c r="B3863" s="218" t="s">
        <v>4651</v>
      </c>
    </row>
    <row r="3864">
      <c r="A3864" s="430">
        <v>4.602789000101E12</v>
      </c>
      <c r="B3864" s="218" t="s">
        <v>4652</v>
      </c>
    </row>
    <row r="3865">
      <c r="A3865" s="430">
        <v>2.0081724000114E13</v>
      </c>
      <c r="B3865" s="218" t="s">
        <v>4653</v>
      </c>
    </row>
    <row r="3866">
      <c r="A3866" s="430">
        <v>6.177718000134E12</v>
      </c>
      <c r="B3866" s="218" t="s">
        <v>4654</v>
      </c>
    </row>
    <row r="3867">
      <c r="A3867" s="430">
        <v>2.945521000147E12</v>
      </c>
      <c r="B3867" s="218" t="s">
        <v>4655</v>
      </c>
    </row>
    <row r="3868">
      <c r="A3868" s="430">
        <v>1.0470058000108E13</v>
      </c>
      <c r="B3868" s="218" t="s">
        <v>4656</v>
      </c>
    </row>
    <row r="3869">
      <c r="A3869" s="430">
        <v>5.9901066000103E13</v>
      </c>
      <c r="B3869" s="218" t="s">
        <v>4657</v>
      </c>
    </row>
    <row r="3870">
      <c r="A3870" s="430">
        <v>9.252997000141E12</v>
      </c>
      <c r="B3870" s="218" t="s">
        <v>4658</v>
      </c>
    </row>
    <row r="3871">
      <c r="A3871" s="430">
        <v>2.8015634000137E13</v>
      </c>
      <c r="B3871" s="218" t="s">
        <v>4659</v>
      </c>
    </row>
    <row r="3872">
      <c r="A3872" s="430">
        <v>3.938048000133E12</v>
      </c>
      <c r="B3872" s="218" t="s">
        <v>4660</v>
      </c>
    </row>
    <row r="3873">
      <c r="A3873" s="430">
        <v>8.259934000154E12</v>
      </c>
      <c r="B3873" s="218" t="s">
        <v>4661</v>
      </c>
    </row>
    <row r="3874">
      <c r="A3874" s="430">
        <v>1.3107281000128E13</v>
      </c>
      <c r="B3874" s="218" t="s">
        <v>4662</v>
      </c>
    </row>
    <row r="3875">
      <c r="A3875" s="430">
        <v>2.283886000153E12</v>
      </c>
      <c r="B3875" s="218" t="s">
        <v>4663</v>
      </c>
    </row>
    <row r="3876">
      <c r="A3876" s="430">
        <v>3.33145160001E12</v>
      </c>
      <c r="B3876" s="218" t="s">
        <v>4664</v>
      </c>
    </row>
    <row r="3877">
      <c r="A3877" s="430">
        <v>5.023956000122E12</v>
      </c>
      <c r="B3877" s="218" t="s">
        <v>4665</v>
      </c>
    </row>
    <row r="3878">
      <c r="A3878" s="430">
        <v>4.6699211000165E13</v>
      </c>
      <c r="B3878" s="218" t="s">
        <v>4666</v>
      </c>
    </row>
    <row r="3879">
      <c r="A3879" s="430">
        <v>1.5089560000131E13</v>
      </c>
      <c r="B3879" s="218" t="s">
        <v>4667</v>
      </c>
    </row>
    <row r="3880">
      <c r="A3880" s="430">
        <v>1.241319700017E13</v>
      </c>
      <c r="B3880" s="218" t="s">
        <v>4668</v>
      </c>
    </row>
    <row r="3881">
      <c r="A3881" s="430">
        <v>2.383117000127E12</v>
      </c>
      <c r="B3881" s="218" t="s">
        <v>4669</v>
      </c>
    </row>
    <row r="3882">
      <c r="A3882" s="430">
        <v>8.515604000018E13</v>
      </c>
      <c r="B3882" s="218" t="s">
        <v>4670</v>
      </c>
    </row>
    <row r="3883">
      <c r="A3883" s="430">
        <v>8.598186000134E12</v>
      </c>
      <c r="B3883" s="218" t="s">
        <v>4671</v>
      </c>
    </row>
    <row r="3884">
      <c r="A3884" s="430">
        <v>1.619385000132E12</v>
      </c>
      <c r="B3884" s="218" t="s">
        <v>4672</v>
      </c>
    </row>
    <row r="3885">
      <c r="A3885" s="430">
        <v>4.799835000104E12</v>
      </c>
      <c r="B3885" s="218" t="s">
        <v>4673</v>
      </c>
    </row>
    <row r="3886">
      <c r="A3886" s="430">
        <v>7.442865700019E13</v>
      </c>
      <c r="B3886" s="218" t="s">
        <v>4674</v>
      </c>
    </row>
    <row r="3887">
      <c r="A3887" s="430">
        <v>2.6989715004361E13</v>
      </c>
      <c r="B3887" s="218" t="s">
        <v>2873</v>
      </c>
    </row>
    <row r="3888">
      <c r="A3888" s="430">
        <v>1.1041213000188E13</v>
      </c>
      <c r="B3888" s="218" t="s">
        <v>4675</v>
      </c>
    </row>
    <row r="3889">
      <c r="A3889" s="430">
        <v>1.4103610000125E13</v>
      </c>
      <c r="B3889" s="218" t="s">
        <v>4676</v>
      </c>
    </row>
    <row r="3890">
      <c r="A3890" s="430">
        <v>2.834470000186E12</v>
      </c>
      <c r="B3890" s="218" t="s">
        <v>4677</v>
      </c>
    </row>
    <row r="3891">
      <c r="A3891" s="430">
        <v>1.1382541000148E13</v>
      </c>
      <c r="B3891" s="218" t="s">
        <v>4678</v>
      </c>
    </row>
    <row r="3892">
      <c r="A3892" s="430">
        <v>7.544391000154E12</v>
      </c>
      <c r="B3892" s="218" t="s">
        <v>4679</v>
      </c>
    </row>
    <row r="3893">
      <c r="A3893" s="430">
        <v>1.43970000146E11</v>
      </c>
      <c r="B3893" s="218" t="s">
        <v>4680</v>
      </c>
    </row>
    <row r="3894">
      <c r="A3894" s="430">
        <v>5.899867000144E12</v>
      </c>
      <c r="B3894" s="218" t="s">
        <v>4681</v>
      </c>
    </row>
    <row r="3895">
      <c r="A3895" s="430">
        <v>4.95124000195E11</v>
      </c>
      <c r="B3895" s="218" t="s">
        <v>4682</v>
      </c>
    </row>
    <row r="3896">
      <c r="A3896" s="430">
        <v>3.989599000126E12</v>
      </c>
      <c r="B3896" s="218" t="s">
        <v>4683</v>
      </c>
    </row>
    <row r="3897">
      <c r="A3897" s="430">
        <v>8.92265300013E12</v>
      </c>
      <c r="B3897" s="218" t="s">
        <v>4684</v>
      </c>
    </row>
    <row r="3898">
      <c r="A3898" s="430">
        <v>8.873392000105E12</v>
      </c>
      <c r="B3898" s="218" t="s">
        <v>4685</v>
      </c>
    </row>
    <row r="3899">
      <c r="A3899" s="430">
        <v>3.454049000102E12</v>
      </c>
      <c r="B3899" s="218" t="s">
        <v>4686</v>
      </c>
    </row>
    <row r="3900">
      <c r="A3900" s="430">
        <v>1.3729372000103E13</v>
      </c>
      <c r="B3900" s="218" t="s">
        <v>4687</v>
      </c>
    </row>
    <row r="3901">
      <c r="A3901" s="430">
        <v>2.195059000108E12</v>
      </c>
      <c r="B3901" s="218" t="s">
        <v>4688</v>
      </c>
    </row>
    <row r="3902">
      <c r="A3902" s="430">
        <v>9.556239000117E12</v>
      </c>
      <c r="B3902" s="218" t="s">
        <v>4689</v>
      </c>
    </row>
    <row r="3903">
      <c r="A3903" s="430">
        <v>1.1914229000158E13</v>
      </c>
      <c r="B3903" s="218" t="s">
        <v>4690</v>
      </c>
    </row>
    <row r="3904">
      <c r="A3904" s="430">
        <v>1.0596399000179E13</v>
      </c>
      <c r="B3904" s="218" t="s">
        <v>4691</v>
      </c>
    </row>
    <row r="3905">
      <c r="A3905" s="430">
        <v>9.642557400018E13</v>
      </c>
      <c r="B3905" s="218" t="s">
        <v>4692</v>
      </c>
    </row>
    <row r="3906">
      <c r="A3906" s="430">
        <v>6.1140349000113E13</v>
      </c>
      <c r="B3906" s="218" t="s">
        <v>4693</v>
      </c>
    </row>
    <row r="3907">
      <c r="A3907" s="430">
        <v>9.237294000144E12</v>
      </c>
      <c r="B3907" s="218" t="s">
        <v>4694</v>
      </c>
    </row>
    <row r="3908">
      <c r="A3908" s="430">
        <v>8.74756300015E12</v>
      </c>
      <c r="B3908" s="218" t="s">
        <v>4695</v>
      </c>
    </row>
    <row r="3909">
      <c r="A3909" s="430">
        <v>7.8970390001E12</v>
      </c>
      <c r="B3909" s="218" t="s">
        <v>4696</v>
      </c>
    </row>
    <row r="3910">
      <c r="A3910" s="430">
        <v>1.29982650001E13</v>
      </c>
      <c r="B3910" s="218" t="s">
        <v>4697</v>
      </c>
    </row>
    <row r="3911">
      <c r="A3911" s="430">
        <v>3.98172600014E12</v>
      </c>
      <c r="B3911" s="218" t="s">
        <v>4698</v>
      </c>
    </row>
    <row r="3912">
      <c r="A3912" s="430">
        <v>1.0242721000161E13</v>
      </c>
      <c r="B3912" s="218" t="s">
        <v>4699</v>
      </c>
    </row>
    <row r="3913">
      <c r="A3913" s="430">
        <v>1.2986307000192E13</v>
      </c>
      <c r="B3913" s="218" t="s">
        <v>4700</v>
      </c>
    </row>
    <row r="3914">
      <c r="A3914" s="430">
        <v>1.1464383000175E13</v>
      </c>
      <c r="B3914" s="218" t="s">
        <v>4701</v>
      </c>
    </row>
    <row r="3915">
      <c r="A3915" s="430">
        <v>7.373434000186E12</v>
      </c>
      <c r="B3915" s="218" t="s">
        <v>4702</v>
      </c>
    </row>
    <row r="3916">
      <c r="A3916" s="430">
        <v>1.065211400017E13</v>
      </c>
      <c r="B3916" s="218" t="s">
        <v>4703</v>
      </c>
    </row>
    <row r="3917">
      <c r="A3917" s="430">
        <v>1.4444220000119E13</v>
      </c>
      <c r="B3917" s="218" t="s">
        <v>4704</v>
      </c>
    </row>
    <row r="3918">
      <c r="A3918" s="430">
        <v>1.3393849000114E13</v>
      </c>
      <c r="B3918" s="218" t="s">
        <v>4705</v>
      </c>
    </row>
    <row r="3919">
      <c r="A3919" s="430">
        <v>7.041723000188E12</v>
      </c>
      <c r="B3919" s="218" t="s">
        <v>4706</v>
      </c>
    </row>
    <row r="3920">
      <c r="A3920" s="430">
        <v>9.169745000142E12</v>
      </c>
      <c r="B3920" s="218" t="s">
        <v>4707</v>
      </c>
    </row>
    <row r="3921">
      <c r="A3921" s="430">
        <v>1.5693910000174E13</v>
      </c>
      <c r="B3921" s="218" t="s">
        <v>4708</v>
      </c>
    </row>
    <row r="3922">
      <c r="A3922" s="430">
        <v>3.4203752000171E13</v>
      </c>
      <c r="B3922" s="218" t="s">
        <v>4709</v>
      </c>
    </row>
    <row r="3923">
      <c r="A3923" s="430">
        <v>1.1128083000115E13</v>
      </c>
      <c r="B3923" s="218" t="s">
        <v>4710</v>
      </c>
    </row>
    <row r="3924">
      <c r="A3924" s="430">
        <v>1.061375600016E13</v>
      </c>
      <c r="B3924" s="218" t="s">
        <v>4711</v>
      </c>
    </row>
    <row r="3925">
      <c r="A3925" s="430">
        <v>2.83963900019E12</v>
      </c>
      <c r="B3925" s="218" t="s">
        <v>4712</v>
      </c>
    </row>
    <row r="3926">
      <c r="A3926" s="430">
        <v>2.3074959000177E13</v>
      </c>
      <c r="B3926" s="218" t="s">
        <v>4713</v>
      </c>
    </row>
    <row r="3927">
      <c r="A3927" s="430">
        <v>7.675255000101E12</v>
      </c>
      <c r="B3927" s="218" t="s">
        <v>4714</v>
      </c>
    </row>
    <row r="3928">
      <c r="A3928" s="430">
        <v>9.159503000189E12</v>
      </c>
      <c r="B3928" s="218" t="s">
        <v>4715</v>
      </c>
    </row>
    <row r="3929">
      <c r="A3929" s="430">
        <v>2.945944000167E12</v>
      </c>
      <c r="B3929" s="218" t="s">
        <v>4716</v>
      </c>
    </row>
    <row r="3930">
      <c r="A3930" s="430">
        <v>4.206050014645E12</v>
      </c>
      <c r="B3930" s="218" t="s">
        <v>4717</v>
      </c>
    </row>
    <row r="3931">
      <c r="A3931" s="430">
        <v>8.0603017205E10</v>
      </c>
      <c r="B3931" s="218" t="s">
        <v>4718</v>
      </c>
    </row>
    <row r="3932">
      <c r="A3932" s="430">
        <v>579327.0</v>
      </c>
      <c r="B3932" s="218" t="s">
        <v>2935</v>
      </c>
    </row>
    <row r="3933">
      <c r="A3933" s="430">
        <v>466638.0</v>
      </c>
      <c r="B3933" s="218" t="s">
        <v>2935</v>
      </c>
    </row>
    <row r="3934">
      <c r="A3934" s="430">
        <v>8.312142600012E13</v>
      </c>
      <c r="B3934" s="218" t="s">
        <v>4719</v>
      </c>
    </row>
    <row r="3935">
      <c r="A3935" s="430">
        <v>5.032580000112E12</v>
      </c>
      <c r="B3935" s="218" t="s">
        <v>4720</v>
      </c>
    </row>
    <row r="3936">
      <c r="A3936" s="430">
        <v>1.0282669000177E13</v>
      </c>
      <c r="B3936" s="218" t="s">
        <v>4721</v>
      </c>
    </row>
    <row r="3937">
      <c r="A3937" s="430">
        <v>4.11523500018E12</v>
      </c>
      <c r="B3937" s="218" t="s">
        <v>4722</v>
      </c>
    </row>
    <row r="3938">
      <c r="A3938" s="430">
        <v>2.45943400018E12</v>
      </c>
      <c r="B3938" s="218" t="s">
        <v>4723</v>
      </c>
    </row>
    <row r="3939">
      <c r="A3939" s="430">
        <v>5.749403101054E12</v>
      </c>
      <c r="B3939" s="218" t="s">
        <v>4724</v>
      </c>
    </row>
    <row r="3940">
      <c r="A3940" s="430">
        <v>4.17608200018E12</v>
      </c>
      <c r="B3940" s="218" t="s">
        <v>4725</v>
      </c>
    </row>
    <row r="3941">
      <c r="A3941" s="430">
        <v>1.2816731000199E13</v>
      </c>
      <c r="B3941" s="218" t="s">
        <v>4726</v>
      </c>
    </row>
    <row r="3942">
      <c r="A3942" s="430">
        <v>7.437013000171E12</v>
      </c>
      <c r="B3942" s="218" t="s">
        <v>4727</v>
      </c>
    </row>
    <row r="3943">
      <c r="A3943" s="430">
        <v>7.069791000155E12</v>
      </c>
      <c r="B3943" s="218" t="s">
        <v>4728</v>
      </c>
    </row>
    <row r="3944">
      <c r="A3944" s="430">
        <v>7.56709400012E11</v>
      </c>
      <c r="B3944" s="218" t="s">
        <v>4729</v>
      </c>
    </row>
    <row r="3945">
      <c r="A3945" s="430">
        <v>1.0336481000164E13</v>
      </c>
      <c r="B3945" s="218" t="s">
        <v>4730</v>
      </c>
    </row>
    <row r="3946">
      <c r="A3946" s="430">
        <v>1.4084391000184E13</v>
      </c>
      <c r="B3946" s="218" t="s">
        <v>4731</v>
      </c>
    </row>
    <row r="3947">
      <c r="A3947" s="430">
        <v>8.394735000159E12</v>
      </c>
      <c r="B3947" s="218" t="s">
        <v>4732</v>
      </c>
    </row>
    <row r="3948">
      <c r="A3948" s="430">
        <v>7.3506016000144E13</v>
      </c>
      <c r="B3948" s="218" t="s">
        <v>4733</v>
      </c>
    </row>
    <row r="3949">
      <c r="A3949" s="430">
        <v>1.0647012000166E13</v>
      </c>
      <c r="B3949" s="218" t="s">
        <v>4734</v>
      </c>
    </row>
    <row r="3950">
      <c r="A3950" s="430">
        <v>3.363499900018E13</v>
      </c>
      <c r="B3950" s="218" t="s">
        <v>4735</v>
      </c>
    </row>
    <row r="3951">
      <c r="A3951" s="430">
        <v>9.2872100000126E13</v>
      </c>
      <c r="B3951" s="218" t="s">
        <v>4736</v>
      </c>
    </row>
    <row r="3952">
      <c r="A3952" s="430">
        <v>9.083372000101E12</v>
      </c>
      <c r="B3952" s="218" t="s">
        <v>4737</v>
      </c>
    </row>
    <row r="3953">
      <c r="A3953" s="430">
        <v>3.736372000179E12</v>
      </c>
      <c r="B3953" s="218" t="s">
        <v>4738</v>
      </c>
    </row>
    <row r="3954">
      <c r="A3954" s="430">
        <v>8.7134086000204E13</v>
      </c>
      <c r="B3954" s="218" t="s">
        <v>4739</v>
      </c>
    </row>
    <row r="3955">
      <c r="A3955" s="430">
        <v>1.046191100017E13</v>
      </c>
      <c r="B3955" s="218" t="s">
        <v>4740</v>
      </c>
    </row>
    <row r="3956">
      <c r="A3956" s="430">
        <v>8.3100172000164E13</v>
      </c>
      <c r="B3956" s="218" t="s">
        <v>4741</v>
      </c>
    </row>
    <row r="3957">
      <c r="A3957" s="430">
        <v>1.4744693000131E13</v>
      </c>
      <c r="B3957" s="218" t="s">
        <v>4742</v>
      </c>
    </row>
    <row r="3958">
      <c r="A3958" s="430">
        <v>1.5012434000189E13</v>
      </c>
      <c r="B3958" s="218" t="s">
        <v>4743</v>
      </c>
    </row>
    <row r="3959">
      <c r="A3959" s="430">
        <v>1.816199000193E12</v>
      </c>
      <c r="B3959" s="218" t="s">
        <v>4744</v>
      </c>
    </row>
    <row r="3960">
      <c r="A3960" s="430">
        <v>7.783609000123E12</v>
      </c>
      <c r="B3960" s="218" t="s">
        <v>4745</v>
      </c>
    </row>
    <row r="3961">
      <c r="A3961" s="430">
        <v>2.747702000401E12</v>
      </c>
      <c r="B3961" s="218" t="s">
        <v>4564</v>
      </c>
    </row>
    <row r="3962">
      <c r="A3962" s="430">
        <v>1.7451587000158E13</v>
      </c>
      <c r="B3962" s="218" t="s">
        <v>4746</v>
      </c>
    </row>
    <row r="3963">
      <c r="A3963" s="430">
        <v>1.123791700012E13</v>
      </c>
      <c r="B3963" s="218" t="s">
        <v>4747</v>
      </c>
    </row>
    <row r="3964">
      <c r="A3964" s="430">
        <v>6.0637667000121E13</v>
      </c>
      <c r="B3964" s="218" t="s">
        <v>4748</v>
      </c>
    </row>
    <row r="3965">
      <c r="A3965" s="430">
        <v>5.4565478000198E13</v>
      </c>
      <c r="B3965" s="218" t="s">
        <v>4749</v>
      </c>
    </row>
    <row r="3966">
      <c r="A3966" s="430">
        <v>3.81273100012E12</v>
      </c>
      <c r="B3966" s="218" t="s">
        <v>4750</v>
      </c>
    </row>
    <row r="3967">
      <c r="A3967" s="430">
        <v>1.9393753000132E13</v>
      </c>
      <c r="B3967" s="218" t="s">
        <v>4751</v>
      </c>
    </row>
    <row r="3968">
      <c r="A3968" s="430">
        <v>9.7533241000138E13</v>
      </c>
      <c r="B3968" s="218" t="s">
        <v>4752</v>
      </c>
    </row>
    <row r="3969">
      <c r="A3969" s="430">
        <v>3.3608308000173E13</v>
      </c>
      <c r="B3969" s="218" t="s">
        <v>4753</v>
      </c>
    </row>
    <row r="3970">
      <c r="A3970" s="430">
        <v>3.752786000191E12</v>
      </c>
      <c r="B3970" s="218" t="s">
        <v>4754</v>
      </c>
    </row>
    <row r="3971">
      <c r="A3971" s="430">
        <v>3.599399000167E12</v>
      </c>
      <c r="B3971" s="218" t="s">
        <v>4755</v>
      </c>
    </row>
    <row r="3972">
      <c r="A3972" s="430">
        <v>7.214878000179E12</v>
      </c>
      <c r="B3972" s="218" t="s">
        <v>4756</v>
      </c>
    </row>
    <row r="3973">
      <c r="A3973" s="430">
        <v>2.43479700016E12</v>
      </c>
      <c r="B3973" s="218" t="s">
        <v>4757</v>
      </c>
    </row>
    <row r="3974">
      <c r="A3974" s="430">
        <v>7.865064000102E12</v>
      </c>
      <c r="B3974" s="218" t="s">
        <v>4758</v>
      </c>
    </row>
    <row r="3975">
      <c r="A3975" s="430">
        <v>8.325654500019E13</v>
      </c>
      <c r="B3975" s="218" t="s">
        <v>4759</v>
      </c>
    </row>
    <row r="3976">
      <c r="A3976" s="430">
        <v>8.828248000157E12</v>
      </c>
      <c r="B3976" s="218" t="s">
        <v>4760</v>
      </c>
    </row>
    <row r="3977">
      <c r="A3977" s="430">
        <v>4.008278000166E12</v>
      </c>
      <c r="B3977" s="218" t="s">
        <v>4761</v>
      </c>
    </row>
    <row r="3978">
      <c r="A3978" s="430">
        <v>1.643643000019E13</v>
      </c>
      <c r="B3978" s="218" t="s">
        <v>4762</v>
      </c>
    </row>
    <row r="3979">
      <c r="A3979" s="430">
        <v>1.028247700016E13</v>
      </c>
      <c r="B3979" s="218" t="s">
        <v>4763</v>
      </c>
    </row>
    <row r="3980">
      <c r="A3980" s="430">
        <v>1.454639800017E13</v>
      </c>
      <c r="B3980" s="218" t="s">
        <v>4764</v>
      </c>
    </row>
    <row r="3981">
      <c r="A3981" s="430">
        <v>1.4608443000174E13</v>
      </c>
      <c r="B3981" s="218" t="s">
        <v>4765</v>
      </c>
    </row>
    <row r="3982">
      <c r="A3982" s="430">
        <v>9.368286000137E12</v>
      </c>
      <c r="B3982" s="218" t="s">
        <v>4766</v>
      </c>
    </row>
    <row r="3983">
      <c r="A3983" s="430">
        <v>4.403920000101E12</v>
      </c>
      <c r="B3983" s="218" t="s">
        <v>4767</v>
      </c>
    </row>
    <row r="3984">
      <c r="A3984" s="430">
        <v>1.1142258000149E13</v>
      </c>
      <c r="B3984" s="218" t="s">
        <v>4768</v>
      </c>
    </row>
    <row r="3985">
      <c r="A3985" s="430">
        <v>4.187580000471E12</v>
      </c>
      <c r="B3985" s="218" t="s">
        <v>4769</v>
      </c>
    </row>
    <row r="3986">
      <c r="A3986" s="430">
        <v>1.1384751000175E13</v>
      </c>
      <c r="B3986" s="218" t="s">
        <v>4770</v>
      </c>
    </row>
    <row r="3987">
      <c r="A3987" s="430">
        <v>5.510080000149E12</v>
      </c>
      <c r="B3987" s="218" t="s">
        <v>4771</v>
      </c>
    </row>
    <row r="3988">
      <c r="A3988" s="430">
        <v>2.5330400016E11</v>
      </c>
      <c r="B3988" s="218" t="s">
        <v>4772</v>
      </c>
    </row>
    <row r="3989">
      <c r="A3989" s="430">
        <v>1.0845168000151E13</v>
      </c>
      <c r="B3989" s="218" t="s">
        <v>4773</v>
      </c>
    </row>
    <row r="3990">
      <c r="A3990" s="430">
        <v>9.26316700011E12</v>
      </c>
      <c r="B3990" s="218" t="s">
        <v>4774</v>
      </c>
    </row>
    <row r="3991">
      <c r="A3991" s="430">
        <v>7.281487000177E12</v>
      </c>
      <c r="B3991" s="218" t="s">
        <v>4775</v>
      </c>
    </row>
    <row r="3992">
      <c r="A3992" s="430">
        <v>6.213366000125E12</v>
      </c>
      <c r="B3992" s="218" t="s">
        <v>4776</v>
      </c>
    </row>
    <row r="3993">
      <c r="A3993" s="430">
        <v>1.3155556000107E13</v>
      </c>
      <c r="B3993" s="218" t="s">
        <v>4777</v>
      </c>
    </row>
    <row r="3994">
      <c r="A3994" s="430">
        <v>1.4308564000109E13</v>
      </c>
      <c r="B3994" s="218" t="s">
        <v>4778</v>
      </c>
    </row>
    <row r="3995">
      <c r="A3995" s="430">
        <v>8.916065000193E12</v>
      </c>
      <c r="B3995" s="218" t="s">
        <v>4779</v>
      </c>
    </row>
    <row r="3996">
      <c r="A3996" s="430">
        <v>1.556789100013E13</v>
      </c>
      <c r="B3996" s="218" t="s">
        <v>4780</v>
      </c>
    </row>
    <row r="3997">
      <c r="A3997" s="430">
        <v>3.960902000168E12</v>
      </c>
      <c r="B3997" s="218" t="s">
        <v>4781</v>
      </c>
    </row>
    <row r="3998">
      <c r="A3998" s="430">
        <v>1.0858502000101E13</v>
      </c>
      <c r="B3998" s="218" t="s">
        <v>4782</v>
      </c>
    </row>
    <row r="3999">
      <c r="A3999" s="430">
        <v>9.664482000159E12</v>
      </c>
      <c r="B3999" s="218" t="s">
        <v>4783</v>
      </c>
    </row>
    <row r="4000">
      <c r="A4000" s="430">
        <v>2.0318717000193E13</v>
      </c>
      <c r="B4000" s="218" t="s">
        <v>4784</v>
      </c>
    </row>
    <row r="4001">
      <c r="A4001" s="430">
        <v>2.1410172000103E13</v>
      </c>
      <c r="B4001" s="218" t="s">
        <v>4785</v>
      </c>
    </row>
    <row r="4002">
      <c r="A4002" s="430">
        <v>9.353136600033E13</v>
      </c>
      <c r="B4002" s="218" t="s">
        <v>4786</v>
      </c>
    </row>
    <row r="4003">
      <c r="A4003" s="430">
        <v>3.984954000174E12</v>
      </c>
      <c r="B4003" s="218" t="s">
        <v>4787</v>
      </c>
    </row>
    <row r="4004">
      <c r="A4004" s="430">
        <v>2.393332000109E12</v>
      </c>
      <c r="B4004" s="218" t="s">
        <v>4788</v>
      </c>
    </row>
    <row r="4005">
      <c r="A4005" s="430">
        <v>2.573397000136E12</v>
      </c>
      <c r="B4005" s="218" t="s">
        <v>4789</v>
      </c>
    </row>
    <row r="4006">
      <c r="A4006" s="430">
        <v>5.818485000149E12</v>
      </c>
      <c r="B4006" s="218" t="s">
        <v>4790</v>
      </c>
    </row>
    <row r="4007">
      <c r="A4007" s="430">
        <v>6.1074175000138E13</v>
      </c>
      <c r="B4007" s="218" t="s">
        <v>4791</v>
      </c>
    </row>
    <row r="4008">
      <c r="A4008" s="430">
        <v>5.8160789000128E13</v>
      </c>
      <c r="B4008" s="218" t="s">
        <v>4792</v>
      </c>
    </row>
    <row r="4009">
      <c r="A4009" s="430">
        <v>2.503343000102E12</v>
      </c>
      <c r="B4009" s="218" t="s">
        <v>4793</v>
      </c>
    </row>
    <row r="4010">
      <c r="A4010" s="430">
        <v>9.248608000104E12</v>
      </c>
      <c r="B4010" s="218" t="s">
        <v>4794</v>
      </c>
    </row>
    <row r="4011">
      <c r="A4011" s="430">
        <v>7.93123100001E13</v>
      </c>
      <c r="B4011" s="218" t="s">
        <v>4795</v>
      </c>
    </row>
    <row r="4012">
      <c r="A4012" s="430">
        <v>5.370035000136E12</v>
      </c>
      <c r="B4012" s="218" t="s">
        <v>4796</v>
      </c>
    </row>
    <row r="4013">
      <c r="A4013" s="430">
        <v>2.6205970001E12</v>
      </c>
      <c r="B4013" s="218" t="s">
        <v>4797</v>
      </c>
    </row>
    <row r="4014">
      <c r="A4014" s="430">
        <v>7.9564571000109E13</v>
      </c>
      <c r="B4014" s="218" t="s">
        <v>4798</v>
      </c>
    </row>
    <row r="4015">
      <c r="A4015" s="430">
        <v>5.022486000182E12</v>
      </c>
      <c r="B4015" s="218" t="s">
        <v>4799</v>
      </c>
    </row>
    <row r="4016">
      <c r="A4016" s="430">
        <v>7.895460000174E12</v>
      </c>
      <c r="B4016" s="218" t="s">
        <v>4800</v>
      </c>
    </row>
    <row r="4017">
      <c r="A4017" s="430">
        <v>7.536218000104E12</v>
      </c>
      <c r="B4017" s="218" t="s">
        <v>4801</v>
      </c>
    </row>
    <row r="4018">
      <c r="A4018" s="430">
        <v>4.394733000109E12</v>
      </c>
      <c r="B4018" s="218" t="s">
        <v>4802</v>
      </c>
    </row>
    <row r="4019">
      <c r="A4019" s="430">
        <v>8.045475400015E13</v>
      </c>
      <c r="B4019" s="218" t="s">
        <v>4803</v>
      </c>
    </row>
    <row r="4020">
      <c r="A4020" s="430">
        <v>7.2458755000145E13</v>
      </c>
      <c r="B4020" s="218" t="s">
        <v>4804</v>
      </c>
    </row>
    <row r="4021">
      <c r="A4021" s="430">
        <v>9.5790275000182E13</v>
      </c>
      <c r="B4021" s="218" t="s">
        <v>4805</v>
      </c>
    </row>
    <row r="4022">
      <c r="A4022" s="430">
        <v>8.536894200018E13</v>
      </c>
      <c r="B4022" s="218" t="s">
        <v>4806</v>
      </c>
    </row>
    <row r="4023">
      <c r="A4023" s="430">
        <v>3.370039400014E13</v>
      </c>
      <c r="B4023" s="218" t="s">
        <v>4807</v>
      </c>
    </row>
    <row r="4024">
      <c r="A4024" s="430">
        <v>5.425925000106E12</v>
      </c>
      <c r="B4024" s="218" t="s">
        <v>4808</v>
      </c>
    </row>
    <row r="4025">
      <c r="A4025" s="430">
        <v>2.6989715003209E13</v>
      </c>
      <c r="B4025" s="218" t="s">
        <v>4809</v>
      </c>
    </row>
    <row r="4026">
      <c r="A4026" s="430">
        <v>7.006622000176E12</v>
      </c>
      <c r="B4026" s="218" t="s">
        <v>4810</v>
      </c>
    </row>
    <row r="4027">
      <c r="A4027" s="430">
        <v>9.500775000109E12</v>
      </c>
      <c r="B4027" s="218" t="s">
        <v>4811</v>
      </c>
    </row>
    <row r="4028">
      <c r="A4028" s="430">
        <v>9.6496443000194E13</v>
      </c>
      <c r="B4028" s="218" t="s">
        <v>4812</v>
      </c>
    </row>
    <row r="4029">
      <c r="A4029" s="430">
        <v>1.0470958000108E13</v>
      </c>
      <c r="B4029" s="218" t="s">
        <v>4813</v>
      </c>
    </row>
    <row r="4030">
      <c r="A4030" s="430">
        <v>8.0043904000133E13</v>
      </c>
      <c r="B4030" s="218" t="s">
        <v>4814</v>
      </c>
    </row>
    <row r="4031">
      <c r="A4031" s="430">
        <v>8.2706177000172E13</v>
      </c>
      <c r="B4031" s="218" t="s">
        <v>4815</v>
      </c>
    </row>
    <row r="4032">
      <c r="A4032" s="430">
        <v>6.272032000122E12</v>
      </c>
      <c r="B4032" s="218" t="s">
        <v>4816</v>
      </c>
    </row>
    <row r="4033">
      <c r="A4033" s="430">
        <v>2.631287000183E12</v>
      </c>
      <c r="B4033" s="218" t="s">
        <v>4817</v>
      </c>
    </row>
    <row r="4034">
      <c r="A4034" s="430">
        <v>6.055551300019E13</v>
      </c>
      <c r="B4034" s="218" t="s">
        <v>4818</v>
      </c>
    </row>
    <row r="4035">
      <c r="A4035" s="430">
        <v>5.288542000125E12</v>
      </c>
      <c r="B4035" s="218" t="s">
        <v>4819</v>
      </c>
    </row>
    <row r="4036">
      <c r="A4036" s="430">
        <v>6.954022000177E12</v>
      </c>
      <c r="B4036" s="218" t="s">
        <v>4820</v>
      </c>
    </row>
    <row r="4037">
      <c r="A4037" s="430">
        <v>1.321351000167E12</v>
      </c>
      <c r="B4037" s="218" t="s">
        <v>4821</v>
      </c>
    </row>
    <row r="4038">
      <c r="A4038" s="430">
        <v>1.1594126000158E13</v>
      </c>
      <c r="B4038" s="218" t="s">
        <v>4822</v>
      </c>
    </row>
    <row r="4039">
      <c r="A4039" s="430">
        <v>3.221889000125E12</v>
      </c>
      <c r="B4039" s="218" t="s">
        <v>4823</v>
      </c>
    </row>
    <row r="4040">
      <c r="A4040" s="430">
        <v>4.911597000187E12</v>
      </c>
      <c r="B4040" s="218" t="s">
        <v>4824</v>
      </c>
    </row>
    <row r="4041">
      <c r="A4041" s="430">
        <v>6.1939120000143E13</v>
      </c>
      <c r="B4041" s="218" t="s">
        <v>4825</v>
      </c>
    </row>
    <row r="4042">
      <c r="A4042" s="430">
        <v>1.0892102000201E13</v>
      </c>
      <c r="B4042" s="218" t="s">
        <v>4826</v>
      </c>
    </row>
    <row r="4043">
      <c r="A4043" s="430">
        <v>7.3615700000164E13</v>
      </c>
      <c r="B4043" s="218" t="s">
        <v>4827</v>
      </c>
    </row>
    <row r="4044">
      <c r="A4044" s="430">
        <v>5.53172500012E12</v>
      </c>
      <c r="B4044" s="218" t="s">
        <v>4828</v>
      </c>
    </row>
    <row r="4045">
      <c r="A4045" s="430">
        <v>1.4087594000124E13</v>
      </c>
      <c r="B4045" s="218" t="s">
        <v>4829</v>
      </c>
    </row>
    <row r="4046">
      <c r="A4046" s="430">
        <v>6.622004700033E13</v>
      </c>
      <c r="B4046" s="218" t="s">
        <v>4830</v>
      </c>
    </row>
    <row r="4047">
      <c r="A4047" s="430">
        <v>9.0347840006906E13</v>
      </c>
      <c r="B4047" s="218" t="s">
        <v>4831</v>
      </c>
    </row>
    <row r="4048">
      <c r="A4048" s="430">
        <v>1.46714000102E11</v>
      </c>
      <c r="B4048" s="218" t="s">
        <v>4832</v>
      </c>
    </row>
    <row r="4049">
      <c r="A4049" s="430">
        <v>6.089496000106E12</v>
      </c>
      <c r="B4049" s="218" t="s">
        <v>4833</v>
      </c>
    </row>
    <row r="4050">
      <c r="A4050" s="430">
        <v>4.05655600015E12</v>
      </c>
      <c r="B4050" s="218" t="s">
        <v>4834</v>
      </c>
    </row>
    <row r="4051">
      <c r="A4051" s="430">
        <v>7.50160000158E11</v>
      </c>
      <c r="B4051" s="218" t="s">
        <v>4835</v>
      </c>
    </row>
    <row r="4052">
      <c r="A4052" s="430">
        <v>1.2443367000169E13</v>
      </c>
      <c r="B4052" s="218" t="s">
        <v>4836</v>
      </c>
    </row>
    <row r="4053">
      <c r="A4053" s="430">
        <v>1.051608300012E13</v>
      </c>
      <c r="B4053" s="218" t="s">
        <v>4837</v>
      </c>
    </row>
    <row r="4054">
      <c r="A4054" s="430">
        <v>1.3627549000152E13</v>
      </c>
      <c r="B4054" s="218" t="s">
        <v>4838</v>
      </c>
    </row>
    <row r="4055">
      <c r="A4055" s="430">
        <v>2.171795000126E12</v>
      </c>
      <c r="B4055" s="218" t="s">
        <v>4839</v>
      </c>
    </row>
    <row r="4056">
      <c r="A4056" s="430">
        <v>8.0736580000119E13</v>
      </c>
      <c r="B4056" s="218" t="s">
        <v>4840</v>
      </c>
    </row>
    <row r="4057">
      <c r="A4057" s="430">
        <v>1.2569221000164E13</v>
      </c>
      <c r="B4057" s="218" t="s">
        <v>4841</v>
      </c>
    </row>
    <row r="4058">
      <c r="A4058" s="430">
        <v>1.3420610000196E13</v>
      </c>
      <c r="B4058" s="218" t="s">
        <v>4842</v>
      </c>
    </row>
    <row r="4059">
      <c r="A4059" s="430">
        <v>2.76001000015E12</v>
      </c>
      <c r="B4059" s="218" t="s">
        <v>4843</v>
      </c>
    </row>
    <row r="4060">
      <c r="A4060" s="430">
        <v>5.68160000131E11</v>
      </c>
      <c r="B4060" s="218" t="s">
        <v>4844</v>
      </c>
    </row>
    <row r="4061">
      <c r="A4061" s="430">
        <v>5.915149000114E12</v>
      </c>
      <c r="B4061" s="218" t="s">
        <v>4845</v>
      </c>
    </row>
    <row r="4062">
      <c r="A4062" s="430">
        <v>7.5313098000136E13</v>
      </c>
      <c r="B4062" s="218" t="s">
        <v>4846</v>
      </c>
    </row>
    <row r="4063">
      <c r="A4063" s="430">
        <v>3.574465000144E12</v>
      </c>
      <c r="B4063" s="218" t="s">
        <v>4847</v>
      </c>
    </row>
    <row r="4064">
      <c r="A4064" s="430">
        <v>1.6918269000164E13</v>
      </c>
      <c r="B4064" s="218" t="s">
        <v>4848</v>
      </c>
    </row>
    <row r="4065">
      <c r="A4065" s="430">
        <v>1.1154905000132E13</v>
      </c>
      <c r="B4065" s="218" t="s">
        <v>4849</v>
      </c>
    </row>
    <row r="4066">
      <c r="A4066" s="430">
        <v>1.339301100012E13</v>
      </c>
      <c r="B4066" s="218" t="s">
        <v>4850</v>
      </c>
    </row>
    <row r="4067">
      <c r="A4067" s="430">
        <v>7.108509000282E12</v>
      </c>
      <c r="B4067" s="218" t="s">
        <v>4851</v>
      </c>
    </row>
    <row r="4068">
      <c r="A4068" s="430">
        <v>4.986396000149E12</v>
      </c>
      <c r="B4068" s="218" t="s">
        <v>4852</v>
      </c>
    </row>
    <row r="4069">
      <c r="A4069" s="430">
        <v>1.92707000147E11</v>
      </c>
      <c r="B4069" s="218" t="s">
        <v>4853</v>
      </c>
    </row>
    <row r="4070">
      <c r="A4070" s="430">
        <v>3.049623000147E12</v>
      </c>
      <c r="B4070" s="218" t="s">
        <v>4854</v>
      </c>
    </row>
    <row r="4071">
      <c r="A4071" s="430">
        <v>5.10999000119E11</v>
      </c>
      <c r="B4071" s="218" t="s">
        <v>4855</v>
      </c>
    </row>
    <row r="4072">
      <c r="A4072" s="430">
        <v>1.072183400014E13</v>
      </c>
      <c r="B4072" s="218" t="s">
        <v>4856</v>
      </c>
    </row>
    <row r="4073">
      <c r="A4073" s="430">
        <v>1.03209510001E13</v>
      </c>
      <c r="B4073" s="218" t="s">
        <v>4857</v>
      </c>
    </row>
    <row r="4074">
      <c r="A4074" s="430">
        <v>6.5706913000173E13</v>
      </c>
      <c r="B4074" s="218" t="s">
        <v>4858</v>
      </c>
    </row>
    <row r="4075">
      <c r="A4075" s="430">
        <v>1.459433500019E13</v>
      </c>
      <c r="B4075" s="218" t="s">
        <v>4859</v>
      </c>
    </row>
    <row r="4076">
      <c r="A4076" s="430">
        <v>7.59841100017E12</v>
      </c>
      <c r="B4076" s="218" t="s">
        <v>4860</v>
      </c>
    </row>
    <row r="4077">
      <c r="A4077" s="430">
        <v>3.31640210001E13</v>
      </c>
      <c r="B4077" s="218" t="s">
        <v>4861</v>
      </c>
    </row>
    <row r="4078">
      <c r="A4078" s="430">
        <v>1.0929715000187E13</v>
      </c>
      <c r="B4078" s="218" t="s">
        <v>4862</v>
      </c>
    </row>
    <row r="4079">
      <c r="A4079" s="430">
        <v>9.60027000126E11</v>
      </c>
      <c r="B4079" s="218" t="s">
        <v>4863</v>
      </c>
    </row>
    <row r="4080">
      <c r="A4080" s="430">
        <v>5.528605000173E12</v>
      </c>
      <c r="B4080" s="218" t="s">
        <v>4864</v>
      </c>
    </row>
    <row r="4081">
      <c r="A4081" s="430">
        <v>9.242328000199E12</v>
      </c>
      <c r="B4081" s="218" t="s">
        <v>4865</v>
      </c>
    </row>
    <row r="4082">
      <c r="A4082" s="430">
        <v>4.06663900012E12</v>
      </c>
      <c r="B4082" s="218" t="s">
        <v>4866</v>
      </c>
    </row>
    <row r="4083">
      <c r="A4083" s="430">
        <v>6.3305585000178E13</v>
      </c>
      <c r="B4083" s="218" t="s">
        <v>4867</v>
      </c>
    </row>
    <row r="4084">
      <c r="A4084" s="430">
        <v>8.3940429000196E13</v>
      </c>
      <c r="B4084" s="218" t="s">
        <v>4868</v>
      </c>
    </row>
    <row r="4085">
      <c r="A4085" s="430">
        <v>5.6821812000152E13</v>
      </c>
      <c r="B4085" s="218" t="s">
        <v>4869</v>
      </c>
    </row>
    <row r="4086">
      <c r="A4086" s="430">
        <v>1.64282000162E11</v>
      </c>
      <c r="B4086" s="218" t="s">
        <v>4870</v>
      </c>
    </row>
    <row r="4087">
      <c r="A4087" s="430">
        <v>5.6095268000109E13</v>
      </c>
      <c r="B4087" s="218" t="s">
        <v>4871</v>
      </c>
    </row>
    <row r="4088">
      <c r="A4088" s="430">
        <v>4.768486000163E12</v>
      </c>
      <c r="B4088" s="218" t="s">
        <v>4872</v>
      </c>
    </row>
    <row r="4089">
      <c r="A4089" s="430">
        <v>9.196770000126E12</v>
      </c>
      <c r="B4089" s="218" t="s">
        <v>4873</v>
      </c>
    </row>
    <row r="4090">
      <c r="A4090" s="430">
        <v>1.149162000159E12</v>
      </c>
      <c r="B4090" s="218" t="s">
        <v>4874</v>
      </c>
    </row>
    <row r="4091">
      <c r="A4091" s="430">
        <v>1.7167412000113E13</v>
      </c>
      <c r="B4091" s="218" t="s">
        <v>4875</v>
      </c>
    </row>
    <row r="4092">
      <c r="A4092" s="430">
        <v>8.89494600015E12</v>
      </c>
      <c r="B4092" s="218" t="s">
        <v>4876</v>
      </c>
    </row>
    <row r="4093">
      <c r="A4093" s="430">
        <v>6.064658000143E12</v>
      </c>
      <c r="B4093" s="218" t="s">
        <v>4877</v>
      </c>
    </row>
    <row r="4094">
      <c r="A4094" s="430">
        <v>1.07561320001E13</v>
      </c>
      <c r="B4094" s="218" t="s">
        <v>4878</v>
      </c>
    </row>
    <row r="4095">
      <c r="A4095" s="430">
        <v>4.971376000102E12</v>
      </c>
      <c r="B4095" s="218" t="s">
        <v>4879</v>
      </c>
    </row>
    <row r="4096">
      <c r="A4096" s="430">
        <v>7.8533312000158E13</v>
      </c>
      <c r="B4096" s="218" t="s">
        <v>4880</v>
      </c>
    </row>
    <row r="4097">
      <c r="A4097" s="430">
        <v>5.9285411000113E13</v>
      </c>
      <c r="B4097" s="218" t="s">
        <v>4881</v>
      </c>
    </row>
    <row r="4098">
      <c r="A4098" s="430">
        <v>7.32229900014E11</v>
      </c>
      <c r="B4098" s="218" t="s">
        <v>4882</v>
      </c>
    </row>
    <row r="4099">
      <c r="A4099" s="430">
        <v>1.7470790000171E13</v>
      </c>
      <c r="B4099" s="218" t="s">
        <v>4883</v>
      </c>
    </row>
    <row r="4100">
      <c r="A4100" s="430">
        <v>8.89984900015E12</v>
      </c>
      <c r="B4100" s="218" t="s">
        <v>4884</v>
      </c>
    </row>
    <row r="4101">
      <c r="A4101" s="430">
        <v>1.1210391000195E13</v>
      </c>
      <c r="B4101" s="218" t="s">
        <v>4885</v>
      </c>
    </row>
    <row r="4102">
      <c r="A4102" s="430">
        <v>9.5886735000251E13</v>
      </c>
      <c r="B4102" s="218" t="s">
        <v>4886</v>
      </c>
    </row>
    <row r="4103">
      <c r="A4103" s="430">
        <v>8.244149000128E12</v>
      </c>
      <c r="B4103" s="218" t="s">
        <v>4887</v>
      </c>
    </row>
    <row r="4104">
      <c r="A4104" s="430">
        <v>2.549354000204E12</v>
      </c>
      <c r="B4104" s="218" t="s">
        <v>4888</v>
      </c>
    </row>
    <row r="4105">
      <c r="A4105" s="430">
        <v>1.1834845000107E13</v>
      </c>
      <c r="B4105" s="218" t="s">
        <v>4889</v>
      </c>
    </row>
    <row r="4106">
      <c r="A4106" s="430">
        <v>1.2770653000139E13</v>
      </c>
      <c r="B4106" s="218" t="s">
        <v>4890</v>
      </c>
    </row>
    <row r="4107">
      <c r="A4107" s="430">
        <v>8.680074000128E12</v>
      </c>
      <c r="B4107" s="218" t="s">
        <v>4891</v>
      </c>
    </row>
    <row r="4108">
      <c r="A4108" s="430">
        <v>7.561507000163E12</v>
      </c>
      <c r="B4108" s="218" t="s">
        <v>4892</v>
      </c>
    </row>
    <row r="4109">
      <c r="A4109" s="430">
        <v>1.4187267000144E13</v>
      </c>
      <c r="B4109" s="218" t="s">
        <v>4893</v>
      </c>
    </row>
    <row r="4110">
      <c r="A4110" s="430">
        <v>7.159521000135E12</v>
      </c>
      <c r="B4110" s="218" t="s">
        <v>4894</v>
      </c>
    </row>
    <row r="4111">
      <c r="A4111" s="430">
        <v>4.0885050001E12</v>
      </c>
      <c r="B4111" s="218" t="s">
        <v>4895</v>
      </c>
    </row>
    <row r="4112">
      <c r="A4112" s="430">
        <v>2.984294000169E12</v>
      </c>
      <c r="B4112" s="218" t="s">
        <v>4896</v>
      </c>
    </row>
    <row r="4113">
      <c r="A4113" s="430">
        <v>3.709814005408E12</v>
      </c>
      <c r="B4113" s="218" t="s">
        <v>3486</v>
      </c>
    </row>
    <row r="4114">
      <c r="A4114" s="430">
        <v>8.58661000012E12</v>
      </c>
      <c r="B4114" s="218" t="s">
        <v>4897</v>
      </c>
    </row>
    <row r="4115">
      <c r="A4115" s="430">
        <v>7.697332000116E12</v>
      </c>
      <c r="B4115" s="218" t="s">
        <v>4898</v>
      </c>
    </row>
    <row r="4116">
      <c r="A4116" s="430">
        <v>7.2078637000101E13</v>
      </c>
      <c r="B4116" s="218" t="s">
        <v>4899</v>
      </c>
    </row>
    <row r="4117">
      <c r="A4117" s="430">
        <v>7.3471963000147E13</v>
      </c>
      <c r="B4117" s="218" t="s">
        <v>4900</v>
      </c>
    </row>
    <row r="4118">
      <c r="A4118" s="430">
        <v>8.4714682000194E13</v>
      </c>
      <c r="B4118" s="218" t="s">
        <v>4901</v>
      </c>
    </row>
    <row r="4119">
      <c r="A4119" s="430">
        <v>1.0935384000198E13</v>
      </c>
      <c r="B4119" s="218" t="s">
        <v>4902</v>
      </c>
    </row>
    <row r="4120">
      <c r="A4120" s="430">
        <v>3.713192700017E13</v>
      </c>
      <c r="B4120" s="218" t="s">
        <v>4903</v>
      </c>
    </row>
    <row r="4121">
      <c r="A4121" s="430">
        <v>5.559714000139E12</v>
      </c>
      <c r="B4121" s="218" t="s">
        <v>4904</v>
      </c>
    </row>
    <row r="4122">
      <c r="A4122" s="430">
        <v>3.470727001607E12</v>
      </c>
      <c r="B4122" s="218" t="s">
        <v>4905</v>
      </c>
    </row>
    <row r="4123">
      <c r="A4123" s="430">
        <v>1.0381737000155E13</v>
      </c>
      <c r="B4123" s="218" t="s">
        <v>4906</v>
      </c>
    </row>
    <row r="4124">
      <c r="A4124" s="430">
        <v>1.3131034000167E13</v>
      </c>
      <c r="B4124" s="218" t="s">
        <v>4907</v>
      </c>
    </row>
    <row r="4125">
      <c r="A4125" s="430">
        <v>5.098804000199E12</v>
      </c>
      <c r="B4125" s="218" t="s">
        <v>4908</v>
      </c>
    </row>
    <row r="4126">
      <c r="A4126" s="430">
        <v>3.619767000191E12</v>
      </c>
      <c r="B4126" s="218" t="s">
        <v>4909</v>
      </c>
    </row>
    <row r="4127">
      <c r="A4127" s="430">
        <v>4.1587502000148E13</v>
      </c>
      <c r="B4127" s="218" t="s">
        <v>4910</v>
      </c>
    </row>
    <row r="4128">
      <c r="A4128" s="430">
        <v>1.8183499000185E13</v>
      </c>
      <c r="B4128" s="218" t="s">
        <v>4911</v>
      </c>
    </row>
    <row r="4129">
      <c r="A4129" s="430">
        <v>8.648799000139E12</v>
      </c>
      <c r="B4129" s="218" t="s">
        <v>4912</v>
      </c>
    </row>
    <row r="4130">
      <c r="A4130" s="430">
        <v>8.2870478000137E13</v>
      </c>
      <c r="B4130" s="218" t="s">
        <v>4913</v>
      </c>
    </row>
    <row r="4131">
      <c r="A4131" s="430">
        <v>7.8813730000107E13</v>
      </c>
      <c r="B4131" s="218" t="s">
        <v>4914</v>
      </c>
    </row>
    <row r="4132">
      <c r="A4132" s="430">
        <v>8.40891900012E12</v>
      </c>
      <c r="B4132" s="218" t="s">
        <v>4915</v>
      </c>
    </row>
    <row r="4133">
      <c r="A4133" s="430">
        <v>1.980629000108E12</v>
      </c>
      <c r="B4133" s="218" t="s">
        <v>4916</v>
      </c>
    </row>
    <row r="4134">
      <c r="A4134" s="430">
        <v>8.538675300013E13</v>
      </c>
      <c r="B4134" s="218" t="s">
        <v>4917</v>
      </c>
    </row>
    <row r="4135">
      <c r="A4135" s="430">
        <v>3.603595000249E12</v>
      </c>
      <c r="B4135" s="218" t="s">
        <v>4918</v>
      </c>
    </row>
    <row r="4136">
      <c r="A4136" s="430">
        <v>5.83660700012E12</v>
      </c>
      <c r="B4136" s="218" t="s">
        <v>4919</v>
      </c>
    </row>
    <row r="4137">
      <c r="A4137" s="430">
        <v>1.1896375000106E13</v>
      </c>
      <c r="B4137" s="218" t="s">
        <v>4920</v>
      </c>
    </row>
    <row r="4138">
      <c r="A4138" s="430">
        <v>7.053163000181E12</v>
      </c>
      <c r="B4138" s="218" t="s">
        <v>4921</v>
      </c>
    </row>
    <row r="4139">
      <c r="A4139" s="430">
        <v>4.17746000014E12</v>
      </c>
      <c r="B4139" s="218" t="s">
        <v>4922</v>
      </c>
    </row>
    <row r="4140">
      <c r="A4140" s="430">
        <v>1.456547000169E12</v>
      </c>
      <c r="B4140" s="218" t="s">
        <v>4923</v>
      </c>
    </row>
    <row r="4141">
      <c r="A4141" s="430">
        <v>1.9281540001E12</v>
      </c>
      <c r="B4141" s="218" t="s">
        <v>4924</v>
      </c>
    </row>
    <row r="4142">
      <c r="A4142" s="430">
        <v>1.0780735000139E13</v>
      </c>
      <c r="B4142" s="218" t="s">
        <v>4925</v>
      </c>
    </row>
    <row r="4143">
      <c r="A4143" s="430">
        <v>8.2858903000334E13</v>
      </c>
      <c r="B4143" s="218" t="s">
        <v>4926</v>
      </c>
    </row>
    <row r="4144">
      <c r="A4144" s="430">
        <v>7.9250932000142E13</v>
      </c>
      <c r="B4144" s="218" t="s">
        <v>4927</v>
      </c>
    </row>
    <row r="4145">
      <c r="A4145" s="430">
        <v>3.59775200017E12</v>
      </c>
      <c r="B4145" s="218" t="s">
        <v>4928</v>
      </c>
    </row>
    <row r="4146">
      <c r="A4146" s="430">
        <v>5.39368800013E12</v>
      </c>
      <c r="B4146" s="218" t="s">
        <v>4929</v>
      </c>
    </row>
    <row r="4147">
      <c r="A4147" s="430">
        <v>4.947092000172E12</v>
      </c>
      <c r="B4147" s="218" t="s">
        <v>4930</v>
      </c>
    </row>
    <row r="4148">
      <c r="A4148" s="430">
        <v>4.691265000134E12</v>
      </c>
      <c r="B4148" s="218" t="s">
        <v>4931</v>
      </c>
    </row>
    <row r="4149">
      <c r="A4149" s="430">
        <v>6.354649000197E12</v>
      </c>
      <c r="B4149" s="218" t="s">
        <v>4932</v>
      </c>
    </row>
    <row r="4150">
      <c r="A4150" s="430">
        <v>2.17663500017E12</v>
      </c>
      <c r="B4150" s="218" t="s">
        <v>4933</v>
      </c>
    </row>
    <row r="4151">
      <c r="A4151" s="430">
        <v>7.2363773000143E13</v>
      </c>
      <c r="B4151" s="218" t="s">
        <v>4934</v>
      </c>
    </row>
    <row r="4152">
      <c r="A4152" s="430">
        <v>1.2966931000128E13</v>
      </c>
      <c r="B4152" s="218" t="s">
        <v>4935</v>
      </c>
    </row>
    <row r="4153">
      <c r="A4153" s="430">
        <v>5.43800000159E11</v>
      </c>
      <c r="B4153" s="218" t="s">
        <v>4936</v>
      </c>
    </row>
    <row r="4154">
      <c r="A4154" s="430">
        <v>2.0968319000112E13</v>
      </c>
      <c r="B4154" s="218" t="s">
        <v>4937</v>
      </c>
    </row>
    <row r="4155">
      <c r="A4155" s="430">
        <v>1.0689357000182E13</v>
      </c>
      <c r="B4155" s="218" t="s">
        <v>4938</v>
      </c>
    </row>
    <row r="4156">
      <c r="A4156" s="430">
        <v>2.30841000012E12</v>
      </c>
      <c r="B4156" s="218" t="s">
        <v>4939</v>
      </c>
    </row>
    <row r="4157">
      <c r="A4157" s="430">
        <v>3.791074000181E12</v>
      </c>
      <c r="B4157" s="218" t="s">
        <v>4940</v>
      </c>
    </row>
    <row r="4158">
      <c r="A4158" s="430">
        <v>5.596488000185E12</v>
      </c>
      <c r="B4158" s="218" t="s">
        <v>4941</v>
      </c>
    </row>
    <row r="4159">
      <c r="A4159" s="430">
        <v>9.53376000021E12</v>
      </c>
      <c r="B4159" s="218" t="s">
        <v>4942</v>
      </c>
    </row>
    <row r="4160">
      <c r="A4160" s="430">
        <v>8.1627838000535E13</v>
      </c>
      <c r="B4160" s="218" t="s">
        <v>4480</v>
      </c>
    </row>
    <row r="4161">
      <c r="A4161" s="430">
        <v>1.0403716000193E13</v>
      </c>
      <c r="B4161" s="218" t="s">
        <v>4943</v>
      </c>
    </row>
    <row r="4162">
      <c r="A4162" s="430">
        <v>9.0400888000142E13</v>
      </c>
      <c r="B4162" s="218" t="s">
        <v>4944</v>
      </c>
    </row>
    <row r="4163">
      <c r="A4163" s="430">
        <v>7.509950000195E12</v>
      </c>
      <c r="B4163" s="218" t="s">
        <v>4945</v>
      </c>
    </row>
    <row r="4164">
      <c r="A4164" s="430">
        <v>5.99861000014E12</v>
      </c>
      <c r="B4164" s="218" t="s">
        <v>4946</v>
      </c>
    </row>
    <row r="4165">
      <c r="A4165" s="430">
        <v>1.52289800012E12</v>
      </c>
      <c r="B4165" s="218" t="s">
        <v>4947</v>
      </c>
    </row>
    <row r="4166">
      <c r="A4166" s="430">
        <v>8.3483420000101E13</v>
      </c>
      <c r="B4166" s="218" t="s">
        <v>4948</v>
      </c>
    </row>
    <row r="4167">
      <c r="A4167" s="430">
        <v>1.0949772000128E13</v>
      </c>
      <c r="B4167" s="218" t="s">
        <v>4949</v>
      </c>
    </row>
    <row r="4168">
      <c r="A4168" s="430">
        <v>1.0346759000184E13</v>
      </c>
      <c r="B4168" s="218" t="s">
        <v>4950</v>
      </c>
    </row>
    <row r="4169">
      <c r="A4169" s="430">
        <v>4.336171000147E12</v>
      </c>
      <c r="B4169" s="218" t="s">
        <v>4951</v>
      </c>
    </row>
    <row r="4170">
      <c r="A4170" s="430">
        <v>1.1794684000167E13</v>
      </c>
      <c r="B4170" s="218" t="s">
        <v>4952</v>
      </c>
    </row>
    <row r="4171">
      <c r="A4171" s="430">
        <v>8.709219000176E12</v>
      </c>
      <c r="B4171" s="218" t="s">
        <v>4953</v>
      </c>
    </row>
    <row r="4172">
      <c r="A4172" s="430">
        <v>1.3627448000262E13</v>
      </c>
      <c r="B4172" s="218" t="s">
        <v>4954</v>
      </c>
    </row>
    <row r="4173">
      <c r="A4173" s="430">
        <v>1.5116180000149E13</v>
      </c>
      <c r="B4173" s="218" t="s">
        <v>4955</v>
      </c>
    </row>
    <row r="4174">
      <c r="A4174" s="430">
        <v>2.421799000115E12</v>
      </c>
      <c r="B4174" s="218" t="s">
        <v>4956</v>
      </c>
    </row>
    <row r="4175">
      <c r="A4175" s="430">
        <v>5.801250000144E12</v>
      </c>
      <c r="B4175" s="218" t="s">
        <v>4957</v>
      </c>
    </row>
    <row r="4176">
      <c r="A4176" s="430">
        <v>1.4240224000185E13</v>
      </c>
      <c r="B4176" s="218" t="s">
        <v>4958</v>
      </c>
    </row>
    <row r="4177">
      <c r="A4177" s="430">
        <v>7.479143000177E12</v>
      </c>
      <c r="B4177" s="218" t="s">
        <v>4959</v>
      </c>
    </row>
    <row r="4178">
      <c r="A4178" s="430">
        <v>1.299162700013E13</v>
      </c>
      <c r="B4178" s="218" t="s">
        <v>4960</v>
      </c>
    </row>
    <row r="4179">
      <c r="A4179" s="430">
        <v>1.0815403000142E13</v>
      </c>
      <c r="B4179" s="218" t="s">
        <v>4961</v>
      </c>
    </row>
    <row r="4180">
      <c r="A4180" s="430">
        <v>1.0404338000162E13</v>
      </c>
      <c r="B4180" s="218" t="s">
        <v>4962</v>
      </c>
    </row>
    <row r="4181">
      <c r="A4181" s="430">
        <v>1.10143000156E11</v>
      </c>
      <c r="B4181" s="218" t="s">
        <v>4963</v>
      </c>
    </row>
    <row r="4182">
      <c r="A4182" s="430">
        <v>1.7792600000132E13</v>
      </c>
      <c r="B4182" s="218" t="s">
        <v>4964</v>
      </c>
    </row>
    <row r="4183">
      <c r="A4183" s="430">
        <v>9.064453000156E12</v>
      </c>
      <c r="B4183" s="218" t="s">
        <v>4965</v>
      </c>
    </row>
    <row r="4184">
      <c r="A4184" s="430">
        <v>3.996661000107E12</v>
      </c>
      <c r="B4184" s="218" t="s">
        <v>4966</v>
      </c>
    </row>
    <row r="4185">
      <c r="A4185" s="430">
        <v>1.7910485000153E13</v>
      </c>
      <c r="B4185" s="218" t="s">
        <v>4967</v>
      </c>
    </row>
    <row r="4186">
      <c r="A4186" s="430">
        <v>8.6365350000681E13</v>
      </c>
      <c r="B4186" s="218" t="s">
        <v>4968</v>
      </c>
    </row>
    <row r="4187">
      <c r="A4187" s="430">
        <v>5.808792000149E12</v>
      </c>
      <c r="B4187" s="218" t="s">
        <v>4969</v>
      </c>
    </row>
    <row r="4188">
      <c r="A4188" s="430">
        <v>9.1981027000168E13</v>
      </c>
      <c r="B4188" s="218" t="s">
        <v>4970</v>
      </c>
    </row>
    <row r="4189">
      <c r="A4189" s="430">
        <v>9.255186000102E12</v>
      </c>
      <c r="B4189" s="218" t="s">
        <v>4971</v>
      </c>
    </row>
    <row r="4190">
      <c r="A4190" s="430">
        <v>7.9539623000197E13</v>
      </c>
      <c r="B4190" s="218" t="s">
        <v>4972</v>
      </c>
    </row>
    <row r="4191">
      <c r="A4191" s="430">
        <v>2.03383200013E12</v>
      </c>
      <c r="B4191" s="218" t="s">
        <v>4973</v>
      </c>
    </row>
    <row r="4192">
      <c r="A4192" s="430">
        <v>8.272612000145E12</v>
      </c>
      <c r="B4192" s="218" t="s">
        <v>4974</v>
      </c>
    </row>
    <row r="4193">
      <c r="A4193" s="430">
        <v>1.0526993000193E13</v>
      </c>
      <c r="B4193" s="218" t="s">
        <v>4975</v>
      </c>
    </row>
    <row r="4194">
      <c r="A4194" s="430">
        <v>8.0680093000181E13</v>
      </c>
      <c r="B4194" s="218" t="s">
        <v>4976</v>
      </c>
    </row>
    <row r="4195">
      <c r="A4195" s="430">
        <v>8.3039842000184E13</v>
      </c>
      <c r="B4195" s="218" t="s">
        <v>4977</v>
      </c>
    </row>
    <row r="4196">
      <c r="A4196" s="430">
        <v>8.0047087000191E13</v>
      </c>
      <c r="B4196" s="218" t="s">
        <v>4978</v>
      </c>
    </row>
    <row r="4197">
      <c r="A4197" s="430">
        <v>3.339994000163E12</v>
      </c>
      <c r="B4197" s="218" t="s">
        <v>4979</v>
      </c>
    </row>
    <row r="4198">
      <c r="A4198" s="430">
        <v>6.910908000119E12</v>
      </c>
      <c r="B4198" s="218" t="s">
        <v>4980</v>
      </c>
    </row>
    <row r="4199">
      <c r="A4199" s="430">
        <v>1.0692780000131E13</v>
      </c>
      <c r="B4199" s="218" t="s">
        <v>4981</v>
      </c>
    </row>
    <row r="4200">
      <c r="A4200" s="430">
        <v>8.1264111000107E13</v>
      </c>
      <c r="B4200" s="218" t="s">
        <v>4982</v>
      </c>
    </row>
    <row r="4201">
      <c r="A4201" s="430">
        <v>1.1972582000194E13</v>
      </c>
      <c r="B4201" s="218" t="s">
        <v>4983</v>
      </c>
    </row>
    <row r="4202">
      <c r="A4202" s="430">
        <v>6.240727000122E12</v>
      </c>
      <c r="B4202" s="218" t="s">
        <v>4984</v>
      </c>
    </row>
    <row r="4203">
      <c r="A4203" s="430">
        <v>1.3195832000152E13</v>
      </c>
      <c r="B4203" s="218" t="s">
        <v>4985</v>
      </c>
    </row>
    <row r="4204">
      <c r="A4204" s="430">
        <v>5.014638000103E12</v>
      </c>
      <c r="B4204" s="218" t="s">
        <v>4986</v>
      </c>
    </row>
    <row r="4205">
      <c r="A4205" s="430">
        <v>6.07634000107E11</v>
      </c>
      <c r="B4205" s="218" t="s">
        <v>4987</v>
      </c>
    </row>
    <row r="4206">
      <c r="A4206" s="430">
        <v>7.88655700011E12</v>
      </c>
      <c r="B4206" s="218" t="s">
        <v>4988</v>
      </c>
    </row>
    <row r="4207">
      <c r="A4207" s="430">
        <v>8.042576000123E12</v>
      </c>
      <c r="B4207" s="218" t="s">
        <v>4989</v>
      </c>
    </row>
    <row r="4208">
      <c r="A4208" s="430">
        <v>7.56105000175E11</v>
      </c>
      <c r="B4208" s="218" t="s">
        <v>4990</v>
      </c>
    </row>
    <row r="4209">
      <c r="A4209" s="430">
        <v>1.073965300014E13</v>
      </c>
      <c r="B4209" s="218" t="s">
        <v>4991</v>
      </c>
    </row>
    <row r="4210">
      <c r="A4210" s="430">
        <v>7.83454000011E12</v>
      </c>
      <c r="B4210" s="218" t="s">
        <v>4992</v>
      </c>
    </row>
    <row r="4211">
      <c r="A4211" s="430">
        <v>1.0508381000178E13</v>
      </c>
      <c r="B4211" s="218" t="s">
        <v>4993</v>
      </c>
    </row>
    <row r="4212">
      <c r="A4212" s="430">
        <v>1.20439870001E13</v>
      </c>
      <c r="B4212" s="218" t="s">
        <v>4994</v>
      </c>
    </row>
    <row r="4213">
      <c r="A4213" s="430">
        <v>1.136562000014E13</v>
      </c>
      <c r="B4213" s="218" t="s">
        <v>4995</v>
      </c>
    </row>
    <row r="4214">
      <c r="A4214" s="430">
        <v>5.489410001486E12</v>
      </c>
      <c r="B4214" s="218" t="s">
        <v>4996</v>
      </c>
    </row>
    <row r="4215">
      <c r="A4215" s="430">
        <v>8.3565648000132E13</v>
      </c>
      <c r="B4215" s="218" t="s">
        <v>4997</v>
      </c>
    </row>
    <row r="4216">
      <c r="A4216" s="430">
        <v>8.0448574000166E13</v>
      </c>
      <c r="B4216" s="218" t="s">
        <v>4998</v>
      </c>
    </row>
    <row r="4217">
      <c r="A4217" s="430">
        <v>7.384591900015E13</v>
      </c>
      <c r="B4217" s="218" t="s">
        <v>4999</v>
      </c>
    </row>
    <row r="4218">
      <c r="A4218" s="430">
        <v>5.581215000167E12</v>
      </c>
      <c r="B4218" s="218" t="s">
        <v>5000</v>
      </c>
    </row>
    <row r="4219">
      <c r="A4219" s="430">
        <v>3.509036000193E12</v>
      </c>
      <c r="B4219" s="218" t="s">
        <v>5001</v>
      </c>
    </row>
    <row r="4220">
      <c r="A4220" s="430">
        <v>7.3628307000105E13</v>
      </c>
      <c r="B4220" s="218" t="s">
        <v>5002</v>
      </c>
    </row>
    <row r="4221">
      <c r="A4221" s="430">
        <v>8.8630413000281E13</v>
      </c>
      <c r="B4221" s="218" t="s">
        <v>5003</v>
      </c>
    </row>
    <row r="4222">
      <c r="A4222" s="430">
        <v>6.129351000183E12</v>
      </c>
      <c r="B4222" s="218" t="s">
        <v>5004</v>
      </c>
    </row>
    <row r="4223">
      <c r="A4223" s="430">
        <v>4.5987005011718E13</v>
      </c>
      <c r="B4223" s="218" t="s">
        <v>3110</v>
      </c>
    </row>
    <row r="4224">
      <c r="A4224" s="430">
        <v>1.134427300017E13</v>
      </c>
      <c r="B4224" s="218" t="s">
        <v>5005</v>
      </c>
    </row>
    <row r="4225">
      <c r="A4225" s="430">
        <v>9.26327900017E12</v>
      </c>
      <c r="B4225" s="218" t="s">
        <v>5006</v>
      </c>
    </row>
    <row r="4226">
      <c r="A4226" s="430">
        <v>8.123677000013E13</v>
      </c>
      <c r="B4226" s="218" t="s">
        <v>5007</v>
      </c>
    </row>
    <row r="4227">
      <c r="A4227" s="430">
        <v>3.68759200015E12</v>
      </c>
      <c r="B4227" s="218" t="s">
        <v>5008</v>
      </c>
    </row>
    <row r="4228">
      <c r="A4228" s="430">
        <v>9.267026000175E12</v>
      </c>
      <c r="B4228" s="218" t="s">
        <v>5009</v>
      </c>
    </row>
    <row r="4229">
      <c r="A4229" s="430">
        <v>9.5767943000231E13</v>
      </c>
      <c r="B4229" s="218" t="s">
        <v>5010</v>
      </c>
    </row>
    <row r="4230">
      <c r="A4230" s="430">
        <v>6.0563731000177E13</v>
      </c>
      <c r="B4230" s="218" t="s">
        <v>5011</v>
      </c>
    </row>
    <row r="4231">
      <c r="A4231" s="430">
        <v>7.4176520000196E13</v>
      </c>
      <c r="B4231" s="218" t="s">
        <v>5012</v>
      </c>
    </row>
    <row r="4232">
      <c r="A4232" s="430">
        <v>1.46483300001E13</v>
      </c>
      <c r="B4232" s="218" t="s">
        <v>5013</v>
      </c>
    </row>
    <row r="4233">
      <c r="A4233" s="430">
        <v>6.915605000199E12</v>
      </c>
      <c r="B4233" s="218" t="s">
        <v>5014</v>
      </c>
    </row>
    <row r="4234">
      <c r="A4234" s="430">
        <v>3.961467000196E12</v>
      </c>
      <c r="B4234" s="218" t="s">
        <v>5015</v>
      </c>
    </row>
    <row r="4235">
      <c r="A4235" s="430">
        <v>7.62199000195E11</v>
      </c>
      <c r="B4235" s="218" t="s">
        <v>5016</v>
      </c>
    </row>
    <row r="4236">
      <c r="A4236" s="430">
        <v>8.1022832000123E13</v>
      </c>
      <c r="B4236" s="218" t="s">
        <v>5017</v>
      </c>
    </row>
    <row r="4237">
      <c r="A4237" s="430">
        <v>5.24592800015E12</v>
      </c>
      <c r="B4237" s="218" t="s">
        <v>5018</v>
      </c>
    </row>
    <row r="4238">
      <c r="A4238" s="430">
        <v>9.58125000129E11</v>
      </c>
      <c r="B4238" s="218" t="s">
        <v>5019</v>
      </c>
    </row>
    <row r="4239">
      <c r="A4239" s="430">
        <v>1.1851308000167E13</v>
      </c>
      <c r="B4239" s="218" t="s">
        <v>5020</v>
      </c>
    </row>
    <row r="4240">
      <c r="A4240" s="430">
        <v>1.2118961000184E13</v>
      </c>
      <c r="B4240" s="218" t="s">
        <v>5021</v>
      </c>
    </row>
    <row r="4241">
      <c r="A4241" s="430">
        <v>5.309557000122E12</v>
      </c>
      <c r="B4241" s="218" t="s">
        <v>5022</v>
      </c>
    </row>
    <row r="4242">
      <c r="A4242" s="430">
        <v>6.218551000102E12</v>
      </c>
      <c r="B4242" s="218" t="s">
        <v>5023</v>
      </c>
    </row>
    <row r="4243">
      <c r="A4243" s="430">
        <v>2.482005000126E12</v>
      </c>
      <c r="B4243" s="218" t="s">
        <v>5024</v>
      </c>
    </row>
    <row r="4244">
      <c r="A4244" s="430">
        <v>5.7494031001054E13</v>
      </c>
      <c r="B4244" s="218" t="s">
        <v>4724</v>
      </c>
    </row>
    <row r="4245">
      <c r="A4245" s="430">
        <v>2.449992000326E12</v>
      </c>
      <c r="B4245" s="218" t="s">
        <v>5025</v>
      </c>
    </row>
    <row r="4246">
      <c r="A4246" s="430">
        <v>3.333889000117E12</v>
      </c>
      <c r="B4246" s="218" t="s">
        <v>5026</v>
      </c>
    </row>
    <row r="4247">
      <c r="A4247" s="430">
        <v>1.4676091000194E13</v>
      </c>
      <c r="B4247" s="218" t="s">
        <v>5027</v>
      </c>
    </row>
    <row r="4248">
      <c r="A4248" s="430">
        <v>8.4683481010563E13</v>
      </c>
      <c r="B4248" s="218" t="s">
        <v>5028</v>
      </c>
    </row>
    <row r="4249">
      <c r="A4249" s="430">
        <v>8.923791100014E13</v>
      </c>
      <c r="B4249" s="218" t="s">
        <v>5029</v>
      </c>
    </row>
    <row r="4250">
      <c r="A4250" s="430">
        <v>1.093029000128E12</v>
      </c>
      <c r="B4250" s="218" t="s">
        <v>5030</v>
      </c>
    </row>
    <row r="4251">
      <c r="A4251" s="430">
        <v>8.2696295000147E13</v>
      </c>
      <c r="B4251" s="218" t="s">
        <v>5031</v>
      </c>
    </row>
    <row r="4252">
      <c r="A4252" s="430">
        <v>1.899538300014E13</v>
      </c>
      <c r="B4252" s="218" t="s">
        <v>5032</v>
      </c>
    </row>
    <row r="4253">
      <c r="A4253" s="430">
        <v>2.558157001304E12</v>
      </c>
      <c r="B4253" s="218" t="s">
        <v>5033</v>
      </c>
    </row>
    <row r="4254">
      <c r="A4254" s="430">
        <v>1.353356800011E13</v>
      </c>
      <c r="B4254" s="218" t="s">
        <v>5034</v>
      </c>
    </row>
    <row r="4255">
      <c r="A4255" s="430">
        <v>1.8537026000139E13</v>
      </c>
      <c r="B4255" s="218" t="s">
        <v>5035</v>
      </c>
    </row>
    <row r="4256">
      <c r="A4256" s="430">
        <v>9.2232081000173E13</v>
      </c>
      <c r="B4256" s="218" t="s">
        <v>5036</v>
      </c>
    </row>
    <row r="4257">
      <c r="A4257" s="430">
        <v>1.3074865000144E13</v>
      </c>
      <c r="B4257" s="218" t="s">
        <v>5037</v>
      </c>
    </row>
    <row r="4258">
      <c r="A4258" s="430">
        <v>5.333907000196E12</v>
      </c>
      <c r="B4258" s="218" t="s">
        <v>5038</v>
      </c>
    </row>
    <row r="4259">
      <c r="A4259" s="430">
        <v>1.3011644000127E13</v>
      </c>
      <c r="B4259" s="218" t="s">
        <v>5039</v>
      </c>
    </row>
    <row r="4260">
      <c r="A4260" s="430">
        <v>1.2008002000106E13</v>
      </c>
      <c r="B4260" s="218" t="s">
        <v>5040</v>
      </c>
    </row>
    <row r="4261">
      <c r="A4261" s="430">
        <v>1.862502600019E13</v>
      </c>
      <c r="B4261" s="218" t="s">
        <v>5041</v>
      </c>
    </row>
    <row r="4262">
      <c r="A4262" s="430">
        <v>1.0764690000109E13</v>
      </c>
      <c r="B4262" s="218" t="s">
        <v>5042</v>
      </c>
    </row>
    <row r="4263">
      <c r="A4263" s="430">
        <v>2.609054000184E12</v>
      </c>
      <c r="B4263" s="218" t="s">
        <v>5043</v>
      </c>
    </row>
    <row r="4264">
      <c r="A4264" s="430">
        <v>2.3103993000122E13</v>
      </c>
      <c r="B4264" s="218" t="s">
        <v>5044</v>
      </c>
    </row>
    <row r="4265">
      <c r="A4265" s="430">
        <v>3.92645700011E12</v>
      </c>
      <c r="B4265" s="218" t="s">
        <v>5045</v>
      </c>
    </row>
    <row r="4266">
      <c r="A4266" s="430">
        <v>5.4318500018E11</v>
      </c>
      <c r="B4266" s="218" t="s">
        <v>5046</v>
      </c>
    </row>
    <row r="4267">
      <c r="A4267" s="430">
        <v>9.18328100013E12</v>
      </c>
      <c r="B4267" s="218" t="s">
        <v>5047</v>
      </c>
    </row>
    <row r="4268">
      <c r="A4268" s="430">
        <v>7.8499019000111E13</v>
      </c>
      <c r="B4268" s="218" t="s">
        <v>5048</v>
      </c>
    </row>
    <row r="4269">
      <c r="A4269" s="430">
        <v>7.238962000122E12</v>
      </c>
      <c r="B4269" s="218" t="s">
        <v>5049</v>
      </c>
    </row>
    <row r="4270">
      <c r="A4270" s="430">
        <v>8.3845701000159E13</v>
      </c>
      <c r="B4270" s="218" t="s">
        <v>5050</v>
      </c>
    </row>
    <row r="4271">
      <c r="A4271" s="430">
        <v>7.12543900019E12</v>
      </c>
      <c r="B4271" s="218" t="s">
        <v>5051</v>
      </c>
    </row>
    <row r="4272">
      <c r="A4272" s="430">
        <v>2.052043000146E12</v>
      </c>
      <c r="B4272" s="218" t="s">
        <v>5052</v>
      </c>
    </row>
    <row r="4273">
      <c r="A4273" s="430">
        <v>8.233093700019E13</v>
      </c>
      <c r="B4273" s="218" t="s">
        <v>5053</v>
      </c>
    </row>
    <row r="4274">
      <c r="A4274" s="430">
        <v>1.3016749000179E13</v>
      </c>
      <c r="B4274" s="218" t="s">
        <v>5054</v>
      </c>
    </row>
    <row r="4275">
      <c r="A4275" s="430">
        <v>9.549705000137E12</v>
      </c>
      <c r="B4275" s="218" t="s">
        <v>5055</v>
      </c>
    </row>
    <row r="4276">
      <c r="A4276" s="430">
        <v>9.7542724000107E13</v>
      </c>
      <c r="B4276" s="218" t="s">
        <v>5056</v>
      </c>
    </row>
    <row r="4277">
      <c r="A4277" s="430">
        <v>8.6445293000306E13</v>
      </c>
      <c r="B4277" s="218" t="s">
        <v>5057</v>
      </c>
    </row>
    <row r="4278">
      <c r="A4278" s="430">
        <v>3.3621384000119E13</v>
      </c>
      <c r="B4278" s="218" t="s">
        <v>5058</v>
      </c>
    </row>
    <row r="4279">
      <c r="A4279" s="430">
        <v>5.21260300017E12</v>
      </c>
      <c r="B4279" s="218" t="s">
        <v>5059</v>
      </c>
    </row>
    <row r="4280">
      <c r="A4280" s="430">
        <v>3.548619000123E12</v>
      </c>
      <c r="B4280" s="218" t="s">
        <v>5060</v>
      </c>
    </row>
    <row r="4281">
      <c r="A4281" s="430">
        <v>7.8214905000151E13</v>
      </c>
      <c r="B4281" s="218" t="s">
        <v>5061</v>
      </c>
    </row>
    <row r="4282">
      <c r="A4282" s="430">
        <v>7.698920000174E12</v>
      </c>
      <c r="B4282" s="218" t="s">
        <v>5062</v>
      </c>
    </row>
    <row r="4283">
      <c r="A4283" s="430">
        <v>1.445033000108E12</v>
      </c>
      <c r="B4283" s="218" t="s">
        <v>5063</v>
      </c>
    </row>
    <row r="4284">
      <c r="A4284" s="430">
        <v>8.457452000109E12</v>
      </c>
      <c r="B4284" s="218" t="s">
        <v>5064</v>
      </c>
    </row>
    <row r="4285">
      <c r="A4285" s="430">
        <v>8.5199743000195E13</v>
      </c>
      <c r="B4285" s="218" t="s">
        <v>5065</v>
      </c>
    </row>
    <row r="4286">
      <c r="A4286" s="430">
        <v>7.278463000169E12</v>
      </c>
      <c r="B4286" s="218" t="s">
        <v>5066</v>
      </c>
    </row>
    <row r="4287">
      <c r="A4287" s="430">
        <v>2.156782000188E12</v>
      </c>
      <c r="B4287" s="218" t="s">
        <v>5067</v>
      </c>
    </row>
    <row r="4288">
      <c r="A4288" s="430">
        <v>7.05598700019E12</v>
      </c>
      <c r="B4288" s="218" t="s">
        <v>5068</v>
      </c>
    </row>
    <row r="4289">
      <c r="A4289" s="430">
        <v>3.811553000112E12</v>
      </c>
      <c r="B4289" s="218" t="s">
        <v>5069</v>
      </c>
    </row>
    <row r="4290">
      <c r="A4290" s="430">
        <v>9.172509000196E12</v>
      </c>
      <c r="B4290" s="218" t="s">
        <v>5070</v>
      </c>
    </row>
    <row r="4291">
      <c r="A4291" s="430">
        <v>1.765480000144E12</v>
      </c>
      <c r="B4291" s="218" t="s">
        <v>5071</v>
      </c>
    </row>
    <row r="4292">
      <c r="A4292" s="430">
        <v>1.2780988000138E13</v>
      </c>
      <c r="B4292" s="218" t="s">
        <v>5072</v>
      </c>
    </row>
    <row r="4293">
      <c r="A4293" s="430">
        <v>1.0319856000188E13</v>
      </c>
      <c r="B4293" s="218" t="s">
        <v>5073</v>
      </c>
    </row>
    <row r="4294">
      <c r="A4294" s="430">
        <v>3.95228000128E11</v>
      </c>
      <c r="B4294" s="218" t="s">
        <v>5074</v>
      </c>
    </row>
    <row r="4295">
      <c r="A4295" s="430">
        <v>4.204407000191E12</v>
      </c>
      <c r="B4295" s="218" t="s">
        <v>5075</v>
      </c>
    </row>
    <row r="4296">
      <c r="A4296" s="430">
        <v>1.554906100018E13</v>
      </c>
      <c r="B4296" s="218" t="s">
        <v>5076</v>
      </c>
    </row>
    <row r="4297">
      <c r="A4297" s="430">
        <v>6.28017800011E12</v>
      </c>
      <c r="B4297" s="218" t="s">
        <v>5077</v>
      </c>
    </row>
    <row r="4298">
      <c r="A4298" s="430">
        <v>3.773524000103E12</v>
      </c>
      <c r="B4298" s="218" t="s">
        <v>5078</v>
      </c>
    </row>
    <row r="4299">
      <c r="A4299" s="430">
        <v>2.57842100012E12</v>
      </c>
      <c r="B4299" s="218" t="s">
        <v>5079</v>
      </c>
    </row>
    <row r="4300">
      <c r="A4300" s="430">
        <v>3.711228000188E12</v>
      </c>
      <c r="B4300" s="218" t="s">
        <v>5080</v>
      </c>
    </row>
    <row r="4301">
      <c r="A4301" s="430">
        <v>1.44773700011E12</v>
      </c>
      <c r="B4301" s="218" t="s">
        <v>5081</v>
      </c>
    </row>
    <row r="4302">
      <c r="A4302" s="430">
        <v>3.288542000108E12</v>
      </c>
      <c r="B4302" s="218" t="s">
        <v>5082</v>
      </c>
    </row>
    <row r="4303">
      <c r="A4303" s="430">
        <v>7.830105000117E12</v>
      </c>
      <c r="B4303" s="218" t="s">
        <v>5083</v>
      </c>
    </row>
    <row r="4304">
      <c r="A4304" s="430">
        <v>1.1027350000168E13</v>
      </c>
      <c r="B4304" s="218" t="s">
        <v>5084</v>
      </c>
    </row>
    <row r="4305">
      <c r="A4305" s="430">
        <v>1.0305434000153E13</v>
      </c>
      <c r="B4305" s="218" t="s">
        <v>5085</v>
      </c>
    </row>
    <row r="4306">
      <c r="A4306" s="430">
        <v>3.874953000177E12</v>
      </c>
      <c r="B4306" s="218" t="s">
        <v>5086</v>
      </c>
    </row>
    <row r="4307">
      <c r="A4307" s="430">
        <v>1.3598570000177E13</v>
      </c>
      <c r="B4307" s="218" t="s">
        <v>5087</v>
      </c>
    </row>
    <row r="4308">
      <c r="A4308" s="430">
        <v>1.646360100017E13</v>
      </c>
      <c r="B4308" s="218" t="s">
        <v>5088</v>
      </c>
    </row>
    <row r="4309">
      <c r="A4309" s="430">
        <v>1.073965200014E13</v>
      </c>
      <c r="B4309" s="218" t="s">
        <v>4991</v>
      </c>
    </row>
    <row r="4310">
      <c r="A4310" s="430">
        <v>1.4012375000186E13</v>
      </c>
      <c r="B4310" s="218" t="s">
        <v>5089</v>
      </c>
    </row>
    <row r="4311">
      <c r="A4311" s="430">
        <v>1.5209697000182E13</v>
      </c>
      <c r="B4311" s="218" t="s">
        <v>5090</v>
      </c>
    </row>
    <row r="4312">
      <c r="A4312" s="430">
        <v>1.7931740001E12</v>
      </c>
      <c r="B4312" s="218" t="s">
        <v>5091</v>
      </c>
    </row>
    <row r="4313">
      <c r="A4313" s="430">
        <v>1.79331740001E13</v>
      </c>
      <c r="B4313" s="218" t="s">
        <v>5091</v>
      </c>
    </row>
    <row r="4314">
      <c r="A4314" s="430">
        <v>6.199829000141E12</v>
      </c>
      <c r="B4314" s="218" t="s">
        <v>5092</v>
      </c>
    </row>
    <row r="4315">
      <c r="A4315" s="430">
        <v>9.547021000104E12</v>
      </c>
      <c r="B4315" s="218" t="s">
        <v>5093</v>
      </c>
    </row>
    <row r="4316">
      <c r="A4316" s="430">
        <v>3.805783000179E12</v>
      </c>
      <c r="B4316" s="218" t="s">
        <v>5094</v>
      </c>
    </row>
    <row r="4317">
      <c r="A4317" s="430">
        <v>8.2970302000157E13</v>
      </c>
      <c r="B4317" s="218" t="s">
        <v>5095</v>
      </c>
    </row>
    <row r="4318">
      <c r="A4318" s="430">
        <v>8.5240869000328E13</v>
      </c>
      <c r="B4318" s="218" t="s">
        <v>5096</v>
      </c>
    </row>
    <row r="4319">
      <c r="A4319" s="430">
        <v>7.22909300017E12</v>
      </c>
      <c r="B4319" s="218" t="s">
        <v>5097</v>
      </c>
    </row>
    <row r="4320">
      <c r="A4320" s="430">
        <v>9.0354796000173E13</v>
      </c>
      <c r="B4320" s="218" t="s">
        <v>5098</v>
      </c>
    </row>
    <row r="4321">
      <c r="A4321" s="430">
        <v>5.085461000128E12</v>
      </c>
      <c r="B4321" s="218" t="s">
        <v>5099</v>
      </c>
    </row>
    <row r="4322">
      <c r="A4322" s="430">
        <v>1.1292635000126E13</v>
      </c>
      <c r="B4322" s="218" t="s">
        <v>5100</v>
      </c>
    </row>
    <row r="4323">
      <c r="A4323" s="430">
        <v>1.0449867000182E13</v>
      </c>
      <c r="B4323" s="218" t="s">
        <v>5101</v>
      </c>
    </row>
    <row r="4324">
      <c r="A4324" s="430">
        <v>1.1546904000133E13</v>
      </c>
      <c r="B4324" s="218" t="s">
        <v>5102</v>
      </c>
    </row>
    <row r="4325">
      <c r="A4325" s="430">
        <v>8.6378866000156E13</v>
      </c>
      <c r="B4325" s="218" t="s">
        <v>5103</v>
      </c>
    </row>
    <row r="4326">
      <c r="A4326" s="430">
        <v>1.3293921000131E13</v>
      </c>
      <c r="B4326" s="218" t="s">
        <v>5104</v>
      </c>
    </row>
    <row r="4327">
      <c r="A4327" s="430">
        <v>3.018699000105E12</v>
      </c>
      <c r="B4327" s="218" t="s">
        <v>5105</v>
      </c>
    </row>
    <row r="4328">
      <c r="A4328" s="430">
        <v>4.58770100012E12</v>
      </c>
      <c r="B4328" s="218" t="s">
        <v>5106</v>
      </c>
    </row>
    <row r="4329">
      <c r="A4329" s="430">
        <v>4.00119000151E11</v>
      </c>
      <c r="B4329" s="218" t="s">
        <v>5107</v>
      </c>
    </row>
    <row r="4330">
      <c r="A4330" s="430">
        <v>1.7670782000179E13</v>
      </c>
      <c r="B4330" s="218" t="s">
        <v>5108</v>
      </c>
    </row>
    <row r="4331">
      <c r="A4331" s="430">
        <v>1.7652126000143E13</v>
      </c>
      <c r="B4331" s="218" t="s">
        <v>5109</v>
      </c>
    </row>
    <row r="4332">
      <c r="A4332" s="430">
        <v>8.001300001E9</v>
      </c>
      <c r="B4332" s="218" t="s">
        <v>5110</v>
      </c>
    </row>
    <row r="4333">
      <c r="A4333" s="430">
        <v>5.0252188000133E13</v>
      </c>
      <c r="B4333" s="218" t="s">
        <v>5111</v>
      </c>
    </row>
    <row r="4334">
      <c r="A4334" s="430">
        <v>6.172508000153E12</v>
      </c>
      <c r="B4334" s="218" t="s">
        <v>5112</v>
      </c>
    </row>
    <row r="4335">
      <c r="A4335" s="430">
        <v>3.504465000178E12</v>
      </c>
      <c r="B4335" s="218" t="s">
        <v>5113</v>
      </c>
    </row>
    <row r="4336">
      <c r="A4336" s="430">
        <v>7.80448000175E11</v>
      </c>
      <c r="B4336" s="218" t="s">
        <v>5114</v>
      </c>
    </row>
    <row r="4337">
      <c r="A4337" s="430">
        <v>3.922565000114E12</v>
      </c>
      <c r="B4337" s="218" t="s">
        <v>5115</v>
      </c>
    </row>
    <row r="4338">
      <c r="A4338" s="430">
        <v>4.16694300014E12</v>
      </c>
      <c r="B4338" s="218" t="s">
        <v>5116</v>
      </c>
    </row>
    <row r="4339">
      <c r="A4339" s="430">
        <v>7.065674000113E12</v>
      </c>
      <c r="B4339" s="218" t="s">
        <v>5117</v>
      </c>
    </row>
    <row r="4340">
      <c r="A4340" s="430">
        <v>9.4745200001E12</v>
      </c>
      <c r="B4340" s="218" t="s">
        <v>5118</v>
      </c>
    </row>
    <row r="4341">
      <c r="A4341" s="430">
        <v>1.0462154000159E13</v>
      </c>
      <c r="B4341" s="218" t="s">
        <v>5119</v>
      </c>
    </row>
    <row r="4342">
      <c r="A4342" s="430">
        <v>4.14607001947E11</v>
      </c>
      <c r="B4342" s="218" t="s">
        <v>5120</v>
      </c>
    </row>
    <row r="4343">
      <c r="A4343" s="430">
        <v>8.3214833000182E13</v>
      </c>
      <c r="B4343" s="218" t="s">
        <v>5121</v>
      </c>
    </row>
    <row r="4344">
      <c r="A4344" s="430">
        <v>4.117346000125E12</v>
      </c>
      <c r="B4344" s="218" t="s">
        <v>5122</v>
      </c>
    </row>
    <row r="4345">
      <c r="A4345" s="430">
        <v>8.5174969000131E13</v>
      </c>
      <c r="B4345" s="218" t="s">
        <v>5123</v>
      </c>
    </row>
    <row r="4346">
      <c r="A4346" s="430">
        <v>5.53964500011E12</v>
      </c>
      <c r="B4346" s="218" t="s">
        <v>5124</v>
      </c>
    </row>
    <row r="4347">
      <c r="A4347" s="430">
        <v>6.915456000168E12</v>
      </c>
      <c r="B4347" s="218" t="s">
        <v>5125</v>
      </c>
    </row>
    <row r="4348">
      <c r="A4348" s="430">
        <v>8.984746000199E12</v>
      </c>
      <c r="B4348" s="218" t="s">
        <v>5126</v>
      </c>
    </row>
    <row r="4349">
      <c r="A4349" s="430">
        <v>7.401197400107E12</v>
      </c>
      <c r="B4349" s="218" t="s">
        <v>5127</v>
      </c>
    </row>
    <row r="4350">
      <c r="A4350" s="430">
        <v>7.4011974000107E13</v>
      </c>
      <c r="B4350" s="218" t="s">
        <v>5128</v>
      </c>
    </row>
    <row r="4351">
      <c r="A4351" s="430">
        <v>1.5135210000164E13</v>
      </c>
      <c r="B4351" s="218" t="s">
        <v>5129</v>
      </c>
    </row>
    <row r="4352">
      <c r="A4352" s="430">
        <v>1.0459108000109E13</v>
      </c>
      <c r="B4352" s="218" t="s">
        <v>5130</v>
      </c>
    </row>
    <row r="4353">
      <c r="A4353" s="430">
        <v>1.06547630001E13</v>
      </c>
      <c r="B4353" s="218" t="s">
        <v>5131</v>
      </c>
    </row>
    <row r="4354">
      <c r="A4354" s="430">
        <v>2.180325000013E13</v>
      </c>
      <c r="B4354" s="218" t="s">
        <v>5132</v>
      </c>
    </row>
    <row r="4355">
      <c r="A4355" s="430">
        <v>5.570350000107E12</v>
      </c>
      <c r="B4355" s="218" t="s">
        <v>5133</v>
      </c>
    </row>
    <row r="4356">
      <c r="A4356" s="430">
        <v>7.8651973000188E13</v>
      </c>
      <c r="B4356" s="218" t="s">
        <v>5134</v>
      </c>
    </row>
    <row r="4357">
      <c r="A4357" s="430">
        <v>8.3240333002088E13</v>
      </c>
      <c r="B4357" s="218" t="s">
        <v>5135</v>
      </c>
    </row>
    <row r="4358">
      <c r="A4358" s="430">
        <v>8.2662958000102E13</v>
      </c>
      <c r="B4358" s="218" t="s">
        <v>5136</v>
      </c>
    </row>
    <row r="4359">
      <c r="A4359" s="430" t="s">
        <v>5137</v>
      </c>
      <c r="B4359" s="218" t="s">
        <v>5138</v>
      </c>
    </row>
    <row r="4360">
      <c r="A4360" s="430">
        <v>1.3611994000124E13</v>
      </c>
      <c r="B4360" s="218" t="s">
        <v>5139</v>
      </c>
    </row>
    <row r="4361">
      <c r="A4361" s="430">
        <v>2.3419450001E12</v>
      </c>
      <c r="B4361" s="218" t="s">
        <v>5140</v>
      </c>
    </row>
    <row r="4362">
      <c r="A4362" s="430">
        <v>3.71228000188E11</v>
      </c>
      <c r="B4362" s="218" t="s">
        <v>5141</v>
      </c>
    </row>
    <row r="4363">
      <c r="A4363" s="430">
        <v>1.0431383000106E13</v>
      </c>
      <c r="B4363" s="218" t="s">
        <v>5142</v>
      </c>
    </row>
    <row r="4364">
      <c r="A4364" s="430">
        <v>8.2975236000108E13</v>
      </c>
      <c r="B4364" s="218" t="s">
        <v>5143</v>
      </c>
    </row>
    <row r="4365">
      <c r="A4365" s="430">
        <v>4.9058654000165E13</v>
      </c>
      <c r="B4365" s="218" t="s">
        <v>5144</v>
      </c>
    </row>
    <row r="4366">
      <c r="A4366" s="430">
        <v>7.8818291000117E13</v>
      </c>
      <c r="B4366" s="218" t="s">
        <v>5145</v>
      </c>
    </row>
    <row r="4367">
      <c r="A4367" s="430">
        <v>2.053720100013E13</v>
      </c>
      <c r="B4367" s="218" t="s">
        <v>5146</v>
      </c>
    </row>
    <row r="4368">
      <c r="A4368" s="430">
        <v>7.081231000116E12</v>
      </c>
      <c r="B4368" s="218" t="s">
        <v>5147</v>
      </c>
    </row>
    <row r="4369">
      <c r="A4369" s="430">
        <v>2.1922841000126E13</v>
      </c>
      <c r="B4369" s="218" t="s">
        <v>5148</v>
      </c>
    </row>
    <row r="4370">
      <c r="A4370" s="430">
        <v>1.622670000102E12</v>
      </c>
      <c r="B4370" s="218" t="s">
        <v>5149</v>
      </c>
    </row>
    <row r="4371">
      <c r="A4371" s="430">
        <v>8.087401000132E12</v>
      </c>
      <c r="B4371" s="218" t="s">
        <v>5150</v>
      </c>
    </row>
    <row r="4372">
      <c r="A4372" s="430">
        <v>7.016633000137E12</v>
      </c>
      <c r="B4372" s="218" t="s">
        <v>5151</v>
      </c>
    </row>
    <row r="4373">
      <c r="A4373" s="430">
        <v>4.79196700019E12</v>
      </c>
      <c r="B4373" s="218" t="s">
        <v>5152</v>
      </c>
    </row>
    <row r="4374">
      <c r="A4374" s="430">
        <v>1.523959000174E12</v>
      </c>
      <c r="B4374" s="218" t="s">
        <v>5153</v>
      </c>
    </row>
    <row r="4375">
      <c r="A4375" s="430">
        <v>1.0291881000109E13</v>
      </c>
      <c r="B4375" s="218" t="s">
        <v>5154</v>
      </c>
    </row>
    <row r="4376">
      <c r="A4376" s="430">
        <v>4.961060000121E12</v>
      </c>
      <c r="B4376" s="218" t="s">
        <v>5155</v>
      </c>
    </row>
    <row r="4377">
      <c r="A4377" s="430">
        <v>5.103524400014E13</v>
      </c>
      <c r="B4377" s="218" t="s">
        <v>5156</v>
      </c>
    </row>
    <row r="4378">
      <c r="A4378" s="430">
        <v>1.2281585000144E13</v>
      </c>
      <c r="B4378" s="218" t="s">
        <v>5157</v>
      </c>
    </row>
    <row r="4379">
      <c r="A4379" s="430">
        <v>8.2939380000199E13</v>
      </c>
      <c r="B4379" s="218" t="s">
        <v>5158</v>
      </c>
    </row>
    <row r="4380">
      <c r="A4380" s="430">
        <v>6.224123000192E12</v>
      </c>
      <c r="B4380" s="218" t="s">
        <v>5159</v>
      </c>
    </row>
    <row r="4381">
      <c r="A4381" s="430">
        <v>1.0506650000248E13</v>
      </c>
      <c r="B4381" s="218" t="s">
        <v>5160</v>
      </c>
    </row>
    <row r="4382">
      <c r="A4382" s="430">
        <v>1.3323507000128E13</v>
      </c>
      <c r="B4382" s="218" t="s">
        <v>5161</v>
      </c>
    </row>
    <row r="4383">
      <c r="A4383" s="430">
        <v>9.00627800014E12</v>
      </c>
      <c r="B4383" s="218" t="s">
        <v>5162</v>
      </c>
    </row>
    <row r="4384">
      <c r="A4384" s="430">
        <v>5.388357000102E12</v>
      </c>
      <c r="B4384" s="218" t="s">
        <v>5163</v>
      </c>
    </row>
    <row r="4385">
      <c r="A4385" s="430">
        <v>1.873531900012E13</v>
      </c>
      <c r="B4385" s="218" t="s">
        <v>5164</v>
      </c>
    </row>
    <row r="4386">
      <c r="A4386" s="430">
        <v>1.7015086000129E13</v>
      </c>
      <c r="B4386" s="218" t="s">
        <v>5165</v>
      </c>
    </row>
    <row r="4387">
      <c r="A4387" s="430">
        <v>1.0783282000102E13</v>
      </c>
      <c r="B4387" s="218" t="s">
        <v>5166</v>
      </c>
    </row>
    <row r="4388">
      <c r="A4388" s="430">
        <v>3.573431800018E13</v>
      </c>
      <c r="B4388" s="218" t="s">
        <v>5167</v>
      </c>
    </row>
    <row r="4389">
      <c r="A4389" s="430">
        <v>3.326815000153E12</v>
      </c>
      <c r="B4389" s="218" t="s">
        <v>5168</v>
      </c>
    </row>
    <row r="4390">
      <c r="A4390" s="430">
        <v>4.206764000199E12</v>
      </c>
      <c r="B4390" s="218" t="s">
        <v>5169</v>
      </c>
    </row>
    <row r="4391">
      <c r="A4391" s="430">
        <v>1.1003272000161E13</v>
      </c>
      <c r="B4391" s="218" t="s">
        <v>5170</v>
      </c>
    </row>
    <row r="4392">
      <c r="A4392" s="430">
        <v>6.114034900089E13</v>
      </c>
      <c r="B4392" s="218" t="s">
        <v>4693</v>
      </c>
    </row>
    <row r="4393">
      <c r="A4393" s="430">
        <v>9.220632000135E12</v>
      </c>
      <c r="B4393" s="218" t="s">
        <v>5171</v>
      </c>
    </row>
    <row r="4394">
      <c r="A4394" s="430">
        <v>7.158643000107E12</v>
      </c>
      <c r="B4394" s="218" t="s">
        <v>5172</v>
      </c>
    </row>
    <row r="4395">
      <c r="A4395" s="430">
        <v>4.022633000151E12</v>
      </c>
      <c r="B4395" s="218" t="s">
        <v>5173</v>
      </c>
    </row>
    <row r="4396">
      <c r="A4396" s="430">
        <v>1.4455986000107E13</v>
      </c>
      <c r="B4396" s="218" t="s">
        <v>5174</v>
      </c>
    </row>
    <row r="4397">
      <c r="A4397" s="430">
        <v>7.305218000101E12</v>
      </c>
      <c r="B4397" s="218" t="s">
        <v>5175</v>
      </c>
    </row>
    <row r="4398">
      <c r="A4398" s="430">
        <v>7.48727700013E12</v>
      </c>
      <c r="B4398" s="218" t="s">
        <v>5176</v>
      </c>
    </row>
    <row r="4399">
      <c r="A4399" s="430">
        <v>9.346825000137E12</v>
      </c>
      <c r="B4399" s="218" t="s">
        <v>5177</v>
      </c>
    </row>
    <row r="4400">
      <c r="A4400" s="430">
        <v>1.9658645000144E13</v>
      </c>
      <c r="B4400" s="218" t="s">
        <v>5178</v>
      </c>
    </row>
    <row r="4401">
      <c r="A4401" s="430">
        <v>1.6743543000139E13</v>
      </c>
      <c r="B4401" s="218" t="s">
        <v>5179</v>
      </c>
    </row>
    <row r="4402">
      <c r="A4402" s="430">
        <v>8.057453000166E12</v>
      </c>
      <c r="B4402" s="218" t="s">
        <v>5180</v>
      </c>
    </row>
    <row r="4403">
      <c r="A4403" s="430">
        <v>9.503336000141E12</v>
      </c>
      <c r="B4403" s="218" t="s">
        <v>5181</v>
      </c>
    </row>
    <row r="4404">
      <c r="A4404" s="430">
        <v>3.777442000137E12</v>
      </c>
      <c r="B4404" s="218" t="s">
        <v>5182</v>
      </c>
    </row>
    <row r="4405">
      <c r="A4405" s="430">
        <v>6.787479000134E12</v>
      </c>
      <c r="B4405" s="218" t="s">
        <v>5183</v>
      </c>
    </row>
    <row r="4406">
      <c r="A4406" s="430">
        <v>4.305110000112E12</v>
      </c>
      <c r="B4406" s="218" t="s">
        <v>5184</v>
      </c>
    </row>
    <row r="4407">
      <c r="A4407" s="430">
        <v>3.438228000156E12</v>
      </c>
      <c r="B4407" s="218" t="s">
        <v>5185</v>
      </c>
    </row>
    <row r="4408">
      <c r="A4408" s="430">
        <v>9.17247300014E12</v>
      </c>
      <c r="B4408" s="218" t="s">
        <v>5186</v>
      </c>
    </row>
    <row r="4409">
      <c r="A4409" s="430">
        <v>9.548709000109E12</v>
      </c>
      <c r="B4409" s="218" t="s">
        <v>5187</v>
      </c>
    </row>
    <row r="4410">
      <c r="A4410" s="430">
        <v>5.054486000164E12</v>
      </c>
      <c r="B4410" s="218" t="s">
        <v>5188</v>
      </c>
    </row>
    <row r="4411">
      <c r="A4411" s="430">
        <v>4.890025000169E12</v>
      </c>
      <c r="B4411" s="218" t="s">
        <v>5189</v>
      </c>
    </row>
    <row r="4412">
      <c r="A4412" s="430">
        <v>7.682734400013E13</v>
      </c>
      <c r="B4412" s="218" t="s">
        <v>5190</v>
      </c>
    </row>
    <row r="4413">
      <c r="A4413" s="430">
        <v>1.0536294000124E13</v>
      </c>
      <c r="B4413" s="218" t="s">
        <v>5191</v>
      </c>
    </row>
    <row r="4414">
      <c r="A4414" s="430">
        <v>1.775215000147E12</v>
      </c>
      <c r="B4414" s="218" t="s">
        <v>5192</v>
      </c>
    </row>
    <row r="4415">
      <c r="A4415" s="430">
        <v>8.0756893E7</v>
      </c>
      <c r="B4415" s="218" t="s">
        <v>5193</v>
      </c>
    </row>
    <row r="4416">
      <c r="A4416" s="430">
        <v>5.7978850000186E13</v>
      </c>
      <c r="B4416" s="218" t="s">
        <v>5194</v>
      </c>
    </row>
    <row r="4417">
      <c r="A4417" s="430">
        <v>3.244096000121E12</v>
      </c>
      <c r="B4417" s="218" t="s">
        <v>5195</v>
      </c>
    </row>
    <row r="4418">
      <c r="A4418" s="430">
        <v>1.3901573000138E13</v>
      </c>
      <c r="B4418" s="218" t="s">
        <v>5196</v>
      </c>
    </row>
    <row r="4419">
      <c r="A4419" s="430">
        <v>2.12655000123E11</v>
      </c>
      <c r="B4419" s="218" t="s">
        <v>5197</v>
      </c>
    </row>
    <row r="4420">
      <c r="A4420" s="430">
        <v>3.314723000153E12</v>
      </c>
      <c r="B4420" s="218" t="s">
        <v>5198</v>
      </c>
    </row>
    <row r="4421">
      <c r="A4421" s="430">
        <v>1.2593397000151E13</v>
      </c>
      <c r="B4421" s="218" t="s">
        <v>5199</v>
      </c>
    </row>
    <row r="4422">
      <c r="A4422" s="430">
        <v>4.447180000105E12</v>
      </c>
      <c r="B4422" s="218" t="s">
        <v>5200</v>
      </c>
    </row>
    <row r="4423">
      <c r="A4423" s="430">
        <v>1.4233090000175E13</v>
      </c>
      <c r="B4423" s="218" t="s">
        <v>5201</v>
      </c>
    </row>
    <row r="4424">
      <c r="A4424" s="430">
        <v>9.116592000186E12</v>
      </c>
      <c r="B4424" s="218" t="s">
        <v>5202</v>
      </c>
    </row>
    <row r="4425">
      <c r="A4425" s="430">
        <v>3.353048601426E13</v>
      </c>
      <c r="B4425" s="218" t="s">
        <v>5203</v>
      </c>
    </row>
    <row r="4426">
      <c r="A4426" s="430">
        <v>4.0432544000147E13</v>
      </c>
      <c r="B4426" s="218" t="s">
        <v>5204</v>
      </c>
    </row>
    <row r="4427">
      <c r="A4427" s="430">
        <v>7.883399300017E13</v>
      </c>
      <c r="B4427" s="218" t="s">
        <v>5205</v>
      </c>
    </row>
    <row r="4428">
      <c r="A4428" s="430">
        <v>1.7688181000193E13</v>
      </c>
      <c r="B4428" s="218" t="s">
        <v>5206</v>
      </c>
    </row>
    <row r="4429">
      <c r="A4429" s="430">
        <v>1.144725200018E13</v>
      </c>
      <c r="B4429" s="218" t="s">
        <v>5207</v>
      </c>
    </row>
    <row r="4430">
      <c r="A4430" s="430">
        <v>4.445673000106E12</v>
      </c>
      <c r="B4430" s="218" t="s">
        <v>5208</v>
      </c>
    </row>
    <row r="4431">
      <c r="A4431" s="430">
        <v>2.11435000185E11</v>
      </c>
      <c r="B4431" s="218" t="s">
        <v>5209</v>
      </c>
    </row>
    <row r="4432">
      <c r="A4432" s="430">
        <v>1.080477200013E13</v>
      </c>
      <c r="B4432" s="218" t="s">
        <v>5210</v>
      </c>
    </row>
    <row r="4433">
      <c r="A4433" s="430">
        <v>8.1983200001E12</v>
      </c>
      <c r="B4433" s="218" t="s">
        <v>5211</v>
      </c>
    </row>
    <row r="4434">
      <c r="A4434" s="430">
        <v>2.543216000129E12</v>
      </c>
      <c r="B4434" s="218" t="s">
        <v>5212</v>
      </c>
    </row>
    <row r="4435">
      <c r="A4435" s="430">
        <v>6.5698516000105E13</v>
      </c>
      <c r="B4435" s="218" t="s">
        <v>5213</v>
      </c>
    </row>
    <row r="4436">
      <c r="A4436" s="430">
        <v>7.071972000116E12</v>
      </c>
      <c r="B4436" s="218" t="s">
        <v>5214</v>
      </c>
    </row>
    <row r="4437">
      <c r="A4437" s="430">
        <v>2.107038000193E12</v>
      </c>
      <c r="B4437" s="218" t="s">
        <v>5215</v>
      </c>
    </row>
    <row r="4438">
      <c r="A4438" s="430">
        <v>9.079951000172E12</v>
      </c>
      <c r="B4438" s="218" t="s">
        <v>5216</v>
      </c>
    </row>
    <row r="4439">
      <c r="A4439" s="430">
        <v>5.533015000139E12</v>
      </c>
      <c r="B4439" s="218" t="s">
        <v>5217</v>
      </c>
    </row>
    <row r="4440">
      <c r="A4440" s="430">
        <v>8.528076000104E12</v>
      </c>
      <c r="B4440" s="218" t="s">
        <v>5218</v>
      </c>
    </row>
    <row r="4441">
      <c r="A4441" s="430">
        <v>3.141955000157E12</v>
      </c>
      <c r="B4441" s="218" t="s">
        <v>5219</v>
      </c>
    </row>
    <row r="4442">
      <c r="A4442" s="430">
        <v>8.2142993000109E13</v>
      </c>
      <c r="B4442" s="218" t="s">
        <v>5220</v>
      </c>
    </row>
    <row r="4443">
      <c r="A4443" s="430">
        <v>6.5171886000181E13</v>
      </c>
      <c r="B4443" s="218" t="s">
        <v>5221</v>
      </c>
    </row>
    <row r="4444">
      <c r="A4444" s="430">
        <v>3.603595000168E12</v>
      </c>
      <c r="B4444" s="218" t="s">
        <v>5222</v>
      </c>
    </row>
    <row r="4445">
      <c r="A4445" s="430">
        <v>7.281329000117E12</v>
      </c>
      <c r="B4445" s="218" t="s">
        <v>5223</v>
      </c>
    </row>
    <row r="4446">
      <c r="A4446" s="430">
        <v>2.831039000267E12</v>
      </c>
      <c r="B4446" s="218" t="s">
        <v>5224</v>
      </c>
    </row>
    <row r="4447">
      <c r="A4447" s="430">
        <v>9.3104915000128E13</v>
      </c>
      <c r="B4447" s="218" t="s">
        <v>5225</v>
      </c>
    </row>
    <row r="4448">
      <c r="A4448" s="430">
        <v>1.6701716000156E13</v>
      </c>
      <c r="B4448" s="218" t="s">
        <v>5226</v>
      </c>
    </row>
    <row r="4449">
      <c r="A4449" s="430">
        <v>1.0428091000114E13</v>
      </c>
      <c r="B4449" s="218" t="s">
        <v>5227</v>
      </c>
    </row>
    <row r="4450">
      <c r="A4450" s="430">
        <v>7.21123700016E12</v>
      </c>
      <c r="B4450" s="218" t="s">
        <v>5228</v>
      </c>
    </row>
    <row r="4451">
      <c r="A4451" s="430">
        <v>1.0755011000135E13</v>
      </c>
      <c r="B4451" s="218" t="s">
        <v>5229</v>
      </c>
    </row>
    <row r="4452">
      <c r="A4452" s="430">
        <v>1.45082500017E12</v>
      </c>
      <c r="B4452" s="218" t="s">
        <v>5230</v>
      </c>
    </row>
    <row r="4453">
      <c r="A4453" s="430">
        <v>5.423963003722E12</v>
      </c>
      <c r="B4453" s="218" t="s">
        <v>3215</v>
      </c>
    </row>
    <row r="4454">
      <c r="A4454" s="430">
        <v>7.6340132000124E13</v>
      </c>
      <c r="B4454" s="218" t="s">
        <v>5231</v>
      </c>
    </row>
    <row r="4455">
      <c r="A4455" s="430">
        <v>9.0347840003486E13</v>
      </c>
      <c r="B4455" s="218" t="s">
        <v>1042</v>
      </c>
    </row>
    <row r="4456">
      <c r="A4456" s="430">
        <v>1.07960940001E13</v>
      </c>
      <c r="B4456" s="218" t="s">
        <v>5232</v>
      </c>
    </row>
    <row r="4457">
      <c r="A4457" s="430">
        <v>2.6994558000395E13</v>
      </c>
      <c r="B4457" s="218" t="s">
        <v>5233</v>
      </c>
    </row>
    <row r="4458">
      <c r="A4458" s="430">
        <v>5.509289000192E12</v>
      </c>
      <c r="B4458" s="218" t="s">
        <v>5234</v>
      </c>
    </row>
    <row r="4459">
      <c r="A4459" s="430">
        <v>6.013461000185E12</v>
      </c>
      <c r="B4459" s="218" t="s">
        <v>5235</v>
      </c>
    </row>
    <row r="4460">
      <c r="A4460" s="430">
        <v>5.433422000174E12</v>
      </c>
      <c r="B4460" s="218" t="s">
        <v>5236</v>
      </c>
    </row>
    <row r="4461">
      <c r="A4461" s="430">
        <v>8.310285500015E13</v>
      </c>
      <c r="B4461" s="218" t="s">
        <v>5237</v>
      </c>
    </row>
    <row r="4462">
      <c r="A4462" s="430">
        <v>1.3260607000152E13</v>
      </c>
      <c r="B4462" s="218" t="s">
        <v>5238</v>
      </c>
    </row>
    <row r="4463">
      <c r="A4463" s="430">
        <v>1.0909772000102E13</v>
      </c>
      <c r="B4463" s="218" t="s">
        <v>5239</v>
      </c>
    </row>
    <row r="4464">
      <c r="A4464" s="430">
        <v>7.4544297000192E13</v>
      </c>
      <c r="B4464" s="218" t="s">
        <v>5240</v>
      </c>
    </row>
    <row r="4465">
      <c r="A4465" s="430">
        <v>8.949655000112E12</v>
      </c>
      <c r="B4465" s="218" t="s">
        <v>5241</v>
      </c>
    </row>
    <row r="4466">
      <c r="A4466" s="430">
        <v>1.2614761000112E13</v>
      </c>
      <c r="B4466" s="218" t="s">
        <v>5242</v>
      </c>
    </row>
    <row r="4467">
      <c r="A4467" s="430">
        <v>5.72967500019E12</v>
      </c>
      <c r="B4467" s="218" t="s">
        <v>5243</v>
      </c>
    </row>
    <row r="4468">
      <c r="A4468" s="430">
        <v>7.8323094000399E13</v>
      </c>
      <c r="B4468" s="218" t="s">
        <v>5244</v>
      </c>
    </row>
    <row r="4469">
      <c r="A4469" s="430">
        <v>1.0773332000162E13</v>
      </c>
      <c r="B4469" s="218" t="s">
        <v>5245</v>
      </c>
    </row>
    <row r="4470">
      <c r="A4470" s="430">
        <v>2.052184500013E13</v>
      </c>
      <c r="B4470" s="218" t="s">
        <v>5246</v>
      </c>
    </row>
    <row r="4471">
      <c r="A4471" s="430">
        <v>1.4554319000173E13</v>
      </c>
      <c r="B4471" s="218" t="s">
        <v>5247</v>
      </c>
    </row>
    <row r="4472">
      <c r="A4472" s="430">
        <v>1.1873188000107E13</v>
      </c>
      <c r="B4472" s="218" t="s">
        <v>5248</v>
      </c>
    </row>
    <row r="4473">
      <c r="A4473" s="430">
        <v>5.1990695000137E13</v>
      </c>
      <c r="B4473" s="218" t="s">
        <v>5249</v>
      </c>
    </row>
    <row r="4474">
      <c r="A4474" s="430">
        <v>4.303895000194E12</v>
      </c>
      <c r="B4474" s="218" t="s">
        <v>5250</v>
      </c>
    </row>
    <row r="4475">
      <c r="A4475" s="430">
        <v>1.1024500001E11</v>
      </c>
      <c r="B4475" s="218" t="s">
        <v>5251</v>
      </c>
    </row>
    <row r="4476">
      <c r="A4476" s="430">
        <v>6.1615000128E10</v>
      </c>
      <c r="B4476" s="218" t="s">
        <v>5252</v>
      </c>
    </row>
    <row r="4477">
      <c r="A4477" s="430">
        <v>2.90834000014E12</v>
      </c>
      <c r="B4477" s="218" t="s">
        <v>5253</v>
      </c>
    </row>
    <row r="4478">
      <c r="A4478" s="430">
        <v>4.880436000173E12</v>
      </c>
      <c r="B4478" s="218" t="s">
        <v>5254</v>
      </c>
    </row>
    <row r="4479">
      <c r="A4479" s="430">
        <v>9.429174000149E12</v>
      </c>
      <c r="B4479" s="218" t="s">
        <v>5255</v>
      </c>
    </row>
    <row r="4480">
      <c r="A4480" s="430">
        <v>1.6918296000164E13</v>
      </c>
      <c r="B4480" s="218" t="s">
        <v>5256</v>
      </c>
    </row>
    <row r="4481">
      <c r="A4481" s="430">
        <v>1.6822706000179E13</v>
      </c>
      <c r="B4481" s="218" t="s">
        <v>5257</v>
      </c>
    </row>
    <row r="4482">
      <c r="A4482" s="430">
        <v>8.584116000127E12</v>
      </c>
      <c r="B4482" s="218" t="s">
        <v>5258</v>
      </c>
    </row>
    <row r="4483">
      <c r="A4483" s="430">
        <v>8.471602600012E13</v>
      </c>
      <c r="B4483" s="218" t="s">
        <v>5259</v>
      </c>
    </row>
    <row r="4484">
      <c r="A4484" s="430">
        <v>8.3754044000134E13</v>
      </c>
      <c r="B4484" s="218" t="s">
        <v>5260</v>
      </c>
    </row>
    <row r="4485">
      <c r="A4485" s="430">
        <v>1.02101960001E13</v>
      </c>
      <c r="B4485" s="218" t="s">
        <v>5261</v>
      </c>
    </row>
    <row r="4486">
      <c r="A4486" s="430">
        <v>9.387475000157E12</v>
      </c>
      <c r="B4486" s="218" t="s">
        <v>5262</v>
      </c>
    </row>
    <row r="4487">
      <c r="A4487" s="430">
        <v>7.7865950001E12</v>
      </c>
      <c r="B4487" s="218" t="s">
        <v>5263</v>
      </c>
    </row>
    <row r="4488">
      <c r="A4488" s="430">
        <v>5.24029800012E12</v>
      </c>
      <c r="B4488" s="218" t="s">
        <v>5264</v>
      </c>
    </row>
    <row r="4489">
      <c r="A4489" s="430">
        <v>9.449867000101E12</v>
      </c>
      <c r="B4489" s="218" t="s">
        <v>5265</v>
      </c>
    </row>
    <row r="4490">
      <c r="A4490" s="430">
        <v>8.6382025000112E13</v>
      </c>
      <c r="B4490" s="218" t="s">
        <v>5266</v>
      </c>
    </row>
    <row r="4491">
      <c r="A4491" s="430">
        <v>1.1546047000171E13</v>
      </c>
      <c r="B4491" s="218" t="s">
        <v>5267</v>
      </c>
    </row>
    <row r="4492">
      <c r="A4492" s="430">
        <v>4.521468000182E12</v>
      </c>
      <c r="B4492" s="218" t="s">
        <v>5268</v>
      </c>
    </row>
    <row r="4493">
      <c r="A4493" s="430">
        <v>4.5644900001E12</v>
      </c>
      <c r="B4493" s="218" t="s">
        <v>5269</v>
      </c>
    </row>
    <row r="4494">
      <c r="A4494" s="430">
        <v>7.533095000158E12</v>
      </c>
      <c r="B4494" s="218" t="s">
        <v>5270</v>
      </c>
    </row>
    <row r="4495">
      <c r="A4495" s="430">
        <v>8.3660670000161E13</v>
      </c>
      <c r="B4495" s="218" t="s">
        <v>5271</v>
      </c>
    </row>
    <row r="4496">
      <c r="A4496" s="430">
        <v>7.50862000131E11</v>
      </c>
      <c r="B4496" s="218" t="s">
        <v>5272</v>
      </c>
    </row>
    <row r="4497">
      <c r="A4497" s="430">
        <v>3.802702000187E12</v>
      </c>
      <c r="B4497" s="218" t="s">
        <v>5273</v>
      </c>
    </row>
    <row r="4498">
      <c r="A4498" s="430">
        <v>1.1547089000127E13</v>
      </c>
      <c r="B4498" s="218" t="s">
        <v>5274</v>
      </c>
    </row>
    <row r="4499">
      <c r="A4499" s="430">
        <v>1.297604400013E13</v>
      </c>
      <c r="B4499" s="218" t="s">
        <v>5275</v>
      </c>
    </row>
    <row r="4500">
      <c r="A4500" s="430">
        <v>9.447415200017E13</v>
      </c>
      <c r="B4500" s="218" t="s">
        <v>5276</v>
      </c>
    </row>
    <row r="4501">
      <c r="A4501" s="430">
        <v>3.596103000154E12</v>
      </c>
      <c r="B4501" s="218" t="s">
        <v>5277</v>
      </c>
    </row>
    <row r="4502">
      <c r="A4502" s="430">
        <v>8.904422000101E12</v>
      </c>
      <c r="B4502" s="218" t="s">
        <v>5278</v>
      </c>
    </row>
    <row r="4503">
      <c r="A4503" s="430">
        <v>9.163466000182E12</v>
      </c>
      <c r="B4503" s="218" t="s">
        <v>5279</v>
      </c>
    </row>
    <row r="4504">
      <c r="A4504" s="430">
        <v>1.2820547000112E13</v>
      </c>
      <c r="B4504" s="218" t="s">
        <v>5280</v>
      </c>
    </row>
    <row r="4505">
      <c r="A4505" s="430">
        <v>2.0625123000125E13</v>
      </c>
      <c r="B4505" s="218" t="s">
        <v>5281</v>
      </c>
    </row>
    <row r="4506">
      <c r="A4506" s="430">
        <v>1.717806400018E13</v>
      </c>
      <c r="B4506" s="218" t="s">
        <v>5282</v>
      </c>
    </row>
    <row r="4507">
      <c r="A4507" s="430">
        <v>7.051056000114E12</v>
      </c>
      <c r="B4507" s="218" t="s">
        <v>5283</v>
      </c>
    </row>
    <row r="4508">
      <c r="A4508" s="430">
        <v>1.632701000106E12</v>
      </c>
      <c r="B4508" s="218" t="s">
        <v>5284</v>
      </c>
    </row>
    <row r="4509">
      <c r="A4509" s="430">
        <v>2.030246000131E12</v>
      </c>
      <c r="B4509" s="218" t="s">
        <v>5285</v>
      </c>
    </row>
    <row r="4510">
      <c r="A4510" s="430">
        <v>7.107990001E11</v>
      </c>
      <c r="B4510" s="218" t="s">
        <v>5286</v>
      </c>
    </row>
    <row r="4511">
      <c r="A4511" s="430">
        <v>1.89760000853E11</v>
      </c>
      <c r="B4511" s="218" t="s">
        <v>5287</v>
      </c>
    </row>
    <row r="4512">
      <c r="A4512" s="430">
        <v>8.5299808000174E13</v>
      </c>
      <c r="B4512" s="218" t="s">
        <v>5288</v>
      </c>
    </row>
    <row r="4513">
      <c r="A4513" s="430">
        <v>4.0009160001E12</v>
      </c>
      <c r="B4513" s="218" t="s">
        <v>5289</v>
      </c>
    </row>
    <row r="4514">
      <c r="A4514" s="430">
        <v>8.9905840001E12</v>
      </c>
      <c r="B4514" s="218" t="s">
        <v>5290</v>
      </c>
    </row>
    <row r="4515">
      <c r="A4515" s="430">
        <v>4.26332100021E12</v>
      </c>
      <c r="B4515" s="218" t="s">
        <v>5291</v>
      </c>
    </row>
    <row r="4516">
      <c r="A4516" s="430">
        <v>1.0712308000113E13</v>
      </c>
      <c r="B4516" s="218" t="s">
        <v>5292</v>
      </c>
    </row>
    <row r="4517">
      <c r="A4517" s="430">
        <v>3.498696000116E12</v>
      </c>
      <c r="B4517" s="218" t="s">
        <v>5293</v>
      </c>
    </row>
    <row r="4518">
      <c r="A4518" s="430">
        <v>1.4447100000175E13</v>
      </c>
      <c r="B4518" s="218" t="s">
        <v>5294</v>
      </c>
    </row>
    <row r="4519">
      <c r="A4519" s="430">
        <v>4.8549010001E12</v>
      </c>
      <c r="B4519" s="218" t="s">
        <v>5295</v>
      </c>
    </row>
    <row r="4520">
      <c r="A4520" s="430">
        <v>8.2092842000185E13</v>
      </c>
      <c r="B4520" s="218" t="s">
        <v>5296</v>
      </c>
    </row>
    <row r="4521">
      <c r="A4521" s="430">
        <v>5.231407000143E12</v>
      </c>
      <c r="B4521" s="218" t="s">
        <v>5297</v>
      </c>
    </row>
    <row r="4522">
      <c r="A4522" s="430">
        <v>6.224928000136E12</v>
      </c>
      <c r="B4522" s="218" t="s">
        <v>5298</v>
      </c>
    </row>
    <row r="4523">
      <c r="A4523" s="430">
        <v>8.784976000104E12</v>
      </c>
      <c r="B4523" s="218" t="s">
        <v>5299</v>
      </c>
    </row>
    <row r="4524">
      <c r="A4524" s="430">
        <v>2.0645805000108E13</v>
      </c>
      <c r="B4524" s="218" t="s">
        <v>5300</v>
      </c>
    </row>
    <row r="4525">
      <c r="A4525" s="430">
        <v>1.3345633000183E13</v>
      </c>
      <c r="B4525" s="218" t="s">
        <v>5301</v>
      </c>
    </row>
    <row r="4526">
      <c r="A4526" s="430">
        <v>1.2840788000123E13</v>
      </c>
      <c r="B4526" s="218" t="s">
        <v>5302</v>
      </c>
    </row>
    <row r="4527">
      <c r="A4527" s="430">
        <v>3.726402000166E12</v>
      </c>
      <c r="B4527" s="218" t="s">
        <v>5303</v>
      </c>
    </row>
    <row r="4528">
      <c r="A4528" s="430">
        <v>9.276894000111E12</v>
      </c>
      <c r="B4528" s="218" t="s">
        <v>5304</v>
      </c>
    </row>
    <row r="4529">
      <c r="A4529" s="430">
        <v>4.09411000011E12</v>
      </c>
      <c r="B4529" s="218" t="s">
        <v>5305</v>
      </c>
    </row>
    <row r="4530">
      <c r="A4530" s="430">
        <v>2.395403000102E12</v>
      </c>
      <c r="B4530" s="218" t="s">
        <v>5306</v>
      </c>
    </row>
    <row r="4531">
      <c r="A4531" s="430">
        <v>9.092300000112E12</v>
      </c>
      <c r="B4531" s="218" t="s">
        <v>5307</v>
      </c>
    </row>
    <row r="4532">
      <c r="A4532" s="430">
        <v>1.0846396000146E13</v>
      </c>
      <c r="B4532" s="218" t="s">
        <v>5308</v>
      </c>
    </row>
    <row r="4533">
      <c r="A4533" s="430">
        <v>1.1458466000151E13</v>
      </c>
      <c r="B4533" s="218" t="s">
        <v>5309</v>
      </c>
    </row>
    <row r="4534">
      <c r="A4534" s="430">
        <v>1.558099000104E12</v>
      </c>
      <c r="B4534" s="218" t="s">
        <v>5310</v>
      </c>
    </row>
    <row r="4535">
      <c r="A4535" s="430">
        <v>3.41857000175E11</v>
      </c>
      <c r="B4535" s="218" t="s">
        <v>5311</v>
      </c>
    </row>
    <row r="4536">
      <c r="A4536" s="430">
        <v>9.407301200019E13</v>
      </c>
      <c r="B4536" s="218" t="s">
        <v>5312</v>
      </c>
    </row>
    <row r="4537">
      <c r="A4537" s="430">
        <v>1.3501187000159E13</v>
      </c>
      <c r="B4537" s="218" t="s">
        <v>5313</v>
      </c>
    </row>
    <row r="4538">
      <c r="A4538" s="430">
        <v>5.052722000103E12</v>
      </c>
      <c r="B4538" s="218" t="s">
        <v>5314</v>
      </c>
    </row>
    <row r="4539">
      <c r="A4539" s="430">
        <v>3.3621384013792E13</v>
      </c>
      <c r="B4539" s="218" t="s">
        <v>5315</v>
      </c>
    </row>
    <row r="4540">
      <c r="A4540" s="430">
        <v>7.392516000178E12</v>
      </c>
      <c r="B4540" s="218" t="s">
        <v>5316</v>
      </c>
    </row>
    <row r="4541">
      <c r="A4541" s="430">
        <v>6.0831344000174E13</v>
      </c>
      <c r="B4541" s="218" t="s">
        <v>5317</v>
      </c>
    </row>
    <row r="4542">
      <c r="A4542" s="430">
        <v>7.671334000136E12</v>
      </c>
      <c r="B4542" s="218" t="s">
        <v>5318</v>
      </c>
    </row>
    <row r="4543">
      <c r="A4543" s="430">
        <v>1.098224600016E13</v>
      </c>
      <c r="B4543" s="218" t="s">
        <v>5319</v>
      </c>
    </row>
    <row r="4544">
      <c r="A4544" s="430">
        <v>8.3159087000171E13</v>
      </c>
      <c r="B4544" s="218" t="s">
        <v>5320</v>
      </c>
    </row>
    <row r="4545">
      <c r="A4545" s="430">
        <v>3.185495000169E12</v>
      </c>
      <c r="B4545" s="218" t="s">
        <v>5321</v>
      </c>
    </row>
    <row r="4546">
      <c r="A4546" s="430">
        <v>1.89443200058E12</v>
      </c>
      <c r="B4546" s="218" t="s">
        <v>5322</v>
      </c>
    </row>
    <row r="4547">
      <c r="A4547" s="430">
        <v>3.4116860001E12</v>
      </c>
      <c r="B4547" s="218" t="s">
        <v>5323</v>
      </c>
    </row>
    <row r="4548">
      <c r="A4548" s="430">
        <v>8.13050000198E11</v>
      </c>
      <c r="B4548" s="218" t="s">
        <v>5324</v>
      </c>
    </row>
    <row r="4549">
      <c r="A4549" s="430">
        <v>1.5221634000141E13</v>
      </c>
      <c r="B4549" s="218" t="s">
        <v>5325</v>
      </c>
    </row>
    <row r="4550">
      <c r="A4550" s="430">
        <v>1.2496814000148E13</v>
      </c>
      <c r="B4550" s="218" t="s">
        <v>5326</v>
      </c>
    </row>
    <row r="4551">
      <c r="A4551" s="430">
        <v>2.737566000126E12</v>
      </c>
      <c r="B4551" s="218" t="s">
        <v>5327</v>
      </c>
    </row>
    <row r="4552">
      <c r="A4552" s="430">
        <v>8.0548381000187E13</v>
      </c>
      <c r="B4552" s="218" t="s">
        <v>5328</v>
      </c>
    </row>
    <row r="4553">
      <c r="A4553" s="430">
        <v>5.423963000626E12</v>
      </c>
      <c r="B4553" s="218" t="s">
        <v>3215</v>
      </c>
    </row>
    <row r="4554">
      <c r="A4554" s="430">
        <v>3.7115425000156E13</v>
      </c>
      <c r="B4554" s="218" t="s">
        <v>5329</v>
      </c>
    </row>
    <row r="4555">
      <c r="A4555" s="430">
        <v>2.699752800017E13</v>
      </c>
      <c r="B4555" s="218" t="s">
        <v>5330</v>
      </c>
    </row>
    <row r="4556">
      <c r="A4556" s="430">
        <v>8.3102541000158E13</v>
      </c>
      <c r="B4556" s="218" t="s">
        <v>5331</v>
      </c>
    </row>
    <row r="4557">
      <c r="A4557" s="430">
        <v>1.1333352000185E13</v>
      </c>
      <c r="B4557" s="218" t="s">
        <v>5332</v>
      </c>
    </row>
    <row r="4558">
      <c r="A4558" s="430">
        <v>5.308156000158E12</v>
      </c>
      <c r="B4558" s="218" t="s">
        <v>5333</v>
      </c>
    </row>
    <row r="4559">
      <c r="A4559" s="430">
        <v>8.960727000122E12</v>
      </c>
      <c r="B4559" s="218" t="s">
        <v>5334</v>
      </c>
    </row>
    <row r="4560">
      <c r="A4560" s="430">
        <v>9.0085700001E12</v>
      </c>
      <c r="B4560" s="218" t="s">
        <v>5335</v>
      </c>
    </row>
    <row r="4561">
      <c r="A4561" s="430">
        <v>7.14007800015E12</v>
      </c>
      <c r="B4561" s="218" t="s">
        <v>5336</v>
      </c>
    </row>
    <row r="4562">
      <c r="A4562" s="430">
        <v>7.9895652000191E13</v>
      </c>
      <c r="B4562" s="218" t="s">
        <v>5337</v>
      </c>
    </row>
    <row r="4563">
      <c r="A4563" s="430">
        <v>8.3785030000188E13</v>
      </c>
      <c r="B4563" s="218" t="s">
        <v>5338</v>
      </c>
    </row>
    <row r="4564">
      <c r="A4564" s="430">
        <v>1.2127024000195E13</v>
      </c>
      <c r="B4564" s="218" t="s">
        <v>5339</v>
      </c>
    </row>
    <row r="4565">
      <c r="A4565" s="430">
        <v>9.196543000109E12</v>
      </c>
      <c r="B4565" s="218" t="s">
        <v>5340</v>
      </c>
    </row>
    <row r="4566">
      <c r="A4566" s="430">
        <v>1.313540000198E12</v>
      </c>
      <c r="B4566" s="218" t="s">
        <v>5341</v>
      </c>
    </row>
    <row r="4567">
      <c r="A4567" s="430">
        <v>5.427319000111E12</v>
      </c>
      <c r="B4567" s="218" t="s">
        <v>5342</v>
      </c>
    </row>
    <row r="4568">
      <c r="A4568" s="430">
        <v>1.6657196000121E13</v>
      </c>
      <c r="B4568" s="218" t="s">
        <v>5343</v>
      </c>
    </row>
    <row r="4569">
      <c r="A4569" s="430">
        <v>1.0317207000148E13</v>
      </c>
      <c r="B4569" s="218" t="s">
        <v>5344</v>
      </c>
    </row>
    <row r="4570">
      <c r="A4570" s="430">
        <v>1.1108144000182E13</v>
      </c>
      <c r="B4570" s="218" t="s">
        <v>5345</v>
      </c>
    </row>
    <row r="4571">
      <c r="A4571" s="430">
        <v>5.675191000105E12</v>
      </c>
      <c r="B4571" s="218" t="s">
        <v>5346</v>
      </c>
    </row>
    <row r="4572">
      <c r="A4572" s="430">
        <v>1.1459004000159E13</v>
      </c>
      <c r="B4572" s="218" t="s">
        <v>5347</v>
      </c>
    </row>
    <row r="4573">
      <c r="A4573" s="430">
        <v>1.8015948000186E13</v>
      </c>
      <c r="B4573" s="218" t="s">
        <v>5348</v>
      </c>
    </row>
    <row r="4574">
      <c r="A4574" s="430">
        <v>8.655200000194E12</v>
      </c>
      <c r="B4574" s="218" t="s">
        <v>5349</v>
      </c>
    </row>
    <row r="4575">
      <c r="A4575" s="430">
        <v>8.6838547000186E13</v>
      </c>
      <c r="B4575" s="218" t="s">
        <v>5350</v>
      </c>
    </row>
    <row r="4576">
      <c r="A4576" s="430">
        <v>9.2988955000117E13</v>
      </c>
      <c r="B4576" s="218" t="s">
        <v>5351</v>
      </c>
    </row>
    <row r="4577">
      <c r="A4577" s="430">
        <v>3.73768900012E12</v>
      </c>
      <c r="B4577" s="218" t="s">
        <v>5352</v>
      </c>
    </row>
    <row r="4578">
      <c r="A4578" s="430">
        <v>2.590407000141E12</v>
      </c>
      <c r="B4578" s="218" t="s">
        <v>5353</v>
      </c>
    </row>
    <row r="4579">
      <c r="A4579" s="430">
        <v>1.075443600012E13</v>
      </c>
      <c r="B4579" s="218" t="s">
        <v>5354</v>
      </c>
    </row>
    <row r="4580">
      <c r="A4580" s="430">
        <v>1.2143928000104E13</v>
      </c>
      <c r="B4580" s="218" t="s">
        <v>5355</v>
      </c>
    </row>
    <row r="4581">
      <c r="A4581" s="430">
        <v>1.898250000153E12</v>
      </c>
      <c r="B4581" s="218" t="s">
        <v>5356</v>
      </c>
    </row>
    <row r="4582">
      <c r="A4582" s="430">
        <v>1.066461600011E13</v>
      </c>
      <c r="B4582" s="218" t="s">
        <v>5357</v>
      </c>
    </row>
    <row r="4583">
      <c r="A4583" s="430">
        <v>8.2858903000415E13</v>
      </c>
      <c r="B4583" s="218" t="s">
        <v>5358</v>
      </c>
    </row>
    <row r="4584">
      <c r="A4584" s="430">
        <v>1.4284430000197E13</v>
      </c>
      <c r="B4584" s="218" t="s">
        <v>5359</v>
      </c>
    </row>
    <row r="4585">
      <c r="A4585" s="430">
        <v>8.294070000101E12</v>
      </c>
      <c r="B4585" s="218" t="s">
        <v>5360</v>
      </c>
    </row>
    <row r="4586">
      <c r="A4586" s="430">
        <v>1.504999900013E13</v>
      </c>
      <c r="B4586" s="218" t="s">
        <v>5361</v>
      </c>
    </row>
    <row r="4587">
      <c r="A4587" s="430">
        <v>4.455175000108E12</v>
      </c>
      <c r="B4587" s="218" t="s">
        <v>5362</v>
      </c>
    </row>
    <row r="4588">
      <c r="A4588" s="430">
        <v>8.990904000113E12</v>
      </c>
      <c r="B4588" s="218" t="s">
        <v>5363</v>
      </c>
    </row>
    <row r="4589">
      <c r="A4589" s="430">
        <v>1.942246300017E13</v>
      </c>
      <c r="B4589" s="218" t="s">
        <v>5364</v>
      </c>
    </row>
    <row r="4590">
      <c r="A4590" s="430">
        <v>2.0705980000135E13</v>
      </c>
      <c r="B4590" s="218" t="s">
        <v>5365</v>
      </c>
    </row>
    <row r="4591">
      <c r="A4591" s="430">
        <v>1.1212251000156E13</v>
      </c>
      <c r="B4591" s="218" t="s">
        <v>5366</v>
      </c>
    </row>
    <row r="4592">
      <c r="A4592" s="430">
        <v>2.026645500016E13</v>
      </c>
      <c r="B4592" s="218" t="s">
        <v>5367</v>
      </c>
    </row>
    <row r="4593">
      <c r="A4593" s="430">
        <v>3.094629000306E12</v>
      </c>
      <c r="B4593" s="218" t="s">
        <v>1462</v>
      </c>
    </row>
    <row r="4594">
      <c r="A4594" s="430">
        <v>1.364077000103E12</v>
      </c>
      <c r="B4594" s="218" t="s">
        <v>5368</v>
      </c>
    </row>
    <row r="4595">
      <c r="A4595" s="430">
        <v>8.2659715000115E13</v>
      </c>
      <c r="B4595" s="218" t="s">
        <v>5369</v>
      </c>
    </row>
    <row r="4596">
      <c r="A4596" s="430">
        <v>6.7865360000127E13</v>
      </c>
      <c r="B4596" s="218" t="s">
        <v>5370</v>
      </c>
    </row>
    <row r="4597">
      <c r="A4597" s="430">
        <v>8.60513980001E13</v>
      </c>
      <c r="B4597" s="218" t="s">
        <v>5371</v>
      </c>
    </row>
    <row r="4598">
      <c r="A4598" s="430">
        <v>1.660128000144E12</v>
      </c>
      <c r="B4598" s="218" t="s">
        <v>5372</v>
      </c>
    </row>
    <row r="4599">
      <c r="A4599" s="430">
        <v>1.3000035000172E13</v>
      </c>
      <c r="B4599" s="218" t="s">
        <v>5373</v>
      </c>
    </row>
    <row r="4600">
      <c r="A4600" s="430">
        <v>1.04061760001E13</v>
      </c>
      <c r="B4600" s="218" t="s">
        <v>5374</v>
      </c>
    </row>
    <row r="4601">
      <c r="A4601" s="430">
        <v>7.8126950000116E13</v>
      </c>
      <c r="B4601" s="218" t="s">
        <v>1996</v>
      </c>
    </row>
    <row r="4602">
      <c r="A4602" s="430">
        <v>4.253189000185E12</v>
      </c>
      <c r="B4602" s="218" t="s">
        <v>5375</v>
      </c>
    </row>
    <row r="4603">
      <c r="A4603" s="430">
        <v>6.222005000145E12</v>
      </c>
      <c r="B4603" s="218" t="s">
        <v>5376</v>
      </c>
    </row>
    <row r="4604">
      <c r="A4604" s="430">
        <v>7.341940000193E12</v>
      </c>
      <c r="B4604" s="218" t="s">
        <v>5377</v>
      </c>
    </row>
    <row r="4605">
      <c r="A4605" s="430">
        <v>7.151477000117E12</v>
      </c>
      <c r="B4605" s="218" t="s">
        <v>5378</v>
      </c>
    </row>
    <row r="4606">
      <c r="A4606" s="430">
        <v>8.3891283000136E13</v>
      </c>
      <c r="B4606" s="218" t="s">
        <v>5379</v>
      </c>
    </row>
    <row r="4607">
      <c r="A4607" s="430">
        <v>8.0081433000158E13</v>
      </c>
      <c r="B4607" s="218" t="s">
        <v>5380</v>
      </c>
    </row>
    <row r="4608">
      <c r="A4608" s="430">
        <v>8.5362879000174E13</v>
      </c>
      <c r="B4608" s="218" t="s">
        <v>5381</v>
      </c>
    </row>
    <row r="4609">
      <c r="A4609" s="430">
        <v>1.3841510000133E13</v>
      </c>
      <c r="B4609" s="218" t="s">
        <v>5382</v>
      </c>
    </row>
    <row r="4610">
      <c r="A4610" s="430">
        <v>6.194440000103E12</v>
      </c>
      <c r="B4610" s="218" t="s">
        <v>5383</v>
      </c>
    </row>
    <row r="4611">
      <c r="A4611" s="430">
        <v>2.631147000105E12</v>
      </c>
      <c r="B4611" s="218" t="s">
        <v>5384</v>
      </c>
    </row>
    <row r="4612">
      <c r="A4612" s="430">
        <v>1.287215800013E13</v>
      </c>
      <c r="B4612" s="218" t="s">
        <v>5385</v>
      </c>
    </row>
    <row r="4613">
      <c r="A4613" s="430">
        <v>5.389386000199E12</v>
      </c>
      <c r="B4613" s="218" t="s">
        <v>5386</v>
      </c>
    </row>
    <row r="4614">
      <c r="A4614" s="430">
        <v>7.6276823000106E13</v>
      </c>
      <c r="B4614" s="218" t="s">
        <v>5387</v>
      </c>
    </row>
    <row r="4615">
      <c r="A4615" s="430">
        <v>1.4918354000124E13</v>
      </c>
      <c r="B4615" s="218" t="s">
        <v>5388</v>
      </c>
    </row>
    <row r="4616">
      <c r="A4616" s="430">
        <v>3.851944000241E12</v>
      </c>
      <c r="B4616" s="218" t="s">
        <v>5389</v>
      </c>
    </row>
    <row r="4617">
      <c r="A4617" s="430">
        <v>8.5282804000183E13</v>
      </c>
      <c r="B4617" s="218" t="s">
        <v>5390</v>
      </c>
    </row>
    <row r="4618">
      <c r="A4618" s="430">
        <v>4.1587502001209E13</v>
      </c>
      <c r="B4618" s="218" t="s">
        <v>4910</v>
      </c>
    </row>
    <row r="4619">
      <c r="A4619" s="430">
        <v>5.62876400014E12</v>
      </c>
      <c r="B4619" s="218" t="s">
        <v>5391</v>
      </c>
    </row>
    <row r="4620">
      <c r="A4620" s="430">
        <v>6.8581198000188E13</v>
      </c>
      <c r="B4620" s="218" t="s">
        <v>5392</v>
      </c>
    </row>
    <row r="4621">
      <c r="A4621" s="430">
        <v>7.617540000168E12</v>
      </c>
      <c r="B4621" s="218" t="s">
        <v>5393</v>
      </c>
    </row>
    <row r="4622">
      <c r="A4622" s="430">
        <v>3.928633000152E12</v>
      </c>
      <c r="B4622" s="218" t="s">
        <v>5394</v>
      </c>
    </row>
    <row r="4623">
      <c r="A4623" s="430">
        <v>4.491152000195E12</v>
      </c>
      <c r="B4623" s="218" t="s">
        <v>5395</v>
      </c>
    </row>
    <row r="4624">
      <c r="A4624" s="430">
        <v>3.182155000184E12</v>
      </c>
      <c r="B4624" s="218" t="s">
        <v>5396</v>
      </c>
    </row>
    <row r="4625">
      <c r="A4625" s="430">
        <v>9.149987000185E12</v>
      </c>
      <c r="B4625" s="218" t="s">
        <v>5397</v>
      </c>
    </row>
    <row r="4626">
      <c r="A4626" s="430">
        <v>8.243392000121E12</v>
      </c>
      <c r="B4626" s="218" t="s">
        <v>5398</v>
      </c>
    </row>
    <row r="4627">
      <c r="A4627" s="430">
        <v>6.926016000123E12</v>
      </c>
      <c r="B4627" s="218" t="s">
        <v>5399</v>
      </c>
    </row>
    <row r="4628">
      <c r="A4628" s="430">
        <v>6.92601600016E11</v>
      </c>
      <c r="B4628" s="218" t="s">
        <v>5399</v>
      </c>
    </row>
    <row r="4629">
      <c r="A4629" s="430">
        <v>5.274883000141E12</v>
      </c>
      <c r="B4629" s="218" t="s">
        <v>5400</v>
      </c>
    </row>
    <row r="4630">
      <c r="A4630" s="430">
        <v>8.282117400018E13</v>
      </c>
      <c r="B4630" s="218" t="s">
        <v>5401</v>
      </c>
    </row>
    <row r="4631">
      <c r="A4631" s="430">
        <v>8.09489000147E11</v>
      </c>
      <c r="B4631" s="218" t="s">
        <v>5402</v>
      </c>
    </row>
    <row r="4632">
      <c r="A4632" s="430">
        <v>6.135603000187E12</v>
      </c>
      <c r="B4632" s="218" t="s">
        <v>5403</v>
      </c>
    </row>
    <row r="4633">
      <c r="A4633" s="430">
        <v>9.655942000182E12</v>
      </c>
      <c r="B4633" s="218" t="s">
        <v>5404</v>
      </c>
    </row>
    <row r="4634">
      <c r="A4634" s="430">
        <v>1.2007807000135E13</v>
      </c>
      <c r="B4634" s="218" t="s">
        <v>5405</v>
      </c>
    </row>
    <row r="4635">
      <c r="A4635" s="430">
        <v>1.615081000105E12</v>
      </c>
      <c r="B4635" s="218" t="s">
        <v>5406</v>
      </c>
    </row>
    <row r="4636">
      <c r="A4636" s="430">
        <v>5.761421000159E12</v>
      </c>
      <c r="B4636" s="218" t="s">
        <v>5407</v>
      </c>
    </row>
    <row r="4637">
      <c r="A4637" s="430">
        <v>1.3585591000158E13</v>
      </c>
      <c r="B4637" s="218" t="s">
        <v>5408</v>
      </c>
    </row>
    <row r="4638">
      <c r="A4638" s="430">
        <v>5.8393406000161E13</v>
      </c>
      <c r="B4638" s="218" t="s">
        <v>5409</v>
      </c>
    </row>
    <row r="4639">
      <c r="A4639" s="430">
        <v>7.5817387000172E13</v>
      </c>
      <c r="B4639" s="218" t="s">
        <v>5410</v>
      </c>
    </row>
    <row r="4640">
      <c r="A4640" s="430">
        <v>2.0627950000158E13</v>
      </c>
      <c r="B4640" s="218" t="s">
        <v>5411</v>
      </c>
    </row>
    <row r="4641">
      <c r="A4641" s="430">
        <v>8.614282000129E12</v>
      </c>
      <c r="B4641" s="218" t="s">
        <v>5412</v>
      </c>
    </row>
    <row r="4642">
      <c r="A4642" s="430">
        <v>7.3715856000117E13</v>
      </c>
      <c r="B4642" s="218" t="s">
        <v>5413</v>
      </c>
    </row>
    <row r="4643">
      <c r="A4643" s="430">
        <v>2.9739737002075E13</v>
      </c>
      <c r="B4643" s="218" t="s">
        <v>5414</v>
      </c>
    </row>
    <row r="4644">
      <c r="A4644" s="430">
        <v>8.3128769000117E13</v>
      </c>
      <c r="B4644" s="218" t="s">
        <v>5415</v>
      </c>
    </row>
    <row r="4645">
      <c r="A4645" s="430">
        <v>3.404093000108E12</v>
      </c>
      <c r="B4645" s="218" t="s">
        <v>5416</v>
      </c>
    </row>
    <row r="4646">
      <c r="A4646" s="430">
        <v>9.535643000104E12</v>
      </c>
      <c r="B4646" s="218" t="s">
        <v>5417</v>
      </c>
    </row>
    <row r="4647">
      <c r="A4647" s="430">
        <v>7.32229900014E12</v>
      </c>
      <c r="B4647" s="218" t="s">
        <v>5418</v>
      </c>
    </row>
    <row r="4648">
      <c r="A4648" s="430">
        <v>4.065864000142E12</v>
      </c>
      <c r="B4648" s="218" t="s">
        <v>5419</v>
      </c>
    </row>
    <row r="4649">
      <c r="A4649" s="430">
        <v>5.159145000153E12</v>
      </c>
      <c r="B4649" s="218" t="s">
        <v>5420</v>
      </c>
    </row>
    <row r="4650">
      <c r="A4650" s="430">
        <v>1.5123946000112E13</v>
      </c>
      <c r="B4650" s="218" t="s">
        <v>5421</v>
      </c>
    </row>
    <row r="4651">
      <c r="A4651" s="430">
        <v>8.3074302000131E13</v>
      </c>
      <c r="B4651" s="218" t="s">
        <v>5422</v>
      </c>
    </row>
    <row r="4652">
      <c r="A4652" s="430">
        <v>3.39162500011E12</v>
      </c>
      <c r="B4652" s="218" t="s">
        <v>5423</v>
      </c>
    </row>
    <row r="4653">
      <c r="A4653" s="430">
        <v>6.635187000186E12</v>
      </c>
      <c r="B4653" s="218" t="s">
        <v>5424</v>
      </c>
    </row>
    <row r="4654">
      <c r="A4654" s="430">
        <v>4.198254000117E12</v>
      </c>
      <c r="B4654" s="218" t="s">
        <v>5425</v>
      </c>
    </row>
    <row r="4655">
      <c r="A4655" s="430">
        <v>1.2510074000157E13</v>
      </c>
      <c r="B4655" s="218" t="s">
        <v>5426</v>
      </c>
    </row>
    <row r="4656">
      <c r="A4656" s="430">
        <v>7.7941490019506E13</v>
      </c>
      <c r="B4656" s="218" t="s">
        <v>5427</v>
      </c>
    </row>
    <row r="4657">
      <c r="A4657" s="430">
        <v>1.0715586000124E13</v>
      </c>
      <c r="B4657" s="218" t="s">
        <v>5428</v>
      </c>
    </row>
    <row r="4658">
      <c r="A4658" s="430">
        <v>1.4110101000123E13</v>
      </c>
      <c r="B4658" s="218" t="s">
        <v>5429</v>
      </c>
    </row>
    <row r="4659">
      <c r="A4659" s="430">
        <v>9.613372000168E12</v>
      </c>
      <c r="B4659" s="218" t="s">
        <v>5430</v>
      </c>
    </row>
    <row r="4660">
      <c r="A4660" s="430">
        <v>5.634834000172E12</v>
      </c>
      <c r="B4660" s="218" t="s">
        <v>5431</v>
      </c>
    </row>
    <row r="4661">
      <c r="A4661" s="430">
        <v>5.57731000132E11</v>
      </c>
      <c r="B4661" s="218" t="s">
        <v>5432</v>
      </c>
    </row>
    <row r="4662">
      <c r="A4662" s="430">
        <v>7.95912000016E12</v>
      </c>
      <c r="B4662" s="218" t="s">
        <v>5433</v>
      </c>
    </row>
    <row r="4663">
      <c r="A4663" s="430">
        <v>1.103454600018E13</v>
      </c>
      <c r="B4663" s="218" t="s">
        <v>5434</v>
      </c>
    </row>
    <row r="4664">
      <c r="A4664" s="430">
        <v>1.442914000175E12</v>
      </c>
      <c r="B4664" s="218" t="s">
        <v>5435</v>
      </c>
    </row>
    <row r="4665">
      <c r="A4665" s="430">
        <v>3.989248000115E12</v>
      </c>
      <c r="B4665" s="218" t="s">
        <v>5436</v>
      </c>
    </row>
    <row r="4666">
      <c r="A4666" s="430">
        <v>3.777341001723E12</v>
      </c>
      <c r="B4666" s="218" t="s">
        <v>1789</v>
      </c>
    </row>
    <row r="4667">
      <c r="A4667" s="430">
        <v>3.907333000197E12</v>
      </c>
      <c r="B4667" s="218" t="s">
        <v>5437</v>
      </c>
    </row>
    <row r="4668">
      <c r="A4668" s="430">
        <v>9.0180605000102E13</v>
      </c>
      <c r="B4668" s="218" t="s">
        <v>5438</v>
      </c>
    </row>
    <row r="4669">
      <c r="A4669" s="430">
        <v>1.0892102000384E13</v>
      </c>
      <c r="B4669" s="218" t="s">
        <v>5439</v>
      </c>
    </row>
    <row r="4670">
      <c r="A4670" s="430">
        <v>1.1354130000149E13</v>
      </c>
      <c r="B4670" s="218" t="s">
        <v>5440</v>
      </c>
    </row>
    <row r="4671">
      <c r="A4671" s="430">
        <v>1.1872300019E11</v>
      </c>
      <c r="B4671" s="218" t="s">
        <v>5441</v>
      </c>
    </row>
    <row r="4672">
      <c r="A4672" s="430">
        <v>8.753700013E10</v>
      </c>
      <c r="B4672" s="218" t="s">
        <v>5442</v>
      </c>
    </row>
    <row r="4673">
      <c r="A4673" s="430">
        <v>1.4876448000188E13</v>
      </c>
      <c r="B4673" s="218" t="s">
        <v>5443</v>
      </c>
    </row>
    <row r="4674">
      <c r="A4674" s="430">
        <v>1.254997000012E13</v>
      </c>
      <c r="B4674" s="218" t="s">
        <v>5444</v>
      </c>
    </row>
    <row r="4675">
      <c r="A4675" s="430">
        <v>5.621278000108E12</v>
      </c>
      <c r="B4675" s="218" t="s">
        <v>5445</v>
      </c>
    </row>
    <row r="4676">
      <c r="A4676" s="430">
        <v>6.7682716000197E13</v>
      </c>
      <c r="B4676" s="218" t="s">
        <v>5446</v>
      </c>
    </row>
    <row r="4677">
      <c r="A4677" s="430">
        <v>7.83573000139E11</v>
      </c>
      <c r="B4677" s="218" t="s">
        <v>5447</v>
      </c>
    </row>
    <row r="4678">
      <c r="A4678" s="430">
        <v>1.23673900321E11</v>
      </c>
      <c r="B4678" s="218" t="s">
        <v>5448</v>
      </c>
    </row>
    <row r="4679">
      <c r="A4679" s="430">
        <v>1.236739000321E12</v>
      </c>
      <c r="B4679" s="218" t="s">
        <v>5449</v>
      </c>
    </row>
    <row r="4680">
      <c r="A4680" s="430">
        <v>8.018497000187E12</v>
      </c>
      <c r="B4680" s="218" t="s">
        <v>5450</v>
      </c>
    </row>
    <row r="4681">
      <c r="A4681" s="430">
        <v>2.57721400015E12</v>
      </c>
      <c r="B4681" s="218" t="s">
        <v>5451</v>
      </c>
    </row>
    <row r="4682">
      <c r="A4682" s="430">
        <v>5.9168047000101E13</v>
      </c>
      <c r="B4682" s="218" t="s">
        <v>5452</v>
      </c>
    </row>
    <row r="4683">
      <c r="A4683" s="430">
        <v>5.09018000113E11</v>
      </c>
      <c r="B4683" s="218" t="s">
        <v>5453</v>
      </c>
    </row>
    <row r="4684">
      <c r="A4684" s="430">
        <v>1.125476200013E13</v>
      </c>
      <c r="B4684" s="218" t="s">
        <v>5454</v>
      </c>
    </row>
    <row r="4685">
      <c r="A4685" s="430">
        <v>2.01018000151E11</v>
      </c>
      <c r="B4685" s="218" t="s">
        <v>5455</v>
      </c>
    </row>
    <row r="4686">
      <c r="A4686" s="430">
        <v>1.2047604000172E13</v>
      </c>
      <c r="B4686" s="218" t="s">
        <v>5456</v>
      </c>
    </row>
    <row r="4687">
      <c r="A4687" s="430">
        <v>3.4163329000195E13</v>
      </c>
      <c r="B4687" s="218" t="s">
        <v>5457</v>
      </c>
    </row>
    <row r="4688">
      <c r="A4688" s="430">
        <v>1.337775700014E13</v>
      </c>
      <c r="B4688" s="218" t="s">
        <v>5458</v>
      </c>
    </row>
    <row r="4689">
      <c r="A4689" s="430">
        <v>3.94460014606E11</v>
      </c>
      <c r="B4689" s="218" t="s">
        <v>5459</v>
      </c>
    </row>
    <row r="4690">
      <c r="A4690" s="430">
        <v>1.7059712000189E13</v>
      </c>
      <c r="B4690" s="218" t="s">
        <v>5460</v>
      </c>
    </row>
    <row r="4691">
      <c r="A4691" s="430">
        <v>1.3950339000109E13</v>
      </c>
      <c r="B4691" s="218" t="s">
        <v>5461</v>
      </c>
    </row>
    <row r="4692">
      <c r="A4692" s="430">
        <v>7.655234000116E12</v>
      </c>
      <c r="B4692" s="218" t="s">
        <v>5462</v>
      </c>
    </row>
    <row r="4693">
      <c r="A4693" s="430">
        <v>1.7023942000198E13</v>
      </c>
      <c r="B4693" s="218" t="s">
        <v>5463</v>
      </c>
    </row>
    <row r="4694">
      <c r="A4694" s="430">
        <v>1.140288700016E13</v>
      </c>
      <c r="B4694" s="218" t="s">
        <v>5464</v>
      </c>
    </row>
    <row r="4695">
      <c r="A4695" s="430">
        <v>5.276848000161E12</v>
      </c>
      <c r="B4695" s="218" t="s">
        <v>5465</v>
      </c>
    </row>
    <row r="4696">
      <c r="A4696" s="430">
        <v>2.747702000123E12</v>
      </c>
      <c r="B4696" s="218" t="s">
        <v>5466</v>
      </c>
    </row>
    <row r="4697">
      <c r="A4697" s="430">
        <v>5.411481000141E12</v>
      </c>
      <c r="B4697" s="218" t="s">
        <v>5467</v>
      </c>
    </row>
    <row r="4698">
      <c r="A4698" s="430">
        <v>1.290275700015E13</v>
      </c>
      <c r="B4698" s="218" t="s">
        <v>5468</v>
      </c>
    </row>
    <row r="4699">
      <c r="A4699" s="430">
        <v>1.1227107000193E13</v>
      </c>
      <c r="B4699" s="218" t="s">
        <v>5469</v>
      </c>
    </row>
    <row r="4700">
      <c r="A4700" s="430">
        <v>6.9287639000104E13</v>
      </c>
      <c r="B4700" s="218" t="s">
        <v>5470</v>
      </c>
    </row>
    <row r="4701">
      <c r="A4701" s="430">
        <v>1.8855990000105E13</v>
      </c>
      <c r="B4701" s="218" t="s">
        <v>5471</v>
      </c>
    </row>
    <row r="4702">
      <c r="A4702" s="430">
        <v>1.818420500013E13</v>
      </c>
      <c r="B4702" s="218" t="s">
        <v>5472</v>
      </c>
    </row>
    <row r="4703">
      <c r="A4703" s="430">
        <v>1.871273000018E13</v>
      </c>
      <c r="B4703" s="218" t="s">
        <v>5473</v>
      </c>
    </row>
    <row r="4704">
      <c r="A4704" s="430">
        <v>9.2486080000104E13</v>
      </c>
      <c r="B4704" s="218" t="s">
        <v>4794</v>
      </c>
    </row>
    <row r="4705">
      <c r="A4705" s="430">
        <v>1.0835449000123E13</v>
      </c>
      <c r="B4705" s="218" t="s">
        <v>5474</v>
      </c>
    </row>
    <row r="4706">
      <c r="A4706" s="430">
        <v>6.2857420000146E13</v>
      </c>
      <c r="B4706" s="218" t="s">
        <v>5475</v>
      </c>
    </row>
    <row r="4707">
      <c r="A4707" s="430">
        <v>1.884993000255E12</v>
      </c>
      <c r="B4707" s="218" t="s">
        <v>5476</v>
      </c>
    </row>
    <row r="4708">
      <c r="A4708" s="430">
        <v>7.399982000185E12</v>
      </c>
      <c r="B4708" s="218" t="s">
        <v>5477</v>
      </c>
    </row>
    <row r="4709">
      <c r="A4709" s="430">
        <v>2.46936400014E12</v>
      </c>
      <c r="B4709" s="218" t="s">
        <v>5478</v>
      </c>
    </row>
    <row r="4710">
      <c r="A4710" s="430">
        <v>9.5832986000172E13</v>
      </c>
      <c r="B4710" s="218" t="s">
        <v>5479</v>
      </c>
    </row>
    <row r="4711">
      <c r="A4711" s="430">
        <v>1.0502700000138E13</v>
      </c>
      <c r="B4711" s="218" t="s">
        <v>5480</v>
      </c>
    </row>
    <row r="4712">
      <c r="A4712" s="430">
        <v>1.2450249000188E13</v>
      </c>
      <c r="B4712" s="218" t="s">
        <v>5481</v>
      </c>
    </row>
    <row r="4713">
      <c r="A4713" s="430">
        <v>1.2473974000171E13</v>
      </c>
      <c r="B4713" s="218" t="s">
        <v>5482</v>
      </c>
    </row>
    <row r="4714">
      <c r="A4714" s="430">
        <v>6.5529489000139E13</v>
      </c>
      <c r="B4714" s="218" t="s">
        <v>5483</v>
      </c>
    </row>
    <row r="4715">
      <c r="A4715" s="430">
        <v>1.2286341000154E13</v>
      </c>
      <c r="B4715" s="218" t="s">
        <v>5484</v>
      </c>
    </row>
    <row r="4716">
      <c r="A4716" s="430">
        <v>8.578161000179E12</v>
      </c>
      <c r="B4716" s="218" t="s">
        <v>5485</v>
      </c>
    </row>
    <row r="4717">
      <c r="A4717" s="430">
        <v>8.804785000167E12</v>
      </c>
      <c r="B4717" s="218" t="s">
        <v>5486</v>
      </c>
    </row>
    <row r="4718">
      <c r="A4718" s="430">
        <v>1.01977520003E13</v>
      </c>
      <c r="B4718" s="218" t="s">
        <v>5487</v>
      </c>
    </row>
    <row r="4719">
      <c r="A4719" s="430">
        <v>1.2215492000111E13</v>
      </c>
      <c r="B4719" s="218" t="s">
        <v>5488</v>
      </c>
    </row>
    <row r="4720">
      <c r="A4720" s="430">
        <v>6.1502324000546E13</v>
      </c>
      <c r="B4720" s="218" t="s">
        <v>5489</v>
      </c>
    </row>
    <row r="4721">
      <c r="A4721" s="430">
        <v>9.570732000434E12</v>
      </c>
      <c r="B4721" s="218" t="s">
        <v>5490</v>
      </c>
    </row>
    <row r="4722">
      <c r="A4722" s="430">
        <v>3.335994000195E12</v>
      </c>
      <c r="B4722" s="218" t="s">
        <v>5491</v>
      </c>
    </row>
    <row r="4723">
      <c r="A4723" s="430">
        <v>7.39713900016E12</v>
      </c>
      <c r="B4723" s="218" t="s">
        <v>5492</v>
      </c>
    </row>
    <row r="4724">
      <c r="A4724" s="430">
        <v>1.5283847000106E13</v>
      </c>
      <c r="B4724" s="218" t="s">
        <v>5493</v>
      </c>
    </row>
    <row r="4725">
      <c r="A4725" s="430">
        <v>4.344557000109E12</v>
      </c>
      <c r="B4725" s="218" t="s">
        <v>5494</v>
      </c>
    </row>
    <row r="4726">
      <c r="A4726" s="430">
        <v>6.7838565000113E13</v>
      </c>
      <c r="B4726" s="218" t="s">
        <v>5495</v>
      </c>
    </row>
    <row r="4727">
      <c r="A4727" s="430">
        <v>8.8515900013E11</v>
      </c>
      <c r="B4727" s="218" t="s">
        <v>5496</v>
      </c>
    </row>
    <row r="4728">
      <c r="A4728" s="430">
        <v>6.2328984000191E13</v>
      </c>
      <c r="B4728" s="218" t="s">
        <v>5497</v>
      </c>
    </row>
    <row r="4729">
      <c r="A4729" s="430">
        <v>7.045591000162E12</v>
      </c>
      <c r="B4729" s="218" t="s">
        <v>5498</v>
      </c>
    </row>
    <row r="4730">
      <c r="A4730" s="430">
        <v>1.1094173000132E13</v>
      </c>
      <c r="B4730" s="218" t="s">
        <v>5499</v>
      </c>
    </row>
    <row r="4731">
      <c r="A4731" s="430">
        <v>9.484129000197E12</v>
      </c>
      <c r="B4731" s="218" t="s">
        <v>5500</v>
      </c>
    </row>
    <row r="4732">
      <c r="A4732" s="430">
        <v>9.1080150000108E13</v>
      </c>
      <c r="B4732" s="218" t="s">
        <v>5501</v>
      </c>
    </row>
    <row r="4733">
      <c r="A4733" s="430">
        <v>1.075439900015E13</v>
      </c>
      <c r="B4733" s="218" t="s">
        <v>5502</v>
      </c>
    </row>
    <row r="4734">
      <c r="A4734" s="430">
        <v>9.120195000188E12</v>
      </c>
      <c r="B4734" s="218" t="s">
        <v>5503</v>
      </c>
    </row>
    <row r="4735">
      <c r="A4735" s="430">
        <v>9.4976594000114E13</v>
      </c>
      <c r="B4735" s="218" t="s">
        <v>5504</v>
      </c>
    </row>
    <row r="4736">
      <c r="A4736" s="430">
        <v>2.244708000113E12</v>
      </c>
      <c r="B4736" s="218" t="s">
        <v>5505</v>
      </c>
    </row>
    <row r="4737">
      <c r="A4737" s="430">
        <v>7.371629000197E12</v>
      </c>
      <c r="B4737" s="218" t="s">
        <v>5506</v>
      </c>
    </row>
    <row r="4738">
      <c r="A4738" s="430">
        <v>8.52006650001E13</v>
      </c>
      <c r="B4738" s="218" t="s">
        <v>5507</v>
      </c>
    </row>
    <row r="4739">
      <c r="A4739" s="430">
        <v>7.124807000185E12</v>
      </c>
      <c r="B4739" s="218" t="s">
        <v>5508</v>
      </c>
    </row>
    <row r="4740">
      <c r="A4740" s="430">
        <v>8.0756893000139E13</v>
      </c>
      <c r="B4740" s="218" t="s">
        <v>5509</v>
      </c>
    </row>
    <row r="4741">
      <c r="A4741" s="430">
        <v>3.882782000128E12</v>
      </c>
      <c r="B4741" s="218" t="s">
        <v>5510</v>
      </c>
    </row>
    <row r="4742">
      <c r="A4742" s="430">
        <v>7.811050000106E12</v>
      </c>
      <c r="B4742" s="218" t="s">
        <v>5511</v>
      </c>
    </row>
    <row r="4743">
      <c r="A4743" s="430">
        <v>8.2804642000108E13</v>
      </c>
      <c r="B4743" s="218" t="s">
        <v>5512</v>
      </c>
    </row>
    <row r="4744">
      <c r="A4744" s="430">
        <v>1.2623352000182E13</v>
      </c>
      <c r="B4744" s="218" t="s">
        <v>5513</v>
      </c>
    </row>
    <row r="4745">
      <c r="A4745" s="430">
        <v>7.8459443000132E13</v>
      </c>
      <c r="B4745" s="218" t="s">
        <v>5514</v>
      </c>
    </row>
    <row r="4746">
      <c r="A4746" s="430">
        <v>2.1603666000104E13</v>
      </c>
      <c r="B4746" s="218" t="s">
        <v>5515</v>
      </c>
    </row>
    <row r="4747">
      <c r="A4747" s="430">
        <v>8.355660000105E12</v>
      </c>
      <c r="B4747" s="218" t="s">
        <v>5516</v>
      </c>
    </row>
    <row r="4748">
      <c r="A4748" s="430">
        <v>1.2777972000176E13</v>
      </c>
      <c r="B4748" s="218" t="s">
        <v>5517</v>
      </c>
    </row>
    <row r="4749">
      <c r="A4749" s="430">
        <v>1.4990312000102E13</v>
      </c>
      <c r="B4749" s="218" t="s">
        <v>5518</v>
      </c>
    </row>
    <row r="4750">
      <c r="A4750" s="430">
        <v>6.7718783000114E13</v>
      </c>
      <c r="B4750" s="218" t="s">
        <v>5519</v>
      </c>
    </row>
    <row r="4751">
      <c r="A4751" s="430">
        <v>5.468914000103E12</v>
      </c>
      <c r="B4751" s="218" t="s">
        <v>5520</v>
      </c>
    </row>
    <row r="4752">
      <c r="A4752" s="430">
        <v>1.118882000157E12</v>
      </c>
      <c r="B4752" s="218" t="s">
        <v>5521</v>
      </c>
    </row>
    <row r="4753">
      <c r="A4753" s="430">
        <v>3.869589000157E12</v>
      </c>
      <c r="B4753" s="218" t="s">
        <v>5522</v>
      </c>
    </row>
    <row r="4754">
      <c r="A4754" s="430">
        <v>3.2578387000154E13</v>
      </c>
      <c r="B4754" s="218" t="s">
        <v>5523</v>
      </c>
    </row>
    <row r="4755">
      <c r="A4755" s="430">
        <v>1.1421198000284E13</v>
      </c>
      <c r="B4755" s="218" t="s">
        <v>5524</v>
      </c>
    </row>
    <row r="4756">
      <c r="A4756" s="430">
        <v>8.866533000162E12</v>
      </c>
      <c r="B4756" s="218" t="s">
        <v>5525</v>
      </c>
    </row>
    <row r="4757">
      <c r="A4757" s="430">
        <v>1.1320180000105E13</v>
      </c>
      <c r="B4757" s="218" t="s">
        <v>5526</v>
      </c>
    </row>
    <row r="4758">
      <c r="A4758" s="430">
        <v>9.208840000119E12</v>
      </c>
      <c r="B4758" s="218" t="s">
        <v>5527</v>
      </c>
    </row>
    <row r="4759">
      <c r="A4759" s="430">
        <v>7.555459000109E12</v>
      </c>
      <c r="B4759" s="218" t="s">
        <v>5528</v>
      </c>
    </row>
    <row r="4760">
      <c r="A4760" s="430">
        <v>5.062036000113E12</v>
      </c>
      <c r="B4760" s="218" t="s">
        <v>5529</v>
      </c>
    </row>
    <row r="4761">
      <c r="A4761" s="430">
        <v>1.590728000264E12</v>
      </c>
      <c r="B4761" s="218" t="s">
        <v>5530</v>
      </c>
    </row>
    <row r="4762">
      <c r="A4762" s="430">
        <v>4.455174000108E12</v>
      </c>
      <c r="B4762" s="218" t="s">
        <v>5531</v>
      </c>
    </row>
    <row r="4763">
      <c r="A4763" s="430">
        <v>3.241738000139E12</v>
      </c>
      <c r="B4763" s="218" t="s">
        <v>5532</v>
      </c>
    </row>
    <row r="4764">
      <c r="A4764" s="430">
        <v>4.4065951000114E13</v>
      </c>
      <c r="B4764" s="218" t="s">
        <v>5533</v>
      </c>
    </row>
    <row r="4765">
      <c r="A4765" s="430">
        <v>5.375709000195E12</v>
      </c>
      <c r="B4765" s="218" t="s">
        <v>5534</v>
      </c>
    </row>
    <row r="4766">
      <c r="A4766" s="430">
        <v>2.69496000101E11</v>
      </c>
      <c r="B4766" s="218" t="s">
        <v>5535</v>
      </c>
    </row>
    <row r="4767">
      <c r="A4767" s="430">
        <v>4.271340000108E12</v>
      </c>
      <c r="B4767" s="218" t="s">
        <v>5536</v>
      </c>
    </row>
    <row r="4768">
      <c r="A4768" s="430">
        <v>8.471007800019E13</v>
      </c>
      <c r="B4768" s="218" t="s">
        <v>5537</v>
      </c>
    </row>
    <row r="4769">
      <c r="A4769" s="430">
        <v>6.281527000118E12</v>
      </c>
      <c r="B4769" s="218" t="s">
        <v>5538</v>
      </c>
    </row>
    <row r="4770">
      <c r="A4770" s="430">
        <v>5.339715000197E12</v>
      </c>
      <c r="B4770" s="218" t="s">
        <v>5539</v>
      </c>
    </row>
    <row r="4771">
      <c r="A4771" s="430">
        <v>5.543938000171E12</v>
      </c>
      <c r="B4771" s="218" t="s">
        <v>5540</v>
      </c>
    </row>
    <row r="4772">
      <c r="A4772" s="430">
        <v>2.416284000127E12</v>
      </c>
      <c r="B4772" s="218" t="s">
        <v>5541</v>
      </c>
    </row>
    <row r="4773">
      <c r="A4773" s="430">
        <v>9.13443000173E11</v>
      </c>
      <c r="B4773" s="218" t="s">
        <v>5542</v>
      </c>
    </row>
    <row r="4774">
      <c r="A4774" s="430">
        <v>7.5459461000479E13</v>
      </c>
      <c r="B4774" s="218" t="s">
        <v>1711</v>
      </c>
    </row>
    <row r="4775">
      <c r="A4775" s="430">
        <v>2.544593000182E12</v>
      </c>
      <c r="B4775" s="218" t="s">
        <v>5543</v>
      </c>
    </row>
    <row r="4776">
      <c r="A4776" s="430">
        <v>2.56622400019E12</v>
      </c>
      <c r="B4776" s="218" t="s">
        <v>5544</v>
      </c>
    </row>
    <row r="4777">
      <c r="A4777" s="430">
        <v>8.9054050000408E13</v>
      </c>
      <c r="B4777" s="218" t="s">
        <v>5545</v>
      </c>
    </row>
    <row r="4778">
      <c r="A4778" s="430">
        <v>8.3130229000178E13</v>
      </c>
      <c r="B4778" s="218" t="s">
        <v>5546</v>
      </c>
    </row>
    <row r="4779">
      <c r="A4779" s="430">
        <v>9.058708000178E12</v>
      </c>
      <c r="B4779" s="218" t="s">
        <v>5547</v>
      </c>
    </row>
    <row r="4780">
      <c r="A4780" s="430">
        <v>8.2150293000158E13</v>
      </c>
      <c r="B4780" s="218" t="s">
        <v>5548</v>
      </c>
    </row>
    <row r="4781">
      <c r="A4781" s="430">
        <v>1.0370580000162E13</v>
      </c>
      <c r="B4781" s="218" t="s">
        <v>5549</v>
      </c>
    </row>
    <row r="4782">
      <c r="A4782" s="430">
        <v>1.2185204000123E13</v>
      </c>
      <c r="B4782" s="218" t="s">
        <v>5550</v>
      </c>
    </row>
    <row r="4783">
      <c r="A4783" s="430">
        <v>1.1491585000106E13</v>
      </c>
      <c r="B4783" s="218" t="s">
        <v>5551</v>
      </c>
    </row>
    <row r="4784">
      <c r="A4784" s="430">
        <v>5.607657000135E12</v>
      </c>
      <c r="B4784" s="218" t="s">
        <v>5552</v>
      </c>
    </row>
    <row r="4785">
      <c r="A4785" s="430">
        <v>1.0583487000136E13</v>
      </c>
      <c r="B4785" s="218" t="s">
        <v>5553</v>
      </c>
    </row>
    <row r="4786">
      <c r="A4786" s="430">
        <v>1.7496120000124E13</v>
      </c>
      <c r="B4786" s="218" t="s">
        <v>5554</v>
      </c>
    </row>
    <row r="4787">
      <c r="A4787" s="430">
        <v>3.384768000102E12</v>
      </c>
      <c r="B4787" s="218" t="s">
        <v>5555</v>
      </c>
    </row>
    <row r="4788">
      <c r="A4788" s="430">
        <v>1.14616300014E12</v>
      </c>
      <c r="B4788" s="218" t="s">
        <v>5556</v>
      </c>
    </row>
    <row r="4789">
      <c r="A4789" s="430">
        <v>7.85765500012E12</v>
      </c>
      <c r="B4789" s="218" t="s">
        <v>5557</v>
      </c>
    </row>
    <row r="4790">
      <c r="A4790" s="430">
        <v>1.7555164000188E13</v>
      </c>
      <c r="B4790" s="218" t="s">
        <v>5558</v>
      </c>
    </row>
    <row r="4791">
      <c r="A4791" s="430">
        <v>7.9053468000102E13</v>
      </c>
      <c r="B4791" s="218" t="s">
        <v>5559</v>
      </c>
    </row>
    <row r="4792">
      <c r="A4792" s="430">
        <v>1.910823500012E13</v>
      </c>
      <c r="B4792" s="218" t="s">
        <v>5560</v>
      </c>
    </row>
    <row r="4793">
      <c r="A4793" s="430">
        <v>2.0169473000124E13</v>
      </c>
      <c r="B4793" s="218" t="s">
        <v>5561</v>
      </c>
    </row>
    <row r="4794">
      <c r="A4794" s="430">
        <v>1.0986234000103E13</v>
      </c>
      <c r="B4794" s="218" t="s">
        <v>5562</v>
      </c>
    </row>
    <row r="4795">
      <c r="A4795" s="430">
        <v>4.989294000187E12</v>
      </c>
      <c r="B4795" s="218" t="s">
        <v>5563</v>
      </c>
    </row>
    <row r="4796">
      <c r="A4796" s="430">
        <v>8.9032010001E12</v>
      </c>
      <c r="B4796" s="218" t="s">
        <v>5564</v>
      </c>
    </row>
    <row r="4797">
      <c r="A4797" s="430">
        <v>4.5271680001E12</v>
      </c>
      <c r="B4797" s="218" t="s">
        <v>5565</v>
      </c>
    </row>
    <row r="4798">
      <c r="A4798" s="430">
        <v>3.250697000147E12</v>
      </c>
      <c r="B4798" s="218" t="s">
        <v>5566</v>
      </c>
    </row>
    <row r="4799">
      <c r="A4799" s="430">
        <v>9.685521000102E12</v>
      </c>
      <c r="B4799" s="218" t="s">
        <v>5567</v>
      </c>
    </row>
    <row r="4800">
      <c r="A4800" s="430">
        <v>1.7194994000127E13</v>
      </c>
      <c r="B4800" s="218" t="s">
        <v>5568</v>
      </c>
    </row>
    <row r="4801">
      <c r="A4801" s="430">
        <v>3.4075739004414E13</v>
      </c>
      <c r="B4801" s="218" t="s">
        <v>5569</v>
      </c>
    </row>
    <row r="4802">
      <c r="A4802" s="430">
        <v>8.796169000101E12</v>
      </c>
      <c r="B4802" s="218" t="s">
        <v>5570</v>
      </c>
    </row>
    <row r="4803">
      <c r="A4803" s="430">
        <v>8.618407400014E13</v>
      </c>
      <c r="B4803" s="218" t="s">
        <v>5571</v>
      </c>
    </row>
    <row r="4804">
      <c r="A4804" s="430">
        <v>8.602040000115E12</v>
      </c>
      <c r="B4804" s="218" t="s">
        <v>5572</v>
      </c>
    </row>
    <row r="4805">
      <c r="A4805" s="430">
        <v>1.708931000101E12</v>
      </c>
      <c r="B4805" s="218" t="s">
        <v>5573</v>
      </c>
    </row>
    <row r="4806">
      <c r="A4806" s="430">
        <v>7.8502598000104E13</v>
      </c>
      <c r="B4806" s="218" t="s">
        <v>5574</v>
      </c>
    </row>
    <row r="4807">
      <c r="A4807" s="430">
        <v>8.335448000178E12</v>
      </c>
      <c r="B4807" s="218" t="s">
        <v>5575</v>
      </c>
    </row>
    <row r="4808">
      <c r="A4808" s="430">
        <v>1.4087570000175E13</v>
      </c>
      <c r="B4808" s="218" t="s">
        <v>5576</v>
      </c>
    </row>
    <row r="4809">
      <c r="A4809" s="430">
        <v>3.9244454000143E13</v>
      </c>
      <c r="B4809" s="218" t="s">
        <v>5577</v>
      </c>
    </row>
    <row r="4810">
      <c r="A4810" s="430">
        <v>3.94460022706E11</v>
      </c>
      <c r="B4810" s="218" t="s">
        <v>5578</v>
      </c>
    </row>
    <row r="4811">
      <c r="A4811" s="430">
        <v>1.8329578000151E13</v>
      </c>
      <c r="B4811" s="218" t="s">
        <v>5579</v>
      </c>
    </row>
    <row r="4812">
      <c r="A4812" s="430">
        <v>3.7115409000163E13</v>
      </c>
      <c r="B4812" s="218" t="s">
        <v>5580</v>
      </c>
    </row>
    <row r="4813">
      <c r="A4813" s="430">
        <v>7.20799600015E12</v>
      </c>
      <c r="B4813" s="218" t="s">
        <v>5581</v>
      </c>
    </row>
    <row r="4814">
      <c r="A4814" s="430">
        <v>5.686994000165E12</v>
      </c>
      <c r="B4814" s="218" t="s">
        <v>5582</v>
      </c>
    </row>
    <row r="4815">
      <c r="A4815" s="430">
        <v>3.790887000157E12</v>
      </c>
      <c r="B4815" s="218" t="s">
        <v>5583</v>
      </c>
    </row>
    <row r="4816">
      <c r="A4816" s="430">
        <v>4.194626000137E12</v>
      </c>
      <c r="B4816" s="218" t="s">
        <v>5584</v>
      </c>
    </row>
    <row r="4817">
      <c r="A4817" s="430">
        <v>1.56890000125E11</v>
      </c>
      <c r="B4817" s="218" t="s">
        <v>5585</v>
      </c>
    </row>
    <row r="4818">
      <c r="A4818" s="430">
        <v>3.471545000174E12</v>
      </c>
      <c r="B4818" s="218" t="s">
        <v>5586</v>
      </c>
    </row>
    <row r="4819">
      <c r="A4819" s="430">
        <v>8.2652991000151E13</v>
      </c>
      <c r="B4819" s="218" t="s">
        <v>5587</v>
      </c>
    </row>
    <row r="4820">
      <c r="A4820" s="430">
        <v>8.44058000014E12</v>
      </c>
      <c r="B4820" s="218" t="s">
        <v>5588</v>
      </c>
    </row>
    <row r="4821">
      <c r="A4821" s="430">
        <v>3.3205451000114E13</v>
      </c>
      <c r="B4821" s="218" t="s">
        <v>5589</v>
      </c>
    </row>
    <row r="4822">
      <c r="A4822" s="430">
        <v>2.9739737004108E13</v>
      </c>
      <c r="B4822" s="218" t="s">
        <v>5590</v>
      </c>
    </row>
    <row r="4823">
      <c r="A4823" s="430">
        <v>3.2350027000109E13</v>
      </c>
      <c r="B4823" s="218" t="s">
        <v>5591</v>
      </c>
    </row>
    <row r="4824">
      <c r="A4824" s="430">
        <v>5.4387850001E12</v>
      </c>
      <c r="B4824" s="218" t="s">
        <v>5592</v>
      </c>
    </row>
    <row r="4825">
      <c r="A4825" s="430">
        <v>1.5537161000196E13</v>
      </c>
      <c r="B4825" s="218" t="s">
        <v>5593</v>
      </c>
    </row>
    <row r="4826">
      <c r="A4826" s="430">
        <v>8.3805614000178E13</v>
      </c>
      <c r="B4826" s="218" t="s">
        <v>5594</v>
      </c>
    </row>
    <row r="4827">
      <c r="A4827" s="430">
        <v>9.16369800013E12</v>
      </c>
      <c r="B4827" s="218" t="s">
        <v>5595</v>
      </c>
    </row>
    <row r="4828">
      <c r="A4828" s="430">
        <v>4.931313000114E12</v>
      </c>
      <c r="B4828" s="218" t="s">
        <v>5596</v>
      </c>
    </row>
    <row r="4829">
      <c r="A4829" s="430">
        <v>1.2130958000186E13</v>
      </c>
      <c r="B4829" s="218" t="s">
        <v>5597</v>
      </c>
    </row>
    <row r="4830">
      <c r="A4830" s="430">
        <v>6.099299000454E12</v>
      </c>
      <c r="B4830" s="218" t="s">
        <v>5598</v>
      </c>
    </row>
    <row r="4831">
      <c r="A4831" s="430">
        <v>8.356889900017E13</v>
      </c>
      <c r="B4831" s="218" t="s">
        <v>5599</v>
      </c>
    </row>
    <row r="4832">
      <c r="A4832" s="430">
        <v>4.8184100032E11</v>
      </c>
      <c r="B4832" s="218" t="s">
        <v>5600</v>
      </c>
    </row>
    <row r="4833">
      <c r="A4833" s="430">
        <v>8.0982242000167E13</v>
      </c>
      <c r="B4833" s="218" t="s">
        <v>5601</v>
      </c>
    </row>
    <row r="4834">
      <c r="A4834" s="430">
        <v>1.3627448000181E13</v>
      </c>
      <c r="B4834" s="218" t="s">
        <v>5602</v>
      </c>
    </row>
    <row r="4835">
      <c r="A4835" s="430">
        <v>1.0835645000106E13</v>
      </c>
      <c r="B4835" s="218" t="s">
        <v>5603</v>
      </c>
    </row>
    <row r="4836">
      <c r="A4836" s="430">
        <v>1.0339552000182E13</v>
      </c>
      <c r="B4836" s="218" t="s">
        <v>5604</v>
      </c>
    </row>
    <row r="4837">
      <c r="A4837" s="430">
        <v>9.189304000113E12</v>
      </c>
      <c r="B4837" s="218" t="s">
        <v>5605</v>
      </c>
    </row>
    <row r="4838">
      <c r="A4838" s="430">
        <v>1.0802479000133E13</v>
      </c>
      <c r="B4838" s="218" t="s">
        <v>5606</v>
      </c>
    </row>
    <row r="4839">
      <c r="A4839" s="430">
        <v>5.089320000183E12</v>
      </c>
      <c r="B4839" s="218" t="s">
        <v>5607</v>
      </c>
    </row>
    <row r="4840">
      <c r="A4840" s="430">
        <v>1.1609081000148E13</v>
      </c>
      <c r="B4840" s="218" t="s">
        <v>5608</v>
      </c>
    </row>
    <row r="4841">
      <c r="A4841" s="430">
        <v>1.0957625000108E13</v>
      </c>
      <c r="B4841" s="218" t="s">
        <v>5609</v>
      </c>
    </row>
    <row r="4842">
      <c r="A4842" s="430">
        <v>7.838200000167E12</v>
      </c>
      <c r="B4842" s="218" t="s">
        <v>5610</v>
      </c>
    </row>
    <row r="4843">
      <c r="A4843" s="430">
        <v>4.458374000106E12</v>
      </c>
      <c r="B4843" s="218" t="s">
        <v>5611</v>
      </c>
    </row>
    <row r="4844">
      <c r="A4844" s="430">
        <v>2.6108621000187E13</v>
      </c>
      <c r="B4844" s="218" t="s">
        <v>5612</v>
      </c>
    </row>
    <row r="4845">
      <c r="A4845" s="430">
        <v>1.899776000158E12</v>
      </c>
      <c r="B4845" s="218" t="s">
        <v>5613</v>
      </c>
    </row>
    <row r="4846">
      <c r="A4846" s="430">
        <v>8.3240333001359E13</v>
      </c>
      <c r="B4846" s="218" t="s">
        <v>1482</v>
      </c>
    </row>
    <row r="4847">
      <c r="A4847" s="430">
        <v>1.516996500018E13</v>
      </c>
      <c r="B4847" s="218" t="s">
        <v>5614</v>
      </c>
    </row>
    <row r="4848">
      <c r="A4848" s="430">
        <v>1.1829472000178E13</v>
      </c>
      <c r="B4848" s="218" t="s">
        <v>5615</v>
      </c>
    </row>
    <row r="4849">
      <c r="A4849" s="430">
        <v>7.145336000191E12</v>
      </c>
      <c r="B4849" s="218" t="s">
        <v>5616</v>
      </c>
    </row>
    <row r="4850">
      <c r="A4850" s="430">
        <v>3.86369000265E11</v>
      </c>
      <c r="B4850" s="218" t="s">
        <v>5617</v>
      </c>
    </row>
    <row r="4851">
      <c r="A4851" s="430">
        <v>5.240196000105E12</v>
      </c>
      <c r="B4851" s="218" t="s">
        <v>5618</v>
      </c>
    </row>
    <row r="4852">
      <c r="A4852" s="430">
        <v>4.119545000172E12</v>
      </c>
      <c r="B4852" s="218" t="s">
        <v>5619</v>
      </c>
    </row>
    <row r="4853">
      <c r="A4853" s="430">
        <v>1.4576552000157E13</v>
      </c>
      <c r="B4853" s="218" t="s">
        <v>5620</v>
      </c>
    </row>
    <row r="4854">
      <c r="A4854" s="430">
        <v>7.5277525000178E13</v>
      </c>
      <c r="B4854" s="218" t="s">
        <v>5621</v>
      </c>
    </row>
    <row r="4855">
      <c r="A4855" s="430">
        <v>4.078456000125E12</v>
      </c>
      <c r="B4855" s="218" t="s">
        <v>5622</v>
      </c>
    </row>
    <row r="4856">
      <c r="A4856" s="430">
        <v>3.094629001299E12</v>
      </c>
      <c r="B4856" s="218" t="s">
        <v>5623</v>
      </c>
    </row>
    <row r="4857">
      <c r="A4857" s="430">
        <v>8.3395921000128E13</v>
      </c>
      <c r="B4857" s="218" t="s">
        <v>5624</v>
      </c>
    </row>
    <row r="4858">
      <c r="A4858" s="430">
        <v>1.1014473000164E13</v>
      </c>
      <c r="B4858" s="218" t="s">
        <v>5625</v>
      </c>
    </row>
    <row r="4859">
      <c r="A4859" s="430">
        <v>8.3646984007899E13</v>
      </c>
      <c r="B4859" s="218" t="s">
        <v>5626</v>
      </c>
    </row>
    <row r="4860">
      <c r="A4860" s="430">
        <v>7.7450330001E12</v>
      </c>
      <c r="B4860" s="218" t="s">
        <v>5627</v>
      </c>
    </row>
    <row r="4861">
      <c r="A4861" s="430">
        <v>1.144421000159E12</v>
      </c>
      <c r="B4861" s="218" t="s">
        <v>5628</v>
      </c>
    </row>
    <row r="4862">
      <c r="A4862" s="430">
        <v>2.08995000016E12</v>
      </c>
      <c r="B4862" s="218" t="s">
        <v>5629</v>
      </c>
    </row>
    <row r="4863">
      <c r="A4863" s="430">
        <v>5.0429810000136E13</v>
      </c>
      <c r="B4863" s="218" t="s">
        <v>5630</v>
      </c>
    </row>
    <row r="4864">
      <c r="A4864" s="430">
        <v>4.779968000119E12</v>
      </c>
      <c r="B4864" s="218" t="s">
        <v>5631</v>
      </c>
    </row>
    <row r="4865">
      <c r="A4865" s="430">
        <v>7.993228000179E12</v>
      </c>
      <c r="B4865" s="218" t="s">
        <v>5632</v>
      </c>
    </row>
    <row r="4866">
      <c r="A4866" s="430">
        <v>1.82624130001E13</v>
      </c>
      <c r="B4866" s="218" t="s">
        <v>5633</v>
      </c>
    </row>
    <row r="4867">
      <c r="A4867" s="430">
        <v>1.401910800013E13</v>
      </c>
      <c r="B4867" s="218" t="s">
        <v>5634</v>
      </c>
    </row>
    <row r="4868">
      <c r="A4868" s="430">
        <v>8.083394000109E12</v>
      </c>
      <c r="B4868" s="218" t="s">
        <v>5635</v>
      </c>
    </row>
    <row r="4869">
      <c r="A4869" s="430">
        <v>1.8964131000154E13</v>
      </c>
      <c r="B4869" s="218" t="s">
        <v>5636</v>
      </c>
    </row>
    <row r="4870">
      <c r="A4870" s="430">
        <v>1.66281320001E13</v>
      </c>
      <c r="B4870" s="218" t="s">
        <v>5637</v>
      </c>
    </row>
    <row r="4871">
      <c r="A4871" s="430">
        <v>7.2354533000182E13</v>
      </c>
      <c r="B4871" s="218" t="s">
        <v>5638</v>
      </c>
    </row>
    <row r="4872">
      <c r="A4872" s="430">
        <v>9.462453000104E12</v>
      </c>
      <c r="B4872" s="218" t="s">
        <v>5639</v>
      </c>
    </row>
    <row r="4873">
      <c r="A4873" s="430">
        <v>3.50580400013E12</v>
      </c>
      <c r="B4873" s="218" t="s">
        <v>5640</v>
      </c>
    </row>
    <row r="4874">
      <c r="A4874" s="430">
        <v>9.4510682000126E13</v>
      </c>
      <c r="B4874" s="218" t="s">
        <v>5641</v>
      </c>
    </row>
    <row r="4875">
      <c r="A4875" s="430">
        <v>9.383413000177E12</v>
      </c>
      <c r="B4875" s="218" t="s">
        <v>5642</v>
      </c>
    </row>
    <row r="4876">
      <c r="A4876" s="430">
        <v>3.08892400018E12</v>
      </c>
      <c r="B4876" s="218" t="s">
        <v>5643</v>
      </c>
    </row>
    <row r="4877">
      <c r="A4877" s="430">
        <v>5.99010660001E12</v>
      </c>
      <c r="B4877" s="218" t="s">
        <v>5644</v>
      </c>
    </row>
    <row r="4878">
      <c r="A4878" s="430">
        <v>9.580139000126E12</v>
      </c>
      <c r="B4878" s="218" t="s">
        <v>5645</v>
      </c>
    </row>
    <row r="4879">
      <c r="A4879" s="430">
        <v>1.1583363000113E13</v>
      </c>
      <c r="B4879" s="218" t="s">
        <v>5646</v>
      </c>
    </row>
    <row r="4880">
      <c r="A4880" s="430">
        <v>8.3797001000136E13</v>
      </c>
      <c r="B4880" s="218" t="s">
        <v>5647</v>
      </c>
    </row>
    <row r="4881">
      <c r="A4881" s="430">
        <v>7.236863000101E12</v>
      </c>
      <c r="B4881" s="218" t="s">
        <v>5648</v>
      </c>
    </row>
    <row r="4882">
      <c r="A4882" s="430">
        <v>1.3419654000104E13</v>
      </c>
      <c r="B4882" s="218" t="s">
        <v>5649</v>
      </c>
    </row>
    <row r="4883">
      <c r="A4883" s="430">
        <v>4.419901000173E12</v>
      </c>
      <c r="B4883" s="218" t="s">
        <v>5650</v>
      </c>
    </row>
    <row r="4884">
      <c r="A4884" s="430">
        <v>1.0892102000112E13</v>
      </c>
      <c r="B4884" s="218" t="s">
        <v>5651</v>
      </c>
    </row>
    <row r="4885">
      <c r="A4885" s="430">
        <v>4.251620000154E12</v>
      </c>
      <c r="B4885" s="218" t="s">
        <v>5652</v>
      </c>
    </row>
    <row r="4886">
      <c r="A4886" s="430">
        <v>1.1626657000185E13</v>
      </c>
      <c r="B4886" s="218" t="s">
        <v>5653</v>
      </c>
    </row>
    <row r="4887">
      <c r="A4887" s="430">
        <v>7.88339930017E12</v>
      </c>
      <c r="B4887" s="218" t="s">
        <v>5205</v>
      </c>
    </row>
    <row r="4888">
      <c r="A4888" s="430">
        <v>5.10840700015E12</v>
      </c>
      <c r="B4888" s="218" t="s">
        <v>5654</v>
      </c>
    </row>
    <row r="4889">
      <c r="A4889" s="430">
        <v>9.342831000116E12</v>
      </c>
      <c r="B4889" s="218" t="s">
        <v>5655</v>
      </c>
    </row>
    <row r="4890">
      <c r="A4890" s="430">
        <v>6.065645000199E12</v>
      </c>
      <c r="B4890" s="218" t="s">
        <v>5656</v>
      </c>
    </row>
    <row r="4891">
      <c r="A4891" s="430">
        <v>1.08423440001E13</v>
      </c>
      <c r="B4891" s="218" t="s">
        <v>5657</v>
      </c>
    </row>
    <row r="4892">
      <c r="A4892" s="430">
        <v>4.708626000108E12</v>
      </c>
      <c r="B4892" s="218" t="s">
        <v>5658</v>
      </c>
    </row>
    <row r="4893">
      <c r="A4893" s="430">
        <v>1.0637392000158E13</v>
      </c>
      <c r="B4893" s="218" t="s">
        <v>5659</v>
      </c>
    </row>
    <row r="4894">
      <c r="A4894" s="430">
        <v>1.411010100012E13</v>
      </c>
      <c r="B4894" s="218" t="s">
        <v>5429</v>
      </c>
    </row>
    <row r="4895">
      <c r="A4895" s="430">
        <v>4.088208000165E12</v>
      </c>
      <c r="B4895" s="218" t="s">
        <v>5660</v>
      </c>
    </row>
    <row r="4896">
      <c r="A4896" s="430">
        <v>7.9913802000304E13</v>
      </c>
      <c r="B4896" s="218" t="s">
        <v>5661</v>
      </c>
    </row>
    <row r="4897">
      <c r="A4897" s="430">
        <v>5.312914000101E12</v>
      </c>
      <c r="B4897" s="218" t="s">
        <v>5662</v>
      </c>
    </row>
    <row r="4898">
      <c r="A4898" s="430">
        <v>5.12018900017E12</v>
      </c>
      <c r="B4898" s="218" t="s">
        <v>5663</v>
      </c>
    </row>
    <row r="4899">
      <c r="A4899" s="430">
        <v>7.735324000117E12</v>
      </c>
      <c r="B4899" s="218" t="s">
        <v>5664</v>
      </c>
    </row>
    <row r="4900">
      <c r="A4900" s="430">
        <v>9.02531100018E12</v>
      </c>
      <c r="B4900" s="218" t="s">
        <v>5665</v>
      </c>
    </row>
    <row r="4901">
      <c r="A4901" s="430">
        <v>1.0807978000113E13</v>
      </c>
      <c r="B4901" s="218" t="s">
        <v>5666</v>
      </c>
    </row>
    <row r="4902">
      <c r="A4902" s="430">
        <v>4.37305100011E12</v>
      </c>
      <c r="B4902" s="218" t="s">
        <v>5667</v>
      </c>
    </row>
    <row r="4903">
      <c r="A4903" s="430">
        <v>7.173992000106E12</v>
      </c>
      <c r="B4903" s="218" t="s">
        <v>5668</v>
      </c>
    </row>
    <row r="4904">
      <c r="A4904" s="430">
        <v>8.2951229000176E13</v>
      </c>
      <c r="B4904" s="218" t="s">
        <v>5669</v>
      </c>
    </row>
    <row r="4905">
      <c r="A4905" s="430">
        <v>1.2188357000124E13</v>
      </c>
      <c r="B4905" s="218" t="s">
        <v>5670</v>
      </c>
    </row>
    <row r="4906">
      <c r="A4906" s="430">
        <v>1.5268627000103E13</v>
      </c>
      <c r="B4906" s="218" t="s">
        <v>5671</v>
      </c>
    </row>
    <row r="4907">
      <c r="A4907" s="430">
        <v>1.639573000556E12</v>
      </c>
      <c r="B4907" s="218" t="s">
        <v>5672</v>
      </c>
    </row>
    <row r="4908">
      <c r="A4908" s="430">
        <v>1.4070575000195E13</v>
      </c>
      <c r="B4908" s="218" t="s">
        <v>5673</v>
      </c>
    </row>
    <row r="4909">
      <c r="A4909" s="430">
        <v>9.6493531000132E13</v>
      </c>
      <c r="B4909" s="218" t="s">
        <v>5674</v>
      </c>
    </row>
    <row r="4910">
      <c r="A4910" s="430">
        <v>8.065700000176E12</v>
      </c>
      <c r="B4910" s="218" t="s">
        <v>5675</v>
      </c>
    </row>
    <row r="4911">
      <c r="A4911" s="430">
        <v>2.558157000162E12</v>
      </c>
      <c r="B4911" s="218" t="s">
        <v>5676</v>
      </c>
    </row>
    <row r="4912">
      <c r="A4912" s="430">
        <v>4.76901300018E12</v>
      </c>
      <c r="B4912" s="218" t="s">
        <v>5677</v>
      </c>
    </row>
    <row r="4913">
      <c r="A4913" s="430">
        <v>2.64166300011E12</v>
      </c>
      <c r="B4913" s="218" t="s">
        <v>5678</v>
      </c>
    </row>
    <row r="4914">
      <c r="A4914" s="430">
        <v>1.3984721000125E13</v>
      </c>
      <c r="B4914" s="218" t="s">
        <v>5679</v>
      </c>
    </row>
    <row r="4915">
      <c r="A4915" s="430">
        <v>1.0947012000166E13</v>
      </c>
      <c r="B4915" s="218" t="s">
        <v>5680</v>
      </c>
    </row>
    <row r="4916">
      <c r="A4916" s="430">
        <v>1.2388512000156E13</v>
      </c>
      <c r="B4916" s="218" t="s">
        <v>5681</v>
      </c>
    </row>
    <row r="4917">
      <c r="A4917" s="430">
        <v>4.534084000102E12</v>
      </c>
      <c r="B4917" s="218" t="s">
        <v>4569</v>
      </c>
    </row>
    <row r="4918">
      <c r="A4918" s="430">
        <v>7.8824737000116E13</v>
      </c>
      <c r="B4918" s="218" t="s">
        <v>5682</v>
      </c>
    </row>
    <row r="4919">
      <c r="A4919" s="430">
        <v>8.27988280001E13</v>
      </c>
      <c r="B4919" s="218" t="s">
        <v>5683</v>
      </c>
    </row>
    <row r="4920">
      <c r="A4920" s="430">
        <v>6.787479000215E12</v>
      </c>
      <c r="B4920" s="218" t="s">
        <v>5684</v>
      </c>
    </row>
    <row r="4921">
      <c r="A4921" s="430">
        <v>8.135577800015E12</v>
      </c>
      <c r="B4921" s="218" t="s">
        <v>5685</v>
      </c>
    </row>
    <row r="4922">
      <c r="A4922" s="430">
        <v>8.5240869000247E13</v>
      </c>
      <c r="B4922" s="218" t="s">
        <v>5096</v>
      </c>
    </row>
    <row r="4923">
      <c r="A4923" s="430">
        <v>5.0870575000133E13</v>
      </c>
      <c r="B4923" s="218" t="s">
        <v>5686</v>
      </c>
    </row>
    <row r="4924">
      <c r="A4924" s="430">
        <v>1.1115240000158E13</v>
      </c>
      <c r="B4924" s="218" t="s">
        <v>5687</v>
      </c>
    </row>
    <row r="4925">
      <c r="A4925" s="430">
        <v>1.0513136000159E13</v>
      </c>
      <c r="B4925" s="218" t="s">
        <v>5688</v>
      </c>
    </row>
    <row r="4926">
      <c r="A4926" s="430">
        <v>1.2931652000129E13</v>
      </c>
      <c r="B4926" s="218" t="s">
        <v>5689</v>
      </c>
    </row>
    <row r="4927">
      <c r="A4927" s="430">
        <v>1.2438716000154E13</v>
      </c>
      <c r="B4927" s="218" t="s">
        <v>5690</v>
      </c>
    </row>
    <row r="4928">
      <c r="A4928" s="430">
        <v>8.7174991000107E13</v>
      </c>
      <c r="B4928" s="218" t="s">
        <v>5691</v>
      </c>
    </row>
    <row r="4929">
      <c r="A4929" s="430">
        <v>6.4138200017E11</v>
      </c>
      <c r="B4929" s="218" t="s">
        <v>5692</v>
      </c>
    </row>
    <row r="4930">
      <c r="A4930" s="430">
        <v>6.413828200017E13</v>
      </c>
      <c r="B4930" s="218" t="s">
        <v>5692</v>
      </c>
    </row>
    <row r="4931">
      <c r="A4931" s="430">
        <v>8.3298349000189E13</v>
      </c>
      <c r="B4931" s="218" t="s">
        <v>5693</v>
      </c>
    </row>
    <row r="4932">
      <c r="A4932" s="430">
        <v>8.3395921000551E13</v>
      </c>
      <c r="B4932" s="218" t="s">
        <v>5624</v>
      </c>
    </row>
    <row r="4933">
      <c r="A4933" s="430">
        <v>4.26332100013E12</v>
      </c>
      <c r="B4933" s="218" t="s">
        <v>5291</v>
      </c>
    </row>
    <row r="4934">
      <c r="A4934" s="430">
        <v>7.913842000183E12</v>
      </c>
      <c r="B4934" s="218" t="s">
        <v>5694</v>
      </c>
    </row>
    <row r="4935">
      <c r="A4935" s="430">
        <v>6.081203000136E12</v>
      </c>
      <c r="B4935" s="218" t="s">
        <v>5695</v>
      </c>
    </row>
    <row r="4936">
      <c r="A4936" s="430">
        <v>3.877835000112E12</v>
      </c>
      <c r="B4936" s="218" t="s">
        <v>5696</v>
      </c>
    </row>
    <row r="4937">
      <c r="A4937" s="430">
        <v>2.997156000114E12</v>
      </c>
      <c r="B4937" s="218" t="s">
        <v>5697</v>
      </c>
    </row>
    <row r="4938">
      <c r="A4938" s="430">
        <v>1.4878884000196E13</v>
      </c>
      <c r="B4938" s="218" t="s">
        <v>5698</v>
      </c>
    </row>
    <row r="4939">
      <c r="A4939" s="430">
        <v>5.461103000172E12</v>
      </c>
      <c r="B4939" s="218" t="s">
        <v>5699</v>
      </c>
    </row>
    <row r="4940">
      <c r="A4940" s="430">
        <v>1.4689627000106E13</v>
      </c>
      <c r="B4940" s="218" t="s">
        <v>5700</v>
      </c>
    </row>
    <row r="4941">
      <c r="A4941" s="430">
        <v>4.115693000119E12</v>
      </c>
      <c r="B4941" s="218" t="s">
        <v>5701</v>
      </c>
    </row>
    <row r="4942">
      <c r="A4942" s="430">
        <v>1.0692266000104E13</v>
      </c>
      <c r="B4942" s="218" t="s">
        <v>5702</v>
      </c>
    </row>
    <row r="4943">
      <c r="A4943" s="430">
        <v>1.317294900011E13</v>
      </c>
      <c r="B4943" s="218" t="s">
        <v>5703</v>
      </c>
    </row>
    <row r="4944">
      <c r="A4944" s="430">
        <v>9.592204000133E12</v>
      </c>
      <c r="B4944" s="218" t="s">
        <v>5704</v>
      </c>
    </row>
    <row r="4945">
      <c r="A4945" s="430">
        <v>5.276049000195E12</v>
      </c>
      <c r="B4945" s="218" t="s">
        <v>5705</v>
      </c>
    </row>
    <row r="4946">
      <c r="A4946" s="430">
        <v>1.93850200012E12</v>
      </c>
      <c r="B4946" s="218" t="s">
        <v>5706</v>
      </c>
    </row>
    <row r="4947">
      <c r="A4947" s="430">
        <v>4.37068100013E12</v>
      </c>
      <c r="B4947" s="218" t="s">
        <v>5707</v>
      </c>
    </row>
    <row r="4948">
      <c r="A4948" s="430">
        <v>4.082993000149E12</v>
      </c>
      <c r="B4948" s="218" t="s">
        <v>5708</v>
      </c>
    </row>
    <row r="4949">
      <c r="A4949" s="430">
        <v>8.600621000118E12</v>
      </c>
      <c r="B4949" s="218" t="s">
        <v>5709</v>
      </c>
    </row>
    <row r="4950">
      <c r="A4950" s="430">
        <v>1.0882019000162E13</v>
      </c>
      <c r="B4950" s="218" t="s">
        <v>5710</v>
      </c>
    </row>
    <row r="4951">
      <c r="A4951" s="430">
        <v>2.8015634000307E13</v>
      </c>
      <c r="B4951" s="218" t="s">
        <v>4659</v>
      </c>
    </row>
    <row r="4952">
      <c r="A4952" s="430">
        <v>7.7826642000179E13</v>
      </c>
      <c r="B4952" s="218" t="s">
        <v>5711</v>
      </c>
    </row>
    <row r="4953">
      <c r="A4953" s="430">
        <v>5.4261292000145E13</v>
      </c>
      <c r="B4953" s="218" t="s">
        <v>5712</v>
      </c>
    </row>
    <row r="4954">
      <c r="A4954" s="430">
        <v>2.75258700011E12</v>
      </c>
      <c r="B4954" s="218" t="s">
        <v>5713</v>
      </c>
    </row>
    <row r="4955">
      <c r="A4955" s="430">
        <v>1.0610268000107E13</v>
      </c>
      <c r="B4955" s="218" t="s">
        <v>5714</v>
      </c>
    </row>
    <row r="4956">
      <c r="A4956" s="430">
        <v>1.1480963000156E13</v>
      </c>
      <c r="B4956" s="218" t="s">
        <v>5715</v>
      </c>
    </row>
    <row r="4957">
      <c r="A4957" s="430">
        <v>7.60740700012E12</v>
      </c>
      <c r="B4957" s="218" t="s">
        <v>5716</v>
      </c>
    </row>
    <row r="4958">
      <c r="A4958" s="430">
        <v>4.290323000118E12</v>
      </c>
      <c r="B4958" s="218" t="s">
        <v>5717</v>
      </c>
    </row>
    <row r="4959">
      <c r="A4959" s="430">
        <v>3.96841700013E12</v>
      </c>
      <c r="B4959" s="218" t="s">
        <v>5718</v>
      </c>
    </row>
    <row r="4960">
      <c r="A4960" s="430">
        <v>1.148610300012E13</v>
      </c>
      <c r="B4960" s="218" t="s">
        <v>5719</v>
      </c>
    </row>
    <row r="4961">
      <c r="A4961" s="430">
        <v>2.656150000183E12</v>
      </c>
      <c r="B4961" s="218" t="s">
        <v>5720</v>
      </c>
    </row>
    <row r="4962">
      <c r="A4962" s="430">
        <v>8.198584000163E12</v>
      </c>
      <c r="B4962" s="218" t="s">
        <v>5721</v>
      </c>
    </row>
    <row r="4963">
      <c r="A4963" s="430">
        <v>9.436756000152E12</v>
      </c>
      <c r="B4963" s="218" t="s">
        <v>5722</v>
      </c>
    </row>
    <row r="4964">
      <c r="A4964" s="430">
        <v>9.814588000191E12</v>
      </c>
      <c r="B4964" s="218" t="s">
        <v>5723</v>
      </c>
    </row>
    <row r="4965">
      <c r="A4965" s="430">
        <v>1.928156000108E12</v>
      </c>
      <c r="B4965" s="218" t="s">
        <v>5724</v>
      </c>
    </row>
    <row r="4966">
      <c r="A4966" s="430">
        <v>7.8588415002088E13</v>
      </c>
      <c r="B4966" s="218" t="s">
        <v>5725</v>
      </c>
    </row>
    <row r="4967">
      <c r="A4967" s="430">
        <v>8.84227400013E12</v>
      </c>
      <c r="B4967" s="218" t="s">
        <v>5726</v>
      </c>
    </row>
    <row r="4968">
      <c r="A4968" s="430">
        <v>3.294669000121E12</v>
      </c>
      <c r="B4968" s="218" t="s">
        <v>5727</v>
      </c>
    </row>
    <row r="4969">
      <c r="A4969" s="430">
        <v>1.2318032000119E13</v>
      </c>
      <c r="B4969" s="218" t="s">
        <v>5728</v>
      </c>
    </row>
    <row r="4970">
      <c r="A4970" s="430">
        <v>1.6611323000151E13</v>
      </c>
      <c r="B4970" s="218" t="s">
        <v>5729</v>
      </c>
    </row>
    <row r="4971">
      <c r="A4971" s="430">
        <v>4.1768360001E12</v>
      </c>
      <c r="B4971" s="218" t="s">
        <v>5730</v>
      </c>
    </row>
    <row r="4972">
      <c r="A4972" s="430">
        <v>4.9732175000182E13</v>
      </c>
      <c r="B4972" s="218" t="s">
        <v>5731</v>
      </c>
    </row>
    <row r="4973">
      <c r="A4973" s="430">
        <v>4.55659000132E11</v>
      </c>
      <c r="B4973" s="218" t="s">
        <v>5732</v>
      </c>
    </row>
    <row r="4974">
      <c r="A4974" s="430">
        <v>7.416049000012E13</v>
      </c>
      <c r="B4974" s="218" t="s">
        <v>5733</v>
      </c>
    </row>
    <row r="4975">
      <c r="A4975" s="430">
        <v>6.043171500012E13</v>
      </c>
      <c r="B4975" s="218" t="s">
        <v>5734</v>
      </c>
    </row>
    <row r="4976">
      <c r="A4976" s="430">
        <v>1.181242000272E12</v>
      </c>
      <c r="B4976" s="218" t="s">
        <v>5735</v>
      </c>
    </row>
    <row r="4977">
      <c r="A4977" s="430">
        <v>1.762223000159E12</v>
      </c>
      <c r="B4977" s="218" t="s">
        <v>5736</v>
      </c>
    </row>
    <row r="4978">
      <c r="A4978" s="430">
        <v>7.6839356000185E13</v>
      </c>
      <c r="B4978" s="218" t="s">
        <v>5737</v>
      </c>
    </row>
    <row r="4979">
      <c r="A4979" s="430">
        <v>8.2145863000111E13</v>
      </c>
      <c r="B4979" s="218" t="s">
        <v>5738</v>
      </c>
    </row>
    <row r="4980">
      <c r="A4980" s="430">
        <v>1.245055000124E12</v>
      </c>
      <c r="B4980" s="218" t="s">
        <v>5739</v>
      </c>
    </row>
    <row r="4981">
      <c r="A4981" s="430">
        <v>6.001902000129E12</v>
      </c>
      <c r="B4981" s="218" t="s">
        <v>5740</v>
      </c>
    </row>
    <row r="4982">
      <c r="A4982" s="430">
        <v>1.0614200000198E13</v>
      </c>
      <c r="B4982" s="218" t="s">
        <v>5741</v>
      </c>
    </row>
    <row r="4983">
      <c r="A4983" s="430">
        <v>5.15913100013E12</v>
      </c>
      <c r="B4983" s="218" t="s">
        <v>5742</v>
      </c>
    </row>
    <row r="4984">
      <c r="A4984" s="430">
        <v>8.804100000182E12</v>
      </c>
      <c r="B4984" s="218" t="s">
        <v>5743</v>
      </c>
    </row>
    <row r="4985">
      <c r="A4985" s="430">
        <v>1.2187991000142E13</v>
      </c>
      <c r="B4985" s="218" t="s">
        <v>5744</v>
      </c>
    </row>
    <row r="4986">
      <c r="A4986" s="430">
        <v>1.0651441000107E13</v>
      </c>
      <c r="B4986" s="218" t="s">
        <v>5745</v>
      </c>
    </row>
    <row r="4987">
      <c r="A4987" s="430">
        <v>1.3019798000165E13</v>
      </c>
      <c r="B4987" s="218" t="s">
        <v>5746</v>
      </c>
    </row>
    <row r="4988">
      <c r="A4988" s="430">
        <v>1.3715712000139E13</v>
      </c>
      <c r="B4988" s="218" t="s">
        <v>5747</v>
      </c>
    </row>
    <row r="4989">
      <c r="A4989" s="430">
        <v>4.78911000129E11</v>
      </c>
      <c r="B4989" s="218" t="s">
        <v>5748</v>
      </c>
    </row>
    <row r="4990">
      <c r="A4990" s="430">
        <v>1.0942831000136E13</v>
      </c>
      <c r="B4990" s="218" t="s">
        <v>5749</v>
      </c>
    </row>
    <row r="4991">
      <c r="A4991" s="430">
        <v>1.4719113000156E13</v>
      </c>
      <c r="B4991" s="218" t="s">
        <v>5750</v>
      </c>
    </row>
    <row r="4992">
      <c r="A4992" s="430">
        <v>5.7300907000193E13</v>
      </c>
      <c r="B4992" s="218" t="s">
        <v>5751</v>
      </c>
    </row>
    <row r="4993">
      <c r="A4993" s="430">
        <v>1.7467678000181E13</v>
      </c>
      <c r="B4993" s="218" t="s">
        <v>5752</v>
      </c>
    </row>
    <row r="4994">
      <c r="A4994" s="430">
        <v>8.2699588000935E13</v>
      </c>
      <c r="B4994" s="218" t="s">
        <v>1026</v>
      </c>
    </row>
    <row r="4995">
      <c r="A4995" s="430">
        <v>8.623572000139E12</v>
      </c>
      <c r="B4995" s="218" t="s">
        <v>5753</v>
      </c>
    </row>
    <row r="4996">
      <c r="A4996" s="430">
        <v>1.3919051000163E13</v>
      </c>
      <c r="B4996" s="218" t="s">
        <v>5754</v>
      </c>
    </row>
    <row r="4997">
      <c r="A4997" s="430">
        <v>9.414025000106E12</v>
      </c>
      <c r="B4997" s="218" t="s">
        <v>5755</v>
      </c>
    </row>
    <row r="4998">
      <c r="A4998" s="430">
        <v>3.23527000017E12</v>
      </c>
      <c r="B4998" s="218" t="s">
        <v>5756</v>
      </c>
    </row>
    <row r="4999">
      <c r="A4999" s="430">
        <v>4.622645000117E12</v>
      </c>
      <c r="B4999" s="218" t="s">
        <v>5757</v>
      </c>
    </row>
    <row r="5000">
      <c r="A5000" s="430">
        <v>7.332340400019E13</v>
      </c>
      <c r="B5000" s="218" t="s">
        <v>5758</v>
      </c>
    </row>
    <row r="5001">
      <c r="A5001" s="430">
        <v>8.984310000108E12</v>
      </c>
      <c r="B5001" s="218" t="s">
        <v>5759</v>
      </c>
    </row>
    <row r="5002">
      <c r="A5002" s="430">
        <v>1.2267507000195E13</v>
      </c>
      <c r="B5002" s="218" t="s">
        <v>5760</v>
      </c>
    </row>
    <row r="5003">
      <c r="A5003" s="430">
        <v>9.50339300012E12</v>
      </c>
      <c r="B5003" s="218" t="s">
        <v>5761</v>
      </c>
    </row>
    <row r="5004">
      <c r="A5004" s="430">
        <v>1.5283834000129E13</v>
      </c>
      <c r="B5004" s="218" t="s">
        <v>5762</v>
      </c>
    </row>
    <row r="5005">
      <c r="A5005" s="430">
        <v>5.2845203000182E13</v>
      </c>
      <c r="B5005" s="218" t="s">
        <v>5763</v>
      </c>
    </row>
    <row r="5006">
      <c r="A5006" s="430">
        <v>1.1955729000138E13</v>
      </c>
      <c r="B5006" s="218" t="s">
        <v>5764</v>
      </c>
    </row>
    <row r="5007">
      <c r="A5007" s="430">
        <v>3.502099000118E12</v>
      </c>
      <c r="B5007" s="218" t="s">
        <v>5765</v>
      </c>
    </row>
    <row r="5008">
      <c r="A5008" s="430">
        <v>8.0315278000197E13</v>
      </c>
      <c r="B5008" s="218" t="s">
        <v>5766</v>
      </c>
    </row>
    <row r="5009">
      <c r="A5009" s="430">
        <v>1.7560834000154E13</v>
      </c>
      <c r="B5009" s="218" t="s">
        <v>5767</v>
      </c>
    </row>
    <row r="5010">
      <c r="A5010" s="430">
        <v>8.35905200016E12</v>
      </c>
      <c r="B5010" s="218" t="s">
        <v>5768</v>
      </c>
    </row>
    <row r="5011">
      <c r="A5011" s="430">
        <v>1.0742589000157E13</v>
      </c>
      <c r="B5011" s="218" t="s">
        <v>5769</v>
      </c>
    </row>
    <row r="5012">
      <c r="A5012" s="430">
        <v>1.21022150001E13</v>
      </c>
      <c r="B5012" s="218" t="s">
        <v>5770</v>
      </c>
    </row>
    <row r="5013">
      <c r="A5013" s="430">
        <v>1.714430500017E13</v>
      </c>
      <c r="B5013" s="218" t="s">
        <v>5771</v>
      </c>
    </row>
    <row r="5014">
      <c r="A5014" s="430">
        <v>7.71609840001E13</v>
      </c>
      <c r="B5014" s="218" t="s">
        <v>5772</v>
      </c>
    </row>
    <row r="5015">
      <c r="A5015" s="430">
        <v>1.0682187000104E13</v>
      </c>
      <c r="B5015" s="218" t="s">
        <v>5773</v>
      </c>
    </row>
    <row r="5016">
      <c r="A5016" s="430">
        <v>6.071789900019E13</v>
      </c>
      <c r="B5016" s="218" t="s">
        <v>5774</v>
      </c>
    </row>
    <row r="5017">
      <c r="A5017" s="430">
        <v>5.620495000175E12</v>
      </c>
      <c r="B5017" s="218" t="s">
        <v>5775</v>
      </c>
    </row>
    <row r="5018">
      <c r="A5018" s="430">
        <v>3.353629000103E12</v>
      </c>
      <c r="B5018" s="218" t="s">
        <v>5776</v>
      </c>
    </row>
    <row r="5019">
      <c r="A5019" s="430">
        <v>2.409876000111E12</v>
      </c>
      <c r="B5019" s="218" t="s">
        <v>5777</v>
      </c>
    </row>
    <row r="5020">
      <c r="A5020" s="430">
        <v>7.421906000129E12</v>
      </c>
      <c r="B5020" s="218" t="s">
        <v>5778</v>
      </c>
    </row>
    <row r="5021">
      <c r="A5021" s="430">
        <v>6.087246000129E12</v>
      </c>
      <c r="B5021" s="218" t="s">
        <v>5779</v>
      </c>
    </row>
    <row r="5022">
      <c r="A5022" s="430">
        <v>1.0325864000137E13</v>
      </c>
      <c r="B5022" s="218" t="s">
        <v>5780</v>
      </c>
    </row>
    <row r="5023">
      <c r="A5023" s="430">
        <v>4.67076500019E12</v>
      </c>
      <c r="B5023" s="218" t="s">
        <v>5781</v>
      </c>
    </row>
    <row r="5024">
      <c r="A5024" s="430">
        <v>1.0171581000188E13</v>
      </c>
      <c r="B5024" s="218" t="s">
        <v>5782</v>
      </c>
    </row>
    <row r="5025">
      <c r="A5025" s="430">
        <v>2.75012400011E12</v>
      </c>
      <c r="B5025" s="218" t="s">
        <v>5783</v>
      </c>
    </row>
    <row r="5026">
      <c r="A5026" s="430">
        <v>1.23637900016E12</v>
      </c>
      <c r="B5026" s="218" t="s">
        <v>4630</v>
      </c>
    </row>
    <row r="5027">
      <c r="A5027" s="430">
        <v>3.144465000104E12</v>
      </c>
      <c r="B5027" s="218" t="s">
        <v>5784</v>
      </c>
    </row>
    <row r="5028">
      <c r="A5028" s="430">
        <v>9.1064097000151E13</v>
      </c>
      <c r="B5028" s="218" t="s">
        <v>5785</v>
      </c>
    </row>
    <row r="5029">
      <c r="A5029" s="430">
        <v>1.0300118000199E13</v>
      </c>
      <c r="B5029" s="218" t="s">
        <v>5786</v>
      </c>
    </row>
    <row r="5030">
      <c r="A5030" s="430">
        <v>6.146752800016E13</v>
      </c>
      <c r="B5030" s="218" t="s">
        <v>5787</v>
      </c>
    </row>
    <row r="5031">
      <c r="A5031" s="430">
        <v>6.299831000192E12</v>
      </c>
      <c r="B5031" s="218" t="s">
        <v>5788</v>
      </c>
    </row>
    <row r="5032">
      <c r="A5032" s="430">
        <v>1.738245000264E12</v>
      </c>
      <c r="B5032" s="218" t="s">
        <v>5789</v>
      </c>
    </row>
    <row r="5033">
      <c r="A5033" s="430">
        <v>7.075255000162E12</v>
      </c>
      <c r="B5033" s="218" t="s">
        <v>5790</v>
      </c>
    </row>
    <row r="5034">
      <c r="A5034" s="430">
        <v>1.527546500122E12</v>
      </c>
      <c r="B5034" s="218" t="s">
        <v>5791</v>
      </c>
    </row>
    <row r="5035">
      <c r="A5035" s="430">
        <v>1.1102277000123E13</v>
      </c>
      <c r="B5035" s="218" t="s">
        <v>5792</v>
      </c>
    </row>
    <row r="5036">
      <c r="A5036" s="430">
        <v>9.1824383000178E13</v>
      </c>
      <c r="B5036" s="218" t="s">
        <v>5793</v>
      </c>
    </row>
    <row r="5037">
      <c r="A5037" s="430">
        <v>1.1519569000195E13</v>
      </c>
      <c r="B5037" s="218" t="s">
        <v>5794</v>
      </c>
    </row>
    <row r="5038">
      <c r="A5038" s="430">
        <v>1.1519567000195E13</v>
      </c>
      <c r="B5038" s="218" t="s">
        <v>5795</v>
      </c>
    </row>
    <row r="5039">
      <c r="A5039" s="430">
        <v>2.3374705000174E13</v>
      </c>
      <c r="B5039" s="218" t="s">
        <v>5796</v>
      </c>
    </row>
    <row r="5040">
      <c r="A5040" s="430">
        <v>8.3872762000105E13</v>
      </c>
      <c r="B5040" s="218" t="s">
        <v>5797</v>
      </c>
    </row>
    <row r="5041">
      <c r="A5041" s="430">
        <v>6.119252200047E13</v>
      </c>
      <c r="B5041" s="218" t="s">
        <v>5798</v>
      </c>
    </row>
    <row r="5042">
      <c r="A5042" s="430">
        <v>5.75735000011E12</v>
      </c>
      <c r="B5042" s="218" t="s">
        <v>5799</v>
      </c>
    </row>
    <row r="5043">
      <c r="A5043" s="430">
        <v>7.119131000131E12</v>
      </c>
      <c r="B5043" s="218" t="s">
        <v>5800</v>
      </c>
    </row>
    <row r="5044">
      <c r="A5044" s="430">
        <v>1.0548704000157E13</v>
      </c>
      <c r="B5044" s="218" t="s">
        <v>5801</v>
      </c>
    </row>
    <row r="5045">
      <c r="A5045" s="430">
        <v>4.461106000143E12</v>
      </c>
      <c r="B5045" s="218" t="s">
        <v>5802</v>
      </c>
    </row>
    <row r="5046">
      <c r="A5046" s="430">
        <v>5.3556000014E11</v>
      </c>
      <c r="B5046" s="218" t="s">
        <v>5803</v>
      </c>
    </row>
    <row r="5047">
      <c r="A5047" s="430">
        <v>7.61175000111E11</v>
      </c>
      <c r="B5047" s="218" t="s">
        <v>5804</v>
      </c>
    </row>
    <row r="5048">
      <c r="A5048" s="430">
        <v>8.71860200019E12</v>
      </c>
      <c r="B5048" s="218" t="s">
        <v>5805</v>
      </c>
    </row>
    <row r="5049">
      <c r="A5049" s="430">
        <v>6.514919700017E13</v>
      </c>
      <c r="B5049" s="218" t="s">
        <v>5806</v>
      </c>
    </row>
    <row r="5050">
      <c r="A5050" s="430">
        <v>8.3841338000101E13</v>
      </c>
      <c r="B5050" s="218" t="s">
        <v>5807</v>
      </c>
    </row>
    <row r="5051">
      <c r="A5051" s="430">
        <v>9.315404000149E12</v>
      </c>
      <c r="B5051" s="218" t="s">
        <v>5808</v>
      </c>
    </row>
    <row r="5052">
      <c r="A5052" s="430">
        <v>1.427088000012E13</v>
      </c>
      <c r="B5052" s="218" t="s">
        <v>5809</v>
      </c>
    </row>
    <row r="5053">
      <c r="A5053" s="430">
        <v>8.696556300013E13</v>
      </c>
      <c r="B5053" s="218" t="s">
        <v>5810</v>
      </c>
    </row>
    <row r="5054">
      <c r="A5054" s="430">
        <v>1.7896011000102E13</v>
      </c>
      <c r="B5054" s="218" t="s">
        <v>5811</v>
      </c>
    </row>
    <row r="5055">
      <c r="A5055" s="430">
        <v>7.944843000195E12</v>
      </c>
      <c r="B5055" s="218" t="s">
        <v>5812</v>
      </c>
    </row>
    <row r="5056">
      <c r="A5056" s="430">
        <v>1.951799000164E12</v>
      </c>
      <c r="B5056" s="218" t="s">
        <v>5813</v>
      </c>
    </row>
    <row r="5057">
      <c r="A5057" s="430">
        <v>2.614842000169E12</v>
      </c>
      <c r="B5057" s="218" t="s">
        <v>5814</v>
      </c>
    </row>
    <row r="5058">
      <c r="A5058" s="430">
        <v>8.7883807000106E13</v>
      </c>
      <c r="B5058" s="218" t="s">
        <v>5815</v>
      </c>
    </row>
    <row r="5059">
      <c r="A5059" s="430">
        <v>7.955535000165E12</v>
      </c>
      <c r="B5059" s="218" t="s">
        <v>5816</v>
      </c>
    </row>
    <row r="5060">
      <c r="A5060" s="430">
        <v>8.834794000109E12</v>
      </c>
      <c r="B5060" s="218" t="s">
        <v>5817</v>
      </c>
    </row>
    <row r="5061">
      <c r="A5061" s="430">
        <v>9.354287000122E12</v>
      </c>
      <c r="B5061" s="218" t="s">
        <v>5818</v>
      </c>
    </row>
    <row r="5062">
      <c r="A5062" s="430">
        <v>4.870734000182E12</v>
      </c>
      <c r="B5062" s="218" t="s">
        <v>5819</v>
      </c>
    </row>
    <row r="5063">
      <c r="A5063" s="430">
        <v>1.0828286000151E13</v>
      </c>
      <c r="B5063" s="218" t="s">
        <v>5820</v>
      </c>
    </row>
    <row r="5064">
      <c r="A5064" s="430">
        <v>2.602747000145E12</v>
      </c>
      <c r="B5064" s="218" t="s">
        <v>5821</v>
      </c>
    </row>
    <row r="5065">
      <c r="A5065" s="430">
        <v>5.689893000148E12</v>
      </c>
      <c r="B5065" s="218" t="s">
        <v>5822</v>
      </c>
    </row>
    <row r="5066">
      <c r="A5066" s="430">
        <v>8.5414340001E12</v>
      </c>
      <c r="B5066" s="218" t="s">
        <v>5823</v>
      </c>
    </row>
    <row r="5067">
      <c r="A5067" s="430">
        <v>1.2369288000155E13</v>
      </c>
      <c r="B5067" s="218" t="s">
        <v>5824</v>
      </c>
    </row>
    <row r="5068">
      <c r="A5068" s="430">
        <v>1.0498974000109E13</v>
      </c>
      <c r="B5068" s="218" t="s">
        <v>5825</v>
      </c>
    </row>
    <row r="5069">
      <c r="A5069" s="430">
        <v>1.3317281000152E13</v>
      </c>
      <c r="B5069" s="218" t="s">
        <v>5826</v>
      </c>
    </row>
    <row r="5070">
      <c r="A5070" s="430">
        <v>8.0993819000136E13</v>
      </c>
      <c r="B5070" s="218" t="s">
        <v>5827</v>
      </c>
    </row>
    <row r="5071">
      <c r="A5071" s="430">
        <v>5.187920000184E12</v>
      </c>
      <c r="B5071" s="218" t="s">
        <v>5828</v>
      </c>
    </row>
    <row r="5072">
      <c r="A5072" s="430">
        <v>1.390653000197E12</v>
      </c>
      <c r="B5072" s="218" t="s">
        <v>5829</v>
      </c>
    </row>
    <row r="5073">
      <c r="A5073" s="430">
        <v>1.2371228000177E13</v>
      </c>
      <c r="B5073" s="218" t="s">
        <v>5830</v>
      </c>
    </row>
    <row r="5074">
      <c r="A5074" s="430">
        <v>1.077066100015E13</v>
      </c>
      <c r="B5074" s="218" t="s">
        <v>5831</v>
      </c>
    </row>
    <row r="5075">
      <c r="A5075" s="430">
        <v>6.238101000181E12</v>
      </c>
      <c r="B5075" s="218" t="s">
        <v>5832</v>
      </c>
    </row>
    <row r="5076">
      <c r="A5076" s="430">
        <v>1.114730000186E12</v>
      </c>
      <c r="B5076" s="218" t="s">
        <v>5833</v>
      </c>
    </row>
    <row r="5077">
      <c r="A5077" s="430">
        <v>1.3682207000135E13</v>
      </c>
      <c r="B5077" s="218" t="s">
        <v>5834</v>
      </c>
    </row>
    <row r="5078">
      <c r="A5078" s="430">
        <v>5.485279000164E12</v>
      </c>
      <c r="B5078" s="218" t="s">
        <v>5835</v>
      </c>
    </row>
    <row r="5079">
      <c r="A5079" s="430">
        <v>7.248003000198E12</v>
      </c>
      <c r="B5079" s="218" t="s">
        <v>5836</v>
      </c>
    </row>
    <row r="5080">
      <c r="A5080" s="430">
        <v>7.1755177000146E13</v>
      </c>
      <c r="B5080" s="218" t="s">
        <v>5837</v>
      </c>
    </row>
    <row r="5081">
      <c r="A5081" s="430">
        <v>7.726559000142E12</v>
      </c>
      <c r="B5081" s="218" t="s">
        <v>5838</v>
      </c>
    </row>
    <row r="5082">
      <c r="A5082" s="430">
        <v>8.443249100013E13</v>
      </c>
      <c r="B5082" s="218" t="s">
        <v>5839</v>
      </c>
    </row>
    <row r="5083">
      <c r="A5083" s="430">
        <v>8.2981051000106E13</v>
      </c>
      <c r="B5083" s="218" t="s">
        <v>5840</v>
      </c>
    </row>
    <row r="5084">
      <c r="A5084" s="430">
        <v>4.528676000103E12</v>
      </c>
      <c r="B5084" s="218" t="s">
        <v>5841</v>
      </c>
    </row>
    <row r="5085">
      <c r="A5085" s="430">
        <v>5.581123000187E12</v>
      </c>
      <c r="B5085" s="218" t="s">
        <v>5842</v>
      </c>
    </row>
    <row r="5086">
      <c r="A5086" s="430">
        <v>1.2092435000192E13</v>
      </c>
      <c r="B5086" s="218" t="s">
        <v>5843</v>
      </c>
    </row>
    <row r="5087">
      <c r="A5087" s="430">
        <v>9.442524000107E12</v>
      </c>
      <c r="B5087" s="218" t="s">
        <v>5844</v>
      </c>
    </row>
    <row r="5088">
      <c r="A5088" s="430">
        <v>7.434986000157E12</v>
      </c>
      <c r="B5088" s="218" t="s">
        <v>5845</v>
      </c>
    </row>
    <row r="5089">
      <c r="A5089" s="430">
        <v>1.2547231000107E13</v>
      </c>
      <c r="B5089" s="218" t="s">
        <v>5846</v>
      </c>
    </row>
    <row r="5090">
      <c r="A5090" s="430">
        <v>8.4592369001011E13</v>
      </c>
      <c r="B5090" s="218" t="s">
        <v>3239</v>
      </c>
    </row>
    <row r="5091">
      <c r="A5091" s="430">
        <v>8.2519190000112E13</v>
      </c>
      <c r="B5091" s="218" t="s">
        <v>5847</v>
      </c>
    </row>
    <row r="5092">
      <c r="A5092" s="430">
        <v>2.8712123000174E13</v>
      </c>
      <c r="B5092" s="218" t="s">
        <v>5848</v>
      </c>
    </row>
    <row r="5093">
      <c r="A5093" s="430">
        <v>3.3066408000115E13</v>
      </c>
      <c r="B5093" s="218" t="s">
        <v>5849</v>
      </c>
    </row>
    <row r="5094">
      <c r="A5094" s="430">
        <v>6.894159000019E13</v>
      </c>
      <c r="B5094" s="218" t="s">
        <v>5850</v>
      </c>
    </row>
    <row r="5095">
      <c r="A5095" s="430">
        <v>5.124438000103E12</v>
      </c>
      <c r="B5095" s="218" t="s">
        <v>5851</v>
      </c>
    </row>
    <row r="5096">
      <c r="A5096" s="430">
        <v>9.199888000108E12</v>
      </c>
      <c r="B5096" s="218" t="s">
        <v>5852</v>
      </c>
    </row>
    <row r="5097">
      <c r="A5097" s="430">
        <v>1.069768500012E13</v>
      </c>
      <c r="B5097" s="218" t="s">
        <v>5853</v>
      </c>
    </row>
    <row r="5098">
      <c r="A5098" s="430">
        <v>1.679842000184E12</v>
      </c>
      <c r="B5098" s="218" t="s">
        <v>5854</v>
      </c>
    </row>
    <row r="5099">
      <c r="A5099" s="430">
        <v>8.2901000000127E13</v>
      </c>
      <c r="B5099" s="218" t="s">
        <v>5855</v>
      </c>
    </row>
    <row r="5100">
      <c r="A5100" s="430">
        <v>7.29332300016E12</v>
      </c>
      <c r="B5100" s="218" t="s">
        <v>5856</v>
      </c>
    </row>
    <row r="5101">
      <c r="A5101" s="430">
        <v>4.22781300017E12</v>
      </c>
      <c r="B5101" s="218" t="s">
        <v>5857</v>
      </c>
    </row>
    <row r="5102">
      <c r="A5102" s="430">
        <v>1.894432000156E12</v>
      </c>
      <c r="B5102" s="218" t="s">
        <v>5858</v>
      </c>
    </row>
    <row r="5103">
      <c r="A5103" s="430">
        <v>7.039239000114E12</v>
      </c>
      <c r="B5103" s="218" t="s">
        <v>5859</v>
      </c>
    </row>
    <row r="5104">
      <c r="A5104" s="430">
        <v>4.838800000137E12</v>
      </c>
      <c r="B5104" s="218" t="s">
        <v>5860</v>
      </c>
    </row>
    <row r="5105">
      <c r="A5105" s="430">
        <v>4.3567809000102E13</v>
      </c>
      <c r="B5105" s="218" t="s">
        <v>5861</v>
      </c>
    </row>
    <row r="5106">
      <c r="A5106" s="430">
        <v>1.1565982000185E13</v>
      </c>
      <c r="B5106" s="218" t="s">
        <v>5862</v>
      </c>
    </row>
    <row r="5107">
      <c r="A5107" s="430">
        <v>9.570732000191E12</v>
      </c>
      <c r="B5107" s="218" t="s">
        <v>5863</v>
      </c>
    </row>
    <row r="5108">
      <c r="A5108" s="430">
        <v>1.0484227000103E13</v>
      </c>
      <c r="B5108" s="218" t="s">
        <v>5864</v>
      </c>
    </row>
    <row r="5109">
      <c r="A5109" s="430">
        <v>8.202383000192E12</v>
      </c>
      <c r="B5109" s="218" t="s">
        <v>5865</v>
      </c>
    </row>
    <row r="5110">
      <c r="A5110" s="430">
        <v>1.1823142000175E13</v>
      </c>
      <c r="B5110" s="218" t="s">
        <v>5866</v>
      </c>
    </row>
    <row r="5111">
      <c r="A5111" s="430">
        <v>9.477470000115E12</v>
      </c>
      <c r="B5111" s="218" t="s">
        <v>5867</v>
      </c>
    </row>
    <row r="5112">
      <c r="A5112" s="430">
        <v>1.173150000122E12</v>
      </c>
      <c r="B5112" s="218" t="s">
        <v>5868</v>
      </c>
    </row>
    <row r="5113">
      <c r="A5113" s="430">
        <v>1.364077000103E12</v>
      </c>
      <c r="B5113" s="218" t="s">
        <v>5869</v>
      </c>
    </row>
    <row r="5114">
      <c r="A5114" s="430">
        <v>8.279187000116E12</v>
      </c>
      <c r="B5114" s="218" t="s">
        <v>5870</v>
      </c>
    </row>
    <row r="5115">
      <c r="A5115" s="430">
        <v>2.162475800017E13</v>
      </c>
      <c r="B5115" s="218" t="s">
        <v>5871</v>
      </c>
    </row>
    <row r="5116">
      <c r="A5116" s="430">
        <v>1.3196799000185E13</v>
      </c>
      <c r="B5116" s="218" t="s">
        <v>5872</v>
      </c>
    </row>
    <row r="5117">
      <c r="A5117" s="430">
        <v>2.251703400019E13</v>
      </c>
      <c r="B5117" s="218" t="s">
        <v>5873</v>
      </c>
    </row>
    <row r="5118">
      <c r="A5118" s="430">
        <v>7.882248000172E12</v>
      </c>
      <c r="B5118" s="218" t="s">
        <v>5874</v>
      </c>
    </row>
    <row r="5119">
      <c r="A5119" s="430">
        <v>1.3389967000159E13</v>
      </c>
      <c r="B5119" s="218" t="s">
        <v>5875</v>
      </c>
    </row>
    <row r="5120">
      <c r="A5120" s="430">
        <v>2.1830196000111E13</v>
      </c>
      <c r="B5120" s="218" t="s">
        <v>5876</v>
      </c>
    </row>
    <row r="5121">
      <c r="A5121" s="430">
        <v>4.124992100017E13</v>
      </c>
      <c r="B5121" s="218" t="s">
        <v>5877</v>
      </c>
    </row>
    <row r="5122">
      <c r="A5122" s="430">
        <v>1.5142889000119E13</v>
      </c>
      <c r="B5122" s="218" t="s">
        <v>5878</v>
      </c>
    </row>
    <row r="5123">
      <c r="A5123" s="430">
        <v>2.2657056000156E13</v>
      </c>
      <c r="B5123" s="218" t="s">
        <v>5879</v>
      </c>
    </row>
    <row r="5124">
      <c r="A5124" s="430">
        <v>8.4711092000108E13</v>
      </c>
      <c r="B5124" s="218" t="s">
        <v>5880</v>
      </c>
    </row>
    <row r="5125">
      <c r="A5125" s="430">
        <v>5.255748000159E12</v>
      </c>
      <c r="B5125" s="218" t="s">
        <v>5881</v>
      </c>
    </row>
    <row r="5126">
      <c r="A5126" s="430">
        <v>2.144639700011E13</v>
      </c>
      <c r="B5126" s="218" t="s">
        <v>5882</v>
      </c>
    </row>
    <row r="5127">
      <c r="A5127" s="430">
        <v>5.616962600018E13</v>
      </c>
      <c r="B5127" s="218" t="s">
        <v>5883</v>
      </c>
    </row>
    <row r="5128">
      <c r="A5128" s="430">
        <v>3.94494003909E11</v>
      </c>
      <c r="B5128" s="218" t="s">
        <v>5884</v>
      </c>
    </row>
    <row r="5129">
      <c r="A5129" s="430">
        <v>2.1582668000164E13</v>
      </c>
      <c r="B5129" s="218" t="s">
        <v>5885</v>
      </c>
    </row>
    <row r="5130">
      <c r="A5130" s="430">
        <v>1.2145534000195E13</v>
      </c>
      <c r="B5130" s="218" t="s">
        <v>5886</v>
      </c>
    </row>
    <row r="5131">
      <c r="A5131" s="430">
        <v>2.1361582000101E13</v>
      </c>
      <c r="B5131" s="218" t="s">
        <v>5887</v>
      </c>
    </row>
    <row r="5132">
      <c r="A5132" s="430">
        <v>9.3113793000136E13</v>
      </c>
      <c r="B5132" s="218" t="s">
        <v>5888</v>
      </c>
    </row>
    <row r="5133">
      <c r="A5133" s="430">
        <v>9.11043000013E12</v>
      </c>
      <c r="B5133" s="218" t="s">
        <v>5889</v>
      </c>
    </row>
    <row r="5134">
      <c r="A5134" s="430">
        <v>1.5334682000146E13</v>
      </c>
      <c r="B5134" s="218" t="s">
        <v>5890</v>
      </c>
    </row>
    <row r="5135">
      <c r="A5135" s="430">
        <v>3.777341000166E12</v>
      </c>
      <c r="B5135" s="218" t="s">
        <v>5891</v>
      </c>
    </row>
    <row r="5136">
      <c r="A5136" s="430">
        <v>7.630001000169E12</v>
      </c>
      <c r="B5136" s="218" t="s">
        <v>5892</v>
      </c>
    </row>
    <row r="5137">
      <c r="A5137" s="430">
        <v>4.220662000128E12</v>
      </c>
      <c r="B5137" s="218" t="s">
        <v>5893</v>
      </c>
    </row>
    <row r="5138">
      <c r="A5138" s="430">
        <v>1.1754622000121E13</v>
      </c>
      <c r="B5138" s="218" t="s">
        <v>5894</v>
      </c>
    </row>
    <row r="5139">
      <c r="A5139" s="430">
        <v>1.1573420000183E13</v>
      </c>
      <c r="B5139" s="218" t="s">
        <v>5895</v>
      </c>
    </row>
    <row r="5140">
      <c r="A5140" s="430">
        <v>2.0107318000183E13</v>
      </c>
      <c r="B5140" s="218" t="s">
        <v>5896</v>
      </c>
    </row>
    <row r="5141">
      <c r="A5141" s="430">
        <v>1.131127900014E13</v>
      </c>
      <c r="B5141" s="218" t="s">
        <v>5897</v>
      </c>
    </row>
    <row r="5142">
      <c r="A5142" s="430">
        <v>1.264836000166E12</v>
      </c>
      <c r="B5142" s="218" t="s">
        <v>5898</v>
      </c>
    </row>
    <row r="5143">
      <c r="A5143" s="430">
        <v>5.44341000012E12</v>
      </c>
      <c r="B5143" s="218" t="s">
        <v>5899</v>
      </c>
    </row>
    <row r="5144">
      <c r="A5144" s="430">
        <v>1.0825457000199E13</v>
      </c>
      <c r="B5144" s="218" t="s">
        <v>5900</v>
      </c>
    </row>
    <row r="5145">
      <c r="A5145" s="430">
        <v>6.997901000186E12</v>
      </c>
      <c r="B5145" s="218" t="s">
        <v>5901</v>
      </c>
    </row>
    <row r="5146">
      <c r="A5146" s="430">
        <v>2.0739704000198E13</v>
      </c>
      <c r="B5146" s="218" t="s">
        <v>5902</v>
      </c>
    </row>
    <row r="5147">
      <c r="A5147" s="430">
        <v>7.475828000145E12</v>
      </c>
      <c r="B5147" s="218" t="s">
        <v>5903</v>
      </c>
    </row>
    <row r="5148">
      <c r="A5148" s="430">
        <v>5.799816000177E12</v>
      </c>
      <c r="B5148" s="218" t="s">
        <v>5904</v>
      </c>
    </row>
    <row r="5149">
      <c r="A5149" s="430">
        <v>4.3147693000152E13</v>
      </c>
      <c r="B5149" s="218" t="s">
        <v>5905</v>
      </c>
    </row>
    <row r="5150">
      <c r="A5150" s="430">
        <v>1.4793395000131E13</v>
      </c>
      <c r="B5150" s="218" t="s">
        <v>5906</v>
      </c>
    </row>
    <row r="5151">
      <c r="A5151" s="430">
        <v>1.3241077000103E13</v>
      </c>
      <c r="B5151" s="218" t="s">
        <v>5907</v>
      </c>
    </row>
    <row r="5152">
      <c r="A5152" s="430">
        <v>1.529073400012E13</v>
      </c>
      <c r="B5152" s="218" t="s">
        <v>5908</v>
      </c>
    </row>
    <row r="5153">
      <c r="A5153" s="430">
        <v>1.0553866000183E13</v>
      </c>
      <c r="B5153" s="218" t="s">
        <v>5909</v>
      </c>
    </row>
    <row r="5154">
      <c r="A5154" s="430">
        <v>2.1873370000103E13</v>
      </c>
      <c r="B5154" s="218" t="s">
        <v>5910</v>
      </c>
    </row>
    <row r="5155">
      <c r="A5155" s="430">
        <v>1.32470060001E13</v>
      </c>
      <c r="B5155" s="218" t="s">
        <v>5911</v>
      </c>
    </row>
    <row r="5156">
      <c r="A5156" s="430">
        <v>2.216276700015E13</v>
      </c>
      <c r="B5156" s="218" t="s">
        <v>5912</v>
      </c>
    </row>
    <row r="5157">
      <c r="A5157" s="430">
        <v>6.957510000138E12</v>
      </c>
      <c r="B5157" s="218" t="s">
        <v>5913</v>
      </c>
    </row>
    <row r="5158">
      <c r="A5158" s="430">
        <v>7.763078000107E12</v>
      </c>
      <c r="B5158" s="218" t="s">
        <v>5914</v>
      </c>
    </row>
    <row r="5159">
      <c r="A5159" s="430">
        <v>4.62264500117E11</v>
      </c>
      <c r="B5159" s="218" t="s">
        <v>5915</v>
      </c>
    </row>
    <row r="5160">
      <c r="A5160" s="430">
        <v>8.29512940001E13</v>
      </c>
      <c r="B5160" s="218" t="s">
        <v>5916</v>
      </c>
    </row>
    <row r="5161">
      <c r="A5161" s="430">
        <v>1.2816936000174E13</v>
      </c>
      <c r="B5161" s="218" t="s">
        <v>5917</v>
      </c>
    </row>
    <row r="5162">
      <c r="A5162" s="430">
        <v>1.89586770001E13</v>
      </c>
      <c r="B5162" s="218" t="s">
        <v>5918</v>
      </c>
    </row>
    <row r="5163">
      <c r="A5163" s="430">
        <v>2.1207079000104E13</v>
      </c>
      <c r="B5163" s="218" t="s">
        <v>5919</v>
      </c>
    </row>
    <row r="5164">
      <c r="A5164" s="430">
        <v>1.1242630000199E13</v>
      </c>
      <c r="B5164" s="218" t="s">
        <v>5920</v>
      </c>
    </row>
    <row r="5165">
      <c r="A5165" s="430">
        <v>2.0132123000193E13</v>
      </c>
      <c r="B5165" s="218" t="s">
        <v>5921</v>
      </c>
    </row>
    <row r="5166">
      <c r="A5166" s="430">
        <v>1.388240900012E13</v>
      </c>
      <c r="B5166" s="218" t="s">
        <v>5922</v>
      </c>
    </row>
    <row r="5167">
      <c r="A5167" s="430">
        <v>1.7688751000145E13</v>
      </c>
      <c r="B5167" s="218" t="s">
        <v>5923</v>
      </c>
    </row>
    <row r="5168">
      <c r="A5168" s="430">
        <v>1.1323527000173E13</v>
      </c>
      <c r="B5168" s="218" t="s">
        <v>5924</v>
      </c>
    </row>
    <row r="5169">
      <c r="A5169" s="430">
        <v>1.1112830000127E13</v>
      </c>
      <c r="B5169" s="218" t="s">
        <v>5925</v>
      </c>
    </row>
    <row r="5170">
      <c r="A5170" s="430">
        <v>3.116865000106E12</v>
      </c>
      <c r="B5170" s="218" t="s">
        <v>5926</v>
      </c>
    </row>
    <row r="5171">
      <c r="A5171" s="430">
        <v>8.8766936000179E13</v>
      </c>
      <c r="B5171" s="218" t="s">
        <v>5927</v>
      </c>
    </row>
    <row r="5172">
      <c r="A5172" s="430">
        <v>4.584085000153E12</v>
      </c>
      <c r="B5172" s="218" t="s">
        <v>5928</v>
      </c>
    </row>
    <row r="5173">
      <c r="A5173" s="430">
        <v>8.165135000119E12</v>
      </c>
      <c r="B5173" s="218" t="s">
        <v>5929</v>
      </c>
    </row>
    <row r="5174">
      <c r="A5174" s="430">
        <v>2.550956000192E12</v>
      </c>
      <c r="B5174" s="218" t="s">
        <v>5930</v>
      </c>
    </row>
    <row r="5175">
      <c r="A5175" s="430">
        <v>3.82380000176E11</v>
      </c>
      <c r="B5175" s="218" t="s">
        <v>5931</v>
      </c>
    </row>
    <row r="5176">
      <c r="A5176" s="430">
        <v>2.2936670000157E13</v>
      </c>
      <c r="B5176" s="218" t="s">
        <v>5932</v>
      </c>
    </row>
    <row r="5177">
      <c r="A5177" s="430">
        <v>1.665098500013E13</v>
      </c>
      <c r="B5177" s="218" t="s">
        <v>5933</v>
      </c>
    </row>
    <row r="5178">
      <c r="A5178" s="430">
        <v>1.9107910000104E13</v>
      </c>
      <c r="B5178" s="218" t="s">
        <v>5934</v>
      </c>
    </row>
    <row r="5179">
      <c r="A5179" s="430">
        <v>9.053748000127E12</v>
      </c>
      <c r="B5179" s="218" t="s">
        <v>5935</v>
      </c>
    </row>
    <row r="5180">
      <c r="A5180" s="430">
        <v>1.1696546000145E13</v>
      </c>
      <c r="B5180" s="218" t="s">
        <v>5936</v>
      </c>
    </row>
    <row r="5181">
      <c r="A5181" s="430">
        <v>1.639573000122E12</v>
      </c>
      <c r="B5181" s="218" t="s">
        <v>5937</v>
      </c>
    </row>
    <row r="5182">
      <c r="A5182" s="430">
        <v>6.1797924000236E13</v>
      </c>
      <c r="B5182" s="218" t="s">
        <v>5938</v>
      </c>
    </row>
    <row r="5183">
      <c r="A5183" s="430">
        <v>3.141166000116E12</v>
      </c>
      <c r="B5183" s="218" t="s">
        <v>5939</v>
      </c>
    </row>
    <row r="5184">
      <c r="A5184" s="430">
        <v>1.547343000133E12</v>
      </c>
      <c r="B5184" s="218" t="s">
        <v>5940</v>
      </c>
    </row>
    <row r="5185">
      <c r="A5185" s="430">
        <v>3.301628000115E12</v>
      </c>
      <c r="B5185" s="218" t="s">
        <v>5941</v>
      </c>
    </row>
    <row r="5186">
      <c r="A5186" s="430">
        <v>7.9227963000182E13</v>
      </c>
      <c r="B5186" s="218" t="s">
        <v>5942</v>
      </c>
    </row>
    <row r="5187">
      <c r="A5187" s="430">
        <v>6.263134000181E12</v>
      </c>
      <c r="B5187" s="218" t="s">
        <v>5943</v>
      </c>
    </row>
    <row r="5188">
      <c r="A5188" s="430">
        <v>1.4790131000124E13</v>
      </c>
      <c r="B5188" s="218" t="s">
        <v>5944</v>
      </c>
    </row>
    <row r="5189">
      <c r="A5189" s="430">
        <v>8.5152288000172E13</v>
      </c>
      <c r="B5189" s="218" t="s">
        <v>5945</v>
      </c>
    </row>
    <row r="5190">
      <c r="A5190" s="430">
        <v>2.3203733000129E13</v>
      </c>
      <c r="B5190" s="218" t="s">
        <v>5946</v>
      </c>
    </row>
    <row r="5191">
      <c r="A5191" s="430">
        <v>2.4971121000149E13</v>
      </c>
      <c r="B5191" s="218" t="s">
        <v>5947</v>
      </c>
    </row>
    <row r="5192">
      <c r="A5192" s="430">
        <v>1.259682000114E12</v>
      </c>
      <c r="B5192" s="218" t="s">
        <v>5948</v>
      </c>
    </row>
    <row r="5193">
      <c r="A5193" s="430">
        <v>8.46686000136E11</v>
      </c>
      <c r="B5193" s="218" t="s">
        <v>5949</v>
      </c>
    </row>
    <row r="5194">
      <c r="A5194" s="430">
        <v>2.0836867000199E13</v>
      </c>
      <c r="B5194" s="218" t="s">
        <v>5950</v>
      </c>
    </row>
    <row r="5195">
      <c r="A5195" s="430">
        <v>1.5614039000176E13</v>
      </c>
      <c r="B5195" s="218" t="s">
        <v>5951</v>
      </c>
    </row>
    <row r="5196">
      <c r="A5196" s="430">
        <v>8.3900522000177E13</v>
      </c>
      <c r="B5196" s="218" t="s">
        <v>5952</v>
      </c>
    </row>
    <row r="5197">
      <c r="A5197" s="430">
        <v>2.339850000144E12</v>
      </c>
      <c r="B5197" s="218" t="s">
        <v>5953</v>
      </c>
    </row>
    <row r="5198">
      <c r="A5198" s="430">
        <v>2.1997155000114E13</v>
      </c>
      <c r="B5198" s="218" t="s">
        <v>5954</v>
      </c>
    </row>
    <row r="5199">
      <c r="A5199" s="430">
        <v>8.865615000192E12</v>
      </c>
      <c r="B5199" s="218" t="s">
        <v>5955</v>
      </c>
    </row>
    <row r="5200">
      <c r="A5200" s="430">
        <v>1.164242500011E13</v>
      </c>
      <c r="B5200" s="218" t="s">
        <v>5956</v>
      </c>
    </row>
    <row r="5201">
      <c r="A5201" s="430">
        <v>1.4499179000188E13</v>
      </c>
      <c r="B5201" s="218" t="s">
        <v>5957</v>
      </c>
    </row>
    <row r="5202">
      <c r="A5202" s="430">
        <v>8.22801000019E12</v>
      </c>
      <c r="B5202" s="218" t="s">
        <v>5958</v>
      </c>
    </row>
    <row r="5203">
      <c r="A5203" s="430">
        <v>7.109099000103E12</v>
      </c>
      <c r="B5203" s="218" t="s">
        <v>5959</v>
      </c>
    </row>
    <row r="5204">
      <c r="A5204" s="430">
        <v>9.256903000102E12</v>
      </c>
      <c r="B5204" s="218" t="s">
        <v>5960</v>
      </c>
    </row>
    <row r="5205">
      <c r="A5205" s="430">
        <v>2.0489425000113E13</v>
      </c>
      <c r="B5205" s="218" t="s">
        <v>5961</v>
      </c>
    </row>
    <row r="5206">
      <c r="A5206" s="430">
        <v>1.9668526000172E13</v>
      </c>
      <c r="B5206" s="218" t="s">
        <v>5962</v>
      </c>
    </row>
    <row r="5207">
      <c r="A5207" s="430">
        <v>1.09834000016E12</v>
      </c>
      <c r="B5207" s="218" t="s">
        <v>5963</v>
      </c>
    </row>
    <row r="5208">
      <c r="A5208" s="430">
        <v>1.5090444000132E13</v>
      </c>
      <c r="B5208" s="218" t="s">
        <v>5964</v>
      </c>
    </row>
    <row r="5209">
      <c r="A5209" s="430">
        <v>7.696901000109E12</v>
      </c>
      <c r="B5209" s="218" t="s">
        <v>5965</v>
      </c>
    </row>
    <row r="5210">
      <c r="A5210" s="430">
        <v>1.705580000185E12</v>
      </c>
      <c r="B5210" s="218" t="s">
        <v>5966</v>
      </c>
    </row>
    <row r="5211">
      <c r="A5211" s="430">
        <v>7.730888000167E12</v>
      </c>
      <c r="B5211" s="218" t="s">
        <v>5967</v>
      </c>
    </row>
    <row r="5212">
      <c r="A5212" s="430">
        <v>8.938116000188E12</v>
      </c>
      <c r="B5212" s="218" t="s">
        <v>5968</v>
      </c>
    </row>
    <row r="5213">
      <c r="A5213" s="430">
        <v>5.08546100039E12</v>
      </c>
      <c r="B5213" s="218" t="s">
        <v>5969</v>
      </c>
    </row>
    <row r="5214">
      <c r="A5214" s="430">
        <v>1.1216929000179E13</v>
      </c>
      <c r="B5214" s="218" t="s">
        <v>5970</v>
      </c>
    </row>
    <row r="5215">
      <c r="A5215" s="430">
        <v>2.008172400014E12</v>
      </c>
      <c r="B5215" s="218" t="s">
        <v>5971</v>
      </c>
    </row>
    <row r="5216">
      <c r="A5216" s="430">
        <v>4.439015000101E12</v>
      </c>
      <c r="B5216" s="218" t="s">
        <v>5972</v>
      </c>
    </row>
    <row r="5217">
      <c r="A5217" s="430">
        <v>1.527405000145E12</v>
      </c>
      <c r="B5217" s="218" t="s">
        <v>5973</v>
      </c>
    </row>
    <row r="5218">
      <c r="A5218" s="430">
        <v>1.0571929000124E13</v>
      </c>
      <c r="B5218" s="218" t="s">
        <v>5974</v>
      </c>
    </row>
    <row r="5219">
      <c r="A5219" s="430">
        <v>1.0392048000146E13</v>
      </c>
      <c r="B5219" s="218" t="s">
        <v>5975</v>
      </c>
    </row>
    <row r="5220">
      <c r="A5220" s="430">
        <v>9.619521000104E12</v>
      </c>
      <c r="B5220" s="218" t="s">
        <v>5976</v>
      </c>
    </row>
    <row r="5221">
      <c r="A5221" s="430">
        <v>1.5308310000145E13</v>
      </c>
      <c r="B5221" s="218" t="s">
        <v>5977</v>
      </c>
    </row>
    <row r="5222">
      <c r="A5222" s="430">
        <v>1.886938000016E13</v>
      </c>
      <c r="B5222" s="218" t="s">
        <v>5978</v>
      </c>
    </row>
    <row r="5223">
      <c r="A5223" s="430">
        <v>7.816912000185E12</v>
      </c>
      <c r="B5223" s="218" t="s">
        <v>5979</v>
      </c>
    </row>
    <row r="5224">
      <c r="A5224" s="430">
        <v>1.919224800012E13</v>
      </c>
      <c r="B5224" s="218" t="s">
        <v>5980</v>
      </c>
    </row>
    <row r="5225">
      <c r="A5225" s="430">
        <v>1.2260623000182E13</v>
      </c>
      <c r="B5225" s="218" t="s">
        <v>5981</v>
      </c>
    </row>
    <row r="5226">
      <c r="A5226" s="430">
        <v>2.182816600017E13</v>
      </c>
      <c r="B5226" s="218" t="s">
        <v>5982</v>
      </c>
    </row>
    <row r="5227">
      <c r="A5227" s="430">
        <v>4.158750200111E13</v>
      </c>
      <c r="B5227" s="218" t="s">
        <v>386</v>
      </c>
    </row>
    <row r="5228">
      <c r="A5228" s="430">
        <v>1.1296235000199E13</v>
      </c>
      <c r="B5228" s="218" t="s">
        <v>5983</v>
      </c>
    </row>
    <row r="5229">
      <c r="A5229" s="430">
        <v>6.9854600001E12</v>
      </c>
      <c r="B5229" s="218" t="s">
        <v>5984</v>
      </c>
    </row>
    <row r="5230">
      <c r="A5230" s="430">
        <v>8.4953579000105E13</v>
      </c>
      <c r="B5230" s="218" t="s">
        <v>5985</v>
      </c>
    </row>
    <row r="5231">
      <c r="A5231" s="430">
        <v>1.4026783000197E13</v>
      </c>
      <c r="B5231" s="218" t="s">
        <v>5986</v>
      </c>
    </row>
    <row r="5232">
      <c r="A5232" s="430">
        <v>8.3893925000306E13</v>
      </c>
      <c r="B5232" s="218" t="s">
        <v>5987</v>
      </c>
    </row>
    <row r="5233">
      <c r="A5233" s="430">
        <v>3.2578387000316E13</v>
      </c>
      <c r="B5233" s="218" t="s">
        <v>5988</v>
      </c>
    </row>
    <row r="5234">
      <c r="A5234" s="430">
        <v>1.78163630001E13</v>
      </c>
      <c r="B5234" s="218" t="s">
        <v>5989</v>
      </c>
    </row>
    <row r="5235">
      <c r="A5235" s="430">
        <v>3.548929000148E12</v>
      </c>
      <c r="B5235" s="218" t="s">
        <v>5990</v>
      </c>
    </row>
    <row r="5236">
      <c r="A5236" s="430">
        <v>2.220031000183E12</v>
      </c>
      <c r="B5236" s="218" t="s">
        <v>5991</v>
      </c>
    </row>
    <row r="5237">
      <c r="A5237" s="430">
        <v>1.37840700011E12</v>
      </c>
      <c r="B5237" s="218" t="s">
        <v>5992</v>
      </c>
    </row>
    <row r="5238">
      <c r="A5238" s="430">
        <v>8.326292300022E13</v>
      </c>
      <c r="B5238" s="218" t="s">
        <v>5993</v>
      </c>
    </row>
    <row r="5239">
      <c r="A5239" s="430">
        <v>1.408708900018E13</v>
      </c>
      <c r="B5239" s="218" t="s">
        <v>5994</v>
      </c>
    </row>
    <row r="5240">
      <c r="A5240" s="430">
        <v>7.488142000199E12</v>
      </c>
      <c r="B5240" s="218" t="s">
        <v>5995</v>
      </c>
    </row>
    <row r="5241">
      <c r="A5241" s="430">
        <v>6.170520000129E12</v>
      </c>
      <c r="B5241" s="218" t="s">
        <v>5996</v>
      </c>
    </row>
    <row r="5242">
      <c r="A5242" s="430">
        <v>2.2266315000118E13</v>
      </c>
      <c r="B5242" s="218" t="s">
        <v>5997</v>
      </c>
    </row>
    <row r="5243">
      <c r="A5243" s="430">
        <v>8.158687000108E12</v>
      </c>
      <c r="B5243" s="218" t="s">
        <v>5998</v>
      </c>
    </row>
    <row r="5244">
      <c r="A5244" s="430">
        <v>1.6539070000152E13</v>
      </c>
      <c r="B5244" s="218" t="s">
        <v>5999</v>
      </c>
    </row>
    <row r="5245">
      <c r="A5245" s="430">
        <v>2.481744800016E13</v>
      </c>
      <c r="B5245" s="218" t="s">
        <v>6000</v>
      </c>
    </row>
    <row r="5246">
      <c r="A5246" s="430">
        <v>1.2746508000112E13</v>
      </c>
      <c r="B5246" s="218" t="s">
        <v>6001</v>
      </c>
    </row>
    <row r="5247">
      <c r="A5247" s="430">
        <v>4.352711000186E12</v>
      </c>
      <c r="B5247" s="218" t="s">
        <v>6002</v>
      </c>
    </row>
    <row r="5248">
      <c r="A5248" s="430">
        <v>1.5033454000136E13</v>
      </c>
      <c r="B5248" s="218" t="s">
        <v>6003</v>
      </c>
    </row>
    <row r="5249">
      <c r="A5249" s="430">
        <v>5.49455700014E12</v>
      </c>
      <c r="B5249" s="218" t="s">
        <v>6004</v>
      </c>
    </row>
    <row r="5250">
      <c r="A5250" s="430">
        <v>8.362735000258E12</v>
      </c>
      <c r="B5250" s="218" t="s">
        <v>6005</v>
      </c>
    </row>
    <row r="5251">
      <c r="A5251" s="430">
        <v>2.8930516000154E13</v>
      </c>
      <c r="B5251" s="218" t="s">
        <v>6006</v>
      </c>
    </row>
    <row r="5252">
      <c r="A5252" s="430">
        <v>1.0797045000192E13</v>
      </c>
      <c r="B5252" s="218" t="s">
        <v>6007</v>
      </c>
    </row>
    <row r="5253">
      <c r="A5253" s="430">
        <v>2.9549635000124E13</v>
      </c>
      <c r="B5253" s="218" t="s">
        <v>6008</v>
      </c>
    </row>
    <row r="5254">
      <c r="A5254" s="430">
        <v>3.0426527000143E13</v>
      </c>
      <c r="B5254" s="218" t="s">
        <v>6009</v>
      </c>
    </row>
    <row r="5255">
      <c r="A5255" s="430">
        <v>5.807475000108E12</v>
      </c>
      <c r="B5255" s="218" t="s">
        <v>6010</v>
      </c>
    </row>
    <row r="5256">
      <c r="A5256" s="430">
        <v>2.4746655000171E13</v>
      </c>
      <c r="B5256" s="218" t="s">
        <v>6011</v>
      </c>
    </row>
    <row r="5257">
      <c r="A5257" s="430">
        <v>2.4710078000159E13</v>
      </c>
      <c r="B5257" s="218" t="s">
        <v>6012</v>
      </c>
    </row>
    <row r="5258">
      <c r="A5258" s="430">
        <v>5.090954000156E12</v>
      </c>
      <c r="B5258" s="218" t="s">
        <v>6013</v>
      </c>
    </row>
    <row r="5259">
      <c r="A5259" s="430">
        <v>9.1524230001E12</v>
      </c>
      <c r="B5259" s="218" t="s">
        <v>6014</v>
      </c>
    </row>
    <row r="5260">
      <c r="A5260" s="430">
        <v>1.87127300018E12</v>
      </c>
      <c r="B5260" s="218" t="s">
        <v>6015</v>
      </c>
    </row>
    <row r="5261">
      <c r="A5261" s="430">
        <v>1.134191000309E12</v>
      </c>
      <c r="B5261" s="218" t="s">
        <v>6016</v>
      </c>
    </row>
    <row r="5262">
      <c r="A5262" s="430">
        <v>3.45814100014E12</v>
      </c>
      <c r="B5262" s="218" t="s">
        <v>6017</v>
      </c>
    </row>
    <row r="5263">
      <c r="A5263" s="430">
        <v>2.0252467000136E13</v>
      </c>
      <c r="B5263" s="218" t="s">
        <v>6018</v>
      </c>
    </row>
    <row r="5264">
      <c r="A5264" s="430">
        <v>8.1006272000109E13</v>
      </c>
      <c r="B5264" s="218" t="s">
        <v>6019</v>
      </c>
    </row>
    <row r="5265">
      <c r="A5265" s="430">
        <v>6.350648000174E12</v>
      </c>
      <c r="B5265" s="218" t="s">
        <v>6020</v>
      </c>
    </row>
    <row r="5266">
      <c r="A5266" s="430">
        <v>5.555382000133E12</v>
      </c>
      <c r="B5266" s="218" t="s">
        <v>6021</v>
      </c>
    </row>
    <row r="5267">
      <c r="A5267" s="430">
        <v>1.9877285000333E13</v>
      </c>
      <c r="B5267" s="218" t="s">
        <v>6022</v>
      </c>
    </row>
    <row r="5268">
      <c r="A5268" s="430">
        <v>7.8738101000151E13</v>
      </c>
      <c r="B5268" s="218" t="s">
        <v>6023</v>
      </c>
    </row>
    <row r="5269">
      <c r="A5269" s="430">
        <v>3.815151000196E12</v>
      </c>
      <c r="B5269" s="218" t="s">
        <v>6024</v>
      </c>
    </row>
    <row r="5270">
      <c r="A5270" s="430">
        <v>1.9877285000171E13</v>
      </c>
      <c r="B5270" s="218" t="s">
        <v>6025</v>
      </c>
    </row>
    <row r="5271">
      <c r="A5271" s="430">
        <v>5.8652678000139E13</v>
      </c>
      <c r="B5271" s="218" t="s">
        <v>6026</v>
      </c>
    </row>
    <row r="5272">
      <c r="A5272" s="430">
        <v>1.9518708000167E13</v>
      </c>
      <c r="B5272" s="218" t="s">
        <v>6027</v>
      </c>
    </row>
    <row r="5273">
      <c r="A5273" s="430">
        <v>1.036137700012E13</v>
      </c>
      <c r="B5273" s="218" t="s">
        <v>6028</v>
      </c>
    </row>
    <row r="5274">
      <c r="A5274" s="430">
        <v>1.540239800016E13</v>
      </c>
      <c r="B5274" s="218" t="s">
        <v>6029</v>
      </c>
    </row>
    <row r="5275">
      <c r="A5275" s="430">
        <v>5.207424000145E12</v>
      </c>
      <c r="B5275" s="218" t="s">
        <v>6030</v>
      </c>
    </row>
    <row r="5276">
      <c r="A5276" s="430">
        <v>9.49640000142E11</v>
      </c>
      <c r="B5276" s="218" t="s">
        <v>6031</v>
      </c>
    </row>
    <row r="5277">
      <c r="A5277" s="430">
        <v>2.8188726000119E13</v>
      </c>
      <c r="B5277" s="218" t="s">
        <v>6032</v>
      </c>
    </row>
    <row r="5278">
      <c r="A5278" s="430">
        <v>2.21528800147E11</v>
      </c>
      <c r="B5278" s="218" t="s">
        <v>6033</v>
      </c>
    </row>
    <row r="5279">
      <c r="A5279" s="430">
        <v>3.8346700001E12</v>
      </c>
      <c r="B5279" s="218" t="s">
        <v>6034</v>
      </c>
    </row>
    <row r="5280">
      <c r="A5280" s="430">
        <v>1.8181313000159E13</v>
      </c>
      <c r="B5280" s="218" t="s">
        <v>6035</v>
      </c>
    </row>
    <row r="5281">
      <c r="A5281" s="430">
        <v>7.504781000109E12</v>
      </c>
      <c r="B5281" s="218" t="s">
        <v>6036</v>
      </c>
    </row>
    <row r="5282">
      <c r="A5282" s="430">
        <v>9.420914500014E13</v>
      </c>
      <c r="B5282" s="218" t="s">
        <v>6037</v>
      </c>
    </row>
    <row r="5283">
      <c r="A5283" s="430">
        <v>7.8931474000144E13</v>
      </c>
      <c r="B5283" s="218" t="s">
        <v>6038</v>
      </c>
    </row>
    <row r="5284">
      <c r="A5284" s="430">
        <v>9.22420800001E13</v>
      </c>
      <c r="B5284" s="218" t="s">
        <v>6039</v>
      </c>
    </row>
    <row r="5285">
      <c r="A5285" s="430">
        <v>3.93012300011E12</v>
      </c>
      <c r="B5285" s="218" t="s">
        <v>6040</v>
      </c>
    </row>
    <row r="5286">
      <c r="A5286" s="430">
        <v>6.3285060001E12</v>
      </c>
      <c r="B5286" s="218" t="s">
        <v>6041</v>
      </c>
    </row>
    <row r="5287">
      <c r="A5287" s="430">
        <v>6.1825675000679E13</v>
      </c>
      <c r="B5287" s="218" t="s">
        <v>6042</v>
      </c>
    </row>
    <row r="5288">
      <c r="A5288" s="430">
        <v>9.208456000116E12</v>
      </c>
      <c r="B5288" s="218" t="s">
        <v>6043</v>
      </c>
    </row>
    <row r="5289">
      <c r="A5289" s="430">
        <v>7.3091936000149E13</v>
      </c>
      <c r="B5289" s="218" t="s">
        <v>6044</v>
      </c>
    </row>
    <row r="5290">
      <c r="A5290" s="430">
        <v>3.619767000515E12</v>
      </c>
      <c r="B5290" s="218" t="s">
        <v>6045</v>
      </c>
    </row>
    <row r="5291">
      <c r="A5291" s="430">
        <v>1.729929900012E13</v>
      </c>
      <c r="B5291" s="218" t="s">
        <v>6046</v>
      </c>
    </row>
    <row r="5292">
      <c r="A5292" s="430">
        <v>7.59796000012E12</v>
      </c>
      <c r="B5292" s="218" t="s">
        <v>6047</v>
      </c>
    </row>
    <row r="5293">
      <c r="A5293" s="430">
        <v>1.1244824000123E13</v>
      </c>
      <c r="B5293" s="218" t="s">
        <v>6048</v>
      </c>
    </row>
    <row r="5294">
      <c r="A5294" s="430">
        <v>9.461647000195E12</v>
      </c>
      <c r="B5294" s="218" t="s">
        <v>6049</v>
      </c>
    </row>
    <row r="5295">
      <c r="A5295" s="430">
        <v>2.3391315000102E13</v>
      </c>
      <c r="B5295" s="218" t="s">
        <v>6050</v>
      </c>
    </row>
    <row r="5296">
      <c r="A5296" s="430">
        <v>1.085935400014E13</v>
      </c>
      <c r="B5296" s="218" t="s">
        <v>6051</v>
      </c>
    </row>
    <row r="5297">
      <c r="A5297" s="430">
        <v>2.6986607000186E13</v>
      </c>
      <c r="B5297" s="218" t="s">
        <v>6052</v>
      </c>
    </row>
    <row r="5298">
      <c r="A5298" s="430">
        <v>2.2779574000142E13</v>
      </c>
      <c r="B5298" s="218" t="s">
        <v>6053</v>
      </c>
    </row>
    <row r="5299">
      <c r="A5299" s="430">
        <v>2.0691445000172E13</v>
      </c>
      <c r="B5299" s="218" t="s">
        <v>6054</v>
      </c>
    </row>
    <row r="5300">
      <c r="A5300" s="430">
        <v>2.6051611000152E13</v>
      </c>
      <c r="B5300" s="218" t="s">
        <v>6055</v>
      </c>
    </row>
    <row r="5301">
      <c r="A5301" s="430">
        <v>7.961465000158E12</v>
      </c>
      <c r="B5301" s="218" t="s">
        <v>6056</v>
      </c>
    </row>
    <row r="5302">
      <c r="A5302" s="430">
        <v>7.9511879000196E13</v>
      </c>
      <c r="B5302" s="218" t="s">
        <v>6057</v>
      </c>
    </row>
    <row r="5303">
      <c r="A5303" s="430">
        <v>2.215288000147E12</v>
      </c>
      <c r="B5303" s="218" t="s">
        <v>6058</v>
      </c>
    </row>
    <row r="5304">
      <c r="A5304" s="430">
        <v>2.0810747000112E13</v>
      </c>
      <c r="B5304" s="218" t="s">
        <v>6059</v>
      </c>
    </row>
    <row r="5305">
      <c r="A5305" s="430">
        <v>2.3982081000178E13</v>
      </c>
      <c r="B5305" s="218" t="s">
        <v>6060</v>
      </c>
    </row>
    <row r="5306">
      <c r="A5306" s="430">
        <v>1.7247878000129E13</v>
      </c>
      <c r="B5306" s="218" t="s">
        <v>6061</v>
      </c>
    </row>
    <row r="5307">
      <c r="A5307" s="430">
        <v>3.1885247000166E13</v>
      </c>
      <c r="B5307" s="218" t="s">
        <v>6062</v>
      </c>
    </row>
    <row r="5308">
      <c r="A5308" s="430">
        <v>7.981321000163E12</v>
      </c>
      <c r="B5308" s="218" t="s">
        <v>6063</v>
      </c>
    </row>
    <row r="5309">
      <c r="A5309" s="430">
        <v>3.665843200018E12</v>
      </c>
      <c r="B5309" s="218" t="s">
        <v>6064</v>
      </c>
    </row>
    <row r="5310">
      <c r="A5310" s="430">
        <v>2.2672641000125E13</v>
      </c>
      <c r="B5310" s="218" t="s">
        <v>6065</v>
      </c>
    </row>
    <row r="5311">
      <c r="A5311" s="430">
        <v>1.277298000144E12</v>
      </c>
      <c r="B5311" s="218" t="s">
        <v>6066</v>
      </c>
    </row>
    <row r="5312">
      <c r="A5312" s="430">
        <v>7.9227963000263E13</v>
      </c>
      <c r="B5312" s="218" t="s">
        <v>6067</v>
      </c>
    </row>
    <row r="5313">
      <c r="A5313" s="430">
        <v>1.747585000049E12</v>
      </c>
      <c r="B5313" s="218" t="s">
        <v>6068</v>
      </c>
    </row>
    <row r="5314">
      <c r="A5314" s="430">
        <v>5.6035876000128E13</v>
      </c>
      <c r="B5314" s="218" t="s">
        <v>6069</v>
      </c>
    </row>
    <row r="5315">
      <c r="A5315" s="430">
        <v>1.1341205000157E13</v>
      </c>
      <c r="B5315" s="218" t="s">
        <v>6070</v>
      </c>
    </row>
    <row r="5316">
      <c r="A5316" s="430">
        <v>1.4586511000141E13</v>
      </c>
      <c r="B5316" s="218" t="s">
        <v>6071</v>
      </c>
    </row>
    <row r="5317">
      <c r="A5317" s="430">
        <v>2.2607929000116E13</v>
      </c>
      <c r="B5317" s="218" t="s">
        <v>6072</v>
      </c>
    </row>
    <row r="5318">
      <c r="A5318" s="430">
        <v>1.639573000637E12</v>
      </c>
      <c r="B5318" s="218" t="s">
        <v>6073</v>
      </c>
    </row>
    <row r="5319">
      <c r="A5319" s="430">
        <v>1.1508825000138E13</v>
      </c>
      <c r="B5319" s="218" t="s">
        <v>6074</v>
      </c>
    </row>
    <row r="5320">
      <c r="A5320" s="430">
        <v>1.5491512000175E13</v>
      </c>
      <c r="B5320" s="218" t="s">
        <v>6075</v>
      </c>
    </row>
    <row r="5321">
      <c r="A5321" s="430">
        <v>9.1404251000197E13</v>
      </c>
      <c r="B5321" s="218" t="s">
        <v>6076</v>
      </c>
    </row>
    <row r="5322">
      <c r="A5322" s="430">
        <v>8.1163040000156E13</v>
      </c>
      <c r="B5322" s="218" t="s">
        <v>6077</v>
      </c>
    </row>
    <row r="5323">
      <c r="A5323" s="430">
        <v>8.3102509000172E13</v>
      </c>
      <c r="B5323" s="218" t="s">
        <v>6078</v>
      </c>
    </row>
    <row r="5324">
      <c r="A5324" s="430">
        <v>2.10003220001E13</v>
      </c>
      <c r="B5324" s="218" t="s">
        <v>6079</v>
      </c>
    </row>
    <row r="5325">
      <c r="A5325" s="430">
        <v>3.51337000011E12</v>
      </c>
      <c r="B5325" s="218" t="s">
        <v>6080</v>
      </c>
    </row>
    <row r="5326">
      <c r="A5326" s="430">
        <v>2.1270587000129E13</v>
      </c>
      <c r="B5326" s="218" t="s">
        <v>6081</v>
      </c>
    </row>
    <row r="5327">
      <c r="A5327" s="430">
        <v>2.2814411000153E13</v>
      </c>
      <c r="B5327" s="218" t="s">
        <v>6082</v>
      </c>
    </row>
    <row r="5328">
      <c r="A5328" s="430">
        <v>1.8133018000127E13</v>
      </c>
      <c r="B5328" s="218" t="s">
        <v>6083</v>
      </c>
    </row>
    <row r="5329">
      <c r="A5329" s="430">
        <v>9.137728000134E12</v>
      </c>
      <c r="B5329" s="218" t="s">
        <v>6084</v>
      </c>
    </row>
    <row r="5330">
      <c r="A5330" s="430">
        <v>2.4688587000131E13</v>
      </c>
      <c r="B5330" s="218" t="s">
        <v>6085</v>
      </c>
    </row>
    <row r="5331">
      <c r="A5331" s="430">
        <v>8.3062141000166E13</v>
      </c>
      <c r="B5331" s="218" t="s">
        <v>6086</v>
      </c>
    </row>
    <row r="5332">
      <c r="A5332" s="430">
        <v>2.3351435000186E13</v>
      </c>
      <c r="B5332" s="218" t="s">
        <v>6087</v>
      </c>
    </row>
    <row r="5333">
      <c r="A5333" s="430">
        <v>6.7634022000184E13</v>
      </c>
      <c r="B5333" s="218" t="s">
        <v>6088</v>
      </c>
    </row>
    <row r="5334">
      <c r="A5334" s="430">
        <v>3.81972200016E12</v>
      </c>
      <c r="B5334" s="218" t="s">
        <v>6089</v>
      </c>
    </row>
    <row r="5335">
      <c r="A5335" s="430">
        <v>1.4991977000122E13</v>
      </c>
      <c r="B5335" s="218" t="s">
        <v>6090</v>
      </c>
    </row>
    <row r="5336">
      <c r="A5336" s="430">
        <v>8.5784023000197E13</v>
      </c>
      <c r="B5336" s="218" t="s">
        <v>6091</v>
      </c>
    </row>
    <row r="5337">
      <c r="A5337" s="430">
        <v>3.120467000163E12</v>
      </c>
      <c r="B5337" s="218" t="s">
        <v>6092</v>
      </c>
    </row>
    <row r="5338">
      <c r="A5338" s="430">
        <v>2.9819459000101E13</v>
      </c>
      <c r="B5338" s="218" t="s">
        <v>6093</v>
      </c>
    </row>
    <row r="5339">
      <c r="A5339" s="430">
        <v>2.3045759000196E13</v>
      </c>
      <c r="B5339" s="218" t="s">
        <v>6094</v>
      </c>
    </row>
    <row r="5340">
      <c r="A5340" s="430">
        <v>3.6367010001E12</v>
      </c>
      <c r="B5340" s="218" t="s">
        <v>6095</v>
      </c>
    </row>
    <row r="5341">
      <c r="A5341" s="430">
        <v>2.202755300017E13</v>
      </c>
      <c r="B5341" s="218" t="s">
        <v>6096</v>
      </c>
    </row>
    <row r="5342">
      <c r="A5342" s="430">
        <v>1.3529666000139E13</v>
      </c>
      <c r="B5342" s="218" t="s">
        <v>6097</v>
      </c>
    </row>
    <row r="5343">
      <c r="A5343" s="430">
        <v>1.859991500012E13</v>
      </c>
      <c r="B5343" s="218" t="s">
        <v>6098</v>
      </c>
    </row>
    <row r="5344">
      <c r="A5344" s="430">
        <v>8.3892182000341E13</v>
      </c>
      <c r="B5344" s="218" t="s">
        <v>6099</v>
      </c>
    </row>
    <row r="5345">
      <c r="A5345" s="430">
        <v>5.159529000176E12</v>
      </c>
      <c r="B5345" s="218" t="s">
        <v>6100</v>
      </c>
    </row>
    <row r="5346">
      <c r="A5346" s="430">
        <v>5.914685000103E12</v>
      </c>
      <c r="B5346" s="218" t="s">
        <v>6101</v>
      </c>
    </row>
    <row r="5347">
      <c r="A5347" s="430">
        <v>2.6019651000117E13</v>
      </c>
      <c r="B5347" s="218" t="s">
        <v>6102</v>
      </c>
    </row>
    <row r="5348">
      <c r="A5348" s="430">
        <v>8.3262923000491E13</v>
      </c>
      <c r="B5348" s="218" t="s">
        <v>1847</v>
      </c>
    </row>
    <row r="5349">
      <c r="A5349" s="430">
        <v>2.7230038000107E13</v>
      </c>
      <c r="B5349" s="218" t="s">
        <v>6103</v>
      </c>
    </row>
    <row r="5350">
      <c r="A5350" s="430">
        <v>7.8126950001126E13</v>
      </c>
      <c r="B5350" s="218" t="s">
        <v>6104</v>
      </c>
    </row>
    <row r="5351">
      <c r="A5351" s="430">
        <v>1.9721072000156E13</v>
      </c>
      <c r="B5351" s="218" t="s">
        <v>6105</v>
      </c>
    </row>
    <row r="5352">
      <c r="A5352" s="430">
        <v>1.1005987000153E13</v>
      </c>
      <c r="B5352" s="218" t="s">
        <v>6106</v>
      </c>
    </row>
    <row r="5353">
      <c r="A5353" s="430">
        <v>1.479874000012E13</v>
      </c>
      <c r="B5353" s="218" t="s">
        <v>6107</v>
      </c>
    </row>
    <row r="5354">
      <c r="A5354" s="430">
        <v>1.6828036000106E13</v>
      </c>
      <c r="B5354" s="218" t="s">
        <v>6108</v>
      </c>
    </row>
    <row r="5355">
      <c r="A5355" s="430">
        <v>9.1363760001E12</v>
      </c>
      <c r="B5355" s="218" t="s">
        <v>6109</v>
      </c>
    </row>
    <row r="5356">
      <c r="A5356" s="430">
        <v>6.79163000142E11</v>
      </c>
      <c r="B5356" s="218" t="s">
        <v>6110</v>
      </c>
    </row>
    <row r="5357">
      <c r="A5357" s="430">
        <v>7.817370000165E12</v>
      </c>
      <c r="B5357" s="218" t="s">
        <v>6111</v>
      </c>
    </row>
    <row r="5358">
      <c r="A5358" s="430">
        <v>1.558392300019E13</v>
      </c>
      <c r="B5358" s="218" t="s">
        <v>6112</v>
      </c>
    </row>
    <row r="5359">
      <c r="A5359" s="430">
        <v>9.642050000147E12</v>
      </c>
      <c r="B5359" s="218" t="s">
        <v>6113</v>
      </c>
    </row>
    <row r="5360">
      <c r="A5360" s="430">
        <v>1.65723760001E13</v>
      </c>
      <c r="B5360" s="218" t="s">
        <v>6114</v>
      </c>
    </row>
    <row r="5361">
      <c r="A5361" s="430">
        <v>1.8064435000165E13</v>
      </c>
      <c r="B5361" s="218" t="s">
        <v>6115</v>
      </c>
    </row>
    <row r="5362">
      <c r="A5362" s="430">
        <v>1.2819834000102E13</v>
      </c>
      <c r="B5362" s="218" t="s">
        <v>6116</v>
      </c>
    </row>
    <row r="5363">
      <c r="A5363" s="430">
        <v>2.220414800018E13</v>
      </c>
      <c r="B5363" s="218" t="s">
        <v>6117</v>
      </c>
    </row>
    <row r="5364">
      <c r="A5364" s="430">
        <v>1.2079319000133E13</v>
      </c>
      <c r="B5364" s="218" t="s">
        <v>6118</v>
      </c>
    </row>
    <row r="5365">
      <c r="A5365" s="430">
        <v>1.2131957000156E13</v>
      </c>
      <c r="B5365" s="218" t="s">
        <v>6119</v>
      </c>
    </row>
    <row r="5366">
      <c r="A5366" s="430">
        <v>2.6983631000161E13</v>
      </c>
      <c r="B5366" s="218" t="s">
        <v>6120</v>
      </c>
    </row>
    <row r="5367">
      <c r="A5367" s="430">
        <v>1.0558106000169E13</v>
      </c>
      <c r="B5367" s="218" t="s">
        <v>6121</v>
      </c>
    </row>
    <row r="5368">
      <c r="A5368" s="430">
        <v>1.5929692000124E13</v>
      </c>
      <c r="B5368" s="218" t="s">
        <v>6122</v>
      </c>
    </row>
    <row r="5369">
      <c r="A5369" s="430">
        <v>2.4066112000103E13</v>
      </c>
      <c r="B5369" s="218" t="s">
        <v>6123</v>
      </c>
    </row>
    <row r="5370">
      <c r="A5370" s="430">
        <v>1.777256000172E12</v>
      </c>
      <c r="B5370" s="218" t="s">
        <v>6124</v>
      </c>
    </row>
    <row r="5371">
      <c r="A5371" s="430">
        <v>8.933388000195E12</v>
      </c>
      <c r="B5371" s="218" t="s">
        <v>6125</v>
      </c>
    </row>
    <row r="5372">
      <c r="A5372" s="430">
        <v>8.938131000126E12</v>
      </c>
      <c r="B5372" s="218" t="s">
        <v>6126</v>
      </c>
    </row>
    <row r="5373">
      <c r="A5373" s="430">
        <v>1.8190056000111E13</v>
      </c>
      <c r="B5373" s="218" t="s">
        <v>6127</v>
      </c>
    </row>
    <row r="5374">
      <c r="A5374" s="430">
        <v>6.099229000454E12</v>
      </c>
      <c r="B5374" s="218" t="s">
        <v>6128</v>
      </c>
    </row>
    <row r="5375">
      <c r="A5375" s="430">
        <v>1.166921800015E13</v>
      </c>
      <c r="B5375" s="218" t="s">
        <v>6129</v>
      </c>
    </row>
    <row r="5376">
      <c r="A5376" s="430">
        <v>8.20892400019E12</v>
      </c>
      <c r="B5376" s="218" t="s">
        <v>6130</v>
      </c>
    </row>
    <row r="5377">
      <c r="A5377" s="430">
        <v>1.2068781000135E13</v>
      </c>
      <c r="B5377" s="218" t="s">
        <v>6131</v>
      </c>
    </row>
    <row r="5378">
      <c r="A5378" s="430">
        <v>8.277730100019E13</v>
      </c>
      <c r="B5378" s="218" t="s">
        <v>6132</v>
      </c>
    </row>
    <row r="5379">
      <c r="A5379" s="430">
        <v>2.2026704000176E13</v>
      </c>
      <c r="B5379" s="218" t="s">
        <v>6133</v>
      </c>
    </row>
    <row r="5380">
      <c r="A5380" s="430">
        <v>7.93363500019E12</v>
      </c>
      <c r="B5380" s="218" t="s">
        <v>6134</v>
      </c>
    </row>
    <row r="5381">
      <c r="A5381" s="430">
        <v>7.02323100016E12</v>
      </c>
      <c r="B5381" s="218" t="s">
        <v>6135</v>
      </c>
    </row>
    <row r="5382">
      <c r="A5382" s="430">
        <v>2.4384947000101E13</v>
      </c>
      <c r="B5382" s="218" t="s">
        <v>6136</v>
      </c>
    </row>
    <row r="5383">
      <c r="A5383" s="430">
        <v>4.567265000127E12</v>
      </c>
      <c r="B5383" s="218" t="s">
        <v>6137</v>
      </c>
    </row>
    <row r="5384">
      <c r="A5384" s="430">
        <v>3.637701000124E12</v>
      </c>
      <c r="B5384" s="218" t="s">
        <v>6138</v>
      </c>
    </row>
    <row r="5385">
      <c r="A5385" s="430">
        <v>7.8333640001E12</v>
      </c>
      <c r="B5385" s="218" t="s">
        <v>6139</v>
      </c>
    </row>
    <row r="5386">
      <c r="A5386" s="430">
        <v>2.322344000142E12</v>
      </c>
      <c r="B5386" s="218" t="s">
        <v>6140</v>
      </c>
    </row>
    <row r="5387">
      <c r="A5387" s="430">
        <v>2.1604118000107E13</v>
      </c>
      <c r="B5387" s="218" t="s">
        <v>6141</v>
      </c>
    </row>
    <row r="5388">
      <c r="A5388" s="430">
        <v>1.5148413000195E13</v>
      </c>
      <c r="B5388" s="218" t="s">
        <v>6142</v>
      </c>
    </row>
    <row r="5389">
      <c r="A5389" s="430">
        <v>2.9432229000187E13</v>
      </c>
      <c r="B5389" s="218" t="s">
        <v>6143</v>
      </c>
    </row>
    <row r="5390">
      <c r="A5390" s="430">
        <v>8.067144900011E13</v>
      </c>
      <c r="B5390" s="218" t="s">
        <v>6144</v>
      </c>
    </row>
    <row r="5391">
      <c r="A5391" s="430">
        <v>3.0096442000121E13</v>
      </c>
      <c r="B5391" s="218" t="s">
        <v>6145</v>
      </c>
    </row>
    <row r="5392">
      <c r="A5392" s="430">
        <v>2.85073000177E11</v>
      </c>
      <c r="B5392" s="218" t="s">
        <v>6146</v>
      </c>
    </row>
    <row r="5393">
      <c r="A5393" s="430">
        <v>8.855152000188E12</v>
      </c>
      <c r="B5393" s="218" t="s">
        <v>6147</v>
      </c>
    </row>
    <row r="5394">
      <c r="A5394" s="430">
        <v>2.211938000011E13</v>
      </c>
      <c r="B5394" s="218" t="s">
        <v>6148</v>
      </c>
    </row>
    <row r="5395">
      <c r="A5395" s="430">
        <v>2.0915722000183E13</v>
      </c>
      <c r="B5395" s="218" t="s">
        <v>6149</v>
      </c>
    </row>
    <row r="5396">
      <c r="A5396" s="430">
        <v>1.8343611000106E13</v>
      </c>
      <c r="B5396" s="218" t="s">
        <v>6150</v>
      </c>
    </row>
    <row r="5397">
      <c r="A5397" s="430">
        <v>2.7883894000161E13</v>
      </c>
      <c r="B5397" s="218" t="s">
        <v>6151</v>
      </c>
    </row>
    <row r="5398">
      <c r="A5398" s="430">
        <v>2.3867141000101E13</v>
      </c>
      <c r="B5398" s="218" t="s">
        <v>6152</v>
      </c>
    </row>
    <row r="5399">
      <c r="A5399" s="430">
        <v>3.064330000139E12</v>
      </c>
      <c r="B5399" s="218" t="s">
        <v>6153</v>
      </c>
    </row>
    <row r="5400">
      <c r="A5400" s="430">
        <v>8.11131000159E11</v>
      </c>
      <c r="B5400" s="218" t="s">
        <v>6154</v>
      </c>
    </row>
    <row r="5401">
      <c r="A5401" s="430">
        <v>5.157937000199E12</v>
      </c>
      <c r="B5401" s="218" t="s">
        <v>6155</v>
      </c>
    </row>
    <row r="5402">
      <c r="A5402" s="430">
        <v>2.9494455000192E13</v>
      </c>
      <c r="B5402" s="218" t="s">
        <v>6156</v>
      </c>
    </row>
    <row r="5403">
      <c r="A5403" s="430">
        <v>9.579113300013E13</v>
      </c>
      <c r="B5403" s="218" t="s">
        <v>6157</v>
      </c>
    </row>
    <row r="5404">
      <c r="A5404" s="430">
        <v>2.9253577000197E13</v>
      </c>
      <c r="B5404" s="218" t="s">
        <v>6158</v>
      </c>
    </row>
    <row r="5405">
      <c r="A5405" s="430">
        <v>1.080610600013E13</v>
      </c>
      <c r="B5405" s="218" t="s">
        <v>6159</v>
      </c>
    </row>
    <row r="5406">
      <c r="A5406" s="430">
        <v>2.6592905000152E13</v>
      </c>
      <c r="B5406" s="218" t="s">
        <v>6160</v>
      </c>
    </row>
    <row r="5407">
      <c r="A5407" s="430">
        <v>2.6590905000152E13</v>
      </c>
      <c r="B5407" s="218" t="s">
        <v>6160</v>
      </c>
    </row>
    <row r="5408">
      <c r="A5408" s="430">
        <v>6.94247200014E12</v>
      </c>
      <c r="B5408" s="218" t="s">
        <v>6161</v>
      </c>
    </row>
    <row r="5409">
      <c r="A5409" s="430">
        <v>2.4710087000159E13</v>
      </c>
      <c r="B5409" s="218" t="s">
        <v>6162</v>
      </c>
    </row>
    <row r="5410">
      <c r="A5410" s="430">
        <v>2.217225200013E13</v>
      </c>
      <c r="B5410" s="218" t="s">
        <v>6163</v>
      </c>
    </row>
    <row r="5411">
      <c r="A5411" s="430">
        <v>6.1365284017007E13</v>
      </c>
      <c r="B5411" s="218" t="s">
        <v>6164</v>
      </c>
    </row>
    <row r="5412">
      <c r="A5412" s="430">
        <v>3.476184000159E12</v>
      </c>
      <c r="B5412" s="218" t="s">
        <v>6165</v>
      </c>
    </row>
    <row r="5413">
      <c r="A5413" s="430">
        <v>2.3880650000174E13</v>
      </c>
      <c r="B5413" s="218" t="s">
        <v>6166</v>
      </c>
    </row>
    <row r="5414">
      <c r="A5414" s="430">
        <v>5.700712000137E12</v>
      </c>
      <c r="B5414" s="218" t="s">
        <v>6167</v>
      </c>
    </row>
    <row r="5415">
      <c r="A5415" s="430">
        <v>1.0406182000159E13</v>
      </c>
      <c r="B5415" s="218" t="s">
        <v>6168</v>
      </c>
    </row>
    <row r="5416">
      <c r="A5416" s="430">
        <v>1.181242000353E12</v>
      </c>
      <c r="B5416" s="218" t="s">
        <v>6169</v>
      </c>
    </row>
    <row r="5417">
      <c r="A5417" s="430">
        <v>6.5147399000183E13</v>
      </c>
      <c r="B5417" s="218" t="s">
        <v>6170</v>
      </c>
    </row>
    <row r="5418">
      <c r="A5418" s="430">
        <v>2.985110600018E13</v>
      </c>
      <c r="B5418" s="218" t="s">
        <v>6171</v>
      </c>
    </row>
    <row r="5419">
      <c r="A5419" s="430">
        <v>1.89990814E9</v>
      </c>
      <c r="B5419" s="218" t="s">
        <v>6172</v>
      </c>
    </row>
    <row r="5420">
      <c r="A5420" s="430">
        <v>1.899908100014E13</v>
      </c>
      <c r="B5420" s="218" t="s">
        <v>6172</v>
      </c>
    </row>
    <row r="5421">
      <c r="A5421" s="430">
        <v>3.0096442000144E13</v>
      </c>
      <c r="B5421" s="218" t="s">
        <v>6145</v>
      </c>
    </row>
    <row r="5422">
      <c r="A5422" s="430">
        <v>3.263975000109E12</v>
      </c>
      <c r="B5422" s="218" t="s">
        <v>6173</v>
      </c>
    </row>
    <row r="5423">
      <c r="A5423" s="430">
        <v>3.774688003332E12</v>
      </c>
      <c r="B5423" s="218" t="s">
        <v>2065</v>
      </c>
    </row>
    <row r="5424">
      <c r="A5424" s="430">
        <v>1.4484188000103E13</v>
      </c>
      <c r="B5424" s="218" t="s">
        <v>6174</v>
      </c>
    </row>
    <row r="5425">
      <c r="A5425" s="430">
        <v>1.0243445000156E13</v>
      </c>
      <c r="B5425" s="218" t="s">
        <v>6175</v>
      </c>
    </row>
    <row r="5426">
      <c r="A5426" s="430">
        <v>4.88422100012E12</v>
      </c>
      <c r="B5426" s="218" t="s">
        <v>6176</v>
      </c>
    </row>
    <row r="5427">
      <c r="A5427" s="430">
        <v>5.367519000126E12</v>
      </c>
      <c r="B5427" s="218" t="s">
        <v>6177</v>
      </c>
    </row>
    <row r="5428">
      <c r="A5428" s="430">
        <v>2.255187000108E12</v>
      </c>
      <c r="B5428" s="218" t="s">
        <v>6178</v>
      </c>
    </row>
    <row r="5429">
      <c r="A5429" s="430">
        <v>1.8876112000176E13</v>
      </c>
      <c r="B5429" s="218" t="s">
        <v>6179</v>
      </c>
    </row>
    <row r="5430">
      <c r="A5430" s="430">
        <v>3.5636034000151E13</v>
      </c>
      <c r="B5430" s="218" t="s">
        <v>6180</v>
      </c>
    </row>
    <row r="5431">
      <c r="A5431" s="430">
        <v>2.3514704000188E13</v>
      </c>
      <c r="B5431" s="218" t="s">
        <v>6181</v>
      </c>
    </row>
    <row r="5432">
      <c r="A5432" s="430">
        <v>2.1831246000185E13</v>
      </c>
      <c r="B5432" s="218" t="s">
        <v>6182</v>
      </c>
    </row>
    <row r="5433">
      <c r="A5433" s="430">
        <v>1.1012189000195E13</v>
      </c>
      <c r="B5433" s="218" t="s">
        <v>6183</v>
      </c>
    </row>
    <row r="5434">
      <c r="A5434" s="430">
        <v>1.4170340000175E13</v>
      </c>
      <c r="B5434" s="218" t="s">
        <v>6184</v>
      </c>
    </row>
    <row r="5435">
      <c r="A5435" s="430">
        <v>2.8842488000113E13</v>
      </c>
      <c r="B5435" s="218" t="s">
        <v>6185</v>
      </c>
    </row>
    <row r="5436">
      <c r="A5436" s="430">
        <v>3.0092431000196E13</v>
      </c>
      <c r="B5436" s="218" t="s">
        <v>6186</v>
      </c>
    </row>
    <row r="5437">
      <c r="A5437" s="430">
        <v>7.451350800012E13</v>
      </c>
      <c r="B5437" s="218" t="s">
        <v>6187</v>
      </c>
    </row>
    <row r="5438">
      <c r="A5438" s="430">
        <v>9.070338000194E12</v>
      </c>
      <c r="B5438" s="218" t="s">
        <v>6188</v>
      </c>
    </row>
    <row r="5439">
      <c r="A5439" s="430">
        <v>2.7339371000159E13</v>
      </c>
      <c r="B5439" s="218" t="s">
        <v>6189</v>
      </c>
    </row>
    <row r="5440">
      <c r="A5440" s="430">
        <v>2.2071528000194E13</v>
      </c>
      <c r="B5440" s="218" t="s">
        <v>6190</v>
      </c>
    </row>
    <row r="5441">
      <c r="A5441" s="430">
        <v>1.4171323000152E13</v>
      </c>
      <c r="B5441" s="218" t="s">
        <v>6191</v>
      </c>
    </row>
    <row r="5442">
      <c r="A5442" s="430">
        <v>1.1877124000176E13</v>
      </c>
      <c r="B5442" s="218" t="s">
        <v>6192</v>
      </c>
    </row>
    <row r="5443">
      <c r="A5443" s="430">
        <v>6.1595732000166E13</v>
      </c>
      <c r="B5443" s="218" t="s">
        <v>6193</v>
      </c>
    </row>
    <row r="5444">
      <c r="A5444" s="430">
        <v>8.3157032000122E13</v>
      </c>
      <c r="B5444" s="218" t="s">
        <v>6194</v>
      </c>
    </row>
    <row r="5445">
      <c r="A5445" s="430">
        <v>8.738035000134E12</v>
      </c>
      <c r="B5445" s="218" t="s">
        <v>6195</v>
      </c>
    </row>
    <row r="5446">
      <c r="A5446" s="430">
        <v>8.2892282001204E13</v>
      </c>
      <c r="B5446" s="218" t="s">
        <v>6196</v>
      </c>
    </row>
    <row r="5447">
      <c r="A5447" s="430">
        <v>2.2166193000198E13</v>
      </c>
      <c r="B5447" s="218" t="s">
        <v>6197</v>
      </c>
    </row>
    <row r="5448">
      <c r="A5448" s="430">
        <v>5.700721000137E12</v>
      </c>
      <c r="B5448" s="218" t="s">
        <v>6167</v>
      </c>
    </row>
    <row r="5449">
      <c r="A5449" s="430">
        <v>1.3859951000162E13</v>
      </c>
      <c r="B5449" s="218" t="s">
        <v>6198</v>
      </c>
    </row>
    <row r="5450">
      <c r="A5450" s="430">
        <v>9.5886735000502E13</v>
      </c>
      <c r="B5450" s="218" t="s">
        <v>6199</v>
      </c>
    </row>
    <row r="5451">
      <c r="A5451" s="430">
        <v>1.3992333000196E13</v>
      </c>
      <c r="B5451" s="218" t="s">
        <v>6200</v>
      </c>
    </row>
    <row r="5452">
      <c r="A5452" s="430">
        <v>1.9576717000194E13</v>
      </c>
      <c r="B5452" s="218" t="s">
        <v>6201</v>
      </c>
    </row>
    <row r="5453">
      <c r="A5453" s="430">
        <v>1.9576717000104E13</v>
      </c>
      <c r="B5453" s="218" t="s">
        <v>6201</v>
      </c>
    </row>
    <row r="5454">
      <c r="A5454" s="430">
        <v>1.32207830016E12</v>
      </c>
      <c r="B5454" s="218" t="s">
        <v>6202</v>
      </c>
    </row>
    <row r="5455">
      <c r="A5455" s="430">
        <v>1.2262024000106E13</v>
      </c>
      <c r="B5455" s="218" t="s">
        <v>6203</v>
      </c>
    </row>
    <row r="5456">
      <c r="A5456" s="430">
        <v>1.7512099000103E13</v>
      </c>
      <c r="B5456" s="218" t="s">
        <v>6204</v>
      </c>
    </row>
    <row r="5457">
      <c r="A5457" s="430">
        <v>9.577607600011E13</v>
      </c>
      <c r="B5457" s="218" t="s">
        <v>6205</v>
      </c>
    </row>
    <row r="5458">
      <c r="A5458" s="430">
        <v>1.1140607000193E13</v>
      </c>
      <c r="B5458" s="218" t="s">
        <v>6206</v>
      </c>
    </row>
    <row r="5459">
      <c r="A5459" s="430">
        <v>1.6715374000123E13</v>
      </c>
      <c r="B5459" s="218" t="s">
        <v>6207</v>
      </c>
    </row>
    <row r="5460">
      <c r="A5460" s="430">
        <v>3.877288000175E12</v>
      </c>
      <c r="B5460" s="218" t="s">
        <v>6208</v>
      </c>
    </row>
    <row r="5461">
      <c r="A5461" s="430">
        <v>6.87768400019E12</v>
      </c>
      <c r="B5461" s="218" t="s">
        <v>6209</v>
      </c>
    </row>
    <row r="5462">
      <c r="A5462" s="430">
        <v>3.704729000137E12</v>
      </c>
      <c r="B5462" s="218" t="s">
        <v>6210</v>
      </c>
    </row>
    <row r="5463">
      <c r="A5463" s="430">
        <v>8.5270510000131E13</v>
      </c>
      <c r="B5463" s="218" t="s">
        <v>6211</v>
      </c>
    </row>
    <row r="5464">
      <c r="A5464" s="430">
        <v>3.493782000136E12</v>
      </c>
      <c r="B5464" s="218" t="s">
        <v>6212</v>
      </c>
    </row>
    <row r="5465">
      <c r="A5465" s="430">
        <v>2.8888136000107E13</v>
      </c>
      <c r="B5465" s="218" t="s">
        <v>6213</v>
      </c>
    </row>
    <row r="5466">
      <c r="A5466" s="430">
        <v>8.074455000163E12</v>
      </c>
      <c r="B5466" s="218" t="s">
        <v>6214</v>
      </c>
    </row>
    <row r="5467">
      <c r="A5467" s="430">
        <v>1.2047912000106E13</v>
      </c>
      <c r="B5467" s="218" t="s">
        <v>6215</v>
      </c>
    </row>
    <row r="5468">
      <c r="A5468" s="430">
        <v>2.1535420000142E13</v>
      </c>
      <c r="B5468" s="218" t="s">
        <v>6216</v>
      </c>
    </row>
    <row r="5469">
      <c r="A5469" s="430">
        <v>1.7430722000189E13</v>
      </c>
      <c r="B5469" s="218" t="s">
        <v>6217</v>
      </c>
    </row>
    <row r="5470">
      <c r="A5470" s="430">
        <v>8.5293975000108E13</v>
      </c>
      <c r="B5470" s="218" t="s">
        <v>6218</v>
      </c>
    </row>
    <row r="5471">
      <c r="A5471" s="430">
        <v>1.879989700012E13</v>
      </c>
      <c r="B5471" s="218" t="s">
        <v>6219</v>
      </c>
    </row>
    <row r="5472">
      <c r="A5472" s="430">
        <v>6.217362000018E13</v>
      </c>
      <c r="B5472" s="218" t="s">
        <v>6220</v>
      </c>
    </row>
    <row r="5473">
      <c r="A5473" s="430">
        <v>5.0516731000162E13</v>
      </c>
      <c r="B5473" s="218" t="s">
        <v>6221</v>
      </c>
    </row>
    <row r="5474">
      <c r="A5474" s="430">
        <v>3.94494000136E11</v>
      </c>
      <c r="B5474" s="218" t="s">
        <v>6222</v>
      </c>
    </row>
    <row r="5475">
      <c r="A5475" s="430">
        <v>4.3854777000126E13</v>
      </c>
      <c r="B5475" s="218" t="s">
        <v>6223</v>
      </c>
    </row>
    <row r="5476">
      <c r="A5476" s="430">
        <v>6.1591459000123E13</v>
      </c>
      <c r="B5476" s="218" t="s">
        <v>6224</v>
      </c>
    </row>
    <row r="5477">
      <c r="A5477" s="430">
        <v>2.3028759000123E13</v>
      </c>
      <c r="B5477" s="218" t="s">
        <v>6225</v>
      </c>
    </row>
    <row r="5478">
      <c r="A5478" s="430">
        <v>5.054250000128E12</v>
      </c>
      <c r="B5478" s="218" t="s">
        <v>6226</v>
      </c>
    </row>
    <row r="5479">
      <c r="A5479" s="430">
        <v>7.615386000195E12</v>
      </c>
      <c r="B5479" s="218" t="s">
        <v>6227</v>
      </c>
    </row>
    <row r="5480">
      <c r="A5480" s="430">
        <v>9.588673500017E13</v>
      </c>
      <c r="B5480" s="218" t="s">
        <v>6228</v>
      </c>
    </row>
    <row r="5481">
      <c r="A5481" s="430">
        <v>2.58246000168E11</v>
      </c>
      <c r="B5481" s="218" t="s">
        <v>6229</v>
      </c>
    </row>
    <row r="5482">
      <c r="A5482" s="430">
        <v>5.7142978000105E13</v>
      </c>
      <c r="B5482" s="218" t="s">
        <v>6230</v>
      </c>
    </row>
    <row r="5483">
      <c r="A5483" s="430">
        <v>1.7737428000114E13</v>
      </c>
      <c r="B5483" s="218" t="s">
        <v>6231</v>
      </c>
    </row>
    <row r="5484">
      <c r="A5484" s="430">
        <v>1.970250800016E13</v>
      </c>
      <c r="B5484" s="218" t="s">
        <v>6232</v>
      </c>
    </row>
    <row r="5485">
      <c r="A5485" s="430">
        <v>1.3444068000101E13</v>
      </c>
      <c r="B5485" s="218" t="s">
        <v>6233</v>
      </c>
    </row>
    <row r="5486">
      <c r="A5486" s="430">
        <v>2.55722000197E11</v>
      </c>
      <c r="B5486" s="218" t="s">
        <v>6234</v>
      </c>
    </row>
    <row r="5487">
      <c r="A5487" s="430">
        <v>8.368875000152E12</v>
      </c>
      <c r="B5487" s="218" t="s">
        <v>6235</v>
      </c>
    </row>
    <row r="5488">
      <c r="A5488" s="430">
        <v>1.089802000182E12</v>
      </c>
      <c r="B5488" s="218" t="s">
        <v>6236</v>
      </c>
    </row>
    <row r="5489">
      <c r="A5489" s="430">
        <v>3.630273000108E12</v>
      </c>
      <c r="B5489" s="218" t="s">
        <v>6237</v>
      </c>
    </row>
    <row r="5490">
      <c r="A5490" s="430">
        <v>1.492128100012E13</v>
      </c>
      <c r="B5490" s="218" t="s">
        <v>6238</v>
      </c>
    </row>
    <row r="5491">
      <c r="A5491" s="430">
        <v>1.7475850000149E13</v>
      </c>
      <c r="B5491" s="218" t="s">
        <v>6068</v>
      </c>
    </row>
    <row r="5492">
      <c r="A5492" s="430">
        <v>7.116752000161E12</v>
      </c>
      <c r="B5492" s="218" t="s">
        <v>6239</v>
      </c>
    </row>
    <row r="5493">
      <c r="A5493" s="430">
        <v>3.0592390000105E13</v>
      </c>
      <c r="B5493" s="218" t="s">
        <v>6240</v>
      </c>
    </row>
    <row r="5494">
      <c r="A5494" s="430">
        <v>1.4546646000183E13</v>
      </c>
      <c r="B5494" s="218" t="s">
        <v>6241</v>
      </c>
    </row>
    <row r="5495">
      <c r="A5495" s="430">
        <v>9.05335000019E12</v>
      </c>
      <c r="B5495" s="218" t="s">
        <v>6242</v>
      </c>
    </row>
    <row r="5496">
      <c r="A5496" s="430">
        <v>2.1366025000183E13</v>
      </c>
      <c r="B5496" s="218" t="s">
        <v>6243</v>
      </c>
    </row>
    <row r="5497">
      <c r="A5497" s="430">
        <v>8.26515000145E11</v>
      </c>
      <c r="B5497" s="218" t="s">
        <v>6244</v>
      </c>
    </row>
    <row r="5498">
      <c r="A5498" s="430">
        <v>8.027382000159E12</v>
      </c>
      <c r="B5498" s="218" t="s">
        <v>6245</v>
      </c>
    </row>
    <row r="5499">
      <c r="A5499" s="430">
        <v>1.1295634000135E13</v>
      </c>
      <c r="B5499" s="218" t="s">
        <v>6246</v>
      </c>
    </row>
    <row r="5500">
      <c r="A5500" s="430">
        <v>9.813581000155E12</v>
      </c>
      <c r="B5500" s="218" t="s">
        <v>6247</v>
      </c>
    </row>
    <row r="5501">
      <c r="A5501" s="430">
        <v>1.8968645000188E13</v>
      </c>
      <c r="B5501" s="218" t="s">
        <v>6248</v>
      </c>
    </row>
    <row r="5502">
      <c r="A5502" s="430">
        <v>1.8275312000173E13</v>
      </c>
      <c r="B5502" s="218" t="s">
        <v>6249</v>
      </c>
    </row>
    <row r="5503">
      <c r="A5503" s="430">
        <v>4.1217555000177E13</v>
      </c>
      <c r="B5503" s="218" t="s">
        <v>6250</v>
      </c>
    </row>
    <row r="5504">
      <c r="A5504" s="430">
        <v>9.202645000181E12</v>
      </c>
      <c r="B5504" s="218" t="s">
        <v>6251</v>
      </c>
    </row>
    <row r="5505">
      <c r="A5505" s="430">
        <v>2.55722000278E11</v>
      </c>
      <c r="B5505" s="218" t="s">
        <v>6252</v>
      </c>
    </row>
    <row r="5506">
      <c r="A5506" s="430">
        <v>8.893965000162E12</v>
      </c>
      <c r="B5506" s="218" t="s">
        <v>6253</v>
      </c>
    </row>
    <row r="5507">
      <c r="A5507" s="430">
        <v>9.531045000167E12</v>
      </c>
      <c r="B5507" s="218" t="s">
        <v>6254</v>
      </c>
    </row>
    <row r="5508">
      <c r="A5508" s="430">
        <v>1.3993669000173E13</v>
      </c>
      <c r="B5508" s="218" t="s">
        <v>6255</v>
      </c>
    </row>
    <row r="5509">
      <c r="A5509" s="430">
        <v>1.3377333000186E13</v>
      </c>
      <c r="B5509" s="218" t="s">
        <v>6256</v>
      </c>
    </row>
    <row r="5510">
      <c r="A5510" s="430">
        <v>1.690014000194E12</v>
      </c>
      <c r="B5510" s="218" t="s">
        <v>6257</v>
      </c>
    </row>
    <row r="5511">
      <c r="A5511" s="430">
        <v>8.7138145000131E13</v>
      </c>
      <c r="B5511" s="218" t="s">
        <v>6258</v>
      </c>
    </row>
    <row r="5512">
      <c r="A5512" s="430">
        <v>2.65854400017E12</v>
      </c>
      <c r="B5512" s="218" t="s">
        <v>6259</v>
      </c>
    </row>
    <row r="5513">
      <c r="A5513" s="430">
        <v>1.118838300019E13</v>
      </c>
      <c r="B5513" s="218" t="s">
        <v>6260</v>
      </c>
    </row>
    <row r="5514">
      <c r="A5514" s="430">
        <v>1.5724794000103E13</v>
      </c>
      <c r="B5514" s="218" t="s">
        <v>6261</v>
      </c>
    </row>
    <row r="5515">
      <c r="A5515" s="430">
        <v>1.577216000187E12</v>
      </c>
      <c r="B5515" s="218" t="s">
        <v>6262</v>
      </c>
    </row>
    <row r="5516">
      <c r="A5516" s="430">
        <v>1.924903000121E12</v>
      </c>
      <c r="B5516" s="218" t="s">
        <v>6263</v>
      </c>
    </row>
    <row r="5517">
      <c r="A5517" s="430">
        <v>1.332036600019E13</v>
      </c>
      <c r="B5517" s="218" t="s">
        <v>6264</v>
      </c>
    </row>
    <row r="5518">
      <c r="A5518" s="430">
        <v>9.597113300013E13</v>
      </c>
      <c r="B5518" s="218" t="s">
        <v>6265</v>
      </c>
    </row>
    <row r="5519">
      <c r="A5519" s="430">
        <v>2.8881171000196E13</v>
      </c>
      <c r="B5519" s="218" t="s">
        <v>6266</v>
      </c>
    </row>
    <row r="5520">
      <c r="A5520" s="430">
        <v>6.20701150001E13</v>
      </c>
      <c r="B5520" s="218" t="s">
        <v>6267</v>
      </c>
    </row>
    <row r="5521">
      <c r="A5521" s="430">
        <v>4.471222000143E12</v>
      </c>
      <c r="B5521" s="218" t="s">
        <v>6268</v>
      </c>
    </row>
    <row r="5522">
      <c r="A5522" s="430">
        <v>3.009243196E9</v>
      </c>
      <c r="B5522" s="218" t="s">
        <v>6186</v>
      </c>
    </row>
    <row r="5523">
      <c r="A5523" s="430">
        <v>3.0753960000193E13</v>
      </c>
      <c r="B5523" s="218" t="s">
        <v>6269</v>
      </c>
    </row>
    <row r="5524">
      <c r="A5524" s="430">
        <v>4.054511000147E12</v>
      </c>
      <c r="B5524" s="218" t="s">
        <v>6270</v>
      </c>
    </row>
    <row r="5525">
      <c r="A5525" s="430">
        <v>5.406938000014E13</v>
      </c>
      <c r="B5525" s="218" t="s">
        <v>6271</v>
      </c>
    </row>
    <row r="5526">
      <c r="A5526" s="430">
        <v>3.47618400023E12</v>
      </c>
      <c r="B5526" s="218" t="s">
        <v>6272</v>
      </c>
    </row>
    <row r="5527">
      <c r="A5527" s="430">
        <v>7.458077000159E12</v>
      </c>
      <c r="B5527" s="218" t="s">
        <v>6273</v>
      </c>
    </row>
    <row r="5528">
      <c r="A5528" s="430">
        <v>8.28261500024E12</v>
      </c>
      <c r="B5528" s="218" t="s">
        <v>6274</v>
      </c>
    </row>
    <row r="5529">
      <c r="A5529" s="430">
        <v>8.54137000103E11</v>
      </c>
      <c r="B5529" s="218" t="s">
        <v>6275</v>
      </c>
    </row>
    <row r="5530">
      <c r="A5530" s="430">
        <v>1.4777617000122E13</v>
      </c>
      <c r="B5530" s="218" t="s">
        <v>6276</v>
      </c>
    </row>
    <row r="5531">
      <c r="A5531" s="430">
        <v>1.7178243000117E13</v>
      </c>
      <c r="B5531" s="218" t="s">
        <v>6277</v>
      </c>
    </row>
    <row r="5532">
      <c r="A5532" s="430">
        <v>1.7481957000108E13</v>
      </c>
      <c r="B5532" s="218" t="s">
        <v>6278</v>
      </c>
    </row>
    <row r="5533">
      <c r="A5533" s="430">
        <v>2.494878000156E12</v>
      </c>
      <c r="B5533" s="218" t="s">
        <v>6279</v>
      </c>
    </row>
    <row r="5534">
      <c r="A5534" s="430">
        <v>1.0378359000194E13</v>
      </c>
      <c r="B5534" s="218" t="s">
        <v>6280</v>
      </c>
    </row>
    <row r="5535">
      <c r="A5535" s="430">
        <v>1.4472012000123E13</v>
      </c>
      <c r="B5535" s="218" t="s">
        <v>6281</v>
      </c>
    </row>
    <row r="5536">
      <c r="A5536" s="430">
        <v>2.2487646000188E13</v>
      </c>
      <c r="B5536" s="218" t="s">
        <v>6282</v>
      </c>
    </row>
    <row r="5537">
      <c r="A5537" s="430">
        <v>1.7077647000114E13</v>
      </c>
      <c r="B5537" s="218" t="s">
        <v>6283</v>
      </c>
    </row>
    <row r="5538">
      <c r="A5538" s="430">
        <v>3.328413000198E12</v>
      </c>
      <c r="B5538" s="218" t="s">
        <v>6284</v>
      </c>
    </row>
    <row r="5539">
      <c r="A5539" s="430">
        <v>6.1825675000245E13</v>
      </c>
      <c r="B5539" s="218" t="s">
        <v>6285</v>
      </c>
    </row>
    <row r="5540">
      <c r="A5540" s="430">
        <v>1.3183890000166E13</v>
      </c>
      <c r="B5540" s="218" t="s">
        <v>6286</v>
      </c>
    </row>
    <row r="5541">
      <c r="A5541" s="430">
        <v>5.9918094000125E13</v>
      </c>
      <c r="B5541" s="218" t="s">
        <v>6287</v>
      </c>
    </row>
    <row r="5542">
      <c r="A5542" s="430">
        <v>2.2431260000154E13</v>
      </c>
      <c r="B5542" s="218" t="s">
        <v>6288</v>
      </c>
    </row>
    <row r="5543">
      <c r="A5543" s="430">
        <v>8.310238400018E13</v>
      </c>
      <c r="B5543" s="218" t="s">
        <v>6289</v>
      </c>
    </row>
    <row r="5544">
      <c r="A5544" s="430">
        <v>1.7003881000105E13</v>
      </c>
      <c r="B5544" s="218" t="s">
        <v>6290</v>
      </c>
    </row>
    <row r="5545">
      <c r="A5545" s="430">
        <v>1.7270702000198E13</v>
      </c>
      <c r="B5545" s="218" t="s">
        <v>6291</v>
      </c>
    </row>
    <row r="5546">
      <c r="A5546" s="430">
        <v>2.2065938000122E13</v>
      </c>
      <c r="B5546" s="218" t="s">
        <v>6292</v>
      </c>
    </row>
    <row r="5547">
      <c r="A5547" s="430">
        <v>1.5275465000122E13</v>
      </c>
      <c r="B5547" s="218" t="s">
        <v>6293</v>
      </c>
    </row>
    <row r="5548">
      <c r="A5548" s="430">
        <v>2.0871746000188E13</v>
      </c>
      <c r="B5548" s="218" t="s">
        <v>6294</v>
      </c>
    </row>
    <row r="5549">
      <c r="A5549" s="430">
        <v>7.5092593000162E13</v>
      </c>
      <c r="B5549" s="218" t="s">
        <v>6295</v>
      </c>
    </row>
    <row r="5550">
      <c r="A5550" s="430">
        <v>4.629488000171E12</v>
      </c>
      <c r="B5550" s="218" t="s">
        <v>6296</v>
      </c>
    </row>
    <row r="5551">
      <c r="A5551" s="430">
        <v>8.31083300016E12</v>
      </c>
      <c r="B5551" s="218" t="s">
        <v>6297</v>
      </c>
    </row>
    <row r="5552">
      <c r="A5552" s="430">
        <v>8.3102277000152E13</v>
      </c>
      <c r="B5552" s="218" t="s">
        <v>6298</v>
      </c>
    </row>
    <row r="5553">
      <c r="A5553" s="430">
        <v>1.4166058000114E13</v>
      </c>
      <c r="B5553" s="218" t="s">
        <v>6299</v>
      </c>
    </row>
    <row r="5554">
      <c r="A5554" s="430">
        <v>3.74790000175E11</v>
      </c>
      <c r="B5554" s="218" t="s">
        <v>6300</v>
      </c>
    </row>
    <row r="5555">
      <c r="A5555" s="430">
        <v>7.4196031000104E13</v>
      </c>
      <c r="B5555" s="218" t="s">
        <v>6301</v>
      </c>
    </row>
    <row r="5556">
      <c r="A5556" s="430">
        <v>6.1750246000175E13</v>
      </c>
      <c r="B5556" s="218" t="s">
        <v>6302</v>
      </c>
    </row>
    <row r="5557">
      <c r="A5557" s="430">
        <v>7.9587119000162E13</v>
      </c>
      <c r="B5557" s="218" t="s">
        <v>6303</v>
      </c>
    </row>
    <row r="5558">
      <c r="A5558" s="430">
        <v>1.1510834000163E13</v>
      </c>
      <c r="B5558" s="218" t="s">
        <v>6304</v>
      </c>
    </row>
    <row r="5559">
      <c r="A5559" s="430">
        <v>2.3944599000117E13</v>
      </c>
      <c r="B5559" s="218" t="s">
        <v>6305</v>
      </c>
    </row>
    <row r="5560">
      <c r="A5560" s="430">
        <v>2.839106200019E13</v>
      </c>
      <c r="B5560" s="218" t="s">
        <v>6306</v>
      </c>
    </row>
    <row r="5561">
      <c r="A5561" s="430">
        <v>2.5148307000165E13</v>
      </c>
      <c r="B5561" s="218" t="s">
        <v>6307</v>
      </c>
    </row>
    <row r="5562">
      <c r="A5562" s="430">
        <v>6.3291880001E12</v>
      </c>
      <c r="B5562" s="218" t="s">
        <v>6308</v>
      </c>
    </row>
    <row r="5563">
      <c r="A5563" s="430">
        <v>2.59316500014E12</v>
      </c>
      <c r="B5563" s="218" t="s">
        <v>6309</v>
      </c>
    </row>
    <row r="5564">
      <c r="A5564" s="430">
        <v>2.4286804000167E13</v>
      </c>
      <c r="B5564" s="218" t="s">
        <v>6310</v>
      </c>
    </row>
    <row r="5565">
      <c r="A5565" s="430">
        <v>9.4391588000103E13</v>
      </c>
      <c r="B5565" s="218" t="s">
        <v>6311</v>
      </c>
    </row>
    <row r="5566">
      <c r="A5566" s="430">
        <v>1.1319557000378E13</v>
      </c>
      <c r="B5566" s="218" t="s">
        <v>6312</v>
      </c>
    </row>
    <row r="5567">
      <c r="A5567" s="430">
        <v>1.8435240000184E13</v>
      </c>
      <c r="B5567" s="218" t="s">
        <v>6313</v>
      </c>
    </row>
    <row r="5568">
      <c r="A5568" s="430">
        <v>2.6484825000112E13</v>
      </c>
      <c r="B5568" s="218" t="s">
        <v>6314</v>
      </c>
    </row>
    <row r="5569">
      <c r="A5569" s="430">
        <v>1.980668800012E13</v>
      </c>
      <c r="B5569" s="218" t="s">
        <v>6315</v>
      </c>
    </row>
    <row r="5570">
      <c r="A5570" s="430">
        <v>4.602194000237E12</v>
      </c>
      <c r="B5570" s="218" t="s">
        <v>6316</v>
      </c>
    </row>
    <row r="5571">
      <c r="A5571" s="430">
        <v>7.419959000296E12</v>
      </c>
      <c r="B5571" s="218" t="s">
        <v>6317</v>
      </c>
    </row>
    <row r="5572">
      <c r="A5572" s="430">
        <v>9.351823000136E12</v>
      </c>
      <c r="B5572" s="218" t="s">
        <v>6318</v>
      </c>
    </row>
    <row r="5573">
      <c r="A5573" s="430">
        <v>2.1304312000169E13</v>
      </c>
      <c r="B5573" s="218" t="s">
        <v>6319</v>
      </c>
    </row>
    <row r="5574">
      <c r="A5574" s="430">
        <v>8.1243735001977E13</v>
      </c>
      <c r="B5574" s="218" t="s">
        <v>6320</v>
      </c>
    </row>
    <row r="5575">
      <c r="A5575" s="430">
        <v>1.0489440000108E13</v>
      </c>
      <c r="B5575" s="218" t="s">
        <v>6321</v>
      </c>
    </row>
    <row r="5576">
      <c r="A5576" s="430">
        <v>6.241557000109E12</v>
      </c>
      <c r="B5576" s="218" t="s">
        <v>6322</v>
      </c>
    </row>
    <row r="5577">
      <c r="A5577" s="430">
        <v>2.391272900013E13</v>
      </c>
      <c r="B5577" s="218" t="s">
        <v>6323</v>
      </c>
    </row>
    <row r="5578">
      <c r="A5578" s="430">
        <v>1.170097300015E13</v>
      </c>
      <c r="B5578" s="218" t="s">
        <v>6324</v>
      </c>
    </row>
    <row r="5579">
      <c r="A5579" s="430">
        <v>1.8076898000147E13</v>
      </c>
      <c r="B5579" s="218" t="s">
        <v>6325</v>
      </c>
    </row>
    <row r="5580">
      <c r="A5580" s="430">
        <v>9.266854000199E12</v>
      </c>
      <c r="B5580" s="218" t="s">
        <v>6326</v>
      </c>
    </row>
    <row r="5581">
      <c r="A5581" s="430">
        <v>9.2040112000275E13</v>
      </c>
      <c r="B5581" s="218" t="s">
        <v>6327</v>
      </c>
    </row>
    <row r="5582">
      <c r="A5582" s="430">
        <v>8.1357071000148E13</v>
      </c>
      <c r="B5582" s="218" t="s">
        <v>6328</v>
      </c>
    </row>
    <row r="5583">
      <c r="A5583" s="430">
        <v>9.624050000147E12</v>
      </c>
      <c r="B5583" s="218" t="s">
        <v>6113</v>
      </c>
    </row>
    <row r="5584">
      <c r="A5584" s="430">
        <v>2.1686294000127E13</v>
      </c>
      <c r="B5584" s="218" t="s">
        <v>6329</v>
      </c>
    </row>
    <row r="5585">
      <c r="A5585" s="430">
        <v>1.191872300019E13</v>
      </c>
      <c r="B5585" s="218" t="s">
        <v>6330</v>
      </c>
    </row>
    <row r="5586">
      <c r="A5586" s="430">
        <v>1.6585900015E11</v>
      </c>
      <c r="B5586" s="218" t="s">
        <v>6331</v>
      </c>
    </row>
    <row r="5587">
      <c r="A5587" s="430">
        <v>7.094346000145E12</v>
      </c>
      <c r="B5587" s="218" t="s">
        <v>6332</v>
      </c>
    </row>
    <row r="5588">
      <c r="A5588" s="431"/>
    </row>
    <row r="5589">
      <c r="A5589" s="431"/>
    </row>
    <row r="5590">
      <c r="A5590" s="431"/>
    </row>
    <row r="5591">
      <c r="A5591" s="431"/>
    </row>
    <row r="5592">
      <c r="A5592" s="431"/>
    </row>
    <row r="5593">
      <c r="A5593" s="431"/>
    </row>
    <row r="5594">
      <c r="A5594" s="431"/>
    </row>
    <row r="5595">
      <c r="A5595" s="431"/>
    </row>
    <row r="5596">
      <c r="A5596" s="431"/>
    </row>
    <row r="5597">
      <c r="A5597" s="431"/>
    </row>
    <row r="5598">
      <c r="A5598" s="431"/>
    </row>
    <row r="5599">
      <c r="A5599" s="431"/>
    </row>
    <row r="5600">
      <c r="A5600" s="431"/>
    </row>
    <row r="5601">
      <c r="A5601" s="431"/>
    </row>
    <row r="5602">
      <c r="A5602" s="431"/>
    </row>
    <row r="5603">
      <c r="A5603" s="431"/>
    </row>
    <row r="5604">
      <c r="A5604" s="431"/>
    </row>
    <row r="5605">
      <c r="A5605" s="431"/>
    </row>
    <row r="5606">
      <c r="A5606" s="431"/>
    </row>
    <row r="5607">
      <c r="A5607" s="431"/>
    </row>
    <row r="5608">
      <c r="A5608" s="431"/>
    </row>
    <row r="5609">
      <c r="A5609" s="431"/>
    </row>
    <row r="5610">
      <c r="A5610" s="431"/>
    </row>
    <row r="5611">
      <c r="A5611" s="431"/>
    </row>
    <row r="5612">
      <c r="A5612" s="431"/>
    </row>
    <row r="5613">
      <c r="A5613" s="431"/>
    </row>
    <row r="5614">
      <c r="A5614" s="431"/>
    </row>
    <row r="5615">
      <c r="A5615" s="431"/>
    </row>
    <row r="5616">
      <c r="A5616" s="431"/>
    </row>
    <row r="5617">
      <c r="A5617" s="431"/>
    </row>
    <row r="5618">
      <c r="A5618" s="431"/>
    </row>
    <row r="5619">
      <c r="A5619" s="431"/>
    </row>
    <row r="5620">
      <c r="A5620" s="431"/>
    </row>
    <row r="5621">
      <c r="A5621" s="431"/>
    </row>
    <row r="5622">
      <c r="A5622" s="431"/>
    </row>
    <row r="5623">
      <c r="A5623" s="431"/>
    </row>
    <row r="5624">
      <c r="A5624" s="431"/>
    </row>
    <row r="5625">
      <c r="A5625" s="431"/>
    </row>
    <row r="5626">
      <c r="A5626" s="431"/>
    </row>
    <row r="5627">
      <c r="A5627" s="431"/>
    </row>
    <row r="5628">
      <c r="A5628" s="431"/>
    </row>
    <row r="5629">
      <c r="A5629" s="431"/>
    </row>
    <row r="5630">
      <c r="A5630" s="431"/>
    </row>
    <row r="5631">
      <c r="A5631" s="431"/>
    </row>
    <row r="5632">
      <c r="A5632" s="431"/>
    </row>
    <row r="5633">
      <c r="A5633" s="431"/>
    </row>
    <row r="5634">
      <c r="A5634" s="431"/>
    </row>
    <row r="5635">
      <c r="A5635" s="431"/>
    </row>
    <row r="5636">
      <c r="A5636" s="431"/>
    </row>
    <row r="5637">
      <c r="A5637" s="431"/>
    </row>
    <row r="5638">
      <c r="A5638" s="431"/>
    </row>
    <row r="5639">
      <c r="A5639" s="431"/>
    </row>
    <row r="5640">
      <c r="A5640" s="431"/>
    </row>
    <row r="5641">
      <c r="A5641" s="431"/>
    </row>
    <row r="5642">
      <c r="A5642" s="431"/>
    </row>
    <row r="5643">
      <c r="A5643" s="431"/>
    </row>
    <row r="5644">
      <c r="A5644" s="431"/>
    </row>
    <row r="5645">
      <c r="A5645" s="431"/>
    </row>
    <row r="5646">
      <c r="A5646" s="431"/>
    </row>
    <row r="5647">
      <c r="A5647" s="431"/>
    </row>
    <row r="5648">
      <c r="A5648" s="431"/>
    </row>
    <row r="5649">
      <c r="A5649" s="431"/>
    </row>
    <row r="5650">
      <c r="A5650" s="431"/>
    </row>
    <row r="5651">
      <c r="A5651" s="431"/>
    </row>
    <row r="5652">
      <c r="A5652" s="431"/>
    </row>
    <row r="5653">
      <c r="A5653" s="431"/>
    </row>
    <row r="5654">
      <c r="A5654" s="431"/>
    </row>
    <row r="5655">
      <c r="A5655" s="431"/>
    </row>
    <row r="5656">
      <c r="A5656" s="431"/>
    </row>
    <row r="5657">
      <c r="A5657" s="431"/>
    </row>
    <row r="5658">
      <c r="A5658" s="431"/>
    </row>
    <row r="5659">
      <c r="A5659" s="431"/>
    </row>
    <row r="5660">
      <c r="A5660" s="431"/>
    </row>
    <row r="5661">
      <c r="A5661" s="431"/>
    </row>
    <row r="5662">
      <c r="A5662" s="431"/>
    </row>
    <row r="5663">
      <c r="A5663" s="431"/>
    </row>
    <row r="5664">
      <c r="A5664" s="431"/>
    </row>
    <row r="5665">
      <c r="A5665" s="431"/>
    </row>
    <row r="5666">
      <c r="A5666" s="431"/>
    </row>
    <row r="5667">
      <c r="A5667" s="431"/>
    </row>
    <row r="5668">
      <c r="A5668" s="431"/>
    </row>
    <row r="5669">
      <c r="A5669" s="431"/>
    </row>
    <row r="5670">
      <c r="A5670" s="431"/>
    </row>
    <row r="5671">
      <c r="A5671" s="431"/>
    </row>
    <row r="5672">
      <c r="A5672" s="431"/>
    </row>
    <row r="5673">
      <c r="A5673" s="431"/>
    </row>
    <row r="5674">
      <c r="A5674" s="431"/>
    </row>
    <row r="5675">
      <c r="A5675" s="431"/>
    </row>
    <row r="5676">
      <c r="A5676" s="431"/>
    </row>
    <row r="5677">
      <c r="A5677" s="431"/>
    </row>
    <row r="5678">
      <c r="A5678" s="431"/>
    </row>
    <row r="5679">
      <c r="A5679" s="431"/>
    </row>
    <row r="5680">
      <c r="A5680" s="431"/>
    </row>
    <row r="5681">
      <c r="A5681" s="431"/>
    </row>
    <row r="5682">
      <c r="A5682" s="431"/>
    </row>
    <row r="5683">
      <c r="A5683" s="431"/>
    </row>
    <row r="5684">
      <c r="A5684" s="431"/>
    </row>
    <row r="5685">
      <c r="A5685" s="431"/>
    </row>
    <row r="5686">
      <c r="A5686" s="431"/>
    </row>
    <row r="5687">
      <c r="A5687" s="431"/>
    </row>
    <row r="5688">
      <c r="A5688" s="431"/>
    </row>
    <row r="5689">
      <c r="A5689" s="431"/>
    </row>
    <row r="5690">
      <c r="A5690" s="431"/>
    </row>
    <row r="5691">
      <c r="A5691" s="431"/>
    </row>
    <row r="5692">
      <c r="A5692" s="431"/>
    </row>
    <row r="5693">
      <c r="A5693" s="431"/>
    </row>
    <row r="5694">
      <c r="A5694" s="431"/>
    </row>
    <row r="5695">
      <c r="A5695" s="431"/>
    </row>
    <row r="5696">
      <c r="A5696" s="431"/>
    </row>
    <row r="5697">
      <c r="A5697" s="431"/>
    </row>
    <row r="5698">
      <c r="A5698" s="431"/>
    </row>
    <row r="5699">
      <c r="A5699" s="431"/>
    </row>
    <row r="5700">
      <c r="A5700" s="431"/>
    </row>
    <row r="5701">
      <c r="A5701" s="431"/>
    </row>
    <row r="5702">
      <c r="A5702" s="431"/>
    </row>
    <row r="5703">
      <c r="A5703" s="431"/>
    </row>
    <row r="5704">
      <c r="A5704" s="431"/>
    </row>
    <row r="5705">
      <c r="A5705" s="431"/>
    </row>
    <row r="5706">
      <c r="A5706" s="431"/>
    </row>
    <row r="5707">
      <c r="A5707" s="431"/>
    </row>
    <row r="5708">
      <c r="A5708" s="431"/>
    </row>
    <row r="5709">
      <c r="A5709" s="431"/>
    </row>
    <row r="5710">
      <c r="A5710" s="431"/>
    </row>
    <row r="5711">
      <c r="A5711" s="431"/>
    </row>
    <row r="5712">
      <c r="A5712" s="431"/>
    </row>
    <row r="5713">
      <c r="A5713" s="431"/>
    </row>
    <row r="5714">
      <c r="A5714" s="431"/>
    </row>
    <row r="5715">
      <c r="A5715" s="431"/>
    </row>
    <row r="5716">
      <c r="A5716" s="431"/>
    </row>
    <row r="5717">
      <c r="A5717" s="431"/>
    </row>
    <row r="5718">
      <c r="A5718" s="431"/>
    </row>
    <row r="5719">
      <c r="A5719" s="431"/>
    </row>
    <row r="5720">
      <c r="A5720" s="431"/>
    </row>
    <row r="5721">
      <c r="A5721" s="431"/>
    </row>
    <row r="5722">
      <c r="A5722" s="431"/>
    </row>
    <row r="5723">
      <c r="A5723" s="431"/>
    </row>
    <row r="5724">
      <c r="A5724" s="431"/>
    </row>
    <row r="5725">
      <c r="A5725" s="431"/>
    </row>
    <row r="5726">
      <c r="A5726" s="431"/>
    </row>
    <row r="5727">
      <c r="A5727" s="431"/>
    </row>
    <row r="5728">
      <c r="A5728" s="431"/>
    </row>
    <row r="5729">
      <c r="A5729" s="431"/>
    </row>
    <row r="5730">
      <c r="A5730" s="431"/>
    </row>
    <row r="5731">
      <c r="A5731" s="431"/>
    </row>
    <row r="5732">
      <c r="A5732" s="431"/>
    </row>
    <row r="5733">
      <c r="A5733" s="431"/>
    </row>
    <row r="5734">
      <c r="A5734" s="431"/>
    </row>
    <row r="5735">
      <c r="A5735" s="431"/>
    </row>
    <row r="5736">
      <c r="A5736" s="431"/>
    </row>
    <row r="5737">
      <c r="A5737" s="431"/>
    </row>
    <row r="5738">
      <c r="A5738" s="431"/>
    </row>
    <row r="5739">
      <c r="A5739" s="431"/>
    </row>
    <row r="5740">
      <c r="A5740" s="431"/>
    </row>
    <row r="5741">
      <c r="A5741" s="431"/>
    </row>
    <row r="5742">
      <c r="A5742" s="431"/>
    </row>
    <row r="5743">
      <c r="A5743" s="431"/>
    </row>
    <row r="5744">
      <c r="A5744" s="431"/>
    </row>
    <row r="5745">
      <c r="A5745" s="431"/>
    </row>
    <row r="5746">
      <c r="A5746" s="431"/>
    </row>
    <row r="5747">
      <c r="A5747" s="431"/>
    </row>
    <row r="5748">
      <c r="A5748" s="431"/>
    </row>
    <row r="5749">
      <c r="A5749" s="431"/>
    </row>
    <row r="5750">
      <c r="A5750" s="431"/>
    </row>
    <row r="5751">
      <c r="A5751" s="431"/>
    </row>
    <row r="5752">
      <c r="A5752" s="431"/>
    </row>
    <row r="5753">
      <c r="A5753" s="431"/>
    </row>
    <row r="5754">
      <c r="A5754" s="431"/>
    </row>
    <row r="5755">
      <c r="A5755" s="431"/>
    </row>
    <row r="5756">
      <c r="A5756" s="431"/>
    </row>
    <row r="5757">
      <c r="A5757" s="431"/>
    </row>
    <row r="5758">
      <c r="A5758" s="431"/>
    </row>
    <row r="5759">
      <c r="A5759" s="431"/>
    </row>
    <row r="5760">
      <c r="A5760" s="431"/>
    </row>
    <row r="5761">
      <c r="A5761" s="431"/>
    </row>
    <row r="5762">
      <c r="A5762" s="431"/>
    </row>
    <row r="5763">
      <c r="A5763" s="431"/>
    </row>
    <row r="5764">
      <c r="A5764" s="431"/>
    </row>
    <row r="5765">
      <c r="A5765" s="431"/>
    </row>
    <row r="5766">
      <c r="A5766" s="431"/>
    </row>
    <row r="5767">
      <c r="A5767" s="431"/>
    </row>
    <row r="5768">
      <c r="A5768" s="431"/>
    </row>
    <row r="5769">
      <c r="A5769" s="431"/>
    </row>
    <row r="5770">
      <c r="A5770" s="431"/>
    </row>
    <row r="5771">
      <c r="A5771" s="431"/>
    </row>
    <row r="5772">
      <c r="A5772" s="431"/>
    </row>
    <row r="5773">
      <c r="A5773" s="431"/>
    </row>
    <row r="5774">
      <c r="A5774" s="431"/>
    </row>
    <row r="5775">
      <c r="A5775" s="431"/>
    </row>
    <row r="5776">
      <c r="A5776" s="431"/>
    </row>
    <row r="5777">
      <c r="A5777" s="431"/>
    </row>
    <row r="5778">
      <c r="A5778" s="431"/>
    </row>
    <row r="5779">
      <c r="A5779" s="431"/>
    </row>
    <row r="5780">
      <c r="A5780" s="431"/>
    </row>
    <row r="5781">
      <c r="A5781" s="431"/>
    </row>
    <row r="5782">
      <c r="A5782" s="431"/>
    </row>
    <row r="5783">
      <c r="A5783" s="431"/>
    </row>
    <row r="5784">
      <c r="A5784" s="431"/>
    </row>
    <row r="5785">
      <c r="A5785" s="431"/>
    </row>
    <row r="5786">
      <c r="A5786" s="431"/>
    </row>
    <row r="5787">
      <c r="A5787" s="431"/>
    </row>
    <row r="5788">
      <c r="A5788" s="431"/>
    </row>
    <row r="5789">
      <c r="A5789" s="431"/>
    </row>
    <row r="5790">
      <c r="A5790" s="431"/>
    </row>
    <row r="5791">
      <c r="A5791" s="431"/>
    </row>
    <row r="5792">
      <c r="A5792" s="431"/>
    </row>
    <row r="5793">
      <c r="A5793" s="431"/>
    </row>
    <row r="5794">
      <c r="A5794" s="431"/>
    </row>
    <row r="5795">
      <c r="A5795" s="431"/>
    </row>
    <row r="5796">
      <c r="A5796" s="431"/>
    </row>
    <row r="5797">
      <c r="A5797" s="431"/>
    </row>
    <row r="5798">
      <c r="A5798" s="431"/>
    </row>
    <row r="5799">
      <c r="A5799" s="431"/>
    </row>
    <row r="5800">
      <c r="A5800" s="431"/>
    </row>
    <row r="5801">
      <c r="A5801" s="431"/>
    </row>
    <row r="5802">
      <c r="A5802" s="431"/>
    </row>
    <row r="5803">
      <c r="A5803" s="431"/>
    </row>
    <row r="5804">
      <c r="A5804" s="431"/>
    </row>
    <row r="5805">
      <c r="A5805" s="431"/>
    </row>
    <row r="5806">
      <c r="A5806" s="431"/>
    </row>
    <row r="5807">
      <c r="A5807" s="431"/>
    </row>
    <row r="5808">
      <c r="A5808" s="431"/>
    </row>
    <row r="5809">
      <c r="A5809" s="431"/>
    </row>
    <row r="5810">
      <c r="A5810" s="431"/>
    </row>
    <row r="5811">
      <c r="A5811" s="431"/>
    </row>
    <row r="5812">
      <c r="A5812" s="431"/>
    </row>
    <row r="5813">
      <c r="A5813" s="431"/>
    </row>
    <row r="5814">
      <c r="A5814" s="431"/>
    </row>
    <row r="5815">
      <c r="A5815" s="431"/>
    </row>
    <row r="5816">
      <c r="A5816" s="431"/>
    </row>
    <row r="5817">
      <c r="A5817" s="431"/>
    </row>
    <row r="5818">
      <c r="A5818" s="431"/>
    </row>
    <row r="5819">
      <c r="A5819" s="431"/>
    </row>
    <row r="5820">
      <c r="A5820" s="431"/>
    </row>
    <row r="5821">
      <c r="A5821" s="431"/>
    </row>
    <row r="5822">
      <c r="A5822" s="431"/>
    </row>
    <row r="5823">
      <c r="A5823" s="431"/>
    </row>
    <row r="5824">
      <c r="A5824" s="431"/>
    </row>
    <row r="5825">
      <c r="A5825" s="431"/>
    </row>
    <row r="5826">
      <c r="A5826" s="431"/>
    </row>
    <row r="5827">
      <c r="A5827" s="431"/>
    </row>
    <row r="5828">
      <c r="A5828" s="431"/>
    </row>
    <row r="5829">
      <c r="A5829" s="431"/>
    </row>
    <row r="5830">
      <c r="A5830" s="431"/>
    </row>
    <row r="5831">
      <c r="A5831" s="431"/>
    </row>
    <row r="5832">
      <c r="A5832" s="431"/>
    </row>
    <row r="5833">
      <c r="A5833" s="431"/>
    </row>
    <row r="5834">
      <c r="A5834" s="431"/>
    </row>
    <row r="5835">
      <c r="A5835" s="431"/>
    </row>
    <row r="5836">
      <c r="A5836" s="431"/>
    </row>
    <row r="5837">
      <c r="A5837" s="431"/>
    </row>
    <row r="5838">
      <c r="A5838" s="431"/>
    </row>
    <row r="5839">
      <c r="A5839" s="431"/>
    </row>
    <row r="5840">
      <c r="A5840" s="431"/>
    </row>
    <row r="5841">
      <c r="A5841" s="431"/>
    </row>
    <row r="5842">
      <c r="A5842" s="431"/>
    </row>
    <row r="5843">
      <c r="A5843" s="431"/>
    </row>
    <row r="5844">
      <c r="A5844" s="431"/>
    </row>
    <row r="5845">
      <c r="A5845" s="431"/>
    </row>
    <row r="5846">
      <c r="A5846" s="431"/>
    </row>
    <row r="5847">
      <c r="A5847" s="431"/>
    </row>
    <row r="5848">
      <c r="A5848" s="431"/>
    </row>
    <row r="5849">
      <c r="A5849" s="431"/>
    </row>
    <row r="5850">
      <c r="A5850" s="431"/>
    </row>
    <row r="5851">
      <c r="A5851" s="431"/>
    </row>
    <row r="5852">
      <c r="A5852" s="431"/>
    </row>
    <row r="5853">
      <c r="A5853" s="431"/>
    </row>
    <row r="5854">
      <c r="A5854" s="431"/>
    </row>
    <row r="5855">
      <c r="A5855" s="431"/>
    </row>
    <row r="5856">
      <c r="A5856" s="431"/>
    </row>
    <row r="5857">
      <c r="A5857" s="431"/>
    </row>
    <row r="5858">
      <c r="A5858" s="431"/>
    </row>
    <row r="5859">
      <c r="A5859" s="431"/>
    </row>
    <row r="5860">
      <c r="A5860" s="431"/>
    </row>
    <row r="5861">
      <c r="A5861" s="431"/>
    </row>
    <row r="5862">
      <c r="A5862" s="431"/>
    </row>
    <row r="5863">
      <c r="A5863" s="431"/>
    </row>
    <row r="5864">
      <c r="A5864" s="431"/>
    </row>
    <row r="5865">
      <c r="A5865" s="431"/>
    </row>
    <row r="5866">
      <c r="A5866" s="431"/>
    </row>
    <row r="5867">
      <c r="A5867" s="431"/>
    </row>
    <row r="5868">
      <c r="A5868" s="431"/>
    </row>
    <row r="5869">
      <c r="A5869" s="431"/>
    </row>
    <row r="5870">
      <c r="A5870" s="431"/>
    </row>
    <row r="5871">
      <c r="A5871" s="431"/>
    </row>
    <row r="5872">
      <c r="A5872" s="431"/>
    </row>
    <row r="5873">
      <c r="A5873" s="431"/>
    </row>
    <row r="5874">
      <c r="A5874" s="431"/>
    </row>
    <row r="5875">
      <c r="A5875" s="431"/>
    </row>
    <row r="5876">
      <c r="A5876" s="431"/>
    </row>
    <row r="5877">
      <c r="A5877" s="431"/>
    </row>
    <row r="5878">
      <c r="A5878" s="431"/>
    </row>
    <row r="5879">
      <c r="A5879" s="431"/>
    </row>
    <row r="5880">
      <c r="A5880" s="431"/>
    </row>
    <row r="5881">
      <c r="A5881" s="431"/>
    </row>
    <row r="5882">
      <c r="A5882" s="431"/>
    </row>
    <row r="5883">
      <c r="A5883" s="431"/>
    </row>
    <row r="5884">
      <c r="A5884" s="431"/>
    </row>
    <row r="5885">
      <c r="A5885" s="431"/>
    </row>
    <row r="5886">
      <c r="A5886" s="431"/>
    </row>
    <row r="5887">
      <c r="A5887" s="431"/>
    </row>
    <row r="5888">
      <c r="A5888" s="431"/>
    </row>
    <row r="5889">
      <c r="A5889" s="431"/>
    </row>
    <row r="5890">
      <c r="A5890" s="431"/>
    </row>
    <row r="5891">
      <c r="A5891" s="431"/>
    </row>
    <row r="5892">
      <c r="A5892" s="431"/>
    </row>
    <row r="5893">
      <c r="A5893" s="431"/>
    </row>
    <row r="5894">
      <c r="A5894" s="431"/>
    </row>
    <row r="5895">
      <c r="A5895" s="431"/>
    </row>
    <row r="5896">
      <c r="A5896" s="431"/>
    </row>
    <row r="5897">
      <c r="A5897" s="431"/>
    </row>
    <row r="5898">
      <c r="A5898" s="431"/>
    </row>
    <row r="5899">
      <c r="A5899" s="431"/>
    </row>
    <row r="5900">
      <c r="A5900" s="431"/>
    </row>
    <row r="5901">
      <c r="A5901" s="431"/>
    </row>
    <row r="5902">
      <c r="A5902" s="431"/>
    </row>
    <row r="5903">
      <c r="A5903" s="431"/>
    </row>
    <row r="5904">
      <c r="A5904" s="431"/>
    </row>
    <row r="5905">
      <c r="A5905" s="431"/>
    </row>
    <row r="5906">
      <c r="A5906" s="431"/>
    </row>
    <row r="5907">
      <c r="A5907" s="431"/>
    </row>
    <row r="5908">
      <c r="A5908" s="431"/>
    </row>
    <row r="5909">
      <c r="A5909" s="431"/>
    </row>
    <row r="5910">
      <c r="A5910" s="431"/>
    </row>
    <row r="5911">
      <c r="A5911" s="431"/>
    </row>
    <row r="5912">
      <c r="A5912" s="431"/>
    </row>
    <row r="5913">
      <c r="A5913" s="431"/>
    </row>
    <row r="5914">
      <c r="A5914" s="431"/>
    </row>
    <row r="5915">
      <c r="A5915" s="431"/>
    </row>
    <row r="5916">
      <c r="A5916" s="431"/>
    </row>
    <row r="5917">
      <c r="A5917" s="431"/>
    </row>
    <row r="5918">
      <c r="A5918" s="431"/>
    </row>
    <row r="5919">
      <c r="A5919" s="431"/>
    </row>
    <row r="5920">
      <c r="A5920" s="431"/>
    </row>
    <row r="5921">
      <c r="A5921" s="431"/>
    </row>
    <row r="5922">
      <c r="A5922" s="431"/>
    </row>
    <row r="5923">
      <c r="A5923" s="431"/>
    </row>
    <row r="5924">
      <c r="A5924" s="431"/>
    </row>
    <row r="5925">
      <c r="A5925" s="431"/>
    </row>
    <row r="5926">
      <c r="A5926" s="431"/>
    </row>
    <row r="5927">
      <c r="A5927" s="431"/>
    </row>
    <row r="5928">
      <c r="A5928" s="431"/>
    </row>
    <row r="5929">
      <c r="A5929" s="431"/>
    </row>
    <row r="5930">
      <c r="A5930" s="431"/>
    </row>
    <row r="5931">
      <c r="A5931" s="431"/>
    </row>
    <row r="5932">
      <c r="A5932" s="431"/>
    </row>
    <row r="5933">
      <c r="A5933" s="431"/>
    </row>
    <row r="5934">
      <c r="A5934" s="431"/>
    </row>
    <row r="5935">
      <c r="A5935" s="431"/>
    </row>
    <row r="5936">
      <c r="A5936" s="431"/>
    </row>
    <row r="5937">
      <c r="A5937" s="431"/>
    </row>
    <row r="5938">
      <c r="A5938" s="431"/>
    </row>
    <row r="5939">
      <c r="A5939" s="431"/>
    </row>
    <row r="5940">
      <c r="A5940" s="431"/>
    </row>
    <row r="5941">
      <c r="A5941" s="431"/>
    </row>
    <row r="5942">
      <c r="A5942" s="431"/>
    </row>
    <row r="5943">
      <c r="A5943" s="431"/>
    </row>
    <row r="5944">
      <c r="A5944" s="431"/>
    </row>
    <row r="5945">
      <c r="A5945" s="431"/>
    </row>
    <row r="5946">
      <c r="A5946" s="431"/>
    </row>
    <row r="5947">
      <c r="A5947" s="431"/>
    </row>
    <row r="5948">
      <c r="A5948" s="431"/>
    </row>
    <row r="5949">
      <c r="A5949" s="431"/>
    </row>
    <row r="5950">
      <c r="A5950" s="431"/>
    </row>
    <row r="5951">
      <c r="A5951" s="431"/>
    </row>
    <row r="5952">
      <c r="A5952" s="431"/>
    </row>
    <row r="5953">
      <c r="A5953" s="431"/>
    </row>
    <row r="5954">
      <c r="A5954" s="431"/>
    </row>
    <row r="5955">
      <c r="A5955" s="431"/>
    </row>
    <row r="5956">
      <c r="A5956" s="431"/>
    </row>
    <row r="5957">
      <c r="A5957" s="431"/>
    </row>
    <row r="5958">
      <c r="A5958" s="431"/>
    </row>
    <row r="5959">
      <c r="A5959" s="431"/>
    </row>
    <row r="5960">
      <c r="A5960" s="431"/>
    </row>
    <row r="5961">
      <c r="A5961" s="431"/>
    </row>
    <row r="5962">
      <c r="A5962" s="431"/>
    </row>
    <row r="5963">
      <c r="A5963" s="431"/>
    </row>
    <row r="5964">
      <c r="A5964" s="431"/>
    </row>
    <row r="5965">
      <c r="A5965" s="431"/>
    </row>
    <row r="5966">
      <c r="A5966" s="431"/>
    </row>
    <row r="5967">
      <c r="A5967" s="431"/>
    </row>
    <row r="5968">
      <c r="A5968" s="431"/>
    </row>
    <row r="5969">
      <c r="A5969" s="431"/>
    </row>
    <row r="5970">
      <c r="A5970" s="431"/>
    </row>
    <row r="5971">
      <c r="A5971" s="431"/>
    </row>
    <row r="5972">
      <c r="A5972" s="431"/>
    </row>
    <row r="5973">
      <c r="A5973" s="431"/>
    </row>
    <row r="5974">
      <c r="A5974" s="431"/>
    </row>
    <row r="5975">
      <c r="A5975" s="431"/>
    </row>
    <row r="5976">
      <c r="A5976" s="431"/>
    </row>
    <row r="5977">
      <c r="A5977" s="431"/>
    </row>
    <row r="5978">
      <c r="A5978" s="431"/>
    </row>
    <row r="5979">
      <c r="A5979" s="431"/>
    </row>
    <row r="5980">
      <c r="A5980" s="431"/>
    </row>
    <row r="5981">
      <c r="A5981" s="431"/>
    </row>
    <row r="5982">
      <c r="A5982" s="431"/>
    </row>
    <row r="5983">
      <c r="A5983" s="431"/>
    </row>
    <row r="5984">
      <c r="A5984" s="431"/>
    </row>
    <row r="5985">
      <c r="A5985" s="431"/>
    </row>
    <row r="5986">
      <c r="A5986" s="431"/>
    </row>
    <row r="5987">
      <c r="A5987" s="431"/>
    </row>
    <row r="5988">
      <c r="A5988" s="431"/>
    </row>
    <row r="5989">
      <c r="A5989" s="431"/>
    </row>
    <row r="5990">
      <c r="A5990" s="431"/>
    </row>
    <row r="5991">
      <c r="A5991" s="431"/>
    </row>
    <row r="5992">
      <c r="A5992" s="431"/>
    </row>
    <row r="5993">
      <c r="A5993" s="431"/>
    </row>
    <row r="5994">
      <c r="A5994" s="431"/>
    </row>
    <row r="5995">
      <c r="A5995" s="431"/>
    </row>
    <row r="5996">
      <c r="A5996" s="431"/>
    </row>
    <row r="5997">
      <c r="A5997" s="431"/>
    </row>
    <row r="5998">
      <c r="A5998" s="431"/>
    </row>
    <row r="5999">
      <c r="A5999" s="431"/>
    </row>
    <row r="6000">
      <c r="A6000" s="431"/>
    </row>
    <row r="6001">
      <c r="A6001" s="431"/>
    </row>
    <row r="6002">
      <c r="A6002" s="431"/>
    </row>
    <row r="6003">
      <c r="A6003" s="431"/>
    </row>
    <row r="6004">
      <c r="A6004" s="431"/>
    </row>
    <row r="6005">
      <c r="A6005" s="431"/>
    </row>
    <row r="6006">
      <c r="A6006" s="431"/>
    </row>
    <row r="6007">
      <c r="A6007" s="431"/>
    </row>
    <row r="6008">
      <c r="A6008" s="431"/>
    </row>
    <row r="6009">
      <c r="A6009" s="431"/>
    </row>
    <row r="6010">
      <c r="A6010" s="431"/>
    </row>
    <row r="6011">
      <c r="A6011" s="431"/>
    </row>
    <row r="6012">
      <c r="A6012" s="431"/>
    </row>
    <row r="6013">
      <c r="A6013" s="431"/>
    </row>
    <row r="6014">
      <c r="A6014" s="431"/>
    </row>
    <row r="6015">
      <c r="A6015" s="431"/>
    </row>
    <row r="6016">
      <c r="A6016" s="431"/>
    </row>
    <row r="6017">
      <c r="A6017" s="431"/>
    </row>
    <row r="6018">
      <c r="A6018" s="431"/>
    </row>
    <row r="6019">
      <c r="A6019" s="431"/>
    </row>
    <row r="6020">
      <c r="A6020" s="431"/>
    </row>
    <row r="6021">
      <c r="A6021" s="431"/>
    </row>
    <row r="6022">
      <c r="A6022" s="431"/>
    </row>
    <row r="6023">
      <c r="A6023" s="431"/>
    </row>
    <row r="6024">
      <c r="A6024" s="431"/>
    </row>
    <row r="6025">
      <c r="A6025" s="431"/>
    </row>
    <row r="6026">
      <c r="A6026" s="431"/>
    </row>
    <row r="6027">
      <c r="A6027" s="431"/>
    </row>
    <row r="6028">
      <c r="A6028" s="431"/>
    </row>
    <row r="6029">
      <c r="A6029" s="431"/>
    </row>
    <row r="6030">
      <c r="A6030" s="431"/>
    </row>
    <row r="6031">
      <c r="A6031" s="431"/>
    </row>
    <row r="6032">
      <c r="A6032" s="431"/>
    </row>
    <row r="6033">
      <c r="A6033" s="431"/>
    </row>
    <row r="6034">
      <c r="A6034" s="431"/>
    </row>
    <row r="6035">
      <c r="A6035" s="431"/>
    </row>
    <row r="6036">
      <c r="A6036" s="431"/>
    </row>
    <row r="6037">
      <c r="A6037" s="431"/>
    </row>
    <row r="6038">
      <c r="A6038" s="431"/>
    </row>
    <row r="6039">
      <c r="A6039" s="431"/>
    </row>
    <row r="6040">
      <c r="A6040" s="431"/>
    </row>
    <row r="6041">
      <c r="A6041" s="431"/>
    </row>
    <row r="6042">
      <c r="A6042" s="431"/>
    </row>
    <row r="6043">
      <c r="A6043" s="431"/>
    </row>
    <row r="6044">
      <c r="A6044" s="431"/>
    </row>
    <row r="6045">
      <c r="A6045" s="431"/>
    </row>
    <row r="6046">
      <c r="A6046" s="431"/>
    </row>
    <row r="6047">
      <c r="A6047" s="431"/>
    </row>
    <row r="6048">
      <c r="A6048" s="431"/>
    </row>
    <row r="6049">
      <c r="A6049" s="431"/>
    </row>
    <row r="6050">
      <c r="A6050" s="431"/>
    </row>
    <row r="6051">
      <c r="A6051" s="431"/>
    </row>
    <row r="6052">
      <c r="A6052" s="431"/>
    </row>
    <row r="6053">
      <c r="A6053" s="431"/>
    </row>
    <row r="6054">
      <c r="A6054" s="431"/>
    </row>
    <row r="6055">
      <c r="A6055" s="431"/>
    </row>
    <row r="6056">
      <c r="A6056" s="431"/>
    </row>
    <row r="6057">
      <c r="A6057" s="431"/>
    </row>
    <row r="6058">
      <c r="A6058" s="431"/>
    </row>
    <row r="6059">
      <c r="A6059" s="431"/>
    </row>
    <row r="6060">
      <c r="A6060" s="431"/>
    </row>
    <row r="6061">
      <c r="A6061" s="431"/>
    </row>
    <row r="6062">
      <c r="A6062" s="431"/>
    </row>
    <row r="6063">
      <c r="A6063" s="431"/>
    </row>
    <row r="6064">
      <c r="A6064" s="431"/>
    </row>
    <row r="6065">
      <c r="A6065" s="431"/>
    </row>
    <row r="6066">
      <c r="A6066" s="431"/>
    </row>
    <row r="6067">
      <c r="A6067" s="431"/>
    </row>
    <row r="6068">
      <c r="A6068" s="431"/>
    </row>
    <row r="6069">
      <c r="A6069" s="431"/>
    </row>
    <row r="6070">
      <c r="A6070" s="431"/>
    </row>
    <row r="6071">
      <c r="A6071" s="431"/>
    </row>
    <row r="6072">
      <c r="A6072" s="431"/>
    </row>
    <row r="6073">
      <c r="A6073" s="431"/>
    </row>
    <row r="6074">
      <c r="A6074" s="431"/>
    </row>
    <row r="6075">
      <c r="A6075" s="431"/>
    </row>
    <row r="6076">
      <c r="A6076" s="431"/>
    </row>
    <row r="6077">
      <c r="A6077" s="431"/>
    </row>
    <row r="6078">
      <c r="A6078" s="431"/>
    </row>
    <row r="6079">
      <c r="A6079" s="431"/>
    </row>
    <row r="6080">
      <c r="A6080" s="431"/>
    </row>
    <row r="6081">
      <c r="A6081" s="431"/>
    </row>
    <row r="6082">
      <c r="A6082" s="431"/>
    </row>
    <row r="6083">
      <c r="A6083" s="431"/>
    </row>
    <row r="6084">
      <c r="A6084" s="431"/>
    </row>
    <row r="6085">
      <c r="A6085" s="431"/>
    </row>
    <row r="6086">
      <c r="A6086" s="431"/>
    </row>
    <row r="6087">
      <c r="A6087" s="431"/>
    </row>
    <row r="6088">
      <c r="A6088" s="431"/>
    </row>
    <row r="6089">
      <c r="A6089" s="431"/>
    </row>
    <row r="6090">
      <c r="A6090" s="431"/>
    </row>
    <row r="6091">
      <c r="A6091" s="431"/>
    </row>
    <row r="6092">
      <c r="A6092" s="431"/>
    </row>
    <row r="6093">
      <c r="A6093" s="431"/>
    </row>
    <row r="6094">
      <c r="A6094" s="431"/>
    </row>
    <row r="6095">
      <c r="A6095" s="431"/>
    </row>
    <row r="6096">
      <c r="A6096" s="431"/>
    </row>
    <row r="6097">
      <c r="A6097" s="431"/>
    </row>
    <row r="6098">
      <c r="A6098" s="431"/>
    </row>
    <row r="6099">
      <c r="A6099" s="431"/>
    </row>
    <row r="6100">
      <c r="A6100" s="431"/>
    </row>
    <row r="6101">
      <c r="A6101" s="431"/>
    </row>
    <row r="6102">
      <c r="A6102" s="431"/>
    </row>
    <row r="6103">
      <c r="A6103" s="431"/>
    </row>
    <row r="6104">
      <c r="A6104" s="431"/>
    </row>
    <row r="6105">
      <c r="A6105" s="431"/>
    </row>
    <row r="6106">
      <c r="A6106" s="431"/>
    </row>
    <row r="6107">
      <c r="A6107" s="431"/>
    </row>
    <row r="6108">
      <c r="A6108" s="431"/>
    </row>
    <row r="6109">
      <c r="A6109" s="431"/>
    </row>
    <row r="6110">
      <c r="A6110" s="431"/>
    </row>
    <row r="6111">
      <c r="A6111" s="431"/>
    </row>
    <row r="6112">
      <c r="A6112" s="431"/>
    </row>
    <row r="6113">
      <c r="A6113" s="431"/>
    </row>
    <row r="6114">
      <c r="A6114" s="431"/>
    </row>
    <row r="6115">
      <c r="A6115" s="431"/>
    </row>
    <row r="6116">
      <c r="A6116" s="431"/>
    </row>
    <row r="6117">
      <c r="A6117" s="431"/>
    </row>
    <row r="6118">
      <c r="A6118" s="431"/>
    </row>
    <row r="6119">
      <c r="A6119" s="431"/>
    </row>
    <row r="6120">
      <c r="A6120" s="431"/>
    </row>
    <row r="6121">
      <c r="A6121" s="431"/>
    </row>
    <row r="6122">
      <c r="A6122" s="431"/>
    </row>
    <row r="6123">
      <c r="A6123" s="431"/>
    </row>
    <row r="6124">
      <c r="A6124" s="431"/>
    </row>
    <row r="6125">
      <c r="A6125" s="431"/>
    </row>
    <row r="6126">
      <c r="A6126" s="431"/>
    </row>
    <row r="6127">
      <c r="A6127" s="431"/>
    </row>
    <row r="6128">
      <c r="A6128" s="431"/>
    </row>
    <row r="6129">
      <c r="A6129" s="431"/>
    </row>
    <row r="6130">
      <c r="A6130" s="431"/>
    </row>
    <row r="6131">
      <c r="A6131" s="431"/>
    </row>
    <row r="6132">
      <c r="A6132" s="431"/>
    </row>
    <row r="6133">
      <c r="A6133" s="431"/>
    </row>
    <row r="6134">
      <c r="A6134" s="431"/>
    </row>
    <row r="6135">
      <c r="A6135" s="431"/>
    </row>
    <row r="6136">
      <c r="A6136" s="431"/>
    </row>
    <row r="6137">
      <c r="A6137" s="431"/>
    </row>
    <row r="6138">
      <c r="A6138" s="431"/>
    </row>
    <row r="6139">
      <c r="A6139" s="431"/>
    </row>
    <row r="6140">
      <c r="A6140" s="431"/>
    </row>
    <row r="6141">
      <c r="A6141" s="431"/>
    </row>
    <row r="6142">
      <c r="A6142" s="431"/>
    </row>
    <row r="6143">
      <c r="A6143" s="431"/>
    </row>
    <row r="6144">
      <c r="A6144" s="431"/>
    </row>
    <row r="6145">
      <c r="A6145" s="431"/>
    </row>
    <row r="6146">
      <c r="A6146" s="431"/>
    </row>
    <row r="6147">
      <c r="A6147" s="431"/>
    </row>
    <row r="6148">
      <c r="A6148" s="431"/>
    </row>
    <row r="6149">
      <c r="A6149" s="431"/>
    </row>
    <row r="6150">
      <c r="A6150" s="431"/>
    </row>
    <row r="6151">
      <c r="A6151" s="431"/>
    </row>
    <row r="6152">
      <c r="A6152" s="431"/>
    </row>
    <row r="6153">
      <c r="A6153" s="431"/>
    </row>
    <row r="6154">
      <c r="A6154" s="431"/>
    </row>
    <row r="6155">
      <c r="A6155" s="431"/>
    </row>
    <row r="6156">
      <c r="A6156" s="431"/>
    </row>
    <row r="6157">
      <c r="A6157" s="431"/>
    </row>
    <row r="6158">
      <c r="A6158" s="431"/>
    </row>
    <row r="6159">
      <c r="A6159" s="431"/>
    </row>
    <row r="6160">
      <c r="A6160" s="431"/>
    </row>
    <row r="6161">
      <c r="A6161" s="431"/>
    </row>
    <row r="6162">
      <c r="A6162" s="431"/>
    </row>
    <row r="6163">
      <c r="A6163" s="431"/>
    </row>
    <row r="6164">
      <c r="A6164" s="431"/>
    </row>
    <row r="6165">
      <c r="A6165" s="431"/>
    </row>
    <row r="6166">
      <c r="A6166" s="431"/>
    </row>
    <row r="6167">
      <c r="A6167" s="431"/>
    </row>
    <row r="6168">
      <c r="A6168" s="431"/>
    </row>
    <row r="6169">
      <c r="A6169" s="431"/>
    </row>
    <row r="6170">
      <c r="A6170" s="431"/>
    </row>
    <row r="6171">
      <c r="A6171" s="431"/>
    </row>
    <row r="6172">
      <c r="A6172" s="431"/>
    </row>
    <row r="6173">
      <c r="A6173" s="431"/>
    </row>
    <row r="6174">
      <c r="A6174" s="431"/>
    </row>
    <row r="6175">
      <c r="A6175" s="431"/>
    </row>
    <row r="6176">
      <c r="A6176" s="431"/>
    </row>
    <row r="6177">
      <c r="A6177" s="431"/>
    </row>
    <row r="6178">
      <c r="A6178" s="431"/>
    </row>
    <row r="6179">
      <c r="A6179" s="431"/>
    </row>
    <row r="6180">
      <c r="A6180" s="431"/>
    </row>
    <row r="6181">
      <c r="A6181" s="431"/>
    </row>
    <row r="6182">
      <c r="A6182" s="431"/>
    </row>
    <row r="6183">
      <c r="A6183" s="431"/>
    </row>
    <row r="6184">
      <c r="A6184" s="431"/>
    </row>
    <row r="6185">
      <c r="A6185" s="431"/>
    </row>
    <row r="6186">
      <c r="A6186" s="431"/>
    </row>
    <row r="6187">
      <c r="A6187" s="431"/>
    </row>
    <row r="6188">
      <c r="A6188" s="431"/>
    </row>
    <row r="6189">
      <c r="A6189" s="431"/>
    </row>
    <row r="6190">
      <c r="A6190" s="431"/>
    </row>
    <row r="6191">
      <c r="A6191" s="431"/>
    </row>
    <row r="6192">
      <c r="A6192" s="431"/>
    </row>
    <row r="6193">
      <c r="A6193" s="431"/>
    </row>
    <row r="6194">
      <c r="A6194" s="431"/>
    </row>
    <row r="6195">
      <c r="A6195" s="431"/>
    </row>
    <row r="6196">
      <c r="A6196" s="431"/>
    </row>
    <row r="6197">
      <c r="A6197" s="431"/>
    </row>
    <row r="6198">
      <c r="A6198" s="431"/>
    </row>
    <row r="6199">
      <c r="A6199" s="431"/>
    </row>
    <row r="6200">
      <c r="A6200" s="431"/>
    </row>
    <row r="6201">
      <c r="A6201" s="431"/>
    </row>
    <row r="6202">
      <c r="A6202" s="431"/>
    </row>
    <row r="6203">
      <c r="A6203" s="431"/>
    </row>
    <row r="6204">
      <c r="A6204" s="431"/>
    </row>
    <row r="6205">
      <c r="A6205" s="431"/>
    </row>
    <row r="6206">
      <c r="A6206" s="431"/>
    </row>
    <row r="6207">
      <c r="A6207" s="431"/>
    </row>
    <row r="6208">
      <c r="A6208" s="431"/>
    </row>
    <row r="6209">
      <c r="A6209" s="431"/>
    </row>
    <row r="6210">
      <c r="A6210" s="431"/>
    </row>
    <row r="6211">
      <c r="A6211" s="431"/>
    </row>
    <row r="6212">
      <c r="A6212" s="431"/>
    </row>
    <row r="6213">
      <c r="A6213" s="431"/>
    </row>
    <row r="6214">
      <c r="A6214" s="431"/>
    </row>
    <row r="6215">
      <c r="A6215" s="431"/>
    </row>
    <row r="6216">
      <c r="A6216" s="431"/>
    </row>
    <row r="6217">
      <c r="A6217" s="431"/>
    </row>
    <row r="6218">
      <c r="A6218" s="431"/>
    </row>
    <row r="6219">
      <c r="A6219" s="431"/>
    </row>
    <row r="6220">
      <c r="A6220" s="431"/>
    </row>
    <row r="6221">
      <c r="A6221" s="431"/>
    </row>
    <row r="6222">
      <c r="A6222" s="431"/>
    </row>
    <row r="6223">
      <c r="A6223" s="431"/>
    </row>
    <row r="6224">
      <c r="A6224" s="431"/>
    </row>
    <row r="6225">
      <c r="A6225" s="431"/>
    </row>
    <row r="6226">
      <c r="A6226" s="431"/>
    </row>
    <row r="6227">
      <c r="A6227" s="431"/>
    </row>
    <row r="6228">
      <c r="A6228" s="431"/>
    </row>
    <row r="6229">
      <c r="A6229" s="431"/>
    </row>
    <row r="6230">
      <c r="A6230" s="431"/>
    </row>
    <row r="6231">
      <c r="A6231" s="431"/>
    </row>
    <row r="6232">
      <c r="A6232" s="431"/>
    </row>
    <row r="6233">
      <c r="A6233" s="431"/>
    </row>
    <row r="6234">
      <c r="A6234" s="431"/>
    </row>
    <row r="6235">
      <c r="A6235" s="431"/>
    </row>
    <row r="6236">
      <c r="A6236" s="431"/>
    </row>
    <row r="6237">
      <c r="A6237" s="431"/>
    </row>
    <row r="6238">
      <c r="A6238" s="431"/>
    </row>
    <row r="6239">
      <c r="A6239" s="431"/>
    </row>
    <row r="6240">
      <c r="A6240" s="431"/>
    </row>
    <row r="6241">
      <c r="A6241" s="431"/>
    </row>
    <row r="6242">
      <c r="A6242" s="431"/>
    </row>
    <row r="6243">
      <c r="A6243" s="431"/>
    </row>
    <row r="6244">
      <c r="A6244" s="431"/>
    </row>
    <row r="6245">
      <c r="A6245" s="431"/>
    </row>
    <row r="6246">
      <c r="A6246" s="431"/>
    </row>
    <row r="6247">
      <c r="A6247" s="431"/>
    </row>
    <row r="6248">
      <c r="A6248" s="431"/>
    </row>
    <row r="6249">
      <c r="A6249" s="431"/>
    </row>
    <row r="6250">
      <c r="A6250" s="431"/>
    </row>
    <row r="6251">
      <c r="A6251" s="431"/>
    </row>
    <row r="6252">
      <c r="A6252" s="431"/>
    </row>
    <row r="6253">
      <c r="A6253" s="431"/>
    </row>
    <row r="6254">
      <c r="A6254" s="431"/>
    </row>
    <row r="6255">
      <c r="A6255" s="431"/>
    </row>
    <row r="6256">
      <c r="A6256" s="431"/>
    </row>
    <row r="6257">
      <c r="A6257" s="431"/>
    </row>
    <row r="6258">
      <c r="A6258" s="431"/>
    </row>
    <row r="6259">
      <c r="A6259" s="431"/>
    </row>
    <row r="6260">
      <c r="A6260" s="431"/>
    </row>
    <row r="6261">
      <c r="A6261" s="431"/>
    </row>
    <row r="6262">
      <c r="A6262" s="431"/>
    </row>
    <row r="6263">
      <c r="A6263" s="431"/>
    </row>
    <row r="6264">
      <c r="A6264" s="431"/>
    </row>
    <row r="6265">
      <c r="A6265" s="431"/>
    </row>
    <row r="6266">
      <c r="A6266" s="431"/>
    </row>
    <row r="6267">
      <c r="A6267" s="431"/>
    </row>
    <row r="6268">
      <c r="A6268" s="431"/>
    </row>
    <row r="6269">
      <c r="A6269" s="431"/>
    </row>
    <row r="6270">
      <c r="A6270" s="431"/>
    </row>
    <row r="6271">
      <c r="A6271" s="431"/>
    </row>
    <row r="6272">
      <c r="A6272" s="431"/>
    </row>
    <row r="6273">
      <c r="A6273" s="431"/>
    </row>
    <row r="6274">
      <c r="A6274" s="431"/>
    </row>
    <row r="6275">
      <c r="A6275" s="431"/>
    </row>
    <row r="6276">
      <c r="A6276" s="431"/>
    </row>
    <row r="6277">
      <c r="A6277" s="431"/>
    </row>
    <row r="6278">
      <c r="A6278" s="431"/>
    </row>
    <row r="6279">
      <c r="A6279" s="431"/>
    </row>
    <row r="6280">
      <c r="A6280" s="431"/>
    </row>
    <row r="6281">
      <c r="A6281" s="431"/>
    </row>
    <row r="6282">
      <c r="A6282" s="431"/>
    </row>
    <row r="6283">
      <c r="A6283" s="431"/>
    </row>
    <row r="6284">
      <c r="A6284" s="431"/>
    </row>
    <row r="6285">
      <c r="A6285" s="431"/>
    </row>
    <row r="6286">
      <c r="A6286" s="431"/>
    </row>
    <row r="6287">
      <c r="A6287" s="431"/>
    </row>
    <row r="6288">
      <c r="A6288" s="431"/>
    </row>
    <row r="6289">
      <c r="A6289" s="431"/>
    </row>
    <row r="6290">
      <c r="A6290" s="431"/>
    </row>
    <row r="6291">
      <c r="A6291" s="431"/>
    </row>
    <row r="6292">
      <c r="A6292" s="431"/>
    </row>
    <row r="6293">
      <c r="A6293" s="431"/>
    </row>
    <row r="6294">
      <c r="A6294" s="431"/>
    </row>
    <row r="6295">
      <c r="A6295" s="431"/>
    </row>
    <row r="6296">
      <c r="A6296" s="431"/>
    </row>
    <row r="6297">
      <c r="A6297" s="431"/>
    </row>
    <row r="6298">
      <c r="A6298" s="431"/>
    </row>
    <row r="6299">
      <c r="A6299" s="431"/>
    </row>
    <row r="6300">
      <c r="A6300" s="431"/>
    </row>
    <row r="6301">
      <c r="A6301" s="431"/>
    </row>
    <row r="6302">
      <c r="A6302" s="431"/>
    </row>
    <row r="6303">
      <c r="A6303" s="431"/>
    </row>
    <row r="6304">
      <c r="A6304" s="431"/>
    </row>
    <row r="6305">
      <c r="A6305" s="431"/>
    </row>
    <row r="6306">
      <c r="A6306" s="431"/>
    </row>
    <row r="6307">
      <c r="A6307" s="431"/>
    </row>
    <row r="6308">
      <c r="A6308" s="431"/>
    </row>
    <row r="6309">
      <c r="A6309" s="431"/>
    </row>
    <row r="6310">
      <c r="A6310" s="431"/>
    </row>
    <row r="6311">
      <c r="A6311" s="431"/>
    </row>
    <row r="6312">
      <c r="A6312" s="431"/>
    </row>
    <row r="6313">
      <c r="A6313" s="431"/>
    </row>
    <row r="6314">
      <c r="A6314" s="431"/>
    </row>
    <row r="6315">
      <c r="A6315" s="431"/>
    </row>
    <row r="6316">
      <c r="A6316" s="431"/>
    </row>
    <row r="6317">
      <c r="A6317" s="431"/>
    </row>
    <row r="6318">
      <c r="A6318" s="431"/>
    </row>
    <row r="6319">
      <c r="A6319" s="431"/>
    </row>
    <row r="6320">
      <c r="A6320" s="431"/>
    </row>
    <row r="6321">
      <c r="A6321" s="431"/>
    </row>
    <row r="6322">
      <c r="A6322" s="431"/>
    </row>
    <row r="6323">
      <c r="A6323" s="431"/>
    </row>
    <row r="6324">
      <c r="A6324" s="431"/>
    </row>
    <row r="6325">
      <c r="A6325" s="431"/>
    </row>
    <row r="6326">
      <c r="A6326" s="431"/>
    </row>
    <row r="6327">
      <c r="A6327" s="431"/>
    </row>
    <row r="6328">
      <c r="A6328" s="431"/>
    </row>
    <row r="6329">
      <c r="A6329" s="431"/>
    </row>
    <row r="6330">
      <c r="A6330" s="431"/>
    </row>
    <row r="6331">
      <c r="A6331" s="431"/>
    </row>
    <row r="6332">
      <c r="A6332" s="431"/>
    </row>
    <row r="6333">
      <c r="A6333" s="431"/>
    </row>
    <row r="6334">
      <c r="A6334" s="431"/>
    </row>
    <row r="6335">
      <c r="A6335" s="431"/>
    </row>
    <row r="6336">
      <c r="A6336" s="431"/>
    </row>
    <row r="6337">
      <c r="A6337" s="431"/>
    </row>
    <row r="6338">
      <c r="A6338" s="431"/>
    </row>
    <row r="6339">
      <c r="A6339" s="431"/>
    </row>
    <row r="6340">
      <c r="A6340" s="431"/>
    </row>
    <row r="6341">
      <c r="A6341" s="431"/>
    </row>
    <row r="6342">
      <c r="A6342" s="431"/>
    </row>
    <row r="6343">
      <c r="A6343" s="431"/>
    </row>
    <row r="6344">
      <c r="A6344" s="431"/>
    </row>
    <row r="6345">
      <c r="A6345" s="431"/>
    </row>
    <row r="6346">
      <c r="A6346" s="431"/>
    </row>
    <row r="6347">
      <c r="A6347" s="431"/>
    </row>
    <row r="6348">
      <c r="A6348" s="431"/>
    </row>
    <row r="6349">
      <c r="A6349" s="431"/>
    </row>
    <row r="6350">
      <c r="A6350" s="431"/>
    </row>
    <row r="6351">
      <c r="A6351" s="431"/>
    </row>
    <row r="6352">
      <c r="A6352" s="431"/>
    </row>
    <row r="6353">
      <c r="A6353" s="431"/>
    </row>
    <row r="6354">
      <c r="A6354" s="431"/>
    </row>
    <row r="6355">
      <c r="A6355" s="431"/>
    </row>
    <row r="6356">
      <c r="A6356" s="431"/>
    </row>
    <row r="6357">
      <c r="A6357" s="431"/>
    </row>
    <row r="6358">
      <c r="A6358" s="431"/>
    </row>
    <row r="6359">
      <c r="A6359" s="431"/>
    </row>
    <row r="6360">
      <c r="A6360" s="431"/>
    </row>
    <row r="6361">
      <c r="A6361" s="431"/>
    </row>
    <row r="6362">
      <c r="A6362" s="431"/>
    </row>
    <row r="6363">
      <c r="A6363" s="431"/>
    </row>
    <row r="6364">
      <c r="A6364" s="431"/>
    </row>
    <row r="6365">
      <c r="A6365" s="431"/>
    </row>
    <row r="6366">
      <c r="A6366" s="431"/>
    </row>
    <row r="6367">
      <c r="A6367" s="431"/>
    </row>
    <row r="6368">
      <c r="A6368" s="431"/>
    </row>
    <row r="6369">
      <c r="A6369" s="431"/>
    </row>
    <row r="6370">
      <c r="A6370" s="431"/>
    </row>
    <row r="6371">
      <c r="A6371" s="431"/>
    </row>
    <row r="6372">
      <c r="A6372" s="431"/>
    </row>
    <row r="6373">
      <c r="A6373" s="431"/>
    </row>
    <row r="6374">
      <c r="A6374" s="431"/>
    </row>
    <row r="6375">
      <c r="A6375" s="431"/>
    </row>
    <row r="6376">
      <c r="A6376" s="431"/>
    </row>
    <row r="6377">
      <c r="A6377" s="431"/>
    </row>
    <row r="6378">
      <c r="A6378" s="431"/>
    </row>
    <row r="6379">
      <c r="A6379" s="431"/>
    </row>
    <row r="6380">
      <c r="A6380" s="431"/>
    </row>
    <row r="6381">
      <c r="A6381" s="431"/>
    </row>
    <row r="6382">
      <c r="A6382" s="431"/>
    </row>
    <row r="6383">
      <c r="A6383" s="431"/>
    </row>
    <row r="6384">
      <c r="A6384" s="431"/>
    </row>
    <row r="6385">
      <c r="A6385" s="431"/>
    </row>
    <row r="6386">
      <c r="A6386" s="431"/>
    </row>
    <row r="6387">
      <c r="A6387" s="431"/>
    </row>
    <row r="6388">
      <c r="A6388" s="431"/>
    </row>
    <row r="6389">
      <c r="A6389" s="431"/>
    </row>
    <row r="6390">
      <c r="A6390" s="431"/>
    </row>
    <row r="6391">
      <c r="A6391" s="431"/>
    </row>
    <row r="6392">
      <c r="A6392" s="431"/>
    </row>
    <row r="6393">
      <c r="A6393" s="431"/>
    </row>
    <row r="6394">
      <c r="A6394" s="431"/>
    </row>
    <row r="6395">
      <c r="A6395" s="431"/>
    </row>
    <row r="6396">
      <c r="A6396" s="431"/>
    </row>
    <row r="6397">
      <c r="A6397" s="431"/>
    </row>
    <row r="6398">
      <c r="A6398" s="431"/>
    </row>
    <row r="6399">
      <c r="A6399" s="431"/>
    </row>
    <row r="6400">
      <c r="A6400" s="431"/>
    </row>
    <row r="6401">
      <c r="A6401" s="431"/>
    </row>
    <row r="6402">
      <c r="A6402" s="431"/>
    </row>
    <row r="6403">
      <c r="A6403" s="431"/>
    </row>
    <row r="6404">
      <c r="A6404" s="431"/>
    </row>
    <row r="6405">
      <c r="A6405" s="431"/>
    </row>
    <row r="6406">
      <c r="A6406" s="431"/>
    </row>
    <row r="6407">
      <c r="A6407" s="431"/>
    </row>
    <row r="6408">
      <c r="A6408" s="431"/>
    </row>
    <row r="6409">
      <c r="A6409" s="431"/>
    </row>
    <row r="6410">
      <c r="A6410" s="431"/>
    </row>
    <row r="6411">
      <c r="A6411" s="431"/>
    </row>
    <row r="6412">
      <c r="A6412" s="431"/>
    </row>
    <row r="6413">
      <c r="A6413" s="431"/>
    </row>
    <row r="6414">
      <c r="A6414" s="431"/>
    </row>
    <row r="6415">
      <c r="A6415" s="431"/>
    </row>
    <row r="6416">
      <c r="A6416" s="431"/>
    </row>
    <row r="6417">
      <c r="A6417" s="431"/>
    </row>
    <row r="6418">
      <c r="A6418" s="431"/>
    </row>
    <row r="6419">
      <c r="A6419" s="431"/>
    </row>
    <row r="6420">
      <c r="A6420" s="431"/>
    </row>
    <row r="6421">
      <c r="A6421" s="431"/>
    </row>
    <row r="6422">
      <c r="A6422" s="431"/>
    </row>
    <row r="6423">
      <c r="A6423" s="431"/>
    </row>
    <row r="6424">
      <c r="A6424" s="431"/>
    </row>
    <row r="6425">
      <c r="A6425" s="431"/>
    </row>
    <row r="6426">
      <c r="A6426" s="431"/>
    </row>
    <row r="6427">
      <c r="A6427" s="431"/>
    </row>
    <row r="6428">
      <c r="A6428" s="431"/>
    </row>
    <row r="6429">
      <c r="A6429" s="431"/>
    </row>
    <row r="6430">
      <c r="A6430" s="431"/>
    </row>
    <row r="6431">
      <c r="A6431" s="431"/>
    </row>
    <row r="6432">
      <c r="A6432" s="431"/>
    </row>
    <row r="6433">
      <c r="A6433" s="431"/>
    </row>
    <row r="6434">
      <c r="A6434" s="431"/>
    </row>
    <row r="6435">
      <c r="A6435" s="431"/>
    </row>
    <row r="6436">
      <c r="A6436" s="431"/>
    </row>
    <row r="6437">
      <c r="A6437" s="431"/>
    </row>
    <row r="6438">
      <c r="A6438" s="431"/>
    </row>
    <row r="6439">
      <c r="A6439" s="431"/>
    </row>
    <row r="6440">
      <c r="A6440" s="431"/>
    </row>
    <row r="6441">
      <c r="A6441" s="431"/>
    </row>
    <row r="6442">
      <c r="A6442" s="431"/>
    </row>
    <row r="6443">
      <c r="A6443" s="431"/>
    </row>
    <row r="6444">
      <c r="A6444" s="431"/>
    </row>
    <row r="6445">
      <c r="A6445" s="431"/>
    </row>
    <row r="6446">
      <c r="A6446" s="431"/>
    </row>
    <row r="6447">
      <c r="A6447" s="431"/>
    </row>
    <row r="6448">
      <c r="A6448" s="431"/>
    </row>
    <row r="6449">
      <c r="A6449" s="431"/>
    </row>
    <row r="6450">
      <c r="A6450" s="431"/>
    </row>
    <row r="6451">
      <c r="A6451" s="431"/>
    </row>
    <row r="6452">
      <c r="A6452" s="431"/>
    </row>
    <row r="6453">
      <c r="A6453" s="431"/>
    </row>
    <row r="6454">
      <c r="A6454" s="431"/>
    </row>
    <row r="6455">
      <c r="A6455" s="431"/>
    </row>
    <row r="6456">
      <c r="A6456" s="431"/>
    </row>
    <row r="6457">
      <c r="A6457" s="431"/>
    </row>
    <row r="6458">
      <c r="A6458" s="431"/>
    </row>
    <row r="6459">
      <c r="A6459" s="431"/>
    </row>
    <row r="6460">
      <c r="A6460" s="431"/>
    </row>
    <row r="6461">
      <c r="A6461" s="431"/>
    </row>
    <row r="6462">
      <c r="A6462" s="431"/>
    </row>
    <row r="6463">
      <c r="A6463" s="431"/>
    </row>
    <row r="6464">
      <c r="A6464" s="431"/>
    </row>
    <row r="6465">
      <c r="A6465" s="431"/>
    </row>
    <row r="6466">
      <c r="A6466" s="431"/>
    </row>
    <row r="6467">
      <c r="A6467" s="431"/>
    </row>
    <row r="6468">
      <c r="A6468" s="431"/>
    </row>
    <row r="6469">
      <c r="A6469" s="431"/>
    </row>
    <row r="6470">
      <c r="A6470" s="431"/>
    </row>
    <row r="6471">
      <c r="A6471" s="431"/>
    </row>
    <row r="6472">
      <c r="A6472" s="431"/>
    </row>
    <row r="6473">
      <c r="A6473" s="431"/>
    </row>
    <row r="6474">
      <c r="A6474" s="431"/>
    </row>
    <row r="6475">
      <c r="A6475" s="431"/>
    </row>
    <row r="6476">
      <c r="A6476" s="431"/>
    </row>
    <row r="6477">
      <c r="A6477" s="431"/>
    </row>
    <row r="6478">
      <c r="A6478" s="431"/>
    </row>
    <row r="6479">
      <c r="A6479" s="431"/>
    </row>
    <row r="6480">
      <c r="A6480" s="431"/>
    </row>
    <row r="6481">
      <c r="A6481" s="431"/>
    </row>
    <row r="6482">
      <c r="A6482" s="431"/>
    </row>
    <row r="6483">
      <c r="A6483" s="431"/>
    </row>
    <row r="6484">
      <c r="A6484" s="431"/>
    </row>
    <row r="6485">
      <c r="A6485" s="431"/>
    </row>
    <row r="6486">
      <c r="A6486" s="431"/>
    </row>
    <row r="6487">
      <c r="A6487" s="431"/>
    </row>
    <row r="6488">
      <c r="A6488" s="431"/>
    </row>
    <row r="6489">
      <c r="A6489" s="431"/>
    </row>
    <row r="6490">
      <c r="A6490" s="431"/>
    </row>
    <row r="6491">
      <c r="A6491" s="431"/>
    </row>
    <row r="6492">
      <c r="A6492" s="431"/>
    </row>
    <row r="6493">
      <c r="A6493" s="431"/>
    </row>
    <row r="6494">
      <c r="A6494" s="431"/>
    </row>
    <row r="6495">
      <c r="A6495" s="431"/>
    </row>
    <row r="6496">
      <c r="A6496" s="431"/>
    </row>
    <row r="6497">
      <c r="A6497" s="431"/>
    </row>
    <row r="6498">
      <c r="A6498" s="431"/>
    </row>
    <row r="6499">
      <c r="A6499" s="431"/>
    </row>
    <row r="6500">
      <c r="A6500" s="431"/>
    </row>
    <row r="6501">
      <c r="A6501" s="431"/>
    </row>
    <row r="6502">
      <c r="A6502" s="431"/>
    </row>
    <row r="6503">
      <c r="A6503" s="431"/>
    </row>
    <row r="6504">
      <c r="A6504" s="431"/>
    </row>
    <row r="6505">
      <c r="A6505" s="431"/>
    </row>
    <row r="6506">
      <c r="A6506" s="431"/>
    </row>
    <row r="6507">
      <c r="A6507" s="431"/>
    </row>
    <row r="6508">
      <c r="A6508" s="431"/>
    </row>
    <row r="6509">
      <c r="A6509" s="431"/>
    </row>
    <row r="6510">
      <c r="A6510" s="431"/>
    </row>
    <row r="6511">
      <c r="A6511" s="431"/>
    </row>
    <row r="6512">
      <c r="A6512" s="431"/>
    </row>
    <row r="6513">
      <c r="A6513" s="431"/>
    </row>
    <row r="6514">
      <c r="A6514" s="431"/>
    </row>
    <row r="6515">
      <c r="A6515" s="431"/>
    </row>
    <row r="6516">
      <c r="A6516" s="431"/>
    </row>
    <row r="6517">
      <c r="A6517" s="431"/>
    </row>
    <row r="6518">
      <c r="A6518" s="431"/>
    </row>
    <row r="6519">
      <c r="A6519" s="431"/>
    </row>
    <row r="6520">
      <c r="A6520" s="431"/>
    </row>
    <row r="6521">
      <c r="A6521" s="431"/>
    </row>
    <row r="6522">
      <c r="A6522" s="431"/>
    </row>
    <row r="6523">
      <c r="A6523" s="431"/>
    </row>
    <row r="6524">
      <c r="A6524" s="431"/>
    </row>
    <row r="6525">
      <c r="A6525" s="431"/>
    </row>
    <row r="6526">
      <c r="A6526" s="431"/>
    </row>
    <row r="6527">
      <c r="A6527" s="431"/>
    </row>
    <row r="6528">
      <c r="A6528" s="431"/>
    </row>
    <row r="6529">
      <c r="A6529" s="431"/>
    </row>
    <row r="6530">
      <c r="A6530" s="431"/>
    </row>
    <row r="6531">
      <c r="A6531" s="431"/>
    </row>
    <row r="6532">
      <c r="A6532" s="431"/>
    </row>
    <row r="6533">
      <c r="A6533" s="431"/>
    </row>
    <row r="6534">
      <c r="A6534" s="431"/>
    </row>
    <row r="6535">
      <c r="A6535" s="431"/>
    </row>
    <row r="6536">
      <c r="A6536" s="431"/>
    </row>
    <row r="6537">
      <c r="A6537" s="431"/>
    </row>
    <row r="6538">
      <c r="A6538" s="431"/>
    </row>
    <row r="6539">
      <c r="A6539" s="431"/>
    </row>
    <row r="6540">
      <c r="A6540" s="431"/>
    </row>
    <row r="6541">
      <c r="A6541" s="431"/>
    </row>
    <row r="6542">
      <c r="A6542" s="431"/>
    </row>
    <row r="6543">
      <c r="A6543" s="431"/>
    </row>
    <row r="6544">
      <c r="A6544" s="431"/>
    </row>
    <row r="6545">
      <c r="A6545" s="431"/>
    </row>
    <row r="6546">
      <c r="A6546" s="431"/>
    </row>
    <row r="6547">
      <c r="A6547" s="431"/>
    </row>
    <row r="6548">
      <c r="A6548" s="431"/>
    </row>
    <row r="6549">
      <c r="A6549" s="431"/>
    </row>
    <row r="6550">
      <c r="A6550" s="431"/>
    </row>
    <row r="6551">
      <c r="A6551" s="431"/>
    </row>
    <row r="6552">
      <c r="A6552" s="431"/>
    </row>
    <row r="6553">
      <c r="A6553" s="431"/>
    </row>
    <row r="6554">
      <c r="A6554" s="431"/>
    </row>
    <row r="6555">
      <c r="A6555" s="431"/>
    </row>
    <row r="6556">
      <c r="A6556" s="431"/>
    </row>
    <row r="6557">
      <c r="A6557" s="431"/>
    </row>
    <row r="6558">
      <c r="A6558" s="431"/>
    </row>
    <row r="6559">
      <c r="A6559" s="431"/>
    </row>
    <row r="6560">
      <c r="A6560" s="431"/>
    </row>
    <row r="6561">
      <c r="A6561" s="431"/>
    </row>
    <row r="6562">
      <c r="A6562" s="431"/>
    </row>
    <row r="6563">
      <c r="A6563" s="431"/>
    </row>
    <row r="6564">
      <c r="A6564" s="431"/>
    </row>
    <row r="6565">
      <c r="A6565" s="431"/>
    </row>
    <row r="6566">
      <c r="A6566" s="431"/>
    </row>
    <row r="6567">
      <c r="A6567" s="431"/>
    </row>
    <row r="6568">
      <c r="A6568" s="431"/>
    </row>
    <row r="6569">
      <c r="A6569" s="431"/>
    </row>
    <row r="6570">
      <c r="A6570" s="431"/>
    </row>
    <row r="6571">
      <c r="A6571" s="431"/>
    </row>
    <row r="6572">
      <c r="A6572" s="431"/>
    </row>
    <row r="6573">
      <c r="A6573" s="431"/>
    </row>
    <row r="6574">
      <c r="A6574" s="431"/>
    </row>
    <row r="6575">
      <c r="A6575" s="431"/>
    </row>
    <row r="6576">
      <c r="A6576" s="431"/>
    </row>
    <row r="6577">
      <c r="A6577" s="431"/>
    </row>
    <row r="6578">
      <c r="A6578" s="431"/>
    </row>
    <row r="6579">
      <c r="A6579" s="431"/>
    </row>
    <row r="6580">
      <c r="A6580" s="431"/>
    </row>
    <row r="6581">
      <c r="A6581" s="431"/>
    </row>
    <row r="6582">
      <c r="A6582" s="431"/>
    </row>
    <row r="6583">
      <c r="A6583" s="431"/>
    </row>
    <row r="6584">
      <c r="A6584" s="431"/>
    </row>
    <row r="6585">
      <c r="A6585" s="431"/>
    </row>
    <row r="6586">
      <c r="A6586" s="431"/>
    </row>
    <row r="6587">
      <c r="A6587" s="431"/>
    </row>
    <row r="6588">
      <c r="A6588" s="431"/>
    </row>
    <row r="6589">
      <c r="A6589" s="431"/>
    </row>
    <row r="6590">
      <c r="A6590" s="431"/>
    </row>
    <row r="6591">
      <c r="A6591" s="431"/>
    </row>
    <row r="6592">
      <c r="A6592" s="431"/>
    </row>
    <row r="6593">
      <c r="A6593" s="431"/>
    </row>
    <row r="6594">
      <c r="A6594" s="431"/>
    </row>
    <row r="6595">
      <c r="A6595" s="431"/>
    </row>
    <row r="6596">
      <c r="A6596" s="431"/>
    </row>
    <row r="6597">
      <c r="A6597" s="431"/>
    </row>
    <row r="6598">
      <c r="A6598" s="431"/>
    </row>
    <row r="6599">
      <c r="A6599" s="431"/>
    </row>
    <row r="6600">
      <c r="A6600" s="431"/>
    </row>
    <row r="6601">
      <c r="A6601" s="431"/>
    </row>
    <row r="6602">
      <c r="A6602" s="431"/>
    </row>
    <row r="6603">
      <c r="A6603" s="431"/>
    </row>
    <row r="6604">
      <c r="A6604" s="431"/>
    </row>
    <row r="6605">
      <c r="A6605" s="431"/>
    </row>
    <row r="6606">
      <c r="A6606" s="431"/>
    </row>
    <row r="6607">
      <c r="A6607" s="431"/>
    </row>
    <row r="6608">
      <c r="A6608" s="431"/>
    </row>
    <row r="6609">
      <c r="A6609" s="431"/>
    </row>
    <row r="6610">
      <c r="A6610" s="431"/>
    </row>
    <row r="6611">
      <c r="A6611" s="431"/>
    </row>
    <row r="6612">
      <c r="A6612" s="431"/>
    </row>
    <row r="6613">
      <c r="A6613" s="431"/>
    </row>
    <row r="6614">
      <c r="A6614" s="431"/>
    </row>
    <row r="6615">
      <c r="A6615" s="431"/>
    </row>
    <row r="6616">
      <c r="A6616" s="431"/>
    </row>
    <row r="6617">
      <c r="A6617" s="431"/>
    </row>
    <row r="6618">
      <c r="A6618" s="431"/>
    </row>
    <row r="6619">
      <c r="A6619" s="431"/>
    </row>
    <row r="6620">
      <c r="A6620" s="431"/>
    </row>
    <row r="6621">
      <c r="A6621" s="431"/>
    </row>
    <row r="6622">
      <c r="A6622" s="431"/>
    </row>
    <row r="6623">
      <c r="A6623" s="431"/>
    </row>
    <row r="6624">
      <c r="A6624" s="431"/>
    </row>
    <row r="6625">
      <c r="A6625" s="431"/>
    </row>
    <row r="6626">
      <c r="A6626" s="431"/>
    </row>
    <row r="6627">
      <c r="A6627" s="431"/>
    </row>
    <row r="6628">
      <c r="A6628" s="431"/>
    </row>
    <row r="6629">
      <c r="A6629" s="431"/>
    </row>
    <row r="6630">
      <c r="A6630" s="431"/>
    </row>
    <row r="6631">
      <c r="A6631" s="431"/>
    </row>
    <row r="6632">
      <c r="A6632" s="431"/>
    </row>
    <row r="6633">
      <c r="A6633" s="431"/>
    </row>
    <row r="6634">
      <c r="A6634" s="431"/>
    </row>
    <row r="6635">
      <c r="A6635" s="431"/>
    </row>
    <row r="6636">
      <c r="A6636" s="431"/>
    </row>
    <row r="6637">
      <c r="A6637" s="431"/>
    </row>
    <row r="6638">
      <c r="A6638" s="431"/>
    </row>
    <row r="6639">
      <c r="A6639" s="431"/>
    </row>
    <row r="6640">
      <c r="A6640" s="431"/>
    </row>
    <row r="6641">
      <c r="A6641" s="431"/>
    </row>
    <row r="6642">
      <c r="A6642" s="431"/>
    </row>
    <row r="6643">
      <c r="A6643" s="431"/>
    </row>
    <row r="6644">
      <c r="A6644" s="431"/>
    </row>
    <row r="6645">
      <c r="A6645" s="431"/>
    </row>
    <row r="6646">
      <c r="A6646" s="431"/>
    </row>
    <row r="6647">
      <c r="A6647" s="431"/>
    </row>
    <row r="6648">
      <c r="A6648" s="431"/>
    </row>
    <row r="6649">
      <c r="A6649" s="431"/>
    </row>
    <row r="6650">
      <c r="A6650" s="431"/>
    </row>
    <row r="6651">
      <c r="A6651" s="431"/>
    </row>
    <row r="6652">
      <c r="A6652" s="431"/>
    </row>
    <row r="6653">
      <c r="A6653" s="431"/>
    </row>
    <row r="6654">
      <c r="A6654" s="431"/>
    </row>
    <row r="6655">
      <c r="A6655" s="431"/>
    </row>
    <row r="6656">
      <c r="A6656" s="431"/>
    </row>
    <row r="6657">
      <c r="A6657" s="431"/>
    </row>
    <row r="6658">
      <c r="A6658" s="431"/>
    </row>
    <row r="6659">
      <c r="A6659" s="431"/>
    </row>
    <row r="6660">
      <c r="A6660" s="431"/>
    </row>
    <row r="6661">
      <c r="A6661" s="431"/>
    </row>
    <row r="6662">
      <c r="A6662" s="431"/>
    </row>
    <row r="6663">
      <c r="A6663" s="431"/>
    </row>
    <row r="6664">
      <c r="A6664" s="431"/>
    </row>
    <row r="6665">
      <c r="A6665" s="431"/>
    </row>
    <row r="6666">
      <c r="A6666" s="431"/>
    </row>
    <row r="6667">
      <c r="A6667" s="431"/>
    </row>
    <row r="6668">
      <c r="A6668" s="431"/>
    </row>
    <row r="6669">
      <c r="A6669" s="431"/>
    </row>
    <row r="6670">
      <c r="A6670" s="431"/>
    </row>
    <row r="6671">
      <c r="A6671" s="431"/>
    </row>
    <row r="6672">
      <c r="A6672" s="431"/>
    </row>
    <row r="6673">
      <c r="A6673" s="431"/>
    </row>
    <row r="6674">
      <c r="A6674" s="431"/>
    </row>
    <row r="6675">
      <c r="A6675" s="431"/>
    </row>
    <row r="6676">
      <c r="A6676" s="431"/>
    </row>
    <row r="6677">
      <c r="A6677" s="431"/>
    </row>
    <row r="6678">
      <c r="A6678" s="431"/>
    </row>
    <row r="6679">
      <c r="A6679" s="431"/>
    </row>
    <row r="6680">
      <c r="A6680" s="431"/>
    </row>
    <row r="6681">
      <c r="A6681" s="431"/>
    </row>
    <row r="6682">
      <c r="A6682" s="431"/>
    </row>
    <row r="6683">
      <c r="A6683" s="431"/>
    </row>
    <row r="6684">
      <c r="A6684" s="431"/>
    </row>
    <row r="6685">
      <c r="A6685" s="431"/>
    </row>
    <row r="6686">
      <c r="A6686" s="431"/>
    </row>
    <row r="6687">
      <c r="A6687" s="431"/>
    </row>
    <row r="6688">
      <c r="A6688" s="431"/>
    </row>
    <row r="6689">
      <c r="A6689" s="431"/>
    </row>
    <row r="6690">
      <c r="A6690" s="431"/>
    </row>
    <row r="6691">
      <c r="A6691" s="431"/>
    </row>
    <row r="6692">
      <c r="A6692" s="431"/>
    </row>
    <row r="6693">
      <c r="A6693" s="431"/>
    </row>
    <row r="6694">
      <c r="A6694" s="431"/>
    </row>
    <row r="6695">
      <c r="A6695" s="431"/>
    </row>
    <row r="6696">
      <c r="A6696" s="431"/>
    </row>
    <row r="6697">
      <c r="A6697" s="431"/>
    </row>
    <row r="6698">
      <c r="A6698" s="431"/>
    </row>
    <row r="6699">
      <c r="A6699" s="431"/>
    </row>
    <row r="6700">
      <c r="A6700" s="431"/>
    </row>
    <row r="6701">
      <c r="A6701" s="431"/>
    </row>
    <row r="6702">
      <c r="A6702" s="431"/>
    </row>
    <row r="6703">
      <c r="A6703" s="431"/>
    </row>
    <row r="6704">
      <c r="A6704" s="431"/>
    </row>
    <row r="6705">
      <c r="A6705" s="431"/>
    </row>
    <row r="6706">
      <c r="A6706" s="431"/>
    </row>
    <row r="6707">
      <c r="A6707" s="431"/>
    </row>
    <row r="6708">
      <c r="A6708" s="431"/>
    </row>
    <row r="6709">
      <c r="A6709" s="431"/>
    </row>
    <row r="6710">
      <c r="A6710" s="431"/>
    </row>
    <row r="6711">
      <c r="A6711" s="431"/>
    </row>
    <row r="6712">
      <c r="A6712" s="431"/>
    </row>
    <row r="6713">
      <c r="A6713" s="431"/>
    </row>
    <row r="6714">
      <c r="A6714" s="431"/>
    </row>
    <row r="6715">
      <c r="A6715" s="431"/>
    </row>
    <row r="6716">
      <c r="A6716" s="431"/>
    </row>
    <row r="6717">
      <c r="A6717" s="431"/>
    </row>
    <row r="6718">
      <c r="A6718" s="431"/>
    </row>
    <row r="6719">
      <c r="A6719" s="431"/>
    </row>
    <row r="6720">
      <c r="A6720" s="431"/>
    </row>
    <row r="6721">
      <c r="A6721" s="431"/>
    </row>
    <row r="6722">
      <c r="A6722" s="431"/>
    </row>
    <row r="6723">
      <c r="A6723" s="431"/>
    </row>
    <row r="6724">
      <c r="A6724" s="431"/>
    </row>
    <row r="6725">
      <c r="A6725" s="431"/>
    </row>
    <row r="6726">
      <c r="A6726" s="431"/>
    </row>
    <row r="6727">
      <c r="A6727" s="431"/>
    </row>
    <row r="6728">
      <c r="A6728" s="431"/>
    </row>
    <row r="6729">
      <c r="A6729" s="431"/>
    </row>
    <row r="6730">
      <c r="A6730" s="431"/>
    </row>
    <row r="6731">
      <c r="A6731" s="431"/>
    </row>
    <row r="6732">
      <c r="A6732" s="431"/>
    </row>
    <row r="6733">
      <c r="A6733" s="431"/>
    </row>
    <row r="6734">
      <c r="A6734" s="431"/>
    </row>
    <row r="6735">
      <c r="A6735" s="431"/>
    </row>
    <row r="6736">
      <c r="A6736" s="431"/>
    </row>
    <row r="6737">
      <c r="A6737" s="431"/>
    </row>
    <row r="6738">
      <c r="A6738" s="431"/>
    </row>
    <row r="6739">
      <c r="A6739" s="431"/>
    </row>
    <row r="6740">
      <c r="A6740" s="431"/>
    </row>
    <row r="6741">
      <c r="A6741" s="431"/>
    </row>
    <row r="6742">
      <c r="A6742" s="431"/>
    </row>
    <row r="6743">
      <c r="A6743" s="431"/>
    </row>
    <row r="6744">
      <c r="A6744" s="431"/>
    </row>
    <row r="6745">
      <c r="A6745" s="431"/>
    </row>
    <row r="6746">
      <c r="A6746" s="431"/>
    </row>
    <row r="6747">
      <c r="A6747" s="431"/>
    </row>
    <row r="6748">
      <c r="A6748" s="431"/>
    </row>
    <row r="6749">
      <c r="A6749" s="431"/>
    </row>
    <row r="6750">
      <c r="A6750" s="431"/>
    </row>
    <row r="6751">
      <c r="A6751" s="431"/>
    </row>
    <row r="6752">
      <c r="A6752" s="431"/>
    </row>
    <row r="6753">
      <c r="A6753" s="431"/>
    </row>
    <row r="6754">
      <c r="A6754" s="431"/>
    </row>
    <row r="6755">
      <c r="A6755" s="431"/>
    </row>
    <row r="6756">
      <c r="A6756" s="431"/>
    </row>
    <row r="6757">
      <c r="A6757" s="431"/>
    </row>
    <row r="6758">
      <c r="A6758" s="431"/>
    </row>
    <row r="6759">
      <c r="A6759" s="431"/>
    </row>
    <row r="6760">
      <c r="A6760" s="431"/>
    </row>
    <row r="6761">
      <c r="A6761" s="431"/>
    </row>
    <row r="6762">
      <c r="A6762" s="431"/>
    </row>
    <row r="6763">
      <c r="A6763" s="431"/>
    </row>
    <row r="6764">
      <c r="A6764" s="431"/>
    </row>
    <row r="6765">
      <c r="A6765" s="431"/>
    </row>
    <row r="6766">
      <c r="A6766" s="431"/>
    </row>
    <row r="6767">
      <c r="A6767" s="431"/>
    </row>
    <row r="6768">
      <c r="A6768" s="431"/>
    </row>
    <row r="6769">
      <c r="A6769" s="431"/>
    </row>
    <row r="6770">
      <c r="A6770" s="431"/>
    </row>
    <row r="6771">
      <c r="A6771" s="431"/>
    </row>
    <row r="6772">
      <c r="A6772" s="431"/>
    </row>
    <row r="6773">
      <c r="A6773" s="431"/>
    </row>
    <row r="6774">
      <c r="A6774" s="431"/>
    </row>
    <row r="6775">
      <c r="A6775" s="431"/>
    </row>
    <row r="6776">
      <c r="A6776" s="431"/>
    </row>
    <row r="6777">
      <c r="A6777" s="431"/>
    </row>
    <row r="6778">
      <c r="A6778" s="431"/>
    </row>
    <row r="6779">
      <c r="A6779" s="431"/>
    </row>
    <row r="6780">
      <c r="A6780" s="431"/>
    </row>
    <row r="6781">
      <c r="A6781" s="431"/>
    </row>
    <row r="6782">
      <c r="A6782" s="431"/>
    </row>
    <row r="6783">
      <c r="A6783" s="431"/>
    </row>
    <row r="6784">
      <c r="A6784" s="431"/>
    </row>
    <row r="6785">
      <c r="A6785" s="431"/>
    </row>
    <row r="6786">
      <c r="A6786" s="431"/>
    </row>
    <row r="6787">
      <c r="A6787" s="431"/>
    </row>
    <row r="6788">
      <c r="A6788" s="431"/>
    </row>
    <row r="6789">
      <c r="A6789" s="431"/>
    </row>
    <row r="6790">
      <c r="A6790" s="431"/>
    </row>
    <row r="6791">
      <c r="A6791" s="431"/>
    </row>
    <row r="6792">
      <c r="A6792" s="431"/>
    </row>
    <row r="6793">
      <c r="A6793" s="431"/>
    </row>
    <row r="6794">
      <c r="A6794" s="431"/>
    </row>
    <row r="6795">
      <c r="A6795" s="431"/>
    </row>
    <row r="6796">
      <c r="A6796" s="431"/>
    </row>
    <row r="6797">
      <c r="A6797" s="431"/>
    </row>
    <row r="6798">
      <c r="A6798" s="431"/>
    </row>
    <row r="6799">
      <c r="A6799" s="431"/>
    </row>
    <row r="6800">
      <c r="A6800" s="431"/>
    </row>
    <row r="6801">
      <c r="A6801" s="431"/>
    </row>
    <row r="6802">
      <c r="A6802" s="431"/>
    </row>
    <row r="6803">
      <c r="A6803" s="431"/>
    </row>
    <row r="6804">
      <c r="A6804" s="431"/>
    </row>
    <row r="6805">
      <c r="A6805" s="431"/>
    </row>
    <row r="6806">
      <c r="A6806" s="431"/>
    </row>
    <row r="6807">
      <c r="A6807" s="431"/>
    </row>
    <row r="6808">
      <c r="A6808" s="431"/>
    </row>
    <row r="6809">
      <c r="A6809" s="431"/>
    </row>
    <row r="6810">
      <c r="A6810" s="431"/>
    </row>
    <row r="6811">
      <c r="A6811" s="431"/>
    </row>
    <row r="6812">
      <c r="A6812" s="431"/>
    </row>
    <row r="6813">
      <c r="A6813" s="431"/>
    </row>
    <row r="6814">
      <c r="A6814" s="431"/>
    </row>
    <row r="6815">
      <c r="A6815" s="431"/>
    </row>
    <row r="6816">
      <c r="A6816" s="431"/>
    </row>
    <row r="6817">
      <c r="A6817" s="431"/>
    </row>
    <row r="6818">
      <c r="A6818" s="431"/>
    </row>
    <row r="6819">
      <c r="A6819" s="431"/>
    </row>
    <row r="6820">
      <c r="A6820" s="431"/>
    </row>
    <row r="6821">
      <c r="A6821" s="431"/>
    </row>
    <row r="6822">
      <c r="A6822" s="431"/>
    </row>
    <row r="6823">
      <c r="A6823" s="431"/>
    </row>
    <row r="6824">
      <c r="A6824" s="431"/>
    </row>
    <row r="6825">
      <c r="A6825" s="431"/>
    </row>
    <row r="6826">
      <c r="A6826" s="431"/>
    </row>
    <row r="6827">
      <c r="A6827" s="431"/>
    </row>
    <row r="6828">
      <c r="A6828" s="431"/>
    </row>
    <row r="6829">
      <c r="A6829" s="431"/>
    </row>
    <row r="6830">
      <c r="A6830" s="431"/>
    </row>
    <row r="6831">
      <c r="A6831" s="431"/>
    </row>
    <row r="6832">
      <c r="A6832" s="431"/>
    </row>
    <row r="6833">
      <c r="A6833" s="431"/>
    </row>
    <row r="6834">
      <c r="A6834" s="431"/>
    </row>
    <row r="6835">
      <c r="A6835" s="431"/>
    </row>
    <row r="6836">
      <c r="A6836" s="431"/>
    </row>
    <row r="6837">
      <c r="A6837" s="431"/>
    </row>
    <row r="6838">
      <c r="A6838" s="431"/>
    </row>
    <row r="6839">
      <c r="A6839" s="431"/>
    </row>
    <row r="6840">
      <c r="A6840" s="431"/>
    </row>
    <row r="6841">
      <c r="A6841" s="431"/>
    </row>
    <row r="6842">
      <c r="A6842" s="431"/>
    </row>
    <row r="6843">
      <c r="A6843" s="431"/>
    </row>
    <row r="6844">
      <c r="A6844" s="431"/>
    </row>
    <row r="6845">
      <c r="A6845" s="431"/>
    </row>
    <row r="6846">
      <c r="A6846" s="431"/>
    </row>
    <row r="6847">
      <c r="A6847" s="431"/>
    </row>
    <row r="6848">
      <c r="A6848" s="431"/>
    </row>
    <row r="6849">
      <c r="A6849" s="431"/>
    </row>
    <row r="6850">
      <c r="A6850" s="431"/>
    </row>
    <row r="6851">
      <c r="A6851" s="431"/>
    </row>
    <row r="6852">
      <c r="A6852" s="431"/>
    </row>
    <row r="6853">
      <c r="A6853" s="431"/>
    </row>
    <row r="6854">
      <c r="A6854" s="431"/>
    </row>
    <row r="6855">
      <c r="A6855" s="431"/>
    </row>
    <row r="6856">
      <c r="A6856" s="431"/>
    </row>
    <row r="6857">
      <c r="A6857" s="431"/>
    </row>
    <row r="6858">
      <c r="A6858" s="431"/>
    </row>
    <row r="6859">
      <c r="A6859" s="431"/>
    </row>
    <row r="6860">
      <c r="A6860" s="431"/>
    </row>
    <row r="6861">
      <c r="A6861" s="431"/>
    </row>
    <row r="6862">
      <c r="A6862" s="431"/>
    </row>
    <row r="6863">
      <c r="A6863" s="431"/>
    </row>
    <row r="6864">
      <c r="A6864" s="431"/>
    </row>
    <row r="6865">
      <c r="A6865" s="431"/>
    </row>
    <row r="6866">
      <c r="A6866" s="431"/>
    </row>
    <row r="6867">
      <c r="A6867" s="431"/>
    </row>
    <row r="6868">
      <c r="A6868" s="431"/>
    </row>
    <row r="6869">
      <c r="A6869" s="431"/>
    </row>
    <row r="6870">
      <c r="A6870" s="431"/>
    </row>
    <row r="6871">
      <c r="A6871" s="431"/>
    </row>
    <row r="6872">
      <c r="A6872" s="431"/>
    </row>
    <row r="6873">
      <c r="A6873" s="431"/>
    </row>
    <row r="6874">
      <c r="A6874" s="431"/>
    </row>
    <row r="6875">
      <c r="A6875" s="431"/>
    </row>
    <row r="6876">
      <c r="A6876" s="431"/>
    </row>
    <row r="6877">
      <c r="A6877" s="431"/>
    </row>
    <row r="6878">
      <c r="A6878" s="431"/>
    </row>
    <row r="6879">
      <c r="A6879" s="431"/>
    </row>
    <row r="6880">
      <c r="A6880" s="431"/>
    </row>
    <row r="6881">
      <c r="A6881" s="431"/>
    </row>
    <row r="6882">
      <c r="A6882" s="431"/>
    </row>
    <row r="6883">
      <c r="A6883" s="431"/>
    </row>
    <row r="6884">
      <c r="A6884" s="431"/>
    </row>
    <row r="6885">
      <c r="A6885" s="431"/>
    </row>
    <row r="6886">
      <c r="A6886" s="431"/>
    </row>
    <row r="6887">
      <c r="A6887" s="431"/>
    </row>
    <row r="6888">
      <c r="A6888" s="431"/>
    </row>
    <row r="6889">
      <c r="A6889" s="431"/>
    </row>
    <row r="6890">
      <c r="A6890" s="431"/>
    </row>
    <row r="6891">
      <c r="A6891" s="431"/>
    </row>
    <row r="6892">
      <c r="A6892" s="431"/>
    </row>
    <row r="6893">
      <c r="A6893" s="431"/>
    </row>
    <row r="6894">
      <c r="A6894" s="431"/>
    </row>
    <row r="6895">
      <c r="A6895" s="431"/>
    </row>
    <row r="6896">
      <c r="A6896" s="431"/>
    </row>
    <row r="6897">
      <c r="A6897" s="431"/>
    </row>
    <row r="6898">
      <c r="A6898" s="431"/>
    </row>
    <row r="6899">
      <c r="A6899" s="431"/>
    </row>
    <row r="6900">
      <c r="A6900" s="431"/>
    </row>
    <row r="6901">
      <c r="A6901" s="431"/>
    </row>
    <row r="6902">
      <c r="A6902" s="431"/>
    </row>
    <row r="6903">
      <c r="A6903" s="431"/>
    </row>
    <row r="6904">
      <c r="A6904" s="431"/>
    </row>
    <row r="6905">
      <c r="A6905" s="431"/>
    </row>
    <row r="6906">
      <c r="A6906" s="431"/>
    </row>
    <row r="6907">
      <c r="A6907" s="431"/>
    </row>
    <row r="6908">
      <c r="A6908" s="431"/>
    </row>
    <row r="6909">
      <c r="A6909" s="431"/>
    </row>
    <row r="6910">
      <c r="A6910" s="431"/>
    </row>
    <row r="6911">
      <c r="A6911" s="431"/>
    </row>
    <row r="6912">
      <c r="A6912" s="431"/>
    </row>
    <row r="6913">
      <c r="A6913" s="431"/>
    </row>
    <row r="6914">
      <c r="A6914" s="431"/>
    </row>
    <row r="6915">
      <c r="A6915" s="431"/>
    </row>
    <row r="6916">
      <c r="A6916" s="431"/>
    </row>
    <row r="6917">
      <c r="A6917" s="431"/>
    </row>
    <row r="6918">
      <c r="A6918" s="431"/>
    </row>
    <row r="6919">
      <c r="A6919" s="431"/>
    </row>
    <row r="6920">
      <c r="A6920" s="431"/>
    </row>
    <row r="6921">
      <c r="A6921" s="431"/>
    </row>
    <row r="6922">
      <c r="A6922" s="431"/>
    </row>
    <row r="6923">
      <c r="A6923" s="431"/>
    </row>
    <row r="6924">
      <c r="A6924" s="431"/>
    </row>
    <row r="6925">
      <c r="A6925" s="431"/>
    </row>
    <row r="6926">
      <c r="A6926" s="431"/>
    </row>
    <row r="6927">
      <c r="A6927" s="431"/>
    </row>
    <row r="6928">
      <c r="A6928" s="431"/>
    </row>
    <row r="6929">
      <c r="A6929" s="431"/>
    </row>
    <row r="6930">
      <c r="A6930" s="431"/>
    </row>
    <row r="6931">
      <c r="A6931" s="431"/>
    </row>
    <row r="6932">
      <c r="A6932" s="431"/>
    </row>
    <row r="6933">
      <c r="A6933" s="431"/>
    </row>
    <row r="6934">
      <c r="A6934" s="431"/>
    </row>
    <row r="6935">
      <c r="A6935" s="431"/>
    </row>
    <row r="6936">
      <c r="A6936" s="431"/>
    </row>
    <row r="6937">
      <c r="A6937" s="431"/>
    </row>
    <row r="6938">
      <c r="A6938" s="431"/>
    </row>
    <row r="6939">
      <c r="A6939" s="431"/>
    </row>
    <row r="6940">
      <c r="A6940" s="431"/>
    </row>
    <row r="6941">
      <c r="A6941" s="431"/>
    </row>
    <row r="6942">
      <c r="A6942" s="431"/>
    </row>
    <row r="6943">
      <c r="A6943" s="431"/>
    </row>
    <row r="6944">
      <c r="A6944" s="431"/>
    </row>
    <row r="6945">
      <c r="A6945" s="431"/>
    </row>
    <row r="6946">
      <c r="A6946" s="431"/>
    </row>
    <row r="6947">
      <c r="A6947" s="431"/>
    </row>
    <row r="6948">
      <c r="A6948" s="431"/>
    </row>
    <row r="6949">
      <c r="A6949" s="431"/>
    </row>
    <row r="6950">
      <c r="A6950" s="431"/>
    </row>
    <row r="6951">
      <c r="A6951" s="431"/>
    </row>
    <row r="6952">
      <c r="A6952" s="431"/>
    </row>
    <row r="6953">
      <c r="A6953" s="431"/>
    </row>
    <row r="6954">
      <c r="A6954" s="431"/>
    </row>
    <row r="6955">
      <c r="A6955" s="431"/>
    </row>
    <row r="6956">
      <c r="A6956" s="431"/>
    </row>
    <row r="6957">
      <c r="A6957" s="431"/>
    </row>
    <row r="6958">
      <c r="A6958" s="431"/>
    </row>
    <row r="6959">
      <c r="A6959" s="431"/>
    </row>
    <row r="6960">
      <c r="A6960" s="431"/>
    </row>
    <row r="6961">
      <c r="A6961" s="431"/>
    </row>
    <row r="6962">
      <c r="A6962" s="431"/>
    </row>
    <row r="6963">
      <c r="A6963" s="431"/>
    </row>
    <row r="6964">
      <c r="A6964" s="431"/>
    </row>
    <row r="6965">
      <c r="A6965" s="431"/>
    </row>
    <row r="6966">
      <c r="A6966" s="431"/>
    </row>
    <row r="6967">
      <c r="A6967" s="431"/>
    </row>
    <row r="6968">
      <c r="A6968" s="431"/>
    </row>
    <row r="6969">
      <c r="A6969" s="431"/>
    </row>
    <row r="6970">
      <c r="A6970" s="431"/>
    </row>
    <row r="6971">
      <c r="A6971" s="431"/>
    </row>
    <row r="6972">
      <c r="A6972" s="431"/>
    </row>
    <row r="6973">
      <c r="A6973" s="431"/>
    </row>
    <row r="6974">
      <c r="A6974" s="431"/>
    </row>
    <row r="6975">
      <c r="A6975" s="431"/>
    </row>
    <row r="6976">
      <c r="A6976" s="431"/>
    </row>
    <row r="6977">
      <c r="A6977" s="431"/>
    </row>
    <row r="6978">
      <c r="A6978" s="431"/>
    </row>
    <row r="6979">
      <c r="A6979" s="431"/>
    </row>
    <row r="6980">
      <c r="A6980" s="431"/>
    </row>
    <row r="6981">
      <c r="A6981" s="431"/>
    </row>
    <row r="6982">
      <c r="A6982" s="431"/>
    </row>
    <row r="6983">
      <c r="A6983" s="431"/>
    </row>
    <row r="6984">
      <c r="A6984" s="431"/>
    </row>
    <row r="6985">
      <c r="A6985" s="431"/>
    </row>
    <row r="6986">
      <c r="A6986" s="431"/>
    </row>
    <row r="6987">
      <c r="A6987" s="431"/>
    </row>
    <row r="6988">
      <c r="A6988" s="431"/>
    </row>
    <row r="6989">
      <c r="A6989" s="431"/>
    </row>
    <row r="6990">
      <c r="A6990" s="431"/>
    </row>
    <row r="6991">
      <c r="A6991" s="431"/>
    </row>
    <row r="6992">
      <c r="A6992" s="431"/>
    </row>
    <row r="6993">
      <c r="A6993" s="431"/>
    </row>
    <row r="6994">
      <c r="A6994" s="431"/>
    </row>
    <row r="6995">
      <c r="A6995" s="431"/>
    </row>
    <row r="6996">
      <c r="A6996" s="431"/>
    </row>
    <row r="6997">
      <c r="A6997" s="431"/>
    </row>
    <row r="6998">
      <c r="A6998" s="431"/>
    </row>
    <row r="6999">
      <c r="A6999" s="431"/>
    </row>
    <row r="7000">
      <c r="A7000" s="431"/>
    </row>
    <row r="7001">
      <c r="A7001" s="431"/>
    </row>
    <row r="7002">
      <c r="A7002" s="431"/>
    </row>
    <row r="7003">
      <c r="A7003" s="431"/>
    </row>
    <row r="7004">
      <c r="A7004" s="431"/>
    </row>
    <row r="7005">
      <c r="A7005" s="431"/>
    </row>
    <row r="7006">
      <c r="A7006" s="431"/>
    </row>
    <row r="7007">
      <c r="A7007" s="431"/>
    </row>
    <row r="7008">
      <c r="A7008" s="431"/>
    </row>
    <row r="7009">
      <c r="A7009" s="431"/>
    </row>
    <row r="7010">
      <c r="A7010" s="431"/>
    </row>
    <row r="7011">
      <c r="A7011" s="431"/>
    </row>
    <row r="7012">
      <c r="A7012" s="431"/>
    </row>
    <row r="7013">
      <c r="A7013" s="431"/>
    </row>
    <row r="7014">
      <c r="A7014" s="431"/>
    </row>
    <row r="7015">
      <c r="A7015" s="431"/>
    </row>
    <row r="7016">
      <c r="A7016" s="431"/>
    </row>
    <row r="7017">
      <c r="A7017" s="431"/>
    </row>
    <row r="7018">
      <c r="A7018" s="431"/>
    </row>
    <row r="7019">
      <c r="A7019" s="431"/>
    </row>
    <row r="7020">
      <c r="A7020" s="431"/>
    </row>
    <row r="7021">
      <c r="A7021" s="431"/>
    </row>
    <row r="7022">
      <c r="A7022" s="431"/>
    </row>
    <row r="7023">
      <c r="A7023" s="431"/>
    </row>
    <row r="7024">
      <c r="A7024" s="431"/>
    </row>
    <row r="7025">
      <c r="A7025" s="431"/>
    </row>
    <row r="7026">
      <c r="A7026" s="431"/>
    </row>
    <row r="7027">
      <c r="A7027" s="431"/>
    </row>
    <row r="7028">
      <c r="A7028" s="431"/>
    </row>
    <row r="7029">
      <c r="A7029" s="431"/>
    </row>
    <row r="7030">
      <c r="A7030" s="431"/>
    </row>
    <row r="7031">
      <c r="A7031" s="431"/>
    </row>
    <row r="7032">
      <c r="A7032" s="431"/>
    </row>
    <row r="7033">
      <c r="A7033" s="431"/>
    </row>
    <row r="7034">
      <c r="A7034" s="431"/>
    </row>
    <row r="7035">
      <c r="A7035" s="431"/>
    </row>
    <row r="7036">
      <c r="A7036" s="431"/>
    </row>
    <row r="7037">
      <c r="A7037" s="431"/>
    </row>
    <row r="7038">
      <c r="A7038" s="431"/>
    </row>
    <row r="7039">
      <c r="A7039" s="431"/>
    </row>
    <row r="7040">
      <c r="A7040" s="431"/>
    </row>
    <row r="7041">
      <c r="A7041" s="431"/>
    </row>
    <row r="7042">
      <c r="A7042" s="431"/>
    </row>
    <row r="7043">
      <c r="A7043" s="431"/>
    </row>
    <row r="7044">
      <c r="A7044" s="431"/>
    </row>
    <row r="7045">
      <c r="A7045" s="431"/>
    </row>
    <row r="7046">
      <c r="A7046" s="431"/>
    </row>
    <row r="7047">
      <c r="A7047" s="431"/>
    </row>
    <row r="7048">
      <c r="A7048" s="431"/>
    </row>
    <row r="7049">
      <c r="A7049" s="431"/>
    </row>
    <row r="7050">
      <c r="A7050" s="431"/>
    </row>
    <row r="7051">
      <c r="A7051" s="431"/>
    </row>
    <row r="7052">
      <c r="A7052" s="431"/>
    </row>
    <row r="7053">
      <c r="A7053" s="431"/>
    </row>
    <row r="7054">
      <c r="A7054" s="431"/>
    </row>
    <row r="7055">
      <c r="A7055" s="431"/>
    </row>
    <row r="7056">
      <c r="A7056" s="431"/>
    </row>
    <row r="7057">
      <c r="A7057" s="431"/>
    </row>
    <row r="7058">
      <c r="A7058" s="431"/>
    </row>
    <row r="7059">
      <c r="A7059" s="431"/>
    </row>
    <row r="7060">
      <c r="A7060" s="431"/>
    </row>
    <row r="7061">
      <c r="A7061" s="431"/>
    </row>
    <row r="7062">
      <c r="A7062" s="431"/>
    </row>
    <row r="7063">
      <c r="A7063" s="431"/>
    </row>
    <row r="7064">
      <c r="A7064" s="431"/>
    </row>
    <row r="7065">
      <c r="A7065" s="431"/>
    </row>
    <row r="7066">
      <c r="A7066" s="431"/>
    </row>
    <row r="7067">
      <c r="A7067" s="431"/>
    </row>
    <row r="7068">
      <c r="A7068" s="431"/>
    </row>
    <row r="7069">
      <c r="A7069" s="431"/>
    </row>
    <row r="7070">
      <c r="A7070" s="431"/>
    </row>
    <row r="7071">
      <c r="A7071" s="431"/>
    </row>
    <row r="7072">
      <c r="A7072" s="431"/>
    </row>
    <row r="7073">
      <c r="A7073" s="431"/>
    </row>
    <row r="7074">
      <c r="A7074" s="431"/>
    </row>
    <row r="7075">
      <c r="A7075" s="431"/>
    </row>
    <row r="7076">
      <c r="A7076" s="431"/>
    </row>
    <row r="7077">
      <c r="A7077" s="431"/>
    </row>
    <row r="7078">
      <c r="A7078" s="431"/>
    </row>
    <row r="7079">
      <c r="A7079" s="431"/>
    </row>
    <row r="7080">
      <c r="A7080" s="431"/>
    </row>
    <row r="7081">
      <c r="A7081" s="431"/>
    </row>
    <row r="7082">
      <c r="A7082" s="431"/>
    </row>
    <row r="7083">
      <c r="A7083" s="431"/>
    </row>
    <row r="7084">
      <c r="A7084" s="431"/>
    </row>
    <row r="7085">
      <c r="A7085" s="431"/>
    </row>
    <row r="7086">
      <c r="A7086" s="431"/>
    </row>
    <row r="7087">
      <c r="A7087" s="431"/>
    </row>
    <row r="7088">
      <c r="A7088" s="431"/>
    </row>
    <row r="7089">
      <c r="A7089" s="431"/>
    </row>
    <row r="7090">
      <c r="A7090" s="431"/>
    </row>
    <row r="7091">
      <c r="A7091" s="431"/>
    </row>
    <row r="7092">
      <c r="A7092" s="431"/>
    </row>
    <row r="7093">
      <c r="A7093" s="431"/>
    </row>
    <row r="7094">
      <c r="A7094" s="431"/>
    </row>
    <row r="7095">
      <c r="A7095" s="431"/>
    </row>
    <row r="7096">
      <c r="A7096" s="431"/>
    </row>
    <row r="7097">
      <c r="A7097" s="431"/>
    </row>
    <row r="7098">
      <c r="A7098" s="431"/>
    </row>
    <row r="7099">
      <c r="A7099" s="431"/>
    </row>
    <row r="7100">
      <c r="A7100" s="431"/>
    </row>
    <row r="7101">
      <c r="A7101" s="431"/>
    </row>
    <row r="7102">
      <c r="A7102" s="431"/>
    </row>
    <row r="7103">
      <c r="A7103" s="431"/>
    </row>
    <row r="7104">
      <c r="A7104" s="431"/>
    </row>
    <row r="7105">
      <c r="A7105" s="431"/>
    </row>
    <row r="7106">
      <c r="A7106" s="431"/>
    </row>
    <row r="7107">
      <c r="A7107" s="431"/>
    </row>
    <row r="7108">
      <c r="A7108" s="431"/>
    </row>
    <row r="7109">
      <c r="A7109" s="431"/>
    </row>
    <row r="7110">
      <c r="A7110" s="431"/>
    </row>
    <row r="7111">
      <c r="A7111" s="431"/>
    </row>
    <row r="7112">
      <c r="A7112" s="431"/>
    </row>
    <row r="7113">
      <c r="A7113" s="431"/>
    </row>
    <row r="7114">
      <c r="A7114" s="431"/>
    </row>
    <row r="7115">
      <c r="A7115" s="431"/>
    </row>
    <row r="7116">
      <c r="A7116" s="431"/>
    </row>
    <row r="7117">
      <c r="A7117" s="431"/>
    </row>
    <row r="7118">
      <c r="A7118" s="431"/>
    </row>
    <row r="7119">
      <c r="A7119" s="431"/>
    </row>
    <row r="7120">
      <c r="A7120" s="431"/>
    </row>
    <row r="7121">
      <c r="A7121" s="431"/>
    </row>
    <row r="7122">
      <c r="A7122" s="431"/>
    </row>
    <row r="7123">
      <c r="A7123" s="431"/>
    </row>
    <row r="7124">
      <c r="A7124" s="431"/>
    </row>
    <row r="7125">
      <c r="A7125" s="431"/>
    </row>
    <row r="7126">
      <c r="A7126" s="431"/>
    </row>
    <row r="7127">
      <c r="A7127" s="431"/>
    </row>
    <row r="7128">
      <c r="A7128" s="431"/>
    </row>
    <row r="7129">
      <c r="A7129" s="431"/>
    </row>
    <row r="7130">
      <c r="A7130" s="431"/>
    </row>
    <row r="7131">
      <c r="A7131" s="431"/>
    </row>
    <row r="7132">
      <c r="A7132" s="431"/>
    </row>
    <row r="7133">
      <c r="A7133" s="431"/>
    </row>
    <row r="7134">
      <c r="A7134" s="431"/>
    </row>
    <row r="7135">
      <c r="A7135" s="431"/>
    </row>
    <row r="7136">
      <c r="A7136" s="431"/>
    </row>
    <row r="7137">
      <c r="A7137" s="431"/>
    </row>
    <row r="7138">
      <c r="A7138" s="431"/>
    </row>
    <row r="7139">
      <c r="A7139" s="431"/>
    </row>
    <row r="7140">
      <c r="A7140" s="431"/>
    </row>
    <row r="7141">
      <c r="A7141" s="431"/>
    </row>
    <row r="7142">
      <c r="A7142" s="431"/>
    </row>
    <row r="7143">
      <c r="A7143" s="431"/>
    </row>
    <row r="7144">
      <c r="A7144" s="431"/>
    </row>
    <row r="7145">
      <c r="A7145" s="431"/>
    </row>
    <row r="7146">
      <c r="A7146" s="431"/>
    </row>
    <row r="7147">
      <c r="A7147" s="431"/>
    </row>
    <row r="7148">
      <c r="A7148" s="431"/>
    </row>
    <row r="7149">
      <c r="A7149" s="431"/>
    </row>
    <row r="7150">
      <c r="A7150" s="431"/>
    </row>
    <row r="7151">
      <c r="A7151" s="431"/>
    </row>
    <row r="7152">
      <c r="A7152" s="431"/>
    </row>
    <row r="7153">
      <c r="A7153" s="431"/>
    </row>
    <row r="7154">
      <c r="A7154" s="431"/>
    </row>
    <row r="7155">
      <c r="A7155" s="431"/>
    </row>
    <row r="7156">
      <c r="A7156" s="431"/>
    </row>
    <row r="7157">
      <c r="A7157" s="431"/>
    </row>
    <row r="7158">
      <c r="A7158" s="431"/>
    </row>
    <row r="7159">
      <c r="A7159" s="431"/>
    </row>
    <row r="7160">
      <c r="A7160" s="431"/>
    </row>
    <row r="7161">
      <c r="A7161" s="431"/>
    </row>
    <row r="7162">
      <c r="A7162" s="431"/>
    </row>
    <row r="7163">
      <c r="A7163" s="431"/>
    </row>
    <row r="7164">
      <c r="A7164" s="431"/>
    </row>
    <row r="7165">
      <c r="A7165" s="431"/>
    </row>
    <row r="7166">
      <c r="A7166" s="431"/>
    </row>
    <row r="7167">
      <c r="A7167" s="431"/>
    </row>
    <row r="7168">
      <c r="A7168" s="431"/>
    </row>
    <row r="7169">
      <c r="A7169" s="431"/>
    </row>
    <row r="7170">
      <c r="A7170" s="431"/>
    </row>
    <row r="7171">
      <c r="A7171" s="431"/>
    </row>
    <row r="7172">
      <c r="A7172" s="431"/>
    </row>
    <row r="7173">
      <c r="A7173" s="431"/>
    </row>
    <row r="7174">
      <c r="A7174" s="431"/>
    </row>
    <row r="7175">
      <c r="A7175" s="431"/>
    </row>
    <row r="7176">
      <c r="A7176" s="431"/>
    </row>
    <row r="7177">
      <c r="A7177" s="431"/>
    </row>
    <row r="7178">
      <c r="A7178" s="431"/>
    </row>
    <row r="7179">
      <c r="A7179" s="431"/>
    </row>
    <row r="7180">
      <c r="A7180" s="431"/>
    </row>
    <row r="7181">
      <c r="A7181" s="431"/>
    </row>
    <row r="7182">
      <c r="A7182" s="431"/>
    </row>
    <row r="7183">
      <c r="A7183" s="431"/>
    </row>
    <row r="7184">
      <c r="A7184" s="431"/>
    </row>
    <row r="7185">
      <c r="A7185" s="431"/>
    </row>
    <row r="7186">
      <c r="A7186" s="431"/>
    </row>
    <row r="7187">
      <c r="A7187" s="431"/>
    </row>
    <row r="7188">
      <c r="A7188" s="431"/>
    </row>
    <row r="7189">
      <c r="A7189" s="431"/>
    </row>
    <row r="7190">
      <c r="A7190" s="431"/>
    </row>
    <row r="7191">
      <c r="A7191" s="431"/>
    </row>
    <row r="7192">
      <c r="A7192" s="431"/>
    </row>
    <row r="7193">
      <c r="A7193" s="431"/>
    </row>
    <row r="7194">
      <c r="A7194" s="431"/>
    </row>
    <row r="7195">
      <c r="A7195" s="431"/>
    </row>
    <row r="7196">
      <c r="A7196" s="431"/>
    </row>
    <row r="7197">
      <c r="A7197" s="431"/>
    </row>
    <row r="7198">
      <c r="A7198" s="431"/>
    </row>
    <row r="7199">
      <c r="A7199" s="431"/>
    </row>
    <row r="7200">
      <c r="A7200" s="431"/>
    </row>
    <row r="7201">
      <c r="A7201" s="431"/>
    </row>
    <row r="7202">
      <c r="A7202" s="431"/>
    </row>
    <row r="7203">
      <c r="A7203" s="431"/>
    </row>
    <row r="7204">
      <c r="A7204" s="431"/>
    </row>
    <row r="7205">
      <c r="A7205" s="431"/>
    </row>
    <row r="7206">
      <c r="A7206" s="431"/>
    </row>
    <row r="7207">
      <c r="A7207" s="431"/>
    </row>
    <row r="7208">
      <c r="A7208" s="431"/>
    </row>
    <row r="7209">
      <c r="A7209" s="431"/>
    </row>
    <row r="7210">
      <c r="A7210" s="431"/>
    </row>
    <row r="7211">
      <c r="A7211" s="431"/>
    </row>
    <row r="7212">
      <c r="A7212" s="431"/>
    </row>
    <row r="7213">
      <c r="A7213" s="431"/>
    </row>
    <row r="7214">
      <c r="A7214" s="431"/>
    </row>
    <row r="7215">
      <c r="A7215" s="431"/>
    </row>
    <row r="7216">
      <c r="A7216" s="431"/>
    </row>
    <row r="7217">
      <c r="A7217" s="431"/>
    </row>
    <row r="7218">
      <c r="A7218" s="431"/>
    </row>
    <row r="7219">
      <c r="A7219" s="431"/>
    </row>
    <row r="7220">
      <c r="A7220" s="431"/>
    </row>
    <row r="7221">
      <c r="A7221" s="431"/>
    </row>
    <row r="7222">
      <c r="A7222" s="431"/>
    </row>
    <row r="7223">
      <c r="A7223" s="431"/>
    </row>
    <row r="7224">
      <c r="A7224" s="431"/>
    </row>
    <row r="7225">
      <c r="A7225" s="431"/>
    </row>
    <row r="7226">
      <c r="A7226" s="431"/>
    </row>
    <row r="7227">
      <c r="A7227" s="431"/>
    </row>
    <row r="7228">
      <c r="A7228" s="431"/>
    </row>
    <row r="7229">
      <c r="A7229" s="431"/>
    </row>
    <row r="7230">
      <c r="A7230" s="431"/>
    </row>
    <row r="7231">
      <c r="A7231" s="431"/>
    </row>
    <row r="7232">
      <c r="A7232" s="431"/>
    </row>
    <row r="7233">
      <c r="A7233" s="431"/>
    </row>
    <row r="7234">
      <c r="A7234" s="431"/>
    </row>
    <row r="7235">
      <c r="A7235" s="431"/>
    </row>
    <row r="7236">
      <c r="A7236" s="431"/>
    </row>
    <row r="7237">
      <c r="A7237" s="431"/>
    </row>
    <row r="7238">
      <c r="A7238" s="431"/>
    </row>
    <row r="7239">
      <c r="A7239" s="431"/>
    </row>
    <row r="7240">
      <c r="A7240" s="431"/>
    </row>
    <row r="7241">
      <c r="A7241" s="431"/>
    </row>
    <row r="7242">
      <c r="A7242" s="431"/>
    </row>
    <row r="7243">
      <c r="A7243" s="431"/>
    </row>
    <row r="7244">
      <c r="A7244" s="431"/>
    </row>
    <row r="7245">
      <c r="A7245" s="431"/>
    </row>
    <row r="7246">
      <c r="A7246" s="431"/>
    </row>
    <row r="7247">
      <c r="A7247" s="431"/>
    </row>
    <row r="7248">
      <c r="A7248" s="431"/>
    </row>
    <row r="7249">
      <c r="A7249" s="431"/>
    </row>
    <row r="7250">
      <c r="A7250" s="431"/>
    </row>
    <row r="7251">
      <c r="A7251" s="431"/>
    </row>
    <row r="7252">
      <c r="A7252" s="431"/>
    </row>
    <row r="7253">
      <c r="A7253" s="431"/>
    </row>
    <row r="7254">
      <c r="A7254" s="431"/>
    </row>
    <row r="7255">
      <c r="A7255" s="431"/>
    </row>
    <row r="7256">
      <c r="A7256" s="431"/>
    </row>
    <row r="7257">
      <c r="A7257" s="431"/>
    </row>
    <row r="7258">
      <c r="A7258" s="431"/>
    </row>
    <row r="7259">
      <c r="A7259" s="431"/>
    </row>
    <row r="7260">
      <c r="A7260" s="431"/>
    </row>
    <row r="7261">
      <c r="A7261" s="431"/>
    </row>
    <row r="7262">
      <c r="A7262" s="431"/>
    </row>
    <row r="7263">
      <c r="A7263" s="431"/>
    </row>
    <row r="7264">
      <c r="A7264" s="431"/>
    </row>
    <row r="7265">
      <c r="A7265" s="431"/>
    </row>
    <row r="7266">
      <c r="A7266" s="431"/>
    </row>
    <row r="7267">
      <c r="A7267" s="431"/>
    </row>
    <row r="7268">
      <c r="A7268" s="431"/>
    </row>
    <row r="7269">
      <c r="A7269" s="431"/>
    </row>
    <row r="7270">
      <c r="A7270" s="431"/>
    </row>
    <row r="7271">
      <c r="A7271" s="431"/>
    </row>
    <row r="7272">
      <c r="A7272" s="431"/>
    </row>
    <row r="7273">
      <c r="A7273" s="431"/>
    </row>
    <row r="7274">
      <c r="A7274" s="431"/>
    </row>
    <row r="7275">
      <c r="A7275" s="431"/>
    </row>
    <row r="7276">
      <c r="A7276" s="431"/>
    </row>
    <row r="7277">
      <c r="A7277" s="431"/>
    </row>
    <row r="7278">
      <c r="A7278" s="431"/>
    </row>
    <row r="7279">
      <c r="A7279" s="431"/>
    </row>
    <row r="7280">
      <c r="A7280" s="431"/>
    </row>
    <row r="7281">
      <c r="A7281" s="431"/>
    </row>
    <row r="7282">
      <c r="A7282" s="431"/>
    </row>
    <row r="7283">
      <c r="A7283" s="431"/>
    </row>
    <row r="7284">
      <c r="A7284" s="431"/>
    </row>
    <row r="7285">
      <c r="A7285" s="431"/>
    </row>
    <row r="7286">
      <c r="A7286" s="431"/>
    </row>
    <row r="7287">
      <c r="A7287" s="431"/>
    </row>
    <row r="7288">
      <c r="A7288" s="431"/>
    </row>
    <row r="7289">
      <c r="A7289" s="431"/>
    </row>
    <row r="7290">
      <c r="A7290" s="431"/>
    </row>
    <row r="7291">
      <c r="A7291" s="431"/>
    </row>
    <row r="7292">
      <c r="A7292" s="431"/>
    </row>
    <row r="7293">
      <c r="A7293" s="431"/>
    </row>
    <row r="7294">
      <c r="A7294" s="431"/>
    </row>
    <row r="7295">
      <c r="A7295" s="431"/>
    </row>
    <row r="7296">
      <c r="A7296" s="431"/>
    </row>
    <row r="7297">
      <c r="A7297" s="431"/>
    </row>
    <row r="7298">
      <c r="A7298" s="431"/>
    </row>
    <row r="7299">
      <c r="A7299" s="431"/>
    </row>
    <row r="7300">
      <c r="A7300" s="431"/>
    </row>
    <row r="7301">
      <c r="A7301" s="431"/>
    </row>
    <row r="7302">
      <c r="A7302" s="431"/>
    </row>
    <row r="7303">
      <c r="A7303" s="431"/>
    </row>
    <row r="7304">
      <c r="A7304" s="431"/>
    </row>
    <row r="7305">
      <c r="A7305" s="431"/>
    </row>
    <row r="7306">
      <c r="A7306" s="431"/>
    </row>
    <row r="7307">
      <c r="A7307" s="431"/>
    </row>
    <row r="7308">
      <c r="A7308" s="431"/>
    </row>
    <row r="7309">
      <c r="A7309" s="431"/>
    </row>
    <row r="7310">
      <c r="A7310" s="431"/>
    </row>
    <row r="7311">
      <c r="A7311" s="431"/>
    </row>
    <row r="7312">
      <c r="A7312" s="431"/>
    </row>
    <row r="7313">
      <c r="A7313" s="431"/>
    </row>
    <row r="7314">
      <c r="A7314" s="431"/>
    </row>
    <row r="7315">
      <c r="A7315" s="431"/>
    </row>
    <row r="7316">
      <c r="A7316" s="431"/>
    </row>
    <row r="7317">
      <c r="A7317" s="431"/>
    </row>
    <row r="7318">
      <c r="A7318" s="431"/>
    </row>
    <row r="7319">
      <c r="A7319" s="431"/>
    </row>
    <row r="7320">
      <c r="A7320" s="431"/>
    </row>
    <row r="7321">
      <c r="A7321" s="431"/>
    </row>
    <row r="7322">
      <c r="A7322" s="431"/>
    </row>
    <row r="7323">
      <c r="A7323" s="431"/>
    </row>
    <row r="7324">
      <c r="A7324" s="431"/>
    </row>
    <row r="7325">
      <c r="A7325" s="431"/>
    </row>
    <row r="7326">
      <c r="A7326" s="431"/>
    </row>
    <row r="7327">
      <c r="A7327" s="431"/>
    </row>
    <row r="7328">
      <c r="A7328" s="431"/>
    </row>
    <row r="7329">
      <c r="A7329" s="431"/>
    </row>
    <row r="7330">
      <c r="A7330" s="431"/>
    </row>
    <row r="7331">
      <c r="A7331" s="431"/>
    </row>
    <row r="7332">
      <c r="A7332" s="431"/>
    </row>
    <row r="7333">
      <c r="A7333" s="431"/>
    </row>
    <row r="7334">
      <c r="A7334" s="431"/>
    </row>
    <row r="7335">
      <c r="A7335" s="431"/>
    </row>
    <row r="7336">
      <c r="A7336" s="431"/>
    </row>
    <row r="7337">
      <c r="A7337" s="431"/>
    </row>
    <row r="7338">
      <c r="A7338" s="431"/>
    </row>
    <row r="7339">
      <c r="A7339" s="431"/>
    </row>
    <row r="7340">
      <c r="A7340" s="431"/>
    </row>
    <row r="7341">
      <c r="A7341" s="431"/>
    </row>
    <row r="7342">
      <c r="A7342" s="431"/>
    </row>
    <row r="7343">
      <c r="A7343" s="431"/>
    </row>
    <row r="7344">
      <c r="A7344" s="431"/>
    </row>
    <row r="7345">
      <c r="A7345" s="431"/>
    </row>
    <row r="7346">
      <c r="A7346" s="431"/>
    </row>
    <row r="7347">
      <c r="A7347" s="431"/>
    </row>
    <row r="7348">
      <c r="A7348" s="431"/>
    </row>
    <row r="7349">
      <c r="A7349" s="431"/>
    </row>
    <row r="7350">
      <c r="A7350" s="431"/>
    </row>
    <row r="7351">
      <c r="A7351" s="431"/>
    </row>
    <row r="7352">
      <c r="A7352" s="431"/>
    </row>
    <row r="7353">
      <c r="A7353" s="431"/>
    </row>
    <row r="7354">
      <c r="A7354" s="431"/>
    </row>
    <row r="7355">
      <c r="A7355" s="431"/>
    </row>
    <row r="7356">
      <c r="A7356" s="431"/>
    </row>
    <row r="7357">
      <c r="A7357" s="431"/>
    </row>
    <row r="7358">
      <c r="A7358" s="431"/>
    </row>
    <row r="7359">
      <c r="A7359" s="431"/>
    </row>
    <row r="7360">
      <c r="A7360" s="431"/>
    </row>
    <row r="7361">
      <c r="A7361" s="431"/>
    </row>
    <row r="7362">
      <c r="A7362" s="431"/>
    </row>
    <row r="7363">
      <c r="A7363" s="431"/>
    </row>
    <row r="7364">
      <c r="A7364" s="431"/>
    </row>
    <row r="7365">
      <c r="A7365" s="431"/>
    </row>
    <row r="7366">
      <c r="A7366" s="431"/>
    </row>
    <row r="7367">
      <c r="A7367" s="431"/>
    </row>
    <row r="7368">
      <c r="A7368" s="431"/>
    </row>
    <row r="7369">
      <c r="A7369" s="431"/>
    </row>
    <row r="7370">
      <c r="A7370" s="431"/>
    </row>
    <row r="7371">
      <c r="A7371" s="431"/>
    </row>
    <row r="7372">
      <c r="A7372" s="431"/>
    </row>
    <row r="7373">
      <c r="A7373" s="431"/>
    </row>
    <row r="7374">
      <c r="A7374" s="431"/>
    </row>
    <row r="7375">
      <c r="A7375" s="431"/>
    </row>
    <row r="7376">
      <c r="A7376" s="431"/>
    </row>
    <row r="7377">
      <c r="A7377" s="431"/>
    </row>
    <row r="7378">
      <c r="A7378" s="431"/>
    </row>
    <row r="7379">
      <c r="A7379" s="431"/>
    </row>
    <row r="7380">
      <c r="A7380" s="431"/>
    </row>
    <row r="7381">
      <c r="A7381" s="431"/>
    </row>
    <row r="7382">
      <c r="A7382" s="431"/>
    </row>
    <row r="7383">
      <c r="A7383" s="431"/>
    </row>
    <row r="7384">
      <c r="A7384" s="431"/>
    </row>
    <row r="7385">
      <c r="A7385" s="431"/>
    </row>
    <row r="7386">
      <c r="A7386" s="431"/>
    </row>
    <row r="7387">
      <c r="A7387" s="431"/>
    </row>
    <row r="7388">
      <c r="A7388" s="431"/>
    </row>
    <row r="7389">
      <c r="A7389" s="431"/>
    </row>
    <row r="7390">
      <c r="A7390" s="431"/>
    </row>
    <row r="7391">
      <c r="A7391" s="431"/>
    </row>
    <row r="7392">
      <c r="A7392" s="431"/>
    </row>
    <row r="7393">
      <c r="A7393" s="431"/>
    </row>
    <row r="7394">
      <c r="A7394" s="431"/>
    </row>
    <row r="7395">
      <c r="A7395" s="431"/>
    </row>
    <row r="7396">
      <c r="A7396" s="431"/>
    </row>
    <row r="7397">
      <c r="A7397" s="431"/>
    </row>
    <row r="7398">
      <c r="A7398" s="431"/>
    </row>
    <row r="7399">
      <c r="A7399" s="431"/>
    </row>
    <row r="7400">
      <c r="A7400" s="431"/>
    </row>
    <row r="7401">
      <c r="A7401" s="431"/>
    </row>
    <row r="7402">
      <c r="A7402" s="431"/>
    </row>
    <row r="7403">
      <c r="A7403" s="431"/>
    </row>
    <row r="7404">
      <c r="A7404" s="431"/>
    </row>
    <row r="7405">
      <c r="A7405" s="431"/>
    </row>
    <row r="7406">
      <c r="A7406" s="431"/>
    </row>
    <row r="7407">
      <c r="A7407" s="431"/>
    </row>
    <row r="7408">
      <c r="A7408" s="431"/>
    </row>
    <row r="7409">
      <c r="A7409" s="431"/>
    </row>
    <row r="7410">
      <c r="A7410" s="431"/>
    </row>
    <row r="7411">
      <c r="A7411" s="431"/>
    </row>
    <row r="7412">
      <c r="A7412" s="431"/>
    </row>
    <row r="7413">
      <c r="A7413" s="431"/>
    </row>
    <row r="7414">
      <c r="A7414" s="431"/>
    </row>
    <row r="7415">
      <c r="A7415" s="431"/>
    </row>
    <row r="7416">
      <c r="A7416" s="431"/>
    </row>
    <row r="7417">
      <c r="A7417" s="431"/>
    </row>
    <row r="7418">
      <c r="A7418" s="431"/>
    </row>
    <row r="7419">
      <c r="A7419" s="431"/>
    </row>
    <row r="7420">
      <c r="A7420" s="431"/>
    </row>
    <row r="7421">
      <c r="A7421" s="431"/>
    </row>
    <row r="7422">
      <c r="A7422" s="431"/>
    </row>
    <row r="7423">
      <c r="A7423" s="431"/>
    </row>
    <row r="7424">
      <c r="A7424" s="431"/>
    </row>
    <row r="7425">
      <c r="A7425" s="431"/>
    </row>
    <row r="7426">
      <c r="A7426" s="431"/>
    </row>
    <row r="7427">
      <c r="A7427" s="431"/>
    </row>
    <row r="7428">
      <c r="A7428" s="431"/>
    </row>
    <row r="7429">
      <c r="A7429" s="431"/>
    </row>
    <row r="7430">
      <c r="A7430" s="431"/>
    </row>
    <row r="7431">
      <c r="A7431" s="431"/>
    </row>
    <row r="7432">
      <c r="A7432" s="431"/>
    </row>
    <row r="7433">
      <c r="A7433" s="431"/>
    </row>
    <row r="7434">
      <c r="A7434" s="431"/>
    </row>
    <row r="7435">
      <c r="A7435" s="431"/>
    </row>
    <row r="7436">
      <c r="A7436" s="431"/>
    </row>
    <row r="7437">
      <c r="A7437" s="431"/>
    </row>
    <row r="7438">
      <c r="A7438" s="431"/>
    </row>
    <row r="7439">
      <c r="A7439" s="431"/>
    </row>
    <row r="7440">
      <c r="A7440" s="431"/>
    </row>
    <row r="7441">
      <c r="A7441" s="431"/>
    </row>
    <row r="7442">
      <c r="A7442" s="431"/>
    </row>
    <row r="7443">
      <c r="A7443" s="431"/>
    </row>
    <row r="7444">
      <c r="A7444" s="431"/>
    </row>
    <row r="7445">
      <c r="A7445" s="431"/>
    </row>
    <row r="7446">
      <c r="A7446" s="431"/>
    </row>
    <row r="7447">
      <c r="A7447" s="431"/>
    </row>
    <row r="7448">
      <c r="A7448" s="431"/>
    </row>
    <row r="7449">
      <c r="A7449" s="431"/>
    </row>
    <row r="7450">
      <c r="A7450" s="431"/>
    </row>
    <row r="7451">
      <c r="A7451" s="431"/>
    </row>
    <row r="7452">
      <c r="A7452" s="431"/>
    </row>
    <row r="7453">
      <c r="A7453" s="431"/>
    </row>
    <row r="7454">
      <c r="A7454" s="431"/>
    </row>
    <row r="7455">
      <c r="A7455" s="431"/>
    </row>
    <row r="7456">
      <c r="A7456" s="431"/>
    </row>
    <row r="7457">
      <c r="A7457" s="431"/>
    </row>
    <row r="7458">
      <c r="A7458" s="431"/>
    </row>
    <row r="7459">
      <c r="A7459" s="431"/>
    </row>
    <row r="7460">
      <c r="A7460" s="431"/>
    </row>
    <row r="7461">
      <c r="A7461" s="431"/>
    </row>
    <row r="7462">
      <c r="A7462" s="431"/>
    </row>
    <row r="7463">
      <c r="A7463" s="431"/>
    </row>
    <row r="7464">
      <c r="A7464" s="431"/>
    </row>
    <row r="7465">
      <c r="A7465" s="431"/>
    </row>
    <row r="7466">
      <c r="A7466" s="431"/>
    </row>
    <row r="7467">
      <c r="A7467" s="431"/>
    </row>
    <row r="7468">
      <c r="A7468" s="431"/>
    </row>
    <row r="7469">
      <c r="A7469" s="431"/>
    </row>
    <row r="7470">
      <c r="A7470" s="431"/>
    </row>
    <row r="7471">
      <c r="A7471" s="431"/>
    </row>
    <row r="7472">
      <c r="A7472" s="431"/>
    </row>
    <row r="7473">
      <c r="A7473" s="431"/>
    </row>
    <row r="7474">
      <c r="A7474" s="431"/>
    </row>
    <row r="7475">
      <c r="A7475" s="431"/>
    </row>
    <row r="7476">
      <c r="A7476" s="431"/>
    </row>
    <row r="7477">
      <c r="A7477" s="431"/>
    </row>
    <row r="7478">
      <c r="A7478" s="431"/>
    </row>
    <row r="7479">
      <c r="A7479" s="431"/>
    </row>
    <row r="7480">
      <c r="A7480" s="431"/>
    </row>
    <row r="7481">
      <c r="A7481" s="431"/>
    </row>
    <row r="7482">
      <c r="A7482" s="431"/>
    </row>
    <row r="7483">
      <c r="A7483" s="431"/>
    </row>
    <row r="7484">
      <c r="A7484" s="431"/>
    </row>
    <row r="7485">
      <c r="A7485" s="431"/>
    </row>
    <row r="7486">
      <c r="A7486" s="431"/>
    </row>
    <row r="7487">
      <c r="A7487" s="431"/>
    </row>
    <row r="7488">
      <c r="A7488" s="431"/>
    </row>
    <row r="7489">
      <c r="A7489" s="431"/>
    </row>
    <row r="7490">
      <c r="A7490" s="431"/>
    </row>
    <row r="7491">
      <c r="A7491" s="431"/>
    </row>
    <row r="7492">
      <c r="A7492" s="431"/>
    </row>
    <row r="7493">
      <c r="A7493" s="431"/>
    </row>
    <row r="7494">
      <c r="A7494" s="431"/>
    </row>
    <row r="7495">
      <c r="A7495" s="431"/>
    </row>
    <row r="7496">
      <c r="A7496" s="431"/>
    </row>
    <row r="7497">
      <c r="A7497" s="431"/>
    </row>
    <row r="7498">
      <c r="A7498" s="431"/>
    </row>
    <row r="7499">
      <c r="A7499" s="431"/>
    </row>
    <row r="7500">
      <c r="A7500" s="431"/>
    </row>
    <row r="7501">
      <c r="A7501" s="431"/>
    </row>
    <row r="7502">
      <c r="A7502" s="431"/>
    </row>
    <row r="7503">
      <c r="A7503" s="431"/>
    </row>
    <row r="7504">
      <c r="A7504" s="431"/>
    </row>
    <row r="7505">
      <c r="A7505" s="431"/>
    </row>
    <row r="7506">
      <c r="A7506" s="431"/>
    </row>
    <row r="7507">
      <c r="A7507" s="431"/>
    </row>
    <row r="7508">
      <c r="A7508" s="431"/>
    </row>
    <row r="7509">
      <c r="A7509" s="431"/>
    </row>
    <row r="7510">
      <c r="A7510" s="431"/>
    </row>
    <row r="7511">
      <c r="A7511" s="431"/>
    </row>
    <row r="7512">
      <c r="A7512" s="431"/>
    </row>
    <row r="7513">
      <c r="A7513" s="431"/>
    </row>
    <row r="7514">
      <c r="A7514" s="431"/>
    </row>
    <row r="7515">
      <c r="A7515" s="431"/>
    </row>
    <row r="7516">
      <c r="A7516" s="431"/>
    </row>
    <row r="7517">
      <c r="A7517" s="431"/>
    </row>
    <row r="7518">
      <c r="A7518" s="431"/>
    </row>
    <row r="7519">
      <c r="A7519" s="431"/>
    </row>
    <row r="7520">
      <c r="A7520" s="431"/>
    </row>
    <row r="7521">
      <c r="A7521" s="431"/>
    </row>
    <row r="7522">
      <c r="A7522" s="431"/>
    </row>
    <row r="7523">
      <c r="A7523" s="431"/>
    </row>
    <row r="7524">
      <c r="A7524" s="431"/>
    </row>
    <row r="7525">
      <c r="A7525" s="431"/>
    </row>
    <row r="7526">
      <c r="A7526" s="431"/>
    </row>
    <row r="7527">
      <c r="A7527" s="431"/>
    </row>
    <row r="7528">
      <c r="A7528" s="431"/>
    </row>
    <row r="7529">
      <c r="A7529" s="431"/>
    </row>
    <row r="7530">
      <c r="A7530" s="431"/>
    </row>
    <row r="7531">
      <c r="A7531" s="431"/>
    </row>
    <row r="7532">
      <c r="A7532" s="431"/>
    </row>
    <row r="7533">
      <c r="A7533" s="431"/>
    </row>
    <row r="7534">
      <c r="A7534" s="431"/>
    </row>
    <row r="7535">
      <c r="A7535" s="431"/>
    </row>
    <row r="7536">
      <c r="A7536" s="431"/>
    </row>
    <row r="7537">
      <c r="A7537" s="431"/>
    </row>
    <row r="7538">
      <c r="A7538" s="431"/>
    </row>
    <row r="7539">
      <c r="A7539" s="431"/>
    </row>
    <row r="7540">
      <c r="A7540" s="431"/>
    </row>
    <row r="7541">
      <c r="A7541" s="431"/>
    </row>
    <row r="7542">
      <c r="A7542" s="431"/>
    </row>
    <row r="7543">
      <c r="A7543" s="431"/>
    </row>
    <row r="7544">
      <c r="A7544" s="431"/>
    </row>
    <row r="7545">
      <c r="A7545" s="431"/>
    </row>
    <row r="7546">
      <c r="A7546" s="431"/>
    </row>
    <row r="7547">
      <c r="A7547" s="431"/>
    </row>
    <row r="7548">
      <c r="A7548" s="431"/>
    </row>
    <row r="7549">
      <c r="A7549" s="431"/>
    </row>
    <row r="7550">
      <c r="A7550" s="431"/>
    </row>
    <row r="7551">
      <c r="A7551" s="431"/>
    </row>
    <row r="7552">
      <c r="A7552" s="431"/>
    </row>
    <row r="7553">
      <c r="A7553" s="431"/>
    </row>
    <row r="7554">
      <c r="A7554" s="431"/>
    </row>
    <row r="7555">
      <c r="A7555" s="431"/>
    </row>
    <row r="7556">
      <c r="A7556" s="431"/>
    </row>
    <row r="7557">
      <c r="A7557" s="431"/>
    </row>
    <row r="7558">
      <c r="A7558" s="431"/>
    </row>
    <row r="7559">
      <c r="A7559" s="431"/>
    </row>
    <row r="7560">
      <c r="A7560" s="431"/>
    </row>
    <row r="7561">
      <c r="A7561" s="431"/>
    </row>
    <row r="7562">
      <c r="A7562" s="431"/>
    </row>
    <row r="7563">
      <c r="A7563" s="431"/>
    </row>
    <row r="7564">
      <c r="A7564" s="431"/>
    </row>
    <row r="7565">
      <c r="A7565" s="431"/>
    </row>
    <row r="7566">
      <c r="A7566" s="431"/>
    </row>
    <row r="7567">
      <c r="A7567" s="431"/>
    </row>
    <row r="7568">
      <c r="A7568" s="431"/>
    </row>
    <row r="7569">
      <c r="A7569" s="431"/>
    </row>
    <row r="7570">
      <c r="A7570" s="431"/>
    </row>
    <row r="7571">
      <c r="A7571" s="431"/>
    </row>
    <row r="7572">
      <c r="A7572" s="431"/>
    </row>
    <row r="7573">
      <c r="A7573" s="431"/>
    </row>
    <row r="7574">
      <c r="A7574" s="431"/>
    </row>
    <row r="7575">
      <c r="A7575" s="431"/>
    </row>
    <row r="7576">
      <c r="A7576" s="431"/>
    </row>
    <row r="7577">
      <c r="A7577" s="431"/>
    </row>
    <row r="7578">
      <c r="A7578" s="431"/>
    </row>
    <row r="7579">
      <c r="A7579" s="431"/>
    </row>
    <row r="7580">
      <c r="A7580" s="431"/>
    </row>
    <row r="7581">
      <c r="A7581" s="431"/>
    </row>
    <row r="7582">
      <c r="A7582" s="431"/>
    </row>
    <row r="7583">
      <c r="A7583" s="431"/>
    </row>
    <row r="7584">
      <c r="A7584" s="431"/>
    </row>
    <row r="7585">
      <c r="A7585" s="431"/>
    </row>
    <row r="7586">
      <c r="A7586" s="431"/>
    </row>
    <row r="7587">
      <c r="A7587" s="431"/>
    </row>
    <row r="7588">
      <c r="A7588" s="431"/>
    </row>
    <row r="7589">
      <c r="A7589" s="431"/>
    </row>
    <row r="7590">
      <c r="A7590" s="431"/>
    </row>
    <row r="7591">
      <c r="A7591" s="431"/>
    </row>
    <row r="7592">
      <c r="A7592" s="431"/>
    </row>
    <row r="7593">
      <c r="A7593" s="431"/>
    </row>
    <row r="7594">
      <c r="A7594" s="431"/>
    </row>
    <row r="7595">
      <c r="A7595" s="431"/>
    </row>
    <row r="7596">
      <c r="A7596" s="431"/>
    </row>
    <row r="7597">
      <c r="A7597" s="431"/>
    </row>
    <row r="7598">
      <c r="A7598" s="431"/>
    </row>
    <row r="7599">
      <c r="A7599" s="431"/>
    </row>
    <row r="7600">
      <c r="A7600" s="431"/>
    </row>
    <row r="7601">
      <c r="A7601" s="431"/>
    </row>
    <row r="7602">
      <c r="A7602" s="431"/>
    </row>
    <row r="7603">
      <c r="A7603" s="431"/>
    </row>
    <row r="7604">
      <c r="A7604" s="431"/>
    </row>
    <row r="7605">
      <c r="A7605" s="431"/>
    </row>
    <row r="7606">
      <c r="A7606" s="431"/>
    </row>
    <row r="7607">
      <c r="A7607" s="431"/>
    </row>
    <row r="7608">
      <c r="A7608" s="431"/>
    </row>
    <row r="7609">
      <c r="A7609" s="431"/>
    </row>
    <row r="7610">
      <c r="A7610" s="431"/>
    </row>
    <row r="7611">
      <c r="A7611" s="431"/>
    </row>
    <row r="7612">
      <c r="A7612" s="431"/>
    </row>
    <row r="7613">
      <c r="A7613" s="431"/>
    </row>
    <row r="7614">
      <c r="A7614" s="431"/>
    </row>
    <row r="7615">
      <c r="A7615" s="431"/>
    </row>
    <row r="7616">
      <c r="A7616" s="431"/>
    </row>
    <row r="7617">
      <c r="A7617" s="431"/>
    </row>
    <row r="7618">
      <c r="A7618" s="431"/>
    </row>
    <row r="7619">
      <c r="A7619" s="431"/>
    </row>
    <row r="7620">
      <c r="A7620" s="431"/>
    </row>
    <row r="7621">
      <c r="A7621" s="431"/>
    </row>
    <row r="7622">
      <c r="A7622" s="431"/>
    </row>
    <row r="7623">
      <c r="A7623" s="431"/>
    </row>
    <row r="7624">
      <c r="A7624" s="431"/>
    </row>
    <row r="7625">
      <c r="A7625" s="431"/>
    </row>
    <row r="7626">
      <c r="A7626" s="431"/>
    </row>
    <row r="7627">
      <c r="A7627" s="431"/>
    </row>
    <row r="7628">
      <c r="A7628" s="431"/>
    </row>
    <row r="7629">
      <c r="A7629" s="431"/>
    </row>
    <row r="7630">
      <c r="A7630" s="431"/>
    </row>
    <row r="7631">
      <c r="A7631" s="431"/>
    </row>
    <row r="7632">
      <c r="A7632" s="431"/>
    </row>
    <row r="7633">
      <c r="A7633" s="431"/>
    </row>
    <row r="7634">
      <c r="A7634" s="431"/>
    </row>
    <row r="7635">
      <c r="A7635" s="431"/>
    </row>
    <row r="7636">
      <c r="A7636" s="431"/>
    </row>
    <row r="7637">
      <c r="A7637" s="431"/>
    </row>
    <row r="7638">
      <c r="A7638" s="431"/>
    </row>
    <row r="7639">
      <c r="A7639" s="431"/>
    </row>
    <row r="7640">
      <c r="A7640" s="431"/>
    </row>
    <row r="7641">
      <c r="A7641" s="431"/>
    </row>
    <row r="7642">
      <c r="A7642" s="431"/>
    </row>
    <row r="7643">
      <c r="A7643" s="431"/>
    </row>
    <row r="7644">
      <c r="A7644" s="431"/>
    </row>
    <row r="7645">
      <c r="A7645" s="431"/>
    </row>
    <row r="7646">
      <c r="A7646" s="431"/>
    </row>
    <row r="7647">
      <c r="A7647" s="431"/>
    </row>
    <row r="7648">
      <c r="A7648" s="431"/>
    </row>
    <row r="7649">
      <c r="A7649" s="431"/>
    </row>
    <row r="7650">
      <c r="A7650" s="431"/>
    </row>
    <row r="7651">
      <c r="A7651" s="431"/>
    </row>
    <row r="7652">
      <c r="A7652" s="431"/>
    </row>
    <row r="7653">
      <c r="A7653" s="431"/>
    </row>
    <row r="7654">
      <c r="A7654" s="431"/>
    </row>
    <row r="7655">
      <c r="A7655" s="431"/>
    </row>
    <row r="7656">
      <c r="A7656" s="431"/>
    </row>
    <row r="7657">
      <c r="A7657" s="431"/>
    </row>
    <row r="7658">
      <c r="A7658" s="431"/>
    </row>
    <row r="7659">
      <c r="A7659" s="431"/>
    </row>
    <row r="7660">
      <c r="A7660" s="431"/>
    </row>
    <row r="7661">
      <c r="A7661" s="431"/>
    </row>
    <row r="7662">
      <c r="A7662" s="431"/>
    </row>
    <row r="7663">
      <c r="A7663" s="431"/>
    </row>
    <row r="7664">
      <c r="A7664" s="431"/>
    </row>
    <row r="7665">
      <c r="A7665" s="431"/>
    </row>
    <row r="7666">
      <c r="A7666" s="431"/>
    </row>
    <row r="7667">
      <c r="A7667" s="431"/>
    </row>
    <row r="7668">
      <c r="A7668" s="431"/>
    </row>
    <row r="7669">
      <c r="A7669" s="431"/>
    </row>
    <row r="7670">
      <c r="A7670" s="431"/>
    </row>
    <row r="7671">
      <c r="A7671" s="431"/>
    </row>
    <row r="7672">
      <c r="A7672" s="431"/>
    </row>
    <row r="7673">
      <c r="A7673" s="431"/>
    </row>
    <row r="7674">
      <c r="A7674" s="431"/>
    </row>
    <row r="7675">
      <c r="A7675" s="431"/>
    </row>
    <row r="7676">
      <c r="A7676" s="431"/>
    </row>
    <row r="7677">
      <c r="A7677" s="431"/>
    </row>
    <row r="7678">
      <c r="A7678" s="431"/>
    </row>
    <row r="7679">
      <c r="A7679" s="431"/>
    </row>
    <row r="7680">
      <c r="A7680" s="431"/>
    </row>
    <row r="7681">
      <c r="A7681" s="431"/>
    </row>
    <row r="7682">
      <c r="A7682" s="431"/>
    </row>
    <row r="7683">
      <c r="A7683" s="431"/>
    </row>
    <row r="7684">
      <c r="A7684" s="431"/>
    </row>
    <row r="7685">
      <c r="A7685" s="431"/>
    </row>
    <row r="7686">
      <c r="A7686" s="431"/>
    </row>
    <row r="7687">
      <c r="A7687" s="431"/>
    </row>
    <row r="7688">
      <c r="A7688" s="431"/>
    </row>
    <row r="7689">
      <c r="A7689" s="431"/>
    </row>
    <row r="7690">
      <c r="A7690" s="431"/>
    </row>
    <row r="7691">
      <c r="A7691" s="431"/>
    </row>
    <row r="7692">
      <c r="A7692" s="431"/>
    </row>
    <row r="7693">
      <c r="A7693" s="431"/>
    </row>
    <row r="7694">
      <c r="A7694" s="431"/>
    </row>
    <row r="7695">
      <c r="A7695" s="431"/>
    </row>
    <row r="7696">
      <c r="A7696" s="431"/>
    </row>
    <row r="7697">
      <c r="A7697" s="431"/>
    </row>
    <row r="7698">
      <c r="A7698" s="431"/>
    </row>
    <row r="7699">
      <c r="A7699" s="431"/>
    </row>
    <row r="7700">
      <c r="A7700" s="431"/>
    </row>
    <row r="7701">
      <c r="A7701" s="431"/>
    </row>
    <row r="7702">
      <c r="A7702" s="431"/>
    </row>
    <row r="7703">
      <c r="A7703" s="431"/>
    </row>
    <row r="7704">
      <c r="A7704" s="431"/>
    </row>
    <row r="7705">
      <c r="A7705" s="431"/>
    </row>
    <row r="7706">
      <c r="A7706" s="431"/>
    </row>
    <row r="7707">
      <c r="A7707" s="431"/>
    </row>
    <row r="7708">
      <c r="A7708" s="431"/>
    </row>
    <row r="7709">
      <c r="A7709" s="431"/>
    </row>
    <row r="7710">
      <c r="A7710" s="431"/>
    </row>
    <row r="7711">
      <c r="A7711" s="431"/>
    </row>
    <row r="7712">
      <c r="A7712" s="431"/>
    </row>
    <row r="7713">
      <c r="A7713" s="431"/>
    </row>
    <row r="7714">
      <c r="A7714" s="431"/>
    </row>
    <row r="7715">
      <c r="A7715" s="431"/>
    </row>
    <row r="7716">
      <c r="A7716" s="431"/>
    </row>
    <row r="7717">
      <c r="A7717" s="431"/>
    </row>
    <row r="7718">
      <c r="A7718" s="431"/>
    </row>
    <row r="7719">
      <c r="A7719" s="431"/>
    </row>
    <row r="7720">
      <c r="A7720" s="431"/>
    </row>
    <row r="7721">
      <c r="A7721" s="431"/>
    </row>
    <row r="7722">
      <c r="A7722" s="431"/>
    </row>
    <row r="7723">
      <c r="A7723" s="431"/>
    </row>
    <row r="7724">
      <c r="A7724" s="431"/>
    </row>
    <row r="7725">
      <c r="A7725" s="431"/>
    </row>
    <row r="7726">
      <c r="A7726" s="431"/>
    </row>
    <row r="7727">
      <c r="A7727" s="431"/>
    </row>
    <row r="7728">
      <c r="A7728" s="431"/>
    </row>
    <row r="7729">
      <c r="A7729" s="431"/>
    </row>
    <row r="7730">
      <c r="A7730" s="431"/>
    </row>
    <row r="7731">
      <c r="A7731" s="431"/>
    </row>
    <row r="7732">
      <c r="A7732" s="431"/>
    </row>
    <row r="7733">
      <c r="A7733" s="431"/>
    </row>
    <row r="7734">
      <c r="A7734" s="431"/>
    </row>
    <row r="7735">
      <c r="A7735" s="431"/>
    </row>
    <row r="7736">
      <c r="A7736" s="431"/>
    </row>
    <row r="7737">
      <c r="A7737" s="431"/>
    </row>
    <row r="7738">
      <c r="A7738" s="431"/>
    </row>
    <row r="7739">
      <c r="A7739" s="431"/>
    </row>
    <row r="7740">
      <c r="A7740" s="431"/>
    </row>
    <row r="7741">
      <c r="A7741" s="431"/>
    </row>
    <row r="7742">
      <c r="A7742" s="431"/>
    </row>
    <row r="7743">
      <c r="A7743" s="431"/>
    </row>
    <row r="7744">
      <c r="A7744" s="431"/>
    </row>
    <row r="7745">
      <c r="A7745" s="431"/>
    </row>
    <row r="7746">
      <c r="A7746" s="431"/>
    </row>
    <row r="7747">
      <c r="A7747" s="431"/>
    </row>
    <row r="7748">
      <c r="A7748" s="431"/>
    </row>
    <row r="7749">
      <c r="A7749" s="431"/>
    </row>
    <row r="7750">
      <c r="A7750" s="431"/>
    </row>
    <row r="7751">
      <c r="A7751" s="431"/>
    </row>
    <row r="7752">
      <c r="A7752" s="431"/>
    </row>
    <row r="7753">
      <c r="A7753" s="431"/>
    </row>
    <row r="7754">
      <c r="A7754" s="431"/>
    </row>
    <row r="7755">
      <c r="A7755" s="431"/>
    </row>
    <row r="7756">
      <c r="A7756" s="431"/>
    </row>
    <row r="7757">
      <c r="A7757" s="431"/>
    </row>
    <row r="7758">
      <c r="A7758" s="431"/>
    </row>
    <row r="7759">
      <c r="A7759" s="431"/>
    </row>
    <row r="7760">
      <c r="A7760" s="431"/>
    </row>
    <row r="7761">
      <c r="A7761" s="431"/>
    </row>
    <row r="7762">
      <c r="A7762" s="431"/>
    </row>
    <row r="7763">
      <c r="A7763" s="431"/>
    </row>
    <row r="7764">
      <c r="A7764" s="431"/>
    </row>
    <row r="7765">
      <c r="A7765" s="431"/>
    </row>
    <row r="7766">
      <c r="A7766" s="431"/>
    </row>
    <row r="7767">
      <c r="A7767" s="431"/>
    </row>
    <row r="7768">
      <c r="A7768" s="431"/>
    </row>
    <row r="7769">
      <c r="A7769" s="431"/>
    </row>
    <row r="7770">
      <c r="A7770" s="431"/>
    </row>
    <row r="7771">
      <c r="A7771" s="431"/>
    </row>
    <row r="7772">
      <c r="A7772" s="431"/>
    </row>
    <row r="7773">
      <c r="A7773" s="431"/>
    </row>
    <row r="7774">
      <c r="A7774" s="431"/>
    </row>
    <row r="7775">
      <c r="A7775" s="431"/>
    </row>
    <row r="7776">
      <c r="A7776" s="431"/>
    </row>
    <row r="7777">
      <c r="A7777" s="431"/>
    </row>
    <row r="7778">
      <c r="A7778" s="431"/>
    </row>
    <row r="7779">
      <c r="A7779" s="431"/>
    </row>
    <row r="7780">
      <c r="A7780" s="431"/>
    </row>
    <row r="7781">
      <c r="A7781" s="431"/>
    </row>
    <row r="7782">
      <c r="A7782" s="431"/>
    </row>
    <row r="7783">
      <c r="A7783" s="431"/>
    </row>
    <row r="7784">
      <c r="A7784" s="431"/>
    </row>
    <row r="7785">
      <c r="A7785" s="431"/>
    </row>
    <row r="7786">
      <c r="A7786" s="431"/>
    </row>
    <row r="7787">
      <c r="A7787" s="431"/>
    </row>
    <row r="7788">
      <c r="A7788" s="431"/>
    </row>
    <row r="7789">
      <c r="A7789" s="431"/>
    </row>
    <row r="7790">
      <c r="A7790" s="431"/>
    </row>
    <row r="7791">
      <c r="A7791" s="431"/>
    </row>
    <row r="7792">
      <c r="A7792" s="431"/>
    </row>
    <row r="7793">
      <c r="A7793" s="431"/>
    </row>
    <row r="7794">
      <c r="A7794" s="431"/>
    </row>
    <row r="7795">
      <c r="A7795" s="431"/>
    </row>
    <row r="7796">
      <c r="A7796" s="431"/>
    </row>
    <row r="7797">
      <c r="A7797" s="431"/>
    </row>
    <row r="7798">
      <c r="A7798" s="431"/>
    </row>
    <row r="7799">
      <c r="A7799" s="431"/>
    </row>
    <row r="7800">
      <c r="A7800" s="431"/>
    </row>
    <row r="7801">
      <c r="A7801" s="431"/>
    </row>
    <row r="7802">
      <c r="A7802" s="431"/>
    </row>
    <row r="7803">
      <c r="A7803" s="431"/>
    </row>
    <row r="7804">
      <c r="A7804" s="431"/>
    </row>
    <row r="7805">
      <c r="A7805" s="431"/>
    </row>
    <row r="7806">
      <c r="A7806" s="431"/>
    </row>
    <row r="7807">
      <c r="A7807" s="431"/>
    </row>
    <row r="7808">
      <c r="A7808" s="431"/>
    </row>
    <row r="7809">
      <c r="A7809" s="431"/>
    </row>
    <row r="7810">
      <c r="A7810" s="431"/>
    </row>
    <row r="7811">
      <c r="A7811" s="431"/>
    </row>
    <row r="7812">
      <c r="A7812" s="431"/>
    </row>
    <row r="7813">
      <c r="A7813" s="431"/>
    </row>
    <row r="7814">
      <c r="A7814" s="431"/>
    </row>
    <row r="7815">
      <c r="A7815" s="431"/>
    </row>
    <row r="7816">
      <c r="A7816" s="431"/>
    </row>
    <row r="7817">
      <c r="A7817" s="431"/>
    </row>
    <row r="7818">
      <c r="A7818" s="431"/>
    </row>
    <row r="7819">
      <c r="A7819" s="431"/>
    </row>
    <row r="7820">
      <c r="A7820" s="431"/>
    </row>
    <row r="7821">
      <c r="A7821" s="431"/>
    </row>
    <row r="7822">
      <c r="A7822" s="431"/>
    </row>
    <row r="7823">
      <c r="A7823" s="431"/>
    </row>
    <row r="7824">
      <c r="A7824" s="431"/>
    </row>
    <row r="7825">
      <c r="A7825" s="431"/>
    </row>
    <row r="7826">
      <c r="A7826" s="431"/>
    </row>
    <row r="7827">
      <c r="A7827" s="431"/>
    </row>
    <row r="7828">
      <c r="A7828" s="431"/>
    </row>
    <row r="7829">
      <c r="A7829" s="431"/>
    </row>
    <row r="7830">
      <c r="A7830" s="431"/>
    </row>
    <row r="7831">
      <c r="A7831" s="431"/>
    </row>
    <row r="7832">
      <c r="A7832" s="431"/>
    </row>
    <row r="7833">
      <c r="A7833" s="431"/>
    </row>
    <row r="7834">
      <c r="A7834" s="431"/>
    </row>
    <row r="7835">
      <c r="A7835" s="431"/>
    </row>
    <row r="7836">
      <c r="A7836" s="431"/>
    </row>
    <row r="7837">
      <c r="A7837" s="431"/>
    </row>
    <row r="7838">
      <c r="A7838" s="431"/>
    </row>
    <row r="7839">
      <c r="A7839" s="431"/>
    </row>
    <row r="7840">
      <c r="A7840" s="431"/>
    </row>
    <row r="7841">
      <c r="A7841" s="431"/>
    </row>
    <row r="7842">
      <c r="A7842" s="431"/>
    </row>
    <row r="7843">
      <c r="A7843" s="431"/>
    </row>
    <row r="7844">
      <c r="A7844" s="431"/>
    </row>
    <row r="7845">
      <c r="A7845" s="431"/>
    </row>
    <row r="7846">
      <c r="A7846" s="431"/>
    </row>
    <row r="7847">
      <c r="A7847" s="431"/>
    </row>
    <row r="7848">
      <c r="A7848" s="431"/>
    </row>
    <row r="7849">
      <c r="A7849" s="431"/>
    </row>
    <row r="7850">
      <c r="A7850" s="431"/>
    </row>
    <row r="7851">
      <c r="A7851" s="431"/>
    </row>
    <row r="7852">
      <c r="A7852" s="431"/>
    </row>
    <row r="7853">
      <c r="A7853" s="431"/>
    </row>
    <row r="7854">
      <c r="A7854" s="431"/>
    </row>
    <row r="7855">
      <c r="A7855" s="431"/>
    </row>
    <row r="7856">
      <c r="A7856" s="431"/>
    </row>
    <row r="7857">
      <c r="A7857" s="431"/>
    </row>
    <row r="7858">
      <c r="A7858" s="431"/>
    </row>
    <row r="7859">
      <c r="A7859" s="431"/>
    </row>
    <row r="7860">
      <c r="A7860" s="431"/>
    </row>
    <row r="7861">
      <c r="A7861" s="431"/>
    </row>
    <row r="7862">
      <c r="A7862" s="431"/>
    </row>
    <row r="7863">
      <c r="A7863" s="431"/>
    </row>
    <row r="7864">
      <c r="A7864" s="431"/>
    </row>
    <row r="7865">
      <c r="A7865" s="431"/>
    </row>
    <row r="7866">
      <c r="A7866" s="431"/>
    </row>
    <row r="7867">
      <c r="A7867" s="431"/>
    </row>
    <row r="7868">
      <c r="A7868" s="431"/>
    </row>
    <row r="7869">
      <c r="A7869" s="431"/>
    </row>
    <row r="7870">
      <c r="A7870" s="431"/>
    </row>
    <row r="7871">
      <c r="A7871" s="431"/>
    </row>
    <row r="7872">
      <c r="A7872" s="431"/>
    </row>
    <row r="7873">
      <c r="A7873" s="431"/>
    </row>
    <row r="7874">
      <c r="A7874" s="431"/>
    </row>
    <row r="7875">
      <c r="A7875" s="431"/>
    </row>
    <row r="7876">
      <c r="A7876" s="431"/>
    </row>
    <row r="7877">
      <c r="A7877" s="431"/>
    </row>
    <row r="7878">
      <c r="A7878" s="431"/>
    </row>
    <row r="7879">
      <c r="A7879" s="431"/>
    </row>
    <row r="7880">
      <c r="A7880" s="431"/>
    </row>
    <row r="7881">
      <c r="A7881" s="431"/>
    </row>
    <row r="7882">
      <c r="A7882" s="431"/>
    </row>
    <row r="7883">
      <c r="A7883" s="431"/>
    </row>
    <row r="7884">
      <c r="A7884" s="431"/>
    </row>
    <row r="7885">
      <c r="A7885" s="431"/>
    </row>
    <row r="7886">
      <c r="A7886" s="431"/>
    </row>
    <row r="7887">
      <c r="A7887" s="431"/>
    </row>
    <row r="7888">
      <c r="A7888" s="431"/>
    </row>
    <row r="7889">
      <c r="A7889" s="431"/>
    </row>
    <row r="7890">
      <c r="A7890" s="431"/>
    </row>
    <row r="7891">
      <c r="A7891" s="431"/>
    </row>
    <row r="7892">
      <c r="A7892" s="431"/>
    </row>
    <row r="7893">
      <c r="A7893" s="431"/>
    </row>
    <row r="7894">
      <c r="A7894" s="431"/>
    </row>
    <row r="7895">
      <c r="A7895" s="431"/>
    </row>
    <row r="7896">
      <c r="A7896" s="431"/>
    </row>
    <row r="7897">
      <c r="A7897" s="431"/>
    </row>
    <row r="7898">
      <c r="A7898" s="431"/>
    </row>
    <row r="7899">
      <c r="A7899" s="431"/>
    </row>
    <row r="7900">
      <c r="A7900" s="431"/>
    </row>
    <row r="7901">
      <c r="A7901" s="431"/>
    </row>
    <row r="7902">
      <c r="A7902" s="431"/>
    </row>
    <row r="7903">
      <c r="A7903" s="431"/>
    </row>
    <row r="7904">
      <c r="A7904" s="431"/>
    </row>
    <row r="7905">
      <c r="A7905" s="431"/>
    </row>
    <row r="7906">
      <c r="A7906" s="431"/>
    </row>
    <row r="7907">
      <c r="A7907" s="431"/>
    </row>
    <row r="7908">
      <c r="A7908" s="431"/>
    </row>
    <row r="7909">
      <c r="A7909" s="431"/>
    </row>
    <row r="7910">
      <c r="A7910" s="431"/>
    </row>
    <row r="7911">
      <c r="A7911" s="431"/>
    </row>
    <row r="7912">
      <c r="A7912" s="431"/>
    </row>
    <row r="7913">
      <c r="A7913" s="431"/>
    </row>
    <row r="7914">
      <c r="A7914" s="431"/>
    </row>
    <row r="7915">
      <c r="A7915" s="431"/>
    </row>
    <row r="7916">
      <c r="A7916" s="431"/>
    </row>
    <row r="7917">
      <c r="A7917" s="431"/>
    </row>
    <row r="7918">
      <c r="A7918" s="431"/>
    </row>
    <row r="7919">
      <c r="A7919" s="431"/>
    </row>
    <row r="7920">
      <c r="A7920" s="431"/>
    </row>
    <row r="7921">
      <c r="A7921" s="431"/>
    </row>
    <row r="7922">
      <c r="A7922" s="431"/>
    </row>
    <row r="7923">
      <c r="A7923" s="431"/>
    </row>
    <row r="7924">
      <c r="A7924" s="431"/>
    </row>
    <row r="7925">
      <c r="A7925" s="431"/>
    </row>
    <row r="7926">
      <c r="A7926" s="431"/>
    </row>
    <row r="7927">
      <c r="A7927" s="431"/>
    </row>
    <row r="7928">
      <c r="A7928" s="431"/>
    </row>
    <row r="7929">
      <c r="A7929" s="431"/>
    </row>
    <row r="7930">
      <c r="A7930" s="431"/>
    </row>
    <row r="7931">
      <c r="A7931" s="431"/>
    </row>
    <row r="7932">
      <c r="A7932" s="431"/>
    </row>
    <row r="7933">
      <c r="A7933" s="431"/>
    </row>
    <row r="7934">
      <c r="A7934" s="431"/>
    </row>
    <row r="7935">
      <c r="A7935" s="431"/>
    </row>
    <row r="7936">
      <c r="A7936" s="431"/>
    </row>
    <row r="7937">
      <c r="A7937" s="431"/>
    </row>
    <row r="7938">
      <c r="A7938" s="431"/>
    </row>
    <row r="7939">
      <c r="A7939" s="431"/>
    </row>
    <row r="7940">
      <c r="A7940" s="431"/>
    </row>
    <row r="7941">
      <c r="A7941" s="431"/>
    </row>
    <row r="7942">
      <c r="A7942" s="431"/>
    </row>
    <row r="7943">
      <c r="A7943" s="431"/>
    </row>
    <row r="7944">
      <c r="A7944" s="431"/>
    </row>
    <row r="7945">
      <c r="A7945" s="431"/>
    </row>
    <row r="7946">
      <c r="A7946" s="431"/>
    </row>
    <row r="7947">
      <c r="A7947" s="431"/>
    </row>
    <row r="7948">
      <c r="A7948" s="431"/>
    </row>
    <row r="7949">
      <c r="A7949" s="431"/>
    </row>
    <row r="7950">
      <c r="A7950" s="431"/>
    </row>
    <row r="7951">
      <c r="A7951" s="431"/>
    </row>
    <row r="7952">
      <c r="A7952" s="431"/>
    </row>
    <row r="7953">
      <c r="A7953" s="431"/>
    </row>
    <row r="7954">
      <c r="A7954" s="431"/>
    </row>
    <row r="7955">
      <c r="A7955" s="431"/>
    </row>
    <row r="7956">
      <c r="A7956" s="431"/>
    </row>
    <row r="7957">
      <c r="A7957" s="431"/>
    </row>
    <row r="7958">
      <c r="A7958" s="431"/>
    </row>
    <row r="7959">
      <c r="A7959" s="431"/>
    </row>
    <row r="7960">
      <c r="A7960" s="431"/>
    </row>
    <row r="7961">
      <c r="A7961" s="431"/>
    </row>
    <row r="7962">
      <c r="A7962" s="431"/>
    </row>
    <row r="7963">
      <c r="A7963" s="431"/>
    </row>
    <row r="7964">
      <c r="A7964" s="431"/>
    </row>
    <row r="7965">
      <c r="A7965" s="431"/>
    </row>
    <row r="7966">
      <c r="A7966" s="431"/>
    </row>
    <row r="7967">
      <c r="A7967" s="431"/>
    </row>
    <row r="7968">
      <c r="A7968" s="431"/>
    </row>
    <row r="7969">
      <c r="A7969" s="431"/>
    </row>
    <row r="7970">
      <c r="A7970" s="431"/>
    </row>
    <row r="7971">
      <c r="A7971" s="431"/>
    </row>
    <row r="7972">
      <c r="A7972" s="431"/>
    </row>
    <row r="7973">
      <c r="A7973" s="431"/>
    </row>
    <row r="7974">
      <c r="A7974" s="431"/>
    </row>
    <row r="7975">
      <c r="A7975" s="431"/>
    </row>
    <row r="7976">
      <c r="A7976" s="431"/>
    </row>
    <row r="7977">
      <c r="A7977" s="431"/>
    </row>
    <row r="7978">
      <c r="A7978" s="431"/>
    </row>
    <row r="7979">
      <c r="A7979" s="431"/>
    </row>
    <row r="7980">
      <c r="A7980" s="431"/>
    </row>
    <row r="7981">
      <c r="A7981" s="431"/>
    </row>
    <row r="7982">
      <c r="A7982" s="431"/>
    </row>
    <row r="7983">
      <c r="A7983" s="431"/>
    </row>
    <row r="7984">
      <c r="A7984" s="431"/>
    </row>
    <row r="7985">
      <c r="A7985" s="431"/>
    </row>
    <row r="7986">
      <c r="A7986" s="431"/>
    </row>
    <row r="7987">
      <c r="A7987" s="431"/>
    </row>
    <row r="7988">
      <c r="A7988" s="431"/>
    </row>
    <row r="7989">
      <c r="A7989" s="431"/>
    </row>
    <row r="7990">
      <c r="A7990" s="431"/>
    </row>
    <row r="7991">
      <c r="A7991" s="431"/>
    </row>
    <row r="7992">
      <c r="A7992" s="431"/>
    </row>
    <row r="7993">
      <c r="A7993" s="431"/>
    </row>
    <row r="7994">
      <c r="A7994" s="431"/>
    </row>
    <row r="7995">
      <c r="A7995" s="431"/>
    </row>
    <row r="7996">
      <c r="A7996" s="431"/>
    </row>
    <row r="7997">
      <c r="A7997" s="431"/>
    </row>
    <row r="7998">
      <c r="A7998" s="431"/>
    </row>
    <row r="7999">
      <c r="A7999" s="431"/>
    </row>
    <row r="8000">
      <c r="A8000" s="431"/>
    </row>
    <row r="8001">
      <c r="A8001" s="431"/>
    </row>
    <row r="8002">
      <c r="A8002" s="431"/>
    </row>
    <row r="8003">
      <c r="A8003" s="431"/>
    </row>
    <row r="8004">
      <c r="A8004" s="431"/>
    </row>
    <row r="8005">
      <c r="A8005" s="431"/>
    </row>
    <row r="8006">
      <c r="A8006" s="431"/>
    </row>
    <row r="8007">
      <c r="A8007" s="431"/>
    </row>
    <row r="8008">
      <c r="A8008" s="431"/>
    </row>
    <row r="8009">
      <c r="A8009" s="431"/>
    </row>
    <row r="8010">
      <c r="A8010" s="431"/>
    </row>
    <row r="8011">
      <c r="A8011" s="431"/>
    </row>
    <row r="8012">
      <c r="A8012" s="431"/>
    </row>
    <row r="8013">
      <c r="A8013" s="431"/>
    </row>
    <row r="8014">
      <c r="A8014" s="431"/>
    </row>
    <row r="8015">
      <c r="A8015" s="431"/>
    </row>
    <row r="8016">
      <c r="A8016" s="431"/>
    </row>
    <row r="8017">
      <c r="A8017" s="431"/>
    </row>
    <row r="8018">
      <c r="A8018" s="431"/>
    </row>
    <row r="8019">
      <c r="A8019" s="431"/>
    </row>
    <row r="8020">
      <c r="A8020" s="431"/>
    </row>
    <row r="8021">
      <c r="A8021" s="431"/>
    </row>
    <row r="8022">
      <c r="A8022" s="431"/>
    </row>
    <row r="8023">
      <c r="A8023" s="431"/>
    </row>
    <row r="8024">
      <c r="A8024" s="431"/>
    </row>
    <row r="8025">
      <c r="A8025" s="431"/>
    </row>
    <row r="8026">
      <c r="A8026" s="431"/>
    </row>
    <row r="8027">
      <c r="A8027" s="431"/>
    </row>
    <row r="8028">
      <c r="A8028" s="431"/>
    </row>
    <row r="8029">
      <c r="A8029" s="431"/>
    </row>
    <row r="8030">
      <c r="A8030" s="431"/>
    </row>
    <row r="8031">
      <c r="A8031" s="431"/>
    </row>
    <row r="8032">
      <c r="A8032" s="431"/>
    </row>
    <row r="8033">
      <c r="A8033" s="431"/>
    </row>
    <row r="8034">
      <c r="A8034" s="431"/>
    </row>
    <row r="8035">
      <c r="A8035" s="431"/>
    </row>
    <row r="8036">
      <c r="A8036" s="431"/>
    </row>
    <row r="8037">
      <c r="A8037" s="431"/>
    </row>
    <row r="8038">
      <c r="A8038" s="431"/>
    </row>
    <row r="8039">
      <c r="A8039" s="431"/>
    </row>
    <row r="8040">
      <c r="A8040" s="431"/>
    </row>
    <row r="8041">
      <c r="A8041" s="431"/>
    </row>
    <row r="8042">
      <c r="A8042" s="431"/>
    </row>
    <row r="8043">
      <c r="A8043" s="431"/>
    </row>
    <row r="8044">
      <c r="A8044" s="431"/>
    </row>
    <row r="8045">
      <c r="A8045" s="431"/>
    </row>
    <row r="8046">
      <c r="A8046" s="431"/>
    </row>
    <row r="8047">
      <c r="A8047" s="431"/>
    </row>
    <row r="8048">
      <c r="A8048" s="431"/>
    </row>
    <row r="8049">
      <c r="A8049" s="431"/>
    </row>
    <row r="8050">
      <c r="A8050" s="431"/>
    </row>
    <row r="8051">
      <c r="A8051" s="431"/>
    </row>
    <row r="8052">
      <c r="A8052" s="431"/>
    </row>
    <row r="8053">
      <c r="A8053" s="431"/>
    </row>
    <row r="8054">
      <c r="A8054" s="431"/>
    </row>
    <row r="8055">
      <c r="A8055" s="431"/>
    </row>
    <row r="8056">
      <c r="A8056" s="431"/>
    </row>
    <row r="8057">
      <c r="A8057" s="431"/>
    </row>
    <row r="8058">
      <c r="A8058" s="431"/>
    </row>
    <row r="8059">
      <c r="A8059" s="431"/>
    </row>
    <row r="8060">
      <c r="A8060" s="431"/>
    </row>
    <row r="8061">
      <c r="A8061" s="431"/>
    </row>
    <row r="8062">
      <c r="A8062" s="431"/>
    </row>
    <row r="8063">
      <c r="A8063" s="431"/>
    </row>
    <row r="8064">
      <c r="A8064" s="431"/>
    </row>
    <row r="8065">
      <c r="A8065" s="431"/>
    </row>
    <row r="8066">
      <c r="A8066" s="431"/>
    </row>
    <row r="8067">
      <c r="A8067" s="431"/>
    </row>
    <row r="8068">
      <c r="A8068" s="431"/>
    </row>
    <row r="8069">
      <c r="A8069" s="431"/>
    </row>
    <row r="8070">
      <c r="A8070" s="431"/>
    </row>
    <row r="8071">
      <c r="A8071" s="431"/>
    </row>
    <row r="8072">
      <c r="A8072" s="431"/>
    </row>
    <row r="8073">
      <c r="A8073" s="431"/>
    </row>
    <row r="8074">
      <c r="A8074" s="431"/>
    </row>
    <row r="8075">
      <c r="A8075" s="431"/>
    </row>
    <row r="8076">
      <c r="A8076" s="431"/>
    </row>
    <row r="8077">
      <c r="A8077" s="431"/>
    </row>
    <row r="8078">
      <c r="A8078" s="431"/>
    </row>
    <row r="8079">
      <c r="A8079" s="431"/>
    </row>
    <row r="8080">
      <c r="A8080" s="431"/>
    </row>
    <row r="8081">
      <c r="A8081" s="431"/>
    </row>
    <row r="8082">
      <c r="A8082" s="431"/>
    </row>
    <row r="8083">
      <c r="A8083" s="431"/>
    </row>
    <row r="8084">
      <c r="A8084" s="431"/>
    </row>
    <row r="8085">
      <c r="A8085" s="431"/>
    </row>
    <row r="8086">
      <c r="A8086" s="431"/>
    </row>
    <row r="8087">
      <c r="A8087" s="431"/>
    </row>
    <row r="8088">
      <c r="A8088" s="431"/>
    </row>
    <row r="8089">
      <c r="A8089" s="431"/>
    </row>
    <row r="8090">
      <c r="A8090" s="431"/>
    </row>
    <row r="8091">
      <c r="A8091" s="431"/>
    </row>
    <row r="8092">
      <c r="A8092" s="431"/>
    </row>
    <row r="8093">
      <c r="A8093" s="431"/>
    </row>
    <row r="8094">
      <c r="A8094" s="431"/>
    </row>
    <row r="8095">
      <c r="A8095" s="431"/>
    </row>
    <row r="8096">
      <c r="A8096" s="431"/>
    </row>
    <row r="8097">
      <c r="A8097" s="431"/>
    </row>
    <row r="8098">
      <c r="A8098" s="431"/>
    </row>
    <row r="8099">
      <c r="A8099" s="431"/>
    </row>
    <row r="8100">
      <c r="A8100" s="431"/>
    </row>
    <row r="8101">
      <c r="A8101" s="431"/>
    </row>
    <row r="8102">
      <c r="A8102" s="431"/>
    </row>
    <row r="8103">
      <c r="A8103" s="431"/>
    </row>
    <row r="8104">
      <c r="A8104" s="431"/>
    </row>
    <row r="8105">
      <c r="A8105" s="431"/>
    </row>
    <row r="8106">
      <c r="A8106" s="431"/>
    </row>
    <row r="8107">
      <c r="A8107" s="431"/>
    </row>
    <row r="8108">
      <c r="A8108" s="431"/>
    </row>
  </sheetData>
  <autoFilter ref="$A$1:$W$5868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1" max="1" width="18.88"/>
    <col customWidth="1" min="2" max="2" width="51.25"/>
  </cols>
  <sheetData>
    <row r="1">
      <c r="A1" s="430" t="s">
        <v>6333</v>
      </c>
      <c r="B1" s="218" t="s">
        <v>888</v>
      </c>
    </row>
    <row r="2">
      <c r="A2" s="430">
        <v>8.2287740953E10</v>
      </c>
      <c r="B2" s="218" t="s">
        <v>6334</v>
      </c>
    </row>
    <row r="3">
      <c r="A3" s="430">
        <v>5.4891752904E10</v>
      </c>
      <c r="B3" s="218" t="s">
        <v>6335</v>
      </c>
    </row>
    <row r="4">
      <c r="A4" s="430">
        <v>4.8039195934E10</v>
      </c>
      <c r="B4" s="218" t="s">
        <v>6336</v>
      </c>
    </row>
    <row r="5">
      <c r="A5" s="430">
        <v>5.4312841934E10</v>
      </c>
      <c r="B5" s="218" t="s">
        <v>6337</v>
      </c>
    </row>
    <row r="6">
      <c r="A6" s="430">
        <v>8.8875997934E10</v>
      </c>
      <c r="B6" s="218" t="s">
        <v>6338</v>
      </c>
    </row>
    <row r="7">
      <c r="A7" s="430">
        <v>5.070952692E10</v>
      </c>
      <c r="B7" s="218" t="s">
        <v>6339</v>
      </c>
    </row>
    <row r="8">
      <c r="A8" s="430">
        <v>7.8501440906E10</v>
      </c>
      <c r="B8" s="218" t="s">
        <v>6340</v>
      </c>
    </row>
    <row r="9">
      <c r="A9" s="430">
        <v>8.93867799E10</v>
      </c>
      <c r="B9" s="218" t="s">
        <v>6341</v>
      </c>
    </row>
    <row r="10">
      <c r="A10" s="430">
        <v>7.7942159E9</v>
      </c>
      <c r="B10" s="218" t="s">
        <v>6342</v>
      </c>
    </row>
    <row r="11">
      <c r="A11" s="430">
        <v>8.06003782E9</v>
      </c>
      <c r="B11" s="218" t="s">
        <v>6343</v>
      </c>
    </row>
    <row r="12">
      <c r="A12" s="430">
        <v>2.013028792E10</v>
      </c>
      <c r="B12" s="218" t="s">
        <v>6344</v>
      </c>
    </row>
    <row r="13">
      <c r="A13" s="430">
        <v>9.04783049E8</v>
      </c>
      <c r="B13" s="218" t="s">
        <v>6345</v>
      </c>
    </row>
    <row r="14">
      <c r="A14" s="430">
        <v>8.3166408991E10</v>
      </c>
      <c r="B14" s="218" t="s">
        <v>6346</v>
      </c>
    </row>
    <row r="15">
      <c r="A15" s="430">
        <v>4.7911263949E10</v>
      </c>
      <c r="B15" s="218" t="s">
        <v>6347</v>
      </c>
    </row>
    <row r="16">
      <c r="A16" s="430">
        <v>2.101583003E10</v>
      </c>
      <c r="B16" s="218" t="s">
        <v>6348</v>
      </c>
    </row>
    <row r="17">
      <c r="A17" s="430">
        <v>1.1449985149E10</v>
      </c>
      <c r="B17" s="218" t="s">
        <v>6349</v>
      </c>
    </row>
    <row r="18">
      <c r="A18" s="430">
        <v>6.065863092E10</v>
      </c>
      <c r="B18" s="218" t="s">
        <v>6350</v>
      </c>
    </row>
    <row r="19">
      <c r="A19" s="430">
        <v>2.955121991E9</v>
      </c>
      <c r="B19" s="218" t="s">
        <v>6351</v>
      </c>
    </row>
    <row r="20">
      <c r="A20" s="430">
        <v>4.6567933968E10</v>
      </c>
      <c r="B20" s="218" t="s">
        <v>6352</v>
      </c>
    </row>
    <row r="21">
      <c r="A21" s="430">
        <v>1.25844786E9</v>
      </c>
      <c r="B21" s="218" t="s">
        <v>6353</v>
      </c>
    </row>
    <row r="22">
      <c r="A22" s="430">
        <v>7.34379986E9</v>
      </c>
      <c r="B22" s="218" t="s">
        <v>6354</v>
      </c>
    </row>
    <row r="23">
      <c r="A23" s="430">
        <v>7.7879430768E10</v>
      </c>
      <c r="B23" s="218" t="s">
        <v>6355</v>
      </c>
    </row>
    <row r="24">
      <c r="A24" s="430">
        <v>1.3097411828E10</v>
      </c>
      <c r="B24" s="218" t="s">
        <v>6356</v>
      </c>
    </row>
    <row r="25">
      <c r="A25" s="430">
        <v>5.600607857E9</v>
      </c>
      <c r="B25" s="218" t="s">
        <v>6357</v>
      </c>
    </row>
    <row r="26">
      <c r="A26" s="430">
        <v>3.55853159E10</v>
      </c>
      <c r="B26" s="218" t="s">
        <v>6358</v>
      </c>
    </row>
    <row r="27">
      <c r="A27" s="430">
        <v>5.9382112049E10</v>
      </c>
      <c r="B27" s="218" t="s">
        <v>6359</v>
      </c>
    </row>
    <row r="28">
      <c r="A28" s="430">
        <v>4.8044407987E10</v>
      </c>
      <c r="B28" s="218" t="s">
        <v>6360</v>
      </c>
    </row>
    <row r="29">
      <c r="A29" s="430">
        <v>1.37863349E8</v>
      </c>
      <c r="B29" s="218" t="s">
        <v>6361</v>
      </c>
    </row>
    <row r="30">
      <c r="A30" s="430">
        <v>1.237209749E9</v>
      </c>
      <c r="B30" s="218" t="s">
        <v>6362</v>
      </c>
    </row>
    <row r="31">
      <c r="A31" s="430">
        <v>6.0888164815E10</v>
      </c>
      <c r="B31" s="218" t="s">
        <v>6363</v>
      </c>
    </row>
    <row r="32">
      <c r="A32" s="430">
        <v>1.5302690837E10</v>
      </c>
      <c r="B32" s="218" t="s">
        <v>6364</v>
      </c>
    </row>
    <row r="33">
      <c r="A33" s="430">
        <v>7.9859682968E10</v>
      </c>
      <c r="B33" s="218" t="s">
        <v>6365</v>
      </c>
    </row>
    <row r="34">
      <c r="A34" s="430">
        <v>3.8319535972E10</v>
      </c>
      <c r="B34" s="218" t="s">
        <v>6366</v>
      </c>
    </row>
    <row r="35">
      <c r="A35" s="430">
        <v>5.707420991E9</v>
      </c>
      <c r="B35" s="218" t="s">
        <v>6367</v>
      </c>
    </row>
    <row r="36">
      <c r="A36" s="430">
        <v>9.1993326987E10</v>
      </c>
      <c r="B36" s="218" t="s">
        <v>6368</v>
      </c>
    </row>
    <row r="37">
      <c r="A37" s="430">
        <v>6.28092539E10</v>
      </c>
      <c r="B37" s="218" t="s">
        <v>6369</v>
      </c>
    </row>
    <row r="38">
      <c r="A38" s="430">
        <v>1.146572034E9</v>
      </c>
      <c r="B38" s="218" t="s">
        <v>6370</v>
      </c>
    </row>
    <row r="39">
      <c r="A39" s="430">
        <v>9.1063515904E10</v>
      </c>
      <c r="B39" s="218" t="s">
        <v>6371</v>
      </c>
    </row>
    <row r="40">
      <c r="A40" s="430">
        <v>2.080576763E9</v>
      </c>
      <c r="B40" s="218" t="s">
        <v>6372</v>
      </c>
    </row>
    <row r="41">
      <c r="A41" s="430">
        <v>3.7747770987E10</v>
      </c>
      <c r="B41" s="218" t="s">
        <v>6373</v>
      </c>
    </row>
    <row r="42">
      <c r="A42" s="430">
        <v>5.87613068E8</v>
      </c>
      <c r="B42" s="218" t="s">
        <v>6374</v>
      </c>
    </row>
    <row r="43">
      <c r="A43" s="430">
        <v>8.8859371953E10</v>
      </c>
      <c r="B43" s="218" t="s">
        <v>6375</v>
      </c>
    </row>
    <row r="44">
      <c r="A44" s="430">
        <v>5.8802568987E10</v>
      </c>
      <c r="B44" s="218" t="s">
        <v>6376</v>
      </c>
    </row>
    <row r="45">
      <c r="A45" s="430">
        <v>4.7582979915E10</v>
      </c>
      <c r="B45" s="218" t="s">
        <v>6377</v>
      </c>
    </row>
    <row r="46">
      <c r="A46" s="430">
        <v>3.166597204E9</v>
      </c>
      <c r="B46" s="218" t="s">
        <v>6378</v>
      </c>
    </row>
    <row r="47">
      <c r="A47" s="430">
        <v>5.8601643949E10</v>
      </c>
      <c r="B47" s="218" t="s">
        <v>6379</v>
      </c>
    </row>
    <row r="48">
      <c r="A48" s="430">
        <v>8.8872785987E10</v>
      </c>
      <c r="B48" s="218" t="s">
        <v>6380</v>
      </c>
    </row>
    <row r="49">
      <c r="A49" s="430">
        <v>4.974154885E9</v>
      </c>
      <c r="B49" s="218" t="s">
        <v>6381</v>
      </c>
    </row>
    <row r="50">
      <c r="A50" s="430">
        <v>6.41291795E10</v>
      </c>
      <c r="B50" s="218" t="s">
        <v>6382</v>
      </c>
    </row>
    <row r="51">
      <c r="A51" s="430">
        <v>5.387470802E9</v>
      </c>
      <c r="B51" s="218" t="s">
        <v>6383</v>
      </c>
    </row>
    <row r="52">
      <c r="A52" s="430">
        <v>3.7693077987E10</v>
      </c>
      <c r="B52" s="218" t="s">
        <v>6384</v>
      </c>
    </row>
    <row r="53">
      <c r="A53" s="430">
        <v>1.1397373172E10</v>
      </c>
      <c r="B53" s="218" t="s">
        <v>6385</v>
      </c>
    </row>
    <row r="54">
      <c r="A54" s="430">
        <v>7.1370153953E10</v>
      </c>
      <c r="B54" s="218" t="s">
        <v>6386</v>
      </c>
    </row>
    <row r="55">
      <c r="A55" s="430">
        <v>5.4287510968E10</v>
      </c>
      <c r="B55" s="218" t="s">
        <v>6387</v>
      </c>
    </row>
    <row r="56">
      <c r="A56" s="430">
        <v>6.47512874E8</v>
      </c>
      <c r="B56" s="218" t="s">
        <v>6388</v>
      </c>
    </row>
    <row r="57">
      <c r="A57" s="430">
        <v>2.3955074749E10</v>
      </c>
      <c r="B57" s="218" t="s">
        <v>6389</v>
      </c>
    </row>
    <row r="58">
      <c r="A58" s="430">
        <v>6.1279951915E10</v>
      </c>
      <c r="B58" s="218" t="s">
        <v>6390</v>
      </c>
    </row>
    <row r="59">
      <c r="A59" s="430">
        <v>4.85969904E8</v>
      </c>
      <c r="B59" s="218" t="s">
        <v>6391</v>
      </c>
    </row>
    <row r="60">
      <c r="A60" s="430">
        <v>7.0753539934E10</v>
      </c>
      <c r="B60" s="218" t="s">
        <v>6392</v>
      </c>
    </row>
    <row r="61">
      <c r="A61" s="430">
        <v>8.193222792E10</v>
      </c>
      <c r="B61" s="218" t="s">
        <v>6393</v>
      </c>
    </row>
    <row r="62">
      <c r="A62" s="430">
        <v>6.0784466734E10</v>
      </c>
      <c r="B62" s="218" t="s">
        <v>6394</v>
      </c>
    </row>
    <row r="63">
      <c r="A63" s="430">
        <v>6.0963611968E10</v>
      </c>
      <c r="B63" s="218" t="s">
        <v>6395</v>
      </c>
    </row>
    <row r="64">
      <c r="A64" s="430">
        <v>2.5756524991E10</v>
      </c>
      <c r="B64" s="218" t="s">
        <v>6396</v>
      </c>
    </row>
    <row r="65">
      <c r="A65" s="430">
        <v>2.1043779E7</v>
      </c>
      <c r="B65" s="218" t="s">
        <v>6397</v>
      </c>
    </row>
    <row r="66">
      <c r="A66" s="430">
        <v>6.7153496904E10</v>
      </c>
      <c r="B66" s="218" t="s">
        <v>6398</v>
      </c>
    </row>
    <row r="67">
      <c r="A67" s="430">
        <v>6.8407211915E10</v>
      </c>
      <c r="B67" s="218" t="s">
        <v>6399</v>
      </c>
    </row>
    <row r="68">
      <c r="A68" s="430">
        <v>7.0803404972E10</v>
      </c>
      <c r="B68" s="218" t="s">
        <v>6400</v>
      </c>
    </row>
    <row r="69">
      <c r="A69" s="430">
        <v>6.05820732E8</v>
      </c>
      <c r="B69" s="218" t="s">
        <v>6401</v>
      </c>
    </row>
    <row r="70">
      <c r="A70" s="430">
        <v>4.3075568953E10</v>
      </c>
      <c r="B70" s="218" t="s">
        <v>6402</v>
      </c>
    </row>
    <row r="71">
      <c r="A71" s="430">
        <v>1.164976281E10</v>
      </c>
      <c r="B71" s="218" t="s">
        <v>6403</v>
      </c>
    </row>
    <row r="72">
      <c r="A72" s="430">
        <v>3.4784888934E10</v>
      </c>
      <c r="B72" s="218" t="s">
        <v>6404</v>
      </c>
    </row>
    <row r="73">
      <c r="A73" s="430">
        <v>6.5499034915E10</v>
      </c>
      <c r="B73" s="218" t="s">
        <v>6405</v>
      </c>
    </row>
    <row r="74">
      <c r="A74" s="430">
        <v>4.6555897015E10</v>
      </c>
      <c r="B74" s="218" t="s">
        <v>6406</v>
      </c>
    </row>
    <row r="75">
      <c r="A75" s="430">
        <v>5.4979773915E10</v>
      </c>
      <c r="B75" s="218" t="s">
        <v>6407</v>
      </c>
    </row>
    <row r="76">
      <c r="A76" s="430">
        <v>4.900652873E9</v>
      </c>
      <c r="B76" s="218" t="s">
        <v>6408</v>
      </c>
    </row>
    <row r="77">
      <c r="A77" s="430">
        <v>3.4170529987E10</v>
      </c>
      <c r="B77" s="218" t="s">
        <v>6409</v>
      </c>
    </row>
    <row r="78">
      <c r="A78" s="430">
        <v>3.4216804934E10</v>
      </c>
      <c r="B78" s="218" t="s">
        <v>6410</v>
      </c>
    </row>
    <row r="79">
      <c r="A79" s="430">
        <v>3.4217037015E10</v>
      </c>
      <c r="B79" s="218" t="s">
        <v>6411</v>
      </c>
    </row>
    <row r="80">
      <c r="A80" s="430">
        <v>3.4521828949E10</v>
      </c>
      <c r="B80" s="218" t="s">
        <v>6412</v>
      </c>
    </row>
    <row r="81">
      <c r="A81" s="430">
        <v>3.47272649E10</v>
      </c>
      <c r="B81" s="218" t="s">
        <v>6413</v>
      </c>
    </row>
    <row r="82">
      <c r="A82" s="430">
        <v>5.786338592E10</v>
      </c>
      <c r="B82" s="218" t="s">
        <v>6414</v>
      </c>
    </row>
    <row r="83">
      <c r="A83" s="430">
        <v>2.173204904E9</v>
      </c>
      <c r="B83" s="218" t="s">
        <v>6415</v>
      </c>
    </row>
    <row r="84">
      <c r="A84" s="430">
        <v>3.4398201904E10</v>
      </c>
      <c r="B84" s="218" t="s">
        <v>6416</v>
      </c>
    </row>
    <row r="85">
      <c r="A85" s="430">
        <v>3.9753557E10</v>
      </c>
      <c r="B85" s="218" t="s">
        <v>6417</v>
      </c>
    </row>
    <row r="86">
      <c r="A86" s="430">
        <v>3.4394966949E10</v>
      </c>
      <c r="B86" s="218" t="s">
        <v>6418</v>
      </c>
    </row>
    <row r="87">
      <c r="A87" s="430">
        <v>1.552944492E10</v>
      </c>
      <c r="B87" s="218" t="s">
        <v>6419</v>
      </c>
    </row>
    <row r="88">
      <c r="A88" s="430">
        <v>7.1452397953E10</v>
      </c>
      <c r="B88" s="218" t="s">
        <v>6420</v>
      </c>
    </row>
    <row r="89">
      <c r="A89" s="430">
        <v>1.0584978987E10</v>
      </c>
      <c r="B89" s="218" t="s">
        <v>6421</v>
      </c>
    </row>
    <row r="90">
      <c r="A90" s="430">
        <v>2.5696084915E10</v>
      </c>
      <c r="B90" s="218" t="s">
        <v>6422</v>
      </c>
    </row>
    <row r="91">
      <c r="A91" s="430">
        <v>1.9636024987E10</v>
      </c>
      <c r="B91" s="218" t="s">
        <v>6423</v>
      </c>
    </row>
    <row r="92">
      <c r="A92" s="430">
        <v>8.1672926904E10</v>
      </c>
      <c r="B92" s="218" t="s">
        <v>6424</v>
      </c>
    </row>
    <row r="93">
      <c r="A93" s="430">
        <v>3.0423953915E10</v>
      </c>
      <c r="B93" s="218" t="s">
        <v>6425</v>
      </c>
    </row>
    <row r="94">
      <c r="A94" s="430">
        <v>6.5870832934E10</v>
      </c>
      <c r="B94" s="218" t="s">
        <v>6426</v>
      </c>
    </row>
    <row r="95">
      <c r="A95" s="430">
        <v>3.4319832949E10</v>
      </c>
      <c r="B95" s="218" t="s">
        <v>6427</v>
      </c>
    </row>
    <row r="96">
      <c r="A96" s="430">
        <v>4.4226942949E10</v>
      </c>
      <c r="B96" s="218" t="s">
        <v>6428</v>
      </c>
    </row>
    <row r="97">
      <c r="A97" s="430">
        <v>4.4329687968E10</v>
      </c>
      <c r="B97" s="218" t="s">
        <v>6429</v>
      </c>
    </row>
    <row r="98">
      <c r="A98" s="430">
        <v>4.4898401953E10</v>
      </c>
      <c r="B98" s="218" t="s">
        <v>6430</v>
      </c>
    </row>
    <row r="99">
      <c r="A99" s="430">
        <v>4.5081255904E10</v>
      </c>
      <c r="B99" s="218" t="s">
        <v>6431</v>
      </c>
    </row>
    <row r="100">
      <c r="A100" s="430">
        <v>4.5800200068E10</v>
      </c>
      <c r="B100" s="218" t="s">
        <v>6432</v>
      </c>
    </row>
    <row r="101">
      <c r="A101" s="430">
        <v>4.6315560997E10</v>
      </c>
      <c r="B101" s="218" t="s">
        <v>6433</v>
      </c>
    </row>
    <row r="102">
      <c r="A102" s="430">
        <v>4.6449426934E10</v>
      </c>
      <c r="B102" s="218" t="s">
        <v>6434</v>
      </c>
    </row>
    <row r="103">
      <c r="A103" s="430">
        <v>3.3509956087E10</v>
      </c>
      <c r="B103" s="218" t="s">
        <v>6435</v>
      </c>
    </row>
    <row r="104">
      <c r="A104" s="430">
        <v>5.6913311087E10</v>
      </c>
      <c r="B104" s="218" t="s">
        <v>6436</v>
      </c>
    </row>
    <row r="105">
      <c r="A105" s="430">
        <v>5.7506817004E10</v>
      </c>
      <c r="B105" s="218" t="s">
        <v>6437</v>
      </c>
    </row>
    <row r="106">
      <c r="A106" s="430">
        <v>5.7926239968E10</v>
      </c>
      <c r="B106" s="218" t="s">
        <v>6438</v>
      </c>
    </row>
    <row r="107">
      <c r="A107" s="430">
        <v>5.8898387091E10</v>
      </c>
      <c r="B107" s="218" t="s">
        <v>6439</v>
      </c>
    </row>
    <row r="108">
      <c r="A108" s="430">
        <v>5.9038543034E10</v>
      </c>
      <c r="B108" s="218" t="s">
        <v>6440</v>
      </c>
    </row>
    <row r="109">
      <c r="A109" s="430">
        <v>5.9081139991E10</v>
      </c>
      <c r="B109" s="218" t="s">
        <v>6441</v>
      </c>
    </row>
    <row r="110">
      <c r="A110" s="430">
        <v>5.6388667953E10</v>
      </c>
      <c r="B110" s="218" t="s">
        <v>6442</v>
      </c>
    </row>
    <row r="111">
      <c r="A111" s="430">
        <v>5.9429275968E10</v>
      </c>
      <c r="B111" s="218" t="s">
        <v>6443</v>
      </c>
    </row>
    <row r="112">
      <c r="A112" s="430">
        <v>5.09633099E10</v>
      </c>
      <c r="B112" s="218" t="s">
        <v>6444</v>
      </c>
    </row>
    <row r="113">
      <c r="A113" s="430">
        <v>5.25927239E10</v>
      </c>
      <c r="B113" s="218" t="s">
        <v>6445</v>
      </c>
    </row>
    <row r="114">
      <c r="A114" s="430">
        <v>5.2667901991E10</v>
      </c>
      <c r="B114" s="218" t="s">
        <v>6446</v>
      </c>
    </row>
    <row r="115">
      <c r="A115" s="430">
        <v>4.8175706953E10</v>
      </c>
      <c r="B115" s="218" t="s">
        <v>6447</v>
      </c>
    </row>
    <row r="116">
      <c r="A116" s="430">
        <v>4.4181647072E10</v>
      </c>
      <c r="B116" s="218" t="s">
        <v>6448</v>
      </c>
    </row>
    <row r="117">
      <c r="A117" s="430">
        <v>4.73871904E8</v>
      </c>
      <c r="B117" s="218" t="s">
        <v>6449</v>
      </c>
    </row>
    <row r="118">
      <c r="A118" s="430">
        <v>4.917090997E9</v>
      </c>
      <c r="B118" s="218" t="s">
        <v>6450</v>
      </c>
    </row>
    <row r="119">
      <c r="A119" s="430">
        <v>3.7794620953E10</v>
      </c>
      <c r="B119" s="218" t="s">
        <v>6451</v>
      </c>
    </row>
    <row r="120">
      <c r="A120" s="430">
        <v>3.7839195091E10</v>
      </c>
      <c r="B120" s="218" t="s">
        <v>6452</v>
      </c>
    </row>
    <row r="121">
      <c r="A121" s="430">
        <v>5.4203732972E10</v>
      </c>
      <c r="B121" s="218" t="s">
        <v>6453</v>
      </c>
    </row>
    <row r="122">
      <c r="A122" s="430">
        <v>5.4365864904E10</v>
      </c>
      <c r="B122" s="218" t="s">
        <v>6454</v>
      </c>
    </row>
    <row r="123">
      <c r="A123" s="430">
        <v>5.4990807987E10</v>
      </c>
      <c r="B123" s="218" t="s">
        <v>6455</v>
      </c>
    </row>
    <row r="124">
      <c r="A124" s="430">
        <v>5.5229646934E10</v>
      </c>
      <c r="B124" s="218" t="s">
        <v>6456</v>
      </c>
    </row>
    <row r="125">
      <c r="A125" s="430">
        <v>5.5243380997E10</v>
      </c>
      <c r="B125" s="218" t="s">
        <v>6457</v>
      </c>
    </row>
    <row r="126">
      <c r="A126" s="430">
        <v>5.5599214915E10</v>
      </c>
      <c r="B126" s="218" t="s">
        <v>6458</v>
      </c>
    </row>
    <row r="127">
      <c r="A127" s="430">
        <v>6.5325621904E10</v>
      </c>
      <c r="B127" s="218" t="s">
        <v>6459</v>
      </c>
    </row>
    <row r="128">
      <c r="A128" s="430">
        <v>2.992361968E9</v>
      </c>
      <c r="B128" s="218" t="s">
        <v>6460</v>
      </c>
    </row>
    <row r="129">
      <c r="A129" s="430">
        <v>2.487510854E9</v>
      </c>
      <c r="B129" s="218" t="s">
        <v>6461</v>
      </c>
    </row>
    <row r="130">
      <c r="A130" s="430">
        <v>6.3823438972E10</v>
      </c>
      <c r="B130" s="218" t="s">
        <v>6462</v>
      </c>
    </row>
    <row r="131">
      <c r="A131" s="430">
        <v>7.8298091E8</v>
      </c>
      <c r="B131" s="218" t="s">
        <v>6463</v>
      </c>
    </row>
    <row r="132">
      <c r="A132" s="430">
        <v>7.97006915E8</v>
      </c>
      <c r="B132" s="218" t="s">
        <v>6464</v>
      </c>
    </row>
    <row r="133">
      <c r="A133" s="430">
        <v>8.60530949E8</v>
      </c>
      <c r="B133" s="218" t="s">
        <v>6465</v>
      </c>
    </row>
    <row r="134">
      <c r="A134" s="430">
        <v>6.3322390934E10</v>
      </c>
      <c r="B134" s="218" t="s">
        <v>6466</v>
      </c>
    </row>
    <row r="135">
      <c r="A135" s="430">
        <v>6.3662833972E10</v>
      </c>
      <c r="B135" s="218" t="s">
        <v>6467</v>
      </c>
    </row>
    <row r="136">
      <c r="A136" s="430">
        <v>2.7509806828E10</v>
      </c>
      <c r="B136" s="218" t="s">
        <v>6468</v>
      </c>
    </row>
    <row r="137">
      <c r="A137" s="430">
        <v>7.3245372949E10</v>
      </c>
      <c r="B137" s="218" t="s">
        <v>6469</v>
      </c>
    </row>
    <row r="138">
      <c r="A138" s="430">
        <v>5.627116692E10</v>
      </c>
      <c r="B138" s="218" t="s">
        <v>6470</v>
      </c>
    </row>
    <row r="139">
      <c r="A139" s="430">
        <v>6.5454189987E10</v>
      </c>
      <c r="B139" s="218" t="s">
        <v>6471</v>
      </c>
    </row>
    <row r="140">
      <c r="A140" s="430">
        <v>4.0843904704E10</v>
      </c>
      <c r="B140" s="218" t="s">
        <v>6472</v>
      </c>
    </row>
    <row r="141">
      <c r="A141" s="430">
        <v>7.9729690944E10</v>
      </c>
      <c r="B141" s="218" t="s">
        <v>6473</v>
      </c>
    </row>
    <row r="142">
      <c r="A142" s="430">
        <v>2.0670001015E10</v>
      </c>
      <c r="B142" s="218" t="s">
        <v>6474</v>
      </c>
    </row>
    <row r="143">
      <c r="A143" s="430">
        <v>1.7880874968E10</v>
      </c>
      <c r="B143" s="218" t="s">
        <v>6475</v>
      </c>
    </row>
    <row r="144">
      <c r="A144" s="430">
        <v>3.9072968E9</v>
      </c>
      <c r="B144" s="218" t="s">
        <v>6476</v>
      </c>
    </row>
    <row r="145">
      <c r="A145" s="430">
        <v>1.72413915E8</v>
      </c>
      <c r="B145" s="218" t="s">
        <v>6477</v>
      </c>
    </row>
    <row r="146">
      <c r="A146" s="430">
        <v>4.5047103668E10</v>
      </c>
      <c r="B146" s="218" t="s">
        <v>6478</v>
      </c>
    </row>
    <row r="147">
      <c r="A147" s="430">
        <v>4.71207977E8</v>
      </c>
      <c r="B147" s="218" t="s">
        <v>6479</v>
      </c>
    </row>
    <row r="148">
      <c r="A148" s="430">
        <v>2.3417218004E10</v>
      </c>
      <c r="B148" s="218" t="s">
        <v>6480</v>
      </c>
    </row>
    <row r="149">
      <c r="A149" s="430">
        <v>2.44102929E10</v>
      </c>
      <c r="B149" s="218" t="s">
        <v>6481</v>
      </c>
    </row>
    <row r="150">
      <c r="A150" s="430">
        <v>2.4634921987E10</v>
      </c>
      <c r="B150" s="218" t="s">
        <v>6482</v>
      </c>
    </row>
    <row r="151">
      <c r="A151" s="430">
        <v>1.800752091E10</v>
      </c>
      <c r="B151" s="218" t="s">
        <v>6483</v>
      </c>
    </row>
    <row r="152">
      <c r="A152" s="430">
        <v>1.8068790934E10</v>
      </c>
      <c r="B152" s="218" t="s">
        <v>6484</v>
      </c>
    </row>
    <row r="153">
      <c r="A153" s="430">
        <v>1.8285643972E10</v>
      </c>
      <c r="B153" s="218" t="s">
        <v>6485</v>
      </c>
    </row>
    <row r="154">
      <c r="A154" s="430">
        <v>2.53477999E10</v>
      </c>
      <c r="B154" s="218" t="s">
        <v>6486</v>
      </c>
    </row>
    <row r="155">
      <c r="A155" s="430">
        <v>6.5305787904E10</v>
      </c>
      <c r="B155" s="218" t="s">
        <v>6487</v>
      </c>
    </row>
    <row r="156">
      <c r="A156" s="430">
        <v>3.8443546034E10</v>
      </c>
      <c r="B156" s="218" t="s">
        <v>6488</v>
      </c>
    </row>
    <row r="157">
      <c r="A157" s="430">
        <v>4.2342732015E10</v>
      </c>
      <c r="B157" s="218" t="s">
        <v>6489</v>
      </c>
    </row>
    <row r="158">
      <c r="A158" s="430">
        <v>6.915670092E10</v>
      </c>
      <c r="B158" s="218" t="s">
        <v>6490</v>
      </c>
    </row>
    <row r="159">
      <c r="A159" s="430">
        <v>8.0728375915E10</v>
      </c>
      <c r="B159" s="218" t="s">
        <v>6491</v>
      </c>
    </row>
    <row r="160">
      <c r="A160" s="430">
        <v>6.564828934E9</v>
      </c>
      <c r="B160" s="218" t="s">
        <v>6492</v>
      </c>
    </row>
    <row r="161">
      <c r="A161" s="430">
        <v>7.751028068E9</v>
      </c>
      <c r="B161" s="218" t="s">
        <v>6493</v>
      </c>
    </row>
    <row r="162">
      <c r="A162" s="430">
        <v>8.446709953E9</v>
      </c>
      <c r="B162" s="218" t="s">
        <v>6494</v>
      </c>
    </row>
    <row r="163">
      <c r="A163" s="430">
        <v>9.343423934E9</v>
      </c>
      <c r="B163" s="218" t="s">
        <v>6495</v>
      </c>
    </row>
    <row r="164">
      <c r="A164" s="430">
        <v>9.8907859E9</v>
      </c>
      <c r="B164" s="218" t="s">
        <v>6496</v>
      </c>
    </row>
    <row r="165">
      <c r="A165" s="430">
        <v>1.0253360978E10</v>
      </c>
      <c r="B165" s="218" t="s">
        <v>6497</v>
      </c>
    </row>
    <row r="166">
      <c r="A166" s="430">
        <v>1.0499350987E10</v>
      </c>
      <c r="B166" s="218" t="s">
        <v>6498</v>
      </c>
    </row>
    <row r="167">
      <c r="A167" s="430">
        <v>1.0891935991E10</v>
      </c>
      <c r="B167" s="218" t="s">
        <v>6499</v>
      </c>
    </row>
    <row r="168">
      <c r="A168" s="430">
        <v>1.2124796968E10</v>
      </c>
      <c r="B168" s="218" t="s">
        <v>6500</v>
      </c>
    </row>
    <row r="169">
      <c r="A169" s="430">
        <v>1.3350242987E10</v>
      </c>
      <c r="B169" s="218" t="s">
        <v>6501</v>
      </c>
    </row>
    <row r="170">
      <c r="A170" s="430">
        <v>1.3360329015E10</v>
      </c>
      <c r="B170" s="218" t="s">
        <v>6502</v>
      </c>
    </row>
    <row r="171">
      <c r="A171" s="430">
        <v>1.3988921068E10</v>
      </c>
      <c r="B171" s="218" t="s">
        <v>6503</v>
      </c>
    </row>
    <row r="172">
      <c r="A172" s="430">
        <v>1.4551632953E10</v>
      </c>
      <c r="B172" s="218" t="s">
        <v>6504</v>
      </c>
    </row>
    <row r="173">
      <c r="A173" s="430">
        <v>1.4796112987E10</v>
      </c>
      <c r="B173" s="218" t="s">
        <v>6505</v>
      </c>
    </row>
    <row r="174">
      <c r="A174" s="430">
        <v>1.5527336968E10</v>
      </c>
      <c r="B174" s="218" t="s">
        <v>6506</v>
      </c>
    </row>
    <row r="175">
      <c r="A175" s="430">
        <v>1.55333879E10</v>
      </c>
      <c r="B175" s="218" t="s">
        <v>6507</v>
      </c>
    </row>
    <row r="176">
      <c r="A176" s="430">
        <v>1.6065611034E10</v>
      </c>
      <c r="B176" s="218" t="s">
        <v>6508</v>
      </c>
    </row>
    <row r="177">
      <c r="A177" s="430">
        <v>1.6639367904E10</v>
      </c>
      <c r="B177" s="218" t="s">
        <v>6509</v>
      </c>
    </row>
    <row r="178">
      <c r="A178" s="430">
        <v>6.18349987E8</v>
      </c>
      <c r="B178" s="218" t="s">
        <v>6510</v>
      </c>
    </row>
    <row r="179">
      <c r="A179" s="430">
        <v>6.518494972E9</v>
      </c>
      <c r="B179" s="218" t="s">
        <v>6511</v>
      </c>
    </row>
    <row r="180">
      <c r="A180" s="430">
        <v>6.558313987E9</v>
      </c>
      <c r="B180" s="218" t="s">
        <v>6512</v>
      </c>
    </row>
    <row r="181">
      <c r="A181" s="430">
        <v>1.6675827987E10</v>
      </c>
      <c r="B181" s="218" t="s">
        <v>6513</v>
      </c>
    </row>
    <row r="182">
      <c r="A182" s="430">
        <v>1.7049091987E10</v>
      </c>
      <c r="B182" s="218" t="s">
        <v>6514</v>
      </c>
    </row>
    <row r="183">
      <c r="A183" s="430">
        <v>4.6392920072E10</v>
      </c>
      <c r="B183" s="218" t="s">
        <v>6515</v>
      </c>
    </row>
    <row r="184">
      <c r="A184" s="430">
        <v>1.067271848E9</v>
      </c>
      <c r="B184" s="218" t="s">
        <v>6516</v>
      </c>
    </row>
    <row r="185">
      <c r="A185" s="430">
        <v>1.0681809E9</v>
      </c>
      <c r="B185" s="218" t="s">
        <v>6517</v>
      </c>
    </row>
    <row r="186">
      <c r="A186" s="430">
        <v>1.0941819E9</v>
      </c>
      <c r="B186" s="218" t="s">
        <v>6518</v>
      </c>
    </row>
    <row r="187">
      <c r="A187" s="430">
        <v>1.840797991E9</v>
      </c>
      <c r="B187" s="218" t="s">
        <v>6519</v>
      </c>
    </row>
    <row r="188">
      <c r="A188" s="430">
        <v>2.000302903E9</v>
      </c>
      <c r="B188" s="218" t="s">
        <v>6520</v>
      </c>
    </row>
    <row r="189">
      <c r="A189" s="430">
        <v>8.8474003E8</v>
      </c>
      <c r="B189" s="218" t="s">
        <v>6521</v>
      </c>
    </row>
    <row r="190">
      <c r="A190" s="430">
        <v>9.2869092E8</v>
      </c>
      <c r="B190" s="218" t="s">
        <v>6522</v>
      </c>
    </row>
    <row r="191">
      <c r="A191" s="430">
        <v>4.8270512087E10</v>
      </c>
      <c r="B191" s="218" t="s">
        <v>6523</v>
      </c>
    </row>
    <row r="192">
      <c r="A192" s="430">
        <v>6.9606200078E10</v>
      </c>
      <c r="B192" s="218" t="s">
        <v>6524</v>
      </c>
    </row>
    <row r="193">
      <c r="A193" s="430">
        <v>5.6477252953E10</v>
      </c>
      <c r="B193" s="218" t="s">
        <v>6525</v>
      </c>
    </row>
    <row r="194">
      <c r="A194" s="430">
        <v>2.1948020963E10</v>
      </c>
      <c r="B194" s="218" t="s">
        <v>6526</v>
      </c>
    </row>
    <row r="195">
      <c r="A195" s="430">
        <v>2.211172792E10</v>
      </c>
      <c r="B195" s="218" t="s">
        <v>6527</v>
      </c>
    </row>
    <row r="196">
      <c r="A196" s="430">
        <v>2.23933589E10</v>
      </c>
      <c r="B196" s="218" t="s">
        <v>6528</v>
      </c>
    </row>
    <row r="197">
      <c r="A197" s="430">
        <v>4.65379109E10</v>
      </c>
      <c r="B197" s="218" t="s">
        <v>6529</v>
      </c>
    </row>
    <row r="198">
      <c r="A198" s="430">
        <v>4.6724796091E10</v>
      </c>
      <c r="B198" s="218" t="s">
        <v>6530</v>
      </c>
    </row>
    <row r="199">
      <c r="A199" s="430">
        <v>4.6923101972E10</v>
      </c>
      <c r="B199" s="218" t="s">
        <v>6531</v>
      </c>
    </row>
    <row r="200">
      <c r="A200" s="430">
        <v>4.7116641904E10</v>
      </c>
      <c r="B200" s="218" t="s">
        <v>6532</v>
      </c>
    </row>
    <row r="201">
      <c r="A201" s="430">
        <v>4.7402326934E10</v>
      </c>
      <c r="B201" s="218" t="s">
        <v>6533</v>
      </c>
    </row>
    <row r="202">
      <c r="A202" s="430">
        <v>3.9921212915E10</v>
      </c>
      <c r="B202" s="218" t="s">
        <v>6534</v>
      </c>
    </row>
    <row r="203">
      <c r="A203" s="430">
        <v>4.0020169949E10</v>
      </c>
      <c r="B203" s="218" t="s">
        <v>6535</v>
      </c>
    </row>
    <row r="204">
      <c r="A204" s="430">
        <v>4.029770592E10</v>
      </c>
      <c r="B204" s="218" t="s">
        <v>6536</v>
      </c>
    </row>
    <row r="205">
      <c r="A205" s="430">
        <v>4.0505308991E10</v>
      </c>
      <c r="B205" s="218" t="s">
        <v>6537</v>
      </c>
    </row>
    <row r="206">
      <c r="A206" s="430">
        <v>4.1137205091E10</v>
      </c>
      <c r="B206" s="218" t="s">
        <v>6538</v>
      </c>
    </row>
    <row r="207">
      <c r="A207" s="430">
        <v>4.1581563949E10</v>
      </c>
      <c r="B207" s="218" t="s">
        <v>6539</v>
      </c>
    </row>
    <row r="208">
      <c r="A208" s="430">
        <v>4.16700519E10</v>
      </c>
      <c r="B208" s="218" t="s">
        <v>6540</v>
      </c>
    </row>
    <row r="209">
      <c r="A209" s="430">
        <v>4.1834216915E10</v>
      </c>
      <c r="B209" s="218" t="s">
        <v>6541</v>
      </c>
    </row>
    <row r="210">
      <c r="A210" s="430">
        <v>4.1834801915E10</v>
      </c>
      <c r="B210" s="218" t="s">
        <v>6542</v>
      </c>
    </row>
    <row r="211">
      <c r="A211" s="430">
        <v>4.1841425915E10</v>
      </c>
      <c r="B211" s="218" t="s">
        <v>6543</v>
      </c>
    </row>
    <row r="212">
      <c r="A212" s="430">
        <v>4.21113669E10</v>
      </c>
      <c r="B212" s="218" t="s">
        <v>6544</v>
      </c>
    </row>
    <row r="213">
      <c r="A213" s="430">
        <v>4.31338E10</v>
      </c>
      <c r="B213" s="218" t="s">
        <v>6545</v>
      </c>
    </row>
    <row r="214">
      <c r="A214" s="430">
        <v>2.729377972E9</v>
      </c>
      <c r="B214" s="218" t="s">
        <v>6546</v>
      </c>
    </row>
    <row r="215">
      <c r="A215" s="430">
        <v>2.753104859E9</v>
      </c>
      <c r="B215" s="218" t="s">
        <v>6547</v>
      </c>
    </row>
    <row r="216">
      <c r="A216" s="430">
        <v>3.5254840978E10</v>
      </c>
      <c r="B216" s="218" t="s">
        <v>6548</v>
      </c>
    </row>
    <row r="217">
      <c r="A217" s="430">
        <v>8.1812396104E10</v>
      </c>
      <c r="B217" s="218" t="s">
        <v>6549</v>
      </c>
    </row>
    <row r="218">
      <c r="A218" s="430">
        <v>2.269485874E9</v>
      </c>
      <c r="B218" s="218" t="s">
        <v>6550</v>
      </c>
    </row>
    <row r="219">
      <c r="A219" s="430">
        <v>1.0791205053E10</v>
      </c>
      <c r="B219" s="218" t="s">
        <v>6551</v>
      </c>
    </row>
    <row r="220">
      <c r="A220" s="430">
        <v>1.5490777915E10</v>
      </c>
      <c r="B220" s="218" t="s">
        <v>6552</v>
      </c>
    </row>
    <row r="221">
      <c r="A221" s="430">
        <v>8.13474809E10</v>
      </c>
      <c r="B221" s="218" t="s">
        <v>6553</v>
      </c>
    </row>
    <row r="222">
      <c r="A222" s="430">
        <v>3.698713542E10</v>
      </c>
      <c r="B222" s="218" t="s">
        <v>6554</v>
      </c>
    </row>
    <row r="223">
      <c r="A223" s="430">
        <v>3.75766669E10</v>
      </c>
      <c r="B223" s="218" t="s">
        <v>6555</v>
      </c>
    </row>
    <row r="224">
      <c r="A224" s="430">
        <v>3.778699792E10</v>
      </c>
      <c r="B224" s="218" t="s">
        <v>6556</v>
      </c>
    </row>
    <row r="225">
      <c r="A225" s="430">
        <v>2.9307414904E10</v>
      </c>
      <c r="B225" s="218" t="s">
        <v>6557</v>
      </c>
    </row>
    <row r="226">
      <c r="A226" s="430">
        <v>2.9827620991E10</v>
      </c>
      <c r="B226" s="218" t="s">
        <v>6558</v>
      </c>
    </row>
    <row r="227">
      <c r="A227" s="430">
        <v>3.0335388949E10</v>
      </c>
      <c r="B227" s="218" t="s">
        <v>6559</v>
      </c>
    </row>
    <row r="228">
      <c r="A228" s="430">
        <v>3.060224692E10</v>
      </c>
      <c r="B228" s="218" t="s">
        <v>6560</v>
      </c>
    </row>
    <row r="229">
      <c r="A229" s="430">
        <v>3.0877148015E10</v>
      </c>
      <c r="B229" s="218" t="s">
        <v>6561</v>
      </c>
    </row>
    <row r="230">
      <c r="A230" s="430">
        <v>3.1290051968E10</v>
      </c>
      <c r="B230" s="218" t="s">
        <v>6562</v>
      </c>
    </row>
    <row r="231">
      <c r="A231" s="430">
        <v>3.13131759E10</v>
      </c>
      <c r="B231" s="218" t="s">
        <v>6563</v>
      </c>
    </row>
    <row r="232">
      <c r="A232" s="430">
        <v>3.19285529E10</v>
      </c>
      <c r="B232" s="218" t="s">
        <v>6564</v>
      </c>
    </row>
    <row r="233">
      <c r="A233" s="430">
        <v>3.1977308953E10</v>
      </c>
      <c r="B233" s="218" t="s">
        <v>6565</v>
      </c>
    </row>
    <row r="234">
      <c r="A234" s="430">
        <v>2.89976979E10</v>
      </c>
      <c r="B234" s="218" t="s">
        <v>6566</v>
      </c>
    </row>
    <row r="235">
      <c r="A235" s="430">
        <v>2.9054788968E10</v>
      </c>
      <c r="B235" s="218" t="s">
        <v>6567</v>
      </c>
    </row>
    <row r="236">
      <c r="A236" s="430">
        <v>1.9541457991E10</v>
      </c>
      <c r="B236" s="218" t="s">
        <v>6568</v>
      </c>
    </row>
    <row r="237">
      <c r="A237" s="430">
        <v>2.0679386068E10</v>
      </c>
      <c r="B237" s="218" t="s">
        <v>6569</v>
      </c>
    </row>
    <row r="238">
      <c r="A238" s="430">
        <v>2.170425292E10</v>
      </c>
      <c r="B238" s="218" t="s">
        <v>6570</v>
      </c>
    </row>
    <row r="239">
      <c r="A239" s="430">
        <v>2.1780528E10</v>
      </c>
      <c r="B239" s="218" t="s">
        <v>6571</v>
      </c>
    </row>
    <row r="240">
      <c r="A240" s="430">
        <v>2.1923027972E10</v>
      </c>
      <c r="B240" s="218" t="s">
        <v>6572</v>
      </c>
    </row>
    <row r="241">
      <c r="A241" s="430">
        <v>2.824655887E9</v>
      </c>
      <c r="B241" s="218" t="s">
        <v>6573</v>
      </c>
    </row>
    <row r="242">
      <c r="A242" s="430">
        <v>3.1089623704E10</v>
      </c>
      <c r="B242" s="218" t="s">
        <v>6574</v>
      </c>
    </row>
    <row r="243">
      <c r="A243" s="430">
        <v>2.4606429895E10</v>
      </c>
      <c r="B243" s="218" t="s">
        <v>6575</v>
      </c>
    </row>
    <row r="244">
      <c r="A244" s="430">
        <v>5.744759492E10</v>
      </c>
      <c r="B244" s="218" t="s">
        <v>6576</v>
      </c>
    </row>
    <row r="245">
      <c r="A245" s="430">
        <v>2.9175348004E10</v>
      </c>
      <c r="B245" s="218" t="s">
        <v>6577</v>
      </c>
    </row>
    <row r="246">
      <c r="A246" s="430">
        <v>2.4248690063E10</v>
      </c>
      <c r="B246" s="218" t="s">
        <v>6578</v>
      </c>
    </row>
    <row r="247">
      <c r="A247" s="430">
        <v>9.6990503904E10</v>
      </c>
      <c r="B247" s="218" t="s">
        <v>6579</v>
      </c>
    </row>
    <row r="248">
      <c r="A248" s="430">
        <v>7.3234607E9</v>
      </c>
      <c r="B248" s="218" t="s">
        <v>6580</v>
      </c>
    </row>
    <row r="249">
      <c r="A249" s="430">
        <v>5.8654976934E10</v>
      </c>
      <c r="B249" s="218" t="s">
        <v>6581</v>
      </c>
    </row>
    <row r="250">
      <c r="A250" s="430">
        <v>2.0025912968E10</v>
      </c>
      <c r="B250" s="218" t="s">
        <v>6582</v>
      </c>
    </row>
    <row r="251">
      <c r="A251" s="430">
        <v>1.1067969004E10</v>
      </c>
      <c r="B251" s="218" t="s">
        <v>6583</v>
      </c>
    </row>
    <row r="252">
      <c r="A252" s="430">
        <v>1.1242736115E10</v>
      </c>
      <c r="B252" s="218" t="s">
        <v>6584</v>
      </c>
    </row>
    <row r="253">
      <c r="A253" s="430">
        <v>7.2655429915E10</v>
      </c>
      <c r="B253" s="218" t="s">
        <v>6585</v>
      </c>
    </row>
    <row r="254">
      <c r="A254" s="430">
        <v>5.3817672934E10</v>
      </c>
      <c r="B254" s="218" t="s">
        <v>6586</v>
      </c>
    </row>
    <row r="255">
      <c r="A255" s="430">
        <v>7.722299792E10</v>
      </c>
      <c r="B255" s="218" t="s">
        <v>6587</v>
      </c>
    </row>
    <row r="256">
      <c r="A256" s="430">
        <v>7.7590880949E10</v>
      </c>
      <c r="B256" s="218" t="s">
        <v>6588</v>
      </c>
    </row>
    <row r="257">
      <c r="A257" s="430">
        <v>3.3231729068E10</v>
      </c>
      <c r="B257" s="218" t="s">
        <v>6589</v>
      </c>
    </row>
    <row r="258">
      <c r="A258" s="430">
        <v>3.789178292E10</v>
      </c>
      <c r="B258" s="218" t="s">
        <v>6590</v>
      </c>
    </row>
    <row r="259">
      <c r="A259" s="430">
        <v>6.5446054849E10</v>
      </c>
      <c r="B259" s="218" t="s">
        <v>6591</v>
      </c>
    </row>
    <row r="260">
      <c r="A260" s="430">
        <v>1.005625743E9</v>
      </c>
      <c r="B260" s="218" t="s">
        <v>6592</v>
      </c>
    </row>
    <row r="261">
      <c r="A261" s="430">
        <v>7.3254746953E10</v>
      </c>
      <c r="B261" s="218" t="s">
        <v>6593</v>
      </c>
    </row>
    <row r="262">
      <c r="A262" s="430">
        <v>2.069573001E10</v>
      </c>
      <c r="B262" s="218" t="s">
        <v>6594</v>
      </c>
    </row>
    <row r="263">
      <c r="A263" s="430">
        <v>5.2165191904E10</v>
      </c>
      <c r="B263" s="218" t="s">
        <v>6595</v>
      </c>
    </row>
    <row r="264">
      <c r="A264" s="430">
        <v>6.3768739953E10</v>
      </c>
      <c r="B264" s="218" t="s">
        <v>6596</v>
      </c>
    </row>
    <row r="265">
      <c r="A265" s="430">
        <v>2.2154787991E10</v>
      </c>
      <c r="B265" s="218" t="s">
        <v>6597</v>
      </c>
    </row>
    <row r="266">
      <c r="A266" s="430">
        <v>4.0064654915E10</v>
      </c>
      <c r="B266" s="218" t="s">
        <v>6598</v>
      </c>
    </row>
    <row r="267">
      <c r="A267" s="430">
        <v>8.0642497915E10</v>
      </c>
      <c r="B267" s="218" t="s">
        <v>6599</v>
      </c>
    </row>
    <row r="268">
      <c r="A268" s="430">
        <v>3.3761027087E10</v>
      </c>
      <c r="B268" s="218" t="s">
        <v>6600</v>
      </c>
    </row>
    <row r="269">
      <c r="A269" s="430">
        <v>7.46085419E10</v>
      </c>
      <c r="B269" s="218" t="s">
        <v>6601</v>
      </c>
    </row>
    <row r="270">
      <c r="A270" s="430">
        <v>6.4929809053E10</v>
      </c>
      <c r="B270" s="218" t="s">
        <v>6602</v>
      </c>
    </row>
    <row r="271">
      <c r="A271" s="430">
        <v>5.9748532968E10</v>
      </c>
      <c r="B271" s="218" t="s">
        <v>3513</v>
      </c>
    </row>
    <row r="272">
      <c r="A272" s="430">
        <v>4.9353675987E10</v>
      </c>
      <c r="B272" s="218" t="s">
        <v>6603</v>
      </c>
    </row>
    <row r="273">
      <c r="A273" s="430">
        <v>6.4197840934E10</v>
      </c>
      <c r="B273" s="218" t="s">
        <v>6604</v>
      </c>
    </row>
    <row r="274">
      <c r="A274" s="430">
        <v>5.3164504934E10</v>
      </c>
      <c r="B274" s="218" t="s">
        <v>6605</v>
      </c>
    </row>
    <row r="275">
      <c r="A275" s="430">
        <v>6.8192835987E10</v>
      </c>
      <c r="B275" s="218" t="s">
        <v>6606</v>
      </c>
    </row>
    <row r="276">
      <c r="A276" s="430">
        <v>7.44628571E9</v>
      </c>
      <c r="B276" s="218" t="s">
        <v>6607</v>
      </c>
    </row>
    <row r="277">
      <c r="A277" s="430">
        <v>6.605256492E10</v>
      </c>
      <c r="B277" s="218" t="s">
        <v>6608</v>
      </c>
    </row>
    <row r="278">
      <c r="A278" s="430">
        <v>3.75693769E10</v>
      </c>
      <c r="B278" s="218" t="s">
        <v>6609</v>
      </c>
    </row>
    <row r="279">
      <c r="A279" s="430">
        <v>2.9020824953E10</v>
      </c>
      <c r="B279" s="218" t="s">
        <v>6610</v>
      </c>
    </row>
    <row r="280">
      <c r="A280" s="430">
        <v>2.5244515934E10</v>
      </c>
      <c r="B280" s="218" t="s">
        <v>6611</v>
      </c>
    </row>
    <row r="281">
      <c r="A281" s="430">
        <v>3.8146916953E10</v>
      </c>
      <c r="B281" s="218" t="s">
        <v>6612</v>
      </c>
    </row>
    <row r="282">
      <c r="A282" s="430">
        <v>3.8555301904E10</v>
      </c>
      <c r="B282" s="218" t="s">
        <v>6613</v>
      </c>
    </row>
    <row r="283">
      <c r="A283" s="430">
        <v>2.3804718787E10</v>
      </c>
      <c r="B283" s="218" t="s">
        <v>6614</v>
      </c>
    </row>
    <row r="284">
      <c r="A284" s="430">
        <v>6.0470950978E10</v>
      </c>
      <c r="B284" s="218" t="s">
        <v>6615</v>
      </c>
    </row>
    <row r="285">
      <c r="A285" s="430">
        <v>5.7855765972E10</v>
      </c>
      <c r="B285" s="218" t="s">
        <v>6616</v>
      </c>
    </row>
    <row r="286">
      <c r="A286" s="430">
        <v>6.91243379E10</v>
      </c>
      <c r="B286" s="218" t="s">
        <v>6617</v>
      </c>
    </row>
    <row r="287">
      <c r="A287" s="430">
        <v>3.0500869987E10</v>
      </c>
      <c r="B287" s="218" t="s">
        <v>6618</v>
      </c>
    </row>
    <row r="288">
      <c r="A288" s="430">
        <v>7.2823461949E10</v>
      </c>
      <c r="B288" s="218" t="s">
        <v>6619</v>
      </c>
    </row>
    <row r="289">
      <c r="A289" s="430">
        <v>9.331815492E10</v>
      </c>
      <c r="B289" s="218" t="s">
        <v>6620</v>
      </c>
    </row>
    <row r="290">
      <c r="A290" s="430">
        <v>5.2936970997E10</v>
      </c>
      <c r="B290" s="218" t="s">
        <v>6621</v>
      </c>
    </row>
    <row r="291">
      <c r="A291" s="430">
        <v>4.7544457915E10</v>
      </c>
      <c r="B291" s="218" t="s">
        <v>6622</v>
      </c>
    </row>
    <row r="292">
      <c r="A292" s="430">
        <v>6.27249329E10</v>
      </c>
      <c r="B292" s="218" t="s">
        <v>6623</v>
      </c>
    </row>
    <row r="293">
      <c r="A293" s="430">
        <v>6.9142378915E10</v>
      </c>
      <c r="B293" s="218" t="s">
        <v>6624</v>
      </c>
    </row>
    <row r="294">
      <c r="A294" s="430">
        <v>1.7892619968E10</v>
      </c>
      <c r="B294" s="218" t="s">
        <v>6625</v>
      </c>
    </row>
    <row r="295">
      <c r="A295" s="430">
        <v>3.3570230082E10</v>
      </c>
      <c r="B295" s="218" t="s">
        <v>6626</v>
      </c>
    </row>
    <row r="296">
      <c r="A296" s="430">
        <v>3.09241979E10</v>
      </c>
      <c r="B296" s="218" t="s">
        <v>6627</v>
      </c>
    </row>
    <row r="297">
      <c r="A297" s="430">
        <v>4.6840486915E10</v>
      </c>
      <c r="B297" s="218" t="s">
        <v>6628</v>
      </c>
    </row>
    <row r="298">
      <c r="A298" s="430">
        <v>4.8592897904E10</v>
      </c>
      <c r="B298" s="218" t="s">
        <v>6629</v>
      </c>
    </row>
    <row r="299">
      <c r="A299" s="430">
        <v>2.2708740997E10</v>
      </c>
      <c r="B299" s="218" t="s">
        <v>6630</v>
      </c>
    </row>
    <row r="300">
      <c r="A300" s="430">
        <v>4.26090039E10</v>
      </c>
      <c r="B300" s="218" t="s">
        <v>6631</v>
      </c>
    </row>
    <row r="301">
      <c r="A301" s="430">
        <v>5.7357269949E10</v>
      </c>
      <c r="B301" s="218" t="s">
        <v>6632</v>
      </c>
    </row>
    <row r="302">
      <c r="A302" s="430">
        <v>3.7902555991E10</v>
      </c>
      <c r="B302" s="218" t="s">
        <v>6633</v>
      </c>
    </row>
    <row r="303">
      <c r="A303" s="430">
        <v>2.9120870906E10</v>
      </c>
      <c r="B303" s="218" t="s">
        <v>6634</v>
      </c>
    </row>
    <row r="304">
      <c r="A304" s="430">
        <v>5.604620092E10</v>
      </c>
      <c r="B304" s="218" t="s">
        <v>6635</v>
      </c>
    </row>
    <row r="305">
      <c r="A305" s="430">
        <v>4.9342509991E10</v>
      </c>
      <c r="B305" s="218" t="s">
        <v>6636</v>
      </c>
    </row>
    <row r="306">
      <c r="A306" s="430">
        <v>6.52587209E10</v>
      </c>
      <c r="B306" s="218" t="s">
        <v>6637</v>
      </c>
    </row>
    <row r="307">
      <c r="A307" s="430">
        <v>6.4709744904E10</v>
      </c>
      <c r="B307" s="218" t="s">
        <v>6638</v>
      </c>
    </row>
    <row r="308">
      <c r="A308" s="430">
        <v>5.646528992E10</v>
      </c>
      <c r="B308" s="218" t="s">
        <v>6639</v>
      </c>
    </row>
    <row r="309">
      <c r="A309" s="430">
        <v>3.774805091E10</v>
      </c>
      <c r="B309" s="218" t="s">
        <v>6640</v>
      </c>
    </row>
    <row r="310">
      <c r="A310" s="430">
        <v>5.3473086991E10</v>
      </c>
      <c r="B310" s="218" t="s">
        <v>6641</v>
      </c>
    </row>
    <row r="311">
      <c r="A311" s="430">
        <v>4.4482205915E10</v>
      </c>
      <c r="B311" s="218" t="s">
        <v>6642</v>
      </c>
    </row>
    <row r="312">
      <c r="A312" s="430">
        <v>2.1033269034E10</v>
      </c>
      <c r="B312" s="218" t="s">
        <v>6643</v>
      </c>
    </row>
    <row r="313">
      <c r="A313" s="430">
        <v>4.9046136949E10</v>
      </c>
      <c r="B313" s="218" t="s">
        <v>6644</v>
      </c>
    </row>
    <row r="314">
      <c r="A314" s="430">
        <v>4.2382971991E10</v>
      </c>
      <c r="B314" s="218" t="s">
        <v>6645</v>
      </c>
    </row>
    <row r="315">
      <c r="A315" s="430">
        <v>6.801502093E10</v>
      </c>
      <c r="B315" s="218" t="s">
        <v>6646</v>
      </c>
    </row>
    <row r="316">
      <c r="A316" s="430">
        <v>4.2197848968E10</v>
      </c>
      <c r="B316" s="218" t="s">
        <v>6647</v>
      </c>
    </row>
    <row r="317">
      <c r="A317" s="430">
        <v>5.3413385968E10</v>
      </c>
      <c r="B317" s="218" t="s">
        <v>6648</v>
      </c>
    </row>
    <row r="318">
      <c r="A318" s="430">
        <v>5.5152333953E10</v>
      </c>
      <c r="B318" s="218" t="s">
        <v>6649</v>
      </c>
    </row>
    <row r="319">
      <c r="A319" s="430">
        <v>3.4504826968E10</v>
      </c>
      <c r="B319" s="218" t="s">
        <v>6650</v>
      </c>
    </row>
    <row r="320">
      <c r="A320" s="430">
        <v>3.9961044991E10</v>
      </c>
      <c r="B320" s="218" t="s">
        <v>6651</v>
      </c>
    </row>
    <row r="321">
      <c r="A321" s="430">
        <v>5.2901165915E10</v>
      </c>
      <c r="B321" s="218" t="s">
        <v>6652</v>
      </c>
    </row>
    <row r="322">
      <c r="A322" s="430">
        <v>7.0767572904E10</v>
      </c>
      <c r="B322" s="218" t="s">
        <v>6653</v>
      </c>
    </row>
    <row r="323">
      <c r="A323" s="430">
        <v>8.38099459E10</v>
      </c>
      <c r="B323" s="218" t="s">
        <v>6654</v>
      </c>
    </row>
    <row r="324">
      <c r="A324" s="430">
        <v>4.8909823968E10</v>
      </c>
      <c r="B324" s="218" t="s">
        <v>6655</v>
      </c>
    </row>
    <row r="325">
      <c r="A325" s="430">
        <v>4.1636171915E10</v>
      </c>
      <c r="B325" s="218" t="s">
        <v>6656</v>
      </c>
    </row>
    <row r="326">
      <c r="A326" s="430">
        <v>9.0971043949E10</v>
      </c>
      <c r="B326" s="218" t="s">
        <v>6657</v>
      </c>
    </row>
    <row r="327">
      <c r="A327" s="430">
        <v>5.7580057972E10</v>
      </c>
      <c r="B327" s="218" t="s">
        <v>6658</v>
      </c>
    </row>
    <row r="328">
      <c r="A328" s="430">
        <v>4.7821400963E10</v>
      </c>
      <c r="B328" s="218" t="s">
        <v>6659</v>
      </c>
    </row>
    <row r="329">
      <c r="A329" s="430">
        <v>2.942185392E10</v>
      </c>
      <c r="B329" s="218" t="s">
        <v>6660</v>
      </c>
    </row>
    <row r="330">
      <c r="A330" s="430">
        <v>4.7821434949E10</v>
      </c>
      <c r="B330" s="218" t="s">
        <v>6661</v>
      </c>
    </row>
    <row r="331">
      <c r="A331" s="430">
        <v>4.86834859E10</v>
      </c>
      <c r="B331" s="218" t="s">
        <v>6662</v>
      </c>
    </row>
    <row r="332">
      <c r="A332" s="430">
        <v>3.9898954949E10</v>
      </c>
      <c r="B332" s="218" t="s">
        <v>6663</v>
      </c>
    </row>
    <row r="333">
      <c r="A333" s="430">
        <v>2.12202987E8</v>
      </c>
      <c r="B333" s="218" t="s">
        <v>6664</v>
      </c>
    </row>
    <row r="334">
      <c r="A334" s="430">
        <v>3.721888936E9</v>
      </c>
      <c r="B334" s="218" t="s">
        <v>6665</v>
      </c>
    </row>
    <row r="335">
      <c r="A335" s="430">
        <v>4.63819969E8</v>
      </c>
      <c r="B335" s="218" t="s">
        <v>6666</v>
      </c>
    </row>
    <row r="336">
      <c r="A336" s="430">
        <v>8.8077969968E10</v>
      </c>
      <c r="B336" s="218" t="s">
        <v>6667</v>
      </c>
    </row>
    <row r="337">
      <c r="A337" s="430">
        <v>9.1037328949E10</v>
      </c>
      <c r="B337" s="218" t="s">
        <v>6668</v>
      </c>
    </row>
    <row r="338">
      <c r="A338" s="430">
        <v>2.886805963E9</v>
      </c>
      <c r="B338" s="218" t="s">
        <v>6669</v>
      </c>
    </row>
    <row r="339">
      <c r="A339" s="430">
        <v>2.091611913E9</v>
      </c>
      <c r="B339" s="218" t="s">
        <v>6670</v>
      </c>
    </row>
    <row r="340">
      <c r="A340" s="430">
        <v>4.5753067972E10</v>
      </c>
      <c r="B340" s="218" t="s">
        <v>6671</v>
      </c>
    </row>
    <row r="341">
      <c r="A341" s="430">
        <v>1.582147906E9</v>
      </c>
      <c r="B341" s="218" t="s">
        <v>6672</v>
      </c>
    </row>
    <row r="342">
      <c r="A342" s="430">
        <v>3.1656727846E10</v>
      </c>
      <c r="B342" s="218" t="s">
        <v>6673</v>
      </c>
    </row>
    <row r="343">
      <c r="A343" s="430">
        <v>6.0724293E10</v>
      </c>
      <c r="B343" s="218" t="s">
        <v>6674</v>
      </c>
    </row>
    <row r="344">
      <c r="A344" s="430">
        <v>5.94341981E8</v>
      </c>
      <c r="B344" s="218" t="s">
        <v>6675</v>
      </c>
    </row>
    <row r="345">
      <c r="A345" s="430">
        <v>5.6622627991E10</v>
      </c>
      <c r="B345" s="218" t="s">
        <v>6676</v>
      </c>
    </row>
    <row r="346">
      <c r="A346" s="430">
        <v>4.651889905E9</v>
      </c>
      <c r="B346" s="218" t="s">
        <v>6677</v>
      </c>
    </row>
    <row r="347">
      <c r="A347" s="430">
        <v>9.013149502E10</v>
      </c>
      <c r="B347" s="218" t="s">
        <v>6678</v>
      </c>
    </row>
    <row r="348">
      <c r="A348" s="430">
        <v>2.556830484E10</v>
      </c>
      <c r="B348" s="218" t="s">
        <v>6679</v>
      </c>
    </row>
    <row r="349">
      <c r="A349" s="430">
        <v>7.1912231972E10</v>
      </c>
      <c r="B349" s="218" t="s">
        <v>6680</v>
      </c>
    </row>
    <row r="350">
      <c r="A350" s="430">
        <v>7.4671570963E10</v>
      </c>
      <c r="B350" s="218" t="s">
        <v>6681</v>
      </c>
    </row>
    <row r="351">
      <c r="A351" s="430">
        <v>7.5107830978E10</v>
      </c>
      <c r="B351" s="218" t="s">
        <v>6682</v>
      </c>
    </row>
    <row r="352">
      <c r="A352" s="430">
        <v>6.1496812972E10</v>
      </c>
      <c r="B352" s="218" t="s">
        <v>6683</v>
      </c>
    </row>
    <row r="353">
      <c r="A353" s="430">
        <v>5.6194218991E10</v>
      </c>
      <c r="B353" s="218" t="s">
        <v>6684</v>
      </c>
    </row>
    <row r="354">
      <c r="A354" s="430">
        <v>2.9987741991E10</v>
      </c>
      <c r="B354" s="218" t="s">
        <v>6685</v>
      </c>
    </row>
    <row r="355">
      <c r="A355" s="430">
        <v>6.0976357968E10</v>
      </c>
      <c r="B355" s="218" t="s">
        <v>6686</v>
      </c>
    </row>
    <row r="356">
      <c r="A356" s="430">
        <v>7.15836889E10</v>
      </c>
      <c r="B356" s="218" t="s">
        <v>6687</v>
      </c>
    </row>
    <row r="357">
      <c r="A357" s="430">
        <v>9.1046289934E10</v>
      </c>
      <c r="B357" s="218" t="s">
        <v>6688</v>
      </c>
    </row>
    <row r="358">
      <c r="A358" s="430">
        <v>9.8710281991E10</v>
      </c>
      <c r="B358" s="218" t="s">
        <v>6689</v>
      </c>
    </row>
    <row r="359">
      <c r="A359" s="430">
        <v>1.043411992E10</v>
      </c>
      <c r="B359" s="218" t="s">
        <v>6690</v>
      </c>
    </row>
    <row r="360">
      <c r="A360" s="430">
        <v>6.71676679E10</v>
      </c>
      <c r="B360" s="218" t="s">
        <v>6691</v>
      </c>
    </row>
    <row r="361">
      <c r="A361" s="430">
        <v>1.70329119E10</v>
      </c>
      <c r="B361" s="218" t="s">
        <v>6692</v>
      </c>
    </row>
    <row r="362">
      <c r="A362" s="430">
        <v>5.6697988991E10</v>
      </c>
      <c r="B362" s="218" t="s">
        <v>6693</v>
      </c>
    </row>
    <row r="363">
      <c r="A363" s="430">
        <v>2.9117291968E10</v>
      </c>
      <c r="B363" s="218" t="s">
        <v>6694</v>
      </c>
    </row>
    <row r="364">
      <c r="A364" s="430">
        <v>1.2640980068E10</v>
      </c>
      <c r="B364" s="218" t="s">
        <v>6695</v>
      </c>
    </row>
    <row r="365">
      <c r="A365" s="430">
        <v>5.5085121953E10</v>
      </c>
      <c r="B365" s="218" t="s">
        <v>6696</v>
      </c>
    </row>
    <row r="366">
      <c r="A366" s="430">
        <v>6.2101587068E10</v>
      </c>
      <c r="B366" s="218" t="s">
        <v>6697</v>
      </c>
    </row>
    <row r="367">
      <c r="A367" s="430">
        <v>5.7297568953E10</v>
      </c>
      <c r="B367" s="218" t="s">
        <v>6698</v>
      </c>
    </row>
    <row r="368">
      <c r="A368" s="430">
        <v>1.6275420944E10</v>
      </c>
      <c r="B368" s="218" t="s">
        <v>6699</v>
      </c>
    </row>
    <row r="369">
      <c r="A369" s="430">
        <v>5.99631589E10</v>
      </c>
      <c r="B369" s="218" t="s">
        <v>6700</v>
      </c>
    </row>
    <row r="370">
      <c r="A370" s="430">
        <v>3.7908863949E10</v>
      </c>
      <c r="B370" s="218" t="s">
        <v>6701</v>
      </c>
    </row>
    <row r="371">
      <c r="A371" s="430">
        <v>6.1288420978E10</v>
      </c>
      <c r="B371" s="218" t="s">
        <v>6702</v>
      </c>
    </row>
    <row r="372">
      <c r="A372" s="430">
        <v>1.9623089953E10</v>
      </c>
      <c r="B372" s="218" t="s">
        <v>6703</v>
      </c>
    </row>
    <row r="373">
      <c r="A373" s="430">
        <v>4.5471665953E10</v>
      </c>
      <c r="B373" s="218" t="s">
        <v>6704</v>
      </c>
    </row>
    <row r="374">
      <c r="A374" s="430">
        <v>6.8397348972E10</v>
      </c>
      <c r="B374" s="218" t="s">
        <v>6705</v>
      </c>
    </row>
    <row r="375">
      <c r="A375" s="430">
        <v>2.974673015E9</v>
      </c>
      <c r="B375" s="218" t="s">
        <v>6706</v>
      </c>
    </row>
    <row r="376">
      <c r="A376" s="430">
        <v>5.72209991E8</v>
      </c>
      <c r="B376" s="218" t="s">
        <v>6707</v>
      </c>
    </row>
    <row r="377">
      <c r="A377" s="430">
        <v>4.166131192E10</v>
      </c>
      <c r="B377" s="218" t="s">
        <v>6708</v>
      </c>
    </row>
    <row r="378">
      <c r="A378" s="430">
        <v>5.206706892E10</v>
      </c>
      <c r="B378" s="218" t="s">
        <v>6709</v>
      </c>
    </row>
    <row r="379">
      <c r="A379" s="430">
        <v>3.1600131972E10</v>
      </c>
      <c r="B379" s="218" t="s">
        <v>6710</v>
      </c>
    </row>
    <row r="380">
      <c r="A380" s="430">
        <v>6.406653904E9</v>
      </c>
      <c r="B380" s="218" t="s">
        <v>6711</v>
      </c>
    </row>
    <row r="381">
      <c r="A381" s="430">
        <v>4.5531226934E10</v>
      </c>
      <c r="B381" s="218" t="s">
        <v>6712</v>
      </c>
    </row>
    <row r="382">
      <c r="A382" s="430">
        <v>5.1183684053E10</v>
      </c>
      <c r="B382" s="218" t="s">
        <v>6713</v>
      </c>
    </row>
    <row r="383">
      <c r="A383" s="430">
        <v>8.9556437991E10</v>
      </c>
      <c r="B383" s="218" t="s">
        <v>6714</v>
      </c>
    </row>
    <row r="384">
      <c r="A384" s="430">
        <v>2.9094402904E10</v>
      </c>
      <c r="B384" s="218" t="s">
        <v>6715</v>
      </c>
    </row>
    <row r="385">
      <c r="A385" s="430">
        <v>4.3258662991E10</v>
      </c>
      <c r="B385" s="218" t="s">
        <v>6716</v>
      </c>
    </row>
    <row r="386">
      <c r="A386" s="430">
        <v>6.1948772868E10</v>
      </c>
      <c r="B386" s="218" t="s">
        <v>6717</v>
      </c>
    </row>
    <row r="387">
      <c r="A387" s="430">
        <v>4.0231810059E10</v>
      </c>
      <c r="B387" s="218" t="s">
        <v>6718</v>
      </c>
    </row>
    <row r="388">
      <c r="A388" s="430">
        <v>6.0577444972E10</v>
      </c>
      <c r="B388" s="218" t="s">
        <v>6719</v>
      </c>
    </row>
    <row r="389">
      <c r="A389" s="430">
        <v>6.4672832953E10</v>
      </c>
      <c r="B389" s="218" t="s">
        <v>6720</v>
      </c>
    </row>
    <row r="390">
      <c r="A390" s="430">
        <v>5.9239280944E10</v>
      </c>
      <c r="B390" s="218" t="s">
        <v>6721</v>
      </c>
    </row>
    <row r="391">
      <c r="A391" s="430">
        <v>7.1453598987E10</v>
      </c>
      <c r="B391" s="218" t="s">
        <v>6722</v>
      </c>
    </row>
    <row r="392">
      <c r="A392" s="430">
        <v>6.2528394934E10</v>
      </c>
      <c r="B392" s="218" t="s">
        <v>6723</v>
      </c>
    </row>
    <row r="393">
      <c r="A393" s="430">
        <v>6.2932675087E10</v>
      </c>
      <c r="B393" s="218" t="s">
        <v>6724</v>
      </c>
    </row>
    <row r="394">
      <c r="A394" s="430">
        <v>4.6400125949E10</v>
      </c>
      <c r="B394" s="218" t="s">
        <v>6725</v>
      </c>
    </row>
    <row r="395">
      <c r="A395" s="430">
        <v>3.275148842E9</v>
      </c>
      <c r="B395" s="218" t="s">
        <v>6726</v>
      </c>
    </row>
    <row r="396">
      <c r="A396" s="430">
        <v>5.2911861949E10</v>
      </c>
      <c r="B396" s="218" t="s">
        <v>6727</v>
      </c>
    </row>
    <row r="397">
      <c r="A397" s="430">
        <v>2.459204892E10</v>
      </c>
      <c r="B397" s="218" t="s">
        <v>6728</v>
      </c>
    </row>
    <row r="398">
      <c r="A398" s="430">
        <v>1.07648369E10</v>
      </c>
      <c r="B398" s="218" t="s">
        <v>6729</v>
      </c>
    </row>
    <row r="399">
      <c r="A399" s="430">
        <v>2.892935792E10</v>
      </c>
      <c r="B399" s="218" t="s">
        <v>6730</v>
      </c>
    </row>
    <row r="400">
      <c r="A400" s="430">
        <v>2.797853202E10</v>
      </c>
      <c r="B400" s="218" t="s">
        <v>6731</v>
      </c>
    </row>
    <row r="401">
      <c r="A401" s="430">
        <v>7.3720232972E10</v>
      </c>
      <c r="B401" s="218" t="s">
        <v>6732</v>
      </c>
    </row>
    <row r="402">
      <c r="A402" s="430">
        <v>7.0937818968E10</v>
      </c>
      <c r="B402" s="218" t="s">
        <v>6733</v>
      </c>
    </row>
    <row r="403">
      <c r="A403" s="430">
        <v>2.9467071053E10</v>
      </c>
      <c r="B403" s="218" t="s">
        <v>6734</v>
      </c>
    </row>
    <row r="404">
      <c r="A404" s="430">
        <v>2.4594660991E10</v>
      </c>
      <c r="B404" s="218" t="s">
        <v>6735</v>
      </c>
    </row>
    <row r="405">
      <c r="A405" s="430">
        <v>7.4971158987E10</v>
      </c>
      <c r="B405" s="218" t="s">
        <v>6736</v>
      </c>
    </row>
    <row r="406">
      <c r="A406" s="430">
        <v>6.17609357E10</v>
      </c>
      <c r="B406" s="218" t="s">
        <v>6737</v>
      </c>
    </row>
    <row r="407">
      <c r="A407" s="430">
        <v>1.2991768878E10</v>
      </c>
      <c r="B407" s="218" t="s">
        <v>6738</v>
      </c>
    </row>
    <row r="408">
      <c r="A408" s="430">
        <v>9.1475821972E10</v>
      </c>
      <c r="B408" s="218" t="s">
        <v>6739</v>
      </c>
    </row>
    <row r="409">
      <c r="A409" s="430">
        <v>5.28551981E9</v>
      </c>
      <c r="B409" s="218" t="s">
        <v>6740</v>
      </c>
    </row>
    <row r="410">
      <c r="A410" s="430">
        <v>7.541856053E9</v>
      </c>
      <c r="B410" s="218" t="s">
        <v>6741</v>
      </c>
    </row>
    <row r="411">
      <c r="A411" s="430">
        <v>5.3476263991E10</v>
      </c>
      <c r="B411" s="218" t="s">
        <v>6742</v>
      </c>
    </row>
    <row r="412">
      <c r="A412" s="430">
        <v>4.55202249E10</v>
      </c>
      <c r="B412" s="218" t="s">
        <v>6743</v>
      </c>
    </row>
    <row r="413">
      <c r="A413" s="430">
        <v>3.991848392E10</v>
      </c>
      <c r="B413" s="218" t="s">
        <v>6744</v>
      </c>
    </row>
    <row r="414">
      <c r="A414" s="430">
        <v>3.034666934E9</v>
      </c>
      <c r="B414" s="218" t="s">
        <v>6745</v>
      </c>
    </row>
    <row r="415">
      <c r="A415" s="430">
        <v>6.656579E8</v>
      </c>
      <c r="B415" s="218" t="s">
        <v>6746</v>
      </c>
    </row>
    <row r="416">
      <c r="A416" s="430">
        <v>2.1790779987E10</v>
      </c>
      <c r="B416" s="218" t="s">
        <v>6747</v>
      </c>
    </row>
    <row r="417">
      <c r="A417" s="430">
        <v>2.9082250934E10</v>
      </c>
      <c r="B417" s="218" t="s">
        <v>6748</v>
      </c>
    </row>
    <row r="418">
      <c r="A418" s="430">
        <v>6.0426594991E10</v>
      </c>
      <c r="B418" s="218" t="s">
        <v>6749</v>
      </c>
    </row>
    <row r="419">
      <c r="A419" s="430">
        <v>9.1250528968E10</v>
      </c>
      <c r="B419" s="218" t="s">
        <v>6750</v>
      </c>
    </row>
    <row r="420">
      <c r="A420" s="430">
        <v>7.6862437968E10</v>
      </c>
      <c r="B420" s="218" t="s">
        <v>6751</v>
      </c>
    </row>
    <row r="421">
      <c r="A421" s="430">
        <v>2.8958756934E10</v>
      </c>
      <c r="B421" s="218" t="s">
        <v>6752</v>
      </c>
    </row>
    <row r="422">
      <c r="A422" s="430">
        <v>7.0809887991E10</v>
      </c>
      <c r="B422" s="218" t="s">
        <v>6753</v>
      </c>
    </row>
    <row r="423">
      <c r="A423" s="430">
        <v>3.6842176549E10</v>
      </c>
      <c r="B423" s="218" t="s">
        <v>6754</v>
      </c>
    </row>
    <row r="424">
      <c r="A424" s="430">
        <v>2.840415801E9</v>
      </c>
      <c r="B424" s="218" t="s">
        <v>6755</v>
      </c>
    </row>
    <row r="425">
      <c r="A425" s="430">
        <v>7.855397E9</v>
      </c>
      <c r="B425" s="218" t="s">
        <v>6756</v>
      </c>
    </row>
    <row r="426">
      <c r="A426" s="430">
        <v>6.4006638949E10</v>
      </c>
      <c r="B426" s="218" t="s">
        <v>6757</v>
      </c>
    </row>
    <row r="427">
      <c r="A427" s="430">
        <v>3.7632701915E10</v>
      </c>
      <c r="B427" s="218" t="s">
        <v>6758</v>
      </c>
    </row>
    <row r="428">
      <c r="A428" s="430">
        <v>5.6834020934E10</v>
      </c>
      <c r="B428" s="218" t="s">
        <v>6759</v>
      </c>
    </row>
    <row r="429">
      <c r="A429" s="430">
        <v>7.3688614968E10</v>
      </c>
      <c r="B429" s="218" t="s">
        <v>6760</v>
      </c>
    </row>
    <row r="430">
      <c r="A430" s="430">
        <v>7.6129616953E10</v>
      </c>
      <c r="B430" s="218" t="s">
        <v>6761</v>
      </c>
    </row>
    <row r="431">
      <c r="A431" s="430">
        <v>4.80641579E10</v>
      </c>
      <c r="B431" s="218" t="s">
        <v>6762</v>
      </c>
    </row>
    <row r="432">
      <c r="A432" s="430">
        <v>2.1002240859E10</v>
      </c>
      <c r="B432" s="218" t="s">
        <v>6763</v>
      </c>
    </row>
    <row r="433">
      <c r="A433" s="430">
        <v>3.88904968E8</v>
      </c>
      <c r="B433" s="218" t="s">
        <v>6764</v>
      </c>
    </row>
    <row r="434">
      <c r="A434" s="430">
        <v>3.4460969904E10</v>
      </c>
      <c r="B434" s="218" t="s">
        <v>6765</v>
      </c>
    </row>
    <row r="435">
      <c r="A435" s="430">
        <v>3.9917975934E10</v>
      </c>
      <c r="B435" s="218" t="s">
        <v>6766</v>
      </c>
    </row>
    <row r="436">
      <c r="A436" s="430">
        <v>9.1066018987E10</v>
      </c>
      <c r="B436" s="218" t="s">
        <v>6767</v>
      </c>
    </row>
    <row r="437">
      <c r="A437" s="430">
        <v>7.8827094E8</v>
      </c>
      <c r="B437" s="218" t="s">
        <v>6768</v>
      </c>
    </row>
    <row r="438">
      <c r="A438" s="430">
        <v>3.1617140082E10</v>
      </c>
      <c r="B438" s="218" t="s">
        <v>6769</v>
      </c>
    </row>
    <row r="439">
      <c r="A439" s="430">
        <v>3.124482956E9</v>
      </c>
      <c r="B439" s="218" t="s">
        <v>6770</v>
      </c>
    </row>
    <row r="440">
      <c r="A440" s="430">
        <v>1.782680977E9</v>
      </c>
      <c r="B440" s="218" t="s">
        <v>6771</v>
      </c>
    </row>
    <row r="441">
      <c r="A441" s="430">
        <v>3.2205759272E10</v>
      </c>
      <c r="B441" s="218" t="s">
        <v>6772</v>
      </c>
    </row>
    <row r="442">
      <c r="A442" s="430">
        <v>1.65423978E9</v>
      </c>
      <c r="B442" s="218" t="s">
        <v>6773</v>
      </c>
    </row>
    <row r="443">
      <c r="A443" s="430">
        <v>8.9318722915E10</v>
      </c>
      <c r="B443" s="218" t="s">
        <v>6774</v>
      </c>
    </row>
    <row r="444">
      <c r="A444" s="430">
        <v>8.4576685953E10</v>
      </c>
      <c r="B444" s="218" t="s">
        <v>6775</v>
      </c>
    </row>
    <row r="445">
      <c r="A445" s="430">
        <v>4.63678966E8</v>
      </c>
      <c r="B445" s="218" t="s">
        <v>6776</v>
      </c>
    </row>
    <row r="446">
      <c r="A446" s="430">
        <v>1.886133905E9</v>
      </c>
      <c r="B446" s="218" t="s">
        <v>6777</v>
      </c>
    </row>
    <row r="447">
      <c r="A447" s="430">
        <v>1.371100489E10</v>
      </c>
      <c r="B447" s="218" t="s">
        <v>6778</v>
      </c>
    </row>
    <row r="448">
      <c r="A448" s="430">
        <v>1.60453194E9</v>
      </c>
      <c r="B448" s="218" t="s">
        <v>6779</v>
      </c>
    </row>
    <row r="449">
      <c r="A449" s="430">
        <v>2.171363975E9</v>
      </c>
      <c r="B449" s="218" t="s">
        <v>6780</v>
      </c>
    </row>
    <row r="450">
      <c r="A450" s="430">
        <v>2.97285092E9</v>
      </c>
      <c r="B450" s="218" t="s">
        <v>6781</v>
      </c>
    </row>
    <row r="451">
      <c r="A451" s="430">
        <v>4.142410962E9</v>
      </c>
      <c r="B451" s="218" t="s">
        <v>6782</v>
      </c>
    </row>
    <row r="452">
      <c r="A452" s="430">
        <v>8.0642578915E10</v>
      </c>
      <c r="B452" s="218" t="s">
        <v>6783</v>
      </c>
    </row>
    <row r="453">
      <c r="A453" s="430">
        <v>9.8393642949E10</v>
      </c>
      <c r="B453" s="218" t="s">
        <v>6784</v>
      </c>
    </row>
    <row r="454">
      <c r="A454" s="430">
        <v>4.090029929E9</v>
      </c>
      <c r="B454" s="218" t="s">
        <v>6785</v>
      </c>
    </row>
    <row r="455">
      <c r="A455" s="430">
        <v>8.2691240959E10</v>
      </c>
      <c r="B455" s="218" t="s">
        <v>6786</v>
      </c>
    </row>
    <row r="456">
      <c r="A456" s="430">
        <v>6.8828926287E10</v>
      </c>
      <c r="B456" s="218" t="s">
        <v>6787</v>
      </c>
    </row>
    <row r="457">
      <c r="A457" s="430">
        <v>3.98394946E8</v>
      </c>
      <c r="B457" s="218" t="s">
        <v>6788</v>
      </c>
    </row>
    <row r="458">
      <c r="A458" s="430">
        <v>1.5018362855E10</v>
      </c>
      <c r="B458" s="218" t="s">
        <v>6789</v>
      </c>
    </row>
    <row r="459">
      <c r="A459" s="430">
        <v>2.4608294857E10</v>
      </c>
      <c r="B459" s="218" t="s">
        <v>6790</v>
      </c>
    </row>
    <row r="460">
      <c r="A460" s="430">
        <v>3.999666927E9</v>
      </c>
      <c r="B460" s="218" t="s">
        <v>6791</v>
      </c>
    </row>
    <row r="461">
      <c r="A461" s="430">
        <v>2.756800961E9</v>
      </c>
      <c r="B461" s="218" t="s">
        <v>6792</v>
      </c>
    </row>
    <row r="462">
      <c r="A462" s="430">
        <v>4.66207964E8</v>
      </c>
      <c r="B462" s="218" t="s">
        <v>6793</v>
      </c>
    </row>
    <row r="463">
      <c r="A463" s="430">
        <v>3.144037958E9</v>
      </c>
      <c r="B463" s="218" t="s">
        <v>6794</v>
      </c>
    </row>
    <row r="464">
      <c r="A464" s="430">
        <v>4.1511700653E10</v>
      </c>
      <c r="B464" s="218" t="s">
        <v>6795</v>
      </c>
    </row>
    <row r="465">
      <c r="A465" s="430">
        <v>4.53497977E8</v>
      </c>
      <c r="B465" s="218" t="s">
        <v>6796</v>
      </c>
    </row>
    <row r="466">
      <c r="A466" s="430">
        <v>6.6540070934E10</v>
      </c>
      <c r="B466" s="218" t="s">
        <v>6797</v>
      </c>
    </row>
    <row r="467">
      <c r="A467" s="430">
        <v>9.0487923987E10</v>
      </c>
      <c r="B467" s="218" t="s">
        <v>6798</v>
      </c>
    </row>
    <row r="468">
      <c r="A468" s="430">
        <v>3.880182914E9</v>
      </c>
      <c r="B468" s="218" t="s">
        <v>6799</v>
      </c>
    </row>
    <row r="469">
      <c r="A469" s="430">
        <v>1.00657923E8</v>
      </c>
      <c r="B469" s="218" t="s">
        <v>6800</v>
      </c>
    </row>
    <row r="470">
      <c r="A470" s="430">
        <v>4.723306919E9</v>
      </c>
      <c r="B470" s="218" t="s">
        <v>6801</v>
      </c>
    </row>
    <row r="471">
      <c r="A471" s="430">
        <v>7057997.0</v>
      </c>
      <c r="B471" s="218" t="s">
        <v>6802</v>
      </c>
    </row>
    <row r="472">
      <c r="A472" s="430">
        <v>8.22185954E8</v>
      </c>
      <c r="B472" s="218" t="s">
        <v>6803</v>
      </c>
    </row>
    <row r="473">
      <c r="A473" s="430">
        <v>3.171439999E9</v>
      </c>
      <c r="B473" s="218" t="s">
        <v>6804</v>
      </c>
    </row>
    <row r="474">
      <c r="A474" s="430">
        <v>4.8193534034E10</v>
      </c>
      <c r="B474" s="218" t="s">
        <v>6805</v>
      </c>
    </row>
    <row r="475">
      <c r="A475" s="430">
        <v>2.912320941E9</v>
      </c>
      <c r="B475" s="218" t="s">
        <v>6806</v>
      </c>
    </row>
    <row r="476">
      <c r="A476" s="430">
        <v>7.5861399972E10</v>
      </c>
      <c r="B476" s="218" t="s">
        <v>6807</v>
      </c>
    </row>
    <row r="477">
      <c r="A477" s="430">
        <v>3.98547955E8</v>
      </c>
      <c r="B477" s="218" t="s">
        <v>6808</v>
      </c>
    </row>
    <row r="478">
      <c r="A478" s="430">
        <v>1.6094697049E10</v>
      </c>
      <c r="B478" s="218" t="s">
        <v>6809</v>
      </c>
    </row>
    <row r="479">
      <c r="A479" s="430">
        <v>4.08518693E9</v>
      </c>
      <c r="B479" s="218" t="s">
        <v>6810</v>
      </c>
    </row>
    <row r="480">
      <c r="A480" s="430">
        <v>7.64827901E8</v>
      </c>
      <c r="B480" s="218" t="s">
        <v>6811</v>
      </c>
    </row>
    <row r="481">
      <c r="A481" s="430">
        <v>4.4194773934E10</v>
      </c>
      <c r="B481" s="218" t="s">
        <v>6812</v>
      </c>
    </row>
    <row r="482">
      <c r="A482" s="430">
        <v>4.18856869E10</v>
      </c>
      <c r="B482" s="218" t="s">
        <v>6813</v>
      </c>
    </row>
    <row r="483">
      <c r="A483" s="430">
        <v>2.88968239E10</v>
      </c>
      <c r="B483" s="218" t="s">
        <v>6814</v>
      </c>
    </row>
    <row r="484">
      <c r="A484" s="430">
        <v>3.4532765072E10</v>
      </c>
      <c r="B484" s="218" t="s">
        <v>6815</v>
      </c>
    </row>
    <row r="485">
      <c r="A485" s="430">
        <v>4.5248729904E10</v>
      </c>
      <c r="B485" s="218" t="s">
        <v>6816</v>
      </c>
    </row>
    <row r="486">
      <c r="A486" s="430">
        <v>5.338467992E10</v>
      </c>
      <c r="B486" s="218" t="s">
        <v>6817</v>
      </c>
    </row>
    <row r="487">
      <c r="A487" s="430">
        <v>5.0185225934E10</v>
      </c>
      <c r="B487" s="218" t="s">
        <v>6818</v>
      </c>
    </row>
    <row r="488">
      <c r="A488" s="430">
        <v>4.8413380987E10</v>
      </c>
      <c r="B488" s="218" t="s">
        <v>6819</v>
      </c>
    </row>
    <row r="489">
      <c r="A489" s="430">
        <v>4.7678780044E10</v>
      </c>
      <c r="B489" s="218" t="s">
        <v>6820</v>
      </c>
    </row>
    <row r="490">
      <c r="A490" s="430">
        <v>5.72590547E10</v>
      </c>
      <c r="B490" s="218" t="s">
        <v>6821</v>
      </c>
    </row>
    <row r="491">
      <c r="A491" s="430">
        <v>8.8814076987E10</v>
      </c>
      <c r="B491" s="218" t="s">
        <v>6822</v>
      </c>
    </row>
    <row r="492">
      <c r="A492" s="430">
        <v>2.0374658072E10</v>
      </c>
      <c r="B492" s="218" t="s">
        <v>6823</v>
      </c>
    </row>
    <row r="493">
      <c r="A493" s="430">
        <v>4.1694392953E10</v>
      </c>
      <c r="B493" s="218" t="s">
        <v>6824</v>
      </c>
    </row>
    <row r="494">
      <c r="A494" s="430">
        <v>5.5773931915E10</v>
      </c>
      <c r="B494" s="218" t="s">
        <v>6825</v>
      </c>
    </row>
    <row r="495">
      <c r="A495" s="430">
        <v>1.6913728972E10</v>
      </c>
      <c r="B495" s="218" t="s">
        <v>6826</v>
      </c>
    </row>
    <row r="496">
      <c r="A496" s="430">
        <v>5.1422085953E10</v>
      </c>
      <c r="B496" s="218" t="s">
        <v>6827</v>
      </c>
    </row>
    <row r="497">
      <c r="A497" s="430">
        <v>1.8114806915E10</v>
      </c>
      <c r="B497" s="218" t="s">
        <v>6828</v>
      </c>
    </row>
    <row r="498">
      <c r="A498" s="430">
        <v>3.0384621015E10</v>
      </c>
      <c r="B498" s="218" t="s">
        <v>6829</v>
      </c>
    </row>
    <row r="499">
      <c r="A499" s="430">
        <v>3.9869970915E10</v>
      </c>
      <c r="B499" s="218" t="s">
        <v>6830</v>
      </c>
    </row>
    <row r="500">
      <c r="A500" s="430">
        <v>2.0029667968E10</v>
      </c>
      <c r="B500" s="218" t="s">
        <v>6831</v>
      </c>
    </row>
    <row r="501">
      <c r="A501" s="430">
        <v>4.8188590959E10</v>
      </c>
      <c r="B501" s="218" t="s">
        <v>6832</v>
      </c>
    </row>
    <row r="502">
      <c r="A502" s="430">
        <v>6.6052971991E10</v>
      </c>
      <c r="B502" s="218" t="s">
        <v>6833</v>
      </c>
    </row>
    <row r="503">
      <c r="A503" s="430">
        <v>4.8592080991E10</v>
      </c>
      <c r="B503" s="218" t="s">
        <v>6834</v>
      </c>
    </row>
    <row r="504">
      <c r="A504" s="430">
        <v>3.0930820991E10</v>
      </c>
      <c r="B504" s="218" t="s">
        <v>6835</v>
      </c>
    </row>
    <row r="505">
      <c r="A505" s="430">
        <v>3.9334104953E10</v>
      </c>
      <c r="B505" s="218" t="s">
        <v>6836</v>
      </c>
    </row>
    <row r="506">
      <c r="A506" s="430">
        <v>2.6402793E10</v>
      </c>
      <c r="B506" s="218" t="s">
        <v>6837</v>
      </c>
    </row>
    <row r="507">
      <c r="A507" s="430">
        <v>3.7842897972E10</v>
      </c>
      <c r="B507" s="218" t="s">
        <v>6838</v>
      </c>
    </row>
    <row r="508">
      <c r="A508" s="430">
        <v>7.4199129987E10</v>
      </c>
      <c r="B508" s="218" t="s">
        <v>6839</v>
      </c>
    </row>
    <row r="509">
      <c r="A509" s="430">
        <v>5.5117520963E10</v>
      </c>
      <c r="B509" s="218" t="s">
        <v>6840</v>
      </c>
    </row>
    <row r="510">
      <c r="A510" s="430">
        <v>5.1421771934E10</v>
      </c>
      <c r="B510" s="218" t="s">
        <v>6841</v>
      </c>
    </row>
    <row r="511">
      <c r="A511" s="430">
        <v>7.7702875968E10</v>
      </c>
      <c r="B511" s="218" t="s">
        <v>6842</v>
      </c>
    </row>
    <row r="512">
      <c r="A512" s="430">
        <v>4.6295240968E10</v>
      </c>
      <c r="B512" s="218" t="s">
        <v>6843</v>
      </c>
    </row>
    <row r="513">
      <c r="A513" s="430">
        <v>7.9861857915E10</v>
      </c>
      <c r="B513" s="218" t="s">
        <v>6844</v>
      </c>
    </row>
    <row r="514">
      <c r="A514" s="430">
        <v>1.8385443053E10</v>
      </c>
      <c r="B514" s="218" t="s">
        <v>6845</v>
      </c>
    </row>
    <row r="515">
      <c r="A515" s="430">
        <v>8.1265549915E10</v>
      </c>
      <c r="B515" s="218" t="s">
        <v>6846</v>
      </c>
    </row>
    <row r="516">
      <c r="A516" s="430">
        <v>5.3813758915E10</v>
      </c>
      <c r="B516" s="218" t="s">
        <v>6847</v>
      </c>
    </row>
    <row r="517">
      <c r="A517" s="430">
        <v>9.32808492E9</v>
      </c>
      <c r="B517" s="218" t="s">
        <v>6848</v>
      </c>
    </row>
    <row r="518">
      <c r="A518" s="430">
        <v>1.3997548072E10</v>
      </c>
      <c r="B518" s="218" t="s">
        <v>6849</v>
      </c>
    </row>
    <row r="519">
      <c r="A519" s="430">
        <v>5.7256799934E10</v>
      </c>
      <c r="B519" s="218" t="s">
        <v>6850</v>
      </c>
    </row>
    <row r="520">
      <c r="A520" s="430">
        <v>8.1704801915E10</v>
      </c>
      <c r="B520" s="218" t="s">
        <v>6851</v>
      </c>
    </row>
    <row r="521">
      <c r="A521" s="430">
        <v>4.8562378968E10</v>
      </c>
      <c r="B521" s="218" t="s">
        <v>6852</v>
      </c>
    </row>
    <row r="522">
      <c r="A522" s="430">
        <v>1.16006838E8</v>
      </c>
      <c r="B522" s="218" t="s">
        <v>6853</v>
      </c>
    </row>
    <row r="523">
      <c r="A523" s="430">
        <v>7.1387102753E10</v>
      </c>
      <c r="B523" s="218" t="s">
        <v>6854</v>
      </c>
    </row>
    <row r="524">
      <c r="A524" s="430">
        <v>8.7656523987E10</v>
      </c>
      <c r="B524" s="218" t="s">
        <v>6855</v>
      </c>
    </row>
    <row r="525">
      <c r="A525" s="430">
        <v>7.6334880934E10</v>
      </c>
      <c r="B525" s="218" t="s">
        <v>6856</v>
      </c>
    </row>
    <row r="526">
      <c r="A526" s="430">
        <v>4.7606215049E10</v>
      </c>
      <c r="B526" s="218" t="s">
        <v>6857</v>
      </c>
    </row>
    <row r="527">
      <c r="A527" s="430">
        <v>5.8548408049E10</v>
      </c>
      <c r="B527" s="218" t="s">
        <v>6858</v>
      </c>
    </row>
    <row r="528">
      <c r="A528" s="430">
        <v>9.4675562949E10</v>
      </c>
      <c r="B528" s="218" t="s">
        <v>6859</v>
      </c>
    </row>
    <row r="529">
      <c r="A529" s="430">
        <v>1.6899288087E10</v>
      </c>
      <c r="B529" s="218" t="s">
        <v>6860</v>
      </c>
    </row>
    <row r="530">
      <c r="A530" s="430">
        <v>3.0571499953E10</v>
      </c>
      <c r="B530" s="218" t="s">
        <v>6861</v>
      </c>
    </row>
    <row r="531">
      <c r="A531" s="430">
        <v>3.1229930906E10</v>
      </c>
      <c r="B531" s="218" t="s">
        <v>6862</v>
      </c>
    </row>
    <row r="532">
      <c r="A532" s="430">
        <v>1.2009237072E10</v>
      </c>
      <c r="B532" s="218" t="s">
        <v>6863</v>
      </c>
    </row>
    <row r="533">
      <c r="A533" s="430">
        <v>3.050173904E9</v>
      </c>
      <c r="B533" s="218" t="s">
        <v>6864</v>
      </c>
    </row>
    <row r="534">
      <c r="A534" s="430">
        <v>4.540646087E9</v>
      </c>
      <c r="B534" s="218" t="s">
        <v>6865</v>
      </c>
    </row>
    <row r="535">
      <c r="A535" s="430">
        <v>1.57261E10</v>
      </c>
      <c r="B535" s="218" t="s">
        <v>6866</v>
      </c>
    </row>
    <row r="536">
      <c r="A536" s="430">
        <v>7.4405578915E10</v>
      </c>
      <c r="B536" s="218" t="s">
        <v>6867</v>
      </c>
    </row>
    <row r="537">
      <c r="A537" s="430">
        <v>4.508628192E10</v>
      </c>
      <c r="B537" s="218" t="s">
        <v>6868</v>
      </c>
    </row>
    <row r="538">
      <c r="A538" s="430">
        <v>8.9212371949E10</v>
      </c>
      <c r="B538" s="218" t="s">
        <v>6869</v>
      </c>
    </row>
    <row r="539">
      <c r="A539" s="430">
        <v>7.322143949E9</v>
      </c>
      <c r="B539" s="218" t="s">
        <v>6870</v>
      </c>
    </row>
    <row r="540">
      <c r="A540" s="430">
        <v>6.7675875087E10</v>
      </c>
      <c r="B540" s="218" t="s">
        <v>6871</v>
      </c>
    </row>
    <row r="541">
      <c r="A541" s="430">
        <v>8.1347901604E10</v>
      </c>
      <c r="B541" s="218" t="s">
        <v>6872</v>
      </c>
    </row>
    <row r="542">
      <c r="A542" s="430">
        <v>8.0866409734E10</v>
      </c>
      <c r="B542" s="218" t="s">
        <v>6873</v>
      </c>
    </row>
    <row r="543">
      <c r="A543" s="430">
        <v>6.13948409E10</v>
      </c>
      <c r="B543" s="218" t="s">
        <v>6874</v>
      </c>
    </row>
    <row r="544">
      <c r="A544" s="430">
        <v>6.7554768034E10</v>
      </c>
      <c r="B544" s="218" t="s">
        <v>6875</v>
      </c>
    </row>
    <row r="545">
      <c r="A545" s="430">
        <v>8.6288610925E10</v>
      </c>
      <c r="B545" s="218" t="s">
        <v>6876</v>
      </c>
    </row>
    <row r="546">
      <c r="A546" s="430">
        <v>5.1943530068E10</v>
      </c>
      <c r="B546" s="218" t="s">
        <v>6877</v>
      </c>
    </row>
    <row r="547">
      <c r="A547" s="430">
        <v>1.8670423987E10</v>
      </c>
      <c r="B547" s="218" t="s">
        <v>6878</v>
      </c>
    </row>
    <row r="548">
      <c r="A548" s="430">
        <v>6.1155438787E10</v>
      </c>
      <c r="B548" s="218" t="s">
        <v>6879</v>
      </c>
    </row>
    <row r="549">
      <c r="A549" s="430">
        <v>5.2558339915E10</v>
      </c>
      <c r="B549" s="218" t="s">
        <v>6880</v>
      </c>
    </row>
    <row r="550">
      <c r="A550" s="430">
        <v>6.3692457987E10</v>
      </c>
      <c r="B550" s="218" t="s">
        <v>6881</v>
      </c>
    </row>
    <row r="551">
      <c r="A551" s="430">
        <v>7.3010332904E10</v>
      </c>
      <c r="B551" s="218" t="s">
        <v>6882</v>
      </c>
    </row>
    <row r="552">
      <c r="A552" s="430">
        <v>5.2799263968E10</v>
      </c>
      <c r="B552" s="218" t="s">
        <v>6883</v>
      </c>
    </row>
    <row r="553">
      <c r="A553" s="430">
        <v>4.45359889E10</v>
      </c>
      <c r="B553" s="218" t="s">
        <v>6884</v>
      </c>
    </row>
    <row r="554">
      <c r="A554" s="430">
        <v>5.6030517953E10</v>
      </c>
      <c r="B554" s="218" t="s">
        <v>6885</v>
      </c>
    </row>
    <row r="555">
      <c r="A555" s="430">
        <v>2.3877910025E10</v>
      </c>
      <c r="B555" s="218" t="s">
        <v>6886</v>
      </c>
    </row>
    <row r="556">
      <c r="A556" s="430">
        <v>6.7955240944E10</v>
      </c>
      <c r="B556" s="218" t="s">
        <v>6887</v>
      </c>
    </row>
    <row r="557">
      <c r="A557" s="430">
        <v>1.7920566991E10</v>
      </c>
      <c r="B557" s="218" t="s">
        <v>6888</v>
      </c>
    </row>
    <row r="558">
      <c r="A558" s="430">
        <v>3.7574400997E10</v>
      </c>
      <c r="B558" s="218" t="s">
        <v>6889</v>
      </c>
    </row>
    <row r="559">
      <c r="A559" s="430">
        <v>7.6132714987E10</v>
      </c>
      <c r="B559" s="218" t="s">
        <v>6890</v>
      </c>
    </row>
    <row r="560">
      <c r="A560" s="430">
        <v>3.8271435949E10</v>
      </c>
      <c r="B560" s="218" t="s">
        <v>6891</v>
      </c>
    </row>
    <row r="561">
      <c r="A561" s="430">
        <v>5.3861027968E10</v>
      </c>
      <c r="B561" s="218" t="s">
        <v>6892</v>
      </c>
    </row>
    <row r="562">
      <c r="A562" s="430">
        <v>2.9707269049E10</v>
      </c>
      <c r="B562" s="218" t="s">
        <v>6893</v>
      </c>
    </row>
    <row r="563">
      <c r="A563" s="430">
        <v>2.9098084087E10</v>
      </c>
      <c r="B563" s="218" t="s">
        <v>6894</v>
      </c>
    </row>
    <row r="564">
      <c r="A564" s="430">
        <v>4.9316118E9</v>
      </c>
      <c r="B564" s="218" t="s">
        <v>6895</v>
      </c>
    </row>
    <row r="565">
      <c r="A565" s="430">
        <v>6.7177344934E10</v>
      </c>
      <c r="B565" s="218" t="s">
        <v>6896</v>
      </c>
    </row>
    <row r="566">
      <c r="A566" s="430">
        <v>4.7116480978E10</v>
      </c>
      <c r="B566" s="218" t="s">
        <v>6897</v>
      </c>
    </row>
    <row r="567">
      <c r="A567" s="430">
        <v>3.5235489934E10</v>
      </c>
      <c r="B567" s="218" t="s">
        <v>6898</v>
      </c>
    </row>
    <row r="568">
      <c r="A568" s="430">
        <v>3.5298332072E10</v>
      </c>
      <c r="B568" s="218" t="s">
        <v>6899</v>
      </c>
    </row>
    <row r="569">
      <c r="A569" s="430">
        <v>2.7081028004E10</v>
      </c>
      <c r="B569" s="218" t="s">
        <v>6900</v>
      </c>
    </row>
    <row r="570">
      <c r="A570" s="430">
        <v>5.944804092E10</v>
      </c>
      <c r="B570" s="218" t="s">
        <v>6901</v>
      </c>
    </row>
    <row r="571">
      <c r="A571" s="430">
        <v>7.7684613987E10</v>
      </c>
      <c r="B571" s="218" t="s">
        <v>6902</v>
      </c>
    </row>
    <row r="572">
      <c r="A572" s="430">
        <v>2.4634468972E10</v>
      </c>
      <c r="B572" s="218" t="s">
        <v>6903</v>
      </c>
    </row>
    <row r="573">
      <c r="A573" s="430">
        <v>5.9718340963E10</v>
      </c>
      <c r="B573" s="218" t="s">
        <v>6904</v>
      </c>
    </row>
    <row r="574">
      <c r="A574" s="430">
        <v>6.6082030982E10</v>
      </c>
      <c r="B574" s="218" t="s">
        <v>6905</v>
      </c>
    </row>
    <row r="575">
      <c r="A575" s="430">
        <v>1.5894495E8</v>
      </c>
      <c r="B575" s="218" t="s">
        <v>6906</v>
      </c>
    </row>
    <row r="576">
      <c r="A576" s="430">
        <v>5.2665313987E10</v>
      </c>
      <c r="B576" s="218" t="s">
        <v>6907</v>
      </c>
    </row>
    <row r="577">
      <c r="A577" s="430">
        <v>2.9077990968E10</v>
      </c>
      <c r="B577" s="218" t="s">
        <v>6908</v>
      </c>
    </row>
    <row r="578">
      <c r="A578" s="430">
        <v>1.80797689E10</v>
      </c>
      <c r="B578" s="218" t="s">
        <v>6909</v>
      </c>
    </row>
    <row r="579">
      <c r="A579" s="430">
        <v>1.9397305034E10</v>
      </c>
      <c r="B579" s="218" t="s">
        <v>6910</v>
      </c>
    </row>
    <row r="580">
      <c r="A580" s="430">
        <v>7.50784067E10</v>
      </c>
      <c r="B580" s="218" t="s">
        <v>6911</v>
      </c>
    </row>
    <row r="581">
      <c r="A581" s="430">
        <v>1.0832645087E10</v>
      </c>
      <c r="B581" s="218" t="s">
        <v>6912</v>
      </c>
    </row>
    <row r="582">
      <c r="A582" s="430">
        <v>4.6111760963E10</v>
      </c>
      <c r="B582" s="218" t="s">
        <v>6913</v>
      </c>
    </row>
    <row r="583">
      <c r="A583" s="430">
        <v>6.7168361953E10</v>
      </c>
      <c r="B583" s="218" t="s">
        <v>6914</v>
      </c>
    </row>
    <row r="584">
      <c r="A584" s="430">
        <v>2.012162991E9</v>
      </c>
      <c r="B584" s="218" t="s">
        <v>6915</v>
      </c>
    </row>
    <row r="585">
      <c r="A585" s="430">
        <v>7.7635035991E10</v>
      </c>
      <c r="B585" s="218" t="s">
        <v>6916</v>
      </c>
    </row>
    <row r="586">
      <c r="A586" s="430">
        <v>4.0552241091E10</v>
      </c>
      <c r="B586" s="218" t="s">
        <v>6917</v>
      </c>
    </row>
    <row r="587">
      <c r="A587" s="430">
        <v>5.6480440978E10</v>
      </c>
      <c r="B587" s="218" t="s">
        <v>6918</v>
      </c>
    </row>
    <row r="588">
      <c r="A588" s="430">
        <v>1.86286392E9</v>
      </c>
      <c r="B588" s="218" t="s">
        <v>6919</v>
      </c>
    </row>
    <row r="589">
      <c r="A589" s="430">
        <v>3.7655493987E10</v>
      </c>
      <c r="B589" s="218" t="s">
        <v>6920</v>
      </c>
    </row>
    <row r="590">
      <c r="A590" s="430">
        <v>6.8565810925E10</v>
      </c>
      <c r="B590" s="218" t="s">
        <v>6921</v>
      </c>
    </row>
    <row r="591">
      <c r="A591" s="430">
        <v>2.7434907053E10</v>
      </c>
      <c r="B591" s="218" t="s">
        <v>6922</v>
      </c>
    </row>
    <row r="592">
      <c r="A592" s="430">
        <v>6.246450792E10</v>
      </c>
      <c r="B592" s="218" t="s">
        <v>6923</v>
      </c>
    </row>
    <row r="593">
      <c r="A593" s="430">
        <v>5.4116937991E10</v>
      </c>
      <c r="B593" s="218" t="s">
        <v>6924</v>
      </c>
    </row>
    <row r="594">
      <c r="A594" s="430">
        <v>7.48617787E8</v>
      </c>
      <c r="B594" s="218" t="s">
        <v>6925</v>
      </c>
    </row>
    <row r="595">
      <c r="A595" s="430">
        <v>4.1750349949E10</v>
      </c>
      <c r="B595" s="218" t="s">
        <v>6926</v>
      </c>
    </row>
    <row r="596">
      <c r="A596" s="430">
        <v>5.6817037972E10</v>
      </c>
      <c r="B596" s="218" t="s">
        <v>6927</v>
      </c>
    </row>
    <row r="597">
      <c r="A597" s="430">
        <v>1.1153580063E10</v>
      </c>
      <c r="B597" s="218" t="s">
        <v>6928</v>
      </c>
    </row>
    <row r="598">
      <c r="A598" s="430">
        <v>2.8942230997E10</v>
      </c>
      <c r="B598" s="218" t="s">
        <v>6929</v>
      </c>
    </row>
    <row r="599">
      <c r="A599" s="430">
        <v>4.8178195968E10</v>
      </c>
      <c r="B599" s="218" t="s">
        <v>6930</v>
      </c>
    </row>
    <row r="600">
      <c r="A600" s="430">
        <v>4.1766032915E10</v>
      </c>
      <c r="B600" s="218" t="s">
        <v>6931</v>
      </c>
    </row>
    <row r="601">
      <c r="A601" s="430">
        <v>7.1590536991E10</v>
      </c>
      <c r="B601" s="218" t="s">
        <v>6932</v>
      </c>
    </row>
    <row r="602">
      <c r="A602" s="430">
        <v>3.0333385004E10</v>
      </c>
      <c r="B602" s="218" t="s">
        <v>6933</v>
      </c>
    </row>
    <row r="603">
      <c r="A603" s="430">
        <v>4.1526643987E10</v>
      </c>
      <c r="B603" s="218" t="s">
        <v>6934</v>
      </c>
    </row>
    <row r="604">
      <c r="A604" s="430">
        <v>1.3386565972E10</v>
      </c>
      <c r="B604" s="218" t="s">
        <v>6935</v>
      </c>
    </row>
    <row r="605">
      <c r="A605" s="430">
        <v>7.7485246968E10</v>
      </c>
      <c r="B605" s="218" t="s">
        <v>6936</v>
      </c>
    </row>
    <row r="606">
      <c r="A606" s="430">
        <v>2.8182618134E10</v>
      </c>
      <c r="B606" s="218" t="s">
        <v>6937</v>
      </c>
    </row>
    <row r="607">
      <c r="A607" s="430">
        <v>6.069974492E10</v>
      </c>
      <c r="B607" s="218" t="s">
        <v>6938</v>
      </c>
    </row>
    <row r="608">
      <c r="A608" s="430">
        <v>4.2165075904E10</v>
      </c>
      <c r="B608" s="218" t="s">
        <v>6939</v>
      </c>
    </row>
    <row r="609">
      <c r="A609" s="430">
        <v>3.7838474949E10</v>
      </c>
      <c r="B609" s="218" t="s">
        <v>6940</v>
      </c>
    </row>
    <row r="610">
      <c r="A610" s="430">
        <v>2.896248692E10</v>
      </c>
      <c r="B610" s="218" t="s">
        <v>6941</v>
      </c>
    </row>
    <row r="611">
      <c r="A611" s="430">
        <v>1.7032199968E10</v>
      </c>
      <c r="B611" s="218" t="s">
        <v>6942</v>
      </c>
    </row>
    <row r="612">
      <c r="A612" s="430">
        <v>3.8312107991E10</v>
      </c>
      <c r="B612" s="218" t="s">
        <v>6943</v>
      </c>
    </row>
    <row r="613">
      <c r="A613" s="430">
        <v>4.4880707953E10</v>
      </c>
      <c r="B613" s="218" t="s">
        <v>6944</v>
      </c>
    </row>
    <row r="614">
      <c r="A614" s="430">
        <v>4.4331517934E10</v>
      </c>
      <c r="B614" s="218" t="s">
        <v>6945</v>
      </c>
    </row>
    <row r="615">
      <c r="A615" s="430">
        <v>7.323921015E9</v>
      </c>
      <c r="B615" s="218" t="s">
        <v>6946</v>
      </c>
    </row>
    <row r="616">
      <c r="A616" s="430">
        <v>5.9640251968E10</v>
      </c>
      <c r="B616" s="218" t="s">
        <v>6947</v>
      </c>
    </row>
    <row r="617">
      <c r="A617" s="430">
        <v>4.520318E8</v>
      </c>
      <c r="B617" s="218" t="s">
        <v>6948</v>
      </c>
    </row>
    <row r="618">
      <c r="A618" s="430">
        <v>6.1740560906E10</v>
      </c>
      <c r="B618" s="218" t="s">
        <v>6949</v>
      </c>
    </row>
    <row r="619">
      <c r="A619" s="430">
        <v>5.8625399991E10</v>
      </c>
      <c r="B619" s="218" t="s">
        <v>6950</v>
      </c>
    </row>
    <row r="620">
      <c r="A620" s="430">
        <v>5.922169092E10</v>
      </c>
      <c r="B620" s="218" t="s">
        <v>6951</v>
      </c>
    </row>
    <row r="621">
      <c r="A621" s="430">
        <v>2.1583889949E10</v>
      </c>
      <c r="B621" s="218" t="s">
        <v>6952</v>
      </c>
    </row>
    <row r="622">
      <c r="A622" s="430">
        <v>4.3225691968E10</v>
      </c>
      <c r="B622" s="218" t="s">
        <v>6953</v>
      </c>
    </row>
    <row r="623">
      <c r="A623" s="430">
        <v>3.8698234968E10</v>
      </c>
      <c r="B623" s="218" t="s">
        <v>6954</v>
      </c>
    </row>
    <row r="624">
      <c r="A624" s="430">
        <v>5.0736280987E10</v>
      </c>
      <c r="B624" s="218" t="s">
        <v>6955</v>
      </c>
    </row>
    <row r="625">
      <c r="A625" s="430">
        <v>2.9374430959E10</v>
      </c>
      <c r="B625" s="218" t="s">
        <v>6956</v>
      </c>
    </row>
    <row r="626">
      <c r="A626" s="430">
        <v>3.0166931861E10</v>
      </c>
      <c r="B626" s="218" t="s">
        <v>6957</v>
      </c>
    </row>
    <row r="627">
      <c r="A627" s="430">
        <v>6.1171581904E10</v>
      </c>
      <c r="B627" s="218" t="s">
        <v>6958</v>
      </c>
    </row>
    <row r="628">
      <c r="A628" s="430">
        <v>7.6345734004E10</v>
      </c>
      <c r="B628" s="218" t="s">
        <v>6959</v>
      </c>
    </row>
    <row r="629">
      <c r="A629" s="430">
        <v>8.2410100015E10</v>
      </c>
      <c r="B629" s="218" t="s">
        <v>6960</v>
      </c>
    </row>
    <row r="630">
      <c r="A630" s="430">
        <v>6.4147290353E10</v>
      </c>
      <c r="B630" s="218" t="s">
        <v>6961</v>
      </c>
    </row>
    <row r="631">
      <c r="A631" s="430">
        <v>5.000323947E9</v>
      </c>
      <c r="B631" s="218" t="s">
        <v>6962</v>
      </c>
    </row>
    <row r="632">
      <c r="A632" s="430">
        <v>3.3877197876E10</v>
      </c>
      <c r="B632" s="218" t="s">
        <v>6963</v>
      </c>
    </row>
    <row r="633">
      <c r="A633" s="430">
        <v>4.803684901E9</v>
      </c>
      <c r="B633" s="218" t="s">
        <v>6964</v>
      </c>
    </row>
    <row r="634">
      <c r="A634" s="430">
        <v>7.8506042968E10</v>
      </c>
      <c r="B634" s="218" t="s">
        <v>6965</v>
      </c>
    </row>
    <row r="635">
      <c r="A635" s="430">
        <v>3.77027936E8</v>
      </c>
      <c r="B635" s="218" t="s">
        <v>6966</v>
      </c>
    </row>
    <row r="636">
      <c r="A636" s="430">
        <v>3.2486694897E10</v>
      </c>
      <c r="B636" s="218" t="s">
        <v>6967</v>
      </c>
    </row>
    <row r="637">
      <c r="A637" s="430">
        <v>5.5929680604E10</v>
      </c>
      <c r="B637" s="218" t="s">
        <v>6968</v>
      </c>
    </row>
    <row r="638">
      <c r="A638" s="430">
        <v>1.850653925E9</v>
      </c>
      <c r="B638" s="218" t="s">
        <v>6969</v>
      </c>
    </row>
    <row r="639">
      <c r="A639" s="430">
        <v>5.914908973E9</v>
      </c>
      <c r="B639" s="218" t="s">
        <v>6970</v>
      </c>
    </row>
    <row r="640">
      <c r="A640" s="430">
        <v>9.0989651991E10</v>
      </c>
      <c r="B640" s="218" t="s">
        <v>6971</v>
      </c>
    </row>
    <row r="641">
      <c r="A641" s="430">
        <v>5.4249430987E10</v>
      </c>
      <c r="B641" s="218" t="s">
        <v>6972</v>
      </c>
    </row>
    <row r="642">
      <c r="A642" s="430">
        <v>1.102599719E9</v>
      </c>
      <c r="B642" s="218" t="s">
        <v>6973</v>
      </c>
    </row>
    <row r="643">
      <c r="A643" s="430">
        <v>7.4236776049E10</v>
      </c>
      <c r="B643" s="218" t="s">
        <v>6974</v>
      </c>
    </row>
    <row r="644">
      <c r="A644" s="430">
        <v>1.997490943E9</v>
      </c>
      <c r="B644" s="218" t="s">
        <v>6975</v>
      </c>
    </row>
    <row r="645">
      <c r="A645" s="430">
        <v>6.0960531068E10</v>
      </c>
      <c r="B645" s="218" t="s">
        <v>6976</v>
      </c>
    </row>
    <row r="646">
      <c r="A646" s="430">
        <v>8.8966844987E10</v>
      </c>
      <c r="B646" s="218" t="s">
        <v>6977</v>
      </c>
    </row>
    <row r="647">
      <c r="A647" s="430">
        <v>1.929729952E9</v>
      </c>
      <c r="B647" s="218" t="s">
        <v>6978</v>
      </c>
    </row>
    <row r="648">
      <c r="A648" s="430">
        <v>2.7947084149E10</v>
      </c>
      <c r="B648" s="218" t="s">
        <v>6979</v>
      </c>
    </row>
    <row r="649">
      <c r="A649" s="430">
        <v>7.2975601972E10</v>
      </c>
      <c r="B649" s="218" t="s">
        <v>6980</v>
      </c>
    </row>
    <row r="650">
      <c r="A650" s="430">
        <v>9.1079675949E10</v>
      </c>
      <c r="B650" s="218" t="s">
        <v>6981</v>
      </c>
    </row>
    <row r="651">
      <c r="A651" s="430">
        <v>5.1421763915E10</v>
      </c>
      <c r="B651" s="218" t="s">
        <v>6982</v>
      </c>
    </row>
    <row r="652">
      <c r="A652" s="430">
        <v>4.8912956949E10</v>
      </c>
      <c r="B652" s="218" t="s">
        <v>6983</v>
      </c>
    </row>
    <row r="653">
      <c r="A653" s="430">
        <v>8.33689819E10</v>
      </c>
      <c r="B653" s="218" t="s">
        <v>6984</v>
      </c>
    </row>
    <row r="654">
      <c r="A654" s="430">
        <v>7.243430082E9</v>
      </c>
      <c r="B654" s="218" t="s">
        <v>6985</v>
      </c>
    </row>
    <row r="655">
      <c r="A655" s="430">
        <v>3.675190706E9</v>
      </c>
      <c r="B655" s="218" t="s">
        <v>6986</v>
      </c>
    </row>
    <row r="656">
      <c r="A656" s="430">
        <v>2.9166497949E10</v>
      </c>
      <c r="B656" s="218" t="s">
        <v>6987</v>
      </c>
    </row>
    <row r="657">
      <c r="A657" s="430">
        <v>4.58403009E10</v>
      </c>
      <c r="B657" s="218" t="s">
        <v>6988</v>
      </c>
    </row>
    <row r="658">
      <c r="A658" s="430">
        <v>1.5493539934E10</v>
      </c>
      <c r="B658" s="218" t="s">
        <v>6989</v>
      </c>
    </row>
    <row r="659">
      <c r="A659" s="430">
        <v>6.16915934E8</v>
      </c>
      <c r="B659" s="218" t="s">
        <v>6990</v>
      </c>
    </row>
    <row r="660">
      <c r="A660" s="430">
        <v>9.336443968E9</v>
      </c>
      <c r="B660" s="218" t="s">
        <v>6991</v>
      </c>
    </row>
    <row r="661">
      <c r="A661" s="430">
        <v>2.1608814068E10</v>
      </c>
      <c r="B661" s="218" t="s">
        <v>6992</v>
      </c>
    </row>
    <row r="662">
      <c r="A662" s="430">
        <v>1.6816870972E10</v>
      </c>
      <c r="B662" s="218" t="s">
        <v>6993</v>
      </c>
    </row>
    <row r="663">
      <c r="A663" s="430">
        <v>9.0882326953E10</v>
      </c>
      <c r="B663" s="218" t="s">
        <v>6994</v>
      </c>
    </row>
    <row r="664">
      <c r="A664" s="430">
        <v>2.2436987904E10</v>
      </c>
      <c r="B664" s="218" t="s">
        <v>6995</v>
      </c>
    </row>
    <row r="665">
      <c r="A665" s="430">
        <v>1.65511509E10</v>
      </c>
      <c r="B665" s="218" t="s">
        <v>6996</v>
      </c>
    </row>
    <row r="666">
      <c r="A666" s="430">
        <v>2.748270932E9</v>
      </c>
      <c r="B666" s="218" t="s">
        <v>6997</v>
      </c>
    </row>
    <row r="667">
      <c r="A667" s="430">
        <v>3.6260100078E10</v>
      </c>
      <c r="B667" s="218" t="s">
        <v>6998</v>
      </c>
    </row>
    <row r="668">
      <c r="A668" s="430">
        <v>2.4635359972E10</v>
      </c>
      <c r="B668" s="218" t="s">
        <v>3793</v>
      </c>
    </row>
    <row r="669">
      <c r="A669" s="430">
        <v>6.05694509E10</v>
      </c>
      <c r="B669" s="218" t="s">
        <v>6999</v>
      </c>
    </row>
    <row r="670">
      <c r="A670" s="430">
        <v>4.5836132968E10</v>
      </c>
      <c r="B670" s="218" t="s">
        <v>7000</v>
      </c>
    </row>
    <row r="671">
      <c r="A671" s="430">
        <v>7.5772876953E10</v>
      </c>
      <c r="B671" s="218" t="s">
        <v>7001</v>
      </c>
    </row>
    <row r="672">
      <c r="A672" s="430">
        <v>6.7191487968E10</v>
      </c>
      <c r="B672" s="218" t="s">
        <v>7002</v>
      </c>
    </row>
    <row r="673">
      <c r="A673" s="430">
        <v>6.9158053972E10</v>
      </c>
      <c r="B673" s="218" t="s">
        <v>7003</v>
      </c>
    </row>
    <row r="674">
      <c r="A674" s="430">
        <v>5.9166916968E10</v>
      </c>
      <c r="B674" s="218" t="s">
        <v>7004</v>
      </c>
    </row>
    <row r="675">
      <c r="A675" s="430">
        <v>6.2854259904E10</v>
      </c>
      <c r="B675" s="218" t="s">
        <v>7005</v>
      </c>
    </row>
    <row r="676">
      <c r="A676" s="430">
        <v>3.418555705E9</v>
      </c>
      <c r="B676" s="218" t="s">
        <v>7006</v>
      </c>
    </row>
    <row r="677">
      <c r="A677" s="430">
        <v>3.7854720053E10</v>
      </c>
      <c r="B677" s="218" t="s">
        <v>7007</v>
      </c>
    </row>
    <row r="678">
      <c r="A678" s="430">
        <v>5.22754937E8</v>
      </c>
      <c r="B678" s="218" t="s">
        <v>7008</v>
      </c>
    </row>
    <row r="679">
      <c r="A679" s="430">
        <v>9.4901856987E10</v>
      </c>
      <c r="B679" s="218" t="s">
        <v>7009</v>
      </c>
    </row>
    <row r="680">
      <c r="A680" s="430">
        <v>5.8665838953E10</v>
      </c>
      <c r="B680" s="218" t="s">
        <v>7010</v>
      </c>
    </row>
    <row r="681">
      <c r="A681" s="430">
        <v>4.1331362091E10</v>
      </c>
      <c r="B681" s="218" t="s">
        <v>7011</v>
      </c>
    </row>
    <row r="682">
      <c r="A682" s="430">
        <v>9.4740569949E10</v>
      </c>
      <c r="B682" s="218" t="s">
        <v>7012</v>
      </c>
    </row>
    <row r="683">
      <c r="A683" s="430">
        <v>5.4891965991E10</v>
      </c>
      <c r="B683" s="218" t="s">
        <v>7013</v>
      </c>
    </row>
    <row r="684">
      <c r="A684" s="430">
        <v>7.5042134972E10</v>
      </c>
      <c r="B684" s="218" t="s">
        <v>7014</v>
      </c>
    </row>
    <row r="685">
      <c r="A685" s="430">
        <v>9.1079217991E10</v>
      </c>
      <c r="B685" s="218" t="s">
        <v>7015</v>
      </c>
    </row>
    <row r="686">
      <c r="A686" s="430">
        <v>4.7683376949E10</v>
      </c>
      <c r="B686" s="218" t="s">
        <v>7016</v>
      </c>
    </row>
    <row r="687">
      <c r="A687" s="430">
        <v>5.3074947004E10</v>
      </c>
      <c r="B687" s="218" t="s">
        <v>7017</v>
      </c>
    </row>
    <row r="688">
      <c r="A688" s="430">
        <v>3.9920240915E10</v>
      </c>
      <c r="B688" s="218" t="s">
        <v>7018</v>
      </c>
    </row>
    <row r="689">
      <c r="A689" s="430">
        <v>5.9186011987E10</v>
      </c>
      <c r="B689" s="218" t="s">
        <v>7019</v>
      </c>
    </row>
    <row r="690">
      <c r="A690" s="430">
        <v>8.4728981991E10</v>
      </c>
      <c r="B690" s="218" t="s">
        <v>7020</v>
      </c>
    </row>
    <row r="691">
      <c r="A691" s="430">
        <v>5.9177667972E10</v>
      </c>
      <c r="B691" s="218" t="s">
        <v>7021</v>
      </c>
    </row>
    <row r="692">
      <c r="A692" s="430">
        <v>5.78061953E8</v>
      </c>
      <c r="B692" s="218" t="s">
        <v>7022</v>
      </c>
    </row>
    <row r="693">
      <c r="A693" s="430">
        <v>4.8795828915E10</v>
      </c>
      <c r="B693" s="218" t="s">
        <v>7023</v>
      </c>
    </row>
    <row r="694">
      <c r="A694" s="430">
        <v>5.0503855987E10</v>
      </c>
      <c r="B694" s="218" t="s">
        <v>7024</v>
      </c>
    </row>
    <row r="695">
      <c r="A695" s="430">
        <v>6.3765047953E10</v>
      </c>
      <c r="B695" s="218" t="s">
        <v>7025</v>
      </c>
    </row>
    <row r="696">
      <c r="A696" s="430">
        <v>5.33430429E10</v>
      </c>
      <c r="B696" s="218" t="s">
        <v>7026</v>
      </c>
    </row>
    <row r="697">
      <c r="A697" s="430">
        <v>2.5754858949E10</v>
      </c>
      <c r="B697" s="218" t="s">
        <v>7027</v>
      </c>
    </row>
    <row r="698">
      <c r="A698" s="430">
        <v>4.596284792E10</v>
      </c>
      <c r="B698" s="218" t="s">
        <v>7028</v>
      </c>
    </row>
    <row r="699">
      <c r="A699" s="430">
        <v>2.4713961949E10</v>
      </c>
      <c r="B699" s="218" t="s">
        <v>7029</v>
      </c>
    </row>
    <row r="700">
      <c r="A700" s="430">
        <v>8.9376137949E10</v>
      </c>
      <c r="B700" s="218" t="s">
        <v>7030</v>
      </c>
    </row>
    <row r="701">
      <c r="A701" s="430">
        <v>6.5633504968E10</v>
      </c>
      <c r="B701" s="218" t="s">
        <v>7031</v>
      </c>
    </row>
    <row r="702">
      <c r="A702" s="430">
        <v>5.07414039E10</v>
      </c>
      <c r="B702" s="218" t="s">
        <v>7032</v>
      </c>
    </row>
    <row r="703">
      <c r="A703" s="430">
        <v>1.7594391004E10</v>
      </c>
      <c r="B703" s="218" t="s">
        <v>7033</v>
      </c>
    </row>
    <row r="704">
      <c r="A704" s="430">
        <v>3.3565627034E10</v>
      </c>
      <c r="B704" s="218" t="s">
        <v>7034</v>
      </c>
    </row>
    <row r="705">
      <c r="A705" s="430">
        <v>7.3295485968E10</v>
      </c>
      <c r="B705" s="218" t="s">
        <v>7035</v>
      </c>
    </row>
    <row r="706">
      <c r="A706" s="430">
        <v>8.0866212E9</v>
      </c>
      <c r="B706" s="218" t="s">
        <v>7036</v>
      </c>
    </row>
    <row r="707">
      <c r="A707" s="430">
        <v>4.5498075987E10</v>
      </c>
      <c r="B707" s="218" t="s">
        <v>7037</v>
      </c>
    </row>
    <row r="708">
      <c r="A708" s="430">
        <v>4.4548931953E10</v>
      </c>
      <c r="B708" s="218" t="s">
        <v>7038</v>
      </c>
    </row>
    <row r="709">
      <c r="A709" s="430">
        <v>5.6635249753E10</v>
      </c>
      <c r="B709" s="218" t="s">
        <v>7039</v>
      </c>
    </row>
    <row r="710">
      <c r="A710" s="430">
        <v>4.1592999972E10</v>
      </c>
      <c r="B710" s="218" t="s">
        <v>7040</v>
      </c>
    </row>
    <row r="711">
      <c r="A711" s="430">
        <v>6.135691392E10</v>
      </c>
      <c r="B711" s="218" t="s">
        <v>7041</v>
      </c>
    </row>
    <row r="712">
      <c r="A712" s="430">
        <v>2.9043433934E10</v>
      </c>
      <c r="B712" s="218" t="s">
        <v>7042</v>
      </c>
    </row>
    <row r="713">
      <c r="A713" s="430">
        <v>3.7886460987E10</v>
      </c>
      <c r="B713" s="218" t="s">
        <v>7043</v>
      </c>
    </row>
    <row r="714">
      <c r="A714" s="430">
        <v>1.2241385034E10</v>
      </c>
      <c r="B714" s="218" t="s">
        <v>7044</v>
      </c>
    </row>
    <row r="715">
      <c r="A715" s="430">
        <v>2.9853265915E10</v>
      </c>
      <c r="B715" s="218" t="s">
        <v>7045</v>
      </c>
    </row>
    <row r="716">
      <c r="A716" s="430">
        <v>4.6185534991E10</v>
      </c>
      <c r="B716" s="218" t="s">
        <v>7046</v>
      </c>
    </row>
    <row r="717">
      <c r="A717" s="430">
        <v>3.757411692E10</v>
      </c>
      <c r="B717" s="218" t="s">
        <v>7047</v>
      </c>
    </row>
    <row r="718">
      <c r="A718" s="430">
        <v>4.1138945072E10</v>
      </c>
      <c r="B718" s="218" t="s">
        <v>7048</v>
      </c>
    </row>
    <row r="719">
      <c r="A719" s="430">
        <v>4.6068791904E10</v>
      </c>
      <c r="B719" s="218" t="s">
        <v>7049</v>
      </c>
    </row>
    <row r="720">
      <c r="A720" s="430">
        <v>1.0206353987E10</v>
      </c>
      <c r="B720" s="218" t="s">
        <v>7050</v>
      </c>
    </row>
    <row r="721">
      <c r="A721" s="430">
        <v>9.4790469972E10</v>
      </c>
      <c r="B721" s="218" t="s">
        <v>7051</v>
      </c>
    </row>
    <row r="722">
      <c r="A722" s="430">
        <v>5.11126557E10</v>
      </c>
      <c r="B722" s="218" t="s">
        <v>7052</v>
      </c>
    </row>
    <row r="723">
      <c r="A723" s="430">
        <v>5.471575091E10</v>
      </c>
      <c r="B723" s="218" t="s">
        <v>7053</v>
      </c>
    </row>
    <row r="724">
      <c r="A724" s="430">
        <v>3.1910386987E10</v>
      </c>
      <c r="B724" s="218" t="s">
        <v>7054</v>
      </c>
    </row>
    <row r="725">
      <c r="A725" s="430">
        <v>4.4531877934E10</v>
      </c>
      <c r="B725" s="218" t="s">
        <v>7055</v>
      </c>
    </row>
    <row r="726">
      <c r="A726" s="430">
        <v>5.4039460987E10</v>
      </c>
      <c r="B726" s="218" t="s">
        <v>7056</v>
      </c>
    </row>
    <row r="727">
      <c r="A727" s="430">
        <v>4.7577070963E10</v>
      </c>
      <c r="B727" s="218" t="s">
        <v>7057</v>
      </c>
    </row>
    <row r="728">
      <c r="A728" s="430">
        <v>4.999518902E10</v>
      </c>
      <c r="B728" s="218" t="s">
        <v>7058</v>
      </c>
    </row>
    <row r="729">
      <c r="A729" s="430">
        <v>4.5493057972E10</v>
      </c>
      <c r="B729" s="218" t="s">
        <v>7059</v>
      </c>
    </row>
    <row r="730">
      <c r="A730" s="430">
        <v>4.887637292E10</v>
      </c>
      <c r="B730" s="218" t="s">
        <v>7060</v>
      </c>
    </row>
    <row r="731">
      <c r="A731" s="430">
        <v>9.608617855E9</v>
      </c>
      <c r="B731" s="218" t="s">
        <v>7061</v>
      </c>
    </row>
    <row r="732">
      <c r="A732" s="430">
        <v>5.6486316934E10</v>
      </c>
      <c r="B732" s="218" t="s">
        <v>7062</v>
      </c>
    </row>
    <row r="733">
      <c r="A733" s="430">
        <v>7.5302780968E10</v>
      </c>
      <c r="B733" s="218" t="s">
        <v>7063</v>
      </c>
    </row>
    <row r="734">
      <c r="A734" s="430">
        <v>6.7479421915E10</v>
      </c>
      <c r="B734" s="218" t="s">
        <v>7064</v>
      </c>
    </row>
    <row r="735">
      <c r="A735" s="430">
        <v>9.372687987E9</v>
      </c>
      <c r="B735" s="218" t="s">
        <v>7065</v>
      </c>
    </row>
    <row r="736">
      <c r="A736" s="430">
        <v>4.9950703972E10</v>
      </c>
      <c r="B736" s="218" t="s">
        <v>7066</v>
      </c>
    </row>
    <row r="737">
      <c r="A737" s="430">
        <v>1.4463610982E10</v>
      </c>
      <c r="B737" s="218" t="s">
        <v>7067</v>
      </c>
    </row>
    <row r="738">
      <c r="A738" s="430">
        <v>4.8592439949E10</v>
      </c>
      <c r="B738" s="218" t="s">
        <v>7068</v>
      </c>
    </row>
    <row r="739">
      <c r="A739" s="430">
        <v>7.1594370982E10</v>
      </c>
      <c r="B739" s="218" t="s">
        <v>7069</v>
      </c>
    </row>
    <row r="740">
      <c r="A740" s="430">
        <v>7.19580889E9</v>
      </c>
      <c r="B740" s="218" t="s">
        <v>7070</v>
      </c>
    </row>
    <row r="741">
      <c r="A741" s="430">
        <v>4.1723350982E10</v>
      </c>
      <c r="B741" s="218" t="s">
        <v>7071</v>
      </c>
    </row>
    <row r="742">
      <c r="A742" s="430">
        <v>3.919932919E9</v>
      </c>
      <c r="B742" s="218" t="s">
        <v>7072</v>
      </c>
    </row>
    <row r="743">
      <c r="A743" s="430">
        <v>6.8314434949E10</v>
      </c>
      <c r="B743" s="218" t="s">
        <v>7073</v>
      </c>
    </row>
    <row r="744">
      <c r="A744" s="430">
        <v>4.648977092E10</v>
      </c>
      <c r="B744" s="218" t="s">
        <v>7074</v>
      </c>
    </row>
    <row r="745">
      <c r="A745" s="430">
        <v>6.8359403953E10</v>
      </c>
      <c r="B745" s="218" t="s">
        <v>7075</v>
      </c>
    </row>
    <row r="746">
      <c r="A746" s="430">
        <v>6.947112672E10</v>
      </c>
      <c r="B746" s="218" t="s">
        <v>7076</v>
      </c>
    </row>
    <row r="747">
      <c r="A747" s="430">
        <v>4.9498444072E10</v>
      </c>
      <c r="B747" s="218" t="s">
        <v>7077</v>
      </c>
    </row>
    <row r="748">
      <c r="A748" s="430">
        <v>5.7876398987E10</v>
      </c>
      <c r="B748" s="218" t="s">
        <v>7078</v>
      </c>
    </row>
    <row r="749">
      <c r="A749" s="430">
        <v>5.231877093E10</v>
      </c>
      <c r="B749" s="218" t="s">
        <v>7079</v>
      </c>
    </row>
    <row r="750">
      <c r="A750" s="430">
        <v>2.624198903E9</v>
      </c>
      <c r="B750" s="218" t="s">
        <v>7080</v>
      </c>
    </row>
    <row r="751">
      <c r="A751" s="430">
        <v>3.8986191E8</v>
      </c>
      <c r="B751" s="218" t="s">
        <v>7081</v>
      </c>
    </row>
    <row r="752">
      <c r="A752" s="430">
        <v>5.83070957E8</v>
      </c>
      <c r="B752" s="218" t="s">
        <v>7082</v>
      </c>
    </row>
    <row r="753">
      <c r="A753" s="430">
        <v>8.4795646953E10</v>
      </c>
      <c r="B753" s="218" t="s">
        <v>7083</v>
      </c>
    </row>
    <row r="754">
      <c r="A754" s="430">
        <v>8.130700492E10</v>
      </c>
      <c r="B754" s="218" t="s">
        <v>7084</v>
      </c>
    </row>
    <row r="755">
      <c r="A755" s="430">
        <v>7.7513185972E10</v>
      </c>
      <c r="B755" s="218" t="s">
        <v>7085</v>
      </c>
    </row>
    <row r="756">
      <c r="A756" s="430">
        <v>9.97766778E8</v>
      </c>
      <c r="B756" s="218" t="s">
        <v>7086</v>
      </c>
    </row>
    <row r="757">
      <c r="A757" s="430">
        <v>3.4758819E9</v>
      </c>
      <c r="B757" s="218" t="s">
        <v>7087</v>
      </c>
    </row>
    <row r="758">
      <c r="A758" s="430">
        <v>6.8265395E8</v>
      </c>
      <c r="B758" s="218" t="s">
        <v>7088</v>
      </c>
    </row>
    <row r="759">
      <c r="A759" s="430">
        <v>8.05800921E8</v>
      </c>
      <c r="B759" s="218" t="s">
        <v>7089</v>
      </c>
    </row>
    <row r="760">
      <c r="A760" s="430">
        <v>9.2761178068E10</v>
      </c>
      <c r="B760" s="218" t="s">
        <v>7090</v>
      </c>
    </row>
    <row r="761">
      <c r="A761" s="430">
        <v>1.8639860904E10</v>
      </c>
      <c r="B761" s="218" t="s">
        <v>7091</v>
      </c>
    </row>
    <row r="762">
      <c r="A762" s="430">
        <v>9.6004916587E10</v>
      </c>
      <c r="B762" s="218" t="s">
        <v>7092</v>
      </c>
    </row>
    <row r="763">
      <c r="A763" s="430">
        <v>2.307662936E9</v>
      </c>
      <c r="B763" s="218" t="s">
        <v>7093</v>
      </c>
    </row>
    <row r="764">
      <c r="A764" s="430">
        <v>3.65113581E10</v>
      </c>
      <c r="B764" s="218" t="s">
        <v>7094</v>
      </c>
    </row>
    <row r="765">
      <c r="A765" s="430">
        <v>3.3962901191E10</v>
      </c>
      <c r="B765" s="218" t="s">
        <v>7095</v>
      </c>
    </row>
    <row r="766">
      <c r="A766" s="430">
        <v>2.11144398E9</v>
      </c>
      <c r="B766" s="218" t="s">
        <v>7096</v>
      </c>
    </row>
    <row r="767">
      <c r="A767" s="430">
        <v>6.370879592E10</v>
      </c>
      <c r="B767" s="218" t="s">
        <v>7097</v>
      </c>
    </row>
    <row r="768">
      <c r="A768" s="430">
        <v>1.824700911E9</v>
      </c>
      <c r="B768" s="218" t="s">
        <v>7098</v>
      </c>
    </row>
    <row r="769">
      <c r="A769" s="430">
        <v>9.3232900925E10</v>
      </c>
      <c r="B769" s="218" t="s">
        <v>7099</v>
      </c>
    </row>
    <row r="770">
      <c r="A770" s="430">
        <v>8.1512112968E10</v>
      </c>
      <c r="B770" s="218" t="s">
        <v>7100</v>
      </c>
    </row>
    <row r="771">
      <c r="A771" s="430">
        <v>5.182459092E10</v>
      </c>
      <c r="B771" s="218" t="s">
        <v>7101</v>
      </c>
    </row>
    <row r="772">
      <c r="A772" s="430">
        <v>4.4081979987E10</v>
      </c>
      <c r="B772" s="218" t="s">
        <v>7102</v>
      </c>
    </row>
    <row r="773">
      <c r="A773" s="430">
        <v>5.0928961915E10</v>
      </c>
      <c r="B773" s="218" t="s">
        <v>7103</v>
      </c>
    </row>
    <row r="774">
      <c r="A774" s="430">
        <v>5.3127641915E10</v>
      </c>
      <c r="B774" s="218" t="s">
        <v>7104</v>
      </c>
    </row>
    <row r="775">
      <c r="A775" s="430">
        <v>3.8071932949E10</v>
      </c>
      <c r="B775" s="218" t="s">
        <v>7105</v>
      </c>
    </row>
    <row r="776">
      <c r="A776" s="430">
        <v>1.8030394934E10</v>
      </c>
      <c r="B776" s="218" t="s">
        <v>7106</v>
      </c>
    </row>
    <row r="777">
      <c r="A777" s="430">
        <v>3.2871805768E10</v>
      </c>
      <c r="B777" s="218" t="s">
        <v>7107</v>
      </c>
    </row>
    <row r="778">
      <c r="A778" s="430">
        <v>5.1155630963E10</v>
      </c>
      <c r="B778" s="218" t="s">
        <v>7108</v>
      </c>
    </row>
    <row r="779">
      <c r="A779" s="430">
        <v>5.3282760949E10</v>
      </c>
      <c r="B779" s="218" t="s">
        <v>7109</v>
      </c>
    </row>
    <row r="780">
      <c r="A780" s="430">
        <v>5.3727223987E10</v>
      </c>
      <c r="B780" s="218" t="s">
        <v>7110</v>
      </c>
    </row>
    <row r="781">
      <c r="A781" s="430">
        <v>7.30102009E10</v>
      </c>
      <c r="B781" s="218" t="s">
        <v>7111</v>
      </c>
    </row>
    <row r="782">
      <c r="A782" s="430">
        <v>2.2069925749E10</v>
      </c>
      <c r="B782" s="218" t="s">
        <v>7112</v>
      </c>
    </row>
    <row r="783">
      <c r="A783" s="430">
        <v>2.978075953E9</v>
      </c>
      <c r="B783" s="218" t="s">
        <v>7113</v>
      </c>
    </row>
    <row r="784">
      <c r="A784" s="430">
        <v>3.4267522987E10</v>
      </c>
      <c r="B784" s="218" t="s">
        <v>7114</v>
      </c>
    </row>
    <row r="785">
      <c r="A785" s="430">
        <v>5.9201851987E10</v>
      </c>
      <c r="B785" s="218" t="s">
        <v>7115</v>
      </c>
    </row>
    <row r="786">
      <c r="A786" s="430">
        <v>4.188925892E10</v>
      </c>
      <c r="B786" s="218" t="s">
        <v>7116</v>
      </c>
    </row>
    <row r="787">
      <c r="A787" s="430">
        <v>5.5138160915E10</v>
      </c>
      <c r="B787" s="218" t="s">
        <v>7117</v>
      </c>
    </row>
    <row r="788">
      <c r="A788" s="430">
        <v>5.4150264953E10</v>
      </c>
      <c r="B788" s="218" t="s">
        <v>7118</v>
      </c>
    </row>
    <row r="789">
      <c r="A789" s="430">
        <v>5.9178990963E10</v>
      </c>
      <c r="B789" s="218" t="s">
        <v>7119</v>
      </c>
    </row>
    <row r="790">
      <c r="A790" s="430">
        <v>2.2335110934E10</v>
      </c>
      <c r="B790" s="218" t="s">
        <v>7120</v>
      </c>
    </row>
    <row r="791">
      <c r="A791" s="430">
        <v>3.7650521915E10</v>
      </c>
      <c r="B791" s="218" t="s">
        <v>7121</v>
      </c>
    </row>
    <row r="792">
      <c r="A792" s="430">
        <v>5.0671731904E10</v>
      </c>
      <c r="B792" s="218" t="s">
        <v>7122</v>
      </c>
    </row>
    <row r="793">
      <c r="A793" s="430">
        <v>4.8582654987E10</v>
      </c>
      <c r="B793" s="218" t="s">
        <v>7123</v>
      </c>
    </row>
    <row r="794">
      <c r="A794" s="430">
        <v>5.6971192915E10</v>
      </c>
      <c r="B794" s="218" t="s">
        <v>7124</v>
      </c>
    </row>
    <row r="795">
      <c r="A795" s="430">
        <v>4.2570700991E10</v>
      </c>
      <c r="B795" s="218" t="s">
        <v>7125</v>
      </c>
    </row>
    <row r="796">
      <c r="A796" s="430">
        <v>2.6402254053E10</v>
      </c>
      <c r="B796" s="218" t="s">
        <v>7126</v>
      </c>
    </row>
    <row r="797">
      <c r="A797" s="430">
        <v>4.665008825E9</v>
      </c>
      <c r="B797" s="218" t="s">
        <v>7127</v>
      </c>
    </row>
    <row r="798">
      <c r="A798" s="430">
        <v>5.8612041953E10</v>
      </c>
      <c r="B798" s="218" t="s">
        <v>7128</v>
      </c>
    </row>
    <row r="799">
      <c r="A799" s="430">
        <v>2.471417981E9</v>
      </c>
      <c r="B799" s="218" t="s">
        <v>7129</v>
      </c>
    </row>
    <row r="800">
      <c r="A800" s="430">
        <v>9.5336192953E10</v>
      </c>
      <c r="B800" s="218" t="s">
        <v>7130</v>
      </c>
    </row>
    <row r="801">
      <c r="A801" s="430">
        <v>7.8435854949E10</v>
      </c>
      <c r="B801" s="218" t="s">
        <v>7131</v>
      </c>
    </row>
    <row r="802">
      <c r="A802" s="430">
        <v>1.99739692E9</v>
      </c>
      <c r="B802" s="218" t="s">
        <v>7132</v>
      </c>
    </row>
    <row r="803">
      <c r="A803" s="430">
        <v>3.665650003E10</v>
      </c>
      <c r="B803" s="218" t="s">
        <v>7133</v>
      </c>
    </row>
    <row r="804">
      <c r="A804" s="430">
        <v>2.884266992E10</v>
      </c>
      <c r="B804" s="218" t="s">
        <v>7134</v>
      </c>
    </row>
    <row r="805">
      <c r="A805" s="430">
        <v>5.9467789949E10</v>
      </c>
      <c r="B805" s="218" t="s">
        <v>7135</v>
      </c>
    </row>
    <row r="806">
      <c r="A806" s="430">
        <v>4.60875329E10</v>
      </c>
      <c r="B806" s="218" t="s">
        <v>7136</v>
      </c>
    </row>
    <row r="807">
      <c r="A807" s="430">
        <v>4.7257407991E10</v>
      </c>
      <c r="B807" s="218" t="s">
        <v>7137</v>
      </c>
    </row>
    <row r="808">
      <c r="A808" s="430">
        <v>2.8828844949E10</v>
      </c>
      <c r="B808" s="218" t="s">
        <v>7138</v>
      </c>
    </row>
    <row r="809">
      <c r="A809" s="430">
        <v>5.8874640978E10</v>
      </c>
      <c r="B809" s="218" t="s">
        <v>7139</v>
      </c>
    </row>
    <row r="810">
      <c r="A810" s="430">
        <v>4.9342231934E10</v>
      </c>
      <c r="B810" s="218" t="s">
        <v>7140</v>
      </c>
    </row>
    <row r="811">
      <c r="A811" s="430">
        <v>2.4634000997E10</v>
      </c>
      <c r="B811" s="218" t="s">
        <v>7141</v>
      </c>
    </row>
    <row r="812">
      <c r="A812" s="430">
        <v>5.070849093E10</v>
      </c>
      <c r="B812" s="218" t="s">
        <v>7142</v>
      </c>
    </row>
    <row r="813">
      <c r="A813" s="430">
        <v>5.8279199934E10</v>
      </c>
      <c r="B813" s="218" t="s">
        <v>7143</v>
      </c>
    </row>
    <row r="814">
      <c r="A814" s="430">
        <v>5.0740636987E10</v>
      </c>
      <c r="B814" s="218" t="s">
        <v>7144</v>
      </c>
    </row>
    <row r="815">
      <c r="A815" s="430">
        <v>4.6128298915E10</v>
      </c>
      <c r="B815" s="218" t="s">
        <v>7145</v>
      </c>
    </row>
    <row r="816">
      <c r="A816" s="430">
        <v>5.8749241915E10</v>
      </c>
      <c r="B816" s="218" t="s">
        <v>7146</v>
      </c>
    </row>
    <row r="817">
      <c r="A817" s="430">
        <v>5.9343516991E10</v>
      </c>
      <c r="B817" s="218" t="s">
        <v>7147</v>
      </c>
    </row>
    <row r="818">
      <c r="A818" s="430">
        <v>1.707730865E9</v>
      </c>
      <c r="B818" s="218" t="s">
        <v>7148</v>
      </c>
    </row>
    <row r="819">
      <c r="A819" s="430">
        <v>2.9071518949E10</v>
      </c>
      <c r="B819" s="218" t="s">
        <v>7149</v>
      </c>
    </row>
    <row r="820">
      <c r="A820" s="430">
        <v>4.5471169972E10</v>
      </c>
      <c r="B820" s="218" t="s">
        <v>7150</v>
      </c>
    </row>
    <row r="821">
      <c r="A821" s="430">
        <v>1.8086780953E10</v>
      </c>
      <c r="B821" s="218" t="s">
        <v>7151</v>
      </c>
    </row>
    <row r="822">
      <c r="A822" s="430">
        <v>1.6620798934E10</v>
      </c>
      <c r="B822" s="218" t="s">
        <v>7152</v>
      </c>
    </row>
    <row r="823">
      <c r="A823" s="430">
        <v>5.9643986934E10</v>
      </c>
      <c r="B823" s="218" t="s">
        <v>7153</v>
      </c>
    </row>
    <row r="824">
      <c r="A824" s="430">
        <v>3.839720001E10</v>
      </c>
      <c r="B824" s="218" t="s">
        <v>7154</v>
      </c>
    </row>
    <row r="825">
      <c r="A825" s="430">
        <v>1.3629620906E10</v>
      </c>
      <c r="B825" s="218" t="s">
        <v>7155</v>
      </c>
    </row>
    <row r="826">
      <c r="A826" s="430">
        <v>8.1861575904E10</v>
      </c>
      <c r="B826" s="218" t="s">
        <v>7156</v>
      </c>
    </row>
    <row r="827">
      <c r="A827" s="430">
        <v>6.2539590934E10</v>
      </c>
      <c r="B827" s="218" t="s">
        <v>7157</v>
      </c>
    </row>
    <row r="828">
      <c r="A828" s="430">
        <v>1.4507870968E10</v>
      </c>
      <c r="B828" s="218" t="s">
        <v>7158</v>
      </c>
    </row>
    <row r="829">
      <c r="A829" s="430">
        <v>4.4059710997E10</v>
      </c>
      <c r="B829" s="218" t="s">
        <v>7159</v>
      </c>
    </row>
    <row r="830">
      <c r="A830" s="430">
        <v>4.8889725915E10</v>
      </c>
      <c r="B830" s="218" t="s">
        <v>7160</v>
      </c>
    </row>
    <row r="831">
      <c r="A831" s="430">
        <v>6.2620746787E10</v>
      </c>
      <c r="B831" s="218" t="s">
        <v>7161</v>
      </c>
    </row>
    <row r="832">
      <c r="A832" s="430">
        <v>5.367742092E10</v>
      </c>
      <c r="B832" s="218" t="s">
        <v>7162</v>
      </c>
    </row>
    <row r="833">
      <c r="A833" s="430">
        <v>5.7173702968E10</v>
      </c>
      <c r="B833" s="218" t="s">
        <v>7163</v>
      </c>
    </row>
    <row r="834">
      <c r="A834" s="430">
        <v>7.7698444953E10</v>
      </c>
      <c r="B834" s="218" t="s">
        <v>7164</v>
      </c>
    </row>
    <row r="835">
      <c r="A835" s="430">
        <v>7.8488168934E10</v>
      </c>
      <c r="B835" s="218" t="s">
        <v>7165</v>
      </c>
    </row>
    <row r="836">
      <c r="A836" s="430">
        <v>5.0737333987E10</v>
      </c>
      <c r="B836" s="218" t="s">
        <v>7166</v>
      </c>
    </row>
    <row r="837">
      <c r="A837" s="430">
        <v>7.8597617934E10</v>
      </c>
      <c r="B837" s="218" t="s">
        <v>7167</v>
      </c>
    </row>
    <row r="838">
      <c r="A838" s="430">
        <v>6.2098250959E10</v>
      </c>
      <c r="B838" s="218" t="s">
        <v>7168</v>
      </c>
    </row>
    <row r="839">
      <c r="A839" s="430">
        <v>6.412857192E10</v>
      </c>
      <c r="B839" s="218" t="s">
        <v>7169</v>
      </c>
    </row>
    <row r="840">
      <c r="A840" s="430">
        <v>3.5283068072E10</v>
      </c>
      <c r="B840" s="218" t="s">
        <v>7170</v>
      </c>
    </row>
    <row r="841">
      <c r="A841" s="430">
        <v>5.971240692E10</v>
      </c>
      <c r="B841" s="218" t="s">
        <v>7171</v>
      </c>
    </row>
    <row r="842">
      <c r="A842" s="430">
        <v>5.7925992972E10</v>
      </c>
      <c r="B842" s="218" t="s">
        <v>7172</v>
      </c>
    </row>
    <row r="843">
      <c r="A843" s="430">
        <v>2.2263705791E10</v>
      </c>
      <c r="B843" s="218" t="s">
        <v>7173</v>
      </c>
    </row>
    <row r="844">
      <c r="A844" s="430">
        <v>7.143469092E10</v>
      </c>
      <c r="B844" s="218" t="s">
        <v>7174</v>
      </c>
    </row>
    <row r="845">
      <c r="A845" s="430">
        <v>4.6214976934E10</v>
      </c>
      <c r="B845" s="218" t="s">
        <v>7175</v>
      </c>
    </row>
    <row r="846">
      <c r="A846" s="430">
        <v>7.364791892E10</v>
      </c>
      <c r="B846" s="218" t="s">
        <v>7176</v>
      </c>
    </row>
    <row r="847">
      <c r="A847" s="430">
        <v>2.8948700944E10</v>
      </c>
      <c r="B847" s="218" t="s">
        <v>7177</v>
      </c>
    </row>
    <row r="848">
      <c r="A848" s="430">
        <v>5.0705431991E10</v>
      </c>
      <c r="B848" s="218" t="s">
        <v>7178</v>
      </c>
    </row>
    <row r="849">
      <c r="A849" s="430">
        <v>3.202429E10</v>
      </c>
      <c r="B849" s="218" t="s">
        <v>7179</v>
      </c>
    </row>
    <row r="850">
      <c r="A850" s="430">
        <v>4.6332936053E10</v>
      </c>
      <c r="B850" s="218" t="s">
        <v>7180</v>
      </c>
    </row>
    <row r="851">
      <c r="A851" s="430">
        <v>4.1721136991E10</v>
      </c>
      <c r="B851" s="218" t="s">
        <v>7181</v>
      </c>
    </row>
    <row r="852">
      <c r="A852" s="430">
        <v>8.1334508968E10</v>
      </c>
      <c r="B852" s="218" t="s">
        <v>7182</v>
      </c>
    </row>
    <row r="853">
      <c r="A853" s="430">
        <v>4.4227612934E10</v>
      </c>
      <c r="B853" s="218" t="s">
        <v>7183</v>
      </c>
    </row>
    <row r="854">
      <c r="A854" s="430">
        <v>4.5183368015E10</v>
      </c>
      <c r="B854" s="218" t="s">
        <v>7184</v>
      </c>
    </row>
    <row r="855">
      <c r="A855" s="430">
        <v>5.4308640997E10</v>
      </c>
      <c r="B855" s="218" t="s">
        <v>7185</v>
      </c>
    </row>
    <row r="856">
      <c r="A856" s="430">
        <v>3.5437588968E10</v>
      </c>
      <c r="B856" s="218" t="s">
        <v>7186</v>
      </c>
    </row>
    <row r="857">
      <c r="A857" s="430">
        <v>4.5520089949E10</v>
      </c>
      <c r="B857" s="218" t="s">
        <v>7187</v>
      </c>
    </row>
    <row r="858">
      <c r="A858" s="430">
        <v>4.4716958949E10</v>
      </c>
      <c r="B858" s="218" t="s">
        <v>7188</v>
      </c>
    </row>
    <row r="859">
      <c r="A859" s="430">
        <v>4.8500178949E10</v>
      </c>
      <c r="B859" s="218" t="s">
        <v>7189</v>
      </c>
    </row>
    <row r="860">
      <c r="A860" s="430">
        <v>3.758167892E10</v>
      </c>
      <c r="B860" s="218" t="s">
        <v>7190</v>
      </c>
    </row>
    <row r="861">
      <c r="A861" s="430">
        <v>1.5538321835E10</v>
      </c>
      <c r="B861" s="218" t="s">
        <v>7191</v>
      </c>
    </row>
    <row r="862">
      <c r="A862" s="430">
        <v>5.0942980972E10</v>
      </c>
      <c r="B862" s="218" t="s">
        <v>7192</v>
      </c>
    </row>
    <row r="863">
      <c r="A863" s="430">
        <v>7.1018158987E10</v>
      </c>
      <c r="B863" s="218" t="s">
        <v>7193</v>
      </c>
    </row>
    <row r="864">
      <c r="A864" s="430">
        <v>7.4416960972E10</v>
      </c>
      <c r="B864" s="218" t="s">
        <v>7194</v>
      </c>
    </row>
    <row r="865">
      <c r="A865" s="430">
        <v>9.09642509E10</v>
      </c>
      <c r="B865" s="218" t="s">
        <v>7195</v>
      </c>
    </row>
    <row r="866">
      <c r="A866" s="430">
        <v>5.7991820904E10</v>
      </c>
      <c r="B866" s="218" t="s">
        <v>7196</v>
      </c>
    </row>
    <row r="867">
      <c r="A867" s="430">
        <v>7.2757035991E10</v>
      </c>
      <c r="B867" s="218" t="s">
        <v>7197</v>
      </c>
    </row>
    <row r="868">
      <c r="A868" s="430">
        <v>5.3860764934E10</v>
      </c>
      <c r="B868" s="218" t="s">
        <v>7198</v>
      </c>
    </row>
    <row r="869">
      <c r="A869" s="430">
        <v>7.4200593904E10</v>
      </c>
      <c r="B869" s="218" t="s">
        <v>7199</v>
      </c>
    </row>
    <row r="870">
      <c r="A870" s="430">
        <v>9.101381091E10</v>
      </c>
      <c r="B870" s="218" t="s">
        <v>7200</v>
      </c>
    </row>
    <row r="871">
      <c r="A871" s="430">
        <v>1.822044995E9</v>
      </c>
      <c r="B871" s="218" t="s">
        <v>7201</v>
      </c>
    </row>
    <row r="872">
      <c r="A872" s="430">
        <v>4.85311895E8</v>
      </c>
      <c r="B872" s="218" t="s">
        <v>7202</v>
      </c>
    </row>
    <row r="873">
      <c r="A873" s="430">
        <v>8.0123244153E10</v>
      </c>
      <c r="B873" s="218" t="s">
        <v>7203</v>
      </c>
    </row>
    <row r="874">
      <c r="A874" s="430">
        <v>6.0936142987E10</v>
      </c>
      <c r="B874" s="218" t="s">
        <v>7204</v>
      </c>
    </row>
    <row r="875">
      <c r="A875" s="430">
        <v>1.8853064587E10</v>
      </c>
      <c r="B875" s="218" t="s">
        <v>7205</v>
      </c>
    </row>
    <row r="876">
      <c r="A876" s="430">
        <v>3.59865496E9</v>
      </c>
      <c r="B876" s="218" t="s">
        <v>7206</v>
      </c>
    </row>
    <row r="877">
      <c r="A877" s="430">
        <v>9.03725908E8</v>
      </c>
      <c r="B877" s="218" t="s">
        <v>7207</v>
      </c>
    </row>
    <row r="878">
      <c r="A878" s="430">
        <v>7.46752903E8</v>
      </c>
      <c r="B878" s="218" t="s">
        <v>7208</v>
      </c>
    </row>
    <row r="879">
      <c r="A879" s="430">
        <v>9.1288185987E10</v>
      </c>
      <c r="B879" s="218" t="s">
        <v>7209</v>
      </c>
    </row>
    <row r="880">
      <c r="A880" s="430">
        <v>7.2352949904E10</v>
      </c>
      <c r="B880" s="218" t="s">
        <v>7210</v>
      </c>
    </row>
    <row r="881">
      <c r="A881" s="430">
        <v>9.5019251968E10</v>
      </c>
      <c r="B881" s="218" t="s">
        <v>7211</v>
      </c>
    </row>
    <row r="882">
      <c r="A882" s="430">
        <v>3.708316916E9</v>
      </c>
      <c r="B882" s="218" t="s">
        <v>7212</v>
      </c>
    </row>
    <row r="883">
      <c r="A883" s="430">
        <v>8.1163010987E10</v>
      </c>
      <c r="B883" s="218" t="s">
        <v>7213</v>
      </c>
    </row>
    <row r="884">
      <c r="A884" s="430">
        <v>9.5972471E8</v>
      </c>
      <c r="B884" s="218" t="s">
        <v>7214</v>
      </c>
    </row>
    <row r="885">
      <c r="A885" s="430">
        <v>6.75173906E8</v>
      </c>
      <c r="B885" s="218" t="s">
        <v>7215</v>
      </c>
    </row>
    <row r="886">
      <c r="A886" s="430">
        <v>5.12519901E10</v>
      </c>
      <c r="B886" s="218" t="s">
        <v>7216</v>
      </c>
    </row>
    <row r="887">
      <c r="A887" s="430">
        <v>5.1408678004E10</v>
      </c>
      <c r="B887" s="218" t="s">
        <v>7217</v>
      </c>
    </row>
    <row r="888">
      <c r="A888" s="430">
        <v>7.7780515087E10</v>
      </c>
      <c r="B888" s="218" t="s">
        <v>7218</v>
      </c>
    </row>
    <row r="889">
      <c r="A889" s="430">
        <v>2.16189179E10</v>
      </c>
      <c r="B889" s="218" t="s">
        <v>7219</v>
      </c>
    </row>
    <row r="890">
      <c r="A890" s="430">
        <v>8.5918326987E10</v>
      </c>
      <c r="B890" s="218" t="s">
        <v>7220</v>
      </c>
    </row>
    <row r="891">
      <c r="A891" s="430">
        <v>1.811262902E9</v>
      </c>
      <c r="B891" s="218" t="s">
        <v>7221</v>
      </c>
    </row>
    <row r="892">
      <c r="A892" s="430">
        <v>6.5708792E8</v>
      </c>
      <c r="B892" s="218" t="s">
        <v>7222</v>
      </c>
    </row>
    <row r="893">
      <c r="A893" s="430">
        <v>4.701742937E9</v>
      </c>
      <c r="B893" s="218" t="s">
        <v>7223</v>
      </c>
    </row>
    <row r="894">
      <c r="A894" s="430">
        <v>5.4046360925E10</v>
      </c>
      <c r="B894" s="218" t="s">
        <v>7224</v>
      </c>
    </row>
    <row r="895">
      <c r="A895" s="430">
        <v>8.4472740982E10</v>
      </c>
      <c r="B895" s="218" t="s">
        <v>7225</v>
      </c>
    </row>
    <row r="896">
      <c r="A896" s="430">
        <v>3.85181981E8</v>
      </c>
      <c r="B896" s="218" t="s">
        <v>7226</v>
      </c>
    </row>
    <row r="897">
      <c r="A897" s="430">
        <v>3.8338432091E10</v>
      </c>
      <c r="B897" s="218" t="s">
        <v>7227</v>
      </c>
    </row>
    <row r="898">
      <c r="A898" s="430">
        <v>4.6584862968E10</v>
      </c>
      <c r="B898" s="218" t="s">
        <v>7228</v>
      </c>
    </row>
    <row r="899">
      <c r="A899" s="430">
        <v>4.8272833972E10</v>
      </c>
      <c r="B899" s="218" t="s">
        <v>7229</v>
      </c>
    </row>
    <row r="900">
      <c r="A900" s="430">
        <v>3.222121893E9</v>
      </c>
      <c r="B900" s="218" t="s">
        <v>7230</v>
      </c>
    </row>
    <row r="901">
      <c r="A901" s="430">
        <v>6.5356870906E10</v>
      </c>
      <c r="B901" s="218" t="s">
        <v>7231</v>
      </c>
    </row>
    <row r="902">
      <c r="A902" s="430">
        <v>1.5754641877E10</v>
      </c>
      <c r="B902" s="218" t="s">
        <v>7232</v>
      </c>
    </row>
    <row r="903">
      <c r="A903" s="430">
        <v>4.6127895987E10</v>
      </c>
      <c r="B903" s="218" t="s">
        <v>7233</v>
      </c>
    </row>
    <row r="904">
      <c r="A904" s="430">
        <v>6.8114630906E10</v>
      </c>
      <c r="B904" s="218" t="s">
        <v>7234</v>
      </c>
    </row>
    <row r="905">
      <c r="A905" s="430">
        <v>5.2788415915E10</v>
      </c>
      <c r="B905" s="218" t="s">
        <v>7235</v>
      </c>
    </row>
    <row r="906">
      <c r="A906" s="430">
        <v>7.1487280963E10</v>
      </c>
      <c r="B906" s="218" t="s">
        <v>7236</v>
      </c>
    </row>
    <row r="907">
      <c r="A907" s="430">
        <v>5.986711602E10</v>
      </c>
      <c r="B907" s="218" t="s">
        <v>7237</v>
      </c>
    </row>
    <row r="908">
      <c r="A908" s="430">
        <v>8.18425709E10</v>
      </c>
      <c r="B908" s="218" t="s">
        <v>7238</v>
      </c>
    </row>
    <row r="909">
      <c r="A909" s="430">
        <v>5.0964682915E10</v>
      </c>
      <c r="B909" s="218" t="s">
        <v>7239</v>
      </c>
    </row>
    <row r="910">
      <c r="A910" s="430">
        <v>8.027217792E10</v>
      </c>
      <c r="B910" s="218" t="s">
        <v>7240</v>
      </c>
    </row>
    <row r="911">
      <c r="A911" s="430">
        <v>6.0668130997E10</v>
      </c>
      <c r="B911" s="218" t="s">
        <v>7241</v>
      </c>
    </row>
    <row r="912">
      <c r="A912" s="430">
        <v>4.9437844968E10</v>
      </c>
      <c r="B912" s="218" t="s">
        <v>7242</v>
      </c>
    </row>
    <row r="913">
      <c r="A913" s="430">
        <v>6.0886625904E10</v>
      </c>
      <c r="B913" s="218" t="s">
        <v>7243</v>
      </c>
    </row>
    <row r="914">
      <c r="A914" s="430">
        <v>2.033609901E9</v>
      </c>
      <c r="B914" s="218" t="s">
        <v>7244</v>
      </c>
    </row>
    <row r="915">
      <c r="A915" s="430">
        <v>4.3316255915E10</v>
      </c>
      <c r="B915" s="218" t="s">
        <v>7245</v>
      </c>
    </row>
    <row r="916">
      <c r="A916" s="430">
        <v>4.6358269968E10</v>
      </c>
      <c r="B916" s="218" t="s">
        <v>7246</v>
      </c>
    </row>
    <row r="917">
      <c r="A917" s="430">
        <v>6.3736284934E10</v>
      </c>
      <c r="B917" s="218" t="s">
        <v>7247</v>
      </c>
    </row>
    <row r="918">
      <c r="A918" s="430">
        <v>8.8758478949E10</v>
      </c>
      <c r="B918" s="218" t="s">
        <v>7248</v>
      </c>
    </row>
    <row r="919">
      <c r="A919" s="430">
        <v>6.7110436934E10</v>
      </c>
      <c r="B919" s="218" t="s">
        <v>7249</v>
      </c>
    </row>
    <row r="920">
      <c r="A920" s="430">
        <v>8.1396295968E10</v>
      </c>
      <c r="B920" s="218" t="s">
        <v>7250</v>
      </c>
    </row>
    <row r="921">
      <c r="A921" s="430">
        <v>2.931672904E9</v>
      </c>
      <c r="B921" s="218" t="s">
        <v>7251</v>
      </c>
    </row>
    <row r="922">
      <c r="A922" s="430">
        <v>5.1954931972E10</v>
      </c>
      <c r="B922" s="218" t="s">
        <v>7252</v>
      </c>
    </row>
    <row r="923">
      <c r="A923" s="430">
        <v>7.5107775934E10</v>
      </c>
      <c r="B923" s="218" t="s">
        <v>7253</v>
      </c>
    </row>
    <row r="924">
      <c r="A924" s="430">
        <v>5.1413043968E10</v>
      </c>
      <c r="B924" s="218" t="s">
        <v>7254</v>
      </c>
    </row>
    <row r="925">
      <c r="A925" s="430">
        <v>4.3580424904E10</v>
      </c>
      <c r="B925" s="218" t="s">
        <v>7255</v>
      </c>
    </row>
    <row r="926">
      <c r="A926" s="430">
        <v>4.7992808991E10</v>
      </c>
      <c r="B926" s="218" t="s">
        <v>7256</v>
      </c>
    </row>
    <row r="927">
      <c r="A927" s="430">
        <v>2.1629471968E10</v>
      </c>
      <c r="B927" s="218" t="s">
        <v>7257</v>
      </c>
    </row>
    <row r="928">
      <c r="A928" s="430">
        <v>6.9035377915E10</v>
      </c>
      <c r="B928" s="218" t="s">
        <v>7258</v>
      </c>
    </row>
    <row r="929">
      <c r="A929" s="430">
        <v>9.150977792E10</v>
      </c>
      <c r="B929" s="218" t="s">
        <v>7259</v>
      </c>
    </row>
    <row r="930">
      <c r="A930" s="430">
        <v>3.4816518991E10</v>
      </c>
      <c r="B930" s="218" t="s">
        <v>7260</v>
      </c>
    </row>
    <row r="931">
      <c r="A931" s="430">
        <v>5.4715792915E10</v>
      </c>
      <c r="B931" s="218" t="s">
        <v>7261</v>
      </c>
    </row>
    <row r="932">
      <c r="A932" s="430">
        <v>3.8020521968E10</v>
      </c>
      <c r="B932" s="218" t="s">
        <v>7262</v>
      </c>
    </row>
    <row r="933">
      <c r="A933" s="430">
        <v>5.5784941968E10</v>
      </c>
      <c r="B933" s="218" t="s">
        <v>7263</v>
      </c>
    </row>
    <row r="934">
      <c r="A934" s="430">
        <v>4.8500097949E10</v>
      </c>
      <c r="B934" s="218" t="s">
        <v>7264</v>
      </c>
    </row>
    <row r="935">
      <c r="A935" s="430">
        <v>6.4213641953E10</v>
      </c>
      <c r="B935" s="218" t="s">
        <v>7265</v>
      </c>
    </row>
    <row r="936">
      <c r="A936" s="430">
        <v>6.4568300959E10</v>
      </c>
      <c r="B936" s="218" t="s">
        <v>7266</v>
      </c>
    </row>
    <row r="937">
      <c r="A937" s="430">
        <v>6.7859100991E10</v>
      </c>
      <c r="B937" s="218" t="s">
        <v>7267</v>
      </c>
    </row>
    <row r="938">
      <c r="A938" s="430">
        <v>3.90313904E8</v>
      </c>
      <c r="B938" s="218" t="s">
        <v>7268</v>
      </c>
    </row>
    <row r="939">
      <c r="A939" s="430">
        <v>4.93912169E10</v>
      </c>
      <c r="B939" s="218" t="s">
        <v>7269</v>
      </c>
    </row>
    <row r="940">
      <c r="A940" s="430">
        <v>6.360394987E9</v>
      </c>
      <c r="B940" s="218" t="s">
        <v>4479</v>
      </c>
    </row>
    <row r="941">
      <c r="A941" s="430">
        <v>7.7685377934E10</v>
      </c>
      <c r="B941" s="218" t="s">
        <v>7270</v>
      </c>
    </row>
    <row r="942">
      <c r="A942" s="430">
        <v>4.1723201987E10</v>
      </c>
      <c r="B942" s="218" t="s">
        <v>7271</v>
      </c>
    </row>
    <row r="943">
      <c r="A943" s="430">
        <v>5.5117759915E10</v>
      </c>
      <c r="B943" s="218" t="s">
        <v>7272</v>
      </c>
    </row>
    <row r="944">
      <c r="A944" s="430">
        <v>7.56096901E8</v>
      </c>
      <c r="B944" s="218" t="s">
        <v>7273</v>
      </c>
    </row>
    <row r="945">
      <c r="A945" s="430">
        <v>8.0118771949E10</v>
      </c>
      <c r="B945" s="218" t="s">
        <v>7274</v>
      </c>
    </row>
    <row r="946">
      <c r="A946" s="430">
        <v>7.4134388953E10</v>
      </c>
      <c r="B946" s="218" t="s">
        <v>7275</v>
      </c>
    </row>
    <row r="947">
      <c r="A947" s="430">
        <v>9.01587419E10</v>
      </c>
      <c r="B947" s="218" t="s">
        <v>7276</v>
      </c>
    </row>
    <row r="948">
      <c r="A948" s="430">
        <v>6.7463274934E10</v>
      </c>
      <c r="B948" s="218" t="s">
        <v>7277</v>
      </c>
    </row>
    <row r="949">
      <c r="A949" s="430">
        <v>1.4515121987E10</v>
      </c>
      <c r="B949" s="218" t="s">
        <v>7278</v>
      </c>
    </row>
    <row r="950">
      <c r="A950" s="430">
        <v>6.5250753949E10</v>
      </c>
      <c r="B950" s="218" t="s">
        <v>7279</v>
      </c>
    </row>
    <row r="951">
      <c r="A951" s="430">
        <v>5.78088991E8</v>
      </c>
      <c r="B951" s="218" t="s">
        <v>7280</v>
      </c>
    </row>
    <row r="952">
      <c r="A952" s="430">
        <v>2.2183973072E10</v>
      </c>
      <c r="B952" s="218" t="s">
        <v>7281</v>
      </c>
    </row>
    <row r="953">
      <c r="A953" s="430">
        <v>5.51181869E10</v>
      </c>
      <c r="B953" s="218" t="s">
        <v>7282</v>
      </c>
    </row>
    <row r="954">
      <c r="A954" s="430">
        <v>4.5552924991E10</v>
      </c>
      <c r="B954" s="218" t="s">
        <v>7283</v>
      </c>
    </row>
    <row r="955">
      <c r="A955" s="430">
        <v>5.3956311949E10</v>
      </c>
      <c r="B955" s="218" t="s">
        <v>7284</v>
      </c>
    </row>
    <row r="956">
      <c r="A956" s="430">
        <v>6.812139068E9</v>
      </c>
      <c r="B956" s="218" t="s">
        <v>7285</v>
      </c>
    </row>
    <row r="957">
      <c r="A957" s="430">
        <v>2.8919939934E10</v>
      </c>
      <c r="B957" s="218" t="s">
        <v>7286</v>
      </c>
    </row>
    <row r="958">
      <c r="A958" s="430">
        <v>3.8690918949E10</v>
      </c>
      <c r="B958" s="218" t="s">
        <v>7287</v>
      </c>
    </row>
    <row r="959">
      <c r="A959" s="430">
        <v>2.0976526034E10</v>
      </c>
      <c r="B959" s="218" t="s">
        <v>7288</v>
      </c>
    </row>
    <row r="960">
      <c r="A960" s="430">
        <v>5.856832809E9</v>
      </c>
      <c r="B960" s="218" t="s">
        <v>7289</v>
      </c>
    </row>
    <row r="961">
      <c r="A961" s="430">
        <v>4.2852471949E10</v>
      </c>
      <c r="B961" s="218" t="s">
        <v>7290</v>
      </c>
    </row>
    <row r="962">
      <c r="A962" s="430">
        <v>1.317201892E10</v>
      </c>
      <c r="B962" s="218" t="s">
        <v>7291</v>
      </c>
    </row>
    <row r="963">
      <c r="A963" s="430">
        <v>1.3469517991E10</v>
      </c>
      <c r="B963" s="218" t="s">
        <v>7292</v>
      </c>
    </row>
    <row r="964">
      <c r="A964" s="430">
        <v>3.011739749E9</v>
      </c>
      <c r="B964" s="218" t="s">
        <v>7293</v>
      </c>
    </row>
    <row r="965">
      <c r="A965" s="430">
        <v>6.36619699E10</v>
      </c>
      <c r="B965" s="218" t="s">
        <v>7294</v>
      </c>
    </row>
    <row r="966">
      <c r="A966" s="430">
        <v>4.5995613987E10</v>
      </c>
      <c r="B966" s="218" t="s">
        <v>7295</v>
      </c>
    </row>
    <row r="967">
      <c r="A967" s="430">
        <v>5.6486243953E10</v>
      </c>
      <c r="B967" s="218" t="s">
        <v>7296</v>
      </c>
    </row>
    <row r="968">
      <c r="A968" s="430">
        <v>4.5546240997E10</v>
      </c>
      <c r="B968" s="218" t="s">
        <v>7297</v>
      </c>
    </row>
    <row r="969">
      <c r="A969" s="430">
        <v>5.4934095934E10</v>
      </c>
      <c r="B969" s="218" t="s">
        <v>7298</v>
      </c>
    </row>
    <row r="970">
      <c r="A970" s="430">
        <v>6.1992968004E10</v>
      </c>
      <c r="B970" s="218" t="s">
        <v>7299</v>
      </c>
    </row>
    <row r="971">
      <c r="A971" s="430">
        <v>5.917726892E10</v>
      </c>
      <c r="B971" s="218" t="s">
        <v>7300</v>
      </c>
    </row>
    <row r="972">
      <c r="A972" s="430">
        <v>5.33997739E10</v>
      </c>
      <c r="B972" s="218" t="s">
        <v>7301</v>
      </c>
    </row>
    <row r="973">
      <c r="A973" s="430">
        <v>4.2064090991E10</v>
      </c>
      <c r="B973" s="218" t="s">
        <v>7302</v>
      </c>
    </row>
    <row r="974">
      <c r="A974" s="430">
        <v>8.5488909915E10</v>
      </c>
      <c r="B974" s="218" t="s">
        <v>7303</v>
      </c>
    </row>
    <row r="975">
      <c r="A975" s="430">
        <v>7.8500320982E10</v>
      </c>
      <c r="B975" s="218" t="s">
        <v>7304</v>
      </c>
    </row>
    <row r="976">
      <c r="A976" s="430">
        <v>5.2772217E10</v>
      </c>
      <c r="B976" s="218" t="s">
        <v>7305</v>
      </c>
    </row>
    <row r="977">
      <c r="A977" s="430">
        <v>5.91911639E10</v>
      </c>
      <c r="B977" s="218" t="s">
        <v>7306</v>
      </c>
    </row>
    <row r="978">
      <c r="A978" s="430">
        <v>3.7104241E10</v>
      </c>
      <c r="B978" s="218" t="s">
        <v>7307</v>
      </c>
    </row>
    <row r="979">
      <c r="A979" s="430">
        <v>6.5646525934E10</v>
      </c>
      <c r="B979" s="218" t="s">
        <v>7308</v>
      </c>
    </row>
    <row r="980">
      <c r="A980" s="430">
        <v>8.1179014987E10</v>
      </c>
      <c r="B980" s="218" t="s">
        <v>7309</v>
      </c>
    </row>
    <row r="981">
      <c r="A981" s="430">
        <v>2.4031933991E10</v>
      </c>
      <c r="B981" s="218" t="s">
        <v>7310</v>
      </c>
    </row>
    <row r="982">
      <c r="A982" s="430">
        <v>5.7687323904E10</v>
      </c>
      <c r="B982" s="218" t="s">
        <v>7311</v>
      </c>
    </row>
    <row r="983">
      <c r="A983" s="430">
        <v>1.7906997972E10</v>
      </c>
      <c r="B983" s="218" t="s">
        <v>7312</v>
      </c>
    </row>
    <row r="984">
      <c r="A984" s="430">
        <v>1.6733738953E10</v>
      </c>
      <c r="B984" s="218" t="s">
        <v>7313</v>
      </c>
    </row>
    <row r="985">
      <c r="A985" s="430">
        <v>8.4346973787E10</v>
      </c>
      <c r="B985" s="218" t="s">
        <v>7314</v>
      </c>
    </row>
    <row r="986">
      <c r="A986" s="430">
        <v>6.3745623991E10</v>
      </c>
      <c r="B986" s="218" t="s">
        <v>7315</v>
      </c>
    </row>
    <row r="987">
      <c r="A987" s="430">
        <v>6.0427027934E10</v>
      </c>
      <c r="B987" s="218" t="s">
        <v>7316</v>
      </c>
    </row>
    <row r="988">
      <c r="A988" s="430">
        <v>4.9247883091E10</v>
      </c>
      <c r="B988" s="218" t="s">
        <v>7317</v>
      </c>
    </row>
    <row r="989">
      <c r="A989" s="430">
        <v>6.7120822772E10</v>
      </c>
      <c r="B989" s="218" t="s">
        <v>7318</v>
      </c>
    </row>
    <row r="990">
      <c r="A990" s="430">
        <v>4.8988820053E10</v>
      </c>
      <c r="B990" s="218" t="s">
        <v>7319</v>
      </c>
    </row>
    <row r="991">
      <c r="A991" s="430">
        <v>1.3289737861E10</v>
      </c>
      <c r="B991" s="218" t="s">
        <v>7320</v>
      </c>
    </row>
    <row r="992">
      <c r="A992" s="430">
        <v>5.603063092E10</v>
      </c>
      <c r="B992" s="218" t="s">
        <v>7321</v>
      </c>
    </row>
    <row r="993">
      <c r="A993" s="430">
        <v>8.9867920953E10</v>
      </c>
      <c r="B993" s="218" t="s">
        <v>7322</v>
      </c>
    </row>
    <row r="994">
      <c r="A994" s="430">
        <v>6.74420489E10</v>
      </c>
      <c r="B994" s="218" t="s">
        <v>7323</v>
      </c>
    </row>
    <row r="995">
      <c r="A995" s="430">
        <v>5.8653899987E10</v>
      </c>
      <c r="B995" s="218" t="s">
        <v>7324</v>
      </c>
    </row>
    <row r="996">
      <c r="A996" s="430">
        <v>6.657671881E9</v>
      </c>
      <c r="B996" s="218" t="s">
        <v>7325</v>
      </c>
    </row>
    <row r="997">
      <c r="A997" s="430">
        <v>1.7392071068E10</v>
      </c>
      <c r="B997" s="218" t="s">
        <v>7326</v>
      </c>
    </row>
    <row r="998">
      <c r="A998" s="430">
        <v>4.157825292E10</v>
      </c>
      <c r="B998" s="218" t="s">
        <v>7327</v>
      </c>
    </row>
    <row r="999">
      <c r="A999" s="430">
        <v>4.6451579904E10</v>
      </c>
      <c r="B999" s="218" t="s">
        <v>7328</v>
      </c>
    </row>
    <row r="1000">
      <c r="A1000" s="430">
        <v>4.1586689991E10</v>
      </c>
      <c r="B1000" s="218" t="s">
        <v>7329</v>
      </c>
    </row>
    <row r="1001">
      <c r="A1001" s="430">
        <v>4.6245871034E10</v>
      </c>
      <c r="B1001" s="218" t="s">
        <v>7330</v>
      </c>
    </row>
    <row r="1002">
      <c r="A1002" s="430">
        <v>2.8874056915E10</v>
      </c>
      <c r="B1002" s="218" t="s">
        <v>7331</v>
      </c>
    </row>
    <row r="1003">
      <c r="A1003" s="430">
        <v>6.25571909E10</v>
      </c>
      <c r="B1003" s="218" t="s">
        <v>7332</v>
      </c>
    </row>
    <row r="1004">
      <c r="A1004" s="430">
        <v>3.9576370906E10</v>
      </c>
      <c r="B1004" s="218" t="s">
        <v>7333</v>
      </c>
    </row>
    <row r="1005">
      <c r="A1005" s="430">
        <v>3.091286592E10</v>
      </c>
      <c r="B1005" s="218" t="s">
        <v>7334</v>
      </c>
    </row>
    <row r="1006">
      <c r="A1006" s="430">
        <v>3.7670794968E10</v>
      </c>
      <c r="B1006" s="218" t="s">
        <v>7335</v>
      </c>
    </row>
    <row r="1007">
      <c r="A1007" s="430">
        <v>7.8512581972E10</v>
      </c>
      <c r="B1007" s="218" t="s">
        <v>7336</v>
      </c>
    </row>
    <row r="1008">
      <c r="A1008" s="430">
        <v>3.5173157968E10</v>
      </c>
      <c r="B1008" s="218" t="s">
        <v>7337</v>
      </c>
    </row>
    <row r="1009">
      <c r="A1009" s="430">
        <v>2.9605598191E10</v>
      </c>
      <c r="B1009" s="218" t="s">
        <v>7338</v>
      </c>
    </row>
    <row r="1010">
      <c r="A1010" s="430">
        <v>6.9228876972E10</v>
      </c>
      <c r="B1010" s="218" t="s">
        <v>7339</v>
      </c>
    </row>
    <row r="1011">
      <c r="A1011" s="430">
        <v>9.1983134953E10</v>
      </c>
      <c r="B1011" s="218" t="s">
        <v>7340</v>
      </c>
    </row>
    <row r="1012">
      <c r="A1012" s="430">
        <v>6.3791099E10</v>
      </c>
      <c r="B1012" s="218" t="s">
        <v>7341</v>
      </c>
    </row>
    <row r="1013">
      <c r="A1013" s="430">
        <v>6.8254148953E10</v>
      </c>
      <c r="B1013" s="218" t="s">
        <v>7342</v>
      </c>
    </row>
    <row r="1014">
      <c r="A1014" s="430">
        <v>3.4405100934E10</v>
      </c>
      <c r="B1014" s="218" t="s">
        <v>7343</v>
      </c>
    </row>
    <row r="1015">
      <c r="A1015" s="430">
        <v>4.7161000904E10</v>
      </c>
      <c r="B1015" s="218" t="s">
        <v>7344</v>
      </c>
    </row>
    <row r="1016">
      <c r="A1016" s="430">
        <v>3.368165968E9</v>
      </c>
      <c r="B1016" s="218" t="s">
        <v>7345</v>
      </c>
    </row>
    <row r="1017">
      <c r="A1017" s="430">
        <v>2.622996829E9</v>
      </c>
      <c r="B1017" s="218" t="s">
        <v>7346</v>
      </c>
    </row>
    <row r="1018">
      <c r="A1018" s="430">
        <v>1.5559904953E10</v>
      </c>
      <c r="B1018" s="218" t="s">
        <v>7347</v>
      </c>
    </row>
    <row r="1019">
      <c r="A1019" s="430">
        <v>9.8226002753E10</v>
      </c>
      <c r="B1019" s="218" t="s">
        <v>7348</v>
      </c>
    </row>
    <row r="1020">
      <c r="A1020" s="430">
        <v>9.5989900015E10</v>
      </c>
      <c r="B1020" s="218" t="s">
        <v>7349</v>
      </c>
    </row>
    <row r="1021">
      <c r="A1021" s="430">
        <v>2.7961747869E10</v>
      </c>
      <c r="B1021" s="218" t="s">
        <v>7350</v>
      </c>
    </row>
    <row r="1022">
      <c r="A1022" s="430">
        <v>2.959498992E9</v>
      </c>
      <c r="B1022" s="218" t="s">
        <v>7351</v>
      </c>
    </row>
    <row r="1023">
      <c r="A1023" s="430">
        <v>2.62902192E9</v>
      </c>
      <c r="B1023" s="218" t="s">
        <v>7352</v>
      </c>
    </row>
    <row r="1024">
      <c r="A1024" s="430">
        <v>9078983.0</v>
      </c>
      <c r="B1024" s="218" t="s">
        <v>7353</v>
      </c>
    </row>
    <row r="1025">
      <c r="A1025" s="430">
        <v>9.3259786953E10</v>
      </c>
      <c r="B1025" s="218" t="s">
        <v>7354</v>
      </c>
    </row>
    <row r="1026">
      <c r="A1026" s="430">
        <v>4.7606673934E10</v>
      </c>
      <c r="B1026" s="218" t="s">
        <v>7355</v>
      </c>
    </row>
    <row r="1027">
      <c r="A1027" s="430">
        <v>2.4889253904E10</v>
      </c>
      <c r="B1027" s="218" t="s">
        <v>7356</v>
      </c>
    </row>
    <row r="1028">
      <c r="A1028" s="430">
        <v>5.11508409E10</v>
      </c>
      <c r="B1028" s="218" t="s">
        <v>7357</v>
      </c>
    </row>
    <row r="1029">
      <c r="A1029" s="430">
        <v>9.1069165972E10</v>
      </c>
      <c r="B1029" s="218" t="s">
        <v>7358</v>
      </c>
    </row>
    <row r="1030">
      <c r="A1030" s="430">
        <v>4.1043790934E10</v>
      </c>
      <c r="B1030" s="218" t="s">
        <v>7359</v>
      </c>
    </row>
    <row r="1031">
      <c r="A1031" s="430">
        <v>4.6742980915E10</v>
      </c>
      <c r="B1031" s="218" t="s">
        <v>7360</v>
      </c>
    </row>
    <row r="1032">
      <c r="A1032" s="430">
        <v>1.0591400987E10</v>
      </c>
      <c r="B1032" s="218" t="s">
        <v>7361</v>
      </c>
    </row>
    <row r="1033">
      <c r="A1033" s="430">
        <v>4.33087919E10</v>
      </c>
      <c r="B1033" s="218" t="s">
        <v>7362</v>
      </c>
    </row>
    <row r="1034">
      <c r="A1034" s="430">
        <v>1.3443712991E10</v>
      </c>
      <c r="B1034" s="218" t="s">
        <v>7363</v>
      </c>
    </row>
    <row r="1035">
      <c r="A1035" s="430">
        <v>2.7549810982E10</v>
      </c>
      <c r="B1035" s="218" t="s">
        <v>7364</v>
      </c>
    </row>
    <row r="1036">
      <c r="A1036" s="430">
        <v>4.85595559E10</v>
      </c>
      <c r="B1036" s="218" t="s">
        <v>7365</v>
      </c>
    </row>
    <row r="1037">
      <c r="A1037" s="430">
        <v>1.3479660304E10</v>
      </c>
      <c r="B1037" s="218" t="s">
        <v>7366</v>
      </c>
    </row>
    <row r="1038">
      <c r="A1038" s="430">
        <v>9.234518292E10</v>
      </c>
      <c r="B1038" s="218" t="s">
        <v>7367</v>
      </c>
    </row>
    <row r="1039">
      <c r="A1039" s="430">
        <v>5.46310257E10</v>
      </c>
      <c r="B1039" s="218" t="s">
        <v>7368</v>
      </c>
    </row>
    <row r="1040">
      <c r="A1040" s="430">
        <v>2.89229219E10</v>
      </c>
      <c r="B1040" s="218" t="s">
        <v>7369</v>
      </c>
    </row>
    <row r="1041">
      <c r="A1041" s="430">
        <v>5.2110869968E10</v>
      </c>
      <c r="B1041" s="218" t="s">
        <v>7370</v>
      </c>
    </row>
    <row r="1042">
      <c r="A1042" s="430">
        <v>4.2925916953E10</v>
      </c>
      <c r="B1042" s="218" t="s">
        <v>7371</v>
      </c>
    </row>
    <row r="1043">
      <c r="A1043" s="430">
        <v>7.7685113104E10</v>
      </c>
      <c r="B1043" s="218" t="s">
        <v>7372</v>
      </c>
    </row>
    <row r="1044">
      <c r="A1044" s="430">
        <v>1.832458733E9</v>
      </c>
      <c r="B1044" s="218" t="s">
        <v>7373</v>
      </c>
    </row>
    <row r="1045">
      <c r="A1045" s="430">
        <v>9.576267102E10</v>
      </c>
      <c r="B1045" s="218" t="s">
        <v>7374</v>
      </c>
    </row>
    <row r="1046">
      <c r="A1046" s="430">
        <v>8.8876870997E10</v>
      </c>
      <c r="B1046" s="218" t="s">
        <v>7375</v>
      </c>
    </row>
    <row r="1047">
      <c r="A1047" s="430">
        <v>1.645268977E9</v>
      </c>
      <c r="B1047" s="218" t="s">
        <v>7376</v>
      </c>
    </row>
    <row r="1048">
      <c r="A1048" s="430">
        <v>3.905245906E9</v>
      </c>
      <c r="B1048" s="218" t="s">
        <v>7377</v>
      </c>
    </row>
    <row r="1049">
      <c r="A1049" s="430">
        <v>7.325947747E9</v>
      </c>
      <c r="B1049" s="218" t="s">
        <v>7378</v>
      </c>
    </row>
    <row r="1050">
      <c r="A1050" s="430">
        <v>1.795581964E9</v>
      </c>
      <c r="B1050" s="218" t="s">
        <v>7379</v>
      </c>
    </row>
    <row r="1051">
      <c r="A1051" s="430">
        <v>9.2306306591E10</v>
      </c>
      <c r="B1051" s="218" t="s">
        <v>7380</v>
      </c>
    </row>
    <row r="1052">
      <c r="A1052" s="430">
        <v>5.5983707604E10</v>
      </c>
      <c r="B1052" s="218" t="s">
        <v>7381</v>
      </c>
    </row>
    <row r="1053">
      <c r="A1053" s="430">
        <v>3.4499474949E10</v>
      </c>
      <c r="B1053" s="218" t="s">
        <v>7382</v>
      </c>
    </row>
    <row r="1054">
      <c r="A1054" s="430">
        <v>2.8058127E10</v>
      </c>
      <c r="B1054" s="218" t="s">
        <v>7383</v>
      </c>
    </row>
    <row r="1055">
      <c r="A1055" s="430">
        <v>5.4884080963E10</v>
      </c>
      <c r="B1055" s="218" t="s">
        <v>7384</v>
      </c>
    </row>
    <row r="1056">
      <c r="A1056" s="430">
        <v>1.3391982829E10</v>
      </c>
      <c r="B1056" s="218" t="s">
        <v>7385</v>
      </c>
    </row>
    <row r="1057">
      <c r="A1057" s="430">
        <v>6.3130122915E10</v>
      </c>
      <c r="B1057" s="218" t="s">
        <v>7386</v>
      </c>
    </row>
    <row r="1058">
      <c r="A1058" s="430">
        <v>5.8644423991E10</v>
      </c>
      <c r="B1058" s="218" t="s">
        <v>7387</v>
      </c>
    </row>
    <row r="1059">
      <c r="A1059" s="430">
        <v>4.8685925991E10</v>
      </c>
      <c r="B1059" s="218" t="s">
        <v>7388</v>
      </c>
    </row>
    <row r="1060">
      <c r="A1060" s="430">
        <v>3.4125817987E10</v>
      </c>
      <c r="B1060" s="218" t="s">
        <v>7389</v>
      </c>
    </row>
    <row r="1061">
      <c r="A1061" s="430">
        <v>7.1318402972E10</v>
      </c>
      <c r="B1061" s="218" t="s">
        <v>7390</v>
      </c>
    </row>
    <row r="1062">
      <c r="A1062" s="430">
        <v>4.5961751953E10</v>
      </c>
      <c r="B1062" s="218" t="s">
        <v>7391</v>
      </c>
    </row>
    <row r="1063">
      <c r="A1063" s="430">
        <v>2.2370633972E10</v>
      </c>
      <c r="B1063" s="218" t="s">
        <v>7392</v>
      </c>
    </row>
    <row r="1064">
      <c r="A1064" s="430">
        <v>6.94469629E10</v>
      </c>
      <c r="B1064" s="218" t="s">
        <v>7393</v>
      </c>
    </row>
    <row r="1065">
      <c r="A1065" s="430">
        <v>5.4884969987E10</v>
      </c>
      <c r="B1065" s="218" t="s">
        <v>7394</v>
      </c>
    </row>
    <row r="1066">
      <c r="A1066" s="430">
        <v>2.8919963991E10</v>
      </c>
      <c r="B1066" s="218" t="s">
        <v>7395</v>
      </c>
    </row>
    <row r="1067">
      <c r="A1067" s="430">
        <v>6.906444093E10</v>
      </c>
      <c r="B1067" s="218" t="s">
        <v>7396</v>
      </c>
    </row>
    <row r="1068">
      <c r="A1068" s="430">
        <v>6.9011753968E10</v>
      </c>
      <c r="B1068" s="218" t="s">
        <v>7397</v>
      </c>
    </row>
    <row r="1069">
      <c r="A1069" s="430">
        <v>8.0332595749E10</v>
      </c>
      <c r="B1069" s="218" t="s">
        <v>7398</v>
      </c>
    </row>
    <row r="1070">
      <c r="A1070" s="430">
        <v>4.1451201087E10</v>
      </c>
      <c r="B1070" s="218" t="s">
        <v>7399</v>
      </c>
    </row>
    <row r="1071">
      <c r="A1071" s="430">
        <v>7.4542222934E10</v>
      </c>
      <c r="B1071" s="218" t="s">
        <v>7400</v>
      </c>
    </row>
    <row r="1072">
      <c r="A1072" s="430">
        <v>2.030226963E9</v>
      </c>
      <c r="B1072" s="218" t="s">
        <v>7401</v>
      </c>
    </row>
    <row r="1073">
      <c r="A1073" s="430">
        <v>6.0718641E10</v>
      </c>
      <c r="B1073" s="218" t="s">
        <v>7402</v>
      </c>
    </row>
    <row r="1074">
      <c r="A1074" s="430">
        <v>4.295136492E10</v>
      </c>
      <c r="B1074" s="218" t="s">
        <v>7403</v>
      </c>
    </row>
    <row r="1075">
      <c r="A1075" s="430">
        <v>6.541428492E10</v>
      </c>
      <c r="B1075" s="218" t="s">
        <v>7404</v>
      </c>
    </row>
    <row r="1076">
      <c r="A1076" s="430">
        <v>8.2283133904E10</v>
      </c>
      <c r="B1076" s="218" t="s">
        <v>7405</v>
      </c>
    </row>
    <row r="1077">
      <c r="A1077" s="430">
        <v>4.9068814087E10</v>
      </c>
      <c r="B1077" s="218" t="s">
        <v>7406</v>
      </c>
    </row>
    <row r="1078">
      <c r="A1078" s="430">
        <v>6.5316061934E10</v>
      </c>
      <c r="B1078" s="218" t="s">
        <v>7407</v>
      </c>
    </row>
    <row r="1079">
      <c r="A1079" s="430">
        <v>5.3719026949E10</v>
      </c>
      <c r="B1079" s="218" t="s">
        <v>7408</v>
      </c>
    </row>
    <row r="1080">
      <c r="A1080" s="430">
        <v>4.4680066091E10</v>
      </c>
      <c r="B1080" s="218" t="s">
        <v>7409</v>
      </c>
    </row>
    <row r="1081">
      <c r="A1081" s="430">
        <v>6.6060451934E10</v>
      </c>
      <c r="B1081" s="218" t="s">
        <v>7410</v>
      </c>
    </row>
    <row r="1082">
      <c r="A1082" s="430">
        <v>3.7314947953E10</v>
      </c>
      <c r="B1082" s="218" t="s">
        <v>7411</v>
      </c>
    </row>
    <row r="1083">
      <c r="A1083" s="430">
        <v>3.6330957991E10</v>
      </c>
      <c r="B1083" s="218" t="s">
        <v>7412</v>
      </c>
    </row>
    <row r="1084">
      <c r="A1084" s="430">
        <v>5.2986616704E10</v>
      </c>
      <c r="B1084" s="218" t="s">
        <v>7413</v>
      </c>
    </row>
    <row r="1085">
      <c r="A1085" s="430">
        <v>1.43538497E9</v>
      </c>
      <c r="B1085" s="218" t="s">
        <v>7414</v>
      </c>
    </row>
    <row r="1086">
      <c r="A1086" s="430">
        <v>6.2526421934E10</v>
      </c>
      <c r="B1086" s="218" t="s">
        <v>7415</v>
      </c>
    </row>
    <row r="1087">
      <c r="A1087" s="430">
        <v>8.6659235949E10</v>
      </c>
      <c r="B1087" s="218" t="s">
        <v>7416</v>
      </c>
    </row>
    <row r="1088">
      <c r="A1088" s="430">
        <v>2.712377753E9</v>
      </c>
      <c r="B1088" s="218" t="s">
        <v>7417</v>
      </c>
    </row>
    <row r="1089">
      <c r="A1089" s="430">
        <v>3.084671915E9</v>
      </c>
      <c r="B1089" s="218" t="s">
        <v>7418</v>
      </c>
    </row>
    <row r="1090">
      <c r="A1090" s="430">
        <v>2.4282391987E10</v>
      </c>
      <c r="B1090" s="218" t="s">
        <v>7419</v>
      </c>
    </row>
    <row r="1091">
      <c r="A1091" s="430">
        <v>6.1198650982E10</v>
      </c>
      <c r="B1091" s="218" t="s">
        <v>7420</v>
      </c>
    </row>
    <row r="1092">
      <c r="A1092" s="430">
        <v>3.7573942915E10</v>
      </c>
      <c r="B1092" s="218" t="s">
        <v>7421</v>
      </c>
    </row>
    <row r="1093">
      <c r="A1093" s="430">
        <v>4.8945218904E10</v>
      </c>
      <c r="B1093" s="218" t="s">
        <v>7422</v>
      </c>
    </row>
    <row r="1094">
      <c r="A1094" s="430">
        <v>4.5527520904E10</v>
      </c>
      <c r="B1094" s="218" t="s">
        <v>7423</v>
      </c>
    </row>
    <row r="1095">
      <c r="A1095" s="430">
        <v>8.20377953E8</v>
      </c>
      <c r="B1095" s="218" t="s">
        <v>7424</v>
      </c>
    </row>
    <row r="1096">
      <c r="A1096" s="430">
        <v>4.088983807E9</v>
      </c>
      <c r="B1096" s="218" t="s">
        <v>7425</v>
      </c>
    </row>
    <row r="1097">
      <c r="A1097" s="430">
        <v>2.7665488072E10</v>
      </c>
      <c r="B1097" s="218" t="s">
        <v>7426</v>
      </c>
    </row>
    <row r="1098">
      <c r="A1098" s="430">
        <v>6.7873502015E10</v>
      </c>
      <c r="B1098" s="218" t="s">
        <v>7427</v>
      </c>
    </row>
    <row r="1099">
      <c r="A1099" s="430">
        <v>5.5041051968E10</v>
      </c>
      <c r="B1099" s="218" t="s">
        <v>7428</v>
      </c>
    </row>
    <row r="1100">
      <c r="A1100" s="430">
        <v>6.21160539E10</v>
      </c>
      <c r="B1100" s="218" t="s">
        <v>7429</v>
      </c>
    </row>
    <row r="1101">
      <c r="A1101" s="430">
        <v>2.9673380104E10</v>
      </c>
      <c r="B1101" s="218" t="s">
        <v>7430</v>
      </c>
    </row>
    <row r="1102">
      <c r="A1102" s="430">
        <v>3.7803069991E10</v>
      </c>
      <c r="B1102" s="218" t="s">
        <v>7431</v>
      </c>
    </row>
    <row r="1103">
      <c r="A1103" s="430">
        <v>5.59986319E10</v>
      </c>
      <c r="B1103" s="218" t="s">
        <v>7432</v>
      </c>
    </row>
    <row r="1104">
      <c r="A1104" s="430">
        <v>6.8252609953E10</v>
      </c>
      <c r="B1104" s="218" t="s">
        <v>7433</v>
      </c>
    </row>
    <row r="1105">
      <c r="A1105" s="430">
        <v>1.452907692E10</v>
      </c>
      <c r="B1105" s="218" t="s">
        <v>7434</v>
      </c>
    </row>
    <row r="1106">
      <c r="A1106" s="430">
        <v>5.0719211972E10</v>
      </c>
      <c r="B1106" s="218" t="s">
        <v>7435</v>
      </c>
    </row>
    <row r="1107">
      <c r="A1107" s="430">
        <v>7.7062213934E10</v>
      </c>
      <c r="B1107" s="218" t="s">
        <v>7436</v>
      </c>
    </row>
    <row r="1108">
      <c r="A1108" s="430">
        <v>8.5080756934E10</v>
      </c>
      <c r="B1108" s="218" t="s">
        <v>7437</v>
      </c>
    </row>
    <row r="1109">
      <c r="A1109" s="430">
        <v>3.98817928E8</v>
      </c>
      <c r="B1109" s="218" t="s">
        <v>7438</v>
      </c>
    </row>
    <row r="1110">
      <c r="A1110" s="430">
        <v>9.0295943904E10</v>
      </c>
      <c r="B1110" s="218" t="s">
        <v>7439</v>
      </c>
    </row>
    <row r="1111">
      <c r="A1111" s="430">
        <v>6.91512965E8</v>
      </c>
      <c r="B1111" s="218" t="s">
        <v>7440</v>
      </c>
    </row>
    <row r="1112">
      <c r="A1112" s="430">
        <v>3.515042903E9</v>
      </c>
      <c r="B1112" s="218" t="s">
        <v>7441</v>
      </c>
    </row>
    <row r="1113">
      <c r="A1113" s="430">
        <v>1.7607728791E10</v>
      </c>
      <c r="B1113" s="218" t="s">
        <v>7442</v>
      </c>
    </row>
    <row r="1114">
      <c r="A1114" s="430">
        <v>2.4263559568E10</v>
      </c>
      <c r="B1114" s="218" t="s">
        <v>7443</v>
      </c>
    </row>
    <row r="1115">
      <c r="A1115" s="430">
        <v>2.0368569349E10</v>
      </c>
      <c r="B1115" s="218" t="s">
        <v>7444</v>
      </c>
    </row>
    <row r="1116">
      <c r="A1116" s="430">
        <v>8.192064492E10</v>
      </c>
      <c r="B1116" s="218" t="s">
        <v>7445</v>
      </c>
    </row>
    <row r="1117">
      <c r="A1117" s="430">
        <v>2.4504254972E10</v>
      </c>
      <c r="B1117" s="218" t="s">
        <v>7446</v>
      </c>
    </row>
    <row r="1118">
      <c r="A1118" s="430">
        <v>7.29981649E10</v>
      </c>
      <c r="B1118" s="218" t="s">
        <v>7447</v>
      </c>
    </row>
    <row r="1119">
      <c r="A1119" s="430">
        <v>1.0562567704E10</v>
      </c>
      <c r="B1119" s="218" t="s">
        <v>7448</v>
      </c>
    </row>
    <row r="1120">
      <c r="A1120" s="430">
        <v>6.0841508968E10</v>
      </c>
      <c r="B1120" s="218" t="s">
        <v>7449</v>
      </c>
    </row>
    <row r="1121">
      <c r="A1121" s="430">
        <v>5.3724070934E10</v>
      </c>
      <c r="B1121" s="218" t="s">
        <v>7450</v>
      </c>
    </row>
    <row r="1122">
      <c r="A1122" s="430">
        <v>4.958608915E9</v>
      </c>
      <c r="B1122" s="218" t="s">
        <v>7451</v>
      </c>
    </row>
    <row r="1123">
      <c r="A1123" s="430">
        <v>5.6018789949E10</v>
      </c>
      <c r="B1123" s="218" t="s">
        <v>7452</v>
      </c>
    </row>
    <row r="1124">
      <c r="A1124" s="430">
        <v>8.3751220925E10</v>
      </c>
      <c r="B1124" s="218" t="s">
        <v>7453</v>
      </c>
    </row>
    <row r="1125">
      <c r="A1125" s="430">
        <v>6.8711662972E10</v>
      </c>
      <c r="B1125" s="218" t="s">
        <v>7454</v>
      </c>
    </row>
    <row r="1126">
      <c r="A1126" s="430">
        <v>5.06049027E10</v>
      </c>
      <c r="B1126" s="218" t="s">
        <v>7455</v>
      </c>
    </row>
    <row r="1127">
      <c r="A1127" s="430">
        <v>4.707988822E9</v>
      </c>
      <c r="B1127" s="218" t="s">
        <v>7456</v>
      </c>
    </row>
    <row r="1128">
      <c r="A1128" s="430">
        <v>4.1584457953E10</v>
      </c>
      <c r="B1128" s="218" t="s">
        <v>7457</v>
      </c>
    </row>
    <row r="1129">
      <c r="A1129" s="430">
        <v>9.3217420934E10</v>
      </c>
      <c r="B1129" s="218" t="s">
        <v>7458</v>
      </c>
    </row>
    <row r="1130">
      <c r="A1130" s="430">
        <v>5.7900434704E10</v>
      </c>
      <c r="B1130" s="218" t="s">
        <v>7459</v>
      </c>
    </row>
    <row r="1131">
      <c r="A1131" s="430">
        <v>3.6348392791E10</v>
      </c>
      <c r="B1131" s="218" t="s">
        <v>7460</v>
      </c>
    </row>
    <row r="1132">
      <c r="A1132" s="430">
        <v>3.8254905991E10</v>
      </c>
      <c r="B1132" s="218" t="s">
        <v>7461</v>
      </c>
    </row>
    <row r="1133">
      <c r="A1133" s="430">
        <v>3.8703211991E10</v>
      </c>
      <c r="B1133" s="218" t="s">
        <v>7462</v>
      </c>
    </row>
    <row r="1134">
      <c r="A1134" s="430">
        <v>1.7881803991E10</v>
      </c>
      <c r="B1134" s="218" t="s">
        <v>7463</v>
      </c>
    </row>
    <row r="1135">
      <c r="A1135" s="430">
        <v>5.4619769568E10</v>
      </c>
      <c r="B1135" s="218" t="s">
        <v>7464</v>
      </c>
    </row>
    <row r="1136">
      <c r="A1136" s="430">
        <v>2.051169802E10</v>
      </c>
      <c r="B1136" s="218" t="s">
        <v>7465</v>
      </c>
    </row>
    <row r="1137">
      <c r="A1137" s="430">
        <v>1.3528980044E10</v>
      </c>
      <c r="B1137" s="218" t="s">
        <v>7466</v>
      </c>
    </row>
    <row r="1138">
      <c r="A1138" s="430">
        <v>6.1740675991E10</v>
      </c>
      <c r="B1138" s="218" t="s">
        <v>7467</v>
      </c>
    </row>
    <row r="1139">
      <c r="A1139" s="430">
        <v>3.4723307753E10</v>
      </c>
      <c r="B1139" s="218" t="s">
        <v>7468</v>
      </c>
    </row>
    <row r="1140">
      <c r="A1140" s="430">
        <v>3.93704459E10</v>
      </c>
      <c r="B1140" s="218" t="s">
        <v>7469</v>
      </c>
    </row>
    <row r="1141">
      <c r="A1141" s="430">
        <v>4.5637105987E10</v>
      </c>
      <c r="B1141" s="218" t="s">
        <v>7470</v>
      </c>
    </row>
    <row r="1142">
      <c r="A1142" s="430">
        <v>5.0741438968E10</v>
      </c>
      <c r="B1142" s="218" t="s">
        <v>7471</v>
      </c>
    </row>
    <row r="1143">
      <c r="A1143" s="430">
        <v>5.0471317934E10</v>
      </c>
      <c r="B1143" s="218" t="s">
        <v>7472</v>
      </c>
    </row>
    <row r="1144">
      <c r="A1144" s="430">
        <v>9.0927222949E10</v>
      </c>
      <c r="B1144" s="218" t="s">
        <v>7473</v>
      </c>
    </row>
    <row r="1145">
      <c r="A1145" s="430">
        <v>2.1675520925E10</v>
      </c>
      <c r="B1145" s="218" t="s">
        <v>7474</v>
      </c>
    </row>
    <row r="1146">
      <c r="A1146" s="430">
        <v>5.3146271915E10</v>
      </c>
      <c r="B1146" s="218" t="s">
        <v>7475</v>
      </c>
    </row>
    <row r="1147">
      <c r="A1147" s="430">
        <v>7.3260819991E10</v>
      </c>
      <c r="B1147" s="218" t="s">
        <v>7476</v>
      </c>
    </row>
    <row r="1148">
      <c r="A1148" s="430">
        <v>1.6644760082E10</v>
      </c>
      <c r="B1148" s="218" t="s">
        <v>7477</v>
      </c>
    </row>
    <row r="1149">
      <c r="A1149" s="430">
        <v>1.7957354904E10</v>
      </c>
      <c r="B1149" s="218" t="s">
        <v>7478</v>
      </c>
    </row>
    <row r="1150">
      <c r="A1150" s="430">
        <v>8.03847149E10</v>
      </c>
      <c r="B1150" s="218" t="s">
        <v>7479</v>
      </c>
    </row>
    <row r="1151">
      <c r="A1151" s="430">
        <v>6.0928093972E10</v>
      </c>
      <c r="B1151" s="218" t="s">
        <v>7480</v>
      </c>
    </row>
    <row r="1152">
      <c r="A1152" s="430">
        <v>2.42720196E9</v>
      </c>
      <c r="B1152" s="218" t="s">
        <v>7481</v>
      </c>
    </row>
    <row r="1153">
      <c r="A1153" s="430">
        <v>1.885585942E9</v>
      </c>
      <c r="B1153" s="218" t="s">
        <v>7482</v>
      </c>
    </row>
    <row r="1154">
      <c r="A1154" s="430">
        <v>2.367725977E9</v>
      </c>
      <c r="B1154" s="218" t="s">
        <v>7483</v>
      </c>
    </row>
    <row r="1155">
      <c r="A1155" s="430">
        <v>8.8579506034E10</v>
      </c>
      <c r="B1155" s="218" t="s">
        <v>7484</v>
      </c>
    </row>
    <row r="1156">
      <c r="A1156" s="430">
        <v>7.3275441949E10</v>
      </c>
      <c r="B1156" s="218" t="s">
        <v>7485</v>
      </c>
    </row>
    <row r="1157">
      <c r="A1157" s="430">
        <v>5.34988954E8</v>
      </c>
      <c r="B1157" s="218" t="s">
        <v>7486</v>
      </c>
    </row>
    <row r="1158">
      <c r="A1158" s="430">
        <v>1.805336908E9</v>
      </c>
      <c r="B1158" s="218" t="s">
        <v>7487</v>
      </c>
    </row>
    <row r="1159">
      <c r="A1159" s="430">
        <v>5.796211102E10</v>
      </c>
      <c r="B1159" s="218" t="s">
        <v>7488</v>
      </c>
    </row>
    <row r="1160">
      <c r="A1160" s="430">
        <v>3.98851948E8</v>
      </c>
      <c r="B1160" s="218" t="s">
        <v>7489</v>
      </c>
    </row>
    <row r="1161">
      <c r="A1161" s="430">
        <v>4.6796568087E10</v>
      </c>
      <c r="B1161" s="218" t="s">
        <v>7490</v>
      </c>
    </row>
    <row r="1162">
      <c r="A1162" s="430">
        <v>2.4586179805E10</v>
      </c>
      <c r="B1162" s="218" t="s">
        <v>7491</v>
      </c>
    </row>
    <row r="1163">
      <c r="A1163" s="430">
        <v>2.9815002104E10</v>
      </c>
      <c r="B1163" s="218" t="s">
        <v>7492</v>
      </c>
    </row>
    <row r="1164">
      <c r="A1164" s="430">
        <v>6.0918896053E10</v>
      </c>
      <c r="B1164" s="218" t="s">
        <v>7493</v>
      </c>
    </row>
    <row r="1165">
      <c r="A1165" s="430">
        <v>1.886174938E9</v>
      </c>
      <c r="B1165" s="218" t="s">
        <v>7494</v>
      </c>
    </row>
    <row r="1166">
      <c r="A1166" s="430">
        <v>1.700662902E9</v>
      </c>
      <c r="B1166" s="218" t="s">
        <v>7495</v>
      </c>
    </row>
    <row r="1167">
      <c r="A1167" s="430">
        <v>1.566974836E9</v>
      </c>
      <c r="B1167" s="218" t="s">
        <v>7496</v>
      </c>
    </row>
    <row r="1168">
      <c r="A1168" s="430">
        <v>6.0786833815E10</v>
      </c>
      <c r="B1168" s="218" t="s">
        <v>7497</v>
      </c>
    </row>
    <row r="1169">
      <c r="A1169" s="430">
        <v>9.4180024004E10</v>
      </c>
      <c r="B1169" s="218" t="s">
        <v>7498</v>
      </c>
    </row>
    <row r="1170">
      <c r="A1170" s="430">
        <v>4.84845985E8</v>
      </c>
      <c r="B1170" s="218" t="s">
        <v>7499</v>
      </c>
    </row>
    <row r="1171">
      <c r="A1171" s="430">
        <v>2.96386499E9</v>
      </c>
      <c r="B1171" s="218" t="s">
        <v>7500</v>
      </c>
    </row>
    <row r="1172">
      <c r="A1172" s="430">
        <v>8.640147752E9</v>
      </c>
      <c r="B1172" s="218" t="s">
        <v>7501</v>
      </c>
    </row>
    <row r="1173">
      <c r="A1173" s="430">
        <v>8.8965775E10</v>
      </c>
      <c r="B1173" s="218" t="s">
        <v>7502</v>
      </c>
    </row>
    <row r="1174">
      <c r="A1174" s="430">
        <v>3.210087903E9</v>
      </c>
      <c r="B1174" s="218" t="s">
        <v>7503</v>
      </c>
    </row>
    <row r="1175">
      <c r="A1175" s="430">
        <v>7.2771119072E10</v>
      </c>
      <c r="B1175" s="218" t="s">
        <v>7504</v>
      </c>
    </row>
    <row r="1176">
      <c r="A1176" s="430">
        <v>1.895776902E9</v>
      </c>
      <c r="B1176" s="218" t="s">
        <v>7505</v>
      </c>
    </row>
    <row r="1177">
      <c r="A1177" s="430">
        <v>2.4359299E9</v>
      </c>
      <c r="B1177" s="218" t="s">
        <v>7506</v>
      </c>
    </row>
    <row r="1178">
      <c r="A1178" s="430">
        <v>3.1232877E9</v>
      </c>
      <c r="B1178" s="218" t="s">
        <v>7507</v>
      </c>
    </row>
    <row r="1179">
      <c r="A1179" s="430">
        <v>2.357326999E9</v>
      </c>
      <c r="B1179" s="218" t="s">
        <v>7508</v>
      </c>
    </row>
    <row r="1180">
      <c r="A1180" s="430">
        <v>7.8146917968E10</v>
      </c>
      <c r="B1180" s="218" t="s">
        <v>7509</v>
      </c>
    </row>
    <row r="1181">
      <c r="A1181" s="430">
        <v>1.702596923E9</v>
      </c>
      <c r="B1181" s="218" t="s">
        <v>7510</v>
      </c>
    </row>
    <row r="1182">
      <c r="A1182" s="430">
        <v>9.104061292E10</v>
      </c>
      <c r="B1182" s="218" t="s">
        <v>7511</v>
      </c>
    </row>
    <row r="1183">
      <c r="A1183" s="430">
        <v>3.70420594E9</v>
      </c>
      <c r="B1183" s="218" t="s">
        <v>7512</v>
      </c>
    </row>
    <row r="1184">
      <c r="A1184" s="430">
        <v>4.957833907E9</v>
      </c>
      <c r="B1184" s="218" t="s">
        <v>7513</v>
      </c>
    </row>
    <row r="1185">
      <c r="A1185" s="430">
        <v>9.67071941E10</v>
      </c>
      <c r="B1185" s="218" t="s">
        <v>7514</v>
      </c>
    </row>
    <row r="1186">
      <c r="A1186" s="430">
        <v>3.371910938E9</v>
      </c>
      <c r="B1186" s="218" t="s">
        <v>7515</v>
      </c>
    </row>
    <row r="1187">
      <c r="A1187" s="430">
        <v>8.2095140087E10</v>
      </c>
      <c r="B1187" s="218" t="s">
        <v>7516</v>
      </c>
    </row>
    <row r="1188">
      <c r="A1188" s="430">
        <v>4.8514489968E10</v>
      </c>
      <c r="B1188" s="218" t="s">
        <v>7517</v>
      </c>
    </row>
    <row r="1189">
      <c r="A1189" s="430">
        <v>4.999343932E9</v>
      </c>
      <c r="B1189" s="218" t="s">
        <v>7518</v>
      </c>
    </row>
    <row r="1190">
      <c r="A1190" s="430">
        <v>4.85943697E9</v>
      </c>
      <c r="B1190" s="218" t="s">
        <v>7519</v>
      </c>
    </row>
    <row r="1191">
      <c r="A1191" s="430">
        <v>7.1012230104E10</v>
      </c>
      <c r="B1191" s="218" t="s">
        <v>7520</v>
      </c>
    </row>
    <row r="1192">
      <c r="A1192" s="430">
        <v>8.6737619991E10</v>
      </c>
      <c r="B1192" s="218" t="s">
        <v>7521</v>
      </c>
    </row>
    <row r="1193">
      <c r="A1193" s="430">
        <v>1.2574252004E10</v>
      </c>
      <c r="B1193" s="218" t="s">
        <v>7522</v>
      </c>
    </row>
    <row r="1194">
      <c r="A1194" s="430">
        <v>7.34280009E10</v>
      </c>
      <c r="B1194" s="218" t="s">
        <v>7523</v>
      </c>
    </row>
    <row r="1195">
      <c r="A1195" s="430">
        <v>6.4715256991E10</v>
      </c>
      <c r="B1195" s="218" t="s">
        <v>7524</v>
      </c>
    </row>
    <row r="1196">
      <c r="A1196" s="430">
        <v>3.7924249915E10</v>
      </c>
      <c r="B1196" s="218" t="s">
        <v>7525</v>
      </c>
    </row>
    <row r="1197">
      <c r="A1197" s="430">
        <v>5.3329023953E10</v>
      </c>
      <c r="B1197" s="218" t="s">
        <v>7526</v>
      </c>
    </row>
    <row r="1198">
      <c r="A1198" s="430">
        <v>5.4290910904E10</v>
      </c>
      <c r="B1198" s="218" t="s">
        <v>7527</v>
      </c>
    </row>
    <row r="1199">
      <c r="A1199" s="430">
        <v>5.4346630987E10</v>
      </c>
      <c r="B1199" s="218" t="s">
        <v>7528</v>
      </c>
    </row>
    <row r="1200">
      <c r="A1200" s="430">
        <v>3.4387048972E10</v>
      </c>
      <c r="B1200" s="218" t="s">
        <v>7529</v>
      </c>
    </row>
    <row r="1201">
      <c r="A1201" s="430">
        <v>4.5635501087E10</v>
      </c>
      <c r="B1201" s="218" t="s">
        <v>7530</v>
      </c>
    </row>
    <row r="1202">
      <c r="A1202" s="430">
        <v>4.7694882972E10</v>
      </c>
      <c r="B1202" s="218" t="s">
        <v>7531</v>
      </c>
    </row>
    <row r="1203">
      <c r="A1203" s="430">
        <v>8.09934949E8</v>
      </c>
      <c r="B1203" s="218" t="s">
        <v>7532</v>
      </c>
    </row>
    <row r="1204">
      <c r="A1204" s="430">
        <v>6.1683060997E10</v>
      </c>
      <c r="B1204" s="218" t="s">
        <v>7533</v>
      </c>
    </row>
    <row r="1205">
      <c r="A1205" s="430">
        <v>8.289603991E9</v>
      </c>
      <c r="B1205" s="218" t="s">
        <v>7534</v>
      </c>
    </row>
    <row r="1206">
      <c r="A1206" s="430">
        <v>7.457715304E9</v>
      </c>
      <c r="B1206" s="218" t="s">
        <v>7535</v>
      </c>
    </row>
    <row r="1207">
      <c r="A1207" s="430">
        <v>9.6263350768E10</v>
      </c>
      <c r="B1207" s="218" t="s">
        <v>7536</v>
      </c>
    </row>
    <row r="1208">
      <c r="A1208" s="430">
        <v>4.887719E8</v>
      </c>
      <c r="B1208" s="218" t="s">
        <v>7537</v>
      </c>
    </row>
    <row r="1209">
      <c r="A1209" s="430">
        <v>3.4486500997E10</v>
      </c>
      <c r="B1209" s="218" t="s">
        <v>7538</v>
      </c>
    </row>
    <row r="1210">
      <c r="A1210" s="430">
        <v>6.4693910953E10</v>
      </c>
      <c r="B1210" s="218" t="s">
        <v>7539</v>
      </c>
    </row>
    <row r="1211">
      <c r="A1211" s="430">
        <v>1.0204636949E10</v>
      </c>
      <c r="B1211" s="218" t="s">
        <v>7540</v>
      </c>
    </row>
    <row r="1212">
      <c r="A1212" s="430">
        <v>5.3002024953E10</v>
      </c>
      <c r="B1212" s="218" t="s">
        <v>7541</v>
      </c>
    </row>
    <row r="1213">
      <c r="A1213" s="430">
        <v>2.6039621087E10</v>
      </c>
      <c r="B1213" s="218" t="s">
        <v>7542</v>
      </c>
    </row>
    <row r="1214">
      <c r="A1214" s="430">
        <v>4.8185779953E10</v>
      </c>
      <c r="B1214" s="218" t="s">
        <v>7543</v>
      </c>
    </row>
    <row r="1215">
      <c r="A1215" s="430">
        <v>2.9862906987E10</v>
      </c>
      <c r="B1215" s="218" t="s">
        <v>7544</v>
      </c>
    </row>
    <row r="1216">
      <c r="A1216" s="430">
        <v>5.4203384915E10</v>
      </c>
      <c r="B1216" s="218" t="s">
        <v>7545</v>
      </c>
    </row>
    <row r="1217">
      <c r="A1217" s="430">
        <v>8.0291678904E10</v>
      </c>
      <c r="B1217" s="218" t="s">
        <v>7546</v>
      </c>
    </row>
    <row r="1218">
      <c r="A1218" s="430">
        <v>5.34703209E10</v>
      </c>
      <c r="B1218" s="218" t="s">
        <v>7547</v>
      </c>
    </row>
    <row r="1219">
      <c r="A1219" s="430">
        <v>5.2869407904E10</v>
      </c>
      <c r="B1219" s="218" t="s">
        <v>7548</v>
      </c>
    </row>
    <row r="1220">
      <c r="A1220" s="430">
        <v>6.0841605904E10</v>
      </c>
      <c r="B1220" s="218" t="s">
        <v>7549</v>
      </c>
    </row>
    <row r="1221">
      <c r="A1221" s="430">
        <v>6.039464372E9</v>
      </c>
      <c r="B1221" s="218" t="s">
        <v>7550</v>
      </c>
    </row>
    <row r="1222">
      <c r="A1222" s="430">
        <v>2.869926987E9</v>
      </c>
      <c r="B1222" s="218" t="s">
        <v>7551</v>
      </c>
    </row>
    <row r="1223">
      <c r="A1223" s="430">
        <v>5.2869504934E10</v>
      </c>
      <c r="B1223" s="218" t="s">
        <v>7552</v>
      </c>
    </row>
    <row r="1224">
      <c r="A1224" s="430">
        <v>3.885098202E10</v>
      </c>
      <c r="B1224" s="218" t="s">
        <v>7553</v>
      </c>
    </row>
    <row r="1225">
      <c r="A1225" s="430">
        <v>3.7432745072E10</v>
      </c>
      <c r="B1225" s="218" t="s">
        <v>7554</v>
      </c>
    </row>
    <row r="1226">
      <c r="A1226" s="430">
        <v>5.7630216904E10</v>
      </c>
      <c r="B1226" s="218" t="s">
        <v>7555</v>
      </c>
    </row>
    <row r="1227">
      <c r="A1227" s="430">
        <v>6.45770159E10</v>
      </c>
      <c r="B1227" s="218" t="s">
        <v>7556</v>
      </c>
    </row>
    <row r="1228">
      <c r="A1228" s="430">
        <v>2.2309225053E10</v>
      </c>
      <c r="B1228" s="218" t="s">
        <v>7557</v>
      </c>
    </row>
    <row r="1229">
      <c r="A1229" s="430">
        <v>3.3761205015E10</v>
      </c>
      <c r="B1229" s="218" t="s">
        <v>7558</v>
      </c>
    </row>
    <row r="1230">
      <c r="A1230" s="430">
        <v>7.6736610982E10</v>
      </c>
      <c r="B1230" s="218" t="s">
        <v>7559</v>
      </c>
    </row>
    <row r="1231">
      <c r="A1231" s="430">
        <v>5.296456602E10</v>
      </c>
      <c r="B1231" s="218" t="s">
        <v>7560</v>
      </c>
    </row>
    <row r="1232">
      <c r="A1232" s="430">
        <v>1.3173596072E10</v>
      </c>
      <c r="B1232" s="218" t="s">
        <v>7561</v>
      </c>
    </row>
    <row r="1233">
      <c r="A1233" s="430">
        <v>3.7794256968E10</v>
      </c>
      <c r="B1233" s="218" t="s">
        <v>7562</v>
      </c>
    </row>
    <row r="1234">
      <c r="A1234" s="430">
        <v>5.3727061987E10</v>
      </c>
      <c r="B1234" s="218" t="s">
        <v>7563</v>
      </c>
    </row>
    <row r="1235">
      <c r="A1235" s="430">
        <v>5.72831099E10</v>
      </c>
      <c r="B1235" s="218" t="s">
        <v>7564</v>
      </c>
    </row>
    <row r="1236">
      <c r="A1236" s="430">
        <v>4.8363880744E10</v>
      </c>
      <c r="B1236" s="218" t="s">
        <v>7565</v>
      </c>
    </row>
    <row r="1237">
      <c r="A1237" s="430">
        <v>5.4797306904E10</v>
      </c>
      <c r="B1237" s="218" t="s">
        <v>7566</v>
      </c>
    </row>
    <row r="1238">
      <c r="A1238" s="430">
        <v>9.69295537E10</v>
      </c>
      <c r="B1238" s="218" t="s">
        <v>7567</v>
      </c>
    </row>
    <row r="1239">
      <c r="A1239" s="430">
        <v>5.8288066968E10</v>
      </c>
      <c r="B1239" s="218" t="s">
        <v>7568</v>
      </c>
    </row>
    <row r="1240">
      <c r="A1240" s="430">
        <v>3.6961582834E10</v>
      </c>
      <c r="B1240" s="218" t="s">
        <v>7569</v>
      </c>
    </row>
    <row r="1241">
      <c r="A1241" s="430">
        <v>4.3207995934E10</v>
      </c>
      <c r="B1241" s="218" t="s">
        <v>7570</v>
      </c>
    </row>
    <row r="1242">
      <c r="A1242" s="430">
        <v>6.3056917972E10</v>
      </c>
      <c r="B1242" s="218" t="s">
        <v>7571</v>
      </c>
    </row>
    <row r="1243">
      <c r="A1243" s="430">
        <v>1.559805803E9</v>
      </c>
      <c r="B1243" s="218" t="s">
        <v>7572</v>
      </c>
    </row>
    <row r="1244">
      <c r="A1244" s="430">
        <v>5.3222474915E10</v>
      </c>
      <c r="B1244" s="218" t="s">
        <v>7573</v>
      </c>
    </row>
    <row r="1245">
      <c r="A1245" s="430">
        <v>4.1648161987E10</v>
      </c>
      <c r="B1245" s="218" t="s">
        <v>7574</v>
      </c>
    </row>
    <row r="1246">
      <c r="A1246" s="430">
        <v>4.1607406934E10</v>
      </c>
      <c r="B1246" s="218" t="s">
        <v>7575</v>
      </c>
    </row>
    <row r="1247">
      <c r="A1247" s="430">
        <v>7.0739382934E10</v>
      </c>
      <c r="B1247" s="218" t="s">
        <v>7576</v>
      </c>
    </row>
    <row r="1248">
      <c r="A1248" s="430">
        <v>5.88564559E10</v>
      </c>
      <c r="B1248" s="218" t="s">
        <v>7577</v>
      </c>
    </row>
    <row r="1249">
      <c r="A1249" s="430">
        <v>5.5477518049E10</v>
      </c>
      <c r="B1249" s="218" t="s">
        <v>7578</v>
      </c>
    </row>
    <row r="1250">
      <c r="A1250" s="430">
        <v>1.784662984E9</v>
      </c>
      <c r="B1250" s="218" t="s">
        <v>7579</v>
      </c>
    </row>
    <row r="1251">
      <c r="A1251" s="430">
        <v>3.223667989E9</v>
      </c>
      <c r="B1251" s="218" t="s">
        <v>7580</v>
      </c>
    </row>
    <row r="1252">
      <c r="A1252" s="430">
        <v>5.9512350904E10</v>
      </c>
      <c r="B1252" s="218" t="s">
        <v>7581</v>
      </c>
    </row>
    <row r="1253">
      <c r="A1253" s="430">
        <v>1.626731918E9</v>
      </c>
      <c r="B1253" s="218" t="s">
        <v>7582</v>
      </c>
    </row>
    <row r="1254">
      <c r="A1254" s="430">
        <v>1.62796293E9</v>
      </c>
      <c r="B1254" s="218" t="s">
        <v>7583</v>
      </c>
    </row>
    <row r="1255">
      <c r="A1255" s="430">
        <v>9.4341842072E10</v>
      </c>
      <c r="B1255" s="218" t="s">
        <v>7584</v>
      </c>
    </row>
    <row r="1256">
      <c r="A1256" s="430">
        <v>8.5591262104E10</v>
      </c>
      <c r="B1256" s="218" t="s">
        <v>7585</v>
      </c>
    </row>
    <row r="1257">
      <c r="A1257" s="430">
        <v>2.892725992E9</v>
      </c>
      <c r="B1257" s="218" t="s">
        <v>7586</v>
      </c>
    </row>
    <row r="1258">
      <c r="A1258" s="430">
        <v>3.414874903E9</v>
      </c>
      <c r="B1258" s="218" t="s">
        <v>7587</v>
      </c>
    </row>
    <row r="1259">
      <c r="A1259" s="430">
        <v>4.023542903E9</v>
      </c>
      <c r="B1259" s="218" t="s">
        <v>7588</v>
      </c>
    </row>
    <row r="1260">
      <c r="A1260" s="430">
        <v>6.9309833904E10</v>
      </c>
      <c r="B1260" s="218" t="s">
        <v>7589</v>
      </c>
    </row>
    <row r="1261">
      <c r="A1261" s="430">
        <v>4.784414959E9</v>
      </c>
      <c r="B1261" s="218" t="s">
        <v>7590</v>
      </c>
    </row>
    <row r="1262">
      <c r="A1262" s="430">
        <v>5.938673941E9</v>
      </c>
      <c r="B1262" s="218" t="s">
        <v>7591</v>
      </c>
    </row>
    <row r="1263">
      <c r="A1263" s="430">
        <v>5.7464375904E10</v>
      </c>
      <c r="B1263" s="218" t="s">
        <v>7592</v>
      </c>
    </row>
    <row r="1264">
      <c r="A1264" s="430">
        <v>7.37885378E9</v>
      </c>
      <c r="B1264" s="218" t="s">
        <v>7593</v>
      </c>
    </row>
    <row r="1265">
      <c r="A1265" s="430">
        <v>2.511732912E9</v>
      </c>
      <c r="B1265" s="218" t="s">
        <v>7594</v>
      </c>
    </row>
    <row r="1266">
      <c r="A1266" s="430">
        <v>7.9018025968E10</v>
      </c>
      <c r="B1266" s="218" t="s">
        <v>7595</v>
      </c>
    </row>
    <row r="1267">
      <c r="A1267" s="430">
        <v>9.233562492E10</v>
      </c>
      <c r="B1267" s="218" t="s">
        <v>7596</v>
      </c>
    </row>
    <row r="1268">
      <c r="A1268" s="430">
        <v>3.05093193E9</v>
      </c>
      <c r="B1268" s="218" t="s">
        <v>7597</v>
      </c>
    </row>
    <row r="1269">
      <c r="A1269" s="430">
        <v>7.41792419E8</v>
      </c>
      <c r="B1269" s="218" t="s">
        <v>7598</v>
      </c>
    </row>
    <row r="1270">
      <c r="A1270" s="430">
        <v>2.342605994E9</v>
      </c>
      <c r="B1270" s="218" t="s">
        <v>7599</v>
      </c>
    </row>
    <row r="1271">
      <c r="A1271" s="430">
        <v>2.945982943E9</v>
      </c>
      <c r="B1271" s="218" t="s">
        <v>7600</v>
      </c>
    </row>
    <row r="1272">
      <c r="A1272" s="430">
        <v>3.065666995E9</v>
      </c>
      <c r="B1272" s="218" t="s">
        <v>7601</v>
      </c>
    </row>
    <row r="1273">
      <c r="A1273" s="430">
        <v>8.435963764E9</v>
      </c>
      <c r="B1273" s="218" t="s">
        <v>7602</v>
      </c>
    </row>
    <row r="1274">
      <c r="A1274" s="430">
        <v>3.687344983E9</v>
      </c>
      <c r="B1274" s="218" t="s">
        <v>7603</v>
      </c>
    </row>
    <row r="1275">
      <c r="A1275" s="430">
        <v>3.693534985E9</v>
      </c>
      <c r="B1275" s="218" t="s">
        <v>7604</v>
      </c>
    </row>
    <row r="1276">
      <c r="A1276" s="430">
        <v>9.9462370591E10</v>
      </c>
      <c r="B1276" s="218" t="s">
        <v>7605</v>
      </c>
    </row>
    <row r="1277">
      <c r="A1277" s="430">
        <v>2.241685089E10</v>
      </c>
      <c r="B1277" s="218" t="s">
        <v>7606</v>
      </c>
    </row>
    <row r="1278">
      <c r="A1278" s="430">
        <v>5.008105914E9</v>
      </c>
      <c r="B1278" s="218" t="s">
        <v>7607</v>
      </c>
    </row>
    <row r="1279">
      <c r="A1279" s="430">
        <v>2.6542919104E10</v>
      </c>
      <c r="B1279" s="218" t="s">
        <v>7608</v>
      </c>
    </row>
    <row r="1280">
      <c r="A1280" s="430">
        <v>3.9049221653E10</v>
      </c>
      <c r="B1280" s="218" t="s">
        <v>7609</v>
      </c>
    </row>
    <row r="1281">
      <c r="A1281" s="430">
        <v>2.844582788E10</v>
      </c>
      <c r="B1281" s="218" t="s">
        <v>7610</v>
      </c>
    </row>
    <row r="1282">
      <c r="A1282" s="430">
        <v>7.893306793E9</v>
      </c>
      <c r="B1282" s="218" t="s">
        <v>7611</v>
      </c>
    </row>
    <row r="1283">
      <c r="A1283" s="430">
        <v>8.09000709E10</v>
      </c>
      <c r="B1283" s="218" t="s">
        <v>7612</v>
      </c>
    </row>
    <row r="1284">
      <c r="A1284" s="430">
        <v>2.376510929E9</v>
      </c>
      <c r="B1284" s="218" t="s">
        <v>7613</v>
      </c>
    </row>
    <row r="1285">
      <c r="A1285" s="430">
        <v>2.1362080802E10</v>
      </c>
      <c r="B1285" s="218" t="s">
        <v>7614</v>
      </c>
    </row>
    <row r="1286">
      <c r="A1286" s="430">
        <v>3.0380877856E10</v>
      </c>
      <c r="B1286" s="218" t="s">
        <v>7615</v>
      </c>
    </row>
    <row r="1287">
      <c r="A1287" s="430">
        <v>2.1405182172E10</v>
      </c>
      <c r="B1287" s="218" t="s">
        <v>7616</v>
      </c>
    </row>
    <row r="1288">
      <c r="A1288" s="430">
        <v>5.0701509953E10</v>
      </c>
      <c r="B1288" s="218" t="s">
        <v>7617</v>
      </c>
    </row>
    <row r="1289">
      <c r="A1289" s="430">
        <v>6.9428735949E10</v>
      </c>
      <c r="B1289" s="218" t="s">
        <v>7618</v>
      </c>
    </row>
    <row r="1290">
      <c r="A1290" s="430">
        <v>1.4013762072E10</v>
      </c>
      <c r="B1290" s="218" t="s">
        <v>7619</v>
      </c>
    </row>
    <row r="1291">
      <c r="A1291" s="430">
        <v>4.1651456968E10</v>
      </c>
      <c r="B1291" s="218" t="s">
        <v>7620</v>
      </c>
    </row>
    <row r="1292">
      <c r="A1292" s="430">
        <v>4.1568907915E10</v>
      </c>
      <c r="B1292" s="218" t="s">
        <v>7621</v>
      </c>
    </row>
    <row r="1293">
      <c r="A1293" s="430">
        <v>2.2026517991E10</v>
      </c>
      <c r="B1293" s="218" t="s">
        <v>7622</v>
      </c>
    </row>
    <row r="1294">
      <c r="A1294" s="430">
        <v>7.6862828991E10</v>
      </c>
      <c r="B1294" s="218" t="s">
        <v>7623</v>
      </c>
    </row>
    <row r="1295">
      <c r="A1295" s="430">
        <v>1.0511524889E10</v>
      </c>
      <c r="B1295" s="218" t="s">
        <v>7624</v>
      </c>
    </row>
    <row r="1296">
      <c r="A1296" s="430">
        <v>6.0508108934E10</v>
      </c>
      <c r="B1296" s="218" t="s">
        <v>7625</v>
      </c>
    </row>
    <row r="1297">
      <c r="A1297" s="430">
        <v>2.8701305972E10</v>
      </c>
      <c r="B1297" s="218" t="s">
        <v>7626</v>
      </c>
    </row>
    <row r="1298">
      <c r="A1298" s="430">
        <v>2.365129692E10</v>
      </c>
      <c r="B1298" s="218" t="s">
        <v>7627</v>
      </c>
    </row>
    <row r="1299">
      <c r="A1299" s="430">
        <v>1.9931662034E10</v>
      </c>
      <c r="B1299" s="218" t="s">
        <v>7628</v>
      </c>
    </row>
    <row r="1300">
      <c r="A1300" s="430">
        <v>1.2971405915E10</v>
      </c>
      <c r="B1300" s="218" t="s">
        <v>7629</v>
      </c>
    </row>
    <row r="1301">
      <c r="A1301" s="430">
        <v>1.134965915E9</v>
      </c>
      <c r="B1301" s="218" t="s">
        <v>7630</v>
      </c>
    </row>
    <row r="1302">
      <c r="A1302" s="430">
        <v>3.5255439991E10</v>
      </c>
      <c r="B1302" s="218" t="s">
        <v>7631</v>
      </c>
    </row>
    <row r="1303">
      <c r="A1303" s="430">
        <v>7.740564192E10</v>
      </c>
      <c r="B1303" s="218" t="s">
        <v>7632</v>
      </c>
    </row>
    <row r="1304">
      <c r="A1304" s="430">
        <v>9.30287592E9</v>
      </c>
      <c r="B1304" s="218" t="s">
        <v>7633</v>
      </c>
    </row>
    <row r="1305">
      <c r="A1305" s="430">
        <v>1.847946763E9</v>
      </c>
      <c r="B1305" s="218" t="s">
        <v>7634</v>
      </c>
    </row>
    <row r="1306">
      <c r="A1306" s="430">
        <v>4.1675975949E10</v>
      </c>
      <c r="B1306" s="218" t="s">
        <v>7635</v>
      </c>
    </row>
    <row r="1307">
      <c r="A1307" s="430">
        <v>7.0771782934E10</v>
      </c>
      <c r="B1307" s="218" t="s">
        <v>7636</v>
      </c>
    </row>
    <row r="1308">
      <c r="A1308" s="430">
        <v>3.147909E8</v>
      </c>
      <c r="B1308" s="218" t="s">
        <v>7637</v>
      </c>
    </row>
    <row r="1309">
      <c r="A1309" s="430">
        <v>4.1669029972E10</v>
      </c>
      <c r="B1309" s="218" t="s">
        <v>7638</v>
      </c>
    </row>
    <row r="1310">
      <c r="A1310" s="430">
        <v>4.9185012904E10</v>
      </c>
      <c r="B1310" s="218" t="s">
        <v>7639</v>
      </c>
    </row>
    <row r="1311">
      <c r="A1311" s="430">
        <v>2.5200070953E10</v>
      </c>
      <c r="B1311" s="218" t="s">
        <v>7640</v>
      </c>
    </row>
    <row r="1312">
      <c r="A1312" s="430">
        <v>3.5736240068E10</v>
      </c>
      <c r="B1312" s="218" t="s">
        <v>7641</v>
      </c>
    </row>
    <row r="1313">
      <c r="A1313" s="430">
        <v>3.8060574949E10</v>
      </c>
      <c r="B1313" s="218" t="s">
        <v>7642</v>
      </c>
    </row>
    <row r="1314">
      <c r="A1314" s="430">
        <v>5.26402059E10</v>
      </c>
      <c r="B1314" s="218" t="s">
        <v>7643</v>
      </c>
    </row>
    <row r="1315">
      <c r="A1315" s="430">
        <v>4.8630225904E10</v>
      </c>
      <c r="B1315" s="218" t="s">
        <v>7644</v>
      </c>
    </row>
    <row r="1316">
      <c r="A1316" s="430">
        <v>8.0508286972E10</v>
      </c>
      <c r="B1316" s="218" t="s">
        <v>7645</v>
      </c>
    </row>
    <row r="1317">
      <c r="A1317" s="430">
        <v>7.8677483934E10</v>
      </c>
      <c r="B1317" s="218" t="s">
        <v>7646</v>
      </c>
    </row>
    <row r="1318">
      <c r="A1318" s="430">
        <v>7.145356392E10</v>
      </c>
      <c r="B1318" s="218" t="s">
        <v>7647</v>
      </c>
    </row>
    <row r="1319">
      <c r="A1319" s="430">
        <v>9.7021059E9</v>
      </c>
      <c r="B1319" s="218" t="s">
        <v>7648</v>
      </c>
    </row>
    <row r="1320">
      <c r="A1320" s="430">
        <v>1.9684045972E10</v>
      </c>
      <c r="B1320" s="218" t="s">
        <v>7649</v>
      </c>
    </row>
    <row r="1321">
      <c r="A1321" s="430">
        <v>2.3855797153E10</v>
      </c>
      <c r="B1321" s="218" t="s">
        <v>7650</v>
      </c>
    </row>
    <row r="1322">
      <c r="A1322" s="430">
        <v>1.1447869915E10</v>
      </c>
      <c r="B1322" s="218" t="s">
        <v>7651</v>
      </c>
    </row>
    <row r="1323">
      <c r="A1323" s="430">
        <v>8.95273721E8</v>
      </c>
      <c r="B1323" s="218" t="s">
        <v>7652</v>
      </c>
    </row>
    <row r="1324">
      <c r="A1324" s="430">
        <v>1.8338410934E10</v>
      </c>
      <c r="B1324" s="218" t="s">
        <v>7653</v>
      </c>
    </row>
    <row r="1325">
      <c r="A1325" s="430">
        <v>8.2287252991E10</v>
      </c>
      <c r="B1325" s="218" t="s">
        <v>7654</v>
      </c>
    </row>
    <row r="1326">
      <c r="A1326" s="430">
        <v>5.2119793972E10</v>
      </c>
      <c r="B1326" s="218" t="s">
        <v>7655</v>
      </c>
    </row>
    <row r="1327">
      <c r="A1327" s="430">
        <v>2.8864522972E10</v>
      </c>
      <c r="B1327" s="218" t="s">
        <v>7656</v>
      </c>
    </row>
    <row r="1328">
      <c r="A1328" s="430">
        <v>8.39507968E8</v>
      </c>
      <c r="B1328" s="218" t="s">
        <v>7657</v>
      </c>
    </row>
    <row r="1329">
      <c r="A1329" s="430">
        <v>1.7104327053E10</v>
      </c>
      <c r="B1329" s="218" t="s">
        <v>7658</v>
      </c>
    </row>
    <row r="1330">
      <c r="A1330" s="430">
        <v>4.8591645987E10</v>
      </c>
      <c r="B1330" s="218" t="s">
        <v>7659</v>
      </c>
    </row>
    <row r="1331">
      <c r="A1331" s="430">
        <v>2.7186199704E10</v>
      </c>
      <c r="B1331" s="218" t="s">
        <v>7660</v>
      </c>
    </row>
    <row r="1332">
      <c r="A1332" s="430">
        <v>1.7995256949E10</v>
      </c>
      <c r="B1332" s="218" t="s">
        <v>7661</v>
      </c>
    </row>
    <row r="1333">
      <c r="A1333" s="430">
        <v>9.4345252091E10</v>
      </c>
      <c r="B1333" s="218" t="s">
        <v>7662</v>
      </c>
    </row>
    <row r="1334">
      <c r="A1334" s="430">
        <v>7.768744292E10</v>
      </c>
      <c r="B1334" s="218" t="s">
        <v>7663</v>
      </c>
    </row>
    <row r="1335">
      <c r="A1335" s="430">
        <v>3.1800149972E10</v>
      </c>
      <c r="B1335" s="218" t="s">
        <v>7664</v>
      </c>
    </row>
    <row r="1336">
      <c r="A1336" s="430">
        <v>6.9350191091E10</v>
      </c>
      <c r="B1336" s="218" t="s">
        <v>7665</v>
      </c>
    </row>
    <row r="1337">
      <c r="A1337" s="430">
        <v>5.188064804E9</v>
      </c>
      <c r="B1337" s="218" t="s">
        <v>7666</v>
      </c>
    </row>
    <row r="1338">
      <c r="A1338" s="430">
        <v>9.44805167E10</v>
      </c>
      <c r="B1338" s="218" t="s">
        <v>7667</v>
      </c>
    </row>
    <row r="1339">
      <c r="A1339" s="430">
        <v>2.96316881E10</v>
      </c>
      <c r="B1339" s="218" t="s">
        <v>7668</v>
      </c>
    </row>
    <row r="1340">
      <c r="A1340" s="430">
        <v>3.555081764E9</v>
      </c>
      <c r="B1340" s="218" t="s">
        <v>7669</v>
      </c>
    </row>
    <row r="1341">
      <c r="A1341" s="430">
        <v>2.78469892E9</v>
      </c>
      <c r="B1341" s="218" t="s">
        <v>7670</v>
      </c>
    </row>
    <row r="1342">
      <c r="A1342" s="430">
        <v>2.228649902E9</v>
      </c>
      <c r="B1342" s="218" t="s">
        <v>7671</v>
      </c>
    </row>
    <row r="1343">
      <c r="A1343" s="430">
        <v>1.795605901E9</v>
      </c>
      <c r="B1343" s="218" t="s">
        <v>7672</v>
      </c>
    </row>
    <row r="1344">
      <c r="A1344" s="430">
        <v>6.0734590091E10</v>
      </c>
      <c r="B1344" s="218" t="s">
        <v>7673</v>
      </c>
    </row>
    <row r="1345">
      <c r="A1345" s="430">
        <v>3.600226932E9</v>
      </c>
      <c r="B1345" s="218" t="s">
        <v>7674</v>
      </c>
    </row>
    <row r="1346">
      <c r="A1346" s="430">
        <v>9.1055423915E10</v>
      </c>
      <c r="B1346" s="218" t="s">
        <v>7675</v>
      </c>
    </row>
    <row r="1347">
      <c r="A1347" s="430">
        <v>8.4503440934E10</v>
      </c>
      <c r="B1347" s="218" t="s">
        <v>7676</v>
      </c>
    </row>
    <row r="1348">
      <c r="A1348" s="430">
        <v>8.1396627987E10</v>
      </c>
      <c r="B1348" s="218" t="s">
        <v>7677</v>
      </c>
    </row>
    <row r="1349">
      <c r="A1349" s="430">
        <v>9.8403540949E10</v>
      </c>
      <c r="B1349" s="218" t="s">
        <v>7678</v>
      </c>
    </row>
    <row r="1350">
      <c r="A1350" s="430">
        <v>7.6129365934E10</v>
      </c>
      <c r="B1350" s="218" t="s">
        <v>7679</v>
      </c>
    </row>
    <row r="1351">
      <c r="A1351" s="430">
        <v>6.13653009E10</v>
      </c>
      <c r="B1351" s="218" t="s">
        <v>7680</v>
      </c>
    </row>
    <row r="1352">
      <c r="A1352" s="430">
        <v>4.3667759991E10</v>
      </c>
      <c r="B1352" s="218" t="s">
        <v>7681</v>
      </c>
    </row>
    <row r="1353">
      <c r="A1353" s="430">
        <v>6.148068192E10</v>
      </c>
      <c r="B1353" s="218" t="s">
        <v>7682</v>
      </c>
    </row>
    <row r="1354">
      <c r="A1354" s="430">
        <v>7.4315684953E10</v>
      </c>
      <c r="B1354" s="218" t="s">
        <v>7683</v>
      </c>
    </row>
    <row r="1355">
      <c r="A1355" s="430">
        <v>9.075290292E10</v>
      </c>
      <c r="B1355" s="218" t="s">
        <v>7684</v>
      </c>
    </row>
    <row r="1356">
      <c r="A1356" s="430">
        <v>3.393333917E9</v>
      </c>
      <c r="B1356" s="218" t="s">
        <v>7685</v>
      </c>
    </row>
    <row r="1357">
      <c r="A1357" s="430">
        <v>4.48341794E9</v>
      </c>
      <c r="B1357" s="218" t="s">
        <v>7686</v>
      </c>
    </row>
    <row r="1358">
      <c r="A1358" s="430">
        <v>9.58953023E8</v>
      </c>
      <c r="B1358" s="218" t="s">
        <v>7687</v>
      </c>
    </row>
    <row r="1359">
      <c r="A1359" s="430">
        <v>4.6997369987E10</v>
      </c>
      <c r="B1359" s="218" t="s">
        <v>7688</v>
      </c>
    </row>
    <row r="1360">
      <c r="A1360" s="430">
        <v>6.8784082968E10</v>
      </c>
      <c r="B1360" s="218" t="s">
        <v>7689</v>
      </c>
    </row>
    <row r="1361">
      <c r="A1361" s="430">
        <v>7.9241131934E10</v>
      </c>
      <c r="B1361" s="218" t="s">
        <v>7690</v>
      </c>
    </row>
    <row r="1362">
      <c r="A1362" s="430">
        <v>4.57452935E8</v>
      </c>
      <c r="B1362" s="218" t="s">
        <v>7691</v>
      </c>
    </row>
    <row r="1363">
      <c r="A1363" s="430">
        <v>3.53951099E9</v>
      </c>
      <c r="B1363" s="218" t="s">
        <v>7692</v>
      </c>
    </row>
    <row r="1364">
      <c r="A1364" s="430">
        <v>2.8558126828E10</v>
      </c>
      <c r="B1364" s="218" t="s">
        <v>7693</v>
      </c>
    </row>
    <row r="1365">
      <c r="A1365" s="430">
        <v>6.1262544904E10</v>
      </c>
      <c r="B1365" s="218" t="s">
        <v>7694</v>
      </c>
    </row>
    <row r="1366">
      <c r="A1366" s="430">
        <v>2.578227985E9</v>
      </c>
      <c r="B1366" s="218" t="s">
        <v>7695</v>
      </c>
    </row>
    <row r="1367">
      <c r="A1367" s="430">
        <v>3.099177946E9</v>
      </c>
      <c r="B1367" s="218" t="s">
        <v>7696</v>
      </c>
    </row>
    <row r="1368">
      <c r="A1368" s="430">
        <v>2.1592110959E10</v>
      </c>
      <c r="B1368" s="218" t="s">
        <v>7697</v>
      </c>
    </row>
    <row r="1369">
      <c r="A1369" s="430">
        <v>3.038254991E9</v>
      </c>
      <c r="B1369" s="218" t="s">
        <v>7698</v>
      </c>
    </row>
    <row r="1370">
      <c r="A1370" s="430">
        <v>7.70779549E10</v>
      </c>
      <c r="B1370" s="218" t="s">
        <v>7699</v>
      </c>
    </row>
    <row r="1371">
      <c r="A1371" s="430">
        <v>3.0585295972E10</v>
      </c>
      <c r="B1371" s="218" t="s">
        <v>7700</v>
      </c>
    </row>
    <row r="1372">
      <c r="A1372" s="430">
        <v>4.5726965949E10</v>
      </c>
      <c r="B1372" s="218" t="s">
        <v>7701</v>
      </c>
    </row>
    <row r="1373">
      <c r="A1373" s="430">
        <v>2.1297401034E10</v>
      </c>
      <c r="B1373" s="218" t="s">
        <v>7702</v>
      </c>
    </row>
    <row r="1374">
      <c r="A1374" s="430">
        <v>7.3030392953E10</v>
      </c>
      <c r="B1374" s="218" t="s">
        <v>7703</v>
      </c>
    </row>
    <row r="1375">
      <c r="A1375" s="430">
        <v>6.5680537915E10</v>
      </c>
      <c r="B1375" s="218" t="s">
        <v>7704</v>
      </c>
    </row>
    <row r="1376">
      <c r="A1376" s="430">
        <v>4.1051190797E10</v>
      </c>
      <c r="B1376" s="218" t="s">
        <v>7705</v>
      </c>
    </row>
    <row r="1377">
      <c r="A1377" s="430">
        <v>8.0226760987E10</v>
      </c>
      <c r="B1377" s="218" t="s">
        <v>7706</v>
      </c>
    </row>
    <row r="1378">
      <c r="A1378" s="430">
        <v>6.2946790959E10</v>
      </c>
      <c r="B1378" s="218" t="s">
        <v>7707</v>
      </c>
    </row>
    <row r="1379">
      <c r="A1379" s="430">
        <v>5.2617513904E10</v>
      </c>
      <c r="B1379" s="218" t="s">
        <v>7708</v>
      </c>
    </row>
    <row r="1380">
      <c r="A1380" s="430">
        <v>5.4046670959E10</v>
      </c>
      <c r="B1380" s="218" t="s">
        <v>7709</v>
      </c>
    </row>
    <row r="1381">
      <c r="A1381" s="430">
        <v>5.07341139E10</v>
      </c>
      <c r="B1381" s="218" t="s">
        <v>7710</v>
      </c>
    </row>
    <row r="1382">
      <c r="A1382" s="430">
        <v>2.524325091E10</v>
      </c>
      <c r="B1382" s="218" t="s">
        <v>7711</v>
      </c>
    </row>
    <row r="1383">
      <c r="A1383" s="430">
        <v>5.0712055991E10</v>
      </c>
      <c r="B1383" s="218" t="s">
        <v>7712</v>
      </c>
    </row>
    <row r="1384">
      <c r="A1384" s="430">
        <v>5.8587276972E10</v>
      </c>
      <c r="B1384" s="218" t="s">
        <v>7713</v>
      </c>
    </row>
    <row r="1385">
      <c r="A1385" s="430">
        <v>2.9122090991E10</v>
      </c>
      <c r="B1385" s="218" t="s">
        <v>7714</v>
      </c>
    </row>
    <row r="1386">
      <c r="A1386" s="430">
        <v>5.353777034E9</v>
      </c>
      <c r="B1386" s="218" t="s">
        <v>7715</v>
      </c>
    </row>
    <row r="1387">
      <c r="A1387" s="430">
        <v>3.2253923915E10</v>
      </c>
      <c r="B1387" s="218" t="s">
        <v>7716</v>
      </c>
    </row>
    <row r="1388">
      <c r="A1388" s="430">
        <v>5.9360941972E10</v>
      </c>
      <c r="B1388" s="218" t="s">
        <v>7717</v>
      </c>
    </row>
    <row r="1389">
      <c r="A1389" s="430">
        <v>5.2636933972E10</v>
      </c>
      <c r="B1389" s="218" t="s">
        <v>7718</v>
      </c>
    </row>
    <row r="1390">
      <c r="A1390" s="430">
        <v>6.3313677991E10</v>
      </c>
      <c r="B1390" s="218" t="s">
        <v>7719</v>
      </c>
    </row>
    <row r="1391">
      <c r="A1391" s="430">
        <v>8.9269209091E10</v>
      </c>
      <c r="B1391" s="218" t="s">
        <v>7720</v>
      </c>
    </row>
    <row r="1392">
      <c r="A1392" s="430">
        <v>6.7656919015E10</v>
      </c>
      <c r="B1392" s="218" t="s">
        <v>7721</v>
      </c>
    </row>
    <row r="1393">
      <c r="A1393" s="430">
        <v>4.7902990906E10</v>
      </c>
      <c r="B1393" s="218" t="s">
        <v>7722</v>
      </c>
    </row>
    <row r="1394">
      <c r="A1394" s="430">
        <v>9.4512981772E10</v>
      </c>
      <c r="B1394" s="218" t="s">
        <v>7723</v>
      </c>
    </row>
    <row r="1395">
      <c r="A1395" s="430">
        <v>3.497241202E10</v>
      </c>
      <c r="B1395" s="218" t="s">
        <v>7724</v>
      </c>
    </row>
    <row r="1396">
      <c r="A1396" s="430">
        <v>6.9232377934E10</v>
      </c>
      <c r="B1396" s="218" t="s">
        <v>7725</v>
      </c>
    </row>
    <row r="1397">
      <c r="A1397" s="430">
        <v>8.2456844734E10</v>
      </c>
      <c r="B1397" s="218" t="s">
        <v>7726</v>
      </c>
    </row>
    <row r="1398">
      <c r="A1398" s="430">
        <v>4.6162909972E10</v>
      </c>
      <c r="B1398" s="218" t="s">
        <v>7727</v>
      </c>
    </row>
    <row r="1399">
      <c r="A1399" s="430">
        <v>4.8886092091E10</v>
      </c>
      <c r="B1399" s="218" t="s">
        <v>7728</v>
      </c>
    </row>
    <row r="1400">
      <c r="A1400" s="430">
        <v>2.1645558991E10</v>
      </c>
      <c r="B1400" s="218" t="s">
        <v>7729</v>
      </c>
    </row>
    <row r="1401">
      <c r="A1401" s="430">
        <v>2.7412261053E10</v>
      </c>
      <c r="B1401" s="218" t="s">
        <v>7730</v>
      </c>
    </row>
    <row r="1402">
      <c r="A1402" s="430">
        <v>4.9178717E10</v>
      </c>
      <c r="B1402" s="218" t="s">
        <v>7731</v>
      </c>
    </row>
    <row r="1403">
      <c r="A1403" s="430">
        <v>9.974989E8</v>
      </c>
      <c r="B1403" s="218" t="s">
        <v>7732</v>
      </c>
    </row>
    <row r="1404">
      <c r="A1404" s="430">
        <v>4.8959782904E10</v>
      </c>
      <c r="B1404" s="218" t="s">
        <v>7733</v>
      </c>
    </row>
    <row r="1405">
      <c r="A1405" s="430">
        <v>6.48795934E8</v>
      </c>
      <c r="B1405" s="218" t="s">
        <v>7734</v>
      </c>
    </row>
    <row r="1406">
      <c r="A1406" s="430">
        <v>1.6511166015E10</v>
      </c>
      <c r="B1406" s="218" t="s">
        <v>7735</v>
      </c>
    </row>
    <row r="1407">
      <c r="A1407" s="430">
        <v>3.47730965E8</v>
      </c>
      <c r="B1407" s="218" t="s">
        <v>7736</v>
      </c>
    </row>
    <row r="1408">
      <c r="A1408" s="430">
        <v>6.6214297115E10</v>
      </c>
      <c r="B1408" s="218" t="s">
        <v>7737</v>
      </c>
    </row>
    <row r="1409">
      <c r="A1409" s="430">
        <v>7.0890803072E10</v>
      </c>
      <c r="B1409" s="218" t="s">
        <v>7738</v>
      </c>
    </row>
    <row r="1410">
      <c r="A1410" s="430">
        <v>8.0641571968E10</v>
      </c>
      <c r="B1410" s="218" t="s">
        <v>7739</v>
      </c>
    </row>
    <row r="1411">
      <c r="A1411" s="430">
        <v>7.50924179E10</v>
      </c>
      <c r="B1411" s="218" t="s">
        <v>7740</v>
      </c>
    </row>
    <row r="1412">
      <c r="A1412" s="430">
        <v>7.02706E8</v>
      </c>
      <c r="B1412" s="218" t="s">
        <v>7741</v>
      </c>
    </row>
    <row r="1413">
      <c r="A1413" s="430">
        <v>7.8941997704E10</v>
      </c>
      <c r="B1413" s="218" t="s">
        <v>7742</v>
      </c>
    </row>
    <row r="1414">
      <c r="A1414" s="430">
        <v>5.6667817072E10</v>
      </c>
      <c r="B1414" s="218" t="s">
        <v>7743</v>
      </c>
    </row>
    <row r="1415">
      <c r="A1415" s="430">
        <v>9.59569057E10</v>
      </c>
      <c r="B1415" s="218" t="s">
        <v>7744</v>
      </c>
    </row>
    <row r="1416">
      <c r="A1416" s="430">
        <v>4.158554292E10</v>
      </c>
      <c r="B1416" s="218" t="s">
        <v>7745</v>
      </c>
    </row>
    <row r="1417">
      <c r="A1417" s="430">
        <v>7.7912705953E10</v>
      </c>
      <c r="B1417" s="218" t="s">
        <v>7746</v>
      </c>
    </row>
    <row r="1418">
      <c r="A1418" s="430">
        <v>7.3275255991E10</v>
      </c>
      <c r="B1418" s="218" t="s">
        <v>7747</v>
      </c>
    </row>
    <row r="1419">
      <c r="A1419" s="430">
        <v>8.9567773904E10</v>
      </c>
      <c r="B1419" s="218" t="s">
        <v>7748</v>
      </c>
    </row>
    <row r="1420">
      <c r="A1420" s="430">
        <v>9.1037808991E10</v>
      </c>
      <c r="B1420" s="218" t="s">
        <v>7749</v>
      </c>
    </row>
    <row r="1421">
      <c r="A1421" s="430">
        <v>5.2810810982E10</v>
      </c>
      <c r="B1421" s="218" t="s">
        <v>7750</v>
      </c>
    </row>
    <row r="1422">
      <c r="A1422" s="430">
        <v>2.9853494949E10</v>
      </c>
      <c r="B1422" s="218" t="s">
        <v>7751</v>
      </c>
    </row>
    <row r="1423">
      <c r="A1423" s="430">
        <v>4.3253571904E10</v>
      </c>
      <c r="B1423" s="218" t="s">
        <v>7752</v>
      </c>
    </row>
    <row r="1424">
      <c r="A1424" s="430">
        <v>4.9123262915E10</v>
      </c>
      <c r="B1424" s="218" t="s">
        <v>7753</v>
      </c>
    </row>
    <row r="1425">
      <c r="A1425" s="430">
        <v>2.63974987E8</v>
      </c>
      <c r="B1425" s="218" t="s">
        <v>7754</v>
      </c>
    </row>
    <row r="1426">
      <c r="A1426" s="430">
        <v>5.9436638949E10</v>
      </c>
      <c r="B1426" s="218" t="s">
        <v>7755</v>
      </c>
    </row>
    <row r="1427">
      <c r="A1427" s="430">
        <v>4.1940415934E10</v>
      </c>
      <c r="B1427" s="218" t="s">
        <v>7756</v>
      </c>
    </row>
    <row r="1428">
      <c r="A1428" s="430">
        <v>5.9203765972E10</v>
      </c>
      <c r="B1428" s="218" t="s">
        <v>7757</v>
      </c>
    </row>
    <row r="1429">
      <c r="A1429" s="430">
        <v>6.2572458934E10</v>
      </c>
      <c r="B1429" s="218" t="s">
        <v>7758</v>
      </c>
    </row>
    <row r="1430">
      <c r="A1430" s="430">
        <v>1.049398092E10</v>
      </c>
      <c r="B1430" s="218" t="s">
        <v>7759</v>
      </c>
    </row>
    <row r="1431">
      <c r="A1431" s="430">
        <v>7.029110978E9</v>
      </c>
      <c r="B1431" s="218" t="s">
        <v>7760</v>
      </c>
    </row>
    <row r="1432">
      <c r="A1432" s="430">
        <v>6.7487165949E10</v>
      </c>
      <c r="B1432" s="218" t="s">
        <v>7761</v>
      </c>
    </row>
    <row r="1433">
      <c r="A1433" s="430">
        <v>6.5315847934E10</v>
      </c>
      <c r="B1433" s="218" t="s">
        <v>7762</v>
      </c>
    </row>
    <row r="1434">
      <c r="A1434" s="430">
        <v>4.9610244904E10</v>
      </c>
      <c r="B1434" s="218" t="s">
        <v>7763</v>
      </c>
    </row>
    <row r="1435">
      <c r="A1435" s="430">
        <v>5.7231001904E10</v>
      </c>
      <c r="B1435" s="218" t="s">
        <v>7764</v>
      </c>
    </row>
    <row r="1436">
      <c r="A1436" s="430">
        <v>5.3807332987E10</v>
      </c>
      <c r="B1436" s="218" t="s">
        <v>7765</v>
      </c>
    </row>
    <row r="1437">
      <c r="A1437" s="430">
        <v>5.0717235904E10</v>
      </c>
      <c r="B1437" s="218" t="s">
        <v>7766</v>
      </c>
    </row>
    <row r="1438">
      <c r="A1438" s="430">
        <v>1.546774092E10</v>
      </c>
      <c r="B1438" s="218" t="s">
        <v>7767</v>
      </c>
    </row>
    <row r="1439">
      <c r="A1439" s="430">
        <v>7.29592669E10</v>
      </c>
      <c r="B1439" s="218" t="s">
        <v>7768</v>
      </c>
    </row>
    <row r="1440">
      <c r="A1440" s="430">
        <v>4.98005909E10</v>
      </c>
      <c r="B1440" s="218" t="s">
        <v>7769</v>
      </c>
    </row>
    <row r="1441">
      <c r="A1441" s="430">
        <v>5.5676553987E10</v>
      </c>
      <c r="B1441" s="218" t="s">
        <v>7770</v>
      </c>
    </row>
    <row r="1442">
      <c r="A1442" s="430">
        <v>5.9765240953E10</v>
      </c>
      <c r="B1442" s="218" t="s">
        <v>7771</v>
      </c>
    </row>
    <row r="1443">
      <c r="A1443" s="430">
        <v>4.55538239E10</v>
      </c>
      <c r="B1443" s="218" t="s">
        <v>7772</v>
      </c>
    </row>
    <row r="1444">
      <c r="A1444" s="430">
        <v>4.9374354934E10</v>
      </c>
      <c r="B1444" s="218" t="s">
        <v>7773</v>
      </c>
    </row>
    <row r="1445">
      <c r="A1445" s="430">
        <v>1.451854692E10</v>
      </c>
      <c r="B1445" s="218" t="s">
        <v>7774</v>
      </c>
    </row>
    <row r="1446">
      <c r="A1446" s="430">
        <v>8.04917582E9</v>
      </c>
      <c r="B1446" s="218" t="s">
        <v>7775</v>
      </c>
    </row>
    <row r="1447">
      <c r="A1447" s="430">
        <v>8.4504668904E10</v>
      </c>
      <c r="B1447" s="218" t="s">
        <v>7776</v>
      </c>
    </row>
    <row r="1448">
      <c r="A1448" s="430">
        <v>3.4119353915E10</v>
      </c>
      <c r="B1448" s="218" t="s">
        <v>7777</v>
      </c>
    </row>
    <row r="1449">
      <c r="A1449" s="430">
        <v>7.7077555968E10</v>
      </c>
      <c r="B1449" s="218" t="s">
        <v>7778</v>
      </c>
    </row>
    <row r="1450">
      <c r="A1450" s="430">
        <v>8.4090502934E10</v>
      </c>
      <c r="B1450" s="218" t="s">
        <v>7779</v>
      </c>
    </row>
    <row r="1451">
      <c r="A1451" s="430">
        <v>6.528997802E10</v>
      </c>
      <c r="B1451" s="218" t="s">
        <v>7780</v>
      </c>
    </row>
    <row r="1452">
      <c r="A1452" s="430">
        <v>4.7980591968E10</v>
      </c>
      <c r="B1452" s="218" t="s">
        <v>7781</v>
      </c>
    </row>
    <row r="1453">
      <c r="A1453" s="430">
        <v>5.13083804E8</v>
      </c>
      <c r="B1453" s="218" t="s">
        <v>7782</v>
      </c>
    </row>
    <row r="1454">
      <c r="A1454" s="430">
        <v>6.4247376934E10</v>
      </c>
      <c r="B1454" s="218" t="s">
        <v>7783</v>
      </c>
    </row>
    <row r="1455">
      <c r="A1455" s="430">
        <v>1.46731859E10</v>
      </c>
      <c r="B1455" s="218" t="s">
        <v>7784</v>
      </c>
    </row>
    <row r="1456">
      <c r="A1456" s="430">
        <v>6.57622079E10</v>
      </c>
      <c r="B1456" s="218" t="s">
        <v>7785</v>
      </c>
    </row>
    <row r="1457">
      <c r="A1457" s="430">
        <v>9.1119162904E10</v>
      </c>
      <c r="B1457" s="218" t="s">
        <v>7786</v>
      </c>
    </row>
    <row r="1458">
      <c r="A1458" s="430">
        <v>5.9417552953E10</v>
      </c>
      <c r="B1458" s="218" t="s">
        <v>7787</v>
      </c>
    </row>
    <row r="1459">
      <c r="A1459" s="430">
        <v>8.46871092E9</v>
      </c>
      <c r="B1459" s="218" t="s">
        <v>7788</v>
      </c>
    </row>
    <row r="1460">
      <c r="A1460" s="430">
        <v>2.4425117972E10</v>
      </c>
      <c r="B1460" s="218" t="s">
        <v>7789</v>
      </c>
    </row>
    <row r="1461">
      <c r="A1461" s="430">
        <v>4.1788532953E10</v>
      </c>
      <c r="B1461" s="218" t="s">
        <v>7790</v>
      </c>
    </row>
    <row r="1462">
      <c r="A1462" s="430">
        <v>4.3257046987E10</v>
      </c>
      <c r="B1462" s="218" t="s">
        <v>7791</v>
      </c>
    </row>
    <row r="1463">
      <c r="A1463" s="430">
        <v>7.2996145968E10</v>
      </c>
      <c r="B1463" s="218" t="s">
        <v>7792</v>
      </c>
    </row>
    <row r="1464">
      <c r="A1464" s="430">
        <v>5.68046609E10</v>
      </c>
      <c r="B1464" s="218" t="s">
        <v>7793</v>
      </c>
    </row>
    <row r="1465">
      <c r="A1465" s="430">
        <v>8.38810934E8</v>
      </c>
      <c r="B1465" s="218" t="s">
        <v>7794</v>
      </c>
    </row>
    <row r="1466">
      <c r="A1466" s="430">
        <v>5.5988296904E10</v>
      </c>
      <c r="B1466" s="218" t="s">
        <v>7795</v>
      </c>
    </row>
    <row r="1467">
      <c r="A1467" s="430">
        <v>3.7409581972E10</v>
      </c>
      <c r="B1467" s="218" t="s">
        <v>7796</v>
      </c>
    </row>
    <row r="1468">
      <c r="A1468" s="430">
        <v>3.8496674053E10</v>
      </c>
      <c r="B1468" s="218" t="s">
        <v>7797</v>
      </c>
    </row>
    <row r="1469">
      <c r="A1469" s="430">
        <v>3.569720292E10</v>
      </c>
      <c r="B1469" s="218" t="s">
        <v>7798</v>
      </c>
    </row>
    <row r="1470">
      <c r="A1470" s="430">
        <v>3.7756010078E10</v>
      </c>
      <c r="B1470" s="218" t="s">
        <v>7799</v>
      </c>
    </row>
    <row r="1471">
      <c r="A1471" s="430">
        <v>2.325232492E10</v>
      </c>
      <c r="B1471" s="218" t="s">
        <v>7800</v>
      </c>
    </row>
    <row r="1472">
      <c r="A1472" s="430">
        <v>4.1525116991E10</v>
      </c>
      <c r="B1472" s="218" t="s">
        <v>7801</v>
      </c>
    </row>
    <row r="1473">
      <c r="A1473" s="430">
        <v>3.8068753915E10</v>
      </c>
      <c r="B1473" s="218" t="s">
        <v>7802</v>
      </c>
    </row>
    <row r="1474">
      <c r="A1474" s="430">
        <v>2.610997957E9</v>
      </c>
      <c r="B1474" s="218" t="s">
        <v>7803</v>
      </c>
    </row>
    <row r="1475">
      <c r="A1475" s="430">
        <v>5.1412896991E10</v>
      </c>
      <c r="B1475" s="218" t="s">
        <v>7804</v>
      </c>
    </row>
    <row r="1476">
      <c r="A1476" s="430">
        <v>1.0654089949E10</v>
      </c>
      <c r="B1476" s="218" t="s">
        <v>7805</v>
      </c>
    </row>
    <row r="1477">
      <c r="A1477" s="430">
        <v>1.992659923E9</v>
      </c>
      <c r="B1477" s="218" t="s">
        <v>7806</v>
      </c>
    </row>
    <row r="1478">
      <c r="A1478" s="430">
        <v>5.6379579915E10</v>
      </c>
      <c r="B1478" s="218" t="s">
        <v>7807</v>
      </c>
    </row>
    <row r="1479">
      <c r="A1479" s="430">
        <v>6.2417525968E10</v>
      </c>
      <c r="B1479" s="218" t="s">
        <v>7808</v>
      </c>
    </row>
    <row r="1480">
      <c r="A1480" s="430">
        <v>4.5247285972E10</v>
      </c>
      <c r="B1480" s="218" t="s">
        <v>7809</v>
      </c>
    </row>
    <row r="1481">
      <c r="A1481" s="430">
        <v>1.4504790904E10</v>
      </c>
      <c r="B1481" s="218" t="s">
        <v>7810</v>
      </c>
    </row>
    <row r="1482">
      <c r="A1482" s="430">
        <v>6.6140439E9</v>
      </c>
      <c r="B1482" s="218" t="s">
        <v>7811</v>
      </c>
    </row>
    <row r="1483">
      <c r="A1483" s="430">
        <v>9.493670015E9</v>
      </c>
      <c r="B1483" s="218" t="s">
        <v>7812</v>
      </c>
    </row>
    <row r="1484">
      <c r="A1484" s="430">
        <v>4.16047769E10</v>
      </c>
      <c r="B1484" s="218" t="s">
        <v>7813</v>
      </c>
    </row>
    <row r="1485">
      <c r="A1485" s="430">
        <v>2.968982192E10</v>
      </c>
      <c r="B1485" s="218" t="s">
        <v>7814</v>
      </c>
    </row>
    <row r="1486">
      <c r="A1486" s="430">
        <v>9.1668492E8</v>
      </c>
      <c r="B1486" s="218" t="s">
        <v>7815</v>
      </c>
    </row>
    <row r="1487">
      <c r="A1487" s="430">
        <v>2.4529737934E10</v>
      </c>
      <c r="B1487" s="218" t="s">
        <v>7816</v>
      </c>
    </row>
    <row r="1488">
      <c r="A1488" s="430">
        <v>2.2436847991E10</v>
      </c>
      <c r="B1488" s="218" t="s">
        <v>7817</v>
      </c>
    </row>
    <row r="1489">
      <c r="A1489" s="430">
        <v>4.3162622972E10</v>
      </c>
      <c r="B1489" s="218" t="s">
        <v>7818</v>
      </c>
    </row>
    <row r="1490">
      <c r="A1490" s="430">
        <v>6.3774127972E10</v>
      </c>
      <c r="B1490" s="218" t="s">
        <v>7819</v>
      </c>
    </row>
    <row r="1491">
      <c r="A1491" s="430">
        <v>1.719407924E9</v>
      </c>
      <c r="B1491" s="218" t="s">
        <v>7820</v>
      </c>
    </row>
    <row r="1492">
      <c r="A1492" s="430">
        <v>5.754584792E10</v>
      </c>
      <c r="B1492" s="218" t="s">
        <v>7821</v>
      </c>
    </row>
    <row r="1493">
      <c r="A1493" s="430">
        <v>5.766230753E9</v>
      </c>
      <c r="B1493" s="218" t="s">
        <v>7822</v>
      </c>
    </row>
    <row r="1494">
      <c r="A1494" s="430">
        <v>4.9953656991E10</v>
      </c>
      <c r="B1494" s="218" t="s">
        <v>7823</v>
      </c>
    </row>
    <row r="1495">
      <c r="A1495" s="430">
        <v>5.0597574987E10</v>
      </c>
      <c r="B1495" s="218" t="s">
        <v>7824</v>
      </c>
    </row>
    <row r="1496">
      <c r="A1496" s="430">
        <v>5.48454329E10</v>
      </c>
      <c r="B1496" s="218" t="s">
        <v>7825</v>
      </c>
    </row>
    <row r="1497">
      <c r="A1497" s="430">
        <v>8.2908826968E10</v>
      </c>
      <c r="B1497" s="218" t="s">
        <v>7826</v>
      </c>
    </row>
    <row r="1498">
      <c r="A1498" s="430">
        <v>4.73814269E10</v>
      </c>
      <c r="B1498" s="218" t="s">
        <v>7827</v>
      </c>
    </row>
    <row r="1499">
      <c r="A1499" s="430">
        <v>4.2547776715E10</v>
      </c>
      <c r="B1499" s="218" t="s">
        <v>7828</v>
      </c>
    </row>
    <row r="1500">
      <c r="A1500" s="430">
        <v>3.5277106049E10</v>
      </c>
      <c r="B1500" s="218" t="s">
        <v>7829</v>
      </c>
    </row>
    <row r="1501">
      <c r="A1501" s="430">
        <v>3.4300937915E10</v>
      </c>
      <c r="B1501" s="218" t="s">
        <v>7830</v>
      </c>
    </row>
    <row r="1502">
      <c r="A1502" s="430">
        <v>3.7649990982E10</v>
      </c>
      <c r="B1502" s="218" t="s">
        <v>7831</v>
      </c>
    </row>
    <row r="1503">
      <c r="A1503" s="430">
        <v>1.5544761949E10</v>
      </c>
      <c r="B1503" s="218" t="s">
        <v>7832</v>
      </c>
    </row>
    <row r="1504">
      <c r="A1504" s="430">
        <v>2.214645802E10</v>
      </c>
      <c r="B1504" s="218" t="s">
        <v>7833</v>
      </c>
    </row>
    <row r="1505">
      <c r="A1505" s="430">
        <v>5.1437953972E10</v>
      </c>
      <c r="B1505" s="218" t="s">
        <v>7834</v>
      </c>
    </row>
    <row r="1506">
      <c r="A1506" s="430">
        <v>7.3308811987E10</v>
      </c>
      <c r="B1506" s="218" t="s">
        <v>7835</v>
      </c>
    </row>
    <row r="1507">
      <c r="A1507" s="430">
        <v>5.20945379E10</v>
      </c>
      <c r="B1507" s="218" t="s">
        <v>7836</v>
      </c>
    </row>
    <row r="1508">
      <c r="A1508" s="430">
        <v>2.941995692E10</v>
      </c>
      <c r="B1508" s="218" t="s">
        <v>7837</v>
      </c>
    </row>
    <row r="1509">
      <c r="A1509" s="430">
        <v>3.99721607E10</v>
      </c>
      <c r="B1509" s="218" t="s">
        <v>7838</v>
      </c>
    </row>
    <row r="1510">
      <c r="A1510" s="430">
        <v>3.7839250963E10</v>
      </c>
      <c r="B1510" s="218" t="s">
        <v>7839</v>
      </c>
    </row>
    <row r="1511">
      <c r="A1511" s="430">
        <v>7.2977892915E10</v>
      </c>
      <c r="B1511" s="218" t="s">
        <v>7840</v>
      </c>
    </row>
    <row r="1512">
      <c r="A1512" s="430">
        <v>1.0299211991E10</v>
      </c>
      <c r="B1512" s="218" t="s">
        <v>7841</v>
      </c>
    </row>
    <row r="1513">
      <c r="A1513" s="430">
        <v>8.0368751953E10</v>
      </c>
      <c r="B1513" s="218" t="s">
        <v>7842</v>
      </c>
    </row>
    <row r="1514">
      <c r="A1514" s="430">
        <v>1.5746518972E10</v>
      </c>
      <c r="B1514" s="218" t="s">
        <v>7843</v>
      </c>
    </row>
    <row r="1515">
      <c r="A1515" s="430">
        <v>4.4075200949E10</v>
      </c>
      <c r="B1515" s="218" t="s">
        <v>7844</v>
      </c>
    </row>
    <row r="1516">
      <c r="A1516" s="430">
        <v>1.199775312E10</v>
      </c>
      <c r="B1516" s="218" t="s">
        <v>7845</v>
      </c>
    </row>
    <row r="1517">
      <c r="A1517" s="430">
        <v>6.6295530044E10</v>
      </c>
      <c r="B1517" s="218" t="s">
        <v>7846</v>
      </c>
    </row>
    <row r="1518">
      <c r="A1518" s="430">
        <v>5.2086267991E10</v>
      </c>
      <c r="B1518" s="218" t="s">
        <v>7847</v>
      </c>
    </row>
    <row r="1519">
      <c r="A1519" s="430">
        <v>2.2656634849E10</v>
      </c>
      <c r="B1519" s="218" t="s">
        <v>7848</v>
      </c>
    </row>
    <row r="1520">
      <c r="A1520" s="430">
        <v>4.85216639E10</v>
      </c>
      <c r="B1520" s="218" t="s">
        <v>7849</v>
      </c>
    </row>
    <row r="1521">
      <c r="A1521" s="430">
        <v>5.3101197953E10</v>
      </c>
      <c r="B1521" s="218" t="s">
        <v>7850</v>
      </c>
    </row>
    <row r="1522">
      <c r="A1522" s="430">
        <v>5.8503285134E10</v>
      </c>
      <c r="B1522" s="218" t="s">
        <v>7851</v>
      </c>
    </row>
    <row r="1523">
      <c r="A1523" s="430">
        <v>7.469084827E9</v>
      </c>
      <c r="B1523" s="218" t="s">
        <v>7852</v>
      </c>
    </row>
    <row r="1524">
      <c r="A1524" s="430">
        <v>6.0276843991E10</v>
      </c>
      <c r="B1524" s="218" t="s">
        <v>7853</v>
      </c>
    </row>
    <row r="1525">
      <c r="A1525" s="430">
        <v>4.5537798972E10</v>
      </c>
      <c r="B1525" s="218" t="s">
        <v>7854</v>
      </c>
    </row>
    <row r="1526">
      <c r="A1526" s="430">
        <v>4.706047692E10</v>
      </c>
      <c r="B1526" s="218" t="s">
        <v>7855</v>
      </c>
    </row>
    <row r="1527">
      <c r="A1527" s="430">
        <v>5.7545901991E10</v>
      </c>
      <c r="B1527" s="218" t="s">
        <v>7856</v>
      </c>
    </row>
    <row r="1528">
      <c r="A1528" s="430">
        <v>2.6554585087E10</v>
      </c>
      <c r="B1528" s="218" t="s">
        <v>7857</v>
      </c>
    </row>
    <row r="1529">
      <c r="A1529" s="430">
        <v>3.4254463987E10</v>
      </c>
      <c r="B1529" s="218" t="s">
        <v>7858</v>
      </c>
    </row>
    <row r="1530">
      <c r="A1530" s="430">
        <v>1.82106519E10</v>
      </c>
      <c r="B1530" s="218" t="s">
        <v>7859</v>
      </c>
    </row>
    <row r="1531">
      <c r="A1531" s="430">
        <v>2.4614327915E10</v>
      </c>
      <c r="B1531" s="218" t="s">
        <v>7860</v>
      </c>
    </row>
    <row r="1532">
      <c r="A1532" s="430">
        <v>5.025591953E9</v>
      </c>
      <c r="B1532" s="218" t="s">
        <v>7861</v>
      </c>
    </row>
    <row r="1533">
      <c r="A1533" s="430">
        <v>7.07791049E10</v>
      </c>
      <c r="B1533" s="218" t="s">
        <v>7862</v>
      </c>
    </row>
    <row r="1534">
      <c r="A1534" s="430">
        <v>4.9911040925E10</v>
      </c>
      <c r="B1534" s="218" t="s">
        <v>7863</v>
      </c>
    </row>
    <row r="1535">
      <c r="A1535" s="430">
        <v>4.3907946049E10</v>
      </c>
      <c r="B1535" s="218" t="s">
        <v>7864</v>
      </c>
    </row>
    <row r="1536">
      <c r="A1536" s="430">
        <v>5.3697910744E10</v>
      </c>
      <c r="B1536" s="218" t="s">
        <v>7865</v>
      </c>
    </row>
    <row r="1537">
      <c r="A1537" s="430">
        <v>8.15535953E8</v>
      </c>
      <c r="B1537" s="218" t="s">
        <v>7866</v>
      </c>
    </row>
    <row r="1538">
      <c r="A1538" s="430">
        <v>2.5220853953E10</v>
      </c>
      <c r="B1538" s="218" t="s">
        <v>7867</v>
      </c>
    </row>
    <row r="1539">
      <c r="A1539" s="430">
        <v>7.2344946934E10</v>
      </c>
      <c r="B1539" s="218" t="s">
        <v>7868</v>
      </c>
    </row>
    <row r="1540">
      <c r="A1540" s="430">
        <v>3.0740282972E10</v>
      </c>
      <c r="B1540" s="218" t="s">
        <v>7869</v>
      </c>
    </row>
    <row r="1541">
      <c r="A1541" s="430">
        <v>9.5124349972E10</v>
      </c>
      <c r="B1541" s="218" t="s">
        <v>7870</v>
      </c>
    </row>
    <row r="1542">
      <c r="A1542" s="430">
        <v>9.8721011915E10</v>
      </c>
      <c r="B1542" s="218" t="s">
        <v>7871</v>
      </c>
    </row>
    <row r="1543">
      <c r="A1543" s="430">
        <v>5.8802975949E10</v>
      </c>
      <c r="B1543" s="218" t="s">
        <v>7872</v>
      </c>
    </row>
    <row r="1544">
      <c r="A1544" s="430">
        <v>5.0945610904E10</v>
      </c>
      <c r="B1544" s="218" t="s">
        <v>7873</v>
      </c>
    </row>
    <row r="1545">
      <c r="A1545" s="430">
        <v>5.7645590904E10</v>
      </c>
      <c r="B1545" s="218" t="s">
        <v>7874</v>
      </c>
    </row>
    <row r="1546">
      <c r="A1546" s="430">
        <v>4.4525893915E10</v>
      </c>
      <c r="B1546" s="218" t="s">
        <v>7875</v>
      </c>
    </row>
    <row r="1547">
      <c r="A1547" s="430">
        <v>1.4578214869E10</v>
      </c>
      <c r="B1547" s="218" t="s">
        <v>7876</v>
      </c>
    </row>
    <row r="1548">
      <c r="A1548" s="430">
        <v>5.8666109904E10</v>
      </c>
      <c r="B1548" s="218" t="s">
        <v>7877</v>
      </c>
    </row>
    <row r="1549">
      <c r="A1549" s="430">
        <v>4.5524700944E10</v>
      </c>
      <c r="B1549" s="218" t="s">
        <v>7878</v>
      </c>
    </row>
    <row r="1550">
      <c r="A1550" s="430">
        <v>3.8138077972E10</v>
      </c>
      <c r="B1550" s="218" t="s">
        <v>7879</v>
      </c>
    </row>
    <row r="1551">
      <c r="A1551" s="430">
        <v>6.1370967934E10</v>
      </c>
      <c r="B1551" s="218" t="s">
        <v>7880</v>
      </c>
    </row>
    <row r="1552">
      <c r="A1552" s="430">
        <v>2.4632848972E10</v>
      </c>
      <c r="B1552" s="218" t="s">
        <v>7881</v>
      </c>
    </row>
    <row r="1553">
      <c r="A1553" s="430">
        <v>1.8406149949E10</v>
      </c>
      <c r="B1553" s="218" t="s">
        <v>7882</v>
      </c>
    </row>
    <row r="1554">
      <c r="A1554" s="430">
        <v>5.09655149E10</v>
      </c>
      <c r="B1554" s="218" t="s">
        <v>7883</v>
      </c>
    </row>
    <row r="1555">
      <c r="A1555" s="430">
        <v>5.735830392E10</v>
      </c>
      <c r="B1555" s="218" t="s">
        <v>7884</v>
      </c>
    </row>
    <row r="1556">
      <c r="A1556" s="430">
        <v>7.9449263787E10</v>
      </c>
      <c r="B1556" s="218" t="s">
        <v>7885</v>
      </c>
    </row>
    <row r="1557">
      <c r="A1557" s="430">
        <v>3.4939881091E10</v>
      </c>
      <c r="B1557" s="218" t="s">
        <v>7886</v>
      </c>
    </row>
    <row r="1558">
      <c r="A1558" s="430">
        <v>8.1185464972E10</v>
      </c>
      <c r="B1558" s="218" t="s">
        <v>7887</v>
      </c>
    </row>
    <row r="1559">
      <c r="A1559" s="430">
        <v>7.073917091E10</v>
      </c>
      <c r="B1559" s="218" t="s">
        <v>7888</v>
      </c>
    </row>
    <row r="1560">
      <c r="A1560" s="430">
        <v>8.39817649E10</v>
      </c>
      <c r="B1560" s="218" t="s">
        <v>7889</v>
      </c>
    </row>
    <row r="1561">
      <c r="A1561" s="430">
        <v>8.286264991E9</v>
      </c>
      <c r="B1561" s="218" t="s">
        <v>7890</v>
      </c>
    </row>
    <row r="1562">
      <c r="A1562" s="430">
        <v>5.91654059E10</v>
      </c>
      <c r="B1562" s="218" t="s">
        <v>7891</v>
      </c>
    </row>
    <row r="1563">
      <c r="A1563" s="430">
        <v>4.9346628987E10</v>
      </c>
      <c r="B1563" s="218" t="s">
        <v>7892</v>
      </c>
    </row>
    <row r="1564">
      <c r="A1564" s="430">
        <v>3.85589719E10</v>
      </c>
      <c r="B1564" s="218" t="s">
        <v>7893</v>
      </c>
    </row>
    <row r="1565">
      <c r="A1565" s="430">
        <v>6.1987603915E10</v>
      </c>
      <c r="B1565" s="218" t="s">
        <v>7894</v>
      </c>
    </row>
    <row r="1566">
      <c r="A1566" s="430">
        <v>4.2398002934E10</v>
      </c>
      <c r="B1566" s="218" t="s">
        <v>7895</v>
      </c>
    </row>
    <row r="1567">
      <c r="A1567" s="430">
        <v>6.353894953E9</v>
      </c>
      <c r="B1567" s="218" t="s">
        <v>7896</v>
      </c>
    </row>
    <row r="1568">
      <c r="A1568" s="430">
        <v>5.0701908904E10</v>
      </c>
      <c r="B1568" s="218" t="s">
        <v>7897</v>
      </c>
    </row>
    <row r="1569">
      <c r="A1569" s="430">
        <v>3.194582968E9</v>
      </c>
      <c r="B1569" s="218" t="s">
        <v>7898</v>
      </c>
    </row>
    <row r="1570">
      <c r="A1570" s="430">
        <v>3.3752710772E10</v>
      </c>
      <c r="B1570" s="218" t="s">
        <v>7899</v>
      </c>
    </row>
    <row r="1571">
      <c r="A1571" s="430">
        <v>4.5973571068E10</v>
      </c>
      <c r="B1571" s="218" t="s">
        <v>7900</v>
      </c>
    </row>
    <row r="1572">
      <c r="A1572" s="430">
        <v>6.1842044915E10</v>
      </c>
      <c r="B1572" s="218" t="s">
        <v>7901</v>
      </c>
    </row>
    <row r="1573">
      <c r="A1573" s="430">
        <v>3.791964402E10</v>
      </c>
      <c r="B1573" s="218" t="s">
        <v>7902</v>
      </c>
    </row>
    <row r="1574">
      <c r="A1574" s="430">
        <v>2.4556149991E10</v>
      </c>
      <c r="B1574" s="218" t="s">
        <v>7903</v>
      </c>
    </row>
    <row r="1575">
      <c r="A1575" s="430">
        <v>4.1775228991E10</v>
      </c>
      <c r="B1575" s="218" t="s">
        <v>7904</v>
      </c>
    </row>
    <row r="1576">
      <c r="A1576" s="430">
        <v>2.884762892E10</v>
      </c>
      <c r="B1576" s="218" t="s">
        <v>7905</v>
      </c>
    </row>
    <row r="1577">
      <c r="A1577" s="430">
        <v>6.604454592E10</v>
      </c>
      <c r="B1577" s="218" t="s">
        <v>7906</v>
      </c>
    </row>
    <row r="1578">
      <c r="A1578" s="430">
        <v>7.14871079E10</v>
      </c>
      <c r="B1578" s="218" t="s">
        <v>7907</v>
      </c>
    </row>
    <row r="1579">
      <c r="A1579" s="430">
        <v>5.8612483972E10</v>
      </c>
      <c r="B1579" s="218" t="s">
        <v>7908</v>
      </c>
    </row>
    <row r="1580">
      <c r="A1580" s="430">
        <v>1.2282669991E10</v>
      </c>
      <c r="B1580" s="218" t="s">
        <v>7909</v>
      </c>
    </row>
    <row r="1581">
      <c r="A1581" s="430">
        <v>2.073250904E9</v>
      </c>
      <c r="B1581" s="218" t="s">
        <v>7910</v>
      </c>
    </row>
    <row r="1582">
      <c r="A1582" s="430">
        <v>3.961509E8</v>
      </c>
      <c r="B1582" s="218" t="s">
        <v>7911</v>
      </c>
    </row>
    <row r="1583">
      <c r="A1583" s="430">
        <v>5.4533325904E10</v>
      </c>
      <c r="B1583" s="218" t="s">
        <v>7912</v>
      </c>
    </row>
    <row r="1584">
      <c r="A1584" s="430">
        <v>1.0410473987E10</v>
      </c>
      <c r="B1584" s="218" t="s">
        <v>7913</v>
      </c>
    </row>
    <row r="1585">
      <c r="A1585" s="430">
        <v>5.4216559972E10</v>
      </c>
      <c r="B1585" s="218" t="s">
        <v>7914</v>
      </c>
    </row>
    <row r="1586">
      <c r="A1586" s="430">
        <v>5.8967133987E10</v>
      </c>
      <c r="B1586" s="218" t="s">
        <v>7915</v>
      </c>
    </row>
    <row r="1587">
      <c r="A1587" s="430">
        <v>5.6385145972E10</v>
      </c>
      <c r="B1587" s="218" t="s">
        <v>7916</v>
      </c>
    </row>
    <row r="1588">
      <c r="A1588" s="430">
        <v>4.37414957E10</v>
      </c>
      <c r="B1588" s="218" t="s">
        <v>7917</v>
      </c>
    </row>
    <row r="1589">
      <c r="A1589" s="430">
        <v>1.4432366591E10</v>
      </c>
      <c r="B1589" s="218" t="s">
        <v>7918</v>
      </c>
    </row>
    <row r="1590">
      <c r="A1590" s="430">
        <v>2.9895430906E10</v>
      </c>
      <c r="B1590" s="218" t="s">
        <v>7919</v>
      </c>
    </row>
    <row r="1591">
      <c r="A1591" s="430">
        <v>2.0966741749E10</v>
      </c>
      <c r="B1591" s="218" t="s">
        <v>7920</v>
      </c>
    </row>
    <row r="1592">
      <c r="A1592" s="430">
        <v>1.1029633134E10</v>
      </c>
      <c r="B1592" s="218" t="s">
        <v>7921</v>
      </c>
    </row>
    <row r="1593">
      <c r="A1593" s="430">
        <v>3.4408363987E10</v>
      </c>
      <c r="B1593" s="218" t="s">
        <v>7922</v>
      </c>
    </row>
    <row r="1594">
      <c r="A1594" s="430">
        <v>7.0789541904E10</v>
      </c>
      <c r="B1594" s="218" t="s">
        <v>7923</v>
      </c>
    </row>
    <row r="1595">
      <c r="A1595" s="430">
        <v>4.4339690015E10</v>
      </c>
      <c r="B1595" s="218" t="s">
        <v>7924</v>
      </c>
    </row>
    <row r="1596">
      <c r="A1596" s="430">
        <v>2.6156806504E10</v>
      </c>
      <c r="B1596" s="218" t="s">
        <v>7925</v>
      </c>
    </row>
    <row r="1597">
      <c r="A1597" s="430">
        <v>3.4433201987E10</v>
      </c>
      <c r="B1597" s="218" t="s">
        <v>7926</v>
      </c>
    </row>
    <row r="1598">
      <c r="A1598" s="430">
        <v>1.2897443863E10</v>
      </c>
      <c r="B1598" s="218" t="s">
        <v>7927</v>
      </c>
    </row>
    <row r="1599">
      <c r="A1599" s="430">
        <v>7.02851019E10</v>
      </c>
      <c r="B1599" s="218" t="s">
        <v>7928</v>
      </c>
    </row>
    <row r="1600">
      <c r="A1600" s="430">
        <v>4.9428578991E10</v>
      </c>
      <c r="B1600" s="218" t="s">
        <v>4376</v>
      </c>
    </row>
    <row r="1601">
      <c r="A1601" s="430">
        <v>1.3005048896E10</v>
      </c>
      <c r="B1601" s="218" t="s">
        <v>7929</v>
      </c>
    </row>
    <row r="1602">
      <c r="A1602" s="430">
        <v>8.1185413987E10</v>
      </c>
      <c r="B1602" s="218" t="s">
        <v>7930</v>
      </c>
    </row>
    <row r="1603">
      <c r="A1603" s="430">
        <v>8.7789531891E10</v>
      </c>
      <c r="B1603" s="218" t="s">
        <v>7931</v>
      </c>
    </row>
    <row r="1604">
      <c r="A1604" s="430">
        <v>3.4363009934E10</v>
      </c>
      <c r="B1604" s="218" t="s">
        <v>7932</v>
      </c>
    </row>
    <row r="1605">
      <c r="A1605" s="430">
        <v>1.7541077291E10</v>
      </c>
      <c r="B1605" s="218" t="s">
        <v>7933</v>
      </c>
    </row>
    <row r="1606">
      <c r="A1606" s="430">
        <v>2.975849958E9</v>
      </c>
      <c r="B1606" s="218" t="s">
        <v>7934</v>
      </c>
    </row>
    <row r="1607">
      <c r="A1607" s="430">
        <v>4.306678091E10</v>
      </c>
      <c r="B1607" s="218" t="s">
        <v>7935</v>
      </c>
    </row>
    <row r="1608">
      <c r="A1608" s="430">
        <v>5.2614077968E10</v>
      </c>
      <c r="B1608" s="218" t="s">
        <v>7936</v>
      </c>
    </row>
    <row r="1609">
      <c r="A1609" s="430">
        <v>3.4321276934E10</v>
      </c>
      <c r="B1609" s="218" t="s">
        <v>7937</v>
      </c>
    </row>
    <row r="1610">
      <c r="A1610" s="430">
        <v>3.1079008934E10</v>
      </c>
      <c r="B1610" s="218" t="s">
        <v>7938</v>
      </c>
    </row>
    <row r="1611">
      <c r="A1611" s="430">
        <v>7.689500072E9</v>
      </c>
      <c r="B1611" s="218" t="s">
        <v>7939</v>
      </c>
    </row>
    <row r="1612">
      <c r="A1612" s="430">
        <v>1.342801202E10</v>
      </c>
      <c r="B1612" s="218" t="s">
        <v>7940</v>
      </c>
    </row>
    <row r="1613">
      <c r="A1613" s="430">
        <v>4.5023182053E10</v>
      </c>
      <c r="B1613" s="218" t="s">
        <v>7941</v>
      </c>
    </row>
    <row r="1614">
      <c r="A1614" s="430">
        <v>4.5485780997E10</v>
      </c>
      <c r="B1614" s="218" t="s">
        <v>7942</v>
      </c>
    </row>
    <row r="1615">
      <c r="A1615" s="430">
        <v>8.2346984949E10</v>
      </c>
      <c r="B1615" s="218" t="s">
        <v>7943</v>
      </c>
    </row>
    <row r="1616">
      <c r="A1616" s="430">
        <v>3.1136427953E10</v>
      </c>
      <c r="B1616" s="218" t="s">
        <v>7944</v>
      </c>
    </row>
    <row r="1617">
      <c r="A1617" s="430">
        <v>5.9342080987E10</v>
      </c>
      <c r="B1617" s="218" t="s">
        <v>7945</v>
      </c>
    </row>
    <row r="1618">
      <c r="A1618" s="430">
        <v>5.9712546934E10</v>
      </c>
      <c r="B1618" s="218" t="s">
        <v>7946</v>
      </c>
    </row>
    <row r="1619">
      <c r="A1619" s="430">
        <v>2.618860012E10</v>
      </c>
      <c r="B1619" s="218" t="s">
        <v>7947</v>
      </c>
    </row>
    <row r="1620">
      <c r="A1620" s="430">
        <v>4.6822569987E10</v>
      </c>
      <c r="B1620" s="218" t="s">
        <v>7948</v>
      </c>
    </row>
    <row r="1621">
      <c r="A1621" s="430">
        <v>5.58903509E10</v>
      </c>
      <c r="B1621" s="218" t="s">
        <v>7949</v>
      </c>
    </row>
    <row r="1622">
      <c r="A1622" s="430">
        <v>6.29161739E10</v>
      </c>
      <c r="B1622" s="218" t="s">
        <v>7950</v>
      </c>
    </row>
    <row r="1623">
      <c r="A1623" s="430">
        <v>3.7564625953E10</v>
      </c>
      <c r="B1623" s="218" t="s">
        <v>7951</v>
      </c>
    </row>
    <row r="1624">
      <c r="A1624" s="430">
        <v>6.0738600997E10</v>
      </c>
      <c r="B1624" s="218" t="s">
        <v>7952</v>
      </c>
    </row>
    <row r="1625">
      <c r="A1625" s="430">
        <v>4.5497028934E10</v>
      </c>
      <c r="B1625" s="218" t="s">
        <v>7953</v>
      </c>
    </row>
    <row r="1626">
      <c r="A1626" s="430">
        <v>3.0434742953E10</v>
      </c>
      <c r="B1626" s="218" t="s">
        <v>7954</v>
      </c>
    </row>
    <row r="1627">
      <c r="A1627" s="430">
        <v>3.7802526949E10</v>
      </c>
      <c r="B1627" s="218" t="s">
        <v>7955</v>
      </c>
    </row>
    <row r="1628">
      <c r="A1628" s="430">
        <v>5.4975271915E10</v>
      </c>
      <c r="B1628" s="218" t="s">
        <v>7956</v>
      </c>
    </row>
    <row r="1629">
      <c r="A1629" s="430">
        <v>4.6205942968E10</v>
      </c>
      <c r="B1629" s="218" t="s">
        <v>7957</v>
      </c>
    </row>
    <row r="1630">
      <c r="A1630" s="430">
        <v>3.281230202E10</v>
      </c>
      <c r="B1630" s="218" t="s">
        <v>7958</v>
      </c>
    </row>
    <row r="1631">
      <c r="A1631" s="430">
        <v>6.6646138753E10</v>
      </c>
      <c r="B1631" s="218" t="s">
        <v>7959</v>
      </c>
    </row>
    <row r="1632">
      <c r="A1632" s="430">
        <v>4.9390074991E10</v>
      </c>
      <c r="B1632" s="218" t="s">
        <v>7960</v>
      </c>
    </row>
    <row r="1633">
      <c r="A1633" s="430">
        <v>2.212022093E10</v>
      </c>
      <c r="B1633" s="218" t="s">
        <v>7961</v>
      </c>
    </row>
    <row r="1634">
      <c r="A1634" s="430">
        <v>6.272844093E10</v>
      </c>
      <c r="B1634" s="218" t="s">
        <v>7962</v>
      </c>
    </row>
    <row r="1635">
      <c r="A1635" s="430">
        <v>1.792155492E10</v>
      </c>
      <c r="B1635" s="218" t="s">
        <v>7963</v>
      </c>
    </row>
    <row r="1636">
      <c r="A1636" s="430">
        <v>1.987348915E9</v>
      </c>
      <c r="B1636" s="218" t="s">
        <v>7964</v>
      </c>
    </row>
    <row r="1637">
      <c r="A1637" s="430">
        <v>3.7904124904E10</v>
      </c>
      <c r="B1637" s="218" t="s">
        <v>7965</v>
      </c>
    </row>
    <row r="1638">
      <c r="A1638" s="430">
        <v>5.3317076968E10</v>
      </c>
      <c r="B1638" s="218" t="s">
        <v>7966</v>
      </c>
    </row>
    <row r="1639">
      <c r="A1639" s="430">
        <v>8.469300997E9</v>
      </c>
      <c r="B1639" s="218" t="s">
        <v>7967</v>
      </c>
    </row>
    <row r="1640">
      <c r="A1640" s="430">
        <v>3.9450155968E10</v>
      </c>
      <c r="B1640" s="218" t="s">
        <v>7968</v>
      </c>
    </row>
    <row r="1641">
      <c r="A1641" s="430">
        <v>6.5819403991E10</v>
      </c>
      <c r="B1641" s="218" t="s">
        <v>7969</v>
      </c>
    </row>
    <row r="1642">
      <c r="A1642" s="430">
        <v>7.029063953E9</v>
      </c>
      <c r="B1642" s="218" t="s">
        <v>7970</v>
      </c>
    </row>
    <row r="1643">
      <c r="A1643" s="430">
        <v>5.2649474904E10</v>
      </c>
      <c r="B1643" s="218" t="s">
        <v>7971</v>
      </c>
    </row>
    <row r="1644">
      <c r="A1644" s="430">
        <v>5.8615326991E10</v>
      </c>
      <c r="B1644" s="218" t="s">
        <v>7972</v>
      </c>
    </row>
    <row r="1645">
      <c r="A1645" s="430">
        <v>1.6353404972E10</v>
      </c>
      <c r="B1645" s="218" t="s">
        <v>7973</v>
      </c>
    </row>
    <row r="1646">
      <c r="A1646" s="430">
        <v>1.460965922E9</v>
      </c>
      <c r="B1646" s="218" t="s">
        <v>7974</v>
      </c>
    </row>
    <row r="1647">
      <c r="A1647" s="430">
        <v>6.2915746915E10</v>
      </c>
      <c r="B1647" s="218" t="s">
        <v>7975</v>
      </c>
    </row>
    <row r="1648">
      <c r="A1648" s="430">
        <v>4.1640276904E10</v>
      </c>
      <c r="B1648" s="218" t="s">
        <v>7976</v>
      </c>
    </row>
    <row r="1649">
      <c r="A1649" s="430">
        <v>4.7989564904E10</v>
      </c>
      <c r="B1649" s="218" t="s">
        <v>7977</v>
      </c>
    </row>
    <row r="1650">
      <c r="A1650" s="430">
        <v>7.0460191004E10</v>
      </c>
      <c r="B1650" s="218" t="s">
        <v>7978</v>
      </c>
    </row>
    <row r="1651">
      <c r="A1651" s="430">
        <v>2.2400877904E10</v>
      </c>
      <c r="B1651" s="218" t="s">
        <v>7979</v>
      </c>
    </row>
    <row r="1652">
      <c r="A1652" s="430">
        <v>6.7187765991E10</v>
      </c>
      <c r="B1652" s="218" t="s">
        <v>7980</v>
      </c>
    </row>
    <row r="1653">
      <c r="A1653" s="430">
        <v>2.299335552E10</v>
      </c>
      <c r="B1653" s="218" t="s">
        <v>7981</v>
      </c>
    </row>
    <row r="1654">
      <c r="A1654" s="430">
        <v>2.91408389E10</v>
      </c>
      <c r="B1654" s="218" t="s">
        <v>7982</v>
      </c>
    </row>
    <row r="1655">
      <c r="A1655" s="430">
        <v>2.5247832E10</v>
      </c>
      <c r="B1655" s="218" t="s">
        <v>7983</v>
      </c>
    </row>
    <row r="1656">
      <c r="A1656" s="430">
        <v>5.0962809934E10</v>
      </c>
      <c r="B1656" s="218" t="s">
        <v>7984</v>
      </c>
    </row>
    <row r="1657">
      <c r="A1657" s="430">
        <v>3.7670310944E10</v>
      </c>
      <c r="B1657" s="218" t="s">
        <v>7985</v>
      </c>
    </row>
    <row r="1658">
      <c r="A1658" s="430">
        <v>7.147936892E10</v>
      </c>
      <c r="B1658" s="218" t="s">
        <v>7986</v>
      </c>
    </row>
    <row r="1659">
      <c r="A1659" s="430">
        <v>2.882913192E10</v>
      </c>
      <c r="B1659" s="218" t="s">
        <v>7987</v>
      </c>
    </row>
    <row r="1660">
      <c r="A1660" s="430">
        <v>5.120240992E10</v>
      </c>
      <c r="B1660" s="218" t="s">
        <v>7988</v>
      </c>
    </row>
    <row r="1661">
      <c r="A1661" s="430">
        <v>1.77761989E10</v>
      </c>
      <c r="B1661" s="218" t="s">
        <v>7989</v>
      </c>
    </row>
    <row r="1662">
      <c r="A1662" s="430">
        <v>3.1193749972E10</v>
      </c>
      <c r="B1662" s="218" t="s">
        <v>7990</v>
      </c>
    </row>
    <row r="1663">
      <c r="A1663" s="430">
        <v>6.5100077891E10</v>
      </c>
      <c r="B1663" s="218" t="s">
        <v>7991</v>
      </c>
    </row>
    <row r="1664">
      <c r="A1664" s="430">
        <v>4.9910876949E10</v>
      </c>
      <c r="B1664" s="218" t="s">
        <v>7992</v>
      </c>
    </row>
    <row r="1665">
      <c r="A1665" s="430">
        <v>5.4756472915E10</v>
      </c>
      <c r="B1665" s="218" t="s">
        <v>7993</v>
      </c>
    </row>
    <row r="1666">
      <c r="A1666" s="430">
        <v>5.0081977972E10</v>
      </c>
      <c r="B1666" s="218" t="s">
        <v>7994</v>
      </c>
    </row>
    <row r="1667">
      <c r="A1667" s="430">
        <v>2.2214968091E10</v>
      </c>
      <c r="B1667" s="218" t="s">
        <v>7995</v>
      </c>
    </row>
    <row r="1668">
      <c r="A1668" s="430">
        <v>1.0588574953E10</v>
      </c>
      <c r="B1668" s="218" t="s">
        <v>7996</v>
      </c>
    </row>
    <row r="1669">
      <c r="A1669" s="430">
        <v>2.2101578972E10</v>
      </c>
      <c r="B1669" s="218" t="s">
        <v>7997</v>
      </c>
    </row>
    <row r="1670">
      <c r="A1670" s="430">
        <v>8.73209915E8</v>
      </c>
      <c r="B1670" s="218" t="s">
        <v>7998</v>
      </c>
    </row>
    <row r="1671">
      <c r="A1671" s="430">
        <v>3.002721972E9</v>
      </c>
      <c r="B1671" s="218" t="s">
        <v>7999</v>
      </c>
    </row>
    <row r="1672">
      <c r="A1672" s="430">
        <v>7.8489164991E10</v>
      </c>
      <c r="B1672" s="218" t="s">
        <v>8000</v>
      </c>
    </row>
    <row r="1673">
      <c r="A1673" s="430">
        <v>3.3785708068E10</v>
      </c>
      <c r="B1673" s="218" t="s">
        <v>8001</v>
      </c>
    </row>
    <row r="1674">
      <c r="A1674" s="430">
        <v>7.6338401968E10</v>
      </c>
      <c r="B1674" s="218" t="s">
        <v>8002</v>
      </c>
    </row>
    <row r="1675">
      <c r="A1675" s="430">
        <v>5.2849139904E10</v>
      </c>
      <c r="B1675" s="218" t="s">
        <v>8003</v>
      </c>
    </row>
    <row r="1676">
      <c r="A1676" s="430">
        <v>6.83767909E10</v>
      </c>
      <c r="B1676" s="218" t="s">
        <v>8004</v>
      </c>
    </row>
    <row r="1677">
      <c r="A1677" s="430">
        <v>5.8003673968E10</v>
      </c>
      <c r="B1677" s="218" t="s">
        <v>8005</v>
      </c>
    </row>
    <row r="1678">
      <c r="A1678" s="430">
        <v>8.334047592E10</v>
      </c>
      <c r="B1678" s="218" t="s">
        <v>8006</v>
      </c>
    </row>
    <row r="1679">
      <c r="A1679" s="430">
        <v>5.5147550968E10</v>
      </c>
      <c r="B1679" s="218" t="s">
        <v>8007</v>
      </c>
    </row>
    <row r="1680">
      <c r="A1680" s="430">
        <v>2.9702402972E10</v>
      </c>
      <c r="B1680" s="218" t="s">
        <v>8008</v>
      </c>
    </row>
    <row r="1681">
      <c r="A1681" s="430">
        <v>8.4491655987E10</v>
      </c>
      <c r="B1681" s="218" t="s">
        <v>8009</v>
      </c>
    </row>
    <row r="1682">
      <c r="A1682" s="430">
        <v>7.8022509949E10</v>
      </c>
      <c r="B1682" s="218" t="s">
        <v>8010</v>
      </c>
    </row>
    <row r="1683">
      <c r="A1683" s="430">
        <v>4.44707972E8</v>
      </c>
      <c r="B1683" s="218" t="s">
        <v>8011</v>
      </c>
    </row>
    <row r="1684">
      <c r="A1684" s="430">
        <v>4.2275270906E10</v>
      </c>
      <c r="B1684" s="218" t="s">
        <v>8012</v>
      </c>
    </row>
    <row r="1685">
      <c r="A1685" s="430">
        <v>4.3667996934E10</v>
      </c>
      <c r="B1685" s="218" t="s">
        <v>8013</v>
      </c>
    </row>
    <row r="1686">
      <c r="A1686" s="430">
        <v>3.130754091E9</v>
      </c>
      <c r="B1686" s="218" t="s">
        <v>8014</v>
      </c>
    </row>
    <row r="1687">
      <c r="A1687" s="430">
        <v>8.42699953E8</v>
      </c>
      <c r="B1687" s="218" t="s">
        <v>8015</v>
      </c>
    </row>
    <row r="1688">
      <c r="A1688" s="430">
        <v>1.54928429E10</v>
      </c>
      <c r="B1688" s="218" t="s">
        <v>8016</v>
      </c>
    </row>
    <row r="1689">
      <c r="A1689" s="430">
        <v>1.7919428904E10</v>
      </c>
      <c r="B1689" s="218" t="s">
        <v>8017</v>
      </c>
    </row>
    <row r="1690">
      <c r="A1690" s="430">
        <v>5.3001877987E10</v>
      </c>
      <c r="B1690" s="218" t="s">
        <v>8018</v>
      </c>
    </row>
    <row r="1691">
      <c r="A1691" s="430">
        <v>6.8092512949E10</v>
      </c>
      <c r="B1691" s="218" t="s">
        <v>8019</v>
      </c>
    </row>
    <row r="1692">
      <c r="A1692" s="430">
        <v>5.4239141915E10</v>
      </c>
      <c r="B1692" s="218" t="s">
        <v>8020</v>
      </c>
    </row>
    <row r="1693">
      <c r="A1693" s="430">
        <v>8.4633468987E10</v>
      </c>
      <c r="B1693" s="218" t="s">
        <v>8021</v>
      </c>
    </row>
    <row r="1694">
      <c r="A1694" s="430">
        <v>3.478555892E10</v>
      </c>
      <c r="B1694" s="218" t="s">
        <v>8022</v>
      </c>
    </row>
    <row r="1695">
      <c r="A1695" s="430">
        <v>4.93687459E10</v>
      </c>
      <c r="B1695" s="218" t="s">
        <v>8023</v>
      </c>
    </row>
    <row r="1696">
      <c r="A1696" s="430">
        <v>6.394205915E9</v>
      </c>
      <c r="B1696" s="218" t="s">
        <v>8024</v>
      </c>
    </row>
    <row r="1697">
      <c r="A1697" s="430">
        <v>4.4937024949E10</v>
      </c>
      <c r="B1697" s="218" t="s">
        <v>8025</v>
      </c>
    </row>
    <row r="1698">
      <c r="A1698" s="430">
        <v>2.1577102053E10</v>
      </c>
      <c r="B1698" s="218" t="s">
        <v>8026</v>
      </c>
    </row>
    <row r="1699">
      <c r="A1699" s="430">
        <v>7.3294616953E10</v>
      </c>
      <c r="B1699" s="218" t="s">
        <v>8027</v>
      </c>
    </row>
    <row r="1700">
      <c r="A1700" s="430">
        <v>2.1629331953E10</v>
      </c>
      <c r="B1700" s="218" t="s">
        <v>8028</v>
      </c>
    </row>
    <row r="1701">
      <c r="A1701" s="430">
        <v>1.6068122034E10</v>
      </c>
      <c r="B1701" s="218" t="s">
        <v>8029</v>
      </c>
    </row>
    <row r="1702">
      <c r="A1702" s="430">
        <v>3.11961959E10</v>
      </c>
      <c r="B1702" s="218" t="s">
        <v>8030</v>
      </c>
    </row>
    <row r="1703">
      <c r="A1703" s="430">
        <v>5.8418091991E10</v>
      </c>
      <c r="B1703" s="218" t="s">
        <v>8031</v>
      </c>
    </row>
    <row r="1704">
      <c r="A1704" s="430">
        <v>6.43923845E8</v>
      </c>
      <c r="B1704" s="218" t="s">
        <v>8032</v>
      </c>
    </row>
    <row r="1705">
      <c r="A1705" s="430">
        <v>7.1311696E8</v>
      </c>
      <c r="B1705" s="218" t="s">
        <v>8033</v>
      </c>
    </row>
    <row r="1706">
      <c r="A1706" s="430">
        <v>4.44410961E8</v>
      </c>
      <c r="B1706" s="218" t="s">
        <v>8034</v>
      </c>
    </row>
    <row r="1707">
      <c r="A1707" s="430">
        <v>4.52917999E8</v>
      </c>
      <c r="B1707" s="218" t="s">
        <v>8035</v>
      </c>
    </row>
    <row r="1708">
      <c r="A1708" s="430">
        <v>2.84314994E9</v>
      </c>
      <c r="B1708" s="218" t="s">
        <v>8036</v>
      </c>
    </row>
    <row r="1709">
      <c r="A1709" s="430">
        <v>7.3012548904E10</v>
      </c>
      <c r="B1709" s="218" t="s">
        <v>8037</v>
      </c>
    </row>
    <row r="1710">
      <c r="A1710" s="430">
        <v>1.433087936E9</v>
      </c>
      <c r="B1710" s="218" t="s">
        <v>8038</v>
      </c>
    </row>
    <row r="1711">
      <c r="A1711" s="430">
        <v>2.083567978E9</v>
      </c>
      <c r="B1711" s="218" t="s">
        <v>8039</v>
      </c>
    </row>
    <row r="1712">
      <c r="A1712" s="430">
        <v>8.7319705915E10</v>
      </c>
      <c r="B1712" s="218" t="s">
        <v>8040</v>
      </c>
    </row>
    <row r="1713">
      <c r="A1713" s="430">
        <v>3.56489299E9</v>
      </c>
      <c r="B1713" s="218" t="s">
        <v>8041</v>
      </c>
    </row>
    <row r="1714">
      <c r="A1714" s="430">
        <v>2.98959879E10</v>
      </c>
      <c r="B1714" s="218" t="s">
        <v>8042</v>
      </c>
    </row>
    <row r="1715">
      <c r="A1715" s="430">
        <v>2.501254112E10</v>
      </c>
      <c r="B1715" s="218" t="s">
        <v>8043</v>
      </c>
    </row>
    <row r="1716">
      <c r="A1716" s="430">
        <v>7.362271808E9</v>
      </c>
      <c r="B1716" s="218" t="s">
        <v>8044</v>
      </c>
    </row>
    <row r="1717">
      <c r="A1717" s="430">
        <v>3.0899435904E10</v>
      </c>
      <c r="B1717" s="218" t="s">
        <v>8045</v>
      </c>
    </row>
    <row r="1718">
      <c r="A1718" s="430">
        <v>5.6061986068E10</v>
      </c>
      <c r="B1718" s="218" t="s">
        <v>8046</v>
      </c>
    </row>
    <row r="1719">
      <c r="A1719" s="430">
        <v>7.0122881915E10</v>
      </c>
      <c r="B1719" s="218" t="s">
        <v>8047</v>
      </c>
    </row>
    <row r="1720">
      <c r="A1720" s="430">
        <v>2.9521890991E10</v>
      </c>
      <c r="B1720" s="218" t="s">
        <v>8048</v>
      </c>
    </row>
    <row r="1721">
      <c r="A1721" s="430">
        <v>4.5512531972E10</v>
      </c>
      <c r="B1721" s="218" t="s">
        <v>8049</v>
      </c>
    </row>
    <row r="1722">
      <c r="A1722" s="430">
        <v>9.1070929972E10</v>
      </c>
      <c r="B1722" s="218" t="s">
        <v>8050</v>
      </c>
    </row>
    <row r="1723">
      <c r="A1723" s="430">
        <v>5.3890272053E10</v>
      </c>
      <c r="B1723" s="218" t="s">
        <v>8051</v>
      </c>
    </row>
    <row r="1724">
      <c r="A1724" s="430">
        <v>3.7744780906E10</v>
      </c>
      <c r="B1724" s="218" t="s">
        <v>8052</v>
      </c>
    </row>
    <row r="1725">
      <c r="A1725" s="430">
        <v>4.3058558953E10</v>
      </c>
      <c r="B1725" s="218" t="s">
        <v>8053</v>
      </c>
    </row>
    <row r="1726">
      <c r="A1726" s="430">
        <v>4.6638571915E10</v>
      </c>
      <c r="B1726" s="218" t="s">
        <v>8054</v>
      </c>
    </row>
    <row r="1727">
      <c r="A1727" s="430">
        <v>3.0443610959E10</v>
      </c>
      <c r="B1727" s="218" t="s">
        <v>8055</v>
      </c>
    </row>
    <row r="1728">
      <c r="A1728" s="430">
        <v>4.165100692E10</v>
      </c>
      <c r="B1728" s="218" t="s">
        <v>8056</v>
      </c>
    </row>
    <row r="1729">
      <c r="A1729" s="430">
        <v>8.6061704968E10</v>
      </c>
      <c r="B1729" s="218" t="s">
        <v>8057</v>
      </c>
    </row>
    <row r="1730">
      <c r="A1730" s="430">
        <v>4.2401232087E10</v>
      </c>
      <c r="B1730" s="218" t="s">
        <v>8058</v>
      </c>
    </row>
    <row r="1731">
      <c r="A1731" s="430">
        <v>1.6615964953E10</v>
      </c>
      <c r="B1731" s="218" t="s">
        <v>8059</v>
      </c>
    </row>
    <row r="1732">
      <c r="A1732" s="430">
        <v>5.351030268E9</v>
      </c>
      <c r="B1732" s="218" t="s">
        <v>8060</v>
      </c>
    </row>
    <row r="1733">
      <c r="A1733" s="430">
        <v>7.5083566915E10</v>
      </c>
      <c r="B1733" s="218" t="s">
        <v>8061</v>
      </c>
    </row>
    <row r="1734">
      <c r="A1734" s="430">
        <v>8.2333912987E10</v>
      </c>
      <c r="B1734" s="218" t="s">
        <v>8062</v>
      </c>
    </row>
    <row r="1735">
      <c r="A1735" s="430">
        <v>8.2490090968E10</v>
      </c>
      <c r="B1735" s="218" t="s">
        <v>8063</v>
      </c>
    </row>
    <row r="1736">
      <c r="A1736" s="430">
        <v>6.7739474053E10</v>
      </c>
      <c r="B1736" s="218" t="s">
        <v>8064</v>
      </c>
    </row>
    <row r="1737">
      <c r="A1737" s="430">
        <v>8.5074187915E10</v>
      </c>
      <c r="B1737" s="218" t="s">
        <v>8065</v>
      </c>
    </row>
    <row r="1738">
      <c r="A1738" s="430">
        <v>9.4429065934E10</v>
      </c>
      <c r="B1738" s="218" t="s">
        <v>8066</v>
      </c>
    </row>
    <row r="1739">
      <c r="A1739" s="430">
        <v>5.4893003968E10</v>
      </c>
      <c r="B1739" s="218" t="s">
        <v>8067</v>
      </c>
    </row>
    <row r="1740">
      <c r="A1740" s="430">
        <v>3.5862912134E10</v>
      </c>
      <c r="B1740" s="218" t="s">
        <v>8068</v>
      </c>
    </row>
    <row r="1741">
      <c r="A1741" s="430">
        <v>9.2125115972E10</v>
      </c>
      <c r="B1741" s="218" t="s">
        <v>8069</v>
      </c>
    </row>
    <row r="1742">
      <c r="A1742" s="430">
        <v>2.986124968E9</v>
      </c>
      <c r="B1742" s="218" t="s">
        <v>8070</v>
      </c>
    </row>
    <row r="1743">
      <c r="A1743" s="430">
        <v>6.6171555991E10</v>
      </c>
      <c r="B1743" s="218" t="s">
        <v>8071</v>
      </c>
    </row>
    <row r="1744">
      <c r="A1744" s="430">
        <v>1.5898997E8</v>
      </c>
      <c r="B1744" s="218" t="s">
        <v>8072</v>
      </c>
    </row>
    <row r="1745">
      <c r="A1745" s="430">
        <v>3.1223117987E10</v>
      </c>
      <c r="B1745" s="218" t="s">
        <v>8073</v>
      </c>
    </row>
    <row r="1746">
      <c r="A1746" s="430">
        <v>4.6393994991E10</v>
      </c>
      <c r="B1746" s="218" t="s">
        <v>8074</v>
      </c>
    </row>
    <row r="1747">
      <c r="A1747" s="430">
        <v>1.5474577915E10</v>
      </c>
      <c r="B1747" s="218" t="s">
        <v>8075</v>
      </c>
    </row>
    <row r="1748">
      <c r="A1748" s="430">
        <v>1.4546019904E10</v>
      </c>
      <c r="B1748" s="218" t="s">
        <v>8076</v>
      </c>
    </row>
    <row r="1749">
      <c r="A1749" s="430">
        <v>4.2961815991E10</v>
      </c>
      <c r="B1749" s="218" t="s">
        <v>8077</v>
      </c>
    </row>
    <row r="1750">
      <c r="A1750" s="430">
        <v>6.886450972E9</v>
      </c>
      <c r="B1750" s="218" t="s">
        <v>8078</v>
      </c>
    </row>
    <row r="1751">
      <c r="A1751" s="430">
        <v>1.3370367904E10</v>
      </c>
      <c r="B1751" s="218" t="s">
        <v>8079</v>
      </c>
    </row>
    <row r="1752">
      <c r="A1752" s="430">
        <v>6.5729986904E10</v>
      </c>
      <c r="B1752" s="218" t="s">
        <v>8080</v>
      </c>
    </row>
    <row r="1753">
      <c r="A1753" s="430">
        <v>3.820687092E10</v>
      </c>
      <c r="B1753" s="218" t="s">
        <v>8081</v>
      </c>
    </row>
    <row r="1754">
      <c r="A1754" s="430">
        <v>9.43711991E8</v>
      </c>
      <c r="B1754" s="218" t="s">
        <v>8082</v>
      </c>
    </row>
    <row r="1755">
      <c r="A1755" s="430">
        <v>1.9981686034E10</v>
      </c>
      <c r="B1755" s="218" t="s">
        <v>8083</v>
      </c>
    </row>
    <row r="1756">
      <c r="A1756" s="430">
        <v>1.5546446668E10</v>
      </c>
      <c r="B1756" s="218" t="s">
        <v>8084</v>
      </c>
    </row>
    <row r="1757">
      <c r="A1757" s="430">
        <v>2.177952E10</v>
      </c>
      <c r="B1757" s="218" t="s">
        <v>8085</v>
      </c>
    </row>
    <row r="1758">
      <c r="A1758" s="430">
        <v>2.9108292949E10</v>
      </c>
      <c r="B1758" s="218" t="s">
        <v>8086</v>
      </c>
    </row>
    <row r="1759">
      <c r="A1759" s="430">
        <v>8.7474492E8</v>
      </c>
      <c r="B1759" s="218" t="s">
        <v>8087</v>
      </c>
    </row>
    <row r="1760">
      <c r="A1760" s="430">
        <v>2.9198372904E10</v>
      </c>
      <c r="B1760" s="218" t="s">
        <v>8088</v>
      </c>
    </row>
    <row r="1761">
      <c r="A1761" s="430">
        <v>1.4512904972E10</v>
      </c>
      <c r="B1761" s="218" t="s">
        <v>8089</v>
      </c>
    </row>
    <row r="1762">
      <c r="A1762" s="430">
        <v>5.6958641949E10</v>
      </c>
      <c r="B1762" s="218" t="s">
        <v>8090</v>
      </c>
    </row>
    <row r="1763">
      <c r="A1763" s="430">
        <v>7.366220892E10</v>
      </c>
      <c r="B1763" s="218" t="s">
        <v>8091</v>
      </c>
    </row>
    <row r="1764">
      <c r="A1764" s="430">
        <v>8.096899015E9</v>
      </c>
      <c r="B1764" s="218" t="s">
        <v>8092</v>
      </c>
    </row>
    <row r="1765">
      <c r="A1765" s="430">
        <v>1.6583604949E10</v>
      </c>
      <c r="B1765" s="218" t="s">
        <v>8093</v>
      </c>
    </row>
    <row r="1766">
      <c r="A1766" s="430">
        <v>9.6294329E9</v>
      </c>
      <c r="B1766" s="218" t="s">
        <v>8094</v>
      </c>
    </row>
    <row r="1767">
      <c r="A1767" s="430">
        <v>8.097240068E9</v>
      </c>
      <c r="B1767" s="218" t="s">
        <v>8095</v>
      </c>
    </row>
    <row r="1768">
      <c r="A1768" s="430">
        <v>2.18106998E9</v>
      </c>
      <c r="B1768" s="218" t="s">
        <v>8096</v>
      </c>
    </row>
    <row r="1769">
      <c r="A1769" s="430">
        <v>6.63902909E10</v>
      </c>
      <c r="B1769" s="218" t="s">
        <v>8097</v>
      </c>
    </row>
    <row r="1770">
      <c r="A1770" s="430">
        <v>5.2123715972E10</v>
      </c>
      <c r="B1770" s="218" t="s">
        <v>8098</v>
      </c>
    </row>
    <row r="1771">
      <c r="A1771" s="430">
        <v>5.97101109E10</v>
      </c>
      <c r="B1771" s="218" t="s">
        <v>8099</v>
      </c>
    </row>
    <row r="1772">
      <c r="A1772" s="430">
        <v>1.734071966E9</v>
      </c>
      <c r="B1772" s="218" t="s">
        <v>8100</v>
      </c>
    </row>
    <row r="1773">
      <c r="A1773" s="430">
        <v>5.6792034991E10</v>
      </c>
      <c r="B1773" s="218" t="s">
        <v>8101</v>
      </c>
    </row>
    <row r="1774">
      <c r="A1774" s="430">
        <v>1.9479751968E10</v>
      </c>
      <c r="B1774" s="218" t="s">
        <v>8102</v>
      </c>
    </row>
    <row r="1775">
      <c r="A1775" s="430">
        <v>4.856251392E10</v>
      </c>
      <c r="B1775" s="218" t="s">
        <v>8103</v>
      </c>
    </row>
    <row r="1776">
      <c r="A1776" s="430">
        <v>2.8952812972E10</v>
      </c>
      <c r="B1776" s="218" t="s">
        <v>8104</v>
      </c>
    </row>
    <row r="1777">
      <c r="A1777" s="430">
        <v>6.6171008915E10</v>
      </c>
      <c r="B1777" s="218" t="s">
        <v>8105</v>
      </c>
    </row>
    <row r="1778">
      <c r="A1778" s="430">
        <v>4.9294873749E10</v>
      </c>
      <c r="B1778" s="218" t="s">
        <v>8106</v>
      </c>
    </row>
    <row r="1779">
      <c r="A1779" s="430">
        <v>2.9497221991E10</v>
      </c>
      <c r="B1779" s="218" t="s">
        <v>8107</v>
      </c>
    </row>
    <row r="1780">
      <c r="A1780" s="430">
        <v>4.4709480982E10</v>
      </c>
      <c r="B1780" s="218" t="s">
        <v>8108</v>
      </c>
    </row>
    <row r="1781">
      <c r="A1781" s="430">
        <v>1.0254455972E10</v>
      </c>
      <c r="B1781" s="218" t="s">
        <v>8109</v>
      </c>
    </row>
    <row r="1782">
      <c r="A1782" s="430">
        <v>5.1704366968E10</v>
      </c>
      <c r="B1782" s="218" t="s">
        <v>8110</v>
      </c>
    </row>
    <row r="1783">
      <c r="A1783" s="430">
        <v>9.506534292E10</v>
      </c>
      <c r="B1783" s="218" t="s">
        <v>8111</v>
      </c>
    </row>
    <row r="1784">
      <c r="A1784" s="430">
        <v>4.893642847E9</v>
      </c>
      <c r="B1784" s="218" t="s">
        <v>8112</v>
      </c>
    </row>
    <row r="1785">
      <c r="A1785" s="430">
        <v>1.48642829E10</v>
      </c>
      <c r="B1785" s="218" t="s">
        <v>8113</v>
      </c>
    </row>
    <row r="1786">
      <c r="A1786" s="430">
        <v>8.2811024972E10</v>
      </c>
      <c r="B1786" s="218" t="s">
        <v>8114</v>
      </c>
    </row>
    <row r="1787">
      <c r="A1787" s="430">
        <v>7.1173536949E10</v>
      </c>
      <c r="B1787" s="218" t="s">
        <v>8115</v>
      </c>
    </row>
    <row r="1788">
      <c r="A1788" s="430">
        <v>3.21430441E10</v>
      </c>
      <c r="B1788" s="218" t="s">
        <v>8116</v>
      </c>
    </row>
    <row r="1789">
      <c r="A1789" s="430">
        <v>7.7111176987E10</v>
      </c>
      <c r="B1789" s="218" t="s">
        <v>8117</v>
      </c>
    </row>
    <row r="1790">
      <c r="A1790" s="430">
        <v>3.8163934972E10</v>
      </c>
      <c r="B1790" s="218" t="s">
        <v>8118</v>
      </c>
    </row>
    <row r="1791">
      <c r="A1791" s="430">
        <v>8.65672091E8</v>
      </c>
      <c r="B1791" s="218" t="s">
        <v>8119</v>
      </c>
    </row>
    <row r="1792">
      <c r="A1792" s="430">
        <v>4.1693620987E10</v>
      </c>
      <c r="B1792" s="218" t="s">
        <v>8120</v>
      </c>
    </row>
    <row r="1793">
      <c r="A1793" s="430">
        <v>3.4316523953E10</v>
      </c>
      <c r="B1793" s="218" t="s">
        <v>8121</v>
      </c>
    </row>
    <row r="1794">
      <c r="A1794" s="430">
        <v>2.5215841934E10</v>
      </c>
      <c r="B1794" s="218" t="s">
        <v>8122</v>
      </c>
    </row>
    <row r="1795">
      <c r="A1795" s="430">
        <v>4.7574941904E10</v>
      </c>
      <c r="B1795" s="218" t="s">
        <v>8123</v>
      </c>
    </row>
    <row r="1796">
      <c r="A1796" s="430">
        <v>2.8600045991E10</v>
      </c>
      <c r="B1796" s="218" t="s">
        <v>8124</v>
      </c>
    </row>
    <row r="1797">
      <c r="A1797" s="430">
        <v>2.91005934E8</v>
      </c>
      <c r="B1797" s="218" t="s">
        <v>8125</v>
      </c>
    </row>
    <row r="1798">
      <c r="A1798" s="430">
        <v>2.002127964E9</v>
      </c>
      <c r="B1798" s="218" t="s">
        <v>8126</v>
      </c>
    </row>
    <row r="1799">
      <c r="A1799" s="430">
        <v>3.3447934972E10</v>
      </c>
      <c r="B1799" s="218" t="s">
        <v>8127</v>
      </c>
    </row>
    <row r="1800">
      <c r="A1800" s="430">
        <v>2.9287782091E10</v>
      </c>
      <c r="B1800" s="218" t="s">
        <v>8128</v>
      </c>
    </row>
    <row r="1801">
      <c r="A1801" s="430">
        <v>3.1226175953E10</v>
      </c>
      <c r="B1801" s="218" t="s">
        <v>8129</v>
      </c>
    </row>
    <row r="1802">
      <c r="A1802" s="430">
        <v>1.9977549087E10</v>
      </c>
      <c r="B1802" s="218" t="s">
        <v>8130</v>
      </c>
    </row>
    <row r="1803">
      <c r="A1803" s="430">
        <v>4.008749292E10</v>
      </c>
      <c r="B1803" s="218" t="s">
        <v>8131</v>
      </c>
    </row>
    <row r="1804">
      <c r="A1804" s="430">
        <v>4.1675398968E10</v>
      </c>
      <c r="B1804" s="218" t="s">
        <v>8132</v>
      </c>
    </row>
    <row r="1805">
      <c r="A1805" s="430">
        <v>2.66712711E10</v>
      </c>
      <c r="B1805" s="218" t="s">
        <v>8133</v>
      </c>
    </row>
    <row r="1806">
      <c r="A1806" s="430">
        <v>5.2257290968E10</v>
      </c>
      <c r="B1806" s="218" t="s">
        <v>8134</v>
      </c>
    </row>
    <row r="1807">
      <c r="A1807" s="430">
        <v>5.3264649934E10</v>
      </c>
      <c r="B1807" s="218" t="s">
        <v>8135</v>
      </c>
    </row>
    <row r="1808">
      <c r="A1808" s="430">
        <v>4.4467010963E10</v>
      </c>
      <c r="B1808" s="218" t="s">
        <v>8136</v>
      </c>
    </row>
    <row r="1809">
      <c r="A1809" s="430">
        <v>5.8465367949E10</v>
      </c>
      <c r="B1809" s="218" t="s">
        <v>8137</v>
      </c>
    </row>
    <row r="1810">
      <c r="A1810" s="430">
        <v>3.8151537E10</v>
      </c>
      <c r="B1810" s="218" t="s">
        <v>8138</v>
      </c>
    </row>
    <row r="1811">
      <c r="A1811" s="430">
        <v>6.1787990044E10</v>
      </c>
      <c r="B1811" s="218" t="s">
        <v>8139</v>
      </c>
    </row>
    <row r="1812">
      <c r="A1812" s="430">
        <v>6.5629302949E10</v>
      </c>
      <c r="B1812" s="218" t="s">
        <v>8140</v>
      </c>
    </row>
    <row r="1813">
      <c r="A1813" s="430">
        <v>4.5770310944E10</v>
      </c>
      <c r="B1813" s="218" t="s">
        <v>8141</v>
      </c>
    </row>
    <row r="1814">
      <c r="A1814" s="430">
        <v>6.9517916949E10</v>
      </c>
      <c r="B1814" s="218" t="s">
        <v>8142</v>
      </c>
    </row>
    <row r="1815">
      <c r="A1815" s="430">
        <v>6.5858689E9</v>
      </c>
      <c r="B1815" s="218" t="s">
        <v>8143</v>
      </c>
    </row>
    <row r="1816">
      <c r="A1816" s="430">
        <v>3.4592636791E10</v>
      </c>
      <c r="B1816" s="218" t="s">
        <v>8144</v>
      </c>
    </row>
    <row r="1817">
      <c r="A1817" s="430">
        <v>4.4324405972E10</v>
      </c>
      <c r="B1817" s="218" t="s">
        <v>8145</v>
      </c>
    </row>
    <row r="1818">
      <c r="A1818" s="430">
        <v>4.305026392E10</v>
      </c>
      <c r="B1818" s="218" t="s">
        <v>8146</v>
      </c>
    </row>
    <row r="1819">
      <c r="A1819" s="430">
        <v>5.5186211915E10</v>
      </c>
      <c r="B1819" s="218" t="s">
        <v>8147</v>
      </c>
    </row>
    <row r="1820">
      <c r="A1820" s="430">
        <v>9.1047145987E10</v>
      </c>
      <c r="B1820" s="218" t="s">
        <v>8148</v>
      </c>
    </row>
    <row r="1821">
      <c r="A1821" s="430">
        <v>7.99066729E10</v>
      </c>
      <c r="B1821" s="218" t="s">
        <v>8149</v>
      </c>
    </row>
    <row r="1822">
      <c r="A1822" s="430">
        <v>6.4518272072E10</v>
      </c>
      <c r="B1822" s="218" t="s">
        <v>8150</v>
      </c>
    </row>
    <row r="1823">
      <c r="A1823" s="430">
        <v>3.0898722934E10</v>
      </c>
      <c r="B1823" s="218" t="s">
        <v>8151</v>
      </c>
    </row>
    <row r="1824">
      <c r="A1824" s="430">
        <v>7.43919769E10</v>
      </c>
      <c r="B1824" s="218" t="s">
        <v>8152</v>
      </c>
    </row>
    <row r="1825">
      <c r="A1825" s="430">
        <v>8.1225121949E10</v>
      </c>
      <c r="B1825" s="218" t="s">
        <v>8153</v>
      </c>
    </row>
    <row r="1826">
      <c r="A1826" s="430">
        <v>4.2509530097E10</v>
      </c>
      <c r="B1826" s="218" t="s">
        <v>8154</v>
      </c>
    </row>
    <row r="1827">
      <c r="A1827" s="430">
        <v>6.4215040949E10</v>
      </c>
      <c r="B1827" s="218" t="s">
        <v>8155</v>
      </c>
    </row>
    <row r="1828">
      <c r="A1828" s="430">
        <v>7.9197230944E10</v>
      </c>
      <c r="B1828" s="218" t="s">
        <v>8156</v>
      </c>
    </row>
    <row r="1829">
      <c r="A1829" s="430">
        <v>5.0188925953E10</v>
      </c>
      <c r="B1829" s="218" t="s">
        <v>8157</v>
      </c>
    </row>
    <row r="1830">
      <c r="A1830" s="430">
        <v>6.1326011987E10</v>
      </c>
      <c r="B1830" s="218" t="s">
        <v>8158</v>
      </c>
    </row>
    <row r="1831">
      <c r="A1831" s="430">
        <v>5.9511494953E10</v>
      </c>
      <c r="B1831" s="218" t="s">
        <v>8159</v>
      </c>
    </row>
    <row r="1832">
      <c r="A1832" s="430">
        <v>9.471480949E9</v>
      </c>
      <c r="B1832" s="218" t="s">
        <v>8160</v>
      </c>
    </row>
    <row r="1833">
      <c r="A1833" s="430">
        <v>4.55427089E10</v>
      </c>
      <c r="B1833" s="218" t="s">
        <v>8161</v>
      </c>
    </row>
    <row r="1834">
      <c r="A1834" s="430">
        <v>8.7276119904E10</v>
      </c>
      <c r="B1834" s="218" t="s">
        <v>8162</v>
      </c>
    </row>
    <row r="1835">
      <c r="A1835" s="430">
        <v>2.9113644904E10</v>
      </c>
      <c r="B1835" s="218" t="s">
        <v>8163</v>
      </c>
    </row>
    <row r="1836">
      <c r="A1836" s="430">
        <v>8.901414953E9</v>
      </c>
      <c r="B1836" s="218" t="s">
        <v>8164</v>
      </c>
    </row>
    <row r="1837">
      <c r="A1837" s="430">
        <v>5.5263011768E10</v>
      </c>
      <c r="B1837" s="218" t="s">
        <v>8165</v>
      </c>
    </row>
    <row r="1838">
      <c r="A1838" s="430">
        <v>5.4238196953E10</v>
      </c>
      <c r="B1838" s="218" t="s">
        <v>8166</v>
      </c>
    </row>
    <row r="1839">
      <c r="A1839" s="430">
        <v>5.5599320944E10</v>
      </c>
      <c r="B1839" s="218" t="s">
        <v>8167</v>
      </c>
    </row>
    <row r="1840">
      <c r="A1840" s="430">
        <v>3.8529050959E10</v>
      </c>
      <c r="B1840" s="218" t="s">
        <v>8168</v>
      </c>
    </row>
    <row r="1841">
      <c r="A1841" s="430">
        <v>2.0031343953E10</v>
      </c>
      <c r="B1841" s="218" t="s">
        <v>8169</v>
      </c>
    </row>
    <row r="1842">
      <c r="A1842" s="430">
        <v>7.3811360906E10</v>
      </c>
      <c r="B1842" s="218" t="s">
        <v>8170</v>
      </c>
    </row>
    <row r="1843">
      <c r="A1843" s="430">
        <v>4.65638309E10</v>
      </c>
      <c r="B1843" s="218" t="s">
        <v>8171</v>
      </c>
    </row>
    <row r="1844">
      <c r="A1844" s="430">
        <v>3.9897281991E10</v>
      </c>
      <c r="B1844" s="218" t="s">
        <v>8172</v>
      </c>
    </row>
    <row r="1845">
      <c r="A1845" s="430">
        <v>4.165127892E10</v>
      </c>
      <c r="B1845" s="218" t="s">
        <v>8173</v>
      </c>
    </row>
    <row r="1846">
      <c r="A1846" s="430">
        <v>1.238576001E10</v>
      </c>
      <c r="B1846" s="218" t="s">
        <v>8174</v>
      </c>
    </row>
    <row r="1847">
      <c r="A1847" s="430">
        <v>8.9168577915E10</v>
      </c>
      <c r="B1847" s="218" t="s">
        <v>8175</v>
      </c>
    </row>
    <row r="1848">
      <c r="A1848" s="430">
        <v>4.96433989E10</v>
      </c>
      <c r="B1848" s="218" t="s">
        <v>8176</v>
      </c>
    </row>
    <row r="1849">
      <c r="A1849" s="430">
        <v>7.3642509991E10</v>
      </c>
      <c r="B1849" s="218" t="s">
        <v>8177</v>
      </c>
    </row>
    <row r="1850">
      <c r="A1850" s="430">
        <v>6.8255861904E10</v>
      </c>
      <c r="B1850" s="218" t="s">
        <v>8178</v>
      </c>
    </row>
    <row r="1851">
      <c r="A1851" s="430">
        <v>6.1834220963E10</v>
      </c>
      <c r="B1851" s="218" t="s">
        <v>8179</v>
      </c>
    </row>
    <row r="1852">
      <c r="A1852" s="430">
        <v>4.7200057053E10</v>
      </c>
      <c r="B1852" s="218" t="s">
        <v>8180</v>
      </c>
    </row>
    <row r="1853">
      <c r="A1853" s="430">
        <v>6.01244079E10</v>
      </c>
      <c r="B1853" s="218" t="s">
        <v>8181</v>
      </c>
    </row>
    <row r="1854">
      <c r="A1854" s="430">
        <v>2.2152920082E10</v>
      </c>
      <c r="B1854" s="218" t="s">
        <v>8182</v>
      </c>
    </row>
    <row r="1855">
      <c r="A1855" s="430">
        <v>6.1682861953E10</v>
      </c>
      <c r="B1855" s="218" t="s">
        <v>8183</v>
      </c>
    </row>
    <row r="1856">
      <c r="A1856" s="430">
        <v>4.9315730968E10</v>
      </c>
      <c r="B1856" s="218" t="s">
        <v>8184</v>
      </c>
    </row>
    <row r="1857">
      <c r="A1857" s="430">
        <v>6.9161321915E10</v>
      </c>
      <c r="B1857" s="218" t="s">
        <v>8185</v>
      </c>
    </row>
    <row r="1858">
      <c r="A1858" s="430">
        <v>7.8572797904E10</v>
      </c>
      <c r="B1858" s="218" t="s">
        <v>8186</v>
      </c>
    </row>
    <row r="1859">
      <c r="A1859" s="430">
        <v>1.0245758968E10</v>
      </c>
      <c r="B1859" s="218" t="s">
        <v>8187</v>
      </c>
    </row>
    <row r="1860">
      <c r="A1860" s="430">
        <v>4.6405593991E10</v>
      </c>
      <c r="B1860" s="218" t="s">
        <v>8188</v>
      </c>
    </row>
    <row r="1861">
      <c r="A1861" s="430">
        <v>8.4586192968E10</v>
      </c>
      <c r="B1861" s="218" t="s">
        <v>8189</v>
      </c>
    </row>
    <row r="1862">
      <c r="A1862" s="430">
        <v>6.3940108987E10</v>
      </c>
      <c r="B1862" s="218" t="s">
        <v>8190</v>
      </c>
    </row>
    <row r="1863">
      <c r="A1863" s="430">
        <v>4.8322989172E10</v>
      </c>
      <c r="B1863" s="218" t="s">
        <v>8191</v>
      </c>
    </row>
    <row r="1864">
      <c r="A1864" s="430">
        <v>3.4850392E8</v>
      </c>
      <c r="B1864" s="218" t="s">
        <v>8192</v>
      </c>
    </row>
    <row r="1865">
      <c r="A1865" s="430">
        <v>4.1942337949E10</v>
      </c>
      <c r="B1865" s="218" t="s">
        <v>8193</v>
      </c>
    </row>
    <row r="1866">
      <c r="A1866" s="430">
        <v>5.8476784953E10</v>
      </c>
      <c r="B1866" s="218" t="s">
        <v>8194</v>
      </c>
    </row>
    <row r="1867">
      <c r="A1867" s="430">
        <v>3.7906933915E10</v>
      </c>
      <c r="B1867" s="218" t="s">
        <v>8195</v>
      </c>
    </row>
    <row r="1868">
      <c r="A1868" s="430">
        <v>6.8564830906E10</v>
      </c>
      <c r="B1868" s="218" t="s">
        <v>8196</v>
      </c>
    </row>
    <row r="1869">
      <c r="A1869" s="430">
        <v>6.4707385915E10</v>
      </c>
      <c r="B1869" s="218" t="s">
        <v>8197</v>
      </c>
    </row>
    <row r="1870">
      <c r="A1870" s="430">
        <v>4.5604550906E10</v>
      </c>
      <c r="B1870" s="218" t="s">
        <v>8198</v>
      </c>
    </row>
    <row r="1871">
      <c r="A1871" s="430">
        <v>2.2010882091E10</v>
      </c>
      <c r="B1871" s="218" t="s">
        <v>8199</v>
      </c>
    </row>
    <row r="1872">
      <c r="A1872" s="430">
        <v>6.5334019987E10</v>
      </c>
      <c r="B1872" s="218" t="s">
        <v>8200</v>
      </c>
    </row>
    <row r="1873">
      <c r="A1873" s="430">
        <v>9.3216220982E10</v>
      </c>
      <c r="B1873" s="218" t="s">
        <v>8201</v>
      </c>
    </row>
    <row r="1874">
      <c r="A1874" s="430">
        <v>2.866315987E9</v>
      </c>
      <c r="B1874" s="218" t="s">
        <v>8202</v>
      </c>
    </row>
    <row r="1875">
      <c r="A1875" s="430">
        <v>5.31768635E10</v>
      </c>
      <c r="B1875" s="218" t="s">
        <v>8203</v>
      </c>
    </row>
    <row r="1876">
      <c r="A1876" s="430">
        <v>1.81354896E9</v>
      </c>
      <c r="B1876" s="218" t="s">
        <v>8204</v>
      </c>
    </row>
    <row r="1877">
      <c r="A1877" s="430">
        <v>7.914449792E10</v>
      </c>
      <c r="B1877" s="218" t="s">
        <v>8205</v>
      </c>
    </row>
    <row r="1878">
      <c r="A1878" s="430">
        <v>3.0605105987E10</v>
      </c>
      <c r="B1878" s="218" t="s">
        <v>8206</v>
      </c>
    </row>
    <row r="1879">
      <c r="A1879" s="430">
        <v>3.102733492E10</v>
      </c>
      <c r="B1879" s="218" t="s">
        <v>8207</v>
      </c>
    </row>
    <row r="1880">
      <c r="A1880" s="430">
        <v>5.828944592E10</v>
      </c>
      <c r="B1880" s="218" t="s">
        <v>8208</v>
      </c>
    </row>
    <row r="1881">
      <c r="A1881" s="430">
        <v>8.01456479E10</v>
      </c>
      <c r="B1881" s="218" t="s">
        <v>8209</v>
      </c>
    </row>
    <row r="1882">
      <c r="A1882" s="430">
        <v>4.3264719991E10</v>
      </c>
      <c r="B1882" s="218" t="s">
        <v>8210</v>
      </c>
    </row>
    <row r="1883">
      <c r="A1883" s="430">
        <v>5.6326980925E10</v>
      </c>
      <c r="B1883" s="218" t="s">
        <v>8211</v>
      </c>
    </row>
    <row r="1884">
      <c r="A1884" s="430">
        <v>9.2040918E10</v>
      </c>
      <c r="B1884" s="218" t="s">
        <v>8212</v>
      </c>
    </row>
    <row r="1885">
      <c r="A1885" s="430">
        <v>5.0932225934E10</v>
      </c>
      <c r="B1885" s="218" t="s">
        <v>8213</v>
      </c>
    </row>
    <row r="1886">
      <c r="A1886" s="430">
        <v>8.897467792E10</v>
      </c>
      <c r="B1886" s="218" t="s">
        <v>8214</v>
      </c>
    </row>
    <row r="1887">
      <c r="A1887" s="430">
        <v>8.1843054949E10</v>
      </c>
      <c r="B1887" s="218" t="s">
        <v>8215</v>
      </c>
    </row>
    <row r="1888">
      <c r="A1888" s="430">
        <v>4.6075410953E10</v>
      </c>
      <c r="B1888" s="218" t="s">
        <v>8216</v>
      </c>
    </row>
    <row r="1889">
      <c r="A1889" s="430">
        <v>9.7335886791E10</v>
      </c>
      <c r="B1889" s="218" t="s">
        <v>8217</v>
      </c>
    </row>
    <row r="1890">
      <c r="A1890" s="430">
        <v>9.8338595934E10</v>
      </c>
      <c r="B1890" s="218" t="s">
        <v>8218</v>
      </c>
    </row>
    <row r="1891">
      <c r="A1891" s="430">
        <v>7.3254711904E10</v>
      </c>
      <c r="B1891" s="218" t="s">
        <v>8219</v>
      </c>
    </row>
    <row r="1892">
      <c r="A1892" s="430">
        <v>3.6989770015E10</v>
      </c>
      <c r="B1892" s="218" t="s">
        <v>8220</v>
      </c>
    </row>
    <row r="1893">
      <c r="A1893" s="430">
        <v>5.77545949E8</v>
      </c>
      <c r="B1893" s="218" t="s">
        <v>8221</v>
      </c>
    </row>
    <row r="1894">
      <c r="A1894" s="430">
        <v>1.6314972949E10</v>
      </c>
      <c r="B1894" s="218" t="s">
        <v>8222</v>
      </c>
    </row>
    <row r="1895">
      <c r="A1895" s="430">
        <v>2.1651051968E10</v>
      </c>
      <c r="B1895" s="218" t="s">
        <v>8223</v>
      </c>
    </row>
    <row r="1896">
      <c r="A1896" s="430">
        <v>1.58136659E10</v>
      </c>
      <c r="B1896" s="218" t="s">
        <v>8224</v>
      </c>
    </row>
    <row r="1897">
      <c r="A1897" s="430">
        <v>8.368546915E9</v>
      </c>
      <c r="B1897" s="218" t="s">
        <v>8225</v>
      </c>
    </row>
    <row r="1898">
      <c r="A1898" s="430">
        <v>2.3838850025E10</v>
      </c>
      <c r="B1898" s="218" t="s">
        <v>8226</v>
      </c>
    </row>
    <row r="1899">
      <c r="A1899" s="430">
        <v>5.3309766934E10</v>
      </c>
      <c r="B1899" s="218" t="s">
        <v>8227</v>
      </c>
    </row>
    <row r="1900">
      <c r="A1900" s="430">
        <v>2.9388945972E10</v>
      </c>
      <c r="B1900" s="218" t="s">
        <v>8228</v>
      </c>
    </row>
    <row r="1901">
      <c r="A1901" s="430">
        <v>5.414393087E9</v>
      </c>
      <c r="B1901" s="218" t="s">
        <v>8229</v>
      </c>
    </row>
    <row r="1902">
      <c r="A1902" s="430">
        <v>5.9172924934E10</v>
      </c>
      <c r="B1902" s="218" t="s">
        <v>8230</v>
      </c>
    </row>
    <row r="1903">
      <c r="A1903" s="430">
        <v>1.7751993049E10</v>
      </c>
      <c r="B1903" s="218" t="s">
        <v>8231</v>
      </c>
    </row>
    <row r="1904">
      <c r="A1904" s="430">
        <v>3.5143908949E10</v>
      </c>
      <c r="B1904" s="218" t="s">
        <v>8232</v>
      </c>
    </row>
    <row r="1905">
      <c r="A1905" s="430">
        <v>4.953583892E10</v>
      </c>
      <c r="B1905" s="218" t="s">
        <v>8233</v>
      </c>
    </row>
    <row r="1906">
      <c r="A1906" s="430">
        <v>8.2192863934E10</v>
      </c>
      <c r="B1906" s="218" t="s">
        <v>8234</v>
      </c>
    </row>
    <row r="1907">
      <c r="A1907" s="430">
        <v>1.8021581034E10</v>
      </c>
      <c r="B1907" s="218" t="s">
        <v>8235</v>
      </c>
    </row>
    <row r="1908">
      <c r="A1908" s="430">
        <v>7.393279592E10</v>
      </c>
      <c r="B1908" s="218" t="s">
        <v>8236</v>
      </c>
    </row>
    <row r="1909">
      <c r="A1909" s="430">
        <v>5.56016939E10</v>
      </c>
      <c r="B1909" s="218" t="s">
        <v>8237</v>
      </c>
    </row>
    <row r="1910">
      <c r="A1910" s="430">
        <v>2.9013240968E10</v>
      </c>
      <c r="B1910" s="218" t="s">
        <v>8238</v>
      </c>
    </row>
    <row r="1911">
      <c r="A1911" s="430">
        <v>4.735889949E9</v>
      </c>
      <c r="B1911" s="218" t="s">
        <v>8239</v>
      </c>
    </row>
    <row r="1912">
      <c r="A1912" s="430">
        <v>2.4926639904E10</v>
      </c>
      <c r="B1912" s="218" t="s">
        <v>8240</v>
      </c>
    </row>
    <row r="1913">
      <c r="A1913" s="430">
        <v>1.45634019E10</v>
      </c>
      <c r="B1913" s="218" t="s">
        <v>8241</v>
      </c>
    </row>
    <row r="1914">
      <c r="A1914" s="430">
        <v>2.26769968E8</v>
      </c>
      <c r="B1914" s="218" t="s">
        <v>8242</v>
      </c>
    </row>
    <row r="1915">
      <c r="A1915" s="430">
        <v>9.626131934E9</v>
      </c>
      <c r="B1915" s="218" t="s">
        <v>8243</v>
      </c>
    </row>
    <row r="1916">
      <c r="A1916" s="430">
        <v>2.8955013949E10</v>
      </c>
      <c r="B1916" s="218" t="s">
        <v>8244</v>
      </c>
    </row>
    <row r="1917">
      <c r="A1917" s="430">
        <v>3.8511223991E10</v>
      </c>
      <c r="B1917" s="218" t="s">
        <v>8245</v>
      </c>
    </row>
    <row r="1918">
      <c r="A1918" s="430">
        <v>2.108835962E9</v>
      </c>
      <c r="B1918" s="218" t="s">
        <v>8246</v>
      </c>
    </row>
    <row r="1919">
      <c r="A1919" s="430">
        <v>6.2528211953E10</v>
      </c>
      <c r="B1919" s="218" t="s">
        <v>8247</v>
      </c>
    </row>
    <row r="1920">
      <c r="A1920" s="430">
        <v>8.8682480859E10</v>
      </c>
      <c r="B1920" s="218" t="s">
        <v>8248</v>
      </c>
    </row>
    <row r="1921">
      <c r="A1921" s="430">
        <v>5.5870023904E10</v>
      </c>
      <c r="B1921" s="218" t="s">
        <v>8249</v>
      </c>
    </row>
    <row r="1922">
      <c r="A1922" s="430">
        <v>4.1897595034E10</v>
      </c>
      <c r="B1922" s="218" t="s">
        <v>8250</v>
      </c>
    </row>
    <row r="1923">
      <c r="A1923" s="430">
        <v>2.179554192E10</v>
      </c>
      <c r="B1923" s="218" t="s">
        <v>8251</v>
      </c>
    </row>
    <row r="1924">
      <c r="A1924" s="430">
        <v>2.2133844953E10</v>
      </c>
      <c r="B1924" s="218" t="s">
        <v>8252</v>
      </c>
    </row>
    <row r="1925">
      <c r="A1925" s="430">
        <v>5.40151629E10</v>
      </c>
      <c r="B1925" s="218" t="s">
        <v>8253</v>
      </c>
    </row>
    <row r="1926">
      <c r="A1926" s="430">
        <v>2.8918541953E10</v>
      </c>
      <c r="B1926" s="218" t="s">
        <v>8254</v>
      </c>
    </row>
    <row r="1927">
      <c r="A1927" s="430">
        <v>2.4853330925E10</v>
      </c>
      <c r="B1927" s="218" t="s">
        <v>8255</v>
      </c>
    </row>
    <row r="1928">
      <c r="A1928" s="430">
        <v>6.781097792E10</v>
      </c>
      <c r="B1928" s="218" t="s">
        <v>8256</v>
      </c>
    </row>
    <row r="1929">
      <c r="A1929" s="430">
        <v>4.8435430049E10</v>
      </c>
      <c r="B1929" s="218" t="s">
        <v>8257</v>
      </c>
    </row>
    <row r="1930">
      <c r="A1930" s="430">
        <v>2.16097053E8</v>
      </c>
      <c r="B1930" s="218" t="s">
        <v>8258</v>
      </c>
    </row>
    <row r="1931">
      <c r="A1931" s="430">
        <v>4.8602175949E10</v>
      </c>
      <c r="B1931" s="218" t="s">
        <v>8259</v>
      </c>
    </row>
    <row r="1932">
      <c r="A1932" s="430">
        <v>9.0917197968E10</v>
      </c>
      <c r="B1932" s="218" t="s">
        <v>8260</v>
      </c>
    </row>
    <row r="1933">
      <c r="A1933" s="430">
        <v>3.9219887053E10</v>
      </c>
      <c r="B1933" s="218" t="s">
        <v>8261</v>
      </c>
    </row>
    <row r="1934">
      <c r="A1934" s="430">
        <v>1.639702709E9</v>
      </c>
      <c r="B1934" s="218" t="s">
        <v>8262</v>
      </c>
    </row>
    <row r="1935">
      <c r="A1935" s="430">
        <v>6.042677292E10</v>
      </c>
      <c r="B1935" s="218" t="s">
        <v>8263</v>
      </c>
    </row>
    <row r="1936">
      <c r="A1936" s="430">
        <v>5.4630517049E10</v>
      </c>
      <c r="B1936" s="218" t="s">
        <v>8264</v>
      </c>
    </row>
    <row r="1937">
      <c r="A1937" s="430">
        <v>9.4820597949E10</v>
      </c>
      <c r="B1937" s="218" t="s">
        <v>8265</v>
      </c>
    </row>
    <row r="1938">
      <c r="A1938" s="430">
        <v>7.7070216904E10</v>
      </c>
      <c r="B1938" s="218" t="s">
        <v>8266</v>
      </c>
    </row>
    <row r="1939">
      <c r="A1939" s="430">
        <v>7.32973139E10</v>
      </c>
      <c r="B1939" s="218" t="s">
        <v>8267</v>
      </c>
    </row>
    <row r="1940">
      <c r="A1940" s="430">
        <v>8.4600497953E10</v>
      </c>
      <c r="B1940" s="218" t="s">
        <v>8268</v>
      </c>
    </row>
    <row r="1941">
      <c r="A1941" s="430">
        <v>5.6954697915E10</v>
      </c>
      <c r="B1941" s="218" t="s">
        <v>8269</v>
      </c>
    </row>
    <row r="1942">
      <c r="A1942" s="430">
        <v>7.8452902972E10</v>
      </c>
      <c r="B1942" s="218" t="s">
        <v>8270</v>
      </c>
    </row>
    <row r="1943">
      <c r="A1943" s="430">
        <v>6.590373949E9</v>
      </c>
      <c r="B1943" s="218" t="s">
        <v>8271</v>
      </c>
    </row>
    <row r="1944">
      <c r="A1944" s="430">
        <v>8.2193886E8</v>
      </c>
      <c r="B1944" s="218" t="s">
        <v>8272</v>
      </c>
    </row>
    <row r="1945">
      <c r="A1945" s="430">
        <v>9.742395004E9</v>
      </c>
      <c r="B1945" s="218" t="s">
        <v>8273</v>
      </c>
    </row>
    <row r="1946">
      <c r="A1946" s="430">
        <v>2.0232055068E10</v>
      </c>
      <c r="B1946" s="218" t="s">
        <v>8274</v>
      </c>
    </row>
    <row r="1947">
      <c r="A1947" s="430">
        <v>4.3318029904E10</v>
      </c>
      <c r="B1947" s="218" t="s">
        <v>8275</v>
      </c>
    </row>
    <row r="1948">
      <c r="A1948" s="430">
        <v>6.2713450934E10</v>
      </c>
      <c r="B1948" s="218" t="s">
        <v>8276</v>
      </c>
    </row>
    <row r="1949">
      <c r="A1949" s="430">
        <v>1.1336684453E10</v>
      </c>
      <c r="B1949" s="218" t="s">
        <v>8277</v>
      </c>
    </row>
    <row r="1950">
      <c r="A1950" s="430">
        <v>2.1630739987E10</v>
      </c>
      <c r="B1950" s="218" t="s">
        <v>8278</v>
      </c>
    </row>
    <row r="1951">
      <c r="A1951" s="430">
        <v>3.88670959E8</v>
      </c>
      <c r="B1951" s="218" t="s">
        <v>8279</v>
      </c>
    </row>
    <row r="1952">
      <c r="A1952" s="430">
        <v>4.7994088953E10</v>
      </c>
      <c r="B1952" s="218" t="s">
        <v>8280</v>
      </c>
    </row>
    <row r="1953">
      <c r="A1953" s="430">
        <v>4.7737697934E10</v>
      </c>
      <c r="B1953" s="218" t="s">
        <v>8281</v>
      </c>
    </row>
    <row r="1954">
      <c r="A1954" s="430">
        <v>2.158612991E9</v>
      </c>
      <c r="B1954" s="218" t="s">
        <v>8282</v>
      </c>
    </row>
    <row r="1955">
      <c r="A1955" s="430">
        <v>5.096196992E10</v>
      </c>
      <c r="B1955" s="218" t="s">
        <v>8283</v>
      </c>
    </row>
    <row r="1956">
      <c r="A1956" s="430">
        <v>5.1771942053E10</v>
      </c>
      <c r="B1956" s="218" t="s">
        <v>8284</v>
      </c>
    </row>
    <row r="1957">
      <c r="A1957" s="430">
        <v>2.7023613072E10</v>
      </c>
      <c r="B1957" s="218" t="s">
        <v>8285</v>
      </c>
    </row>
    <row r="1958">
      <c r="A1958" s="430">
        <v>2.3682060006E10</v>
      </c>
      <c r="B1958" s="218" t="s">
        <v>8286</v>
      </c>
    </row>
    <row r="1959">
      <c r="A1959" s="430">
        <v>7.660979E8</v>
      </c>
      <c r="B1959" s="218" t="s">
        <v>8287</v>
      </c>
    </row>
    <row r="1960">
      <c r="A1960" s="430">
        <v>7.6938042934E10</v>
      </c>
      <c r="B1960" s="218" t="s">
        <v>8288</v>
      </c>
    </row>
    <row r="1961">
      <c r="A1961" s="430">
        <v>6.1346136904E10</v>
      </c>
      <c r="B1961" s="218" t="s">
        <v>8289</v>
      </c>
    </row>
    <row r="1962">
      <c r="A1962" s="430">
        <v>6.8639163987E10</v>
      </c>
      <c r="B1962" s="218" t="s">
        <v>8290</v>
      </c>
    </row>
    <row r="1963">
      <c r="A1963" s="430">
        <v>3.864953502E10</v>
      </c>
      <c r="B1963" s="218" t="s">
        <v>8291</v>
      </c>
    </row>
    <row r="1964">
      <c r="A1964" s="430">
        <v>8.312184953E9</v>
      </c>
      <c r="B1964" s="218" t="s">
        <v>8292</v>
      </c>
    </row>
    <row r="1965">
      <c r="A1965" s="430">
        <v>4.18081E10</v>
      </c>
      <c r="B1965" s="218" t="s">
        <v>8293</v>
      </c>
    </row>
    <row r="1966">
      <c r="A1966" s="430">
        <v>6.9152756904E10</v>
      </c>
      <c r="B1966" s="218" t="s">
        <v>8294</v>
      </c>
    </row>
    <row r="1967">
      <c r="A1967" s="430">
        <v>4.4223455915E10</v>
      </c>
      <c r="B1967" s="218" t="s">
        <v>8295</v>
      </c>
    </row>
    <row r="1968">
      <c r="A1968" s="430">
        <v>3.060577692E10</v>
      </c>
      <c r="B1968" s="218" t="s">
        <v>8296</v>
      </c>
    </row>
    <row r="1969">
      <c r="A1969" s="430">
        <v>6.38641004E8</v>
      </c>
      <c r="B1969" s="218" t="s">
        <v>8297</v>
      </c>
    </row>
    <row r="1970">
      <c r="A1970" s="430">
        <v>3.539422692E10</v>
      </c>
      <c r="B1970" s="218" t="s">
        <v>8298</v>
      </c>
    </row>
    <row r="1971">
      <c r="A1971" s="430">
        <v>4.8876828672E10</v>
      </c>
      <c r="B1971" s="218" t="s">
        <v>8299</v>
      </c>
    </row>
    <row r="1972">
      <c r="A1972" s="430">
        <v>8.4731389704E10</v>
      </c>
      <c r="B1972" s="218" t="s">
        <v>8300</v>
      </c>
    </row>
    <row r="1973">
      <c r="A1973" s="430">
        <v>2.8040562015E10</v>
      </c>
      <c r="B1973" s="218" t="s">
        <v>8301</v>
      </c>
    </row>
    <row r="1974">
      <c r="A1974" s="430">
        <v>6.3275600087E10</v>
      </c>
      <c r="B1974" s="218" t="s">
        <v>8302</v>
      </c>
    </row>
    <row r="1975">
      <c r="A1975" s="430">
        <v>4.327501093E10</v>
      </c>
      <c r="B1975" s="218" t="s">
        <v>8303</v>
      </c>
    </row>
    <row r="1976">
      <c r="A1976" s="430">
        <v>9.709410059E9</v>
      </c>
      <c r="B1976" s="218" t="s">
        <v>8304</v>
      </c>
    </row>
    <row r="1977">
      <c r="A1977" s="430">
        <v>5.9097779049E10</v>
      </c>
      <c r="B1977" s="218" t="s">
        <v>8305</v>
      </c>
    </row>
    <row r="1978">
      <c r="A1978" s="430">
        <v>9.9426730753E10</v>
      </c>
      <c r="B1978" s="218" t="s">
        <v>8306</v>
      </c>
    </row>
    <row r="1979">
      <c r="A1979" s="430">
        <v>1.3517082953E10</v>
      </c>
      <c r="B1979" s="218" t="s">
        <v>8307</v>
      </c>
    </row>
    <row r="1980">
      <c r="A1980" s="430">
        <v>3.0568153987E10</v>
      </c>
      <c r="B1980" s="218" t="s">
        <v>8308</v>
      </c>
    </row>
    <row r="1981">
      <c r="A1981" s="430">
        <v>7.6072398987E10</v>
      </c>
      <c r="B1981" s="218" t="s">
        <v>8309</v>
      </c>
    </row>
    <row r="1982">
      <c r="A1982" s="430">
        <v>4.2197325949E10</v>
      </c>
      <c r="B1982" s="218" t="s">
        <v>8310</v>
      </c>
    </row>
    <row r="1983">
      <c r="A1983" s="430">
        <v>5.1252457987E10</v>
      </c>
      <c r="B1983" s="218" t="s">
        <v>8311</v>
      </c>
    </row>
    <row r="1984">
      <c r="A1984" s="430">
        <v>2.0739842072E10</v>
      </c>
      <c r="B1984" s="218" t="s">
        <v>8312</v>
      </c>
    </row>
    <row r="1985">
      <c r="A1985" s="430">
        <v>3.9010538915E10</v>
      </c>
      <c r="B1985" s="218" t="s">
        <v>8313</v>
      </c>
    </row>
    <row r="1986">
      <c r="A1986" s="430">
        <v>4.3261370963E10</v>
      </c>
      <c r="B1986" s="218" t="s">
        <v>8314</v>
      </c>
    </row>
    <row r="1987">
      <c r="A1987" s="430">
        <v>6.9139156915E10</v>
      </c>
      <c r="B1987" s="218" t="s">
        <v>8315</v>
      </c>
    </row>
    <row r="1988">
      <c r="A1988" s="430">
        <v>5.6968825953E10</v>
      </c>
      <c r="B1988" s="218" t="s">
        <v>8316</v>
      </c>
    </row>
    <row r="1989">
      <c r="A1989" s="430">
        <v>5.5640699949E10</v>
      </c>
      <c r="B1989" s="218" t="s">
        <v>8317</v>
      </c>
    </row>
    <row r="1990">
      <c r="A1990" s="430">
        <v>5.1666855987E10</v>
      </c>
      <c r="B1990" s="218" t="s">
        <v>8318</v>
      </c>
    </row>
    <row r="1991">
      <c r="A1991" s="430">
        <v>1.460302907E9</v>
      </c>
      <c r="B1991" s="218" t="s">
        <v>8319</v>
      </c>
    </row>
    <row r="1992">
      <c r="A1992" s="430">
        <v>3.7799592915E10</v>
      </c>
      <c r="B1992" s="218" t="s">
        <v>8320</v>
      </c>
    </row>
    <row r="1993">
      <c r="A1993" s="430">
        <v>1.5224708168E10</v>
      </c>
      <c r="B1993" s="218" t="s">
        <v>8321</v>
      </c>
    </row>
    <row r="1994">
      <c r="A1994" s="430">
        <v>2.2465553968E10</v>
      </c>
      <c r="B1994" s="218" t="s">
        <v>8322</v>
      </c>
    </row>
    <row r="1995">
      <c r="A1995" s="430">
        <v>5.792966192E10</v>
      </c>
      <c r="B1995" s="218" t="s">
        <v>7272</v>
      </c>
    </row>
    <row r="1996">
      <c r="A1996" s="430">
        <v>5.4805317949E10</v>
      </c>
      <c r="B1996" s="218" t="s">
        <v>8323</v>
      </c>
    </row>
    <row r="1997">
      <c r="A1997" s="430">
        <v>6.2247069053E10</v>
      </c>
      <c r="B1997" s="218" t="s">
        <v>8324</v>
      </c>
    </row>
    <row r="1998">
      <c r="A1998" s="430">
        <v>7.3747670997E10</v>
      </c>
      <c r="B1998" s="218" t="s">
        <v>8325</v>
      </c>
    </row>
    <row r="1999">
      <c r="A1999" s="430">
        <v>5.4838630972E10</v>
      </c>
      <c r="B1999" s="218" t="s">
        <v>8326</v>
      </c>
    </row>
    <row r="2000">
      <c r="A2000" s="430">
        <v>7.43763068E8</v>
      </c>
      <c r="B2000" s="218" t="s">
        <v>8327</v>
      </c>
    </row>
    <row r="2001">
      <c r="A2001" s="430">
        <v>6.1303089904E10</v>
      </c>
      <c r="B2001" s="218" t="s">
        <v>8328</v>
      </c>
    </row>
    <row r="2002">
      <c r="A2002" s="430">
        <v>8.4261820706E10</v>
      </c>
      <c r="B2002" s="218" t="s">
        <v>8329</v>
      </c>
    </row>
    <row r="2003">
      <c r="A2003" s="430">
        <v>6.13680839E10</v>
      </c>
      <c r="B2003" s="218" t="s">
        <v>8330</v>
      </c>
    </row>
    <row r="2004">
      <c r="A2004" s="430">
        <v>5.6345488968E10</v>
      </c>
      <c r="B2004" s="218" t="s">
        <v>8331</v>
      </c>
    </row>
    <row r="2005">
      <c r="A2005" s="430">
        <v>4.9532944915E10</v>
      </c>
      <c r="B2005" s="218" t="s">
        <v>8332</v>
      </c>
    </row>
    <row r="2006">
      <c r="A2006" s="430">
        <v>5.3794117972E10</v>
      </c>
      <c r="B2006" s="218" t="s">
        <v>8333</v>
      </c>
    </row>
    <row r="2007">
      <c r="A2007" s="430">
        <v>1.86856091E9</v>
      </c>
      <c r="B2007" s="218" t="s">
        <v>8334</v>
      </c>
    </row>
    <row r="2008">
      <c r="A2008" s="430">
        <v>9.4036446991E10</v>
      </c>
      <c r="B2008" s="218" t="s">
        <v>8335</v>
      </c>
    </row>
    <row r="2009">
      <c r="A2009" s="430">
        <v>3.87762949E8</v>
      </c>
      <c r="B2009" s="218" t="s">
        <v>8336</v>
      </c>
    </row>
    <row r="2010">
      <c r="A2010" s="430">
        <v>4.1085663E10</v>
      </c>
      <c r="B2010" s="218" t="s">
        <v>8337</v>
      </c>
    </row>
    <row r="2011">
      <c r="A2011" s="430">
        <v>3.4327037915E10</v>
      </c>
      <c r="B2011" s="218" t="s">
        <v>8338</v>
      </c>
    </row>
    <row r="2012">
      <c r="A2012" s="430">
        <v>2.8938321053E10</v>
      </c>
      <c r="B2012" s="218" t="s">
        <v>8339</v>
      </c>
    </row>
    <row r="2013">
      <c r="A2013" s="430">
        <v>2.9029015934E10</v>
      </c>
      <c r="B2013" s="218" t="s">
        <v>8340</v>
      </c>
    </row>
    <row r="2014">
      <c r="A2014" s="430">
        <v>4.2566835934E10</v>
      </c>
      <c r="B2014" s="218" t="s">
        <v>8341</v>
      </c>
    </row>
    <row r="2015">
      <c r="A2015" s="430">
        <v>5.3312449987E10</v>
      </c>
      <c r="B2015" s="218" t="s">
        <v>8342</v>
      </c>
    </row>
    <row r="2016">
      <c r="A2016" s="430">
        <v>2.3184108953E10</v>
      </c>
      <c r="B2016" s="218" t="s">
        <v>8343</v>
      </c>
    </row>
    <row r="2017">
      <c r="A2017" s="430">
        <v>5.784106392E10</v>
      </c>
      <c r="B2017" s="218" t="s">
        <v>8344</v>
      </c>
    </row>
    <row r="2018">
      <c r="A2018" s="430">
        <v>8.8808700925E10</v>
      </c>
      <c r="B2018" s="218" t="s">
        <v>8345</v>
      </c>
    </row>
    <row r="2019">
      <c r="A2019" s="430">
        <v>6.1029254915E10</v>
      </c>
      <c r="B2019" s="218" t="s">
        <v>8346</v>
      </c>
    </row>
    <row r="2020">
      <c r="A2020" s="430">
        <v>3.5196165991E10</v>
      </c>
      <c r="B2020" s="218" t="s">
        <v>8347</v>
      </c>
    </row>
    <row r="2021">
      <c r="A2021" s="430">
        <v>4.20401679E10</v>
      </c>
      <c r="B2021" s="218" t="s">
        <v>8348</v>
      </c>
    </row>
    <row r="2022">
      <c r="A2022" s="430">
        <v>6.134482692E10</v>
      </c>
      <c r="B2022" s="218" t="s">
        <v>8349</v>
      </c>
    </row>
    <row r="2023">
      <c r="A2023" s="430">
        <v>6.7190448934E10</v>
      </c>
      <c r="B2023" s="218" t="s">
        <v>8350</v>
      </c>
    </row>
    <row r="2024">
      <c r="A2024" s="430">
        <v>8.4371749704E10</v>
      </c>
      <c r="B2024" s="218" t="s">
        <v>8351</v>
      </c>
    </row>
    <row r="2025">
      <c r="A2025" s="430">
        <v>7.991222292E10</v>
      </c>
      <c r="B2025" s="218" t="s">
        <v>8352</v>
      </c>
    </row>
    <row r="2026">
      <c r="A2026" s="430">
        <v>2.8988426991E10</v>
      </c>
      <c r="B2026" s="218" t="s">
        <v>8353</v>
      </c>
    </row>
    <row r="2027">
      <c r="A2027" s="430">
        <v>4.67154953E8</v>
      </c>
      <c r="B2027" s="218" t="s">
        <v>8354</v>
      </c>
    </row>
    <row r="2028">
      <c r="A2028" s="430">
        <v>4.69546182E9</v>
      </c>
      <c r="B2028" s="218" t="s">
        <v>8355</v>
      </c>
    </row>
    <row r="2029">
      <c r="A2029" s="430">
        <v>7.6129357915E10</v>
      </c>
      <c r="B2029" s="218" t="s">
        <v>8356</v>
      </c>
    </row>
    <row r="2030">
      <c r="A2030" s="430">
        <v>5.0633074934E10</v>
      </c>
      <c r="B2030" s="218" t="s">
        <v>8357</v>
      </c>
    </row>
    <row r="2031">
      <c r="A2031" s="430">
        <v>5.3099486949E10</v>
      </c>
      <c r="B2031" s="218" t="s">
        <v>8358</v>
      </c>
    </row>
    <row r="2032">
      <c r="A2032" s="430">
        <v>5.4885280915E10</v>
      </c>
      <c r="B2032" s="218" t="s">
        <v>8359</v>
      </c>
    </row>
    <row r="2033">
      <c r="A2033" s="430">
        <v>2.6321947091E10</v>
      </c>
      <c r="B2033" s="218" t="s">
        <v>8360</v>
      </c>
    </row>
    <row r="2034">
      <c r="A2034" s="430">
        <v>3.7823744953E10</v>
      </c>
      <c r="B2034" s="218" t="s">
        <v>8361</v>
      </c>
    </row>
    <row r="2035">
      <c r="A2035" s="430">
        <v>3.4503528734E10</v>
      </c>
      <c r="B2035" s="218" t="s">
        <v>8362</v>
      </c>
    </row>
    <row r="2036">
      <c r="A2036" s="430">
        <v>1.0304003E9</v>
      </c>
      <c r="B2036" s="218" t="s">
        <v>8363</v>
      </c>
    </row>
    <row r="2037">
      <c r="A2037" s="430">
        <v>3.96926983E9</v>
      </c>
      <c r="B2037" s="218" t="s">
        <v>8364</v>
      </c>
    </row>
    <row r="2038">
      <c r="A2038" s="430">
        <v>7.304005904E9</v>
      </c>
      <c r="B2038" s="218" t="s">
        <v>8365</v>
      </c>
    </row>
    <row r="2039">
      <c r="A2039" s="430">
        <v>4.0377156E10</v>
      </c>
      <c r="B2039" s="218" t="s">
        <v>8366</v>
      </c>
    </row>
    <row r="2040">
      <c r="A2040" s="430">
        <v>1.5699250972E10</v>
      </c>
      <c r="B2040" s="218" t="s">
        <v>8367</v>
      </c>
    </row>
    <row r="2041">
      <c r="A2041" s="430">
        <v>4.6407650968E10</v>
      </c>
      <c r="B2041" s="218" t="s">
        <v>8368</v>
      </c>
    </row>
    <row r="2042">
      <c r="A2042" s="430">
        <v>8.02093949E8</v>
      </c>
      <c r="B2042" s="218" t="s">
        <v>8369</v>
      </c>
    </row>
    <row r="2043">
      <c r="A2043" s="430">
        <v>2.866358953E9</v>
      </c>
      <c r="B2043" s="218" t="s">
        <v>8370</v>
      </c>
    </row>
    <row r="2044">
      <c r="A2044" s="430">
        <v>3.1344909E9</v>
      </c>
      <c r="B2044" s="218" t="s">
        <v>8371</v>
      </c>
    </row>
    <row r="2045">
      <c r="A2045" s="430">
        <v>3.8186306072E10</v>
      </c>
      <c r="B2045" s="218" t="s">
        <v>8372</v>
      </c>
    </row>
    <row r="2046">
      <c r="A2046" s="430">
        <v>4.1756401004E10</v>
      </c>
      <c r="B2046" s="218" t="s">
        <v>8373</v>
      </c>
    </row>
    <row r="2047">
      <c r="A2047" s="430">
        <v>3.8147696949E10</v>
      </c>
      <c r="B2047" s="218" t="s">
        <v>8374</v>
      </c>
    </row>
    <row r="2048">
      <c r="A2048" s="430">
        <v>6.7136230934E10</v>
      </c>
      <c r="B2048" s="218" t="s">
        <v>8375</v>
      </c>
    </row>
    <row r="2049">
      <c r="A2049" s="430">
        <v>6.228088092E10</v>
      </c>
      <c r="B2049" s="218" t="s">
        <v>8376</v>
      </c>
    </row>
    <row r="2050">
      <c r="A2050" s="430">
        <v>6.9282820963E10</v>
      </c>
      <c r="B2050" s="218" t="s">
        <v>8377</v>
      </c>
    </row>
    <row r="2051">
      <c r="A2051" s="430">
        <v>6.0724153004E10</v>
      </c>
      <c r="B2051" s="218" t="s">
        <v>8378</v>
      </c>
    </row>
    <row r="2052">
      <c r="A2052" s="430">
        <v>4.7147610059E10</v>
      </c>
      <c r="B2052" s="218" t="s">
        <v>8379</v>
      </c>
    </row>
    <row r="2053">
      <c r="A2053" s="430">
        <v>6.840087093E10</v>
      </c>
      <c r="B2053" s="218" t="s">
        <v>8380</v>
      </c>
    </row>
    <row r="2054">
      <c r="A2054" s="430">
        <v>1.7924553991E10</v>
      </c>
      <c r="B2054" s="218" t="s">
        <v>8381</v>
      </c>
    </row>
    <row r="2055">
      <c r="A2055" s="430">
        <v>3.4211497987E10</v>
      </c>
      <c r="B2055" s="218" t="s">
        <v>8382</v>
      </c>
    </row>
    <row r="2056">
      <c r="A2056" s="430">
        <v>3.888118972E9</v>
      </c>
      <c r="B2056" s="218" t="s">
        <v>8383</v>
      </c>
    </row>
    <row r="2057">
      <c r="A2057" s="430">
        <v>2.9990700982E10</v>
      </c>
      <c r="B2057" s="218" t="s">
        <v>8384</v>
      </c>
    </row>
    <row r="2058">
      <c r="A2058" s="430">
        <v>6.5199545949E10</v>
      </c>
      <c r="B2058" s="218" t="s">
        <v>8385</v>
      </c>
    </row>
    <row r="2059">
      <c r="A2059" s="430">
        <v>4.3266886968E10</v>
      </c>
      <c r="B2059" s="218" t="s">
        <v>8386</v>
      </c>
    </row>
    <row r="2060">
      <c r="A2060" s="430">
        <v>5.9615028991E10</v>
      </c>
      <c r="B2060" s="218" t="s">
        <v>8387</v>
      </c>
    </row>
    <row r="2061">
      <c r="A2061" s="430">
        <v>7.3656372934E10</v>
      </c>
      <c r="B2061" s="218" t="s">
        <v>8388</v>
      </c>
    </row>
    <row r="2062">
      <c r="A2062" s="430">
        <v>5.2045730972E10</v>
      </c>
      <c r="B2062" s="218" t="s">
        <v>8389</v>
      </c>
    </row>
    <row r="2063">
      <c r="A2063" s="430">
        <v>4.1321111053E10</v>
      </c>
      <c r="B2063" s="218" t="s">
        <v>8390</v>
      </c>
    </row>
    <row r="2064">
      <c r="A2064" s="430">
        <v>3.6765287E10</v>
      </c>
      <c r="B2064" s="218" t="s">
        <v>8391</v>
      </c>
    </row>
    <row r="2065">
      <c r="A2065" s="430">
        <v>1.4505959953E10</v>
      </c>
      <c r="B2065" s="218" t="s">
        <v>8392</v>
      </c>
    </row>
    <row r="2066">
      <c r="A2066" s="430">
        <v>3.0524199E9</v>
      </c>
      <c r="B2066" s="218" t="s">
        <v>8393</v>
      </c>
    </row>
    <row r="2067">
      <c r="A2067" s="430">
        <v>3.75857389E10</v>
      </c>
      <c r="B2067" s="218" t="s">
        <v>8394</v>
      </c>
    </row>
    <row r="2068">
      <c r="A2068" s="430">
        <v>2.5820893972E10</v>
      </c>
      <c r="B2068" s="218" t="s">
        <v>8395</v>
      </c>
    </row>
    <row r="2069">
      <c r="A2069" s="430">
        <v>3.4366563991E10</v>
      </c>
      <c r="B2069" s="218" t="s">
        <v>8396</v>
      </c>
    </row>
    <row r="2070">
      <c r="A2070" s="430">
        <v>2.8845102904E10</v>
      </c>
      <c r="B2070" s="218" t="s">
        <v>8397</v>
      </c>
    </row>
    <row r="2071">
      <c r="A2071" s="430">
        <v>3.776344091E10</v>
      </c>
      <c r="B2071" s="218" t="s">
        <v>8398</v>
      </c>
    </row>
    <row r="2072">
      <c r="A2072" s="430">
        <v>8.0642179972E10</v>
      </c>
      <c r="B2072" s="218" t="s">
        <v>8399</v>
      </c>
    </row>
    <row r="2073">
      <c r="A2073" s="430">
        <v>3.064565915E9</v>
      </c>
      <c r="B2073" s="218" t="s">
        <v>8400</v>
      </c>
    </row>
    <row r="2074">
      <c r="A2074" s="430">
        <v>1.4122936934E10</v>
      </c>
      <c r="B2074" s="218" t="s">
        <v>8401</v>
      </c>
    </row>
    <row r="2075">
      <c r="A2075" s="430">
        <v>2.2050647972E10</v>
      </c>
      <c r="B2075" s="218" t="s">
        <v>8402</v>
      </c>
    </row>
    <row r="2076">
      <c r="A2076" s="430">
        <v>4.955845592E10</v>
      </c>
      <c r="B2076" s="218" t="s">
        <v>8403</v>
      </c>
    </row>
    <row r="2077">
      <c r="A2077" s="430">
        <v>4.5538204987E10</v>
      </c>
      <c r="B2077" s="218" t="s">
        <v>8404</v>
      </c>
    </row>
    <row r="2078">
      <c r="A2078" s="430">
        <v>2.46346469E10</v>
      </c>
      <c r="B2078" s="218" t="s">
        <v>8405</v>
      </c>
    </row>
    <row r="2079">
      <c r="A2079" s="430">
        <v>2.9146313915E10</v>
      </c>
      <c r="B2079" s="218" t="s">
        <v>8406</v>
      </c>
    </row>
    <row r="2080">
      <c r="A2080" s="430">
        <v>4.1690656972E10</v>
      </c>
      <c r="B2080" s="218" t="s">
        <v>8407</v>
      </c>
    </row>
    <row r="2081">
      <c r="A2081" s="430">
        <v>4.8176818968E10</v>
      </c>
      <c r="B2081" s="218" t="s">
        <v>8408</v>
      </c>
    </row>
    <row r="2082">
      <c r="A2082" s="430">
        <v>3.012727949E9</v>
      </c>
      <c r="B2082" s="218" t="s">
        <v>8409</v>
      </c>
    </row>
    <row r="2083">
      <c r="A2083" s="430">
        <v>8.88116039E10</v>
      </c>
      <c r="B2083" s="218" t="s">
        <v>8410</v>
      </c>
    </row>
    <row r="2084">
      <c r="A2084" s="430">
        <v>6.8821964949E10</v>
      </c>
      <c r="B2084" s="218" t="s">
        <v>8411</v>
      </c>
    </row>
    <row r="2085">
      <c r="A2085" s="430">
        <v>2.9896908753E10</v>
      </c>
      <c r="B2085" s="218" t="s">
        <v>8412</v>
      </c>
    </row>
    <row r="2086">
      <c r="A2086" s="430">
        <v>4.4081553904E10</v>
      </c>
      <c r="B2086" s="218" t="s">
        <v>8413</v>
      </c>
    </row>
    <row r="2087">
      <c r="A2087" s="430">
        <v>6.0730234991E10</v>
      </c>
      <c r="B2087" s="218" t="s">
        <v>8414</v>
      </c>
    </row>
    <row r="2088">
      <c r="A2088" s="430">
        <v>6.9346372915E10</v>
      </c>
      <c r="B2088" s="218" t="s">
        <v>8415</v>
      </c>
    </row>
    <row r="2089">
      <c r="A2089" s="430">
        <v>3.6233510082E10</v>
      </c>
      <c r="B2089" s="218" t="s">
        <v>8416</v>
      </c>
    </row>
    <row r="2090">
      <c r="A2090" s="430">
        <v>9.2279180944E10</v>
      </c>
      <c r="B2090" s="218" t="s">
        <v>8417</v>
      </c>
    </row>
    <row r="2091">
      <c r="A2091" s="430">
        <v>5.5601839972E10</v>
      </c>
      <c r="B2091" s="218" t="s">
        <v>8418</v>
      </c>
    </row>
    <row r="2092">
      <c r="A2092" s="430">
        <v>5.2249662991E10</v>
      </c>
      <c r="B2092" s="218" t="s">
        <v>8419</v>
      </c>
    </row>
    <row r="2093">
      <c r="A2093" s="430">
        <v>9.3612230972E10</v>
      </c>
      <c r="B2093" s="218" t="s">
        <v>8420</v>
      </c>
    </row>
    <row r="2094">
      <c r="A2094" s="430">
        <v>8.0031102972E10</v>
      </c>
      <c r="B2094" s="218" t="s">
        <v>8421</v>
      </c>
    </row>
    <row r="2095">
      <c r="A2095" s="430">
        <v>4.1726421953E10</v>
      </c>
      <c r="B2095" s="218" t="s">
        <v>8422</v>
      </c>
    </row>
    <row r="2096">
      <c r="A2096" s="430">
        <v>4.8175781904E10</v>
      </c>
      <c r="B2096" s="218" t="s">
        <v>8423</v>
      </c>
    </row>
    <row r="2097">
      <c r="A2097" s="430">
        <v>4.1674880944E10</v>
      </c>
      <c r="B2097" s="218" t="s">
        <v>8424</v>
      </c>
    </row>
    <row r="2098">
      <c r="A2098" s="430">
        <v>6.4320510968E10</v>
      </c>
      <c r="B2098" s="218" t="s">
        <v>8425</v>
      </c>
    </row>
    <row r="2099">
      <c r="A2099" s="430">
        <v>3.7599810978E10</v>
      </c>
      <c r="B2099" s="218" t="s">
        <v>8426</v>
      </c>
    </row>
    <row r="2100">
      <c r="A2100" s="430">
        <v>2.9194075972E10</v>
      </c>
      <c r="B2100" s="218" t="s">
        <v>8427</v>
      </c>
    </row>
    <row r="2101">
      <c r="A2101" s="430">
        <v>4.1535561904E10</v>
      </c>
      <c r="B2101" s="218" t="s">
        <v>8428</v>
      </c>
    </row>
    <row r="2102">
      <c r="A2102" s="430">
        <v>7.8513189987E10</v>
      </c>
      <c r="B2102" s="218" t="s">
        <v>8429</v>
      </c>
    </row>
    <row r="2103">
      <c r="A2103" s="430">
        <v>1.4143321904E10</v>
      </c>
      <c r="B2103" s="218" t="s">
        <v>8430</v>
      </c>
    </row>
    <row r="2104">
      <c r="A2104" s="430">
        <v>8.8897265987E10</v>
      </c>
      <c r="B2104" s="218" t="s">
        <v>8431</v>
      </c>
    </row>
    <row r="2105">
      <c r="A2105" s="430">
        <v>9.044588818E9</v>
      </c>
      <c r="B2105" s="218" t="s">
        <v>8432</v>
      </c>
    </row>
    <row r="2106">
      <c r="A2106" s="430">
        <v>5.264374392E10</v>
      </c>
      <c r="B2106" s="218" t="s">
        <v>8433</v>
      </c>
    </row>
    <row r="2107">
      <c r="A2107" s="430">
        <v>2.156775192E10</v>
      </c>
      <c r="B2107" s="218" t="s">
        <v>8434</v>
      </c>
    </row>
    <row r="2108">
      <c r="A2108" s="430">
        <v>6.7192033987E10</v>
      </c>
      <c r="B2108" s="218" t="s">
        <v>8435</v>
      </c>
    </row>
    <row r="2109">
      <c r="A2109" s="430">
        <v>2.098891873E9</v>
      </c>
      <c r="B2109" s="218" t="s">
        <v>8436</v>
      </c>
    </row>
    <row r="2110">
      <c r="A2110" s="430">
        <v>7.2606223934E10</v>
      </c>
      <c r="B2110" s="218" t="s">
        <v>8437</v>
      </c>
    </row>
    <row r="2111">
      <c r="A2111" s="430">
        <v>4.1185927034E10</v>
      </c>
      <c r="B2111" s="218" t="s">
        <v>8438</v>
      </c>
    </row>
    <row r="2112">
      <c r="A2112" s="430">
        <v>2.2555234004E10</v>
      </c>
      <c r="B2112" s="218" t="s">
        <v>8439</v>
      </c>
    </row>
    <row r="2113">
      <c r="A2113" s="430">
        <v>8.190249282E10</v>
      </c>
      <c r="B2113" s="218" t="s">
        <v>8440</v>
      </c>
    </row>
    <row r="2114">
      <c r="A2114" s="430">
        <v>2.4580651987E10</v>
      </c>
      <c r="B2114" s="218" t="s">
        <v>8441</v>
      </c>
    </row>
    <row r="2115">
      <c r="A2115" s="430">
        <v>2.0619715049E10</v>
      </c>
      <c r="B2115" s="218" t="s">
        <v>8442</v>
      </c>
    </row>
    <row r="2116">
      <c r="A2116" s="430">
        <v>4.8874990944E10</v>
      </c>
      <c r="B2116" s="218" t="s">
        <v>8443</v>
      </c>
    </row>
    <row r="2117">
      <c r="A2117" s="430">
        <v>2.5775146972E10</v>
      </c>
      <c r="B2117" s="218" t="s">
        <v>8444</v>
      </c>
    </row>
    <row r="2118">
      <c r="A2118" s="430">
        <v>4.6619020925E10</v>
      </c>
      <c r="B2118" s="218" t="s">
        <v>8445</v>
      </c>
    </row>
    <row r="2119">
      <c r="A2119" s="430">
        <v>1.3192647949E10</v>
      </c>
      <c r="B2119" s="218" t="s">
        <v>8446</v>
      </c>
    </row>
    <row r="2120">
      <c r="A2120" s="430">
        <v>6.417213072E9</v>
      </c>
      <c r="B2120" s="218" t="s">
        <v>8447</v>
      </c>
    </row>
    <row r="2121">
      <c r="A2121" s="430">
        <v>1.6317173915E10</v>
      </c>
      <c r="B2121" s="218" t="s">
        <v>8448</v>
      </c>
    </row>
    <row r="2122">
      <c r="A2122" s="430">
        <v>2.2332090959E10</v>
      </c>
      <c r="B2122" s="218" t="s">
        <v>8449</v>
      </c>
    </row>
    <row r="2123">
      <c r="A2123" s="430">
        <v>4.3264972972E10</v>
      </c>
      <c r="B2123" s="218" t="s">
        <v>8450</v>
      </c>
    </row>
    <row r="2124">
      <c r="A2124" s="430">
        <v>3.4410244191E10</v>
      </c>
      <c r="B2124" s="218" t="s">
        <v>8451</v>
      </c>
    </row>
    <row r="2125">
      <c r="A2125" s="430">
        <v>7.1436880963E10</v>
      </c>
      <c r="B2125" s="218" t="s">
        <v>8452</v>
      </c>
    </row>
    <row r="2126">
      <c r="A2126" s="430">
        <v>1.1387181904E10</v>
      </c>
      <c r="B2126" s="218" t="s">
        <v>8453</v>
      </c>
    </row>
    <row r="2127">
      <c r="A2127" s="430">
        <v>4.5995664972E10</v>
      </c>
      <c r="B2127" s="218" t="s">
        <v>8454</v>
      </c>
    </row>
    <row r="2128">
      <c r="A2128" s="430">
        <v>2.4521400906E10</v>
      </c>
      <c r="B2128" s="218" t="s">
        <v>8455</v>
      </c>
    </row>
    <row r="2129">
      <c r="A2129" s="430">
        <v>3.5634316987E10</v>
      </c>
      <c r="B2129" s="218" t="s">
        <v>8456</v>
      </c>
    </row>
    <row r="2130">
      <c r="A2130" s="430">
        <v>5.2831191904E10</v>
      </c>
      <c r="B2130" s="218" t="s">
        <v>8457</v>
      </c>
    </row>
    <row r="2131">
      <c r="A2131" s="430">
        <v>1.777637953E9</v>
      </c>
      <c r="B2131" s="218" t="s">
        <v>8458</v>
      </c>
    </row>
    <row r="2132">
      <c r="A2132" s="430">
        <v>3.0930561953E10</v>
      </c>
      <c r="B2132" s="218" t="s">
        <v>8459</v>
      </c>
    </row>
    <row r="2133">
      <c r="A2133" s="430">
        <v>4.0284093904E10</v>
      </c>
      <c r="B2133" s="218" t="s">
        <v>8460</v>
      </c>
    </row>
    <row r="2134">
      <c r="A2134" s="430">
        <v>2.1147604053E10</v>
      </c>
      <c r="B2134" s="218" t="s">
        <v>8461</v>
      </c>
    </row>
    <row r="2135">
      <c r="A2135" s="430">
        <v>6.7192661953E10</v>
      </c>
      <c r="B2135" s="218" t="s">
        <v>8462</v>
      </c>
    </row>
    <row r="2136">
      <c r="A2136" s="430">
        <v>6.1326658972E10</v>
      </c>
      <c r="B2136" s="218" t="s">
        <v>8463</v>
      </c>
    </row>
    <row r="2137">
      <c r="A2137" s="430">
        <v>5.6178336934E10</v>
      </c>
      <c r="B2137" s="218" t="s">
        <v>8464</v>
      </c>
    </row>
    <row r="2138">
      <c r="A2138" s="430">
        <v>5.3317700963E10</v>
      </c>
      <c r="B2138" s="218" t="s">
        <v>8465</v>
      </c>
    </row>
    <row r="2139">
      <c r="A2139" s="430">
        <v>5.735467034E9</v>
      </c>
      <c r="B2139" s="218" t="s">
        <v>8466</v>
      </c>
    </row>
    <row r="2140">
      <c r="A2140" s="430">
        <v>3.1506453287E10</v>
      </c>
      <c r="B2140" s="218" t="s">
        <v>8467</v>
      </c>
    </row>
    <row r="2141">
      <c r="A2141" s="430">
        <v>6.3672324949E10</v>
      </c>
      <c r="B2141" s="218" t="s">
        <v>8468</v>
      </c>
    </row>
    <row r="2142">
      <c r="A2142" s="430">
        <v>1.9290624949E10</v>
      </c>
      <c r="B2142" s="218" t="s">
        <v>8469</v>
      </c>
    </row>
    <row r="2143">
      <c r="A2143" s="430">
        <v>4.8500364904E10</v>
      </c>
      <c r="B2143" s="218" t="s">
        <v>8470</v>
      </c>
    </row>
    <row r="2144">
      <c r="A2144" s="430">
        <v>7.75179116E10</v>
      </c>
      <c r="B2144" s="218" t="s">
        <v>8471</v>
      </c>
    </row>
    <row r="2145">
      <c r="A2145" s="430">
        <v>8.5363553953E10</v>
      </c>
      <c r="B2145" s="218" t="s">
        <v>8472</v>
      </c>
    </row>
    <row r="2146">
      <c r="A2146" s="430">
        <v>6.0260068187E10</v>
      </c>
      <c r="B2146" s="218" t="s">
        <v>8473</v>
      </c>
    </row>
    <row r="2147">
      <c r="A2147" s="430">
        <v>4.5527105915E10</v>
      </c>
      <c r="B2147" s="218" t="s">
        <v>8474</v>
      </c>
    </row>
    <row r="2148">
      <c r="A2148" s="430">
        <v>3.50840997E9</v>
      </c>
      <c r="B2148" s="218" t="s">
        <v>8475</v>
      </c>
    </row>
    <row r="2149">
      <c r="A2149" s="430">
        <v>3.3404860004E10</v>
      </c>
      <c r="B2149" s="218" t="s">
        <v>8476</v>
      </c>
    </row>
    <row r="2150">
      <c r="A2150" s="430">
        <v>3.5669152034E10</v>
      </c>
      <c r="B2150" s="218" t="s">
        <v>8477</v>
      </c>
    </row>
    <row r="2151">
      <c r="A2151" s="430">
        <v>3.5130091E8</v>
      </c>
      <c r="B2151" s="218" t="s">
        <v>8478</v>
      </c>
    </row>
    <row r="2152">
      <c r="A2152" s="430">
        <v>5.012333004E9</v>
      </c>
      <c r="B2152" s="218" t="s">
        <v>8479</v>
      </c>
    </row>
    <row r="2153">
      <c r="A2153" s="430">
        <v>2.5116452972E10</v>
      </c>
      <c r="B2153" s="218" t="s">
        <v>8480</v>
      </c>
    </row>
    <row r="2154">
      <c r="A2154" s="430">
        <v>3.0970938934E10</v>
      </c>
      <c r="B2154" s="218" t="s">
        <v>8481</v>
      </c>
    </row>
    <row r="2155">
      <c r="A2155" s="430">
        <v>1.006533915E9</v>
      </c>
      <c r="B2155" s="218" t="s">
        <v>8482</v>
      </c>
    </row>
    <row r="2156">
      <c r="A2156" s="430">
        <v>6.7474063972E10</v>
      </c>
      <c r="B2156" s="218" t="s">
        <v>8483</v>
      </c>
    </row>
    <row r="2157">
      <c r="A2157" s="430">
        <v>4.682253492E10</v>
      </c>
      <c r="B2157" s="218" t="s">
        <v>8484</v>
      </c>
    </row>
    <row r="2158">
      <c r="A2158" s="430">
        <v>7.2821370997E10</v>
      </c>
      <c r="B2158" s="218" t="s">
        <v>8485</v>
      </c>
    </row>
    <row r="2159">
      <c r="A2159" s="430">
        <v>2.595053302E10</v>
      </c>
      <c r="B2159" s="218" t="s">
        <v>8486</v>
      </c>
    </row>
    <row r="2160">
      <c r="A2160" s="430">
        <v>4.1652436987E10</v>
      </c>
      <c r="B2160" s="218" t="s">
        <v>8487</v>
      </c>
    </row>
    <row r="2161">
      <c r="A2161" s="430">
        <v>5.538980006E9</v>
      </c>
      <c r="B2161" s="218" t="s">
        <v>8488</v>
      </c>
    </row>
    <row r="2162">
      <c r="A2162" s="430">
        <v>4.6426876968E10</v>
      </c>
      <c r="B2162" s="218" t="s">
        <v>8489</v>
      </c>
    </row>
    <row r="2163">
      <c r="A2163" s="430">
        <v>2.08639691E10</v>
      </c>
      <c r="B2163" s="218" t="s">
        <v>8490</v>
      </c>
    </row>
    <row r="2164">
      <c r="A2164" s="430">
        <v>1.849033943E9</v>
      </c>
      <c r="B2164" s="218" t="s">
        <v>8491</v>
      </c>
    </row>
    <row r="2165">
      <c r="A2165" s="430">
        <v>5.9161E8</v>
      </c>
      <c r="B2165" s="218" t="s">
        <v>8492</v>
      </c>
    </row>
    <row r="2166">
      <c r="A2166" s="430">
        <v>2.879851998E9</v>
      </c>
      <c r="B2166" s="218" t="s">
        <v>8493</v>
      </c>
    </row>
    <row r="2167">
      <c r="A2167" s="430">
        <v>5.03661309E10</v>
      </c>
      <c r="B2167" s="218" t="s">
        <v>8494</v>
      </c>
    </row>
    <row r="2168">
      <c r="A2168" s="430">
        <v>8.6155067953E10</v>
      </c>
      <c r="B2168" s="218" t="s">
        <v>8495</v>
      </c>
    </row>
    <row r="2169">
      <c r="A2169" s="430">
        <v>1.8090721826E10</v>
      </c>
      <c r="B2169" s="218" t="s">
        <v>8496</v>
      </c>
    </row>
    <row r="2170">
      <c r="A2170" s="430">
        <v>6.0120746115E10</v>
      </c>
      <c r="B2170" s="218" t="s">
        <v>8497</v>
      </c>
    </row>
    <row r="2171">
      <c r="A2171" s="430">
        <v>8.0699901987E10</v>
      </c>
      <c r="B2171" s="218" t="s">
        <v>8498</v>
      </c>
    </row>
    <row r="2172">
      <c r="A2172" s="430">
        <v>2.70575766E9</v>
      </c>
      <c r="B2172" s="218" t="s">
        <v>8499</v>
      </c>
    </row>
    <row r="2173">
      <c r="A2173" s="430">
        <v>1.3941714805E10</v>
      </c>
      <c r="B2173" s="218" t="s">
        <v>8500</v>
      </c>
    </row>
    <row r="2174">
      <c r="A2174" s="430">
        <v>3.001811838E9</v>
      </c>
      <c r="B2174" s="218" t="s">
        <v>8501</v>
      </c>
    </row>
    <row r="2175">
      <c r="A2175" s="430">
        <v>1.546179895E9</v>
      </c>
      <c r="B2175" s="218" t="s">
        <v>8502</v>
      </c>
    </row>
    <row r="2176">
      <c r="A2176" s="430">
        <v>2.0922183015E10</v>
      </c>
      <c r="B2176" s="218" t="s">
        <v>8503</v>
      </c>
    </row>
    <row r="2177">
      <c r="A2177" s="430">
        <v>2.67511E7</v>
      </c>
      <c r="B2177" s="218" t="s">
        <v>8504</v>
      </c>
    </row>
    <row r="2178">
      <c r="A2178" s="430">
        <v>1.284534782E10</v>
      </c>
      <c r="B2178" s="218" t="s">
        <v>8505</v>
      </c>
    </row>
    <row r="2179">
      <c r="A2179" s="430">
        <v>7.8541107949E10</v>
      </c>
      <c r="B2179" s="218" t="s">
        <v>8506</v>
      </c>
    </row>
    <row r="2180">
      <c r="A2180" s="430">
        <v>1.9509049972E10</v>
      </c>
      <c r="B2180" s="218" t="s">
        <v>8507</v>
      </c>
    </row>
    <row r="2181">
      <c r="A2181" s="430">
        <v>4.5028710953E10</v>
      </c>
      <c r="B2181" s="218" t="s">
        <v>8508</v>
      </c>
    </row>
    <row r="2182">
      <c r="A2182" s="430">
        <v>3.4421815934E10</v>
      </c>
      <c r="B2182" s="218" t="s">
        <v>8509</v>
      </c>
    </row>
    <row r="2183">
      <c r="A2183" s="430">
        <v>9.800042091E9</v>
      </c>
      <c r="B2183" s="218" t="s">
        <v>8510</v>
      </c>
    </row>
    <row r="2184">
      <c r="A2184" s="430">
        <v>5.0060058072E10</v>
      </c>
      <c r="B2184" s="218" t="s">
        <v>8511</v>
      </c>
    </row>
    <row r="2185">
      <c r="A2185" s="430">
        <v>2.8904257972E10</v>
      </c>
      <c r="B2185" s="218" t="s">
        <v>8512</v>
      </c>
    </row>
    <row r="2186">
      <c r="A2186" s="430">
        <v>5.72811659E10</v>
      </c>
      <c r="B2186" s="218" t="s">
        <v>8513</v>
      </c>
    </row>
    <row r="2187">
      <c r="A2187" s="430">
        <v>4.1737431904E10</v>
      </c>
      <c r="B2187" s="218" t="s">
        <v>8514</v>
      </c>
    </row>
    <row r="2188">
      <c r="A2188" s="430">
        <v>7.4313509968E10</v>
      </c>
      <c r="B2188" s="218" t="s">
        <v>8515</v>
      </c>
    </row>
    <row r="2189">
      <c r="A2189" s="430">
        <v>5.0929356934E10</v>
      </c>
      <c r="B2189" s="218" t="s">
        <v>8516</v>
      </c>
    </row>
    <row r="2190">
      <c r="A2190" s="430">
        <v>4.5461732968E10</v>
      </c>
      <c r="B2190" s="218" t="s">
        <v>8517</v>
      </c>
    </row>
    <row r="2191">
      <c r="A2191" s="430">
        <v>3.1334474915E10</v>
      </c>
      <c r="B2191" s="218" t="s">
        <v>8518</v>
      </c>
    </row>
    <row r="2192">
      <c r="A2192" s="430">
        <v>1.7916496968E10</v>
      </c>
      <c r="B2192" s="218" t="s">
        <v>8519</v>
      </c>
    </row>
    <row r="2193">
      <c r="A2193" s="430">
        <v>2.4876461015E10</v>
      </c>
      <c r="B2193" s="218" t="s">
        <v>8520</v>
      </c>
    </row>
    <row r="2194">
      <c r="A2194" s="430">
        <v>1.88641458E10</v>
      </c>
      <c r="B2194" s="218" t="s">
        <v>8521</v>
      </c>
    </row>
    <row r="2195">
      <c r="A2195" s="430">
        <v>4.474238001E10</v>
      </c>
      <c r="B2195" s="218" t="s">
        <v>8522</v>
      </c>
    </row>
    <row r="2196">
      <c r="A2196" s="430">
        <v>5.0887653049E10</v>
      </c>
      <c r="B2196" s="218" t="s">
        <v>8523</v>
      </c>
    </row>
    <row r="2197">
      <c r="A2197" s="430">
        <v>1.6633415915E10</v>
      </c>
      <c r="B2197" s="218" t="s">
        <v>8524</v>
      </c>
    </row>
    <row r="2198">
      <c r="A2198" s="430">
        <v>2.6085810059E10</v>
      </c>
      <c r="B2198" s="218" t="s">
        <v>8525</v>
      </c>
    </row>
    <row r="2199">
      <c r="A2199" s="430">
        <v>5.2783294915E10</v>
      </c>
      <c r="B2199" s="218" t="s">
        <v>8526</v>
      </c>
    </row>
    <row r="2200">
      <c r="A2200" s="430">
        <v>6.263925E9</v>
      </c>
      <c r="B2200" s="218" t="s">
        <v>8527</v>
      </c>
    </row>
    <row r="2201">
      <c r="A2201" s="430">
        <v>2.9015480087E10</v>
      </c>
      <c r="B2201" s="218" t="s">
        <v>8528</v>
      </c>
    </row>
    <row r="2202">
      <c r="A2202" s="430">
        <v>8.45817E8</v>
      </c>
      <c r="B2202" s="218" t="s">
        <v>8529</v>
      </c>
    </row>
    <row r="2203">
      <c r="A2203" s="430">
        <v>6.0860510972E10</v>
      </c>
      <c r="B2203" s="218" t="s">
        <v>8530</v>
      </c>
    </row>
    <row r="2204">
      <c r="A2204" s="430">
        <v>3.0488710987E10</v>
      </c>
      <c r="B2204" s="218" t="s">
        <v>8531</v>
      </c>
    </row>
    <row r="2205">
      <c r="A2205" s="430">
        <v>4.9032445987E10</v>
      </c>
      <c r="B2205" s="218" t="s">
        <v>8532</v>
      </c>
    </row>
    <row r="2206">
      <c r="A2206" s="430">
        <v>3.46835429E10</v>
      </c>
      <c r="B2206" s="218" t="s">
        <v>8533</v>
      </c>
    </row>
    <row r="2207">
      <c r="A2207" s="430">
        <v>5.5561241834E10</v>
      </c>
      <c r="B2207" s="218" t="s">
        <v>8534</v>
      </c>
    </row>
    <row r="2208">
      <c r="A2208" s="430">
        <v>8.4442140944E10</v>
      </c>
      <c r="B2208" s="218" t="s">
        <v>8535</v>
      </c>
    </row>
    <row r="2209">
      <c r="A2209" s="430">
        <v>9.0477278515E10</v>
      </c>
      <c r="B2209" s="218" t="s">
        <v>8536</v>
      </c>
    </row>
    <row r="2210">
      <c r="A2210" s="430">
        <v>6.6939739904E10</v>
      </c>
      <c r="B2210" s="218" t="s">
        <v>8537</v>
      </c>
    </row>
    <row r="2211">
      <c r="A2211" s="430">
        <v>6.522564904E9</v>
      </c>
      <c r="B2211" s="218" t="s">
        <v>8538</v>
      </c>
    </row>
    <row r="2212">
      <c r="A2212" s="430">
        <v>2.6609037868E10</v>
      </c>
      <c r="B2212" s="218" t="s">
        <v>8539</v>
      </c>
    </row>
    <row r="2213">
      <c r="A2213" s="430">
        <v>1.0103515836E10</v>
      </c>
      <c r="B2213" s="218" t="s">
        <v>8540</v>
      </c>
    </row>
    <row r="2214">
      <c r="A2214" s="430">
        <v>5.0834126672E10</v>
      </c>
      <c r="B2214" s="218" t="s">
        <v>8541</v>
      </c>
    </row>
    <row r="2215">
      <c r="A2215" s="430">
        <v>2.888150921E9</v>
      </c>
      <c r="B2215" s="218" t="s">
        <v>8542</v>
      </c>
    </row>
    <row r="2216">
      <c r="A2216" s="430">
        <v>8.1632282968E10</v>
      </c>
      <c r="B2216" s="218" t="s">
        <v>8543</v>
      </c>
    </row>
    <row r="2217">
      <c r="A2217" s="430">
        <v>1.0758372868E10</v>
      </c>
      <c r="B2217" s="218" t="s">
        <v>8544</v>
      </c>
    </row>
    <row r="2218">
      <c r="A2218" s="430">
        <v>3.316168826E9</v>
      </c>
      <c r="B2218" s="218" t="s">
        <v>8545</v>
      </c>
    </row>
    <row r="2219">
      <c r="A2219" s="430">
        <v>2.56847282E9</v>
      </c>
      <c r="B2219" s="218" t="s">
        <v>8546</v>
      </c>
    </row>
    <row r="2220">
      <c r="A2220" s="430">
        <v>8.8756696949E10</v>
      </c>
      <c r="B2220" s="218" t="s">
        <v>8547</v>
      </c>
    </row>
    <row r="2221">
      <c r="A2221" s="430">
        <v>2.9412706804E10</v>
      </c>
      <c r="B2221" s="218" t="s">
        <v>8548</v>
      </c>
    </row>
    <row r="2222">
      <c r="A2222" s="430">
        <v>4.5031428953E10</v>
      </c>
      <c r="B2222" s="218" t="s">
        <v>8549</v>
      </c>
    </row>
    <row r="2223">
      <c r="A2223" s="430">
        <v>1.0224229877E10</v>
      </c>
      <c r="B2223" s="218" t="s">
        <v>8550</v>
      </c>
    </row>
    <row r="2224">
      <c r="A2224" s="430">
        <v>7.2431482804E10</v>
      </c>
      <c r="B2224" s="218" t="s">
        <v>8551</v>
      </c>
    </row>
    <row r="2225">
      <c r="A2225" s="430">
        <v>1.783286938E9</v>
      </c>
      <c r="B2225" s="218" t="s">
        <v>8552</v>
      </c>
    </row>
    <row r="2226">
      <c r="A2226" s="430">
        <v>1.6182438886E10</v>
      </c>
      <c r="B2226" s="218" t="s">
        <v>8553</v>
      </c>
    </row>
    <row r="2227">
      <c r="A2227" s="430">
        <v>1.4412190803E10</v>
      </c>
      <c r="B2227" s="218" t="s">
        <v>8554</v>
      </c>
    </row>
    <row r="2228">
      <c r="A2228" s="430">
        <v>5.157090834E9</v>
      </c>
      <c r="B2228" s="218" t="s">
        <v>8555</v>
      </c>
    </row>
    <row r="2229">
      <c r="A2229" s="430">
        <v>4.1766741991E10</v>
      </c>
      <c r="B2229" s="218" t="s">
        <v>8556</v>
      </c>
    </row>
    <row r="2230">
      <c r="A2230" s="430">
        <v>4.9182790906E10</v>
      </c>
      <c r="B2230" s="218" t="s">
        <v>8557</v>
      </c>
    </row>
    <row r="2231">
      <c r="A2231" s="430">
        <v>1.3560450063E10</v>
      </c>
      <c r="B2231" s="218" t="s">
        <v>8558</v>
      </c>
    </row>
    <row r="2232">
      <c r="A2232" s="430">
        <v>4.1300141231E10</v>
      </c>
      <c r="B2232" s="218" t="s">
        <v>8559</v>
      </c>
    </row>
    <row r="2233">
      <c r="A2233" s="430">
        <v>1.8377653087E10</v>
      </c>
      <c r="B2233" s="218" t="s">
        <v>8560</v>
      </c>
    </row>
    <row r="2234">
      <c r="A2234" s="430">
        <v>3.5959886987E10</v>
      </c>
      <c r="B2234" s="218" t="s">
        <v>8561</v>
      </c>
    </row>
    <row r="2235">
      <c r="A2235" s="430">
        <v>6.279015734E9</v>
      </c>
      <c r="B2235" s="218" t="s">
        <v>8562</v>
      </c>
    </row>
    <row r="2236">
      <c r="A2236" s="430">
        <v>2.9924146972E10</v>
      </c>
      <c r="B2236" s="218" t="s">
        <v>8563</v>
      </c>
    </row>
    <row r="2237">
      <c r="A2237" s="430">
        <v>4.1228235449E10</v>
      </c>
      <c r="B2237" s="218" t="s">
        <v>8564</v>
      </c>
    </row>
    <row r="2238">
      <c r="A2238" s="430">
        <v>2.1576637972E10</v>
      </c>
      <c r="B2238" s="218" t="s">
        <v>8565</v>
      </c>
    </row>
    <row r="2239">
      <c r="A2239" s="430">
        <v>2.7130606053E10</v>
      </c>
      <c r="B2239" s="218" t="s">
        <v>8566</v>
      </c>
    </row>
    <row r="2240">
      <c r="A2240" s="430">
        <v>6.974612702E9</v>
      </c>
      <c r="B2240" s="218" t="s">
        <v>8567</v>
      </c>
    </row>
    <row r="2241">
      <c r="A2241" s="430">
        <v>2.4619086991E10</v>
      </c>
      <c r="B2241" s="218" t="s">
        <v>8568</v>
      </c>
    </row>
    <row r="2242">
      <c r="A2242" s="430">
        <v>1.252713878E9</v>
      </c>
      <c r="B2242" s="218" t="s">
        <v>8569</v>
      </c>
    </row>
    <row r="2243">
      <c r="A2243" s="430">
        <v>4.9129333334E10</v>
      </c>
      <c r="B2243" s="218" t="s">
        <v>8570</v>
      </c>
    </row>
    <row r="2244">
      <c r="A2244" s="430">
        <v>1.680973975E9</v>
      </c>
      <c r="B2244" s="218" t="s">
        <v>8571</v>
      </c>
    </row>
    <row r="2245">
      <c r="A2245" s="430">
        <v>7.652852668E9</v>
      </c>
      <c r="B2245" s="218" t="s">
        <v>8572</v>
      </c>
    </row>
    <row r="2246">
      <c r="A2246" s="430">
        <v>4.8326755672E10</v>
      </c>
      <c r="B2246" s="218" t="s">
        <v>8573</v>
      </c>
    </row>
    <row r="2247">
      <c r="A2247" s="430">
        <v>5.65122959E8</v>
      </c>
      <c r="B2247" s="218" t="s">
        <v>8574</v>
      </c>
    </row>
    <row r="2248">
      <c r="A2248" s="430">
        <v>6.2968688049E10</v>
      </c>
      <c r="B2248" s="218" t="s">
        <v>8575</v>
      </c>
    </row>
    <row r="2249">
      <c r="A2249" s="430">
        <v>6.75839204E10</v>
      </c>
      <c r="B2249" s="218" t="s">
        <v>8576</v>
      </c>
    </row>
    <row r="2250">
      <c r="A2250" s="430">
        <v>7.02773549E10</v>
      </c>
      <c r="B2250" s="218" t="s">
        <v>8577</v>
      </c>
    </row>
    <row r="2251">
      <c r="A2251" s="430">
        <v>6.136686937E9</v>
      </c>
      <c r="B2251" s="218" t="s">
        <v>8578</v>
      </c>
    </row>
    <row r="2252">
      <c r="A2252" s="430">
        <v>9.4101760004E10</v>
      </c>
      <c r="B2252" s="218" t="s">
        <v>8579</v>
      </c>
    </row>
    <row r="2253">
      <c r="A2253" s="430">
        <v>4.4263813049E10</v>
      </c>
      <c r="B2253" s="218" t="s">
        <v>8580</v>
      </c>
    </row>
    <row r="2254">
      <c r="A2254" s="430">
        <v>8.916933692E10</v>
      </c>
      <c r="B2254" s="218" t="s">
        <v>8581</v>
      </c>
    </row>
    <row r="2255">
      <c r="A2255" s="430">
        <v>3.2610799837E10</v>
      </c>
      <c r="B2255" s="218" t="s">
        <v>8582</v>
      </c>
    </row>
    <row r="2256">
      <c r="A2256" s="430">
        <v>1.1787920801E10</v>
      </c>
      <c r="B2256" s="218" t="s">
        <v>8583</v>
      </c>
    </row>
    <row r="2257">
      <c r="A2257" s="430">
        <v>4.9612468915E10</v>
      </c>
      <c r="B2257" s="218" t="s">
        <v>8584</v>
      </c>
    </row>
    <row r="2258">
      <c r="A2258" s="430">
        <v>8.47627489E10</v>
      </c>
      <c r="B2258" s="218" t="s">
        <v>8585</v>
      </c>
    </row>
    <row r="2259">
      <c r="A2259" s="430">
        <v>5.2112527991E10</v>
      </c>
      <c r="B2259" s="218" t="s">
        <v>8586</v>
      </c>
    </row>
    <row r="2260">
      <c r="A2260" s="430">
        <v>1.3545312801E10</v>
      </c>
      <c r="B2260" s="218" t="s">
        <v>8587</v>
      </c>
    </row>
    <row r="2261">
      <c r="A2261" s="430">
        <v>6.30463859E10</v>
      </c>
      <c r="B2261" s="218" t="s">
        <v>8588</v>
      </c>
    </row>
    <row r="2262">
      <c r="A2262" s="430">
        <v>5.9024712068E10</v>
      </c>
      <c r="B2262" s="218" t="s">
        <v>8589</v>
      </c>
    </row>
    <row r="2263">
      <c r="A2263" s="430">
        <v>1.77130997E8</v>
      </c>
      <c r="B2263" s="218" t="s">
        <v>8590</v>
      </c>
    </row>
    <row r="2264">
      <c r="A2264" s="430">
        <v>2.8866282987E10</v>
      </c>
      <c r="B2264" s="218" t="s">
        <v>8591</v>
      </c>
    </row>
    <row r="2265">
      <c r="A2265" s="430">
        <v>3.0574986049E10</v>
      </c>
      <c r="B2265" s="218" t="s">
        <v>8592</v>
      </c>
    </row>
    <row r="2266">
      <c r="A2266" s="430">
        <v>3.7630610025E10</v>
      </c>
      <c r="B2266" s="218" t="s">
        <v>8593</v>
      </c>
    </row>
    <row r="2267">
      <c r="A2267" s="430">
        <v>2.0215380525E10</v>
      </c>
      <c r="B2267" s="218" t="s">
        <v>8594</v>
      </c>
    </row>
    <row r="2268">
      <c r="A2268" s="430">
        <v>5.17444909E8</v>
      </c>
      <c r="B2268" s="218" t="s">
        <v>8595</v>
      </c>
    </row>
    <row r="2269">
      <c r="A2269" s="430">
        <v>2.4912026972E10</v>
      </c>
      <c r="B2269" s="218" t="s">
        <v>8596</v>
      </c>
    </row>
    <row r="2270">
      <c r="A2270" s="430">
        <v>8.5281204904E10</v>
      </c>
      <c r="B2270" s="218" t="s">
        <v>8597</v>
      </c>
    </row>
    <row r="2271">
      <c r="A2271" s="430">
        <v>3.5296575E7</v>
      </c>
      <c r="B2271" s="218">
        <v>1.0</v>
      </c>
    </row>
    <row r="2272">
      <c r="A2272" s="430">
        <v>3.445352909E9</v>
      </c>
      <c r="B2272" s="218" t="s">
        <v>8598</v>
      </c>
    </row>
    <row r="2273">
      <c r="A2273" s="430">
        <v>1.7977312972E10</v>
      </c>
      <c r="B2273" s="218" t="s">
        <v>8599</v>
      </c>
    </row>
    <row r="2274">
      <c r="A2274" s="430">
        <v>2.0040342972E10</v>
      </c>
      <c r="B2274" s="218" t="s">
        <v>8600</v>
      </c>
    </row>
    <row r="2275">
      <c r="A2275" s="430">
        <v>8.3160027791E10</v>
      </c>
      <c r="B2275" s="218" t="s">
        <v>8601</v>
      </c>
    </row>
    <row r="2276">
      <c r="A2276" s="430">
        <v>4.1301341231E10</v>
      </c>
      <c r="B2276" s="218" t="s">
        <v>8559</v>
      </c>
    </row>
    <row r="2277">
      <c r="A2277" s="430">
        <v>2.5460242991E10</v>
      </c>
      <c r="B2277" s="218" t="s">
        <v>8602</v>
      </c>
    </row>
    <row r="2278">
      <c r="A2278" s="430">
        <v>9.5275657749E10</v>
      </c>
      <c r="B2278" s="218" t="s">
        <v>8603</v>
      </c>
    </row>
    <row r="2279">
      <c r="A2279" s="430">
        <v>8.731526292E10</v>
      </c>
      <c r="B2279" s="218" t="s">
        <v>8604</v>
      </c>
    </row>
    <row r="2280">
      <c r="A2280" s="430">
        <v>1.3664867653E10</v>
      </c>
      <c r="B2280" s="218" t="s">
        <v>8605</v>
      </c>
    </row>
    <row r="2281">
      <c r="A2281" s="430">
        <v>5.9218258087E10</v>
      </c>
      <c r="B2281" s="218" t="s">
        <v>8606</v>
      </c>
    </row>
    <row r="2282">
      <c r="A2282" s="430">
        <v>5.911797763E9</v>
      </c>
      <c r="B2282" s="218" t="s">
        <v>8607</v>
      </c>
    </row>
    <row r="2283">
      <c r="A2283" s="430">
        <v>4.9182790901E10</v>
      </c>
      <c r="B2283" s="218" t="s">
        <v>8557</v>
      </c>
    </row>
    <row r="2284">
      <c r="A2284" s="430">
        <v>6.665833909E9</v>
      </c>
      <c r="B2284" s="218" t="s">
        <v>8608</v>
      </c>
    </row>
    <row r="2285">
      <c r="A2285" s="430">
        <v>9.4086613034E10</v>
      </c>
      <c r="B2285" s="218" t="s">
        <v>8609</v>
      </c>
    </row>
    <row r="2286">
      <c r="A2286" s="430">
        <v>6.462169966E9</v>
      </c>
      <c r="B2286" s="218" t="s">
        <v>8610</v>
      </c>
    </row>
    <row r="2287">
      <c r="A2287" s="430">
        <v>8.1053223153E10</v>
      </c>
      <c r="B2287" s="218" t="s">
        <v>8611</v>
      </c>
    </row>
    <row r="2288">
      <c r="A2288" s="430">
        <v>1.718923392E10</v>
      </c>
      <c r="B2288" s="218" t="s">
        <v>5225</v>
      </c>
    </row>
    <row r="2289">
      <c r="A2289" s="430">
        <v>8.251136792E9</v>
      </c>
      <c r="B2289" s="218" t="s">
        <v>8612</v>
      </c>
    </row>
    <row r="2290">
      <c r="A2290" s="430">
        <v>1.4461214885E10</v>
      </c>
      <c r="B2290" s="218" t="s">
        <v>8613</v>
      </c>
    </row>
    <row r="2291">
      <c r="A2291" s="430">
        <v>1.78381187E8</v>
      </c>
      <c r="B2291" s="218" t="s">
        <v>8614</v>
      </c>
    </row>
    <row r="2292">
      <c r="A2292" s="430">
        <v>6.46986081E9</v>
      </c>
      <c r="B2292" s="218" t="s">
        <v>8615</v>
      </c>
    </row>
    <row r="2293">
      <c r="A2293" s="430">
        <v>8.1496931068E10</v>
      </c>
      <c r="B2293" s="218" t="s">
        <v>8616</v>
      </c>
    </row>
    <row r="2294">
      <c r="A2294" s="430">
        <v>1.1024500001E10</v>
      </c>
      <c r="B2294" s="218" t="s">
        <v>5251</v>
      </c>
    </row>
    <row r="2295">
      <c r="A2295" s="430">
        <v>8.049324923E9</v>
      </c>
      <c r="B2295" s="218" t="s">
        <v>8617</v>
      </c>
    </row>
    <row r="2296">
      <c r="A2296" s="430">
        <v>3.4982450072E10</v>
      </c>
      <c r="B2296" s="218" t="s">
        <v>8618</v>
      </c>
    </row>
    <row r="2297">
      <c r="A2297" s="430">
        <v>2.418614891E9</v>
      </c>
      <c r="B2297" s="218" t="s">
        <v>8619</v>
      </c>
    </row>
    <row r="2298">
      <c r="A2298" s="430">
        <v>1.913743934E9</v>
      </c>
      <c r="B2298" s="218" t="s">
        <v>8620</v>
      </c>
    </row>
    <row r="2299">
      <c r="A2299" s="430">
        <v>5.7190615091E10</v>
      </c>
      <c r="B2299" s="218" t="s">
        <v>8621</v>
      </c>
    </row>
    <row r="2300">
      <c r="A2300" s="430">
        <v>3.515720812E10</v>
      </c>
      <c r="B2300" s="218" t="s">
        <v>8622</v>
      </c>
    </row>
    <row r="2301">
      <c r="A2301" s="430">
        <v>8.1741065968E10</v>
      </c>
      <c r="B2301" s="218" t="s">
        <v>8623</v>
      </c>
    </row>
    <row r="2302">
      <c r="A2302" s="430">
        <v>8.09745976E8</v>
      </c>
      <c r="B2302" s="218" t="s">
        <v>5932</v>
      </c>
    </row>
    <row r="2303">
      <c r="A2303" s="430">
        <v>4.6450254068E10</v>
      </c>
      <c r="B2303" s="218" t="s">
        <v>8624</v>
      </c>
    </row>
    <row r="2304">
      <c r="A2304" s="430">
        <v>8.8863301972E10</v>
      </c>
      <c r="B2304" s="218" t="s">
        <v>8625</v>
      </c>
    </row>
    <row r="2305">
      <c r="A2305" s="430">
        <v>3.037381973E9</v>
      </c>
      <c r="B2305" s="218" t="s">
        <v>8626</v>
      </c>
    </row>
    <row r="2306">
      <c r="A2306" s="430">
        <v>6.182616202E10</v>
      </c>
      <c r="B2306" s="218" t="s">
        <v>8627</v>
      </c>
    </row>
    <row r="2307">
      <c r="A2307" s="430">
        <v>4.6187855949E10</v>
      </c>
      <c r="B2307" s="218" t="s">
        <v>8628</v>
      </c>
    </row>
    <row r="2308">
      <c r="A2308" s="430">
        <v>6.6709121704E10</v>
      </c>
      <c r="B2308" s="218" t="s">
        <v>8629</v>
      </c>
    </row>
    <row r="2309">
      <c r="A2309" s="430">
        <v>3.0985706104E10</v>
      </c>
      <c r="B2309" s="218" t="s">
        <v>8630</v>
      </c>
    </row>
    <row r="2310">
      <c r="A2310" s="430">
        <v>9.0594843715E10</v>
      </c>
      <c r="B2310" s="218" t="s">
        <v>8631</v>
      </c>
    </row>
    <row r="2311">
      <c r="A2311" s="430">
        <v>6.5238486987E10</v>
      </c>
      <c r="B2311" s="218" t="s">
        <v>8632</v>
      </c>
    </row>
    <row r="2312">
      <c r="A2312" s="430">
        <v>6.7761933804E10</v>
      </c>
      <c r="B2312" s="218" t="s">
        <v>8633</v>
      </c>
    </row>
    <row r="2313">
      <c r="A2313" s="430">
        <v>8.78669787E9</v>
      </c>
      <c r="B2313" s="218" t="s">
        <v>8634</v>
      </c>
    </row>
    <row r="2314">
      <c r="A2314" s="430">
        <v>5.547454362E10</v>
      </c>
      <c r="B2314" s="218" t="s">
        <v>8635</v>
      </c>
    </row>
    <row r="2315">
      <c r="A2315" s="430">
        <v>6.1147761949E10</v>
      </c>
      <c r="B2315" s="218" t="s">
        <v>8636</v>
      </c>
    </row>
    <row r="2316">
      <c r="A2316" s="430">
        <v>4.32489681E9</v>
      </c>
      <c r="B2316" s="218" t="s">
        <v>8637</v>
      </c>
    </row>
    <row r="2317">
      <c r="A2317" s="430">
        <v>4.342977982E9</v>
      </c>
      <c r="B2317" s="218" t="s">
        <v>8638</v>
      </c>
    </row>
    <row r="2318">
      <c r="A2318" s="430">
        <v>4.262280144E9</v>
      </c>
      <c r="B2318" s="218" t="s">
        <v>8639</v>
      </c>
    </row>
    <row r="2319">
      <c r="A2319" s="430">
        <v>3.103139888E9</v>
      </c>
      <c r="B2319" s="218" t="s">
        <v>8640</v>
      </c>
    </row>
    <row r="2320">
      <c r="A2320" s="430">
        <v>2.4615571879E10</v>
      </c>
      <c r="B2320" s="218" t="s">
        <v>8641</v>
      </c>
    </row>
    <row r="2321">
      <c r="A2321" s="430">
        <v>7.65285268E8</v>
      </c>
      <c r="B2321" s="218" t="s">
        <v>8572</v>
      </c>
    </row>
    <row r="2322">
      <c r="A2322" s="430">
        <v>8.1339771853E10</v>
      </c>
      <c r="B2322" s="218" t="s">
        <v>8642</v>
      </c>
    </row>
    <row r="2323">
      <c r="A2323" s="430">
        <v>6.1267791934E10</v>
      </c>
      <c r="B2323" s="218" t="s">
        <v>8643</v>
      </c>
    </row>
    <row r="2324">
      <c r="A2324" s="430">
        <v>4.2940052972E10</v>
      </c>
      <c r="B2324" s="218" t="s">
        <v>8644</v>
      </c>
    </row>
    <row r="2325">
      <c r="A2325" s="430">
        <v>9.08952155E8</v>
      </c>
      <c r="B2325" s="218" t="s">
        <v>8645</v>
      </c>
    </row>
    <row r="2326">
      <c r="A2326" s="430">
        <v>3.529657549E9</v>
      </c>
      <c r="B2326" s="218" t="s">
        <v>8646</v>
      </c>
    </row>
    <row r="2327">
      <c r="A2327" s="430">
        <v>4.3768032E10</v>
      </c>
      <c r="B2327" s="218" t="s">
        <v>8647</v>
      </c>
    </row>
    <row r="2328">
      <c r="A2328" s="430">
        <v>8.5638625453E10</v>
      </c>
      <c r="B2328" s="218" t="s">
        <v>8648</v>
      </c>
    </row>
    <row r="2329">
      <c r="A2329" s="430">
        <v>8.3443975968E10</v>
      </c>
      <c r="B2329" s="218" t="s">
        <v>8649</v>
      </c>
    </row>
    <row r="2330">
      <c r="A2330" s="430">
        <v>6.583035979E9</v>
      </c>
      <c r="B2330" s="218" t="s">
        <v>8650</v>
      </c>
    </row>
    <row r="2331">
      <c r="A2331" s="430">
        <v>5.1017057202E10</v>
      </c>
      <c r="B2331" s="218" t="s">
        <v>8651</v>
      </c>
    </row>
    <row r="2332">
      <c r="A2332" s="430">
        <v>4.4809565068E10</v>
      </c>
      <c r="B2332" s="218" t="s">
        <v>8652</v>
      </c>
    </row>
    <row r="2333">
      <c r="A2333" s="430">
        <v>4.885881978E9</v>
      </c>
      <c r="B2333" s="218" t="s">
        <v>8653</v>
      </c>
    </row>
    <row r="2334">
      <c r="A2334" s="430">
        <v>5.1507633904E10</v>
      </c>
      <c r="B2334" s="218" t="s">
        <v>8654</v>
      </c>
    </row>
    <row r="2335">
      <c r="A2335" s="430">
        <v>4.4300255091E10</v>
      </c>
      <c r="B2335" s="218" t="s">
        <v>8655</v>
      </c>
    </row>
    <row r="2336">
      <c r="A2336" s="430">
        <v>2.935634292E10</v>
      </c>
      <c r="B2336" s="218" t="s">
        <v>8656</v>
      </c>
    </row>
    <row r="2337">
      <c r="A2337" s="430">
        <v>3.6770248972E10</v>
      </c>
      <c r="B2337" s="218" t="s">
        <v>8657</v>
      </c>
    </row>
    <row r="2338">
      <c r="A2338" s="430">
        <v>9.615717991E9</v>
      </c>
      <c r="B2338" s="218" t="s">
        <v>8658</v>
      </c>
    </row>
    <row r="2339">
      <c r="A2339" s="430">
        <v>2.2385592991E10</v>
      </c>
      <c r="B2339" s="218" t="s">
        <v>8659</v>
      </c>
    </row>
    <row r="2340">
      <c r="A2340" s="430">
        <v>2.0296088404E10</v>
      </c>
      <c r="B2340" s="218" t="s">
        <v>8660</v>
      </c>
    </row>
    <row r="2341">
      <c r="A2341" s="430">
        <v>2.3532572087E10</v>
      </c>
      <c r="B2341" s="218" t="s">
        <v>8661</v>
      </c>
    </row>
    <row r="2342">
      <c r="A2342" s="430">
        <v>3.7669052953E10</v>
      </c>
      <c r="B2342" s="218" t="s">
        <v>8662</v>
      </c>
    </row>
    <row r="2343">
      <c r="A2343" s="430">
        <v>5.7948640959E10</v>
      </c>
      <c r="B2343" s="218" t="s">
        <v>8663</v>
      </c>
    </row>
    <row r="2344">
      <c r="A2344" s="430">
        <v>6.469786081E10</v>
      </c>
      <c r="B2344" s="218" t="s">
        <v>8615</v>
      </c>
    </row>
    <row r="2345">
      <c r="A2345" s="430">
        <v>5.1073544087E10</v>
      </c>
      <c r="B2345" s="218" t="s">
        <v>8664</v>
      </c>
    </row>
    <row r="2346">
      <c r="A2346" s="430">
        <v>3.833226935E9</v>
      </c>
      <c r="B2346" s="218" t="s">
        <v>8665</v>
      </c>
    </row>
    <row r="2347">
      <c r="A2347" s="430">
        <v>4.6641459934E10</v>
      </c>
      <c r="B2347" s="218" t="s">
        <v>8666</v>
      </c>
    </row>
    <row r="2348">
      <c r="A2348" s="430">
        <v>1.450936881E10</v>
      </c>
      <c r="B2348" s="218" t="s">
        <v>8667</v>
      </c>
    </row>
    <row r="2349">
      <c r="A2349" s="430">
        <v>9.3258968934E10</v>
      </c>
      <c r="B2349" s="218" t="s">
        <v>8668</v>
      </c>
    </row>
    <row r="2350">
      <c r="A2350" s="430">
        <v>5.8459294072E10</v>
      </c>
      <c r="B2350" s="218" t="s">
        <v>8669</v>
      </c>
    </row>
    <row r="2351">
      <c r="A2351" s="430">
        <v>4.9978829687E10</v>
      </c>
      <c r="B2351" s="218" t="s">
        <v>8670</v>
      </c>
    </row>
    <row r="2352">
      <c r="A2352" s="430">
        <v>3.652587928E9</v>
      </c>
      <c r="B2352" s="218" t="s">
        <v>8671</v>
      </c>
    </row>
    <row r="2353">
      <c r="A2353" s="430">
        <v>4.8787914034E10</v>
      </c>
      <c r="B2353" s="218" t="s">
        <v>8672</v>
      </c>
    </row>
    <row r="2354">
      <c r="A2354" s="430">
        <v>8.9382536949E10</v>
      </c>
      <c r="B2354" s="218" t="s">
        <v>8673</v>
      </c>
    </row>
    <row r="2355">
      <c r="A2355" s="430">
        <v>2.941480692E10</v>
      </c>
      <c r="B2355" s="218" t="s">
        <v>8674</v>
      </c>
    </row>
    <row r="2356">
      <c r="A2356" s="430">
        <v>4.4029659004E10</v>
      </c>
      <c r="B2356" s="218" t="s">
        <v>8675</v>
      </c>
    </row>
    <row r="2357">
      <c r="A2357" s="430">
        <v>7.040252996E9</v>
      </c>
      <c r="B2357" s="218" t="s">
        <v>8676</v>
      </c>
    </row>
    <row r="2358">
      <c r="A2358" s="430">
        <v>5.997085651E9</v>
      </c>
      <c r="B2358" s="218" t="s">
        <v>8677</v>
      </c>
    </row>
    <row r="2359">
      <c r="A2359" s="430">
        <v>7.043457904E9</v>
      </c>
      <c r="B2359" s="218" t="s">
        <v>8678</v>
      </c>
    </row>
    <row r="2360">
      <c r="A2360" s="430">
        <v>2.6038811087E10</v>
      </c>
      <c r="B2360" s="218" t="s">
        <v>8679</v>
      </c>
    </row>
    <row r="2361">
      <c r="A2361" s="430">
        <v>1.6189094449E10</v>
      </c>
      <c r="B2361" s="218" t="s">
        <v>8680</v>
      </c>
    </row>
    <row r="2362">
      <c r="A2362" s="430">
        <v>4.6839585034E10</v>
      </c>
      <c r="B2362" s="218" t="s">
        <v>8681</v>
      </c>
    </row>
    <row r="2363">
      <c r="A2363" s="430">
        <v>6.0896540944E10</v>
      </c>
      <c r="B2363" s="218" t="s">
        <v>8682</v>
      </c>
    </row>
    <row r="2364">
      <c r="A2364" s="430">
        <v>3.8315785915E10</v>
      </c>
      <c r="B2364" s="218" t="s">
        <v>8683</v>
      </c>
    </row>
    <row r="2365">
      <c r="A2365" s="430">
        <v>8.291434751E9</v>
      </c>
      <c r="B2365" s="218" t="s">
        <v>8684</v>
      </c>
    </row>
    <row r="2366">
      <c r="A2366" s="430">
        <v>1.07994933E9</v>
      </c>
      <c r="B2366" s="218" t="s">
        <v>8685</v>
      </c>
    </row>
    <row r="2367">
      <c r="A2367" s="430">
        <v>3.880398925E9</v>
      </c>
      <c r="B2367" s="218" t="s">
        <v>8686</v>
      </c>
    </row>
    <row r="2368">
      <c r="A2368" s="430">
        <v>3.67241307E8</v>
      </c>
      <c r="B2368" s="218" t="s">
        <v>8687</v>
      </c>
    </row>
    <row r="2369">
      <c r="A2369" s="430">
        <v>6.652741903E9</v>
      </c>
      <c r="B2369" s="218" t="s">
        <v>8688</v>
      </c>
    </row>
    <row r="2370">
      <c r="A2370" s="430">
        <v>2.566454E9</v>
      </c>
      <c r="B2370" s="218" t="s">
        <v>8689</v>
      </c>
    </row>
    <row r="2371">
      <c r="A2371" s="430">
        <v>5.669302931E9</v>
      </c>
      <c r="B2371" s="218" t="s">
        <v>8690</v>
      </c>
    </row>
    <row r="2372">
      <c r="A2372" s="430">
        <v>6.3723069215E10</v>
      </c>
      <c r="B2372" s="218" t="s">
        <v>8691</v>
      </c>
    </row>
    <row r="2373">
      <c r="A2373" s="430">
        <v>4.49034992E8</v>
      </c>
      <c r="B2373" s="218" t="s">
        <v>8692</v>
      </c>
    </row>
    <row r="2374">
      <c r="A2374" s="430">
        <v>7.5852616915E10</v>
      </c>
      <c r="B2374" s="218" t="s">
        <v>8693</v>
      </c>
    </row>
    <row r="2375">
      <c r="A2375" s="430">
        <v>2.50513072E8</v>
      </c>
      <c r="B2375" s="218" t="s">
        <v>8694</v>
      </c>
    </row>
    <row r="2376">
      <c r="A2376" s="430">
        <v>7.1379357E7</v>
      </c>
      <c r="B2376" s="218" t="s">
        <v>8695</v>
      </c>
    </row>
    <row r="2377">
      <c r="A2377" s="430">
        <v>9.5231455687E10</v>
      </c>
      <c r="B2377" s="218" t="s">
        <v>8696</v>
      </c>
    </row>
    <row r="2378">
      <c r="A2378" s="430">
        <v>5.9400013604E10</v>
      </c>
      <c r="B2378" s="218" t="s">
        <v>8697</v>
      </c>
    </row>
    <row r="2379">
      <c r="A2379" s="430">
        <v>1.51945306E9</v>
      </c>
      <c r="B2379" s="218" t="s">
        <v>8698</v>
      </c>
    </row>
    <row r="2380">
      <c r="A2380" s="430">
        <v>4.9788973E10</v>
      </c>
      <c r="B2380" s="218" t="s">
        <v>8699</v>
      </c>
    </row>
    <row r="2381">
      <c r="A2381" s="430">
        <v>3.009243196E9</v>
      </c>
      <c r="B2381" s="218" t="s">
        <v>6186</v>
      </c>
    </row>
    <row r="2382">
      <c r="A2382" s="430">
        <v>4.171661927E9</v>
      </c>
      <c r="B2382" s="218" t="s">
        <v>8700</v>
      </c>
    </row>
    <row r="2383">
      <c r="A2383" s="430">
        <v>8.0547354991E10</v>
      </c>
      <c r="B2383" s="218" t="s">
        <v>8701</v>
      </c>
    </row>
    <row r="2384">
      <c r="A2384" s="430">
        <v>7.6393569972E10</v>
      </c>
      <c r="B2384" s="218" t="s">
        <v>8702</v>
      </c>
    </row>
    <row r="2385">
      <c r="A2385" s="430">
        <v>3.806204993E9</v>
      </c>
      <c r="B2385" s="218" t="s">
        <v>8703</v>
      </c>
    </row>
    <row r="2386">
      <c r="A2386" s="430">
        <v>3.161975995E9</v>
      </c>
      <c r="B2386" s="218" t="s">
        <v>8704</v>
      </c>
    </row>
    <row r="2387">
      <c r="A2387" s="430">
        <v>8.001300001E9</v>
      </c>
      <c r="B2387" s="218" t="s">
        <v>5110</v>
      </c>
    </row>
    <row r="2388">
      <c r="A2388" s="430">
        <v>2.761070984E9</v>
      </c>
      <c r="B2388" s="218" t="s">
        <v>8705</v>
      </c>
    </row>
    <row r="2389">
      <c r="A2389" s="431"/>
    </row>
    <row r="2390">
      <c r="A2390" s="431"/>
    </row>
    <row r="2391">
      <c r="A2391" s="431"/>
    </row>
    <row r="2392">
      <c r="A2392" s="431"/>
    </row>
    <row r="2393">
      <c r="A2393" s="431"/>
    </row>
    <row r="2394">
      <c r="A2394" s="431"/>
    </row>
    <row r="2395">
      <c r="A2395" s="431"/>
    </row>
    <row r="2396">
      <c r="A2396" s="431"/>
    </row>
    <row r="2397">
      <c r="A2397" s="431"/>
    </row>
    <row r="2398">
      <c r="A2398" s="431"/>
    </row>
    <row r="2399">
      <c r="A2399" s="431"/>
    </row>
    <row r="2400">
      <c r="A2400" s="431"/>
    </row>
    <row r="2401">
      <c r="A2401" s="431"/>
    </row>
    <row r="2402">
      <c r="A2402" s="431"/>
    </row>
    <row r="2403">
      <c r="A2403" s="431"/>
    </row>
    <row r="2404">
      <c r="A2404" s="431"/>
    </row>
    <row r="2405">
      <c r="A2405" s="431"/>
    </row>
    <row r="2406">
      <c r="A2406" s="431"/>
    </row>
    <row r="2407">
      <c r="A2407" s="431"/>
    </row>
    <row r="2408">
      <c r="A2408" s="431"/>
    </row>
    <row r="2409">
      <c r="A2409" s="431"/>
    </row>
    <row r="2410">
      <c r="A2410" s="431"/>
    </row>
    <row r="2411">
      <c r="A2411" s="431"/>
    </row>
    <row r="2412">
      <c r="A2412" s="431"/>
    </row>
    <row r="2413">
      <c r="A2413" s="431"/>
    </row>
    <row r="2414">
      <c r="A2414" s="431"/>
    </row>
    <row r="2415">
      <c r="A2415" s="431"/>
    </row>
    <row r="2416">
      <c r="A2416" s="431"/>
    </row>
    <row r="2417">
      <c r="A2417" s="431"/>
    </row>
    <row r="2418">
      <c r="A2418" s="431"/>
    </row>
    <row r="2419">
      <c r="A2419" s="431"/>
    </row>
    <row r="2420">
      <c r="A2420" s="431"/>
    </row>
    <row r="2421">
      <c r="A2421" s="431"/>
    </row>
    <row r="2422">
      <c r="A2422" s="431"/>
    </row>
    <row r="2423">
      <c r="A2423" s="431"/>
    </row>
    <row r="2424">
      <c r="A2424" s="431"/>
    </row>
    <row r="2425">
      <c r="A2425" s="431"/>
    </row>
    <row r="2426">
      <c r="A2426" s="431"/>
    </row>
    <row r="2427">
      <c r="A2427" s="431"/>
    </row>
    <row r="2428">
      <c r="A2428" s="431"/>
    </row>
    <row r="2429">
      <c r="A2429" s="431"/>
    </row>
    <row r="2430">
      <c r="A2430" s="431"/>
    </row>
    <row r="2431">
      <c r="A2431" s="431"/>
    </row>
    <row r="2432">
      <c r="A2432" s="431"/>
    </row>
    <row r="2433">
      <c r="A2433" s="431"/>
    </row>
    <row r="2434">
      <c r="A2434" s="431"/>
    </row>
    <row r="2435">
      <c r="A2435" s="431"/>
    </row>
    <row r="2436">
      <c r="A2436" s="431"/>
    </row>
    <row r="2437">
      <c r="A2437" s="431"/>
    </row>
    <row r="2438">
      <c r="A2438" s="431"/>
    </row>
    <row r="2439">
      <c r="A2439" s="431"/>
    </row>
    <row r="2440">
      <c r="A2440" s="431"/>
    </row>
    <row r="2441">
      <c r="A2441" s="431"/>
    </row>
    <row r="2442">
      <c r="A2442" s="431"/>
    </row>
    <row r="2443">
      <c r="A2443" s="431"/>
    </row>
    <row r="2444">
      <c r="A2444" s="431"/>
    </row>
    <row r="2445">
      <c r="A2445" s="431"/>
    </row>
    <row r="2446">
      <c r="A2446" s="431"/>
    </row>
    <row r="2447">
      <c r="A2447" s="431"/>
    </row>
    <row r="2448">
      <c r="A2448" s="431"/>
    </row>
    <row r="2449">
      <c r="A2449" s="431"/>
    </row>
    <row r="2450">
      <c r="A2450" s="431"/>
    </row>
    <row r="2451">
      <c r="A2451" s="431"/>
    </row>
    <row r="2452">
      <c r="A2452" s="431"/>
    </row>
    <row r="2453">
      <c r="A2453" s="431"/>
    </row>
    <row r="2454">
      <c r="A2454" s="431"/>
    </row>
    <row r="2455">
      <c r="A2455" s="431"/>
    </row>
    <row r="2456">
      <c r="A2456" s="431"/>
    </row>
    <row r="2457">
      <c r="A2457" s="431"/>
    </row>
    <row r="2458">
      <c r="A2458" s="431"/>
    </row>
    <row r="2459">
      <c r="A2459" s="431"/>
    </row>
    <row r="2460">
      <c r="A2460" s="431"/>
    </row>
    <row r="2461">
      <c r="A2461" s="431"/>
    </row>
    <row r="2462">
      <c r="A2462" s="431"/>
    </row>
    <row r="2463">
      <c r="A2463" s="431"/>
    </row>
    <row r="2464">
      <c r="A2464" s="431"/>
    </row>
    <row r="2465">
      <c r="A2465" s="431"/>
    </row>
    <row r="2466">
      <c r="A2466" s="431"/>
    </row>
    <row r="2467">
      <c r="A2467" s="431"/>
    </row>
    <row r="2468">
      <c r="A2468" s="431"/>
    </row>
    <row r="2469">
      <c r="A2469" s="431"/>
    </row>
    <row r="2470">
      <c r="A2470" s="431"/>
    </row>
    <row r="2471">
      <c r="A2471" s="431"/>
    </row>
    <row r="2472">
      <c r="A2472" s="431"/>
    </row>
    <row r="2473">
      <c r="A2473" s="431"/>
    </row>
    <row r="2474">
      <c r="A2474" s="431"/>
    </row>
    <row r="2475">
      <c r="A2475" s="431"/>
    </row>
    <row r="2476">
      <c r="A2476" s="431"/>
    </row>
    <row r="2477">
      <c r="A2477" s="431"/>
    </row>
    <row r="2478">
      <c r="A2478" s="431"/>
    </row>
    <row r="2479">
      <c r="A2479" s="431"/>
    </row>
    <row r="2480">
      <c r="A2480" s="431"/>
    </row>
    <row r="2481">
      <c r="A2481" s="431"/>
    </row>
    <row r="2482">
      <c r="A2482" s="431"/>
    </row>
    <row r="2483">
      <c r="A2483" s="431"/>
    </row>
    <row r="2484">
      <c r="A2484" s="431"/>
    </row>
    <row r="2485">
      <c r="A2485" s="431"/>
    </row>
    <row r="2486">
      <c r="A2486" s="431"/>
    </row>
    <row r="2487">
      <c r="A2487" s="431"/>
    </row>
    <row r="2488">
      <c r="A2488" s="431"/>
    </row>
    <row r="2489">
      <c r="A2489" s="431"/>
    </row>
    <row r="2490">
      <c r="A2490" s="431"/>
    </row>
    <row r="2491">
      <c r="A2491" s="431"/>
    </row>
    <row r="2492">
      <c r="A2492" s="431"/>
    </row>
    <row r="2493">
      <c r="A2493" s="431"/>
    </row>
    <row r="2494">
      <c r="A2494" s="431"/>
    </row>
    <row r="2495">
      <c r="A2495" s="431"/>
    </row>
    <row r="2496">
      <c r="A2496" s="431"/>
    </row>
    <row r="2497">
      <c r="A2497" s="431"/>
    </row>
    <row r="2498">
      <c r="A2498" s="431"/>
    </row>
    <row r="2499">
      <c r="A2499" s="431"/>
    </row>
    <row r="2500">
      <c r="A2500" s="431"/>
    </row>
    <row r="2501">
      <c r="A2501" s="431"/>
    </row>
    <row r="2502">
      <c r="A2502" s="431"/>
    </row>
    <row r="2503">
      <c r="A2503" s="431"/>
    </row>
    <row r="2504">
      <c r="A2504" s="431"/>
    </row>
    <row r="2505">
      <c r="A2505" s="431"/>
    </row>
    <row r="2506">
      <c r="A2506" s="431"/>
    </row>
    <row r="2507">
      <c r="A2507" s="431"/>
    </row>
    <row r="2508">
      <c r="A2508" s="431"/>
    </row>
    <row r="2509">
      <c r="A2509" s="431"/>
    </row>
    <row r="2510">
      <c r="A2510" s="431"/>
    </row>
    <row r="2511">
      <c r="A2511" s="431"/>
    </row>
    <row r="2512">
      <c r="A2512" s="431"/>
    </row>
    <row r="2513">
      <c r="A2513" s="431"/>
    </row>
    <row r="2514">
      <c r="A2514" s="431"/>
    </row>
    <row r="2515">
      <c r="A2515" s="431"/>
    </row>
    <row r="2516">
      <c r="A2516" s="431"/>
    </row>
    <row r="2517">
      <c r="A2517" s="431"/>
    </row>
    <row r="2518">
      <c r="A2518" s="431"/>
    </row>
    <row r="2519">
      <c r="A2519" s="431"/>
    </row>
    <row r="2520">
      <c r="A2520" s="431"/>
    </row>
    <row r="2521">
      <c r="A2521" s="431"/>
    </row>
    <row r="2522">
      <c r="A2522" s="431"/>
    </row>
    <row r="2523">
      <c r="A2523" s="431"/>
    </row>
    <row r="2524">
      <c r="A2524" s="431"/>
    </row>
    <row r="2525">
      <c r="A2525" s="431"/>
    </row>
    <row r="2526">
      <c r="A2526" s="431"/>
    </row>
    <row r="2527">
      <c r="A2527" s="431"/>
    </row>
    <row r="2528">
      <c r="A2528" s="431"/>
    </row>
    <row r="2529">
      <c r="A2529" s="431"/>
    </row>
    <row r="2530">
      <c r="A2530" s="431"/>
    </row>
    <row r="2531">
      <c r="A2531" s="431"/>
    </row>
    <row r="2532">
      <c r="A2532" s="431"/>
    </row>
    <row r="2533">
      <c r="A2533" s="431"/>
    </row>
    <row r="2534">
      <c r="A2534" s="431"/>
    </row>
    <row r="2535">
      <c r="A2535" s="431"/>
    </row>
    <row r="2536">
      <c r="A2536" s="431"/>
    </row>
    <row r="2537">
      <c r="A2537" s="431"/>
    </row>
    <row r="2538">
      <c r="A2538" s="431"/>
    </row>
    <row r="2539">
      <c r="A2539" s="431"/>
    </row>
    <row r="2540">
      <c r="A2540" s="431"/>
    </row>
    <row r="2541">
      <c r="A2541" s="431"/>
    </row>
    <row r="2542">
      <c r="A2542" s="431"/>
    </row>
    <row r="2543">
      <c r="A2543" s="431"/>
    </row>
    <row r="2544">
      <c r="A2544" s="431"/>
    </row>
    <row r="2545">
      <c r="A2545" s="431"/>
    </row>
    <row r="2546">
      <c r="A2546" s="431"/>
    </row>
    <row r="2547">
      <c r="A2547" s="431"/>
    </row>
    <row r="2548">
      <c r="A2548" s="431"/>
    </row>
    <row r="2549">
      <c r="A2549" s="431"/>
    </row>
    <row r="2550">
      <c r="A2550" s="431"/>
    </row>
    <row r="2551">
      <c r="A2551" s="431"/>
    </row>
    <row r="2552">
      <c r="A2552" s="431"/>
    </row>
    <row r="2553">
      <c r="A2553" s="431"/>
    </row>
    <row r="2554">
      <c r="A2554" s="431"/>
    </row>
    <row r="2555">
      <c r="A2555" s="431"/>
    </row>
    <row r="2556">
      <c r="A2556" s="431"/>
    </row>
    <row r="2557">
      <c r="A2557" s="431"/>
    </row>
    <row r="2558">
      <c r="A2558" s="431"/>
    </row>
    <row r="2559">
      <c r="A2559" s="431"/>
    </row>
    <row r="2560">
      <c r="A2560" s="431"/>
    </row>
    <row r="2561">
      <c r="A2561" s="431"/>
    </row>
    <row r="2562">
      <c r="A2562" s="431"/>
    </row>
    <row r="2563">
      <c r="A2563" s="431"/>
    </row>
    <row r="2564">
      <c r="A2564" s="431"/>
    </row>
    <row r="2565">
      <c r="A2565" s="431"/>
    </row>
    <row r="2566">
      <c r="A2566" s="431"/>
    </row>
    <row r="2567">
      <c r="A2567" s="431"/>
    </row>
    <row r="2568">
      <c r="A2568" s="431"/>
    </row>
    <row r="2569">
      <c r="A2569" s="431"/>
    </row>
    <row r="2570">
      <c r="A2570" s="431"/>
    </row>
    <row r="2571">
      <c r="A2571" s="431"/>
    </row>
    <row r="2572">
      <c r="A2572" s="431"/>
    </row>
    <row r="2573">
      <c r="A2573" s="431"/>
    </row>
    <row r="2574">
      <c r="A2574" s="431"/>
    </row>
    <row r="2575">
      <c r="A2575" s="431"/>
    </row>
    <row r="2576">
      <c r="A2576" s="431"/>
    </row>
    <row r="2577">
      <c r="A2577" s="431"/>
    </row>
    <row r="2578">
      <c r="A2578" s="431"/>
    </row>
    <row r="2579">
      <c r="A2579" s="431"/>
    </row>
    <row r="2580">
      <c r="A2580" s="431"/>
    </row>
    <row r="2581">
      <c r="A2581" s="431"/>
    </row>
    <row r="2582">
      <c r="A2582" s="431"/>
    </row>
    <row r="2583">
      <c r="A2583" s="431"/>
    </row>
    <row r="2584">
      <c r="A2584" s="431"/>
    </row>
    <row r="2585">
      <c r="A2585" s="431"/>
    </row>
    <row r="2586">
      <c r="A2586" s="431"/>
    </row>
    <row r="2587">
      <c r="A2587" s="431"/>
    </row>
    <row r="2588">
      <c r="A2588" s="431"/>
    </row>
    <row r="2589">
      <c r="A2589" s="431"/>
    </row>
    <row r="2590">
      <c r="A2590" s="431"/>
    </row>
    <row r="2591">
      <c r="A2591" s="431"/>
    </row>
    <row r="2592">
      <c r="A2592" s="431"/>
    </row>
    <row r="2593">
      <c r="A2593" s="431"/>
    </row>
    <row r="2594">
      <c r="A2594" s="431"/>
    </row>
    <row r="2595">
      <c r="A2595" s="431"/>
    </row>
    <row r="2596">
      <c r="A2596" s="431"/>
    </row>
    <row r="2597">
      <c r="A2597" s="431"/>
    </row>
    <row r="2598">
      <c r="A2598" s="431"/>
    </row>
    <row r="2599">
      <c r="A2599" s="431"/>
    </row>
    <row r="2600">
      <c r="A2600" s="431"/>
    </row>
    <row r="2601">
      <c r="A2601" s="431"/>
    </row>
    <row r="2602">
      <c r="A2602" s="431"/>
    </row>
    <row r="2603">
      <c r="A2603" s="431"/>
    </row>
    <row r="2604">
      <c r="A2604" s="431"/>
    </row>
    <row r="2605">
      <c r="A2605" s="431"/>
    </row>
    <row r="2606">
      <c r="A2606" s="431"/>
    </row>
    <row r="2607">
      <c r="A2607" s="431"/>
    </row>
    <row r="2608">
      <c r="A2608" s="431"/>
    </row>
    <row r="2609">
      <c r="A2609" s="431"/>
    </row>
    <row r="2610">
      <c r="A2610" s="431"/>
    </row>
    <row r="2611">
      <c r="A2611" s="431"/>
    </row>
    <row r="2612">
      <c r="A2612" s="431"/>
    </row>
    <row r="2613">
      <c r="A2613" s="431"/>
    </row>
    <row r="2614">
      <c r="A2614" s="431"/>
    </row>
    <row r="2615">
      <c r="A2615" s="431"/>
    </row>
    <row r="2616">
      <c r="A2616" s="431"/>
    </row>
    <row r="2617">
      <c r="A2617" s="431"/>
    </row>
    <row r="2618">
      <c r="A2618" s="431"/>
    </row>
    <row r="2619">
      <c r="A2619" s="431"/>
    </row>
    <row r="2620">
      <c r="A2620" s="431"/>
    </row>
    <row r="2621">
      <c r="A2621" s="431"/>
    </row>
    <row r="2622">
      <c r="A2622" s="431"/>
    </row>
    <row r="2623">
      <c r="A2623" s="431"/>
    </row>
    <row r="2624">
      <c r="A2624" s="431"/>
    </row>
    <row r="2625">
      <c r="A2625" s="431"/>
    </row>
    <row r="2626">
      <c r="A2626" s="431"/>
    </row>
    <row r="2627">
      <c r="A2627" s="431"/>
    </row>
    <row r="2628">
      <c r="A2628" s="431"/>
    </row>
    <row r="2629">
      <c r="A2629" s="431"/>
    </row>
    <row r="2630">
      <c r="A2630" s="431"/>
    </row>
    <row r="2631">
      <c r="A2631" s="431"/>
    </row>
    <row r="2632">
      <c r="A2632" s="431"/>
    </row>
    <row r="2633">
      <c r="A2633" s="431"/>
    </row>
    <row r="2634">
      <c r="A2634" s="431"/>
    </row>
    <row r="2635">
      <c r="A2635" s="431"/>
    </row>
    <row r="2636">
      <c r="A2636" s="431"/>
    </row>
    <row r="2637">
      <c r="A2637" s="431"/>
    </row>
    <row r="2638">
      <c r="A2638" s="431"/>
    </row>
    <row r="2639">
      <c r="A2639" s="431"/>
    </row>
    <row r="2640">
      <c r="A2640" s="431"/>
    </row>
    <row r="2641">
      <c r="A2641" s="431"/>
    </row>
    <row r="2642">
      <c r="A2642" s="431"/>
    </row>
    <row r="2643">
      <c r="A2643" s="431"/>
    </row>
    <row r="2644">
      <c r="A2644" s="431"/>
    </row>
    <row r="2645">
      <c r="A2645" s="431"/>
    </row>
    <row r="2646">
      <c r="A2646" s="431"/>
    </row>
    <row r="2647">
      <c r="A2647" s="431"/>
    </row>
    <row r="2648">
      <c r="A2648" s="431"/>
    </row>
    <row r="2649">
      <c r="A2649" s="431"/>
    </row>
    <row r="2650">
      <c r="A2650" s="431"/>
    </row>
    <row r="2651">
      <c r="A2651" s="431"/>
    </row>
    <row r="2652">
      <c r="A2652" s="431"/>
    </row>
    <row r="2653">
      <c r="A2653" s="431"/>
    </row>
    <row r="2654">
      <c r="A2654" s="431"/>
    </row>
    <row r="2655">
      <c r="A2655" s="431"/>
    </row>
    <row r="2656">
      <c r="A2656" s="431"/>
    </row>
    <row r="2657">
      <c r="A2657" s="431"/>
    </row>
    <row r="2658">
      <c r="A2658" s="431"/>
    </row>
    <row r="2659">
      <c r="A2659" s="431"/>
    </row>
    <row r="2660">
      <c r="A2660" s="431"/>
    </row>
    <row r="2661">
      <c r="A2661" s="431"/>
    </row>
    <row r="2662">
      <c r="A2662" s="431"/>
    </row>
    <row r="2663">
      <c r="A2663" s="431"/>
    </row>
    <row r="2664">
      <c r="A2664" s="431"/>
    </row>
    <row r="2665">
      <c r="A2665" s="431"/>
    </row>
    <row r="2666">
      <c r="A2666" s="431"/>
    </row>
    <row r="2667">
      <c r="A2667" s="431"/>
    </row>
    <row r="2668">
      <c r="A2668" s="431"/>
    </row>
    <row r="2669">
      <c r="A2669" s="431"/>
    </row>
    <row r="2670">
      <c r="A2670" s="431"/>
    </row>
    <row r="2671">
      <c r="A2671" s="431"/>
    </row>
    <row r="2672">
      <c r="A2672" s="431"/>
    </row>
    <row r="2673">
      <c r="A2673" s="431"/>
    </row>
    <row r="2674">
      <c r="A2674" s="431"/>
    </row>
    <row r="2675">
      <c r="A2675" s="431"/>
    </row>
    <row r="2676">
      <c r="A2676" s="431"/>
    </row>
    <row r="2677">
      <c r="A2677" s="431"/>
    </row>
    <row r="2678">
      <c r="A2678" s="431"/>
    </row>
    <row r="2679">
      <c r="A2679" s="431"/>
    </row>
    <row r="2680">
      <c r="A2680" s="431"/>
    </row>
    <row r="2681">
      <c r="A2681" s="431"/>
    </row>
    <row r="2682">
      <c r="A2682" s="431"/>
    </row>
    <row r="2683">
      <c r="A2683" s="431"/>
    </row>
    <row r="2684">
      <c r="A2684" s="431"/>
    </row>
    <row r="2685">
      <c r="A2685" s="431"/>
    </row>
    <row r="2686">
      <c r="A2686" s="431"/>
    </row>
    <row r="2687">
      <c r="A2687" s="431"/>
    </row>
    <row r="2688">
      <c r="A2688" s="431"/>
    </row>
    <row r="2689">
      <c r="A2689" s="431"/>
    </row>
    <row r="2690">
      <c r="A2690" s="431"/>
    </row>
    <row r="2691">
      <c r="A2691" s="431"/>
    </row>
    <row r="2692">
      <c r="A2692" s="431"/>
    </row>
    <row r="2693">
      <c r="A2693" s="431"/>
    </row>
    <row r="2694">
      <c r="A2694" s="431"/>
    </row>
    <row r="2695">
      <c r="A2695" s="431"/>
    </row>
    <row r="2696">
      <c r="A2696" s="431"/>
    </row>
    <row r="2697">
      <c r="A2697" s="431"/>
    </row>
    <row r="2698">
      <c r="A2698" s="431"/>
    </row>
    <row r="2699">
      <c r="A2699" s="431"/>
    </row>
    <row r="2700">
      <c r="A2700" s="431"/>
    </row>
    <row r="2701">
      <c r="A2701" s="431"/>
    </row>
    <row r="2702">
      <c r="A2702" s="431"/>
    </row>
    <row r="2703">
      <c r="A2703" s="431"/>
    </row>
    <row r="2704">
      <c r="A2704" s="431"/>
    </row>
    <row r="2705">
      <c r="A2705" s="431"/>
    </row>
    <row r="2706">
      <c r="A2706" s="431"/>
    </row>
    <row r="2707">
      <c r="A2707" s="431"/>
    </row>
    <row r="2708">
      <c r="A2708" s="431"/>
    </row>
    <row r="2709">
      <c r="A2709" s="431"/>
    </row>
    <row r="2710">
      <c r="A2710" s="431"/>
    </row>
    <row r="2711">
      <c r="A2711" s="431"/>
    </row>
    <row r="2712">
      <c r="A2712" s="431"/>
    </row>
    <row r="2713">
      <c r="A2713" s="431"/>
    </row>
    <row r="2714">
      <c r="A2714" s="431"/>
    </row>
    <row r="2715">
      <c r="A2715" s="431"/>
    </row>
    <row r="2716">
      <c r="A2716" s="431"/>
    </row>
    <row r="2717">
      <c r="A2717" s="431"/>
    </row>
    <row r="2718">
      <c r="A2718" s="431"/>
    </row>
    <row r="2719">
      <c r="A2719" s="431"/>
    </row>
    <row r="2720">
      <c r="A2720" s="431"/>
    </row>
    <row r="2721">
      <c r="A2721" s="431"/>
    </row>
    <row r="2722">
      <c r="A2722" s="431"/>
    </row>
    <row r="2723">
      <c r="A2723" s="431"/>
    </row>
    <row r="2724">
      <c r="A2724" s="431"/>
    </row>
    <row r="2725">
      <c r="A2725" s="431"/>
    </row>
    <row r="2726">
      <c r="A2726" s="431"/>
    </row>
    <row r="2727">
      <c r="A2727" s="431"/>
    </row>
    <row r="2728">
      <c r="A2728" s="431"/>
    </row>
    <row r="2729">
      <c r="A2729" s="431"/>
    </row>
    <row r="2730">
      <c r="A2730" s="431"/>
    </row>
    <row r="2731">
      <c r="A2731" s="431"/>
    </row>
    <row r="2732">
      <c r="A2732" s="431"/>
    </row>
    <row r="2733">
      <c r="A2733" s="431"/>
    </row>
    <row r="2734">
      <c r="A2734" s="431"/>
    </row>
    <row r="2735">
      <c r="A2735" s="431"/>
    </row>
    <row r="2736">
      <c r="A2736" s="431"/>
    </row>
    <row r="2737">
      <c r="A2737" s="431"/>
    </row>
    <row r="2738">
      <c r="A2738" s="431"/>
    </row>
    <row r="2739">
      <c r="A2739" s="431"/>
    </row>
    <row r="2740">
      <c r="A2740" s="431"/>
    </row>
    <row r="2741">
      <c r="A2741" s="431"/>
    </row>
    <row r="2742">
      <c r="A2742" s="431"/>
    </row>
    <row r="2743">
      <c r="A2743" s="431"/>
    </row>
    <row r="2744">
      <c r="A2744" s="431"/>
    </row>
    <row r="2745">
      <c r="A2745" s="431"/>
    </row>
    <row r="2746">
      <c r="A2746" s="431"/>
    </row>
    <row r="2747">
      <c r="A2747" s="431"/>
    </row>
    <row r="2748">
      <c r="A2748" s="431"/>
    </row>
    <row r="2749">
      <c r="A2749" s="431"/>
    </row>
    <row r="2750">
      <c r="A2750" s="431"/>
    </row>
    <row r="2751">
      <c r="A2751" s="431"/>
    </row>
    <row r="2752">
      <c r="A2752" s="431"/>
    </row>
    <row r="2753">
      <c r="A2753" s="431"/>
    </row>
    <row r="2754">
      <c r="A2754" s="431"/>
    </row>
    <row r="2755">
      <c r="A2755" s="431"/>
    </row>
    <row r="2756">
      <c r="A2756" s="431"/>
    </row>
    <row r="2757">
      <c r="A2757" s="431"/>
    </row>
    <row r="2758">
      <c r="A2758" s="431"/>
    </row>
    <row r="2759">
      <c r="A2759" s="431"/>
    </row>
    <row r="2760">
      <c r="A2760" s="431"/>
    </row>
    <row r="2761">
      <c r="A2761" s="431"/>
    </row>
    <row r="2762">
      <c r="A2762" s="431"/>
    </row>
    <row r="2763">
      <c r="A2763" s="431"/>
    </row>
    <row r="2764">
      <c r="A2764" s="431"/>
    </row>
    <row r="2765">
      <c r="A2765" s="431"/>
    </row>
    <row r="2766">
      <c r="A2766" s="431"/>
    </row>
    <row r="2767">
      <c r="A2767" s="431"/>
    </row>
    <row r="2768">
      <c r="A2768" s="431"/>
    </row>
    <row r="2769">
      <c r="A2769" s="431"/>
    </row>
    <row r="2770">
      <c r="A2770" s="431"/>
    </row>
    <row r="2771">
      <c r="A2771" s="431"/>
    </row>
    <row r="2772">
      <c r="A2772" s="431"/>
    </row>
    <row r="2773">
      <c r="A2773" s="431"/>
    </row>
    <row r="2774">
      <c r="A2774" s="431"/>
    </row>
    <row r="2775">
      <c r="A2775" s="431"/>
    </row>
    <row r="2776">
      <c r="A2776" s="431"/>
    </row>
    <row r="2777">
      <c r="A2777" s="431"/>
    </row>
    <row r="2778">
      <c r="A2778" s="431"/>
    </row>
    <row r="2779">
      <c r="A2779" s="431"/>
    </row>
    <row r="2780">
      <c r="A2780" s="431"/>
    </row>
    <row r="2781">
      <c r="A2781" s="431"/>
    </row>
    <row r="2782">
      <c r="A2782" s="431"/>
    </row>
    <row r="2783">
      <c r="A2783" s="431"/>
    </row>
    <row r="2784">
      <c r="A2784" s="431"/>
    </row>
    <row r="2785">
      <c r="A2785" s="431"/>
    </row>
    <row r="2786">
      <c r="A2786" s="431"/>
    </row>
    <row r="2787">
      <c r="A2787" s="431"/>
    </row>
    <row r="2788">
      <c r="A2788" s="431"/>
    </row>
    <row r="2789">
      <c r="A2789" s="431"/>
    </row>
    <row r="2790">
      <c r="A2790" s="431"/>
    </row>
    <row r="2791">
      <c r="A2791" s="431"/>
    </row>
    <row r="2792">
      <c r="A2792" s="431"/>
    </row>
    <row r="2793">
      <c r="A2793" s="431"/>
    </row>
    <row r="2794">
      <c r="A2794" s="431"/>
    </row>
    <row r="2795">
      <c r="A2795" s="431"/>
    </row>
    <row r="2796">
      <c r="A2796" s="431"/>
    </row>
    <row r="2797">
      <c r="A2797" s="431"/>
    </row>
    <row r="2798">
      <c r="A2798" s="431"/>
    </row>
    <row r="2799">
      <c r="A2799" s="431"/>
    </row>
    <row r="2800">
      <c r="A2800" s="431"/>
    </row>
    <row r="2801">
      <c r="A2801" s="431"/>
    </row>
    <row r="2802">
      <c r="A2802" s="431"/>
    </row>
    <row r="2803">
      <c r="A2803" s="431"/>
    </row>
    <row r="2804">
      <c r="A2804" s="431"/>
    </row>
    <row r="2805">
      <c r="A2805" s="431"/>
    </row>
    <row r="2806">
      <c r="A2806" s="431"/>
    </row>
    <row r="2807">
      <c r="A2807" s="431"/>
    </row>
    <row r="2808">
      <c r="A2808" s="431"/>
    </row>
    <row r="2809">
      <c r="A2809" s="431"/>
    </row>
    <row r="2810">
      <c r="A2810" s="431"/>
    </row>
    <row r="2811">
      <c r="A2811" s="431"/>
    </row>
    <row r="2812">
      <c r="A2812" s="431"/>
    </row>
    <row r="2813">
      <c r="A2813" s="431"/>
    </row>
    <row r="2814">
      <c r="A2814" s="431"/>
    </row>
    <row r="2815">
      <c r="A2815" s="431"/>
    </row>
    <row r="2816">
      <c r="A2816" s="431"/>
    </row>
    <row r="2817">
      <c r="A2817" s="431"/>
    </row>
    <row r="2818">
      <c r="A2818" s="431"/>
    </row>
    <row r="2819">
      <c r="A2819" s="431"/>
    </row>
    <row r="2820">
      <c r="A2820" s="431"/>
    </row>
    <row r="2821">
      <c r="A2821" s="431"/>
    </row>
    <row r="2822">
      <c r="A2822" s="431"/>
    </row>
    <row r="2823">
      <c r="A2823" s="431"/>
    </row>
    <row r="2824">
      <c r="A2824" s="431"/>
    </row>
    <row r="2825">
      <c r="A2825" s="431"/>
    </row>
    <row r="2826">
      <c r="A2826" s="431"/>
    </row>
    <row r="2827">
      <c r="A2827" s="431"/>
    </row>
    <row r="2828">
      <c r="A2828" s="431"/>
    </row>
    <row r="2829">
      <c r="A2829" s="431"/>
    </row>
    <row r="2830">
      <c r="A2830" s="431"/>
    </row>
    <row r="2831">
      <c r="A2831" s="431"/>
    </row>
    <row r="2832">
      <c r="A2832" s="431"/>
    </row>
    <row r="2833">
      <c r="A2833" s="431"/>
    </row>
    <row r="2834">
      <c r="A2834" s="431"/>
    </row>
    <row r="2835">
      <c r="A2835" s="431"/>
    </row>
    <row r="2836">
      <c r="A2836" s="431"/>
    </row>
    <row r="2837">
      <c r="A2837" s="431"/>
    </row>
    <row r="2838">
      <c r="A2838" s="431"/>
    </row>
    <row r="2839">
      <c r="A2839" s="431"/>
    </row>
    <row r="2840">
      <c r="A2840" s="431"/>
    </row>
    <row r="2841">
      <c r="A2841" s="431"/>
    </row>
    <row r="2842">
      <c r="A2842" s="431"/>
    </row>
    <row r="2843">
      <c r="A2843" s="431"/>
    </row>
    <row r="2844">
      <c r="A2844" s="431"/>
    </row>
    <row r="2845">
      <c r="A2845" s="431"/>
    </row>
    <row r="2846">
      <c r="A2846" s="431"/>
    </row>
    <row r="2847">
      <c r="A2847" s="431"/>
    </row>
    <row r="2848">
      <c r="A2848" s="431"/>
    </row>
    <row r="2849">
      <c r="A2849" s="431"/>
    </row>
    <row r="2850">
      <c r="A2850" s="431"/>
    </row>
    <row r="2851">
      <c r="A2851" s="431"/>
    </row>
    <row r="2852">
      <c r="A2852" s="431"/>
    </row>
    <row r="2853">
      <c r="A2853" s="431"/>
    </row>
    <row r="2854">
      <c r="A2854" s="431"/>
    </row>
    <row r="2855">
      <c r="A2855" s="431"/>
    </row>
    <row r="2856">
      <c r="A2856" s="431"/>
    </row>
    <row r="2857">
      <c r="A2857" s="431"/>
    </row>
    <row r="2858">
      <c r="A2858" s="431"/>
    </row>
    <row r="2859">
      <c r="A2859" s="431"/>
    </row>
    <row r="2860">
      <c r="A2860" s="431"/>
    </row>
    <row r="2861">
      <c r="A2861" s="431"/>
    </row>
    <row r="2862">
      <c r="A2862" s="431"/>
    </row>
    <row r="2863">
      <c r="A2863" s="431"/>
    </row>
    <row r="2864">
      <c r="A2864" s="431"/>
    </row>
    <row r="2865">
      <c r="A2865" s="431"/>
    </row>
    <row r="2866">
      <c r="A2866" s="431"/>
    </row>
    <row r="2867">
      <c r="A2867" s="431"/>
    </row>
    <row r="2868">
      <c r="A2868" s="431"/>
    </row>
    <row r="2869">
      <c r="A2869" s="431"/>
    </row>
    <row r="2870">
      <c r="A2870" s="431"/>
    </row>
    <row r="2871">
      <c r="A2871" s="431"/>
    </row>
    <row r="2872">
      <c r="A2872" s="431"/>
    </row>
    <row r="2873">
      <c r="A2873" s="431"/>
    </row>
    <row r="2874">
      <c r="A2874" s="431"/>
    </row>
    <row r="2875">
      <c r="A2875" s="431"/>
    </row>
    <row r="2876">
      <c r="A2876" s="431"/>
    </row>
    <row r="2877">
      <c r="A2877" s="431"/>
    </row>
    <row r="2878">
      <c r="A2878" s="431"/>
    </row>
    <row r="2879">
      <c r="A2879" s="431"/>
    </row>
    <row r="2880">
      <c r="A2880" s="431"/>
    </row>
    <row r="2881">
      <c r="A2881" s="431"/>
    </row>
    <row r="2882">
      <c r="A2882" s="431"/>
    </row>
    <row r="2883">
      <c r="A2883" s="431"/>
    </row>
    <row r="2884">
      <c r="A2884" s="431"/>
    </row>
    <row r="2885">
      <c r="A2885" s="431"/>
    </row>
    <row r="2886">
      <c r="A2886" s="431"/>
    </row>
    <row r="2887">
      <c r="A2887" s="431"/>
    </row>
    <row r="2888">
      <c r="A2888" s="431"/>
    </row>
    <row r="2889">
      <c r="A2889" s="431"/>
    </row>
    <row r="2890">
      <c r="A2890" s="431"/>
    </row>
    <row r="2891">
      <c r="A2891" s="431"/>
    </row>
    <row r="2892">
      <c r="A2892" s="431"/>
    </row>
    <row r="2893">
      <c r="A2893" s="431"/>
    </row>
    <row r="2894">
      <c r="A2894" s="431"/>
    </row>
    <row r="2895">
      <c r="A2895" s="431"/>
    </row>
    <row r="2896">
      <c r="A2896" s="431"/>
    </row>
    <row r="2897">
      <c r="A2897" s="431"/>
    </row>
    <row r="2898">
      <c r="A2898" s="431"/>
    </row>
    <row r="2899">
      <c r="A2899" s="431"/>
    </row>
    <row r="2900">
      <c r="A2900" s="431"/>
    </row>
    <row r="2901">
      <c r="A2901" s="431"/>
    </row>
    <row r="2902">
      <c r="A2902" s="431"/>
    </row>
    <row r="2903">
      <c r="A2903" s="431"/>
    </row>
    <row r="2904">
      <c r="A2904" s="431"/>
    </row>
    <row r="2905">
      <c r="A2905" s="431"/>
    </row>
    <row r="2906">
      <c r="A2906" s="431"/>
    </row>
    <row r="2907">
      <c r="A2907" s="431"/>
    </row>
    <row r="2908">
      <c r="A2908" s="431"/>
    </row>
    <row r="2909">
      <c r="A2909" s="431"/>
    </row>
    <row r="2910">
      <c r="A2910" s="431"/>
    </row>
    <row r="2911">
      <c r="A2911" s="431"/>
    </row>
    <row r="2912">
      <c r="A2912" s="431"/>
    </row>
    <row r="2913">
      <c r="A2913" s="431"/>
    </row>
    <row r="2914">
      <c r="A2914" s="431"/>
    </row>
    <row r="2915">
      <c r="A2915" s="431"/>
    </row>
    <row r="2916">
      <c r="A2916" s="431"/>
    </row>
    <row r="2917">
      <c r="A2917" s="431"/>
    </row>
    <row r="2918">
      <c r="A2918" s="431"/>
    </row>
    <row r="2919">
      <c r="A2919" s="431"/>
    </row>
    <row r="2920">
      <c r="A2920" s="431"/>
    </row>
    <row r="2921">
      <c r="A2921" s="431"/>
    </row>
    <row r="2922">
      <c r="A2922" s="431"/>
    </row>
    <row r="2923">
      <c r="A2923" s="431"/>
    </row>
    <row r="2924">
      <c r="A2924" s="431"/>
    </row>
    <row r="2925">
      <c r="A2925" s="431"/>
    </row>
    <row r="2926">
      <c r="A2926" s="431"/>
    </row>
    <row r="2927">
      <c r="A2927" s="431"/>
    </row>
    <row r="2928">
      <c r="A2928" s="431"/>
    </row>
    <row r="2929">
      <c r="A2929" s="431"/>
    </row>
    <row r="2930">
      <c r="A2930" s="431"/>
    </row>
    <row r="2931">
      <c r="A2931" s="431"/>
    </row>
    <row r="2932">
      <c r="A2932" s="431"/>
    </row>
    <row r="2933">
      <c r="A2933" s="431"/>
    </row>
    <row r="2934">
      <c r="A2934" s="431"/>
    </row>
    <row r="2935">
      <c r="A2935" s="431"/>
    </row>
    <row r="2936">
      <c r="A2936" s="431"/>
    </row>
    <row r="2937">
      <c r="A2937" s="431"/>
    </row>
    <row r="2938">
      <c r="A2938" s="431"/>
    </row>
    <row r="2939">
      <c r="A2939" s="431"/>
    </row>
    <row r="2940">
      <c r="A2940" s="431"/>
    </row>
    <row r="2941">
      <c r="A2941" s="431"/>
    </row>
    <row r="2942">
      <c r="A2942" s="431"/>
    </row>
    <row r="2943">
      <c r="A2943" s="431"/>
    </row>
    <row r="2944">
      <c r="A2944" s="431"/>
    </row>
    <row r="2945">
      <c r="A2945" s="431"/>
    </row>
    <row r="2946">
      <c r="A2946" s="431"/>
    </row>
    <row r="2947">
      <c r="A2947" s="431"/>
    </row>
    <row r="2948">
      <c r="A2948" s="431"/>
    </row>
    <row r="2949">
      <c r="A2949" s="431"/>
    </row>
    <row r="2950">
      <c r="A2950" s="431"/>
    </row>
    <row r="2951">
      <c r="A2951" s="431"/>
    </row>
    <row r="2952">
      <c r="A2952" s="431"/>
    </row>
    <row r="2953">
      <c r="A2953" s="431"/>
    </row>
    <row r="2954">
      <c r="A2954" s="431"/>
    </row>
    <row r="2955">
      <c r="A2955" s="431"/>
    </row>
    <row r="2956">
      <c r="A2956" s="431"/>
    </row>
    <row r="2957">
      <c r="A2957" s="431"/>
    </row>
    <row r="2958">
      <c r="A2958" s="431"/>
    </row>
    <row r="2959">
      <c r="A2959" s="431"/>
    </row>
    <row r="2960">
      <c r="A2960" s="431"/>
    </row>
    <row r="2961">
      <c r="A2961" s="431"/>
    </row>
    <row r="2962">
      <c r="A2962" s="431"/>
    </row>
    <row r="2963">
      <c r="A2963" s="431"/>
    </row>
    <row r="2964">
      <c r="A2964" s="431"/>
    </row>
    <row r="2965">
      <c r="A2965" s="431"/>
    </row>
    <row r="2966">
      <c r="A2966" s="431"/>
    </row>
    <row r="2967">
      <c r="A2967" s="431"/>
    </row>
    <row r="2968">
      <c r="A2968" s="431"/>
    </row>
    <row r="2969">
      <c r="A2969" s="431"/>
    </row>
    <row r="2970">
      <c r="A2970" s="431"/>
    </row>
    <row r="2971">
      <c r="A2971" s="431"/>
    </row>
    <row r="2972">
      <c r="A2972" s="431"/>
    </row>
    <row r="2973">
      <c r="A2973" s="431"/>
    </row>
    <row r="2974">
      <c r="A2974" s="431"/>
    </row>
    <row r="2975">
      <c r="A2975" s="431"/>
    </row>
    <row r="2976">
      <c r="A2976" s="431"/>
    </row>
    <row r="2977">
      <c r="A2977" s="431"/>
    </row>
    <row r="2978">
      <c r="A2978" s="431"/>
    </row>
    <row r="2979">
      <c r="A2979" s="431"/>
    </row>
    <row r="2980">
      <c r="A2980" s="431"/>
    </row>
    <row r="2981">
      <c r="A2981" s="431"/>
    </row>
    <row r="2982">
      <c r="A2982" s="431"/>
    </row>
    <row r="2983">
      <c r="A2983" s="431"/>
    </row>
    <row r="2984">
      <c r="A2984" s="431"/>
    </row>
    <row r="2985">
      <c r="A2985" s="431"/>
    </row>
    <row r="2986">
      <c r="A2986" s="431"/>
    </row>
    <row r="2987">
      <c r="A2987" s="431"/>
    </row>
    <row r="2988">
      <c r="A2988" s="431"/>
    </row>
    <row r="2989">
      <c r="A2989" s="431"/>
    </row>
    <row r="2990">
      <c r="A2990" s="431"/>
    </row>
    <row r="2991">
      <c r="A2991" s="431"/>
    </row>
    <row r="2992">
      <c r="A2992" s="431"/>
    </row>
    <row r="2993">
      <c r="A2993" s="431"/>
    </row>
    <row r="2994">
      <c r="A2994" s="431"/>
    </row>
    <row r="2995">
      <c r="A2995" s="431"/>
    </row>
    <row r="2996">
      <c r="A2996" s="431"/>
    </row>
    <row r="2997">
      <c r="A2997" s="431"/>
    </row>
    <row r="2998">
      <c r="A2998" s="431"/>
    </row>
    <row r="2999">
      <c r="A2999" s="431"/>
    </row>
    <row r="3000">
      <c r="A3000" s="431"/>
    </row>
    <row r="3001">
      <c r="A3001" s="431"/>
    </row>
    <row r="3002">
      <c r="A3002" s="431"/>
    </row>
    <row r="3003">
      <c r="A3003" s="431"/>
    </row>
    <row r="3004">
      <c r="A3004" s="431"/>
    </row>
    <row r="3005">
      <c r="A3005" s="431"/>
    </row>
    <row r="3006">
      <c r="A3006" s="431"/>
    </row>
    <row r="3007">
      <c r="A3007" s="431"/>
    </row>
    <row r="3008">
      <c r="A3008" s="431"/>
    </row>
    <row r="3009">
      <c r="A3009" s="431"/>
    </row>
    <row r="3010">
      <c r="A3010" s="431"/>
    </row>
    <row r="3011">
      <c r="A3011" s="431"/>
    </row>
    <row r="3012">
      <c r="A3012" s="431"/>
    </row>
    <row r="3013">
      <c r="A3013" s="431"/>
    </row>
    <row r="3014">
      <c r="A3014" s="431"/>
    </row>
    <row r="3015">
      <c r="A3015" s="431"/>
    </row>
    <row r="3016">
      <c r="A3016" s="431"/>
    </row>
    <row r="3017">
      <c r="A3017" s="431"/>
    </row>
    <row r="3018">
      <c r="A3018" s="431"/>
    </row>
    <row r="3019">
      <c r="A3019" s="431"/>
    </row>
    <row r="3020">
      <c r="A3020" s="431"/>
    </row>
    <row r="3021">
      <c r="A3021" s="431"/>
    </row>
    <row r="3022">
      <c r="A3022" s="431"/>
    </row>
    <row r="3023">
      <c r="A3023" s="431"/>
    </row>
    <row r="3024">
      <c r="A3024" s="431"/>
    </row>
    <row r="3025">
      <c r="A3025" s="431"/>
    </row>
    <row r="3026">
      <c r="A3026" s="431"/>
    </row>
    <row r="3027">
      <c r="A3027" s="431"/>
    </row>
    <row r="3028">
      <c r="A3028" s="431"/>
    </row>
    <row r="3029">
      <c r="A3029" s="431"/>
    </row>
    <row r="3030">
      <c r="A3030" s="431"/>
    </row>
    <row r="3031">
      <c r="A3031" s="431"/>
    </row>
    <row r="3032">
      <c r="A3032" s="431"/>
    </row>
    <row r="3033">
      <c r="A3033" s="431"/>
    </row>
    <row r="3034">
      <c r="A3034" s="431"/>
    </row>
    <row r="3035">
      <c r="A3035" s="431"/>
    </row>
    <row r="3036">
      <c r="A3036" s="431"/>
    </row>
    <row r="3037">
      <c r="A3037" s="431"/>
    </row>
    <row r="3038">
      <c r="A3038" s="431"/>
    </row>
    <row r="3039">
      <c r="A3039" s="431"/>
    </row>
    <row r="3040">
      <c r="A3040" s="431"/>
    </row>
    <row r="3041">
      <c r="A3041" s="431"/>
    </row>
    <row r="3042">
      <c r="A3042" s="431"/>
    </row>
    <row r="3043">
      <c r="A3043" s="431"/>
    </row>
    <row r="3044">
      <c r="A3044" s="431"/>
    </row>
    <row r="3045">
      <c r="A3045" s="431"/>
    </row>
    <row r="3046">
      <c r="A3046" s="431"/>
    </row>
    <row r="3047">
      <c r="A3047" s="431"/>
    </row>
    <row r="3048">
      <c r="A3048" s="431"/>
    </row>
    <row r="3049">
      <c r="A3049" s="431"/>
    </row>
    <row r="3050">
      <c r="A3050" s="431"/>
    </row>
    <row r="3051">
      <c r="A3051" s="431"/>
    </row>
    <row r="3052">
      <c r="A3052" s="431"/>
    </row>
    <row r="3053">
      <c r="A3053" s="431"/>
    </row>
    <row r="3054">
      <c r="A3054" s="431"/>
    </row>
    <row r="3055">
      <c r="A3055" s="431"/>
    </row>
    <row r="3056">
      <c r="A3056" s="431"/>
    </row>
    <row r="3057">
      <c r="A3057" s="431"/>
    </row>
    <row r="3058">
      <c r="A3058" s="431"/>
    </row>
    <row r="3059">
      <c r="A3059" s="431"/>
    </row>
    <row r="3060">
      <c r="A3060" s="431"/>
    </row>
    <row r="3061">
      <c r="A3061" s="431"/>
    </row>
    <row r="3062">
      <c r="A3062" s="431"/>
    </row>
    <row r="3063">
      <c r="A3063" s="431"/>
    </row>
    <row r="3064">
      <c r="A3064" s="431"/>
    </row>
    <row r="3065">
      <c r="A3065" s="431"/>
    </row>
    <row r="3066">
      <c r="A3066" s="431"/>
    </row>
    <row r="3067">
      <c r="A3067" s="431"/>
    </row>
    <row r="3068">
      <c r="A3068" s="431"/>
    </row>
    <row r="3069">
      <c r="A3069" s="431"/>
    </row>
    <row r="3070">
      <c r="A3070" s="431"/>
    </row>
    <row r="3071">
      <c r="A3071" s="431"/>
    </row>
    <row r="3072">
      <c r="A3072" s="431"/>
    </row>
    <row r="3073">
      <c r="A3073" s="431"/>
    </row>
    <row r="3074">
      <c r="A3074" s="431"/>
    </row>
    <row r="3075">
      <c r="A3075" s="431"/>
    </row>
    <row r="3076">
      <c r="A3076" s="431"/>
    </row>
    <row r="3077">
      <c r="A3077" s="431"/>
    </row>
    <row r="3078">
      <c r="A3078" s="431"/>
    </row>
    <row r="3079">
      <c r="A3079" s="431"/>
    </row>
    <row r="3080">
      <c r="A3080" s="431"/>
    </row>
    <row r="3081">
      <c r="A3081" s="431"/>
    </row>
    <row r="3082">
      <c r="A3082" s="431"/>
    </row>
    <row r="3083">
      <c r="A3083" s="431"/>
    </row>
    <row r="3084">
      <c r="A3084" s="431"/>
    </row>
    <row r="3085">
      <c r="A3085" s="431"/>
    </row>
    <row r="3086">
      <c r="A3086" s="431"/>
    </row>
    <row r="3087">
      <c r="A3087" s="431"/>
    </row>
    <row r="3088">
      <c r="A3088" s="431"/>
    </row>
    <row r="3089">
      <c r="A3089" s="431"/>
    </row>
    <row r="3090">
      <c r="A3090" s="431"/>
    </row>
    <row r="3091">
      <c r="A3091" s="431"/>
    </row>
    <row r="3092">
      <c r="A3092" s="431"/>
    </row>
    <row r="3093">
      <c r="A3093" s="431"/>
    </row>
    <row r="3094">
      <c r="A3094" s="431"/>
    </row>
    <row r="3095">
      <c r="A3095" s="431"/>
    </row>
    <row r="3096">
      <c r="A3096" s="431"/>
    </row>
    <row r="3097">
      <c r="A3097" s="431"/>
    </row>
    <row r="3098">
      <c r="A3098" s="431"/>
    </row>
    <row r="3099">
      <c r="A3099" s="431"/>
    </row>
    <row r="3100">
      <c r="A3100" s="431"/>
    </row>
    <row r="3101">
      <c r="A3101" s="431"/>
    </row>
    <row r="3102">
      <c r="A3102" s="431"/>
    </row>
    <row r="3103">
      <c r="A3103" s="431"/>
    </row>
    <row r="3104">
      <c r="A3104" s="431"/>
    </row>
    <row r="3105">
      <c r="A3105" s="431"/>
    </row>
    <row r="3106">
      <c r="A3106" s="431"/>
    </row>
    <row r="3107">
      <c r="A3107" s="431"/>
    </row>
    <row r="3108">
      <c r="A3108" s="431"/>
    </row>
    <row r="3109">
      <c r="A3109" s="431"/>
    </row>
    <row r="3110">
      <c r="A3110" s="431"/>
    </row>
    <row r="3111">
      <c r="A3111" s="431"/>
    </row>
    <row r="3112">
      <c r="A3112" s="431"/>
    </row>
    <row r="3113">
      <c r="A3113" s="431"/>
    </row>
    <row r="3114">
      <c r="A3114" s="431"/>
    </row>
    <row r="3115">
      <c r="A3115" s="431"/>
    </row>
    <row r="3116">
      <c r="A3116" s="431"/>
    </row>
    <row r="3117">
      <c r="A3117" s="431"/>
    </row>
    <row r="3118">
      <c r="A3118" s="431"/>
    </row>
    <row r="3119">
      <c r="A3119" s="431"/>
    </row>
    <row r="3120">
      <c r="A3120" s="431"/>
    </row>
    <row r="3121">
      <c r="A3121" s="431"/>
    </row>
    <row r="3122">
      <c r="A3122" s="431"/>
    </row>
    <row r="3123">
      <c r="A3123" s="431"/>
    </row>
    <row r="3124">
      <c r="A3124" s="431"/>
    </row>
    <row r="3125">
      <c r="A3125" s="431"/>
    </row>
    <row r="3126">
      <c r="A3126" s="431"/>
    </row>
    <row r="3127">
      <c r="A3127" s="431"/>
    </row>
    <row r="3128">
      <c r="A3128" s="431"/>
    </row>
    <row r="3129">
      <c r="A3129" s="431"/>
    </row>
    <row r="3130">
      <c r="A3130" s="431"/>
    </row>
    <row r="3131">
      <c r="A3131" s="431"/>
    </row>
    <row r="3132">
      <c r="A3132" s="431"/>
    </row>
    <row r="3133">
      <c r="A3133" s="431"/>
    </row>
    <row r="3134">
      <c r="A3134" s="431"/>
    </row>
    <row r="3135">
      <c r="A3135" s="431"/>
    </row>
    <row r="3136">
      <c r="A3136" s="431"/>
    </row>
    <row r="3137">
      <c r="A3137" s="431"/>
    </row>
    <row r="3138">
      <c r="A3138" s="431"/>
    </row>
    <row r="3139">
      <c r="A3139" s="431"/>
    </row>
    <row r="3140">
      <c r="A3140" s="431"/>
    </row>
    <row r="3141">
      <c r="A3141" s="431"/>
    </row>
    <row r="3142">
      <c r="A3142" s="431"/>
    </row>
    <row r="3143">
      <c r="A3143" s="431"/>
    </row>
    <row r="3144">
      <c r="A3144" s="431"/>
    </row>
    <row r="3145">
      <c r="A3145" s="431"/>
    </row>
    <row r="3146">
      <c r="A3146" s="431"/>
    </row>
    <row r="3147">
      <c r="A3147" s="431"/>
    </row>
    <row r="3148">
      <c r="A3148" s="431"/>
    </row>
    <row r="3149">
      <c r="A3149" s="431"/>
    </row>
    <row r="3150">
      <c r="A3150" s="431"/>
    </row>
    <row r="3151">
      <c r="A3151" s="431"/>
    </row>
    <row r="3152">
      <c r="A3152" s="431"/>
    </row>
    <row r="3153">
      <c r="A3153" s="431"/>
    </row>
    <row r="3154">
      <c r="A3154" s="431"/>
    </row>
    <row r="3155">
      <c r="A3155" s="431"/>
    </row>
    <row r="3156">
      <c r="A3156" s="431"/>
    </row>
    <row r="3157">
      <c r="A3157" s="431"/>
    </row>
    <row r="3158">
      <c r="A3158" s="431"/>
    </row>
    <row r="3159">
      <c r="A3159" s="431"/>
    </row>
    <row r="3160">
      <c r="A3160" s="431"/>
    </row>
    <row r="3161">
      <c r="A3161" s="431"/>
    </row>
    <row r="3162">
      <c r="A3162" s="431"/>
    </row>
    <row r="3163">
      <c r="A3163" s="431"/>
    </row>
    <row r="3164">
      <c r="A3164" s="431"/>
    </row>
    <row r="3165">
      <c r="A3165" s="431"/>
    </row>
    <row r="3166">
      <c r="A3166" s="431"/>
    </row>
    <row r="3167">
      <c r="A3167" s="431"/>
    </row>
    <row r="3168">
      <c r="A3168" s="431"/>
    </row>
    <row r="3169">
      <c r="A3169" s="431"/>
    </row>
    <row r="3170">
      <c r="A3170" s="431"/>
    </row>
    <row r="3171">
      <c r="A3171" s="431"/>
    </row>
    <row r="3172">
      <c r="A3172" s="431"/>
    </row>
    <row r="3173">
      <c r="A3173" s="431"/>
    </row>
    <row r="3174">
      <c r="A3174" s="431"/>
    </row>
    <row r="3175">
      <c r="A3175" s="431"/>
    </row>
    <row r="3176">
      <c r="A3176" s="431"/>
    </row>
    <row r="3177">
      <c r="A3177" s="431"/>
    </row>
    <row r="3178">
      <c r="A3178" s="431"/>
    </row>
    <row r="3179">
      <c r="A3179" s="431"/>
    </row>
    <row r="3180">
      <c r="A3180" s="431"/>
    </row>
    <row r="3181">
      <c r="A3181" s="431"/>
    </row>
    <row r="3182">
      <c r="A3182" s="431"/>
    </row>
    <row r="3183">
      <c r="A3183" s="431"/>
    </row>
    <row r="3184">
      <c r="A3184" s="431"/>
    </row>
    <row r="3185">
      <c r="A3185" s="431"/>
    </row>
    <row r="3186">
      <c r="A3186" s="431"/>
    </row>
    <row r="3187">
      <c r="A3187" s="431"/>
    </row>
    <row r="3188">
      <c r="A3188" s="431"/>
    </row>
    <row r="3189">
      <c r="A3189" s="431"/>
    </row>
    <row r="3190">
      <c r="A3190" s="431"/>
    </row>
    <row r="3191">
      <c r="A3191" s="431"/>
    </row>
    <row r="3192">
      <c r="A3192" s="431"/>
    </row>
    <row r="3193">
      <c r="A3193" s="431"/>
    </row>
    <row r="3194">
      <c r="A3194" s="431"/>
    </row>
    <row r="3195">
      <c r="A3195" s="431"/>
    </row>
    <row r="3196">
      <c r="A3196" s="431"/>
    </row>
    <row r="3197">
      <c r="A3197" s="431"/>
    </row>
    <row r="3198">
      <c r="A3198" s="431"/>
    </row>
    <row r="3199">
      <c r="A3199" s="431"/>
    </row>
    <row r="3200">
      <c r="A3200" s="431"/>
    </row>
    <row r="3201">
      <c r="A3201" s="431"/>
    </row>
    <row r="3202">
      <c r="A3202" s="431"/>
    </row>
    <row r="3203">
      <c r="A3203" s="431"/>
    </row>
    <row r="3204">
      <c r="A3204" s="431"/>
    </row>
    <row r="3205">
      <c r="A3205" s="431"/>
    </row>
    <row r="3206">
      <c r="A3206" s="431"/>
    </row>
    <row r="3207">
      <c r="A3207" s="431"/>
    </row>
    <row r="3208">
      <c r="A3208" s="431"/>
    </row>
    <row r="3209">
      <c r="A3209" s="431"/>
    </row>
    <row r="3210">
      <c r="A3210" s="431"/>
    </row>
    <row r="3211">
      <c r="A3211" s="431"/>
    </row>
    <row r="3212">
      <c r="A3212" s="431"/>
    </row>
    <row r="3213">
      <c r="A3213" s="431"/>
    </row>
    <row r="3214">
      <c r="A3214" s="431"/>
    </row>
    <row r="3215">
      <c r="A3215" s="431"/>
    </row>
    <row r="3216">
      <c r="A3216" s="431"/>
    </row>
    <row r="3217">
      <c r="A3217" s="431"/>
    </row>
    <row r="3218">
      <c r="A3218" s="431"/>
    </row>
    <row r="3219">
      <c r="A3219" s="431"/>
    </row>
    <row r="3220">
      <c r="A3220" s="431"/>
    </row>
    <row r="3221">
      <c r="A3221" s="431"/>
    </row>
    <row r="3222">
      <c r="A3222" s="431"/>
    </row>
    <row r="3223">
      <c r="A3223" s="431"/>
    </row>
    <row r="3224">
      <c r="A3224" s="431"/>
    </row>
    <row r="3225">
      <c r="A3225" s="431"/>
    </row>
    <row r="3226">
      <c r="A3226" s="431"/>
    </row>
    <row r="3227">
      <c r="A3227" s="431"/>
    </row>
    <row r="3228">
      <c r="A3228" s="431"/>
    </row>
    <row r="3229">
      <c r="A3229" s="431"/>
    </row>
    <row r="3230">
      <c r="A3230" s="431"/>
    </row>
    <row r="3231">
      <c r="A3231" s="431"/>
    </row>
    <row r="3232">
      <c r="A3232" s="431"/>
    </row>
    <row r="3233">
      <c r="A3233" s="431"/>
    </row>
    <row r="3234">
      <c r="A3234" s="431"/>
    </row>
    <row r="3235">
      <c r="A3235" s="431"/>
    </row>
    <row r="3236">
      <c r="A3236" s="431"/>
    </row>
    <row r="3237">
      <c r="A3237" s="431"/>
    </row>
    <row r="3238">
      <c r="A3238" s="431"/>
    </row>
    <row r="3239">
      <c r="A3239" s="431"/>
    </row>
    <row r="3240">
      <c r="A3240" s="431"/>
    </row>
    <row r="3241">
      <c r="A3241" s="431"/>
    </row>
    <row r="3242">
      <c r="A3242" s="431"/>
    </row>
    <row r="3243">
      <c r="A3243" s="431"/>
    </row>
    <row r="3244">
      <c r="A3244" s="431"/>
    </row>
    <row r="3245">
      <c r="A3245" s="431"/>
    </row>
    <row r="3246">
      <c r="A3246" s="431"/>
    </row>
    <row r="3247">
      <c r="A3247" s="431"/>
    </row>
    <row r="3248">
      <c r="A3248" s="431"/>
    </row>
    <row r="3249">
      <c r="A3249" s="431"/>
    </row>
    <row r="3250">
      <c r="A3250" s="431"/>
    </row>
    <row r="3251">
      <c r="A3251" s="431"/>
    </row>
    <row r="3252">
      <c r="A3252" s="431"/>
    </row>
    <row r="3253">
      <c r="A3253" s="431"/>
    </row>
    <row r="3254">
      <c r="A3254" s="431"/>
    </row>
    <row r="3255">
      <c r="A3255" s="431"/>
    </row>
    <row r="3256">
      <c r="A3256" s="431"/>
    </row>
    <row r="3257">
      <c r="A3257" s="431"/>
    </row>
    <row r="3258">
      <c r="A3258" s="431"/>
    </row>
    <row r="3259">
      <c r="A3259" s="431"/>
    </row>
    <row r="3260">
      <c r="A3260" s="431"/>
    </row>
    <row r="3261">
      <c r="A3261" s="431"/>
    </row>
    <row r="3262">
      <c r="A3262" s="431"/>
    </row>
    <row r="3263">
      <c r="A3263" s="431"/>
    </row>
    <row r="3264">
      <c r="A3264" s="431"/>
    </row>
    <row r="3265">
      <c r="A3265" s="431"/>
    </row>
    <row r="3266">
      <c r="A3266" s="431"/>
    </row>
    <row r="3267">
      <c r="A3267" s="431"/>
    </row>
    <row r="3268">
      <c r="A3268" s="431"/>
    </row>
    <row r="3269">
      <c r="A3269" s="431"/>
    </row>
    <row r="3270">
      <c r="A3270" s="431"/>
    </row>
    <row r="3271">
      <c r="A3271" s="431"/>
    </row>
    <row r="3272">
      <c r="A3272" s="431"/>
    </row>
    <row r="3273">
      <c r="A3273" s="431"/>
    </row>
    <row r="3274">
      <c r="A3274" s="431"/>
    </row>
    <row r="3275">
      <c r="A3275" s="431"/>
    </row>
    <row r="3276">
      <c r="A3276" s="431"/>
    </row>
    <row r="3277">
      <c r="A3277" s="431"/>
    </row>
    <row r="3278">
      <c r="A3278" s="431"/>
    </row>
    <row r="3279">
      <c r="A3279" s="431"/>
    </row>
    <row r="3280">
      <c r="A3280" s="431"/>
    </row>
    <row r="3281">
      <c r="A3281" s="431"/>
    </row>
    <row r="3282">
      <c r="A3282" s="431"/>
    </row>
    <row r="3283">
      <c r="A3283" s="431"/>
    </row>
    <row r="3284">
      <c r="A3284" s="431"/>
    </row>
    <row r="3285">
      <c r="A3285" s="431"/>
    </row>
    <row r="3286">
      <c r="A3286" s="431"/>
    </row>
    <row r="3287">
      <c r="A3287" s="431"/>
    </row>
    <row r="3288">
      <c r="A3288" s="431"/>
    </row>
    <row r="3289">
      <c r="A3289" s="431"/>
    </row>
    <row r="3290">
      <c r="A3290" s="431"/>
    </row>
    <row r="3291">
      <c r="A3291" s="431"/>
    </row>
    <row r="3292">
      <c r="A3292" s="431"/>
    </row>
    <row r="3293">
      <c r="A3293" s="431"/>
    </row>
    <row r="3294">
      <c r="A3294" s="431"/>
    </row>
    <row r="3295">
      <c r="A3295" s="431"/>
    </row>
    <row r="3296">
      <c r="A3296" s="431"/>
    </row>
    <row r="3297">
      <c r="A3297" s="431"/>
    </row>
    <row r="3298">
      <c r="A3298" s="431"/>
    </row>
    <row r="3299">
      <c r="A3299" s="431"/>
    </row>
    <row r="3300">
      <c r="A3300" s="431"/>
    </row>
    <row r="3301">
      <c r="A3301" s="431"/>
    </row>
    <row r="3302">
      <c r="A3302" s="431"/>
    </row>
    <row r="3303">
      <c r="A3303" s="431"/>
    </row>
    <row r="3304">
      <c r="A3304" s="431"/>
    </row>
    <row r="3305">
      <c r="A3305" s="431"/>
    </row>
    <row r="3306">
      <c r="A3306" s="431"/>
    </row>
    <row r="3307">
      <c r="A3307" s="431"/>
    </row>
    <row r="3308">
      <c r="A3308" s="431"/>
    </row>
    <row r="3309">
      <c r="A3309" s="431"/>
    </row>
    <row r="3310">
      <c r="A3310" s="431"/>
    </row>
    <row r="3311">
      <c r="A3311" s="431"/>
    </row>
    <row r="3312">
      <c r="A3312" s="431"/>
    </row>
    <row r="3313">
      <c r="A3313" s="431"/>
    </row>
    <row r="3314">
      <c r="A3314" s="431"/>
    </row>
    <row r="3315">
      <c r="A3315" s="431"/>
    </row>
    <row r="3316">
      <c r="A3316" s="431"/>
    </row>
    <row r="3317">
      <c r="A3317" s="431"/>
    </row>
    <row r="3318">
      <c r="A3318" s="431"/>
    </row>
    <row r="3319">
      <c r="A3319" s="431"/>
    </row>
    <row r="3320">
      <c r="A3320" s="431"/>
    </row>
    <row r="3321">
      <c r="A3321" s="431"/>
    </row>
    <row r="3322">
      <c r="A3322" s="431"/>
    </row>
    <row r="3323">
      <c r="A3323" s="431"/>
    </row>
    <row r="3324">
      <c r="A3324" s="431"/>
    </row>
    <row r="3325">
      <c r="A3325" s="431"/>
    </row>
    <row r="3326">
      <c r="A3326" s="431"/>
    </row>
    <row r="3327">
      <c r="A3327" s="431"/>
    </row>
    <row r="3328">
      <c r="A3328" s="431"/>
    </row>
    <row r="3329">
      <c r="A3329" s="431"/>
    </row>
    <row r="3330">
      <c r="A3330" s="431"/>
    </row>
    <row r="3331">
      <c r="A3331" s="431"/>
    </row>
    <row r="3332">
      <c r="A3332" s="431"/>
    </row>
    <row r="3333">
      <c r="A3333" s="431"/>
    </row>
    <row r="3334">
      <c r="A3334" s="431"/>
    </row>
    <row r="3335">
      <c r="A3335" s="431"/>
    </row>
    <row r="3336">
      <c r="A3336" s="431"/>
    </row>
    <row r="3337">
      <c r="A3337" s="431"/>
    </row>
    <row r="3338">
      <c r="A3338" s="431"/>
    </row>
    <row r="3339">
      <c r="A3339" s="431"/>
    </row>
    <row r="3340">
      <c r="A3340" s="431"/>
    </row>
    <row r="3341">
      <c r="A3341" s="431"/>
    </row>
    <row r="3342">
      <c r="A3342" s="431"/>
    </row>
    <row r="3343">
      <c r="A3343" s="431"/>
    </row>
    <row r="3344">
      <c r="A3344" s="431"/>
    </row>
    <row r="3345">
      <c r="A3345" s="431"/>
    </row>
    <row r="3346">
      <c r="A3346" s="431"/>
    </row>
    <row r="3347">
      <c r="A3347" s="431"/>
    </row>
    <row r="3348">
      <c r="A3348" s="431"/>
    </row>
    <row r="3349">
      <c r="A3349" s="431"/>
    </row>
    <row r="3350">
      <c r="A3350" s="431"/>
    </row>
    <row r="3351">
      <c r="A3351" s="431"/>
    </row>
    <row r="3352">
      <c r="A3352" s="431"/>
    </row>
    <row r="3353">
      <c r="A3353" s="431"/>
    </row>
    <row r="3354">
      <c r="A3354" s="431"/>
    </row>
    <row r="3355">
      <c r="A3355" s="431"/>
    </row>
    <row r="3356">
      <c r="A3356" s="431"/>
    </row>
    <row r="3357">
      <c r="A3357" s="431"/>
    </row>
    <row r="3358">
      <c r="A3358" s="431"/>
    </row>
    <row r="3359">
      <c r="A3359" s="431"/>
    </row>
    <row r="3360">
      <c r="A3360" s="431"/>
    </row>
    <row r="3361">
      <c r="A3361" s="431"/>
    </row>
    <row r="3362">
      <c r="A3362" s="431"/>
    </row>
    <row r="3363">
      <c r="A3363" s="431"/>
    </row>
    <row r="3364">
      <c r="A3364" s="431"/>
    </row>
    <row r="3365">
      <c r="A3365" s="431"/>
    </row>
    <row r="3366">
      <c r="A3366" s="431"/>
    </row>
    <row r="3367">
      <c r="A3367" s="431"/>
    </row>
    <row r="3368">
      <c r="A3368" s="431"/>
    </row>
    <row r="3369">
      <c r="A3369" s="431"/>
    </row>
    <row r="3370">
      <c r="A3370" s="431"/>
    </row>
    <row r="3371">
      <c r="A3371" s="431"/>
    </row>
    <row r="3372">
      <c r="A3372" s="431"/>
    </row>
    <row r="3373">
      <c r="A3373" s="431"/>
    </row>
    <row r="3374">
      <c r="A3374" s="431"/>
    </row>
    <row r="3375">
      <c r="A3375" s="431"/>
    </row>
    <row r="3376">
      <c r="A3376" s="431"/>
    </row>
    <row r="3377">
      <c r="A3377" s="431"/>
    </row>
    <row r="3378">
      <c r="A3378" s="431"/>
    </row>
    <row r="3379">
      <c r="A3379" s="431"/>
    </row>
    <row r="3380">
      <c r="A3380" s="431"/>
    </row>
    <row r="3381">
      <c r="A3381" s="431"/>
    </row>
    <row r="3382">
      <c r="A3382" s="431"/>
    </row>
    <row r="3383">
      <c r="A3383" s="431"/>
    </row>
    <row r="3384">
      <c r="A3384" s="431"/>
    </row>
    <row r="3385">
      <c r="A3385" s="431"/>
    </row>
    <row r="3386">
      <c r="A3386" s="431"/>
    </row>
    <row r="3387">
      <c r="A3387" s="431"/>
    </row>
    <row r="3388">
      <c r="A3388" s="431"/>
    </row>
    <row r="3389">
      <c r="A3389" s="431"/>
    </row>
    <row r="3390">
      <c r="A3390" s="431"/>
    </row>
    <row r="3391">
      <c r="A3391" s="431"/>
    </row>
    <row r="3392">
      <c r="A3392" s="431"/>
    </row>
    <row r="3393">
      <c r="A3393" s="431"/>
    </row>
    <row r="3394">
      <c r="A3394" s="431"/>
    </row>
    <row r="3395">
      <c r="A3395" s="431"/>
    </row>
    <row r="3396">
      <c r="A3396" s="431"/>
    </row>
    <row r="3397">
      <c r="A3397" s="431"/>
    </row>
    <row r="3398">
      <c r="A3398" s="431"/>
    </row>
    <row r="3399">
      <c r="A3399" s="431"/>
    </row>
    <row r="3400">
      <c r="A3400" s="431"/>
    </row>
    <row r="3401">
      <c r="A3401" s="431"/>
    </row>
    <row r="3402">
      <c r="A3402" s="431"/>
    </row>
    <row r="3403">
      <c r="A3403" s="431"/>
    </row>
    <row r="3404">
      <c r="A3404" s="431"/>
    </row>
    <row r="3405">
      <c r="A3405" s="431"/>
    </row>
    <row r="3406">
      <c r="A3406" s="431"/>
    </row>
    <row r="3407">
      <c r="A3407" s="431"/>
    </row>
    <row r="3408">
      <c r="A3408" s="431"/>
    </row>
    <row r="3409">
      <c r="A3409" s="431"/>
    </row>
    <row r="3410">
      <c r="A3410" s="431"/>
    </row>
    <row r="3411">
      <c r="A3411" s="431"/>
    </row>
    <row r="3412">
      <c r="A3412" s="431"/>
    </row>
    <row r="3413">
      <c r="A3413" s="431"/>
    </row>
    <row r="3414">
      <c r="A3414" s="431"/>
    </row>
    <row r="3415">
      <c r="A3415" s="431"/>
    </row>
    <row r="3416">
      <c r="A3416" s="431"/>
    </row>
    <row r="3417">
      <c r="A3417" s="431"/>
    </row>
    <row r="3418">
      <c r="A3418" s="431"/>
    </row>
    <row r="3419">
      <c r="A3419" s="431"/>
    </row>
    <row r="3420">
      <c r="A3420" s="431"/>
    </row>
    <row r="3421">
      <c r="A3421" s="431"/>
    </row>
    <row r="3422">
      <c r="A3422" s="431"/>
    </row>
    <row r="3423">
      <c r="A3423" s="431"/>
    </row>
    <row r="3424">
      <c r="A3424" s="431"/>
    </row>
    <row r="3425">
      <c r="A3425" s="431"/>
    </row>
    <row r="3426">
      <c r="A3426" s="431"/>
    </row>
    <row r="3427">
      <c r="A3427" s="431"/>
    </row>
    <row r="3428">
      <c r="A3428" s="431"/>
    </row>
    <row r="3429">
      <c r="A3429" s="431"/>
    </row>
    <row r="3430">
      <c r="A3430" s="431"/>
    </row>
    <row r="3431">
      <c r="A3431" s="431"/>
    </row>
    <row r="3432">
      <c r="A3432" s="431"/>
    </row>
    <row r="3433">
      <c r="A3433" s="431"/>
    </row>
    <row r="3434">
      <c r="A3434" s="431"/>
    </row>
    <row r="3435">
      <c r="A3435" s="431"/>
    </row>
    <row r="3436">
      <c r="A3436" s="431"/>
    </row>
    <row r="3437">
      <c r="A3437" s="431"/>
    </row>
    <row r="3438">
      <c r="A3438" s="431"/>
    </row>
    <row r="3439">
      <c r="A3439" s="431"/>
    </row>
    <row r="3440">
      <c r="A3440" s="431"/>
    </row>
    <row r="3441">
      <c r="A3441" s="431"/>
    </row>
    <row r="3442">
      <c r="A3442" s="431"/>
    </row>
    <row r="3443">
      <c r="A3443" s="431"/>
    </row>
    <row r="3444">
      <c r="A3444" s="431"/>
    </row>
    <row r="3445">
      <c r="A3445" s="431"/>
    </row>
    <row r="3446">
      <c r="A3446" s="431"/>
    </row>
    <row r="3447">
      <c r="A3447" s="431"/>
    </row>
    <row r="3448">
      <c r="A3448" s="431"/>
    </row>
    <row r="3449">
      <c r="A3449" s="431"/>
    </row>
    <row r="3450">
      <c r="A3450" s="431"/>
    </row>
    <row r="3451">
      <c r="A3451" s="431"/>
    </row>
    <row r="3452">
      <c r="A3452" s="431"/>
    </row>
    <row r="3453">
      <c r="A3453" s="431"/>
    </row>
    <row r="3454">
      <c r="A3454" s="431"/>
    </row>
    <row r="3455">
      <c r="A3455" s="431"/>
    </row>
    <row r="3456">
      <c r="A3456" s="431"/>
    </row>
    <row r="3457">
      <c r="A3457" s="431"/>
    </row>
    <row r="3458">
      <c r="A3458" s="431"/>
    </row>
    <row r="3459">
      <c r="A3459" s="431"/>
    </row>
    <row r="3460">
      <c r="A3460" s="431"/>
    </row>
    <row r="3461">
      <c r="A3461" s="431"/>
    </row>
    <row r="3462">
      <c r="A3462" s="431"/>
    </row>
    <row r="3463">
      <c r="A3463" s="431"/>
    </row>
    <row r="3464">
      <c r="A3464" s="431"/>
    </row>
    <row r="3465">
      <c r="A3465" s="431"/>
    </row>
    <row r="3466">
      <c r="A3466" s="431"/>
    </row>
    <row r="3467">
      <c r="A3467" s="431"/>
    </row>
    <row r="3468">
      <c r="A3468" s="431"/>
    </row>
    <row r="3469">
      <c r="A3469" s="431"/>
    </row>
    <row r="3470">
      <c r="A3470" s="431"/>
    </row>
    <row r="3471">
      <c r="A3471" s="431"/>
    </row>
    <row r="3472">
      <c r="A3472" s="431"/>
    </row>
    <row r="3473">
      <c r="A3473" s="431"/>
    </row>
    <row r="3474">
      <c r="A3474" s="431"/>
    </row>
    <row r="3475">
      <c r="A3475" s="431"/>
    </row>
    <row r="3476">
      <c r="A3476" s="431"/>
    </row>
    <row r="3477">
      <c r="A3477" s="431"/>
    </row>
    <row r="3478">
      <c r="A3478" s="431"/>
    </row>
    <row r="3479">
      <c r="A3479" s="431"/>
    </row>
    <row r="3480">
      <c r="A3480" s="431"/>
    </row>
    <row r="3481">
      <c r="A3481" s="431"/>
    </row>
    <row r="3482">
      <c r="A3482" s="431"/>
    </row>
    <row r="3483">
      <c r="A3483" s="431"/>
    </row>
    <row r="3484">
      <c r="A3484" s="431"/>
    </row>
    <row r="3485">
      <c r="A3485" s="431"/>
    </row>
    <row r="3486">
      <c r="A3486" s="431"/>
    </row>
    <row r="3487">
      <c r="A3487" s="431"/>
    </row>
    <row r="3488">
      <c r="A3488" s="431"/>
    </row>
    <row r="3489">
      <c r="A3489" s="431"/>
    </row>
    <row r="3490">
      <c r="A3490" s="431"/>
    </row>
    <row r="3491">
      <c r="A3491" s="431"/>
    </row>
    <row r="3492">
      <c r="A3492" s="431"/>
    </row>
    <row r="3493">
      <c r="A3493" s="431"/>
    </row>
    <row r="3494">
      <c r="A3494" s="431"/>
    </row>
    <row r="3495">
      <c r="A3495" s="431"/>
    </row>
    <row r="3496">
      <c r="A3496" s="431"/>
    </row>
    <row r="3497">
      <c r="A3497" s="431"/>
    </row>
    <row r="3498">
      <c r="A3498" s="431"/>
    </row>
    <row r="3499">
      <c r="A3499" s="431"/>
    </row>
    <row r="3500">
      <c r="A3500" s="431"/>
    </row>
    <row r="3501">
      <c r="A3501" s="431"/>
    </row>
    <row r="3502">
      <c r="A3502" s="431"/>
    </row>
    <row r="3503">
      <c r="A3503" s="431"/>
    </row>
    <row r="3504">
      <c r="A3504" s="431"/>
    </row>
    <row r="3505">
      <c r="A3505" s="431"/>
    </row>
    <row r="3506">
      <c r="A3506" s="431"/>
    </row>
    <row r="3507">
      <c r="A3507" s="431"/>
    </row>
    <row r="3508">
      <c r="A3508" s="431"/>
    </row>
    <row r="3509">
      <c r="A3509" s="431"/>
    </row>
    <row r="3510">
      <c r="A3510" s="431"/>
    </row>
    <row r="3511">
      <c r="A3511" s="431"/>
    </row>
    <row r="3512">
      <c r="A3512" s="431"/>
    </row>
    <row r="3513">
      <c r="A3513" s="431"/>
    </row>
    <row r="3514">
      <c r="A3514" s="431"/>
    </row>
    <row r="3515">
      <c r="A3515" s="431"/>
    </row>
    <row r="3516">
      <c r="A3516" s="431"/>
    </row>
    <row r="3517">
      <c r="A3517" s="431"/>
    </row>
    <row r="3518">
      <c r="A3518" s="431"/>
    </row>
    <row r="3519">
      <c r="A3519" s="431"/>
    </row>
    <row r="3520">
      <c r="A3520" s="431"/>
    </row>
    <row r="3521">
      <c r="A3521" s="431"/>
    </row>
    <row r="3522">
      <c r="A3522" s="431"/>
    </row>
    <row r="3523">
      <c r="A3523" s="431"/>
    </row>
    <row r="3524">
      <c r="A3524" s="431"/>
    </row>
    <row r="3525">
      <c r="A3525" s="431"/>
    </row>
    <row r="3526">
      <c r="A3526" s="431"/>
    </row>
    <row r="3527">
      <c r="A3527" s="431"/>
    </row>
    <row r="3528">
      <c r="A3528" s="431"/>
    </row>
    <row r="3529">
      <c r="A3529" s="431"/>
    </row>
    <row r="3530">
      <c r="A3530" s="431"/>
    </row>
    <row r="3531">
      <c r="A3531" s="431"/>
    </row>
    <row r="3532">
      <c r="A3532" s="431"/>
    </row>
    <row r="3533">
      <c r="A3533" s="431"/>
    </row>
    <row r="3534">
      <c r="A3534" s="431"/>
    </row>
    <row r="3535">
      <c r="A3535" s="431"/>
    </row>
    <row r="3536">
      <c r="A3536" s="431"/>
    </row>
    <row r="3537">
      <c r="A3537" s="431"/>
    </row>
    <row r="3538">
      <c r="A3538" s="431"/>
    </row>
    <row r="3539">
      <c r="A3539" s="431"/>
    </row>
    <row r="3540">
      <c r="A3540" s="431"/>
    </row>
    <row r="3541">
      <c r="A3541" s="431"/>
    </row>
    <row r="3542">
      <c r="A3542" s="431"/>
    </row>
    <row r="3543">
      <c r="A3543" s="431"/>
    </row>
    <row r="3544">
      <c r="A3544" s="431"/>
    </row>
    <row r="3545">
      <c r="A3545" s="431"/>
    </row>
    <row r="3546">
      <c r="A3546" s="431"/>
    </row>
    <row r="3547">
      <c r="A3547" s="431"/>
    </row>
    <row r="3548">
      <c r="A3548" s="431"/>
    </row>
    <row r="3549">
      <c r="A3549" s="431"/>
    </row>
    <row r="3550">
      <c r="A3550" s="431"/>
    </row>
    <row r="3551">
      <c r="A3551" s="431"/>
    </row>
    <row r="3552">
      <c r="A3552" s="431"/>
    </row>
    <row r="3553">
      <c r="A3553" s="431"/>
    </row>
    <row r="3554">
      <c r="A3554" s="431"/>
    </row>
    <row r="3555">
      <c r="A3555" s="431"/>
    </row>
    <row r="3556">
      <c r="A3556" s="431"/>
    </row>
    <row r="3557">
      <c r="A3557" s="431"/>
    </row>
    <row r="3558">
      <c r="A3558" s="431"/>
    </row>
    <row r="3559">
      <c r="A3559" s="431"/>
    </row>
    <row r="3560">
      <c r="A3560" s="431"/>
    </row>
    <row r="3561">
      <c r="A3561" s="431"/>
    </row>
    <row r="3562">
      <c r="A3562" s="431"/>
    </row>
    <row r="3563">
      <c r="A3563" s="431"/>
    </row>
    <row r="3564">
      <c r="A3564" s="431"/>
    </row>
    <row r="3565">
      <c r="A3565" s="431"/>
    </row>
    <row r="3566">
      <c r="A3566" s="431"/>
    </row>
    <row r="3567">
      <c r="A3567" s="431"/>
    </row>
    <row r="3568">
      <c r="A3568" s="431"/>
    </row>
    <row r="3569">
      <c r="A3569" s="431"/>
    </row>
    <row r="3570">
      <c r="A3570" s="431"/>
    </row>
    <row r="3571">
      <c r="A3571" s="431"/>
    </row>
    <row r="3572">
      <c r="A3572" s="431"/>
    </row>
    <row r="3573">
      <c r="A3573" s="431"/>
    </row>
    <row r="3574">
      <c r="A3574" s="431"/>
    </row>
    <row r="3575">
      <c r="A3575" s="431"/>
    </row>
    <row r="3576">
      <c r="A3576" s="431"/>
    </row>
    <row r="3577">
      <c r="A3577" s="431"/>
    </row>
    <row r="3578">
      <c r="A3578" s="431"/>
    </row>
    <row r="3579">
      <c r="A3579" s="431"/>
    </row>
    <row r="3580">
      <c r="A3580" s="431"/>
    </row>
    <row r="3581">
      <c r="A3581" s="431"/>
    </row>
    <row r="3582">
      <c r="A3582" s="431"/>
    </row>
    <row r="3583">
      <c r="A3583" s="431"/>
    </row>
    <row r="3584">
      <c r="A3584" s="431"/>
    </row>
    <row r="3585">
      <c r="A3585" s="431"/>
    </row>
    <row r="3586">
      <c r="A3586" s="431"/>
    </row>
    <row r="3587">
      <c r="A3587" s="431"/>
    </row>
    <row r="3588">
      <c r="A3588" s="431"/>
    </row>
    <row r="3589">
      <c r="A3589" s="431"/>
    </row>
    <row r="3590">
      <c r="A3590" s="431"/>
    </row>
    <row r="3591">
      <c r="A3591" s="431"/>
    </row>
    <row r="3592">
      <c r="A3592" s="431"/>
    </row>
    <row r="3593">
      <c r="A3593" s="431"/>
    </row>
    <row r="3594">
      <c r="A3594" s="431"/>
    </row>
    <row r="3595">
      <c r="A3595" s="431"/>
    </row>
    <row r="3596">
      <c r="A3596" s="431"/>
    </row>
    <row r="3597">
      <c r="A3597" s="431"/>
    </row>
    <row r="3598">
      <c r="A3598" s="431"/>
    </row>
    <row r="3599">
      <c r="A3599" s="431"/>
    </row>
    <row r="3600">
      <c r="A3600" s="431"/>
    </row>
    <row r="3601">
      <c r="A3601" s="431"/>
    </row>
    <row r="3602">
      <c r="A3602" s="431"/>
    </row>
    <row r="3603">
      <c r="A3603" s="431"/>
    </row>
    <row r="3604">
      <c r="A3604" s="431"/>
    </row>
    <row r="3605">
      <c r="A3605" s="431"/>
    </row>
    <row r="3606">
      <c r="A3606" s="431"/>
    </row>
    <row r="3607">
      <c r="A3607" s="431"/>
    </row>
    <row r="3608">
      <c r="A3608" s="431"/>
    </row>
    <row r="3609">
      <c r="A3609" s="431"/>
    </row>
    <row r="3610">
      <c r="A3610" s="431"/>
    </row>
    <row r="3611">
      <c r="A3611" s="431"/>
    </row>
    <row r="3612">
      <c r="A3612" s="431"/>
    </row>
    <row r="3613">
      <c r="A3613" s="431"/>
    </row>
    <row r="3614">
      <c r="A3614" s="431"/>
    </row>
    <row r="3615">
      <c r="A3615" s="431"/>
    </row>
    <row r="3616">
      <c r="A3616" s="431"/>
    </row>
    <row r="3617">
      <c r="A3617" s="431"/>
    </row>
    <row r="3618">
      <c r="A3618" s="431"/>
    </row>
    <row r="3619">
      <c r="A3619" s="431"/>
    </row>
    <row r="3620">
      <c r="A3620" s="431"/>
    </row>
    <row r="3621">
      <c r="A3621" s="431"/>
    </row>
    <row r="3622">
      <c r="A3622" s="431"/>
    </row>
    <row r="3623">
      <c r="A3623" s="431"/>
    </row>
    <row r="3624">
      <c r="A3624" s="431"/>
    </row>
    <row r="3625">
      <c r="A3625" s="431"/>
    </row>
    <row r="3626">
      <c r="A3626" s="431"/>
    </row>
    <row r="3627">
      <c r="A3627" s="431"/>
    </row>
    <row r="3628">
      <c r="A3628" s="431"/>
    </row>
    <row r="3629">
      <c r="A3629" s="431"/>
    </row>
    <row r="3630">
      <c r="A3630" s="431"/>
    </row>
    <row r="3631">
      <c r="A3631" s="431"/>
    </row>
    <row r="3632">
      <c r="A3632" s="431"/>
    </row>
    <row r="3633">
      <c r="A3633" s="431"/>
    </row>
    <row r="3634">
      <c r="A3634" s="431"/>
    </row>
    <row r="3635">
      <c r="A3635" s="431"/>
    </row>
    <row r="3636">
      <c r="A3636" s="431"/>
    </row>
    <row r="3637">
      <c r="A3637" s="431"/>
    </row>
    <row r="3638">
      <c r="A3638" s="431"/>
    </row>
    <row r="3639">
      <c r="A3639" s="431"/>
    </row>
    <row r="3640">
      <c r="A3640" s="431"/>
    </row>
    <row r="3641">
      <c r="A3641" s="431"/>
    </row>
    <row r="3642">
      <c r="A3642" s="431"/>
    </row>
    <row r="3643">
      <c r="A3643" s="431"/>
    </row>
    <row r="3644">
      <c r="A3644" s="431"/>
    </row>
    <row r="3645">
      <c r="A3645" s="431"/>
    </row>
    <row r="3646">
      <c r="A3646" s="431"/>
    </row>
    <row r="3647">
      <c r="A3647" s="431"/>
    </row>
    <row r="3648">
      <c r="A3648" s="431"/>
    </row>
    <row r="3649">
      <c r="A3649" s="431"/>
    </row>
    <row r="3650">
      <c r="A3650" s="431"/>
    </row>
    <row r="3651">
      <c r="A3651" s="431"/>
    </row>
    <row r="3652">
      <c r="A3652" s="431"/>
    </row>
    <row r="3653">
      <c r="A3653" s="431"/>
    </row>
    <row r="3654">
      <c r="A3654" s="431"/>
    </row>
    <row r="3655">
      <c r="A3655" s="431"/>
    </row>
    <row r="3656">
      <c r="A3656" s="431"/>
    </row>
    <row r="3657">
      <c r="A3657" s="431"/>
    </row>
    <row r="3658">
      <c r="A3658" s="431"/>
    </row>
    <row r="3659">
      <c r="A3659" s="431"/>
    </row>
    <row r="3660">
      <c r="A3660" s="431"/>
    </row>
    <row r="3661">
      <c r="A3661" s="431"/>
    </row>
    <row r="3662">
      <c r="A3662" s="431"/>
    </row>
    <row r="3663">
      <c r="A3663" s="431"/>
    </row>
    <row r="3664">
      <c r="A3664" s="431"/>
    </row>
    <row r="3665">
      <c r="A3665" s="431"/>
    </row>
    <row r="3666">
      <c r="A3666" s="431"/>
    </row>
    <row r="3667">
      <c r="A3667" s="431"/>
    </row>
    <row r="3668">
      <c r="A3668" s="431"/>
    </row>
    <row r="3669">
      <c r="A3669" s="431"/>
    </row>
    <row r="3670">
      <c r="A3670" s="431"/>
    </row>
    <row r="3671">
      <c r="A3671" s="431"/>
    </row>
    <row r="3672">
      <c r="A3672" s="431"/>
    </row>
    <row r="3673">
      <c r="A3673" s="431"/>
    </row>
    <row r="3674">
      <c r="A3674" s="431"/>
    </row>
    <row r="3675">
      <c r="A3675" s="431"/>
    </row>
    <row r="3676">
      <c r="A3676" s="431"/>
    </row>
    <row r="3677">
      <c r="A3677" s="431"/>
    </row>
    <row r="3678">
      <c r="A3678" s="431"/>
    </row>
    <row r="3679">
      <c r="A3679" s="431"/>
    </row>
    <row r="3680">
      <c r="A3680" s="431"/>
    </row>
    <row r="3681">
      <c r="A3681" s="431"/>
    </row>
    <row r="3682">
      <c r="A3682" s="431"/>
    </row>
    <row r="3683">
      <c r="A3683" s="431"/>
    </row>
    <row r="3684">
      <c r="A3684" s="431"/>
    </row>
    <row r="3685">
      <c r="A3685" s="431"/>
    </row>
    <row r="3686">
      <c r="A3686" s="431"/>
    </row>
    <row r="3687">
      <c r="A3687" s="431"/>
    </row>
    <row r="3688">
      <c r="A3688" s="431"/>
    </row>
    <row r="3689">
      <c r="A3689" s="431"/>
    </row>
    <row r="3690">
      <c r="A3690" s="431"/>
    </row>
    <row r="3691">
      <c r="A3691" s="431"/>
    </row>
    <row r="3692">
      <c r="A3692" s="431"/>
    </row>
    <row r="3693">
      <c r="A3693" s="431"/>
    </row>
    <row r="3694">
      <c r="A3694" s="431"/>
    </row>
    <row r="3695">
      <c r="A3695" s="431"/>
    </row>
    <row r="3696">
      <c r="A3696" s="431"/>
    </row>
    <row r="3697">
      <c r="A3697" s="431"/>
    </row>
    <row r="3698">
      <c r="A3698" s="431"/>
    </row>
    <row r="3699">
      <c r="A3699" s="431"/>
    </row>
    <row r="3700">
      <c r="A3700" s="431"/>
    </row>
    <row r="3701">
      <c r="A3701" s="431"/>
    </row>
    <row r="3702">
      <c r="A3702" s="431"/>
    </row>
    <row r="3703">
      <c r="A3703" s="431"/>
    </row>
    <row r="3704">
      <c r="A3704" s="431"/>
    </row>
    <row r="3705">
      <c r="A3705" s="431"/>
    </row>
    <row r="3706">
      <c r="A3706" s="431"/>
    </row>
    <row r="3707">
      <c r="A3707" s="431"/>
    </row>
    <row r="3708">
      <c r="A3708" s="431"/>
    </row>
    <row r="3709">
      <c r="A3709" s="431"/>
    </row>
    <row r="3710">
      <c r="A3710" s="431"/>
    </row>
    <row r="3711">
      <c r="A3711" s="431"/>
    </row>
    <row r="3712">
      <c r="A3712" s="431"/>
    </row>
    <row r="3713">
      <c r="A3713" s="431"/>
    </row>
    <row r="3714">
      <c r="A3714" s="431"/>
    </row>
    <row r="3715">
      <c r="A3715" s="431"/>
    </row>
    <row r="3716">
      <c r="A3716" s="431"/>
    </row>
    <row r="3717">
      <c r="A3717" s="431"/>
    </row>
    <row r="3718">
      <c r="A3718" s="431"/>
    </row>
    <row r="3719">
      <c r="A3719" s="431"/>
    </row>
    <row r="3720">
      <c r="A3720" s="431"/>
    </row>
    <row r="3721">
      <c r="A3721" s="431"/>
    </row>
    <row r="3722">
      <c r="A3722" s="431"/>
    </row>
    <row r="3723">
      <c r="A3723" s="431"/>
    </row>
    <row r="3724">
      <c r="A3724" s="431"/>
    </row>
    <row r="3725">
      <c r="A3725" s="431"/>
    </row>
    <row r="3726">
      <c r="A3726" s="431"/>
    </row>
    <row r="3727">
      <c r="A3727" s="431"/>
    </row>
    <row r="3728">
      <c r="A3728" s="431"/>
    </row>
    <row r="3729">
      <c r="A3729" s="431"/>
    </row>
    <row r="3730">
      <c r="A3730" s="431"/>
    </row>
    <row r="3731">
      <c r="A3731" s="431"/>
    </row>
    <row r="3732">
      <c r="A3732" s="431"/>
    </row>
    <row r="3733">
      <c r="A3733" s="431"/>
    </row>
    <row r="3734">
      <c r="A3734" s="431"/>
    </row>
    <row r="3735">
      <c r="A3735" s="431"/>
    </row>
    <row r="3736">
      <c r="A3736" s="431"/>
    </row>
    <row r="3737">
      <c r="A3737" s="431"/>
    </row>
    <row r="3738">
      <c r="A3738" s="431"/>
    </row>
    <row r="3739">
      <c r="A3739" s="431"/>
    </row>
    <row r="3740">
      <c r="A3740" s="431"/>
    </row>
    <row r="3741">
      <c r="A3741" s="431"/>
    </row>
    <row r="3742">
      <c r="A3742" s="431"/>
    </row>
    <row r="3743">
      <c r="A3743" s="431"/>
    </row>
    <row r="3744">
      <c r="A3744" s="431"/>
    </row>
    <row r="3745">
      <c r="A3745" s="431"/>
    </row>
    <row r="3746">
      <c r="A3746" s="431"/>
    </row>
    <row r="3747">
      <c r="A3747" s="431"/>
    </row>
    <row r="3748">
      <c r="A3748" s="431"/>
    </row>
    <row r="3749">
      <c r="A3749" s="431"/>
    </row>
    <row r="3750">
      <c r="A3750" s="431"/>
    </row>
    <row r="3751">
      <c r="A3751" s="431"/>
    </row>
    <row r="3752">
      <c r="A3752" s="431"/>
    </row>
    <row r="3753">
      <c r="A3753" s="431"/>
    </row>
    <row r="3754">
      <c r="A3754" s="431"/>
    </row>
    <row r="3755">
      <c r="A3755" s="431"/>
    </row>
    <row r="3756">
      <c r="A3756" s="431"/>
    </row>
    <row r="3757">
      <c r="A3757" s="431"/>
    </row>
    <row r="3758">
      <c r="A3758" s="431"/>
    </row>
    <row r="3759">
      <c r="A3759" s="431"/>
    </row>
    <row r="3760">
      <c r="A3760" s="431"/>
    </row>
    <row r="3761">
      <c r="A3761" s="431"/>
    </row>
    <row r="3762">
      <c r="A3762" s="431"/>
    </row>
    <row r="3763">
      <c r="A3763" s="431"/>
    </row>
    <row r="3764">
      <c r="A3764" s="431"/>
    </row>
    <row r="3765">
      <c r="A3765" s="431"/>
    </row>
    <row r="3766">
      <c r="A3766" s="431"/>
    </row>
    <row r="3767">
      <c r="A3767" s="431"/>
    </row>
    <row r="3768">
      <c r="A3768" s="431"/>
    </row>
    <row r="3769">
      <c r="A3769" s="431"/>
    </row>
    <row r="3770">
      <c r="A3770" s="431"/>
    </row>
    <row r="3771">
      <c r="A3771" s="431"/>
    </row>
    <row r="3772">
      <c r="A3772" s="431"/>
    </row>
    <row r="3773">
      <c r="A3773" s="431"/>
    </row>
    <row r="3774">
      <c r="A3774" s="431"/>
    </row>
    <row r="3775">
      <c r="A3775" s="431"/>
    </row>
    <row r="3776">
      <c r="A3776" s="431"/>
    </row>
    <row r="3777">
      <c r="A3777" s="431"/>
    </row>
    <row r="3778">
      <c r="A3778" s="431"/>
    </row>
    <row r="3779">
      <c r="A3779" s="431"/>
    </row>
    <row r="3780">
      <c r="A3780" s="431"/>
    </row>
    <row r="3781">
      <c r="A3781" s="431"/>
    </row>
    <row r="3782">
      <c r="A3782" s="431"/>
    </row>
    <row r="3783">
      <c r="A3783" s="431"/>
    </row>
    <row r="3784">
      <c r="A3784" s="431"/>
    </row>
    <row r="3785">
      <c r="A3785" s="431"/>
    </row>
    <row r="3786">
      <c r="A3786" s="431"/>
    </row>
    <row r="3787">
      <c r="A3787" s="431"/>
    </row>
    <row r="3788">
      <c r="A3788" s="431"/>
    </row>
    <row r="3789">
      <c r="A3789" s="431"/>
    </row>
    <row r="3790">
      <c r="A3790" s="431"/>
    </row>
    <row r="3791">
      <c r="A3791" s="431"/>
    </row>
    <row r="3792">
      <c r="A3792" s="431"/>
    </row>
    <row r="3793">
      <c r="A3793" s="431"/>
    </row>
    <row r="3794">
      <c r="A3794" s="431"/>
    </row>
    <row r="3795">
      <c r="A3795" s="431"/>
    </row>
    <row r="3796">
      <c r="A3796" s="431"/>
    </row>
    <row r="3797">
      <c r="A3797" s="431"/>
    </row>
    <row r="3798">
      <c r="A3798" s="431"/>
    </row>
    <row r="3799">
      <c r="A3799" s="431"/>
    </row>
    <row r="3800">
      <c r="A3800" s="431"/>
    </row>
    <row r="3801">
      <c r="A3801" s="431"/>
    </row>
    <row r="3802">
      <c r="A3802" s="431"/>
    </row>
    <row r="3803">
      <c r="A3803" s="431"/>
    </row>
    <row r="3804">
      <c r="A3804" s="431"/>
    </row>
    <row r="3805">
      <c r="A3805" s="431"/>
    </row>
    <row r="3806">
      <c r="A3806" s="431"/>
    </row>
    <row r="3807">
      <c r="A3807" s="431"/>
    </row>
    <row r="3808">
      <c r="A3808" s="431"/>
    </row>
    <row r="3809">
      <c r="A3809" s="431"/>
    </row>
    <row r="3810">
      <c r="A3810" s="431"/>
    </row>
    <row r="3811">
      <c r="A3811" s="431"/>
    </row>
    <row r="3812">
      <c r="A3812" s="431"/>
    </row>
    <row r="3813">
      <c r="A3813" s="431"/>
    </row>
    <row r="3814">
      <c r="A3814" s="431"/>
    </row>
    <row r="3815">
      <c r="A3815" s="431"/>
    </row>
    <row r="3816">
      <c r="A3816" s="431"/>
    </row>
    <row r="3817">
      <c r="A3817" s="431"/>
    </row>
    <row r="3818">
      <c r="A3818" s="431"/>
    </row>
    <row r="3819">
      <c r="A3819" s="431"/>
    </row>
    <row r="3820">
      <c r="A3820" s="431"/>
    </row>
    <row r="3821">
      <c r="A3821" s="431"/>
    </row>
    <row r="3822">
      <c r="A3822" s="431"/>
    </row>
    <row r="3823">
      <c r="A3823" s="431"/>
    </row>
    <row r="3824">
      <c r="A3824" s="431"/>
    </row>
    <row r="3825">
      <c r="A3825" s="431"/>
    </row>
    <row r="3826">
      <c r="A3826" s="431"/>
    </row>
    <row r="3827">
      <c r="A3827" s="431"/>
    </row>
    <row r="3828">
      <c r="A3828" s="431"/>
    </row>
    <row r="3829">
      <c r="A3829" s="431"/>
    </row>
    <row r="3830">
      <c r="A3830" s="431"/>
    </row>
    <row r="3831">
      <c r="A3831" s="431"/>
    </row>
    <row r="3832">
      <c r="A3832" s="431"/>
    </row>
    <row r="3833">
      <c r="A3833" s="431"/>
    </row>
    <row r="3834">
      <c r="A3834" s="431"/>
    </row>
    <row r="3835">
      <c r="A3835" s="431"/>
    </row>
    <row r="3836">
      <c r="A3836" s="431"/>
    </row>
    <row r="3837">
      <c r="A3837" s="431"/>
    </row>
    <row r="3838">
      <c r="A3838" s="431"/>
    </row>
    <row r="3839">
      <c r="A3839" s="431"/>
    </row>
    <row r="3840">
      <c r="A3840" s="431"/>
    </row>
    <row r="3841">
      <c r="A3841" s="431"/>
    </row>
    <row r="3842">
      <c r="A3842" s="431"/>
    </row>
    <row r="3843">
      <c r="A3843" s="431"/>
    </row>
    <row r="3844">
      <c r="A3844" s="431"/>
    </row>
    <row r="3845">
      <c r="A3845" s="431"/>
    </row>
    <row r="3846">
      <c r="A3846" s="431"/>
    </row>
    <row r="3847">
      <c r="A3847" s="431"/>
    </row>
    <row r="3848">
      <c r="A3848" s="431"/>
    </row>
    <row r="3849">
      <c r="A3849" s="431"/>
    </row>
    <row r="3850">
      <c r="A3850" s="431"/>
    </row>
    <row r="3851">
      <c r="A3851" s="431"/>
    </row>
    <row r="3852">
      <c r="A3852" s="431"/>
    </row>
    <row r="3853">
      <c r="A3853" s="431"/>
    </row>
    <row r="3854">
      <c r="A3854" s="431"/>
    </row>
    <row r="3855">
      <c r="A3855" s="431"/>
    </row>
    <row r="3856">
      <c r="A3856" s="431"/>
    </row>
    <row r="3857">
      <c r="A3857" s="431"/>
    </row>
    <row r="3858">
      <c r="A3858" s="431"/>
    </row>
    <row r="3859">
      <c r="A3859" s="431"/>
    </row>
    <row r="3860">
      <c r="A3860" s="431"/>
    </row>
    <row r="3861">
      <c r="A3861" s="431"/>
    </row>
    <row r="3862">
      <c r="A3862" s="431"/>
    </row>
    <row r="3863">
      <c r="A3863" s="431"/>
    </row>
    <row r="3864">
      <c r="A3864" s="431"/>
    </row>
    <row r="3865">
      <c r="A3865" s="431"/>
    </row>
    <row r="3866">
      <c r="A3866" s="431"/>
    </row>
    <row r="3867">
      <c r="A3867" s="431"/>
    </row>
    <row r="3868">
      <c r="A3868" s="431"/>
    </row>
    <row r="3869">
      <c r="A3869" s="431"/>
    </row>
    <row r="3870">
      <c r="A3870" s="431"/>
    </row>
    <row r="3871">
      <c r="A3871" s="431"/>
    </row>
    <row r="3872">
      <c r="A3872" s="431"/>
    </row>
    <row r="3873">
      <c r="A3873" s="431"/>
    </row>
    <row r="3874">
      <c r="A3874" s="431"/>
    </row>
    <row r="3875">
      <c r="A3875" s="431"/>
    </row>
    <row r="3876">
      <c r="A3876" s="431"/>
    </row>
    <row r="3877">
      <c r="A3877" s="431"/>
    </row>
    <row r="3878">
      <c r="A3878" s="431"/>
    </row>
    <row r="3879">
      <c r="A3879" s="431"/>
    </row>
    <row r="3880">
      <c r="A3880" s="431"/>
    </row>
    <row r="3881">
      <c r="A3881" s="431"/>
    </row>
    <row r="3882">
      <c r="A3882" s="431"/>
    </row>
    <row r="3883">
      <c r="A3883" s="431"/>
    </row>
    <row r="3884">
      <c r="A3884" s="431"/>
    </row>
    <row r="3885">
      <c r="A3885" s="431"/>
    </row>
    <row r="3886">
      <c r="A3886" s="431"/>
    </row>
    <row r="3887">
      <c r="A3887" s="431"/>
    </row>
    <row r="3888">
      <c r="A3888" s="431"/>
    </row>
    <row r="3889">
      <c r="A3889" s="431"/>
    </row>
    <row r="3890">
      <c r="A3890" s="431"/>
    </row>
    <row r="3891">
      <c r="A3891" s="431"/>
    </row>
    <row r="3892">
      <c r="A3892" s="431"/>
    </row>
    <row r="3893">
      <c r="A3893" s="431"/>
    </row>
    <row r="3894">
      <c r="A3894" s="431"/>
    </row>
    <row r="3895">
      <c r="A3895" s="431"/>
    </row>
    <row r="3896">
      <c r="A3896" s="431"/>
    </row>
    <row r="3897">
      <c r="A3897" s="431"/>
    </row>
    <row r="3898">
      <c r="A3898" s="431"/>
    </row>
    <row r="3899">
      <c r="A3899" s="431"/>
    </row>
    <row r="3900">
      <c r="A3900" s="431"/>
    </row>
    <row r="3901">
      <c r="A3901" s="431"/>
    </row>
    <row r="3902">
      <c r="A3902" s="431"/>
    </row>
    <row r="3903">
      <c r="A3903" s="431"/>
    </row>
    <row r="3904">
      <c r="A3904" s="431"/>
    </row>
    <row r="3905">
      <c r="A3905" s="431"/>
    </row>
    <row r="3906">
      <c r="A3906" s="431"/>
    </row>
    <row r="3907">
      <c r="A3907" s="431"/>
    </row>
    <row r="3908">
      <c r="A3908" s="431"/>
    </row>
    <row r="3909">
      <c r="A3909" s="431"/>
    </row>
    <row r="3910">
      <c r="A3910" s="431"/>
    </row>
    <row r="3911">
      <c r="A3911" s="431"/>
    </row>
    <row r="3912">
      <c r="A3912" s="431"/>
    </row>
    <row r="3913">
      <c r="A3913" s="431"/>
    </row>
    <row r="3914">
      <c r="A3914" s="431"/>
    </row>
    <row r="3915">
      <c r="A3915" s="431"/>
    </row>
    <row r="3916">
      <c r="A3916" s="431"/>
    </row>
    <row r="3917">
      <c r="A3917" s="431"/>
    </row>
    <row r="3918">
      <c r="A3918" s="431"/>
    </row>
    <row r="3919">
      <c r="A3919" s="431"/>
    </row>
    <row r="3920">
      <c r="A3920" s="431"/>
    </row>
    <row r="3921">
      <c r="A3921" s="431"/>
    </row>
    <row r="3922">
      <c r="A3922" s="431"/>
    </row>
    <row r="3923">
      <c r="A3923" s="431"/>
    </row>
    <row r="3924">
      <c r="A3924" s="431"/>
    </row>
    <row r="3925">
      <c r="A3925" s="431"/>
    </row>
    <row r="3926">
      <c r="A3926" s="431"/>
    </row>
    <row r="3927">
      <c r="A3927" s="431"/>
    </row>
    <row r="3928">
      <c r="A3928" s="431"/>
    </row>
    <row r="3929">
      <c r="A3929" s="431"/>
    </row>
    <row r="3930">
      <c r="A3930" s="431"/>
    </row>
    <row r="3931">
      <c r="A3931" s="431"/>
    </row>
    <row r="3932">
      <c r="A3932" s="431"/>
    </row>
    <row r="3933">
      <c r="A3933" s="431"/>
    </row>
    <row r="3934">
      <c r="A3934" s="431"/>
    </row>
    <row r="3935">
      <c r="A3935" s="431"/>
    </row>
    <row r="3936">
      <c r="A3936" s="431"/>
    </row>
    <row r="3937">
      <c r="A3937" s="431"/>
    </row>
    <row r="3938">
      <c r="A3938" s="431"/>
    </row>
    <row r="3939">
      <c r="A3939" s="431"/>
    </row>
    <row r="3940">
      <c r="A3940" s="431"/>
    </row>
    <row r="3941">
      <c r="A3941" s="431"/>
    </row>
    <row r="3942">
      <c r="A3942" s="431"/>
    </row>
    <row r="3943">
      <c r="A3943" s="431"/>
    </row>
    <row r="3944">
      <c r="A3944" s="431"/>
    </row>
    <row r="3945">
      <c r="A3945" s="431"/>
    </row>
    <row r="3946">
      <c r="A3946" s="431"/>
    </row>
    <row r="3947">
      <c r="A3947" s="431"/>
    </row>
    <row r="3948">
      <c r="A3948" s="431"/>
    </row>
    <row r="3949">
      <c r="A3949" s="431"/>
    </row>
    <row r="3950">
      <c r="A3950" s="431"/>
    </row>
    <row r="3951">
      <c r="A3951" s="431"/>
    </row>
    <row r="3952">
      <c r="A3952" s="431"/>
    </row>
    <row r="3953">
      <c r="A3953" s="431"/>
    </row>
    <row r="3954">
      <c r="A3954" s="431"/>
    </row>
    <row r="3955">
      <c r="A3955" s="431"/>
    </row>
    <row r="3956">
      <c r="A3956" s="431"/>
    </row>
    <row r="3957">
      <c r="A3957" s="431"/>
    </row>
    <row r="3958">
      <c r="A3958" s="431"/>
    </row>
    <row r="3959">
      <c r="A3959" s="431"/>
    </row>
    <row r="3960">
      <c r="A3960" s="431"/>
    </row>
    <row r="3961">
      <c r="A3961" s="431"/>
    </row>
    <row r="3962">
      <c r="A3962" s="431"/>
    </row>
    <row r="3963">
      <c r="A3963" s="431"/>
    </row>
    <row r="3964">
      <c r="A3964" s="431"/>
    </row>
    <row r="3965">
      <c r="A3965" s="431"/>
    </row>
    <row r="3966">
      <c r="A3966" s="431"/>
    </row>
    <row r="3967">
      <c r="A3967" s="431"/>
    </row>
    <row r="3968">
      <c r="A3968" s="431"/>
    </row>
    <row r="3969">
      <c r="A3969" s="431"/>
    </row>
    <row r="3970">
      <c r="A3970" s="431"/>
    </row>
    <row r="3971">
      <c r="A3971" s="431"/>
    </row>
    <row r="3972">
      <c r="A3972" s="431"/>
    </row>
    <row r="3973">
      <c r="A3973" s="431"/>
    </row>
    <row r="3974">
      <c r="A3974" s="431"/>
    </row>
    <row r="3975">
      <c r="A3975" s="431"/>
    </row>
    <row r="3976">
      <c r="A3976" s="431"/>
    </row>
    <row r="3977">
      <c r="A3977" s="431"/>
    </row>
    <row r="3978">
      <c r="A3978" s="431"/>
    </row>
    <row r="3979">
      <c r="A3979" s="431"/>
    </row>
    <row r="3980">
      <c r="A3980" s="431"/>
    </row>
    <row r="3981">
      <c r="A3981" s="431"/>
    </row>
    <row r="3982">
      <c r="A3982" s="431"/>
    </row>
    <row r="3983">
      <c r="A3983" s="431"/>
    </row>
    <row r="3984">
      <c r="A3984" s="431"/>
    </row>
    <row r="3985">
      <c r="A3985" s="431"/>
    </row>
    <row r="3986">
      <c r="A3986" s="431"/>
    </row>
    <row r="3987">
      <c r="A3987" s="431"/>
    </row>
    <row r="3988">
      <c r="A3988" s="431"/>
    </row>
    <row r="3989">
      <c r="A3989" s="431"/>
    </row>
    <row r="3990">
      <c r="A3990" s="431"/>
    </row>
    <row r="3991">
      <c r="A3991" s="431"/>
    </row>
    <row r="3992">
      <c r="A3992" s="431"/>
    </row>
    <row r="3993">
      <c r="A3993" s="431"/>
    </row>
    <row r="3994">
      <c r="A3994" s="431"/>
    </row>
    <row r="3995">
      <c r="A3995" s="431"/>
    </row>
    <row r="3996">
      <c r="A3996" s="431"/>
    </row>
    <row r="3997">
      <c r="A3997" s="431"/>
    </row>
    <row r="3998">
      <c r="A3998" s="431"/>
    </row>
    <row r="3999">
      <c r="A3999" s="431"/>
    </row>
    <row r="4000">
      <c r="A4000" s="431"/>
    </row>
    <row r="4001">
      <c r="A4001" s="431"/>
    </row>
    <row r="4002">
      <c r="A4002" s="431"/>
    </row>
    <row r="4003">
      <c r="A4003" s="431"/>
    </row>
    <row r="4004">
      <c r="A4004" s="431"/>
    </row>
    <row r="4005">
      <c r="A4005" s="431"/>
    </row>
    <row r="4006">
      <c r="A4006" s="431"/>
    </row>
    <row r="4007">
      <c r="A4007" s="431"/>
    </row>
    <row r="4008">
      <c r="A4008" s="431"/>
    </row>
    <row r="4009">
      <c r="A4009" s="431"/>
    </row>
    <row r="4010">
      <c r="A4010" s="431"/>
    </row>
    <row r="4011">
      <c r="A4011" s="431"/>
    </row>
    <row r="4012">
      <c r="A4012" s="431"/>
    </row>
    <row r="4013">
      <c r="A4013" s="431"/>
    </row>
    <row r="4014">
      <c r="A4014" s="431"/>
    </row>
    <row r="4015">
      <c r="A4015" s="431"/>
    </row>
    <row r="4016">
      <c r="A4016" s="431"/>
    </row>
    <row r="4017">
      <c r="A4017" s="431"/>
    </row>
    <row r="4018">
      <c r="A4018" s="431"/>
    </row>
    <row r="4019">
      <c r="A4019" s="431"/>
    </row>
    <row r="4020">
      <c r="A4020" s="431"/>
    </row>
    <row r="4021">
      <c r="A4021" s="431"/>
    </row>
    <row r="4022">
      <c r="A4022" s="431"/>
    </row>
    <row r="4023">
      <c r="A4023" s="431"/>
    </row>
    <row r="4024">
      <c r="A4024" s="431"/>
    </row>
    <row r="4025">
      <c r="A4025" s="431"/>
    </row>
    <row r="4026">
      <c r="A4026" s="431"/>
    </row>
    <row r="4027">
      <c r="A4027" s="431"/>
    </row>
    <row r="4028">
      <c r="A4028" s="431"/>
    </row>
    <row r="4029">
      <c r="A4029" s="431"/>
    </row>
    <row r="4030">
      <c r="A4030" s="431"/>
    </row>
    <row r="4031">
      <c r="A4031" s="431"/>
    </row>
    <row r="4032">
      <c r="A4032" s="431"/>
    </row>
    <row r="4033">
      <c r="A4033" s="431"/>
    </row>
    <row r="4034">
      <c r="A4034" s="431"/>
    </row>
    <row r="4035">
      <c r="A4035" s="431"/>
    </row>
    <row r="4036">
      <c r="A4036" s="431"/>
    </row>
    <row r="4037">
      <c r="A4037" s="431"/>
    </row>
    <row r="4038">
      <c r="A4038" s="431"/>
    </row>
    <row r="4039">
      <c r="A4039" s="431"/>
    </row>
    <row r="4040">
      <c r="A4040" s="431"/>
    </row>
    <row r="4041">
      <c r="A4041" s="431"/>
    </row>
    <row r="4042">
      <c r="A4042" s="431"/>
    </row>
    <row r="4043">
      <c r="A4043" s="431"/>
    </row>
    <row r="4044">
      <c r="A4044" s="431"/>
    </row>
    <row r="4045">
      <c r="A4045" s="431"/>
    </row>
    <row r="4046">
      <c r="A4046" s="431"/>
    </row>
    <row r="4047">
      <c r="A4047" s="431"/>
    </row>
    <row r="4048">
      <c r="A4048" s="431"/>
    </row>
    <row r="4049">
      <c r="A4049" s="431"/>
    </row>
    <row r="4050">
      <c r="A4050" s="431"/>
    </row>
    <row r="4051">
      <c r="A4051" s="431"/>
    </row>
    <row r="4052">
      <c r="A4052" s="431"/>
    </row>
    <row r="4053">
      <c r="A4053" s="431"/>
    </row>
    <row r="4054">
      <c r="A4054" s="431"/>
    </row>
    <row r="4055">
      <c r="A4055" s="431"/>
    </row>
    <row r="4056">
      <c r="A4056" s="431"/>
    </row>
    <row r="4057">
      <c r="A4057" s="431"/>
    </row>
    <row r="4058">
      <c r="A4058" s="431"/>
    </row>
    <row r="4059">
      <c r="A4059" s="431"/>
    </row>
    <row r="4060">
      <c r="A4060" s="431"/>
    </row>
    <row r="4061">
      <c r="A4061" s="431"/>
    </row>
    <row r="4062">
      <c r="A4062" s="431"/>
    </row>
    <row r="4063">
      <c r="A4063" s="431"/>
    </row>
    <row r="4064">
      <c r="A4064" s="431"/>
    </row>
    <row r="4065">
      <c r="A4065" s="431"/>
    </row>
    <row r="4066">
      <c r="A4066" s="431"/>
    </row>
    <row r="4067">
      <c r="A4067" s="431"/>
    </row>
    <row r="4068">
      <c r="A4068" s="431"/>
    </row>
    <row r="4069">
      <c r="A4069" s="431"/>
    </row>
    <row r="4070">
      <c r="A4070" s="431"/>
    </row>
    <row r="4071">
      <c r="A4071" s="431"/>
    </row>
    <row r="4072">
      <c r="A4072" s="431"/>
    </row>
    <row r="4073">
      <c r="A4073" s="431"/>
    </row>
    <row r="4074">
      <c r="A4074" s="431"/>
    </row>
    <row r="4075">
      <c r="A4075" s="431"/>
    </row>
    <row r="4076">
      <c r="A4076" s="431"/>
    </row>
    <row r="4077">
      <c r="A4077" s="431"/>
    </row>
    <row r="4078">
      <c r="A4078" s="431"/>
    </row>
    <row r="4079">
      <c r="A4079" s="431"/>
    </row>
    <row r="4080">
      <c r="A4080" s="431"/>
    </row>
    <row r="4081">
      <c r="A4081" s="431"/>
    </row>
    <row r="4082">
      <c r="A4082" s="431"/>
    </row>
    <row r="4083">
      <c r="A4083" s="431"/>
    </row>
    <row r="4084">
      <c r="A4084" s="431"/>
    </row>
    <row r="4085">
      <c r="A4085" s="431"/>
    </row>
    <row r="4086">
      <c r="A4086" s="431"/>
    </row>
    <row r="4087">
      <c r="A4087" s="431"/>
    </row>
    <row r="4088">
      <c r="A4088" s="431"/>
    </row>
    <row r="4089">
      <c r="A4089" s="431"/>
    </row>
    <row r="4090">
      <c r="A4090" s="431"/>
    </row>
    <row r="4091">
      <c r="A4091" s="431"/>
    </row>
    <row r="4092">
      <c r="A4092" s="431"/>
    </row>
    <row r="4093">
      <c r="A4093" s="431"/>
    </row>
    <row r="4094">
      <c r="A4094" s="431"/>
    </row>
    <row r="4095">
      <c r="A4095" s="431"/>
    </row>
    <row r="4096">
      <c r="A4096" s="431"/>
    </row>
    <row r="4097">
      <c r="A4097" s="431"/>
    </row>
    <row r="4098">
      <c r="A4098" s="431"/>
    </row>
    <row r="4099">
      <c r="A4099" s="431"/>
    </row>
    <row r="4100">
      <c r="A4100" s="431"/>
    </row>
    <row r="4101">
      <c r="A4101" s="431"/>
    </row>
    <row r="4102">
      <c r="A4102" s="431"/>
    </row>
    <row r="4103">
      <c r="A4103" s="431"/>
    </row>
    <row r="4104">
      <c r="A4104" s="431"/>
    </row>
    <row r="4105">
      <c r="A4105" s="431"/>
    </row>
    <row r="4106">
      <c r="A4106" s="431"/>
    </row>
    <row r="4107">
      <c r="A4107" s="431"/>
    </row>
    <row r="4108">
      <c r="A4108" s="431"/>
    </row>
    <row r="4109">
      <c r="A4109" s="431"/>
    </row>
    <row r="4110">
      <c r="A4110" s="431"/>
    </row>
    <row r="4111">
      <c r="A4111" s="431"/>
    </row>
    <row r="4112">
      <c r="A4112" s="431"/>
    </row>
    <row r="4113">
      <c r="A4113" s="431"/>
    </row>
    <row r="4114">
      <c r="A4114" s="431"/>
    </row>
    <row r="4115">
      <c r="A4115" s="431"/>
    </row>
    <row r="4116">
      <c r="A4116" s="431"/>
    </row>
    <row r="4117">
      <c r="A4117" s="431"/>
    </row>
    <row r="4118">
      <c r="A4118" s="431"/>
    </row>
    <row r="4119">
      <c r="A4119" s="431"/>
    </row>
    <row r="4120">
      <c r="A4120" s="431"/>
    </row>
    <row r="4121">
      <c r="A4121" s="431"/>
    </row>
    <row r="4122">
      <c r="A4122" s="431"/>
    </row>
    <row r="4123">
      <c r="A4123" s="431"/>
    </row>
    <row r="4124">
      <c r="A4124" s="431"/>
    </row>
    <row r="4125">
      <c r="A4125" s="431"/>
    </row>
    <row r="4126">
      <c r="A4126" s="431"/>
    </row>
    <row r="4127">
      <c r="A4127" s="431"/>
    </row>
    <row r="4128">
      <c r="A4128" s="431"/>
    </row>
    <row r="4129">
      <c r="A4129" s="431"/>
    </row>
    <row r="4130">
      <c r="A4130" s="431"/>
    </row>
    <row r="4131">
      <c r="A4131" s="431"/>
    </row>
    <row r="4132">
      <c r="A4132" s="431"/>
    </row>
    <row r="4133">
      <c r="A4133" s="431"/>
    </row>
    <row r="4134">
      <c r="A4134" s="431"/>
    </row>
    <row r="4135">
      <c r="A4135" s="431"/>
    </row>
    <row r="4136">
      <c r="A4136" s="431"/>
    </row>
    <row r="4137">
      <c r="A4137" s="431"/>
    </row>
    <row r="4138">
      <c r="A4138" s="431"/>
    </row>
    <row r="4139">
      <c r="A4139" s="431"/>
    </row>
    <row r="4140">
      <c r="A4140" s="431"/>
    </row>
    <row r="4141">
      <c r="A4141" s="431"/>
    </row>
    <row r="4142">
      <c r="A4142" s="431"/>
    </row>
    <row r="4143">
      <c r="A4143" s="431"/>
    </row>
    <row r="4144">
      <c r="A4144" s="431"/>
    </row>
    <row r="4145">
      <c r="A4145" s="431"/>
    </row>
    <row r="4146">
      <c r="A4146" s="431"/>
    </row>
    <row r="4147">
      <c r="A4147" s="431"/>
    </row>
    <row r="4148">
      <c r="A4148" s="431"/>
    </row>
    <row r="4149">
      <c r="A4149" s="431"/>
    </row>
    <row r="4150">
      <c r="A4150" s="431"/>
    </row>
    <row r="4151">
      <c r="A4151" s="431"/>
    </row>
    <row r="4152">
      <c r="A4152" s="431"/>
    </row>
    <row r="4153">
      <c r="A4153" s="431"/>
    </row>
    <row r="4154">
      <c r="A4154" s="431"/>
    </row>
    <row r="4155">
      <c r="A4155" s="431"/>
    </row>
    <row r="4156">
      <c r="A4156" s="431"/>
    </row>
    <row r="4157">
      <c r="A4157" s="431"/>
    </row>
    <row r="4158">
      <c r="A4158" s="431"/>
    </row>
    <row r="4159">
      <c r="A4159" s="431"/>
    </row>
    <row r="4160">
      <c r="A4160" s="431"/>
    </row>
    <row r="4161">
      <c r="A4161" s="431"/>
    </row>
    <row r="4162">
      <c r="A4162" s="431"/>
    </row>
    <row r="4163">
      <c r="A4163" s="431"/>
    </row>
    <row r="4164">
      <c r="A4164" s="431"/>
    </row>
    <row r="4165">
      <c r="A4165" s="431"/>
    </row>
    <row r="4166">
      <c r="A4166" s="431"/>
    </row>
    <row r="4167">
      <c r="A4167" s="431"/>
    </row>
    <row r="4168">
      <c r="A4168" s="431"/>
    </row>
    <row r="4169">
      <c r="A4169" s="431"/>
    </row>
    <row r="4170">
      <c r="A4170" s="431"/>
    </row>
    <row r="4171">
      <c r="A4171" s="431"/>
    </row>
    <row r="4172">
      <c r="A4172" s="431"/>
    </row>
    <row r="4173">
      <c r="A4173" s="431"/>
    </row>
    <row r="4174">
      <c r="A4174" s="431"/>
    </row>
    <row r="4175">
      <c r="A4175" s="431"/>
    </row>
    <row r="4176">
      <c r="A4176" s="431"/>
    </row>
    <row r="4177">
      <c r="A4177" s="431"/>
    </row>
    <row r="4178">
      <c r="A4178" s="431"/>
    </row>
    <row r="4179">
      <c r="A4179" s="431"/>
    </row>
    <row r="4180">
      <c r="A4180" s="431"/>
    </row>
    <row r="4181">
      <c r="A4181" s="431"/>
    </row>
    <row r="4182">
      <c r="A4182" s="431"/>
    </row>
    <row r="4183">
      <c r="A4183" s="431"/>
    </row>
    <row r="4184">
      <c r="A4184" s="431"/>
    </row>
    <row r="4185">
      <c r="A4185" s="431"/>
    </row>
    <row r="4186">
      <c r="A4186" s="431"/>
    </row>
    <row r="4187">
      <c r="A4187" s="431"/>
    </row>
    <row r="4188">
      <c r="A4188" s="431"/>
    </row>
    <row r="4189">
      <c r="A4189" s="431"/>
    </row>
    <row r="4190">
      <c r="A4190" s="431"/>
    </row>
    <row r="4191">
      <c r="A4191" s="431"/>
    </row>
    <row r="4192">
      <c r="A4192" s="431"/>
    </row>
    <row r="4193">
      <c r="A4193" s="431"/>
    </row>
    <row r="4194">
      <c r="A4194" s="431"/>
    </row>
    <row r="4195">
      <c r="A4195" s="431"/>
    </row>
    <row r="4196">
      <c r="A4196" s="431"/>
    </row>
    <row r="4197">
      <c r="A4197" s="431"/>
    </row>
    <row r="4198">
      <c r="A4198" s="431"/>
    </row>
    <row r="4199">
      <c r="A4199" s="431"/>
    </row>
    <row r="4200">
      <c r="A4200" s="431"/>
    </row>
    <row r="4201">
      <c r="A4201" s="431"/>
    </row>
    <row r="4202">
      <c r="A4202" s="431"/>
    </row>
    <row r="4203">
      <c r="A4203" s="431"/>
    </row>
    <row r="4204">
      <c r="A4204" s="431"/>
    </row>
    <row r="4205">
      <c r="A4205" s="431"/>
    </row>
    <row r="4206">
      <c r="A4206" s="431"/>
    </row>
    <row r="4207">
      <c r="A4207" s="431"/>
    </row>
    <row r="4208">
      <c r="A4208" s="431"/>
    </row>
    <row r="4209">
      <c r="A4209" s="431"/>
    </row>
    <row r="4210">
      <c r="A4210" s="431"/>
    </row>
    <row r="4211">
      <c r="A4211" s="431"/>
    </row>
    <row r="4212">
      <c r="A4212" s="431"/>
    </row>
    <row r="4213">
      <c r="A4213" s="431"/>
    </row>
    <row r="4214">
      <c r="A4214" s="431"/>
    </row>
    <row r="4215">
      <c r="A4215" s="431"/>
    </row>
    <row r="4216">
      <c r="A4216" s="431"/>
    </row>
    <row r="4217">
      <c r="A4217" s="431"/>
    </row>
    <row r="4218">
      <c r="A4218" s="431"/>
    </row>
    <row r="4219">
      <c r="A4219" s="431"/>
    </row>
    <row r="4220">
      <c r="A4220" s="431"/>
    </row>
    <row r="4221">
      <c r="A4221" s="431"/>
    </row>
    <row r="4222">
      <c r="A4222" s="431"/>
    </row>
    <row r="4223">
      <c r="A4223" s="431"/>
    </row>
    <row r="4224">
      <c r="A4224" s="431"/>
    </row>
    <row r="4225">
      <c r="A4225" s="431"/>
    </row>
    <row r="4226">
      <c r="A4226" s="431"/>
    </row>
    <row r="4227">
      <c r="A4227" s="431"/>
    </row>
    <row r="4228">
      <c r="A4228" s="431"/>
    </row>
    <row r="4229">
      <c r="A4229" s="431"/>
    </row>
    <row r="4230">
      <c r="A4230" s="431"/>
    </row>
    <row r="4231">
      <c r="A4231" s="431"/>
    </row>
    <row r="4232">
      <c r="A4232" s="431"/>
    </row>
    <row r="4233">
      <c r="A4233" s="431"/>
    </row>
    <row r="4234">
      <c r="A4234" s="431"/>
    </row>
    <row r="4235">
      <c r="A4235" s="431"/>
    </row>
    <row r="4236">
      <c r="A4236" s="431"/>
    </row>
    <row r="4237">
      <c r="A4237" s="431"/>
    </row>
    <row r="4238">
      <c r="A4238" s="431"/>
    </row>
    <row r="4239">
      <c r="A4239" s="431"/>
    </row>
    <row r="4240">
      <c r="A4240" s="431"/>
    </row>
    <row r="4241">
      <c r="A4241" s="431"/>
    </row>
    <row r="4242">
      <c r="A4242" s="431"/>
    </row>
    <row r="4243">
      <c r="A4243" s="431"/>
    </row>
    <row r="4244">
      <c r="A4244" s="431"/>
    </row>
    <row r="4245">
      <c r="A4245" s="431"/>
    </row>
    <row r="4246">
      <c r="A4246" s="431"/>
    </row>
    <row r="4247">
      <c r="A4247" s="431"/>
    </row>
    <row r="4248">
      <c r="A4248" s="431"/>
    </row>
    <row r="4249">
      <c r="A4249" s="431"/>
    </row>
    <row r="4250">
      <c r="A4250" s="431"/>
    </row>
    <row r="4251">
      <c r="A4251" s="431"/>
    </row>
    <row r="4252">
      <c r="A4252" s="431"/>
    </row>
    <row r="4253">
      <c r="A4253" s="431"/>
    </row>
    <row r="4254">
      <c r="A4254" s="431"/>
    </row>
    <row r="4255">
      <c r="A4255" s="431"/>
    </row>
    <row r="4256">
      <c r="A4256" s="431"/>
    </row>
    <row r="4257">
      <c r="A4257" s="431"/>
    </row>
    <row r="4258">
      <c r="A4258" s="431"/>
    </row>
    <row r="4259">
      <c r="A4259" s="431"/>
    </row>
    <row r="4260">
      <c r="A4260" s="431"/>
    </row>
    <row r="4261">
      <c r="A4261" s="431"/>
    </row>
    <row r="4262">
      <c r="A4262" s="431"/>
    </row>
    <row r="4263">
      <c r="A4263" s="431"/>
    </row>
    <row r="4264">
      <c r="A4264" s="431"/>
    </row>
    <row r="4265">
      <c r="A4265" s="431"/>
    </row>
    <row r="4266">
      <c r="A4266" s="431"/>
    </row>
    <row r="4267">
      <c r="A4267" s="431"/>
    </row>
    <row r="4268">
      <c r="A4268" s="431"/>
    </row>
    <row r="4269">
      <c r="A4269" s="431"/>
    </row>
    <row r="4270">
      <c r="A4270" s="431"/>
    </row>
    <row r="4271">
      <c r="A4271" s="431"/>
    </row>
    <row r="4272">
      <c r="A4272" s="431"/>
    </row>
    <row r="4273">
      <c r="A4273" s="431"/>
    </row>
    <row r="4274">
      <c r="A4274" s="431"/>
    </row>
    <row r="4275">
      <c r="A4275" s="431"/>
    </row>
    <row r="4276">
      <c r="A4276" s="431"/>
    </row>
    <row r="4277">
      <c r="A4277" s="431"/>
    </row>
    <row r="4278">
      <c r="A4278" s="431"/>
    </row>
    <row r="4279">
      <c r="A4279" s="431"/>
    </row>
    <row r="4280">
      <c r="A4280" s="431"/>
    </row>
    <row r="4281">
      <c r="A4281" s="431"/>
    </row>
    <row r="4282">
      <c r="A4282" s="431"/>
    </row>
    <row r="4283">
      <c r="A4283" s="431"/>
    </row>
    <row r="4284">
      <c r="A4284" s="431"/>
    </row>
    <row r="4285">
      <c r="A4285" s="431"/>
    </row>
    <row r="4286">
      <c r="A4286" s="431"/>
    </row>
    <row r="4287">
      <c r="A4287" s="431"/>
    </row>
    <row r="4288">
      <c r="A4288" s="431"/>
    </row>
    <row r="4289">
      <c r="A4289" s="431"/>
    </row>
    <row r="4290">
      <c r="A4290" s="431"/>
    </row>
    <row r="4291">
      <c r="A4291" s="431"/>
    </row>
    <row r="4292">
      <c r="A4292" s="431"/>
    </row>
    <row r="4293">
      <c r="A4293" s="431"/>
    </row>
    <row r="4294">
      <c r="A4294" s="431"/>
    </row>
    <row r="4295">
      <c r="A4295" s="431"/>
    </row>
    <row r="4296">
      <c r="A4296" s="431"/>
    </row>
    <row r="4297">
      <c r="A4297" s="431"/>
    </row>
    <row r="4298">
      <c r="A4298" s="431"/>
    </row>
    <row r="4299">
      <c r="A4299" s="431"/>
    </row>
    <row r="4300">
      <c r="A4300" s="431"/>
    </row>
    <row r="4301">
      <c r="A4301" s="431"/>
    </row>
    <row r="4302">
      <c r="A4302" s="431"/>
    </row>
    <row r="4303">
      <c r="A4303" s="431"/>
    </row>
    <row r="4304">
      <c r="A4304" s="431"/>
    </row>
    <row r="4305">
      <c r="A4305" s="431"/>
    </row>
    <row r="4306">
      <c r="A4306" s="431"/>
    </row>
    <row r="4307">
      <c r="A4307" s="431"/>
    </row>
    <row r="4308">
      <c r="A4308" s="431"/>
    </row>
    <row r="4309">
      <c r="A4309" s="431"/>
    </row>
    <row r="4310">
      <c r="A4310" s="431"/>
    </row>
    <row r="4311">
      <c r="A4311" s="431"/>
    </row>
    <row r="4312">
      <c r="A4312" s="431"/>
    </row>
    <row r="4313">
      <c r="A4313" s="431"/>
    </row>
    <row r="4314">
      <c r="A4314" s="431"/>
    </row>
    <row r="4315">
      <c r="A4315" s="431"/>
    </row>
    <row r="4316">
      <c r="A4316" s="431"/>
    </row>
    <row r="4317">
      <c r="A4317" s="431"/>
    </row>
    <row r="4318">
      <c r="A4318" s="431"/>
    </row>
    <row r="4319">
      <c r="A4319" s="431"/>
    </row>
    <row r="4320">
      <c r="A4320" s="431"/>
    </row>
    <row r="4321">
      <c r="A4321" s="431"/>
    </row>
    <row r="4322">
      <c r="A4322" s="431"/>
    </row>
    <row r="4323">
      <c r="A4323" s="431"/>
    </row>
    <row r="4324">
      <c r="A4324" s="431"/>
    </row>
    <row r="4325">
      <c r="A4325" s="431"/>
    </row>
    <row r="4326">
      <c r="A4326" s="431"/>
    </row>
    <row r="4327">
      <c r="A4327" s="431"/>
    </row>
    <row r="4328">
      <c r="A4328" s="431"/>
    </row>
    <row r="4329">
      <c r="A4329" s="431"/>
    </row>
    <row r="4330">
      <c r="A4330" s="431"/>
    </row>
    <row r="4331">
      <c r="A4331" s="431"/>
    </row>
    <row r="4332">
      <c r="A4332" s="431"/>
    </row>
    <row r="4333">
      <c r="A4333" s="431"/>
    </row>
    <row r="4334">
      <c r="A4334" s="431"/>
    </row>
    <row r="4335">
      <c r="A4335" s="431"/>
    </row>
    <row r="4336">
      <c r="A4336" s="431"/>
    </row>
    <row r="4337">
      <c r="A4337" s="431"/>
    </row>
    <row r="4338">
      <c r="A4338" s="431"/>
    </row>
    <row r="4339">
      <c r="A4339" s="431"/>
    </row>
    <row r="4340">
      <c r="A4340" s="431"/>
    </row>
    <row r="4341">
      <c r="A4341" s="431"/>
    </row>
    <row r="4342">
      <c r="A4342" s="431"/>
    </row>
    <row r="4343">
      <c r="A4343" s="431"/>
    </row>
    <row r="4344">
      <c r="A4344" s="431"/>
    </row>
    <row r="4345">
      <c r="A4345" s="431"/>
    </row>
    <row r="4346">
      <c r="A4346" s="431"/>
    </row>
    <row r="4347">
      <c r="A4347" s="431"/>
    </row>
    <row r="4348">
      <c r="A4348" s="431"/>
    </row>
    <row r="4349">
      <c r="A4349" s="431"/>
    </row>
    <row r="4350">
      <c r="A4350" s="431"/>
    </row>
    <row r="4351">
      <c r="A4351" s="431"/>
    </row>
    <row r="4352">
      <c r="A4352" s="431"/>
    </row>
    <row r="4353">
      <c r="A4353" s="431"/>
    </row>
    <row r="4354">
      <c r="A4354" s="431"/>
    </row>
    <row r="4355">
      <c r="A4355" s="431"/>
    </row>
    <row r="4356">
      <c r="A4356" s="431"/>
    </row>
    <row r="4357">
      <c r="A4357" s="431"/>
    </row>
    <row r="4358">
      <c r="A4358" s="431"/>
    </row>
    <row r="4359">
      <c r="A4359" s="431"/>
    </row>
    <row r="4360">
      <c r="A4360" s="431"/>
    </row>
    <row r="4361">
      <c r="A4361" s="431"/>
    </row>
    <row r="4362">
      <c r="A4362" s="431"/>
    </row>
    <row r="4363">
      <c r="A4363" s="431"/>
    </row>
    <row r="4364">
      <c r="A4364" s="431"/>
    </row>
    <row r="4365">
      <c r="A4365" s="431"/>
    </row>
    <row r="4366">
      <c r="A4366" s="431"/>
    </row>
    <row r="4367">
      <c r="A4367" s="431"/>
    </row>
    <row r="4368">
      <c r="A4368" s="431"/>
    </row>
    <row r="4369">
      <c r="A4369" s="431"/>
    </row>
    <row r="4370">
      <c r="A4370" s="431"/>
    </row>
    <row r="4371">
      <c r="A4371" s="431"/>
    </row>
    <row r="4372">
      <c r="A4372" s="431"/>
    </row>
    <row r="4373">
      <c r="A4373" s="431"/>
    </row>
    <row r="4374">
      <c r="A4374" s="431"/>
    </row>
    <row r="4375">
      <c r="A4375" s="431"/>
    </row>
    <row r="4376">
      <c r="A4376" s="431"/>
    </row>
    <row r="4377">
      <c r="A4377" s="431"/>
    </row>
    <row r="4378">
      <c r="A4378" s="431"/>
    </row>
    <row r="4379">
      <c r="A4379" s="431"/>
    </row>
    <row r="4380">
      <c r="A4380" s="431"/>
    </row>
    <row r="4381">
      <c r="A4381" s="431"/>
    </row>
    <row r="4382">
      <c r="A4382" s="431"/>
    </row>
    <row r="4383">
      <c r="A4383" s="431"/>
    </row>
    <row r="4384">
      <c r="A4384" s="431"/>
    </row>
    <row r="4385">
      <c r="A4385" s="431"/>
    </row>
    <row r="4386">
      <c r="A4386" s="431"/>
    </row>
    <row r="4387">
      <c r="A4387" s="431"/>
    </row>
    <row r="4388">
      <c r="A4388" s="431"/>
    </row>
    <row r="4389">
      <c r="A4389" s="431"/>
    </row>
    <row r="4390">
      <c r="A4390" s="431"/>
    </row>
    <row r="4391">
      <c r="A4391" s="431"/>
    </row>
    <row r="4392">
      <c r="A4392" s="431"/>
    </row>
    <row r="4393">
      <c r="A4393" s="431"/>
    </row>
    <row r="4394">
      <c r="A4394" s="431"/>
    </row>
    <row r="4395">
      <c r="A4395" s="431"/>
    </row>
    <row r="4396">
      <c r="A4396" s="431"/>
    </row>
    <row r="4397">
      <c r="A4397" s="431"/>
    </row>
    <row r="4398">
      <c r="A4398" s="431"/>
    </row>
    <row r="4399">
      <c r="A4399" s="431"/>
    </row>
    <row r="4400">
      <c r="A4400" s="431"/>
    </row>
    <row r="4401">
      <c r="A4401" s="431"/>
    </row>
    <row r="4402">
      <c r="A4402" s="431"/>
    </row>
    <row r="4403">
      <c r="A4403" s="431"/>
    </row>
    <row r="4404">
      <c r="A4404" s="431"/>
    </row>
    <row r="4405">
      <c r="A4405" s="431"/>
    </row>
    <row r="4406">
      <c r="A4406" s="431"/>
    </row>
    <row r="4407">
      <c r="A4407" s="431"/>
    </row>
    <row r="4408">
      <c r="A4408" s="431"/>
    </row>
    <row r="4409">
      <c r="A4409" s="431"/>
    </row>
    <row r="4410">
      <c r="A4410" s="431"/>
    </row>
    <row r="4411">
      <c r="A4411" s="431"/>
    </row>
    <row r="4412">
      <c r="A4412" s="431"/>
    </row>
    <row r="4413">
      <c r="A4413" s="431"/>
    </row>
    <row r="4414">
      <c r="A4414" s="431"/>
    </row>
    <row r="4415">
      <c r="A4415" s="431"/>
    </row>
    <row r="4416">
      <c r="A4416" s="431"/>
    </row>
    <row r="4417">
      <c r="A4417" s="431"/>
    </row>
    <row r="4418">
      <c r="A4418" s="431"/>
    </row>
    <row r="4419">
      <c r="A4419" s="431"/>
    </row>
    <row r="4420">
      <c r="A4420" s="431"/>
    </row>
    <row r="4421">
      <c r="A4421" s="431"/>
    </row>
    <row r="4422">
      <c r="A4422" s="431"/>
    </row>
    <row r="4423">
      <c r="A4423" s="431"/>
    </row>
    <row r="4424">
      <c r="A4424" s="431"/>
    </row>
    <row r="4425">
      <c r="A4425" s="431"/>
    </row>
    <row r="4426">
      <c r="A4426" s="431"/>
    </row>
    <row r="4427">
      <c r="A4427" s="431"/>
    </row>
    <row r="4428">
      <c r="A4428" s="431"/>
    </row>
    <row r="4429">
      <c r="A4429" s="431"/>
    </row>
    <row r="4430">
      <c r="A4430" s="431"/>
    </row>
    <row r="4431">
      <c r="A4431" s="431"/>
    </row>
    <row r="4432">
      <c r="A4432" s="431"/>
    </row>
    <row r="4433">
      <c r="A4433" s="431"/>
    </row>
    <row r="4434">
      <c r="A4434" s="431"/>
    </row>
    <row r="4435">
      <c r="A4435" s="431"/>
    </row>
    <row r="4436">
      <c r="A4436" s="431"/>
    </row>
    <row r="4437">
      <c r="A4437" s="431"/>
    </row>
    <row r="4438">
      <c r="A4438" s="431"/>
    </row>
    <row r="4439">
      <c r="A4439" s="431"/>
    </row>
    <row r="4440">
      <c r="A4440" s="431"/>
    </row>
    <row r="4441">
      <c r="A4441" s="431"/>
    </row>
    <row r="4442">
      <c r="A4442" s="431"/>
    </row>
    <row r="4443">
      <c r="A4443" s="431"/>
    </row>
    <row r="4444">
      <c r="A4444" s="431"/>
    </row>
    <row r="4445">
      <c r="A4445" s="431"/>
    </row>
    <row r="4446">
      <c r="A4446" s="431"/>
    </row>
    <row r="4447">
      <c r="A4447" s="431"/>
    </row>
    <row r="4448">
      <c r="A4448" s="431"/>
    </row>
    <row r="4449">
      <c r="A4449" s="431"/>
    </row>
    <row r="4450">
      <c r="A4450" s="431"/>
    </row>
    <row r="4451">
      <c r="A4451" s="431"/>
    </row>
    <row r="4452">
      <c r="A4452" s="431"/>
    </row>
    <row r="4453">
      <c r="A4453" s="431"/>
    </row>
    <row r="4454">
      <c r="A4454" s="431"/>
    </row>
    <row r="4455">
      <c r="A4455" s="431"/>
    </row>
    <row r="4456">
      <c r="A4456" s="431"/>
    </row>
    <row r="4457">
      <c r="A4457" s="431"/>
    </row>
    <row r="4458">
      <c r="A4458" s="431"/>
    </row>
    <row r="4459">
      <c r="A4459" s="431"/>
    </row>
    <row r="4460">
      <c r="A4460" s="431"/>
    </row>
    <row r="4461">
      <c r="A4461" s="431"/>
    </row>
    <row r="4462">
      <c r="A4462" s="431"/>
    </row>
    <row r="4463">
      <c r="A4463" s="431"/>
    </row>
    <row r="4464">
      <c r="A4464" s="431"/>
    </row>
    <row r="4465">
      <c r="A4465" s="431"/>
    </row>
    <row r="4466">
      <c r="A4466" s="431"/>
    </row>
    <row r="4467">
      <c r="A4467" s="431"/>
    </row>
    <row r="4468">
      <c r="A4468" s="431"/>
    </row>
    <row r="4469">
      <c r="A4469" s="431"/>
    </row>
    <row r="4470">
      <c r="A4470" s="431"/>
    </row>
    <row r="4471">
      <c r="A4471" s="431"/>
    </row>
    <row r="4472">
      <c r="A4472" s="431"/>
    </row>
    <row r="4473">
      <c r="A4473" s="431"/>
    </row>
    <row r="4474">
      <c r="A4474" s="431"/>
    </row>
    <row r="4475">
      <c r="A4475" s="431"/>
    </row>
    <row r="4476">
      <c r="A4476" s="431"/>
    </row>
    <row r="4477">
      <c r="A4477" s="431"/>
    </row>
    <row r="4478">
      <c r="A4478" s="431"/>
    </row>
    <row r="4479">
      <c r="A4479" s="431"/>
    </row>
    <row r="4480">
      <c r="A4480" s="431"/>
    </row>
    <row r="4481">
      <c r="A4481" s="431"/>
    </row>
    <row r="4482">
      <c r="A4482" s="431"/>
    </row>
    <row r="4483">
      <c r="A4483" s="431"/>
    </row>
    <row r="4484">
      <c r="A4484" s="431"/>
    </row>
    <row r="4485">
      <c r="A4485" s="431"/>
    </row>
    <row r="4486">
      <c r="A4486" s="431"/>
    </row>
    <row r="4487">
      <c r="A4487" s="431"/>
    </row>
    <row r="4488">
      <c r="A4488" s="431"/>
    </row>
    <row r="4489">
      <c r="A4489" s="431"/>
    </row>
    <row r="4490">
      <c r="A4490" s="431"/>
    </row>
    <row r="4491">
      <c r="A4491" s="431"/>
    </row>
    <row r="4492">
      <c r="A4492" s="431"/>
    </row>
    <row r="4493">
      <c r="A4493" s="431"/>
    </row>
    <row r="4494">
      <c r="A4494" s="431"/>
    </row>
    <row r="4495">
      <c r="A4495" s="431"/>
    </row>
    <row r="4496">
      <c r="A4496" s="431"/>
    </row>
    <row r="4497">
      <c r="A4497" s="431"/>
    </row>
    <row r="4498">
      <c r="A4498" s="431"/>
    </row>
    <row r="4499">
      <c r="A4499" s="431"/>
    </row>
    <row r="4500">
      <c r="A4500" s="431"/>
    </row>
    <row r="4501">
      <c r="A4501" s="431"/>
    </row>
    <row r="4502">
      <c r="A4502" s="431"/>
    </row>
    <row r="4503">
      <c r="A4503" s="431"/>
    </row>
    <row r="4504">
      <c r="A4504" s="431"/>
    </row>
    <row r="4505">
      <c r="A4505" s="431"/>
    </row>
    <row r="4506">
      <c r="A4506" s="431"/>
    </row>
    <row r="4507">
      <c r="A4507" s="431"/>
    </row>
    <row r="4508">
      <c r="A4508" s="431"/>
    </row>
    <row r="4509">
      <c r="A4509" s="431"/>
    </row>
    <row r="4510">
      <c r="A4510" s="431"/>
    </row>
    <row r="4511">
      <c r="A4511" s="431"/>
    </row>
    <row r="4512">
      <c r="A4512" s="431"/>
    </row>
    <row r="4513">
      <c r="A4513" s="431"/>
    </row>
    <row r="4514">
      <c r="A4514" s="431"/>
    </row>
    <row r="4515">
      <c r="A4515" s="431"/>
    </row>
    <row r="4516">
      <c r="A4516" s="431"/>
    </row>
    <row r="4517">
      <c r="A4517" s="431"/>
    </row>
    <row r="4518">
      <c r="A4518" s="431"/>
    </row>
    <row r="4519">
      <c r="A4519" s="431"/>
    </row>
    <row r="4520">
      <c r="A4520" s="431"/>
    </row>
    <row r="4521">
      <c r="A4521" s="431"/>
    </row>
    <row r="4522">
      <c r="A4522" s="431"/>
    </row>
    <row r="4523">
      <c r="A4523" s="431"/>
    </row>
    <row r="4524">
      <c r="A4524" s="431"/>
    </row>
    <row r="4525">
      <c r="A4525" s="431"/>
    </row>
    <row r="4526">
      <c r="A4526" s="431"/>
    </row>
    <row r="4527">
      <c r="A4527" s="431"/>
    </row>
    <row r="4528">
      <c r="A4528" s="431"/>
    </row>
    <row r="4529">
      <c r="A4529" s="431"/>
    </row>
    <row r="4530">
      <c r="A4530" s="431"/>
    </row>
    <row r="4531">
      <c r="A4531" s="431"/>
    </row>
    <row r="4532">
      <c r="A4532" s="431"/>
    </row>
    <row r="4533">
      <c r="A4533" s="431"/>
    </row>
    <row r="4534">
      <c r="A4534" s="431"/>
    </row>
    <row r="4535">
      <c r="A4535" s="431"/>
    </row>
    <row r="4536">
      <c r="A4536" s="431"/>
    </row>
    <row r="4537">
      <c r="A4537" s="431"/>
    </row>
    <row r="4538">
      <c r="A4538" s="431"/>
    </row>
    <row r="4539">
      <c r="A4539" s="431"/>
    </row>
    <row r="4540">
      <c r="A4540" s="431"/>
    </row>
    <row r="4541">
      <c r="A4541" s="431"/>
    </row>
    <row r="4542">
      <c r="A4542" s="431"/>
    </row>
    <row r="4543">
      <c r="A4543" s="431"/>
    </row>
    <row r="4544">
      <c r="A4544" s="431"/>
    </row>
    <row r="4545">
      <c r="A4545" s="431"/>
    </row>
    <row r="4546">
      <c r="A4546" s="431"/>
    </row>
    <row r="4547">
      <c r="A4547" s="431"/>
    </row>
    <row r="4548">
      <c r="A4548" s="431"/>
    </row>
    <row r="4549">
      <c r="A4549" s="431"/>
    </row>
    <row r="4550">
      <c r="A4550" s="431"/>
    </row>
    <row r="4551">
      <c r="A4551" s="431"/>
    </row>
    <row r="4552">
      <c r="A4552" s="431"/>
    </row>
    <row r="4553">
      <c r="A4553" s="431"/>
    </row>
    <row r="4554">
      <c r="A4554" s="431"/>
    </row>
    <row r="4555">
      <c r="A4555" s="431"/>
    </row>
    <row r="4556">
      <c r="A4556" s="431"/>
    </row>
    <row r="4557">
      <c r="A4557" s="431"/>
    </row>
    <row r="4558">
      <c r="A4558" s="431"/>
    </row>
    <row r="4559">
      <c r="A4559" s="431"/>
    </row>
    <row r="4560">
      <c r="A4560" s="431"/>
    </row>
    <row r="4561">
      <c r="A4561" s="431"/>
    </row>
    <row r="4562">
      <c r="A4562" s="431"/>
    </row>
    <row r="4563">
      <c r="A4563" s="431"/>
    </row>
    <row r="4564">
      <c r="A4564" s="431"/>
    </row>
    <row r="4565">
      <c r="A4565" s="431"/>
    </row>
    <row r="4566">
      <c r="A4566" s="431"/>
    </row>
    <row r="4567">
      <c r="A4567" s="431"/>
    </row>
    <row r="4568">
      <c r="A4568" s="431"/>
    </row>
    <row r="4569">
      <c r="A4569" s="431"/>
    </row>
    <row r="4570">
      <c r="A4570" s="431"/>
    </row>
    <row r="4571">
      <c r="A4571" s="431"/>
    </row>
    <row r="4572">
      <c r="A4572" s="431"/>
    </row>
    <row r="4573">
      <c r="A4573" s="431"/>
    </row>
    <row r="4574">
      <c r="A4574" s="431"/>
    </row>
    <row r="4575">
      <c r="A4575" s="431"/>
    </row>
    <row r="4576">
      <c r="A4576" s="431"/>
    </row>
    <row r="4577">
      <c r="A4577" s="431"/>
    </row>
    <row r="4578">
      <c r="A4578" s="431"/>
    </row>
    <row r="4579">
      <c r="A4579" s="431"/>
    </row>
    <row r="4580">
      <c r="A4580" s="431"/>
    </row>
    <row r="4581">
      <c r="A4581" s="431"/>
    </row>
    <row r="4582">
      <c r="A4582" s="431"/>
    </row>
    <row r="4583">
      <c r="A4583" s="431"/>
    </row>
    <row r="4584">
      <c r="A4584" s="431"/>
    </row>
    <row r="4585">
      <c r="A4585" s="431"/>
    </row>
    <row r="4586">
      <c r="A4586" s="431"/>
    </row>
    <row r="4587">
      <c r="A4587" s="431"/>
    </row>
    <row r="4588">
      <c r="A4588" s="431"/>
    </row>
    <row r="4589">
      <c r="A4589" s="431"/>
    </row>
    <row r="4590">
      <c r="A4590" s="431"/>
    </row>
    <row r="4591">
      <c r="A4591" s="431"/>
    </row>
    <row r="4592">
      <c r="A4592" s="431"/>
    </row>
    <row r="4593">
      <c r="A4593" s="431"/>
    </row>
    <row r="4594">
      <c r="A4594" s="431"/>
    </row>
    <row r="4595">
      <c r="A4595" s="431"/>
    </row>
    <row r="4596">
      <c r="A4596" s="431"/>
    </row>
    <row r="4597">
      <c r="A4597" s="431"/>
    </row>
    <row r="4598">
      <c r="A4598" s="431"/>
    </row>
    <row r="4599">
      <c r="A4599" s="431"/>
    </row>
    <row r="4600">
      <c r="A4600" s="431"/>
    </row>
    <row r="4601">
      <c r="A4601" s="431"/>
    </row>
    <row r="4602">
      <c r="A4602" s="431"/>
    </row>
    <row r="4603">
      <c r="A4603" s="431"/>
    </row>
    <row r="4604">
      <c r="A4604" s="431"/>
    </row>
    <row r="4605">
      <c r="A4605" s="431"/>
    </row>
    <row r="4606">
      <c r="A4606" s="431"/>
    </row>
    <row r="4607">
      <c r="A4607" s="431"/>
    </row>
    <row r="4608">
      <c r="A4608" s="431"/>
    </row>
    <row r="4609">
      <c r="A4609" s="431"/>
    </row>
    <row r="4610">
      <c r="A4610" s="431"/>
    </row>
    <row r="4611">
      <c r="A4611" s="431"/>
    </row>
    <row r="4612">
      <c r="A4612" s="431"/>
    </row>
    <row r="4613">
      <c r="A4613" s="431"/>
    </row>
    <row r="4614">
      <c r="A4614" s="431"/>
    </row>
    <row r="4615">
      <c r="A4615" s="431"/>
    </row>
    <row r="4616">
      <c r="A4616" s="431"/>
    </row>
    <row r="4617">
      <c r="A4617" s="431"/>
    </row>
    <row r="4618">
      <c r="A4618" s="431"/>
    </row>
    <row r="4619">
      <c r="A4619" s="431"/>
    </row>
    <row r="4620">
      <c r="A4620" s="431"/>
    </row>
    <row r="4621">
      <c r="A4621" s="431"/>
    </row>
    <row r="4622">
      <c r="A4622" s="431"/>
    </row>
    <row r="4623">
      <c r="A4623" s="431"/>
    </row>
    <row r="4624">
      <c r="A4624" s="431"/>
    </row>
    <row r="4625">
      <c r="A4625" s="431"/>
    </row>
    <row r="4626">
      <c r="A4626" s="431"/>
    </row>
    <row r="4627">
      <c r="A4627" s="431"/>
    </row>
    <row r="4628">
      <c r="A4628" s="431"/>
    </row>
    <row r="4629">
      <c r="A4629" s="431"/>
    </row>
    <row r="4630">
      <c r="A4630" s="431"/>
    </row>
    <row r="4631">
      <c r="A4631" s="431"/>
    </row>
    <row r="4632">
      <c r="A4632" s="431"/>
    </row>
    <row r="4633">
      <c r="A4633" s="431"/>
    </row>
    <row r="4634">
      <c r="A4634" s="431"/>
    </row>
    <row r="4635">
      <c r="A4635" s="431"/>
    </row>
    <row r="4636">
      <c r="A4636" s="431"/>
    </row>
    <row r="4637">
      <c r="A4637" s="431"/>
    </row>
    <row r="4638">
      <c r="A4638" s="431"/>
    </row>
    <row r="4639">
      <c r="A4639" s="431"/>
    </row>
    <row r="4640">
      <c r="A4640" s="431"/>
    </row>
    <row r="4641">
      <c r="A4641" s="431"/>
    </row>
    <row r="4642">
      <c r="A4642" s="431"/>
    </row>
    <row r="4643">
      <c r="A4643" s="431"/>
    </row>
    <row r="4644">
      <c r="A4644" s="431"/>
    </row>
    <row r="4645">
      <c r="A4645" s="431"/>
    </row>
    <row r="4646">
      <c r="A4646" s="431"/>
    </row>
    <row r="4647">
      <c r="A4647" s="431"/>
    </row>
    <row r="4648">
      <c r="A4648" s="431"/>
    </row>
    <row r="4649">
      <c r="A4649" s="431"/>
    </row>
    <row r="4650">
      <c r="A4650" s="431"/>
    </row>
    <row r="4651">
      <c r="A4651" s="431"/>
    </row>
    <row r="4652">
      <c r="A4652" s="431"/>
    </row>
    <row r="4653">
      <c r="A4653" s="431"/>
    </row>
    <row r="4654">
      <c r="A4654" s="431"/>
    </row>
    <row r="4655">
      <c r="A4655" s="431"/>
    </row>
    <row r="4656">
      <c r="A4656" s="431"/>
    </row>
    <row r="4657">
      <c r="A4657" s="431"/>
    </row>
    <row r="4658">
      <c r="A4658" s="431"/>
    </row>
    <row r="4659">
      <c r="A4659" s="431"/>
    </row>
    <row r="4660">
      <c r="A4660" s="431"/>
    </row>
    <row r="4661">
      <c r="A4661" s="431"/>
    </row>
    <row r="4662">
      <c r="A4662" s="431"/>
    </row>
    <row r="4663">
      <c r="A4663" s="431"/>
    </row>
    <row r="4664">
      <c r="A4664" s="431"/>
    </row>
    <row r="4665">
      <c r="A4665" s="431"/>
    </row>
    <row r="4666">
      <c r="A4666" s="431"/>
    </row>
    <row r="4667">
      <c r="A4667" s="431"/>
    </row>
    <row r="4668">
      <c r="A4668" s="431"/>
    </row>
    <row r="4669">
      <c r="A4669" s="431"/>
    </row>
    <row r="4670">
      <c r="A4670" s="431"/>
    </row>
    <row r="4671">
      <c r="A4671" s="431"/>
    </row>
    <row r="4672">
      <c r="A4672" s="431"/>
    </row>
    <row r="4673">
      <c r="A4673" s="431"/>
    </row>
    <row r="4674">
      <c r="A4674" s="431"/>
    </row>
    <row r="4675">
      <c r="A4675" s="431"/>
    </row>
    <row r="4676">
      <c r="A4676" s="431"/>
    </row>
    <row r="4677">
      <c r="A4677" s="431"/>
    </row>
    <row r="4678">
      <c r="A4678" s="431"/>
    </row>
    <row r="4679">
      <c r="A4679" s="431"/>
    </row>
    <row r="4680">
      <c r="A4680" s="431"/>
    </row>
    <row r="4681">
      <c r="A4681" s="431"/>
    </row>
    <row r="4682">
      <c r="A4682" s="431"/>
    </row>
    <row r="4683">
      <c r="A4683" s="431"/>
    </row>
    <row r="4684">
      <c r="A4684" s="431"/>
    </row>
    <row r="4685">
      <c r="A4685" s="431"/>
    </row>
    <row r="4686">
      <c r="A4686" s="431"/>
    </row>
    <row r="4687">
      <c r="A4687" s="431"/>
    </row>
    <row r="4688">
      <c r="A4688" s="431"/>
    </row>
    <row r="4689">
      <c r="A4689" s="431"/>
    </row>
    <row r="4690">
      <c r="A4690" s="431"/>
    </row>
    <row r="4691">
      <c r="A4691" s="431"/>
    </row>
    <row r="4692">
      <c r="A4692" s="431"/>
    </row>
    <row r="4693">
      <c r="A4693" s="431"/>
    </row>
    <row r="4694">
      <c r="A4694" s="431"/>
    </row>
    <row r="4695">
      <c r="A4695" s="431"/>
    </row>
    <row r="4696">
      <c r="A4696" s="431"/>
    </row>
    <row r="4697">
      <c r="A4697" s="431"/>
    </row>
    <row r="4698">
      <c r="A4698" s="431"/>
    </row>
    <row r="4699">
      <c r="A4699" s="431"/>
    </row>
    <row r="4700">
      <c r="A4700" s="431"/>
    </row>
    <row r="4701">
      <c r="A4701" s="431"/>
    </row>
    <row r="4702">
      <c r="A4702" s="431"/>
    </row>
    <row r="4703">
      <c r="A4703" s="431"/>
    </row>
    <row r="4704">
      <c r="A4704" s="431"/>
    </row>
    <row r="4705">
      <c r="A4705" s="431"/>
    </row>
    <row r="4706">
      <c r="A4706" s="431"/>
    </row>
    <row r="4707">
      <c r="A4707" s="431"/>
    </row>
    <row r="4708">
      <c r="A4708" s="431"/>
    </row>
    <row r="4709">
      <c r="A4709" s="431"/>
    </row>
    <row r="4710">
      <c r="A4710" s="431"/>
    </row>
    <row r="4711">
      <c r="A4711" s="431"/>
    </row>
    <row r="4712">
      <c r="A4712" s="431"/>
    </row>
    <row r="4713">
      <c r="A4713" s="431"/>
    </row>
    <row r="4714">
      <c r="A4714" s="431"/>
    </row>
    <row r="4715">
      <c r="A4715" s="431"/>
    </row>
    <row r="4716">
      <c r="A4716" s="431"/>
    </row>
    <row r="4717">
      <c r="A4717" s="431"/>
    </row>
    <row r="4718">
      <c r="A4718" s="431"/>
    </row>
    <row r="4719">
      <c r="A4719" s="431"/>
    </row>
    <row r="4720">
      <c r="A4720" s="431"/>
    </row>
    <row r="4721">
      <c r="A4721" s="431"/>
    </row>
    <row r="4722">
      <c r="A4722" s="431"/>
    </row>
    <row r="4723">
      <c r="A4723" s="431"/>
    </row>
    <row r="4724">
      <c r="A4724" s="431"/>
    </row>
    <row r="4725">
      <c r="A4725" s="431"/>
    </row>
    <row r="4726">
      <c r="A4726" s="431"/>
    </row>
    <row r="4727">
      <c r="A4727" s="431"/>
    </row>
    <row r="4728">
      <c r="A4728" s="431"/>
    </row>
    <row r="4729">
      <c r="A4729" s="431"/>
    </row>
    <row r="4730">
      <c r="A4730" s="431"/>
    </row>
    <row r="4731">
      <c r="A4731" s="431"/>
    </row>
    <row r="4732">
      <c r="A4732" s="431"/>
    </row>
    <row r="4733">
      <c r="A4733" s="431"/>
    </row>
    <row r="4734">
      <c r="A4734" s="431"/>
    </row>
    <row r="4735">
      <c r="A4735" s="431"/>
    </row>
    <row r="4736">
      <c r="A4736" s="431"/>
    </row>
    <row r="4737">
      <c r="A4737" s="431"/>
    </row>
    <row r="4738">
      <c r="A4738" s="431"/>
    </row>
    <row r="4739">
      <c r="A4739" s="431"/>
    </row>
    <row r="4740">
      <c r="A4740" s="431"/>
    </row>
    <row r="4741">
      <c r="A4741" s="431"/>
    </row>
    <row r="4742">
      <c r="A4742" s="431"/>
    </row>
    <row r="4743">
      <c r="A4743" s="431"/>
    </row>
    <row r="4744">
      <c r="A4744" s="431"/>
    </row>
    <row r="4745">
      <c r="A4745" s="431"/>
    </row>
    <row r="4746">
      <c r="A4746" s="431"/>
    </row>
    <row r="4747">
      <c r="A4747" s="431"/>
    </row>
    <row r="4748">
      <c r="A4748" s="431"/>
    </row>
    <row r="4749">
      <c r="A4749" s="431"/>
    </row>
    <row r="4750">
      <c r="A4750" s="431"/>
    </row>
    <row r="4751">
      <c r="A4751" s="431"/>
    </row>
    <row r="4752">
      <c r="A4752" s="431"/>
    </row>
    <row r="4753">
      <c r="A4753" s="431"/>
    </row>
    <row r="4754">
      <c r="A4754" s="431"/>
    </row>
    <row r="4755">
      <c r="A4755" s="431"/>
    </row>
    <row r="4756">
      <c r="A4756" s="431"/>
    </row>
    <row r="4757">
      <c r="A4757" s="431"/>
    </row>
    <row r="4758">
      <c r="A4758" s="431"/>
    </row>
    <row r="4759">
      <c r="A4759" s="431"/>
    </row>
    <row r="4760">
      <c r="A4760" s="431"/>
    </row>
    <row r="4761">
      <c r="A4761" s="431"/>
    </row>
    <row r="4762">
      <c r="A4762" s="431"/>
    </row>
    <row r="4763">
      <c r="A4763" s="431"/>
    </row>
    <row r="4764">
      <c r="A4764" s="431"/>
    </row>
    <row r="4765">
      <c r="A4765" s="431"/>
    </row>
    <row r="4766">
      <c r="A4766" s="431"/>
    </row>
    <row r="4767">
      <c r="A4767" s="431"/>
    </row>
    <row r="4768">
      <c r="A4768" s="431"/>
    </row>
    <row r="4769">
      <c r="A4769" s="431"/>
    </row>
    <row r="4770">
      <c r="A4770" s="431"/>
    </row>
    <row r="4771">
      <c r="A4771" s="431"/>
    </row>
    <row r="4772">
      <c r="A4772" s="431"/>
    </row>
    <row r="4773">
      <c r="A4773" s="431"/>
    </row>
    <row r="4774">
      <c r="A4774" s="431"/>
    </row>
    <row r="4775">
      <c r="A4775" s="431"/>
    </row>
    <row r="4776">
      <c r="A4776" s="431"/>
    </row>
    <row r="4777">
      <c r="A4777" s="431"/>
    </row>
    <row r="4778">
      <c r="A4778" s="431"/>
    </row>
    <row r="4779">
      <c r="A4779" s="431"/>
    </row>
    <row r="4780">
      <c r="A4780" s="431"/>
    </row>
    <row r="4781">
      <c r="A4781" s="431"/>
    </row>
    <row r="4782">
      <c r="A4782" s="431"/>
    </row>
    <row r="4783">
      <c r="A4783" s="431"/>
    </row>
    <row r="4784">
      <c r="A4784" s="431"/>
    </row>
    <row r="4785">
      <c r="A4785" s="431"/>
    </row>
    <row r="4786">
      <c r="A4786" s="431"/>
    </row>
    <row r="4787">
      <c r="A4787" s="431"/>
    </row>
    <row r="4788">
      <c r="A4788" s="431"/>
    </row>
    <row r="4789">
      <c r="A4789" s="431"/>
    </row>
    <row r="4790">
      <c r="A4790" s="431"/>
    </row>
    <row r="4791">
      <c r="A4791" s="431"/>
    </row>
    <row r="4792">
      <c r="A4792" s="431"/>
    </row>
    <row r="4793">
      <c r="A4793" s="431"/>
    </row>
    <row r="4794">
      <c r="A4794" s="431"/>
    </row>
    <row r="4795">
      <c r="A4795" s="431"/>
    </row>
    <row r="4796">
      <c r="A4796" s="431"/>
    </row>
    <row r="4797">
      <c r="A4797" s="431"/>
    </row>
    <row r="4798">
      <c r="A4798" s="431"/>
    </row>
    <row r="4799">
      <c r="A4799" s="431"/>
    </row>
    <row r="4800">
      <c r="A4800" s="431"/>
    </row>
    <row r="4801">
      <c r="A4801" s="431"/>
    </row>
    <row r="4802">
      <c r="A4802" s="431"/>
    </row>
    <row r="4803">
      <c r="A4803" s="431"/>
    </row>
    <row r="4804">
      <c r="A4804" s="431"/>
    </row>
    <row r="4805">
      <c r="A4805" s="431"/>
    </row>
    <row r="4806">
      <c r="A4806" s="431"/>
    </row>
    <row r="4807">
      <c r="A4807" s="431"/>
    </row>
    <row r="4808">
      <c r="A4808" s="431"/>
    </row>
    <row r="4809">
      <c r="A4809" s="431"/>
    </row>
    <row r="4810">
      <c r="A4810" s="431"/>
    </row>
    <row r="4811">
      <c r="A4811" s="431"/>
    </row>
    <row r="4812">
      <c r="A4812" s="431"/>
    </row>
    <row r="4813">
      <c r="A4813" s="431"/>
    </row>
    <row r="4814">
      <c r="A4814" s="431"/>
    </row>
    <row r="4815">
      <c r="A4815" s="431"/>
    </row>
    <row r="4816">
      <c r="A4816" s="431"/>
    </row>
    <row r="4817">
      <c r="A4817" s="431"/>
    </row>
    <row r="4818">
      <c r="A4818" s="431"/>
    </row>
    <row r="4819">
      <c r="A4819" s="431"/>
    </row>
    <row r="4820">
      <c r="A4820" s="431"/>
    </row>
    <row r="4821">
      <c r="A4821" s="431"/>
    </row>
    <row r="4822">
      <c r="A4822" s="431"/>
    </row>
    <row r="4823">
      <c r="A4823" s="431"/>
    </row>
    <row r="4824">
      <c r="A4824" s="431"/>
    </row>
    <row r="4825">
      <c r="A4825" s="431"/>
    </row>
    <row r="4826">
      <c r="A4826" s="431"/>
    </row>
    <row r="4827">
      <c r="A4827" s="431"/>
    </row>
    <row r="4828">
      <c r="A4828" s="431"/>
    </row>
    <row r="4829">
      <c r="A4829" s="431"/>
    </row>
    <row r="4830">
      <c r="A4830" s="431"/>
    </row>
    <row r="4831">
      <c r="A4831" s="431"/>
    </row>
    <row r="4832">
      <c r="A4832" s="431"/>
    </row>
    <row r="4833">
      <c r="A4833" s="431"/>
    </row>
    <row r="4834">
      <c r="A4834" s="431"/>
    </row>
    <row r="4835">
      <c r="A4835" s="431"/>
    </row>
    <row r="4836">
      <c r="A4836" s="431"/>
    </row>
    <row r="4837">
      <c r="A4837" s="431"/>
    </row>
    <row r="4838">
      <c r="A4838" s="431"/>
    </row>
    <row r="4839">
      <c r="A4839" s="431"/>
    </row>
    <row r="4840">
      <c r="A4840" s="431"/>
    </row>
    <row r="4841">
      <c r="A4841" s="431"/>
    </row>
    <row r="4842">
      <c r="A4842" s="431"/>
    </row>
    <row r="4843">
      <c r="A4843" s="431"/>
    </row>
    <row r="4844">
      <c r="A4844" s="431"/>
    </row>
    <row r="4845">
      <c r="A4845" s="431"/>
    </row>
    <row r="4846">
      <c r="A4846" s="431"/>
    </row>
    <row r="4847">
      <c r="A4847" s="431"/>
    </row>
    <row r="4848">
      <c r="A4848" s="431"/>
    </row>
    <row r="4849">
      <c r="A4849" s="431"/>
    </row>
    <row r="4850">
      <c r="A4850" s="431"/>
    </row>
    <row r="4851">
      <c r="A4851" s="431"/>
    </row>
    <row r="4852">
      <c r="A4852" s="431"/>
    </row>
    <row r="4853">
      <c r="A4853" s="431"/>
    </row>
    <row r="4854">
      <c r="A4854" s="431"/>
    </row>
    <row r="4855">
      <c r="A4855" s="431"/>
    </row>
    <row r="4856">
      <c r="A4856" s="431"/>
    </row>
    <row r="4857">
      <c r="A4857" s="431"/>
    </row>
    <row r="4858">
      <c r="A4858" s="431"/>
    </row>
    <row r="4859">
      <c r="A4859" s="431"/>
    </row>
    <row r="4860">
      <c r="A4860" s="431"/>
    </row>
    <row r="4861">
      <c r="A4861" s="431"/>
    </row>
    <row r="4862">
      <c r="A4862" s="431"/>
    </row>
    <row r="4863">
      <c r="A4863" s="431"/>
    </row>
    <row r="4864">
      <c r="A4864" s="431"/>
    </row>
    <row r="4865">
      <c r="A4865" s="431"/>
    </row>
    <row r="4866">
      <c r="A4866" s="431"/>
    </row>
    <row r="4867">
      <c r="A4867" s="431"/>
    </row>
    <row r="4868">
      <c r="A4868" s="431"/>
    </row>
    <row r="4869">
      <c r="A4869" s="431"/>
    </row>
    <row r="4870">
      <c r="A4870" s="431"/>
    </row>
    <row r="4871">
      <c r="A4871" s="431"/>
    </row>
    <row r="4872">
      <c r="A4872" s="431"/>
    </row>
    <row r="4873">
      <c r="A4873" s="431"/>
    </row>
    <row r="4874">
      <c r="A4874" s="431"/>
    </row>
    <row r="4875">
      <c r="A4875" s="431"/>
    </row>
    <row r="4876">
      <c r="A4876" s="431"/>
    </row>
    <row r="4877">
      <c r="A4877" s="431"/>
    </row>
    <row r="4878">
      <c r="A4878" s="431"/>
    </row>
    <row r="4879">
      <c r="A4879" s="431"/>
    </row>
    <row r="4880">
      <c r="A4880" s="431"/>
    </row>
    <row r="4881">
      <c r="A4881" s="431"/>
    </row>
    <row r="4882">
      <c r="A4882" s="431"/>
    </row>
    <row r="4883">
      <c r="A4883" s="431"/>
    </row>
    <row r="4884">
      <c r="A4884" s="431"/>
    </row>
    <row r="4885">
      <c r="A4885" s="431"/>
    </row>
    <row r="4886">
      <c r="A4886" s="431"/>
    </row>
    <row r="4887">
      <c r="A4887" s="431"/>
    </row>
    <row r="4888">
      <c r="A4888" s="431"/>
    </row>
    <row r="4889">
      <c r="A4889" s="431"/>
    </row>
    <row r="4890">
      <c r="A4890" s="431"/>
    </row>
    <row r="4891">
      <c r="A4891" s="431"/>
    </row>
    <row r="4892">
      <c r="A4892" s="431"/>
    </row>
    <row r="4893">
      <c r="A4893" s="431"/>
    </row>
    <row r="4894">
      <c r="A4894" s="431"/>
    </row>
    <row r="4895">
      <c r="A4895" s="431"/>
    </row>
    <row r="4896">
      <c r="A4896" s="431"/>
    </row>
    <row r="4897">
      <c r="A4897" s="431"/>
    </row>
    <row r="4898">
      <c r="A4898" s="431"/>
    </row>
    <row r="4899">
      <c r="A4899" s="431"/>
    </row>
    <row r="4900">
      <c r="A4900" s="431"/>
    </row>
    <row r="4901">
      <c r="A4901" s="431"/>
    </row>
    <row r="4902">
      <c r="A4902" s="431"/>
    </row>
    <row r="4903">
      <c r="A4903" s="431"/>
    </row>
    <row r="4904">
      <c r="A4904" s="431"/>
    </row>
    <row r="4905">
      <c r="A4905" s="431"/>
    </row>
    <row r="4906">
      <c r="A4906" s="431"/>
    </row>
    <row r="4907">
      <c r="A4907" s="431"/>
    </row>
    <row r="4908">
      <c r="A4908" s="431"/>
    </row>
    <row r="4909">
      <c r="A4909" s="431"/>
    </row>
    <row r="4910">
      <c r="A4910" s="431"/>
    </row>
    <row r="4911">
      <c r="A4911" s="431"/>
    </row>
    <row r="4912">
      <c r="A4912" s="431"/>
    </row>
    <row r="4913">
      <c r="A4913" s="431"/>
    </row>
    <row r="4914">
      <c r="A4914" s="431"/>
    </row>
    <row r="4915">
      <c r="A4915" s="431"/>
    </row>
    <row r="4916">
      <c r="A4916" s="431"/>
    </row>
    <row r="4917">
      <c r="A4917" s="431"/>
    </row>
    <row r="4918">
      <c r="A4918" s="431"/>
    </row>
    <row r="4919">
      <c r="A4919" s="431"/>
    </row>
    <row r="4920">
      <c r="A4920" s="431"/>
    </row>
    <row r="4921">
      <c r="A4921" s="431"/>
    </row>
    <row r="4922">
      <c r="A4922" s="431"/>
    </row>
    <row r="4923">
      <c r="A4923" s="431"/>
    </row>
    <row r="4924">
      <c r="A4924" s="431"/>
    </row>
    <row r="4925">
      <c r="A4925" s="431"/>
    </row>
    <row r="4926">
      <c r="A4926" s="431"/>
    </row>
    <row r="4927">
      <c r="A4927" s="431"/>
    </row>
    <row r="4928">
      <c r="A4928" s="431"/>
    </row>
    <row r="4929">
      <c r="A4929" s="431"/>
    </row>
    <row r="4930">
      <c r="A4930" s="431"/>
    </row>
    <row r="4931">
      <c r="A4931" s="431"/>
    </row>
    <row r="4932">
      <c r="A4932" s="431"/>
    </row>
    <row r="4933">
      <c r="A4933" s="431"/>
    </row>
    <row r="4934">
      <c r="A4934" s="431"/>
    </row>
    <row r="4935">
      <c r="A4935" s="431"/>
    </row>
    <row r="4936">
      <c r="A4936" s="431"/>
    </row>
    <row r="4937">
      <c r="A4937" s="431"/>
    </row>
    <row r="4938">
      <c r="A4938" s="431"/>
    </row>
    <row r="4939">
      <c r="A4939" s="431"/>
    </row>
    <row r="4940">
      <c r="A4940" s="431"/>
    </row>
    <row r="4941">
      <c r="A4941" s="431"/>
    </row>
    <row r="4942">
      <c r="A4942" s="431"/>
    </row>
    <row r="4943">
      <c r="A4943" s="431"/>
    </row>
    <row r="4944">
      <c r="A4944" s="431"/>
    </row>
    <row r="4945">
      <c r="A4945" s="431"/>
    </row>
    <row r="4946">
      <c r="A4946" s="431"/>
    </row>
    <row r="4947">
      <c r="A4947" s="431"/>
    </row>
    <row r="4948">
      <c r="A4948" s="431"/>
    </row>
    <row r="4949">
      <c r="A4949" s="431"/>
    </row>
    <row r="4950">
      <c r="A4950" s="431"/>
    </row>
    <row r="4951">
      <c r="A4951" s="431"/>
    </row>
    <row r="4952">
      <c r="A4952" s="431"/>
    </row>
    <row r="4953">
      <c r="A4953" s="431"/>
    </row>
    <row r="4954">
      <c r="A4954" s="431"/>
    </row>
    <row r="4955">
      <c r="A4955" s="431"/>
    </row>
    <row r="4956">
      <c r="A4956" s="431"/>
    </row>
    <row r="4957">
      <c r="A4957" s="431"/>
    </row>
    <row r="4958">
      <c r="A4958" s="431"/>
    </row>
    <row r="4959">
      <c r="A4959" s="431"/>
    </row>
    <row r="4960">
      <c r="A4960" s="431"/>
    </row>
    <row r="4961">
      <c r="A4961" s="431"/>
    </row>
    <row r="4962">
      <c r="A4962" s="431"/>
    </row>
    <row r="4963">
      <c r="A4963" s="431"/>
    </row>
    <row r="4964">
      <c r="A4964" s="431"/>
    </row>
    <row r="4965">
      <c r="A4965" s="431"/>
    </row>
    <row r="4966">
      <c r="A4966" s="431"/>
    </row>
    <row r="4967">
      <c r="A4967" s="431"/>
    </row>
    <row r="4968">
      <c r="A4968" s="431"/>
    </row>
    <row r="4969">
      <c r="A4969" s="431"/>
    </row>
    <row r="4970">
      <c r="A4970" s="431"/>
    </row>
    <row r="4971">
      <c r="A4971" s="431"/>
    </row>
    <row r="4972">
      <c r="A4972" s="431"/>
    </row>
    <row r="4973">
      <c r="A4973" s="431"/>
    </row>
    <row r="4974">
      <c r="A4974" s="431"/>
    </row>
    <row r="4975">
      <c r="A4975" s="431"/>
    </row>
    <row r="4976">
      <c r="A4976" s="431"/>
    </row>
    <row r="4977">
      <c r="A4977" s="431"/>
    </row>
    <row r="4978">
      <c r="A4978" s="431"/>
    </row>
    <row r="4979">
      <c r="A4979" s="431"/>
    </row>
    <row r="4980">
      <c r="A4980" s="431"/>
    </row>
    <row r="4981">
      <c r="A4981" s="431"/>
    </row>
    <row r="4982">
      <c r="A4982" s="431"/>
    </row>
    <row r="4983">
      <c r="A4983" s="431"/>
    </row>
    <row r="4984">
      <c r="A4984" s="431"/>
    </row>
    <row r="4985">
      <c r="A4985" s="431"/>
    </row>
    <row r="4986">
      <c r="A4986" s="431"/>
    </row>
    <row r="4987">
      <c r="A4987" s="431"/>
    </row>
    <row r="4988">
      <c r="A4988" s="431"/>
    </row>
    <row r="4989">
      <c r="A4989" s="431"/>
    </row>
    <row r="4990">
      <c r="A4990" s="431"/>
    </row>
    <row r="4991">
      <c r="A4991" s="431"/>
    </row>
    <row r="4992">
      <c r="A4992" s="431"/>
    </row>
    <row r="4993">
      <c r="A4993" s="431"/>
    </row>
    <row r="4994">
      <c r="A4994" s="431"/>
    </row>
    <row r="4995">
      <c r="A4995" s="431"/>
    </row>
    <row r="4996">
      <c r="A4996" s="431"/>
    </row>
    <row r="4997">
      <c r="A4997" s="431"/>
    </row>
    <row r="4998">
      <c r="A4998" s="431"/>
    </row>
    <row r="4999">
      <c r="A4999" s="431"/>
    </row>
    <row r="5000">
      <c r="A5000" s="431"/>
    </row>
    <row r="5001">
      <c r="A5001" s="431"/>
    </row>
    <row r="5002">
      <c r="A5002" s="431"/>
    </row>
    <row r="5003">
      <c r="A5003" s="431"/>
    </row>
    <row r="5004">
      <c r="A5004" s="431"/>
    </row>
    <row r="5005">
      <c r="A5005" s="431"/>
    </row>
    <row r="5006">
      <c r="A5006" s="431"/>
    </row>
    <row r="5007">
      <c r="A5007" s="431"/>
    </row>
    <row r="5008">
      <c r="A5008" s="431"/>
    </row>
    <row r="5009">
      <c r="A5009" s="431"/>
    </row>
    <row r="5010">
      <c r="A5010" s="431"/>
    </row>
    <row r="5011">
      <c r="A5011" s="431"/>
    </row>
    <row r="5012">
      <c r="A5012" s="431"/>
    </row>
    <row r="5013">
      <c r="A5013" s="431"/>
    </row>
    <row r="5014">
      <c r="A5014" s="431"/>
    </row>
    <row r="5015">
      <c r="A5015" s="431"/>
    </row>
    <row r="5016">
      <c r="A5016" s="431"/>
    </row>
    <row r="5017">
      <c r="A5017" s="431"/>
    </row>
    <row r="5018">
      <c r="A5018" s="431"/>
    </row>
    <row r="5019">
      <c r="A5019" s="431"/>
    </row>
    <row r="5020">
      <c r="A5020" s="431"/>
    </row>
    <row r="5021">
      <c r="A5021" s="431"/>
    </row>
    <row r="5022">
      <c r="A5022" s="431"/>
    </row>
    <row r="5023">
      <c r="A5023" s="431"/>
    </row>
    <row r="5024">
      <c r="A5024" s="431"/>
    </row>
    <row r="5025">
      <c r="A5025" s="431"/>
    </row>
    <row r="5026">
      <c r="A5026" s="431"/>
    </row>
    <row r="5027">
      <c r="A5027" s="431"/>
    </row>
    <row r="5028">
      <c r="A5028" s="431"/>
    </row>
    <row r="5029">
      <c r="A5029" s="431"/>
    </row>
    <row r="5030">
      <c r="A5030" s="431"/>
    </row>
    <row r="5031">
      <c r="A5031" s="431"/>
    </row>
    <row r="5032">
      <c r="A5032" s="431"/>
    </row>
    <row r="5033">
      <c r="A5033" s="431"/>
    </row>
    <row r="5034">
      <c r="A5034" s="431"/>
    </row>
    <row r="5035">
      <c r="A5035" s="431"/>
    </row>
    <row r="5036">
      <c r="A5036" s="431"/>
    </row>
    <row r="5037">
      <c r="A5037" s="431"/>
    </row>
    <row r="5038">
      <c r="A5038" s="431"/>
    </row>
    <row r="5039">
      <c r="A5039" s="431"/>
    </row>
    <row r="5040">
      <c r="A5040" s="431"/>
    </row>
    <row r="5041">
      <c r="A5041" s="431"/>
    </row>
    <row r="5042">
      <c r="A5042" s="431"/>
    </row>
    <row r="5043">
      <c r="A5043" s="431"/>
    </row>
    <row r="5044">
      <c r="A5044" s="431"/>
    </row>
    <row r="5045">
      <c r="A5045" s="431"/>
    </row>
    <row r="5046">
      <c r="A5046" s="431"/>
    </row>
    <row r="5047">
      <c r="A5047" s="431"/>
    </row>
    <row r="5048">
      <c r="A5048" s="431"/>
    </row>
    <row r="5049">
      <c r="A5049" s="431"/>
    </row>
    <row r="5050">
      <c r="A5050" s="431"/>
    </row>
    <row r="5051">
      <c r="A5051" s="431"/>
    </row>
    <row r="5052">
      <c r="A5052" s="431"/>
    </row>
    <row r="5053">
      <c r="A5053" s="431"/>
    </row>
    <row r="5054">
      <c r="A5054" s="431"/>
    </row>
    <row r="5055">
      <c r="A5055" s="431"/>
    </row>
    <row r="5056">
      <c r="A5056" s="431"/>
    </row>
    <row r="5057">
      <c r="A5057" s="431"/>
    </row>
    <row r="5058">
      <c r="A5058" s="431"/>
    </row>
    <row r="5059">
      <c r="A5059" s="431"/>
    </row>
    <row r="5060">
      <c r="A5060" s="431"/>
    </row>
    <row r="5061">
      <c r="A5061" s="431"/>
    </row>
    <row r="5062">
      <c r="A5062" s="431"/>
    </row>
    <row r="5063">
      <c r="A5063" s="431"/>
    </row>
    <row r="5064">
      <c r="A5064" s="431"/>
    </row>
    <row r="5065">
      <c r="A5065" s="431"/>
    </row>
    <row r="5066">
      <c r="A5066" s="431"/>
    </row>
    <row r="5067">
      <c r="A5067" s="431"/>
    </row>
    <row r="5068">
      <c r="A5068" s="431"/>
    </row>
    <row r="5069">
      <c r="A5069" s="431"/>
    </row>
    <row r="5070">
      <c r="A5070" s="431"/>
    </row>
    <row r="5071">
      <c r="A5071" s="431"/>
    </row>
    <row r="5072">
      <c r="A5072" s="431"/>
    </row>
    <row r="5073">
      <c r="A5073" s="431"/>
    </row>
    <row r="5074">
      <c r="A5074" s="431"/>
    </row>
    <row r="5075">
      <c r="A5075" s="431"/>
    </row>
    <row r="5076">
      <c r="A5076" s="431"/>
    </row>
    <row r="5077">
      <c r="A5077" s="431"/>
    </row>
    <row r="5078">
      <c r="A5078" s="431"/>
    </row>
    <row r="5079">
      <c r="A5079" s="431"/>
    </row>
    <row r="5080">
      <c r="A5080" s="431"/>
    </row>
    <row r="5081">
      <c r="A5081" s="431"/>
    </row>
    <row r="5082">
      <c r="A5082" s="431"/>
    </row>
    <row r="5083">
      <c r="A5083" s="431"/>
    </row>
    <row r="5084">
      <c r="A5084" s="431"/>
    </row>
    <row r="5085">
      <c r="A5085" s="431"/>
    </row>
    <row r="5086">
      <c r="A5086" s="431"/>
    </row>
    <row r="5087">
      <c r="A5087" s="431"/>
    </row>
    <row r="5088">
      <c r="A5088" s="431"/>
    </row>
    <row r="5089">
      <c r="A5089" s="431"/>
    </row>
    <row r="5090">
      <c r="A5090" s="431"/>
    </row>
    <row r="5091">
      <c r="A5091" s="431"/>
    </row>
    <row r="5092">
      <c r="A5092" s="431"/>
    </row>
    <row r="5093">
      <c r="A5093" s="431"/>
    </row>
    <row r="5094">
      <c r="A5094" s="431"/>
    </row>
    <row r="5095">
      <c r="A5095" s="431"/>
    </row>
    <row r="5096">
      <c r="A5096" s="431"/>
    </row>
    <row r="5097">
      <c r="A5097" s="431"/>
    </row>
    <row r="5098">
      <c r="A5098" s="431"/>
    </row>
    <row r="5099">
      <c r="A5099" s="431"/>
    </row>
    <row r="5100">
      <c r="A5100" s="431"/>
    </row>
    <row r="5101">
      <c r="A5101" s="431"/>
    </row>
    <row r="5102">
      <c r="A5102" s="431"/>
    </row>
    <row r="5103">
      <c r="A5103" s="431"/>
    </row>
    <row r="5104">
      <c r="A5104" s="431"/>
    </row>
    <row r="5105">
      <c r="A5105" s="431"/>
    </row>
    <row r="5106">
      <c r="A5106" s="431"/>
    </row>
    <row r="5107">
      <c r="A5107" s="431"/>
    </row>
    <row r="5108">
      <c r="A5108" s="431"/>
    </row>
    <row r="5109">
      <c r="A5109" s="431"/>
    </row>
    <row r="5110">
      <c r="A5110" s="431"/>
    </row>
    <row r="5111">
      <c r="A5111" s="431"/>
    </row>
    <row r="5112">
      <c r="A5112" s="431"/>
    </row>
    <row r="5113">
      <c r="A5113" s="431"/>
    </row>
    <row r="5114">
      <c r="A5114" s="431"/>
    </row>
    <row r="5115">
      <c r="A5115" s="431"/>
    </row>
    <row r="5116">
      <c r="A5116" s="431"/>
    </row>
    <row r="5117">
      <c r="A5117" s="431"/>
    </row>
    <row r="5118">
      <c r="A5118" s="431"/>
    </row>
    <row r="5119">
      <c r="A5119" s="431"/>
    </row>
    <row r="5120">
      <c r="A5120" s="431"/>
    </row>
    <row r="5121">
      <c r="A5121" s="431"/>
    </row>
    <row r="5122">
      <c r="A5122" s="431"/>
    </row>
    <row r="5123">
      <c r="A5123" s="431"/>
    </row>
    <row r="5124">
      <c r="A5124" s="431"/>
    </row>
    <row r="5125">
      <c r="A5125" s="431"/>
    </row>
    <row r="5126">
      <c r="A5126" s="431"/>
    </row>
    <row r="5127">
      <c r="A5127" s="431"/>
    </row>
    <row r="5128">
      <c r="A5128" s="431"/>
    </row>
    <row r="5129">
      <c r="A5129" s="431"/>
    </row>
    <row r="5130">
      <c r="A5130" s="431"/>
    </row>
    <row r="5131">
      <c r="A5131" s="431"/>
    </row>
    <row r="5132">
      <c r="A5132" s="431"/>
    </row>
    <row r="5133">
      <c r="A5133" s="431"/>
    </row>
    <row r="5134">
      <c r="A5134" s="431"/>
    </row>
    <row r="5135">
      <c r="A5135" s="431"/>
    </row>
    <row r="5136">
      <c r="A5136" s="431"/>
    </row>
    <row r="5137">
      <c r="A5137" s="431"/>
    </row>
    <row r="5138">
      <c r="A5138" s="431"/>
    </row>
    <row r="5139">
      <c r="A5139" s="431"/>
    </row>
    <row r="5140">
      <c r="A5140" s="431"/>
    </row>
    <row r="5141">
      <c r="A5141" s="431"/>
    </row>
    <row r="5142">
      <c r="A5142" s="431"/>
    </row>
    <row r="5143">
      <c r="A5143" s="431"/>
    </row>
    <row r="5144">
      <c r="A5144" s="431"/>
    </row>
    <row r="5145">
      <c r="A5145" s="431"/>
    </row>
    <row r="5146">
      <c r="A5146" s="431"/>
    </row>
    <row r="5147">
      <c r="A5147" s="431"/>
    </row>
    <row r="5148">
      <c r="A5148" s="431"/>
    </row>
    <row r="5149">
      <c r="A5149" s="431"/>
    </row>
    <row r="5150">
      <c r="A5150" s="431"/>
    </row>
    <row r="5151">
      <c r="A5151" s="431"/>
    </row>
    <row r="5152">
      <c r="A5152" s="431"/>
    </row>
    <row r="5153">
      <c r="A5153" s="431"/>
    </row>
    <row r="5154">
      <c r="A5154" s="431"/>
    </row>
    <row r="5155">
      <c r="A5155" s="431"/>
    </row>
    <row r="5156">
      <c r="A5156" s="431"/>
    </row>
    <row r="5157">
      <c r="A5157" s="431"/>
    </row>
    <row r="5158">
      <c r="A5158" s="431"/>
    </row>
    <row r="5159">
      <c r="A5159" s="431"/>
    </row>
    <row r="5160">
      <c r="A5160" s="431"/>
    </row>
    <row r="5161">
      <c r="A5161" s="431"/>
    </row>
    <row r="5162">
      <c r="A5162" s="431"/>
    </row>
    <row r="5163">
      <c r="A5163" s="431"/>
    </row>
    <row r="5164">
      <c r="A5164" s="431"/>
    </row>
    <row r="5165">
      <c r="A5165" s="431"/>
    </row>
    <row r="5166">
      <c r="A5166" s="431"/>
    </row>
    <row r="5167">
      <c r="A5167" s="431"/>
    </row>
    <row r="5168">
      <c r="A5168" s="431"/>
    </row>
    <row r="5169">
      <c r="A5169" s="431"/>
    </row>
    <row r="5170">
      <c r="A5170" s="431"/>
    </row>
    <row r="5171">
      <c r="A5171" s="431"/>
    </row>
    <row r="5172">
      <c r="A5172" s="431"/>
    </row>
    <row r="5173">
      <c r="A5173" s="431"/>
    </row>
    <row r="5174">
      <c r="A5174" s="431"/>
    </row>
    <row r="5175">
      <c r="A5175" s="431"/>
    </row>
    <row r="5176">
      <c r="A5176" s="431"/>
    </row>
    <row r="5177">
      <c r="A5177" s="431"/>
    </row>
    <row r="5178">
      <c r="A5178" s="431"/>
    </row>
    <row r="5179">
      <c r="A5179" s="431"/>
    </row>
    <row r="5180">
      <c r="A5180" s="431"/>
    </row>
    <row r="5181">
      <c r="A5181" s="431"/>
    </row>
    <row r="5182">
      <c r="A5182" s="431"/>
    </row>
    <row r="5183">
      <c r="A5183" s="431"/>
    </row>
    <row r="5184">
      <c r="A5184" s="431"/>
    </row>
    <row r="5185">
      <c r="A5185" s="431"/>
    </row>
    <row r="5186">
      <c r="A5186" s="431"/>
    </row>
    <row r="5187">
      <c r="A5187" s="431"/>
    </row>
    <row r="5188">
      <c r="A5188" s="431"/>
    </row>
    <row r="5189">
      <c r="A5189" s="431"/>
    </row>
    <row r="5190">
      <c r="A5190" s="431"/>
    </row>
    <row r="5191">
      <c r="A5191" s="431"/>
    </row>
    <row r="5192">
      <c r="A5192" s="431"/>
    </row>
    <row r="5193">
      <c r="A5193" s="431"/>
    </row>
    <row r="5194">
      <c r="A5194" s="431"/>
    </row>
    <row r="5195">
      <c r="A5195" s="431"/>
    </row>
    <row r="5196">
      <c r="A5196" s="431"/>
    </row>
    <row r="5197">
      <c r="A5197" s="431"/>
    </row>
    <row r="5198">
      <c r="A5198" s="431"/>
    </row>
    <row r="5199">
      <c r="A5199" s="431"/>
    </row>
    <row r="5200">
      <c r="A5200" s="431"/>
    </row>
    <row r="5201">
      <c r="A5201" s="431"/>
    </row>
    <row r="5202">
      <c r="A5202" s="431"/>
    </row>
    <row r="5203">
      <c r="A5203" s="431"/>
    </row>
    <row r="5204">
      <c r="A5204" s="431"/>
    </row>
    <row r="5205">
      <c r="A5205" s="431"/>
    </row>
    <row r="5206">
      <c r="A5206" s="431"/>
    </row>
    <row r="5207">
      <c r="A5207" s="431"/>
    </row>
    <row r="5208">
      <c r="A5208" s="431"/>
    </row>
    <row r="5209">
      <c r="A5209" s="431"/>
    </row>
    <row r="5210">
      <c r="A5210" s="431"/>
    </row>
    <row r="5211">
      <c r="A5211" s="431"/>
    </row>
    <row r="5212">
      <c r="A5212" s="431"/>
    </row>
    <row r="5213">
      <c r="A5213" s="431"/>
    </row>
    <row r="5214">
      <c r="A5214" s="431"/>
    </row>
    <row r="5215">
      <c r="A5215" s="431"/>
    </row>
    <row r="5216">
      <c r="A5216" s="431"/>
    </row>
    <row r="5217">
      <c r="A5217" s="431"/>
    </row>
    <row r="5218">
      <c r="A5218" s="431"/>
    </row>
    <row r="5219">
      <c r="A5219" s="431"/>
    </row>
    <row r="5220">
      <c r="A5220" s="431"/>
    </row>
    <row r="5221">
      <c r="A5221" s="431"/>
    </row>
    <row r="5222">
      <c r="A5222" s="431"/>
    </row>
    <row r="5223">
      <c r="A5223" s="431"/>
    </row>
    <row r="5224">
      <c r="A5224" s="431"/>
    </row>
    <row r="5225">
      <c r="A5225" s="431"/>
    </row>
    <row r="5226">
      <c r="A5226" s="431"/>
    </row>
    <row r="5227">
      <c r="A5227" s="431"/>
    </row>
    <row r="5228">
      <c r="A5228" s="431"/>
    </row>
    <row r="5229">
      <c r="A5229" s="431"/>
    </row>
    <row r="5230">
      <c r="A5230" s="431"/>
    </row>
    <row r="5231">
      <c r="A5231" s="431"/>
    </row>
    <row r="5232">
      <c r="A5232" s="431"/>
    </row>
    <row r="5233">
      <c r="A5233" s="431"/>
    </row>
    <row r="5234">
      <c r="A5234" s="431"/>
    </row>
    <row r="5235">
      <c r="A5235" s="431"/>
    </row>
    <row r="5236">
      <c r="A5236" s="431"/>
    </row>
    <row r="5237">
      <c r="A5237" s="431"/>
    </row>
    <row r="5238">
      <c r="A5238" s="431"/>
    </row>
    <row r="5239">
      <c r="A5239" s="431"/>
    </row>
    <row r="5240">
      <c r="A5240" s="431"/>
    </row>
    <row r="5241">
      <c r="A5241" s="431"/>
    </row>
    <row r="5242">
      <c r="A5242" s="431"/>
    </row>
    <row r="5243">
      <c r="A5243" s="431"/>
    </row>
    <row r="5244">
      <c r="A5244" s="431"/>
    </row>
    <row r="5245">
      <c r="A5245" s="431"/>
    </row>
    <row r="5246">
      <c r="A5246" s="431"/>
    </row>
    <row r="5247">
      <c r="A5247" s="431"/>
    </row>
    <row r="5248">
      <c r="A5248" s="431"/>
    </row>
    <row r="5249">
      <c r="A5249" s="431"/>
    </row>
    <row r="5250">
      <c r="A5250" s="431"/>
    </row>
    <row r="5251">
      <c r="A5251" s="431"/>
    </row>
    <row r="5252">
      <c r="A5252" s="431"/>
    </row>
    <row r="5253">
      <c r="A5253" s="431"/>
    </row>
    <row r="5254">
      <c r="A5254" s="431"/>
    </row>
    <row r="5255">
      <c r="A5255" s="431"/>
    </row>
    <row r="5256">
      <c r="A5256" s="431"/>
    </row>
    <row r="5257">
      <c r="A5257" s="431"/>
    </row>
    <row r="5258">
      <c r="A5258" s="431"/>
    </row>
    <row r="5259">
      <c r="A5259" s="431"/>
    </row>
    <row r="5260">
      <c r="A5260" s="431"/>
    </row>
    <row r="5261">
      <c r="A5261" s="431"/>
    </row>
    <row r="5262">
      <c r="A5262" s="431"/>
    </row>
    <row r="5263">
      <c r="A5263" s="431"/>
    </row>
    <row r="5264">
      <c r="A5264" s="431"/>
    </row>
    <row r="5265">
      <c r="A5265" s="431"/>
    </row>
    <row r="5266">
      <c r="A5266" s="431"/>
    </row>
    <row r="5267">
      <c r="A5267" s="431"/>
    </row>
    <row r="5268">
      <c r="A5268" s="431"/>
    </row>
    <row r="5269">
      <c r="A5269" s="431"/>
    </row>
    <row r="5270">
      <c r="A5270" s="431"/>
    </row>
    <row r="5271">
      <c r="A5271" s="431"/>
    </row>
    <row r="5272">
      <c r="A5272" s="431"/>
    </row>
    <row r="5273">
      <c r="A5273" s="431"/>
    </row>
    <row r="5274">
      <c r="A5274" s="431"/>
    </row>
    <row r="5275">
      <c r="A5275" s="431"/>
    </row>
    <row r="5276">
      <c r="A5276" s="431"/>
    </row>
    <row r="5277">
      <c r="A5277" s="431"/>
    </row>
    <row r="5278">
      <c r="A5278" s="431"/>
    </row>
    <row r="5279">
      <c r="A5279" s="431"/>
    </row>
    <row r="5280">
      <c r="A5280" s="431"/>
    </row>
    <row r="5281">
      <c r="A5281" s="431"/>
    </row>
    <row r="5282">
      <c r="A5282" s="431"/>
    </row>
    <row r="5283">
      <c r="A5283" s="431"/>
    </row>
    <row r="5284">
      <c r="A5284" s="431"/>
    </row>
    <row r="5285">
      <c r="A5285" s="431"/>
    </row>
    <row r="5286">
      <c r="A5286" s="431"/>
    </row>
    <row r="5287">
      <c r="A5287" s="431"/>
    </row>
    <row r="5288">
      <c r="A5288" s="431"/>
    </row>
    <row r="5289">
      <c r="A5289" s="431"/>
    </row>
    <row r="5290">
      <c r="A5290" s="431"/>
    </row>
    <row r="5291">
      <c r="A5291" s="431"/>
    </row>
    <row r="5292">
      <c r="A5292" s="431"/>
    </row>
    <row r="5293">
      <c r="A5293" s="431"/>
    </row>
    <row r="5294">
      <c r="A5294" s="431"/>
    </row>
    <row r="5295">
      <c r="A5295" s="431"/>
    </row>
    <row r="5296">
      <c r="A5296" s="431"/>
    </row>
    <row r="5297">
      <c r="A5297" s="431"/>
    </row>
    <row r="5298">
      <c r="A5298" s="431"/>
    </row>
    <row r="5299">
      <c r="A5299" s="431"/>
    </row>
    <row r="5300">
      <c r="A5300" s="431"/>
    </row>
    <row r="5301">
      <c r="A5301" s="431"/>
    </row>
    <row r="5302">
      <c r="A5302" s="431"/>
    </row>
    <row r="5303">
      <c r="A5303" s="431"/>
    </row>
    <row r="5304">
      <c r="A5304" s="431"/>
    </row>
    <row r="5305">
      <c r="A5305" s="431"/>
    </row>
    <row r="5306">
      <c r="A5306" s="431"/>
    </row>
    <row r="5307">
      <c r="A5307" s="431"/>
    </row>
    <row r="5308">
      <c r="A5308" s="431"/>
    </row>
    <row r="5309">
      <c r="A5309" s="431"/>
    </row>
    <row r="5310">
      <c r="A5310" s="431"/>
    </row>
    <row r="5311">
      <c r="A5311" s="431"/>
    </row>
    <row r="5312">
      <c r="A5312" s="431"/>
    </row>
    <row r="5313">
      <c r="A5313" s="431"/>
    </row>
    <row r="5314">
      <c r="A5314" s="431"/>
    </row>
    <row r="5315">
      <c r="A5315" s="431"/>
    </row>
    <row r="5316">
      <c r="A5316" s="431"/>
    </row>
    <row r="5317">
      <c r="A5317" s="431"/>
    </row>
    <row r="5318">
      <c r="A5318" s="431"/>
    </row>
    <row r="5319">
      <c r="A5319" s="431"/>
    </row>
    <row r="5320">
      <c r="A5320" s="431"/>
    </row>
    <row r="5321">
      <c r="A5321" s="431"/>
    </row>
    <row r="5322">
      <c r="A5322" s="431"/>
    </row>
    <row r="5323">
      <c r="A5323" s="431"/>
    </row>
    <row r="5324">
      <c r="A5324" s="431"/>
    </row>
    <row r="5325">
      <c r="A5325" s="431"/>
    </row>
    <row r="5326">
      <c r="A5326" s="431"/>
    </row>
    <row r="5327">
      <c r="A5327" s="431"/>
    </row>
    <row r="5328">
      <c r="A5328" s="431"/>
    </row>
    <row r="5329">
      <c r="A5329" s="431"/>
    </row>
    <row r="5330">
      <c r="A5330" s="431"/>
    </row>
    <row r="5331">
      <c r="A5331" s="431"/>
    </row>
    <row r="5332">
      <c r="A5332" s="431"/>
    </row>
    <row r="5333">
      <c r="A5333" s="431"/>
    </row>
    <row r="5334">
      <c r="A5334" s="431"/>
    </row>
    <row r="5335">
      <c r="A5335" s="431"/>
    </row>
    <row r="5336">
      <c r="A5336" s="431"/>
    </row>
    <row r="5337">
      <c r="A5337" s="431"/>
    </row>
    <row r="5338">
      <c r="A5338" s="431"/>
    </row>
    <row r="5339">
      <c r="A5339" s="431"/>
    </row>
    <row r="5340">
      <c r="A5340" s="431"/>
    </row>
    <row r="5341">
      <c r="A5341" s="431"/>
    </row>
    <row r="5342">
      <c r="A5342" s="431"/>
    </row>
    <row r="5343">
      <c r="A5343" s="431"/>
    </row>
    <row r="5344">
      <c r="A5344" s="431"/>
    </row>
    <row r="5345">
      <c r="A5345" s="431"/>
    </row>
    <row r="5346">
      <c r="A5346" s="431"/>
    </row>
    <row r="5347">
      <c r="A5347" s="431"/>
    </row>
    <row r="5348">
      <c r="A5348" s="431"/>
    </row>
    <row r="5349">
      <c r="A5349" s="431"/>
    </row>
    <row r="5350">
      <c r="A5350" s="431"/>
    </row>
    <row r="5351">
      <c r="A5351" s="431"/>
    </row>
    <row r="5352">
      <c r="A5352" s="431"/>
    </row>
    <row r="5353">
      <c r="A5353" s="431"/>
    </row>
    <row r="5354">
      <c r="A5354" s="431"/>
    </row>
    <row r="5355">
      <c r="A5355" s="431"/>
    </row>
    <row r="5356">
      <c r="A5356" s="431"/>
    </row>
    <row r="5357">
      <c r="A5357" s="431"/>
    </row>
    <row r="5358">
      <c r="A5358" s="431"/>
    </row>
    <row r="5359">
      <c r="A5359" s="431"/>
    </row>
    <row r="5360">
      <c r="A5360" s="431"/>
    </row>
    <row r="5361">
      <c r="A5361" s="431"/>
    </row>
    <row r="5362">
      <c r="A5362" s="431"/>
    </row>
    <row r="5363">
      <c r="A5363" s="431"/>
    </row>
    <row r="5364">
      <c r="A5364" s="431"/>
    </row>
    <row r="5365">
      <c r="A5365" s="431"/>
    </row>
    <row r="5366">
      <c r="A5366" s="431"/>
    </row>
    <row r="5367">
      <c r="A5367" s="431"/>
    </row>
    <row r="5368">
      <c r="A5368" s="431"/>
    </row>
    <row r="5369">
      <c r="A5369" s="431"/>
    </row>
    <row r="5370">
      <c r="A5370" s="431"/>
    </row>
    <row r="5371">
      <c r="A5371" s="431"/>
    </row>
    <row r="5372">
      <c r="A5372" s="431"/>
    </row>
    <row r="5373">
      <c r="A5373" s="431"/>
    </row>
    <row r="5374">
      <c r="A5374" s="431"/>
    </row>
    <row r="5375">
      <c r="A5375" s="431"/>
    </row>
    <row r="5376">
      <c r="A5376" s="431"/>
    </row>
    <row r="5377">
      <c r="A5377" s="431"/>
    </row>
    <row r="5378">
      <c r="A5378" s="431"/>
    </row>
    <row r="5379">
      <c r="A5379" s="431"/>
    </row>
    <row r="5380">
      <c r="A5380" s="431"/>
    </row>
    <row r="5381">
      <c r="A5381" s="431"/>
    </row>
    <row r="5382">
      <c r="A5382" s="431"/>
    </row>
    <row r="5383">
      <c r="A5383" s="431"/>
    </row>
    <row r="5384">
      <c r="A5384" s="431"/>
    </row>
    <row r="5385">
      <c r="A5385" s="431"/>
    </row>
    <row r="5386">
      <c r="A5386" s="431"/>
    </row>
    <row r="5387">
      <c r="A5387" s="431"/>
    </row>
    <row r="5388">
      <c r="A5388" s="431"/>
    </row>
    <row r="5389">
      <c r="A5389" s="431"/>
    </row>
    <row r="5390">
      <c r="A5390" s="431"/>
    </row>
    <row r="5391">
      <c r="A5391" s="431"/>
    </row>
    <row r="5392">
      <c r="A5392" s="431"/>
    </row>
    <row r="5393">
      <c r="A5393" s="431"/>
    </row>
    <row r="5394">
      <c r="A5394" s="431"/>
    </row>
    <row r="5395">
      <c r="A5395" s="431"/>
    </row>
    <row r="5396">
      <c r="A5396" s="431"/>
    </row>
    <row r="5397">
      <c r="A5397" s="431"/>
    </row>
    <row r="5398">
      <c r="A5398" s="431"/>
    </row>
    <row r="5399">
      <c r="A5399" s="431"/>
    </row>
    <row r="5400">
      <c r="A5400" s="431"/>
    </row>
    <row r="5401">
      <c r="A5401" s="431"/>
    </row>
    <row r="5402">
      <c r="A5402" s="431"/>
    </row>
    <row r="5403">
      <c r="A5403" s="431"/>
    </row>
    <row r="5404">
      <c r="A5404" s="431"/>
    </row>
    <row r="5405">
      <c r="A5405" s="431"/>
    </row>
    <row r="5406">
      <c r="A5406" s="431"/>
    </row>
    <row r="5407">
      <c r="A5407" s="431"/>
    </row>
    <row r="5408">
      <c r="A5408" s="431"/>
    </row>
    <row r="5409">
      <c r="A5409" s="431"/>
    </row>
    <row r="5410">
      <c r="A5410" s="431"/>
    </row>
    <row r="5411">
      <c r="A5411" s="431"/>
    </row>
    <row r="5412">
      <c r="A5412" s="431"/>
    </row>
    <row r="5413">
      <c r="A5413" s="431"/>
    </row>
    <row r="5414">
      <c r="A5414" s="431"/>
    </row>
    <row r="5415">
      <c r="A5415" s="431"/>
    </row>
    <row r="5416">
      <c r="A5416" s="431"/>
    </row>
    <row r="5417">
      <c r="A5417" s="431"/>
    </row>
    <row r="5418">
      <c r="A5418" s="431"/>
    </row>
    <row r="5419">
      <c r="A5419" s="431"/>
    </row>
    <row r="5420">
      <c r="A5420" s="431"/>
    </row>
    <row r="5421">
      <c r="A5421" s="431"/>
    </row>
    <row r="5422">
      <c r="A5422" s="431"/>
    </row>
    <row r="5423">
      <c r="A5423" s="431"/>
    </row>
    <row r="5424">
      <c r="A5424" s="431"/>
    </row>
    <row r="5425">
      <c r="A5425" s="431"/>
    </row>
    <row r="5426">
      <c r="A5426" s="431"/>
    </row>
    <row r="5427">
      <c r="A5427" s="431"/>
    </row>
    <row r="5428">
      <c r="A5428" s="431"/>
    </row>
    <row r="5429">
      <c r="A5429" s="431"/>
    </row>
    <row r="5430">
      <c r="A5430" s="431"/>
    </row>
    <row r="5431">
      <c r="A5431" s="431"/>
    </row>
    <row r="5432">
      <c r="A5432" s="431"/>
    </row>
    <row r="5433">
      <c r="A5433" s="431"/>
    </row>
    <row r="5434">
      <c r="A5434" s="431"/>
    </row>
    <row r="5435">
      <c r="A5435" s="431"/>
    </row>
    <row r="5436">
      <c r="A5436" s="431"/>
    </row>
    <row r="5437">
      <c r="A5437" s="431"/>
    </row>
    <row r="5438">
      <c r="A5438" s="431"/>
    </row>
    <row r="5439">
      <c r="A5439" s="431"/>
    </row>
    <row r="5440">
      <c r="A5440" s="431"/>
    </row>
    <row r="5441">
      <c r="A5441" s="431"/>
    </row>
    <row r="5442">
      <c r="A5442" s="431"/>
    </row>
    <row r="5443">
      <c r="A5443" s="431"/>
    </row>
    <row r="5444">
      <c r="A5444" s="431"/>
    </row>
    <row r="5445">
      <c r="A5445" s="431"/>
    </row>
    <row r="5446">
      <c r="A5446" s="431"/>
    </row>
    <row r="5447">
      <c r="A5447" s="431"/>
    </row>
    <row r="5448">
      <c r="A5448" s="431"/>
    </row>
    <row r="5449">
      <c r="A5449" s="431"/>
    </row>
    <row r="5450">
      <c r="A5450" s="431"/>
    </row>
    <row r="5451">
      <c r="A5451" s="431"/>
    </row>
    <row r="5452">
      <c r="A5452" s="431"/>
    </row>
    <row r="5453">
      <c r="A5453" s="431"/>
    </row>
    <row r="5454">
      <c r="A5454" s="431"/>
    </row>
    <row r="5455">
      <c r="A5455" s="431"/>
    </row>
    <row r="5456">
      <c r="A5456" s="431"/>
    </row>
    <row r="5457">
      <c r="A5457" s="431"/>
    </row>
    <row r="5458">
      <c r="A5458" s="431"/>
    </row>
    <row r="5459">
      <c r="A5459" s="431"/>
    </row>
    <row r="5460">
      <c r="A5460" s="431"/>
    </row>
    <row r="5461">
      <c r="A5461" s="431"/>
    </row>
    <row r="5462">
      <c r="A5462" s="431"/>
    </row>
    <row r="5463">
      <c r="A5463" s="431"/>
    </row>
    <row r="5464">
      <c r="A5464" s="431"/>
    </row>
    <row r="5465">
      <c r="A5465" s="431"/>
    </row>
    <row r="5466">
      <c r="A5466" s="431"/>
    </row>
    <row r="5467">
      <c r="A5467" s="431"/>
    </row>
    <row r="5468">
      <c r="A5468" s="431"/>
    </row>
    <row r="5469">
      <c r="A5469" s="431"/>
    </row>
    <row r="5470">
      <c r="A5470" s="431"/>
    </row>
    <row r="5471">
      <c r="A5471" s="431"/>
    </row>
    <row r="5472">
      <c r="A5472" s="431"/>
    </row>
    <row r="5473">
      <c r="A5473" s="431"/>
    </row>
    <row r="5474">
      <c r="A5474" s="431"/>
    </row>
    <row r="5475">
      <c r="A5475" s="431"/>
    </row>
    <row r="5476">
      <c r="A5476" s="431"/>
    </row>
    <row r="5477">
      <c r="A5477" s="431"/>
    </row>
    <row r="5478">
      <c r="A5478" s="431"/>
    </row>
    <row r="5479">
      <c r="A5479" s="431"/>
    </row>
    <row r="5480">
      <c r="A5480" s="431"/>
    </row>
    <row r="5481">
      <c r="A5481" s="431"/>
    </row>
    <row r="5482">
      <c r="A5482" s="431"/>
    </row>
    <row r="5483">
      <c r="A5483" s="431"/>
    </row>
    <row r="5484">
      <c r="A5484" s="431"/>
    </row>
    <row r="5485">
      <c r="A5485" s="431"/>
    </row>
    <row r="5486">
      <c r="A5486" s="431"/>
    </row>
    <row r="5487">
      <c r="A5487" s="431"/>
    </row>
    <row r="5488">
      <c r="A5488" s="431"/>
    </row>
    <row r="5489">
      <c r="A5489" s="431"/>
    </row>
    <row r="5490">
      <c r="A5490" s="431"/>
    </row>
    <row r="5491">
      <c r="A5491" s="431"/>
    </row>
    <row r="5492">
      <c r="A5492" s="431"/>
    </row>
    <row r="5493">
      <c r="A5493" s="431"/>
    </row>
    <row r="5494">
      <c r="A5494" s="431"/>
    </row>
    <row r="5495">
      <c r="A5495" s="431"/>
    </row>
    <row r="5496">
      <c r="A5496" s="431"/>
    </row>
    <row r="5497">
      <c r="A5497" s="431"/>
    </row>
    <row r="5498">
      <c r="A5498" s="431"/>
    </row>
    <row r="5499">
      <c r="A5499" s="431"/>
    </row>
    <row r="5500">
      <c r="A5500" s="431"/>
    </row>
    <row r="5501">
      <c r="A5501" s="431"/>
    </row>
    <row r="5502">
      <c r="A5502" s="431"/>
    </row>
    <row r="5503">
      <c r="A5503" s="431"/>
    </row>
    <row r="5504">
      <c r="A5504" s="431"/>
    </row>
    <row r="5505">
      <c r="A5505" s="431"/>
    </row>
    <row r="5506">
      <c r="A5506" s="431"/>
    </row>
    <row r="5507">
      <c r="A5507" s="431"/>
    </row>
    <row r="5508">
      <c r="A5508" s="431"/>
    </row>
    <row r="5509">
      <c r="A5509" s="431"/>
    </row>
    <row r="5510">
      <c r="A5510" s="431"/>
    </row>
    <row r="5511">
      <c r="A5511" s="431"/>
    </row>
    <row r="5512">
      <c r="A5512" s="431"/>
    </row>
    <row r="5513">
      <c r="A5513" s="431"/>
    </row>
    <row r="5514">
      <c r="A5514" s="431"/>
    </row>
    <row r="5515">
      <c r="A5515" s="431"/>
    </row>
    <row r="5516">
      <c r="A5516" s="431"/>
    </row>
    <row r="5517">
      <c r="A5517" s="431"/>
    </row>
    <row r="5518">
      <c r="A5518" s="431"/>
    </row>
    <row r="5519">
      <c r="A5519" s="431"/>
    </row>
    <row r="5520">
      <c r="A5520" s="431"/>
    </row>
    <row r="5521">
      <c r="A5521" s="431"/>
    </row>
    <row r="5522">
      <c r="A5522" s="431"/>
    </row>
    <row r="5523">
      <c r="A5523" s="431"/>
    </row>
    <row r="5524">
      <c r="A5524" s="431"/>
    </row>
    <row r="5525">
      <c r="A5525" s="431"/>
    </row>
    <row r="5526">
      <c r="A5526" s="431"/>
    </row>
    <row r="5527">
      <c r="A5527" s="431"/>
    </row>
    <row r="5528">
      <c r="A5528" s="431"/>
    </row>
    <row r="5529">
      <c r="A5529" s="431"/>
    </row>
    <row r="5530">
      <c r="A5530" s="431"/>
    </row>
    <row r="5531">
      <c r="A5531" s="431"/>
    </row>
    <row r="5532">
      <c r="A5532" s="431"/>
    </row>
    <row r="5533">
      <c r="A5533" s="431"/>
    </row>
    <row r="5534">
      <c r="A5534" s="431"/>
    </row>
    <row r="5535">
      <c r="A5535" s="431"/>
    </row>
    <row r="5536">
      <c r="A5536" s="431"/>
    </row>
    <row r="5537">
      <c r="A5537" s="431"/>
    </row>
    <row r="5538">
      <c r="A5538" s="431"/>
    </row>
    <row r="5539">
      <c r="A5539" s="431"/>
    </row>
    <row r="5540">
      <c r="A5540" s="431"/>
    </row>
    <row r="5541">
      <c r="A5541" s="431"/>
    </row>
    <row r="5542">
      <c r="A5542" s="431"/>
    </row>
    <row r="5543">
      <c r="A5543" s="431"/>
    </row>
    <row r="5544">
      <c r="A5544" s="431"/>
    </row>
    <row r="5545">
      <c r="A5545" s="431"/>
    </row>
    <row r="5546">
      <c r="A5546" s="431"/>
    </row>
    <row r="5547">
      <c r="A5547" s="431"/>
    </row>
    <row r="5548">
      <c r="A5548" s="431"/>
    </row>
    <row r="5549">
      <c r="A5549" s="431"/>
    </row>
    <row r="5550">
      <c r="A5550" s="431"/>
    </row>
    <row r="5551">
      <c r="A5551" s="431"/>
    </row>
    <row r="5552">
      <c r="A5552" s="431"/>
    </row>
    <row r="5553">
      <c r="A5553" s="431"/>
    </row>
    <row r="5554">
      <c r="A5554" s="431"/>
    </row>
    <row r="5555">
      <c r="A5555" s="431"/>
    </row>
    <row r="5556">
      <c r="A5556" s="431"/>
    </row>
    <row r="5557">
      <c r="A5557" s="431"/>
    </row>
    <row r="5558">
      <c r="A5558" s="431"/>
    </row>
    <row r="5559">
      <c r="A5559" s="431"/>
    </row>
    <row r="5560">
      <c r="A5560" s="431"/>
    </row>
    <row r="5561">
      <c r="A5561" s="431"/>
    </row>
    <row r="5562">
      <c r="A5562" s="431"/>
    </row>
    <row r="5563">
      <c r="A5563" s="431"/>
    </row>
    <row r="5564">
      <c r="A5564" s="431"/>
    </row>
    <row r="5565">
      <c r="A5565" s="431"/>
    </row>
    <row r="5566">
      <c r="A5566" s="431"/>
    </row>
    <row r="5567">
      <c r="A5567" s="431"/>
    </row>
    <row r="5568">
      <c r="A5568" s="431"/>
    </row>
    <row r="5569">
      <c r="A5569" s="431"/>
    </row>
    <row r="5570">
      <c r="A5570" s="431"/>
    </row>
    <row r="5571">
      <c r="A5571" s="431"/>
    </row>
    <row r="5572">
      <c r="A5572" s="431"/>
    </row>
    <row r="5573">
      <c r="A5573" s="431"/>
    </row>
    <row r="5574">
      <c r="A5574" s="431"/>
    </row>
    <row r="5575">
      <c r="A5575" s="431"/>
    </row>
    <row r="5576">
      <c r="A5576" s="431"/>
    </row>
    <row r="5577">
      <c r="A5577" s="431"/>
    </row>
    <row r="5578">
      <c r="A5578" s="431"/>
    </row>
    <row r="5579">
      <c r="A5579" s="431"/>
    </row>
    <row r="5580">
      <c r="A5580" s="431"/>
    </row>
    <row r="5581">
      <c r="A5581" s="431"/>
    </row>
    <row r="5582">
      <c r="A5582" s="431"/>
    </row>
    <row r="5583">
      <c r="A5583" s="431"/>
    </row>
    <row r="5584">
      <c r="A5584" s="431"/>
    </row>
    <row r="5585">
      <c r="A5585" s="431"/>
    </row>
    <row r="5586">
      <c r="A5586" s="431"/>
    </row>
    <row r="5587">
      <c r="A5587" s="431"/>
    </row>
    <row r="5588">
      <c r="A5588" s="431"/>
    </row>
    <row r="5589">
      <c r="A5589" s="431"/>
    </row>
    <row r="5590">
      <c r="A5590" s="431"/>
    </row>
    <row r="5591">
      <c r="A5591" s="431"/>
    </row>
    <row r="5592">
      <c r="A5592" s="431"/>
    </row>
    <row r="5593">
      <c r="A5593" s="431"/>
    </row>
    <row r="5594">
      <c r="A5594" s="431"/>
    </row>
    <row r="5595">
      <c r="A5595" s="431"/>
    </row>
    <row r="5596">
      <c r="A5596" s="431"/>
    </row>
    <row r="5597">
      <c r="A5597" s="431"/>
    </row>
    <row r="5598">
      <c r="A5598" s="431"/>
    </row>
    <row r="5599">
      <c r="A5599" s="431"/>
    </row>
    <row r="5600">
      <c r="A5600" s="431"/>
    </row>
    <row r="5601">
      <c r="A5601" s="431"/>
    </row>
    <row r="5602">
      <c r="A5602" s="431"/>
    </row>
    <row r="5603">
      <c r="A5603" s="431"/>
    </row>
    <row r="5604">
      <c r="A5604" s="431"/>
    </row>
    <row r="5605">
      <c r="A5605" s="431"/>
    </row>
    <row r="5606">
      <c r="A5606" s="431"/>
    </row>
    <row r="5607">
      <c r="A5607" s="431"/>
    </row>
    <row r="5608">
      <c r="A5608" s="431"/>
    </row>
    <row r="5609">
      <c r="A5609" s="431"/>
    </row>
    <row r="5610">
      <c r="A5610" s="431"/>
    </row>
    <row r="5611">
      <c r="A5611" s="431"/>
    </row>
    <row r="5612">
      <c r="A5612" s="431"/>
    </row>
    <row r="5613">
      <c r="A5613" s="431"/>
    </row>
    <row r="5614">
      <c r="A5614" s="431"/>
    </row>
    <row r="5615">
      <c r="A5615" s="431"/>
    </row>
    <row r="5616">
      <c r="A5616" s="431"/>
    </row>
    <row r="5617">
      <c r="A5617" s="431"/>
    </row>
    <row r="5618">
      <c r="A5618" s="431"/>
    </row>
    <row r="5619">
      <c r="A5619" s="431"/>
    </row>
    <row r="5620">
      <c r="A5620" s="431"/>
    </row>
    <row r="5621">
      <c r="A5621" s="431"/>
    </row>
    <row r="5622">
      <c r="A5622" s="431"/>
    </row>
    <row r="5623">
      <c r="A5623" s="431"/>
    </row>
    <row r="5624">
      <c r="A5624" s="431"/>
    </row>
    <row r="5625">
      <c r="A5625" s="431"/>
    </row>
    <row r="5626">
      <c r="A5626" s="431"/>
    </row>
    <row r="5627">
      <c r="A5627" s="431"/>
    </row>
    <row r="5628">
      <c r="A5628" s="431"/>
    </row>
    <row r="5629">
      <c r="A5629" s="431"/>
    </row>
    <row r="5630">
      <c r="A5630" s="431"/>
    </row>
    <row r="5631">
      <c r="A5631" s="431"/>
    </row>
    <row r="5632">
      <c r="A5632" s="431"/>
    </row>
    <row r="5633">
      <c r="A5633" s="431"/>
    </row>
    <row r="5634">
      <c r="A5634" s="431"/>
    </row>
    <row r="5635">
      <c r="A5635" s="431"/>
    </row>
    <row r="5636">
      <c r="A5636" s="431"/>
    </row>
    <row r="5637">
      <c r="A5637" s="431"/>
    </row>
    <row r="5638">
      <c r="A5638" s="431"/>
    </row>
    <row r="5639">
      <c r="A5639" s="431"/>
    </row>
    <row r="5640">
      <c r="A5640" s="431"/>
    </row>
    <row r="5641">
      <c r="A5641" s="431"/>
    </row>
    <row r="5642">
      <c r="A5642" s="431"/>
    </row>
    <row r="5643">
      <c r="A5643" s="431"/>
    </row>
    <row r="5644">
      <c r="A5644" s="431"/>
    </row>
    <row r="5645">
      <c r="A5645" s="431"/>
    </row>
    <row r="5646">
      <c r="A5646" s="431"/>
    </row>
    <row r="5647">
      <c r="A5647" s="431"/>
    </row>
    <row r="5648">
      <c r="A5648" s="431"/>
    </row>
    <row r="5649">
      <c r="A5649" s="431"/>
    </row>
    <row r="5650">
      <c r="A5650" s="431"/>
    </row>
    <row r="5651">
      <c r="A5651" s="431"/>
    </row>
    <row r="5652">
      <c r="A5652" s="431"/>
    </row>
    <row r="5653">
      <c r="A5653" s="431"/>
    </row>
    <row r="5654">
      <c r="A5654" s="431"/>
    </row>
    <row r="5655">
      <c r="A5655" s="431"/>
    </row>
    <row r="5656">
      <c r="A5656" s="431"/>
    </row>
    <row r="5657">
      <c r="A5657" s="431"/>
    </row>
    <row r="5658">
      <c r="A5658" s="431"/>
    </row>
    <row r="5659">
      <c r="A5659" s="431"/>
    </row>
    <row r="5660">
      <c r="A5660" s="431"/>
    </row>
    <row r="5661">
      <c r="A5661" s="431"/>
    </row>
    <row r="5662">
      <c r="A5662" s="431"/>
    </row>
    <row r="5663">
      <c r="A5663" s="431"/>
    </row>
    <row r="5664">
      <c r="A5664" s="431"/>
    </row>
    <row r="5665">
      <c r="A5665" s="431"/>
    </row>
    <row r="5666">
      <c r="A5666" s="431"/>
    </row>
    <row r="5667">
      <c r="A5667" s="431"/>
    </row>
    <row r="5668">
      <c r="A5668" s="431"/>
    </row>
    <row r="5669">
      <c r="A5669" s="431"/>
    </row>
    <row r="5670">
      <c r="A5670" s="431"/>
    </row>
    <row r="5671">
      <c r="A5671" s="431"/>
    </row>
    <row r="5672">
      <c r="A5672" s="431"/>
    </row>
    <row r="5673">
      <c r="A5673" s="431"/>
    </row>
    <row r="5674">
      <c r="A5674" s="431"/>
    </row>
    <row r="5675">
      <c r="A5675" s="431"/>
    </row>
    <row r="5676">
      <c r="A5676" s="431"/>
    </row>
    <row r="5677">
      <c r="A5677" s="431"/>
    </row>
    <row r="5678">
      <c r="A5678" s="431"/>
    </row>
    <row r="5679">
      <c r="A5679" s="431"/>
    </row>
    <row r="5680">
      <c r="A5680" s="431"/>
    </row>
    <row r="5681">
      <c r="A5681" s="431"/>
    </row>
    <row r="5682">
      <c r="A5682" s="431"/>
    </row>
    <row r="5683">
      <c r="A5683" s="431"/>
    </row>
    <row r="5684">
      <c r="A5684" s="431"/>
    </row>
    <row r="5685">
      <c r="A5685" s="431"/>
    </row>
    <row r="5686">
      <c r="A5686" s="431"/>
    </row>
    <row r="5687">
      <c r="A5687" s="431"/>
    </row>
    <row r="5688">
      <c r="A5688" s="431"/>
    </row>
    <row r="5689">
      <c r="A5689" s="431"/>
    </row>
    <row r="5690">
      <c r="A5690" s="431"/>
    </row>
    <row r="5691">
      <c r="A5691" s="431"/>
    </row>
    <row r="5692">
      <c r="A5692" s="431"/>
    </row>
    <row r="5693">
      <c r="A5693" s="431"/>
    </row>
    <row r="5694">
      <c r="A5694" s="431"/>
    </row>
    <row r="5695">
      <c r="A5695" s="431"/>
    </row>
    <row r="5696">
      <c r="A5696" s="431"/>
    </row>
    <row r="5697">
      <c r="A5697" s="431"/>
    </row>
    <row r="5698">
      <c r="A5698" s="431"/>
    </row>
    <row r="5699">
      <c r="A5699" s="431"/>
    </row>
    <row r="5700">
      <c r="A5700" s="431"/>
    </row>
    <row r="5701">
      <c r="A5701" s="431"/>
    </row>
    <row r="5702">
      <c r="A5702" s="431"/>
    </row>
    <row r="5703">
      <c r="A5703" s="431"/>
    </row>
    <row r="5704">
      <c r="A5704" s="431"/>
    </row>
    <row r="5705">
      <c r="A5705" s="431"/>
    </row>
    <row r="5706">
      <c r="A5706" s="431"/>
    </row>
    <row r="5707">
      <c r="A5707" s="431"/>
    </row>
    <row r="5708">
      <c r="A5708" s="431"/>
    </row>
    <row r="5709">
      <c r="A5709" s="431"/>
    </row>
    <row r="5710">
      <c r="A5710" s="431"/>
    </row>
    <row r="5711">
      <c r="A5711" s="431"/>
    </row>
    <row r="5712">
      <c r="A5712" s="431"/>
    </row>
    <row r="5713">
      <c r="A5713" s="431"/>
    </row>
    <row r="5714">
      <c r="A5714" s="431"/>
    </row>
    <row r="5715">
      <c r="A5715" s="431"/>
    </row>
    <row r="5716">
      <c r="A5716" s="431"/>
    </row>
    <row r="5717">
      <c r="A5717" s="431"/>
    </row>
    <row r="5718">
      <c r="A5718" s="431"/>
    </row>
    <row r="5719">
      <c r="A5719" s="431"/>
    </row>
    <row r="5720">
      <c r="A5720" s="431"/>
    </row>
    <row r="5721">
      <c r="A5721" s="431"/>
    </row>
    <row r="5722">
      <c r="A5722" s="431"/>
    </row>
    <row r="5723">
      <c r="A5723" s="431"/>
    </row>
    <row r="5724">
      <c r="A5724" s="431"/>
    </row>
    <row r="5725">
      <c r="A5725" s="431"/>
    </row>
    <row r="5726">
      <c r="A5726" s="431"/>
    </row>
    <row r="5727">
      <c r="A5727" s="431"/>
    </row>
    <row r="5728">
      <c r="A5728" s="431"/>
    </row>
    <row r="5729">
      <c r="A5729" s="431"/>
    </row>
    <row r="5730">
      <c r="A5730" s="431"/>
    </row>
    <row r="5731">
      <c r="A5731" s="431"/>
    </row>
    <row r="5732">
      <c r="A5732" s="431"/>
    </row>
    <row r="5733">
      <c r="A5733" s="431"/>
    </row>
    <row r="5734">
      <c r="A5734" s="431"/>
    </row>
    <row r="5735">
      <c r="A5735" s="431"/>
    </row>
    <row r="5736">
      <c r="A5736" s="431"/>
    </row>
    <row r="5737">
      <c r="A5737" s="431"/>
    </row>
    <row r="5738">
      <c r="A5738" s="431"/>
    </row>
    <row r="5739">
      <c r="A5739" s="431"/>
    </row>
    <row r="5740">
      <c r="A5740" s="431"/>
    </row>
    <row r="5741">
      <c r="A5741" s="431"/>
    </row>
    <row r="5742">
      <c r="A5742" s="431"/>
    </row>
    <row r="5743">
      <c r="A5743" s="431"/>
    </row>
    <row r="5744">
      <c r="A5744" s="431"/>
    </row>
    <row r="5745">
      <c r="A5745" s="431"/>
    </row>
    <row r="5746">
      <c r="A5746" s="431"/>
    </row>
    <row r="5747">
      <c r="A5747" s="431"/>
    </row>
    <row r="5748">
      <c r="A5748" s="431"/>
    </row>
    <row r="5749">
      <c r="A5749" s="431"/>
    </row>
    <row r="5750">
      <c r="A5750" s="431"/>
    </row>
    <row r="5751">
      <c r="A5751" s="431"/>
    </row>
    <row r="5752">
      <c r="A5752" s="431"/>
    </row>
    <row r="5753">
      <c r="A5753" s="431"/>
    </row>
    <row r="5754">
      <c r="A5754" s="431"/>
    </row>
    <row r="5755">
      <c r="A5755" s="431"/>
    </row>
    <row r="5756">
      <c r="A5756" s="431"/>
    </row>
    <row r="5757">
      <c r="A5757" s="431"/>
    </row>
    <row r="5758">
      <c r="A5758" s="431"/>
    </row>
    <row r="5759">
      <c r="A5759" s="431"/>
    </row>
    <row r="5760">
      <c r="A5760" s="431"/>
    </row>
    <row r="5761">
      <c r="A5761" s="431"/>
    </row>
    <row r="5762">
      <c r="A5762" s="431"/>
    </row>
    <row r="5763">
      <c r="A5763" s="431"/>
    </row>
    <row r="5764">
      <c r="A5764" s="431"/>
    </row>
    <row r="5765">
      <c r="A5765" s="431"/>
    </row>
    <row r="5766">
      <c r="A5766" s="431"/>
    </row>
    <row r="5767">
      <c r="A5767" s="431"/>
    </row>
    <row r="5768">
      <c r="A5768" s="431"/>
    </row>
    <row r="5769">
      <c r="A5769" s="431"/>
    </row>
    <row r="5770">
      <c r="A5770" s="431"/>
    </row>
    <row r="5771">
      <c r="A5771" s="431"/>
    </row>
    <row r="5772">
      <c r="A5772" s="431"/>
    </row>
    <row r="5773">
      <c r="A5773" s="431"/>
    </row>
    <row r="5774">
      <c r="A5774" s="431"/>
    </row>
    <row r="5775">
      <c r="A5775" s="431"/>
    </row>
    <row r="5776">
      <c r="A5776" s="431"/>
    </row>
    <row r="5777">
      <c r="A5777" s="431"/>
    </row>
    <row r="5778">
      <c r="A5778" s="431"/>
    </row>
    <row r="5779">
      <c r="A5779" s="431"/>
    </row>
    <row r="5780">
      <c r="A5780" s="431"/>
    </row>
    <row r="5781">
      <c r="A5781" s="431"/>
    </row>
    <row r="5782">
      <c r="A5782" s="431"/>
    </row>
    <row r="5783">
      <c r="A5783" s="431"/>
    </row>
    <row r="5784">
      <c r="A5784" s="431"/>
    </row>
    <row r="5785">
      <c r="A5785" s="431"/>
    </row>
    <row r="5786">
      <c r="A5786" s="431"/>
    </row>
    <row r="5787">
      <c r="A5787" s="431"/>
    </row>
    <row r="5788">
      <c r="A5788" s="431"/>
    </row>
    <row r="5789">
      <c r="A5789" s="431"/>
    </row>
    <row r="5790">
      <c r="A5790" s="431"/>
    </row>
    <row r="5791">
      <c r="A5791" s="431"/>
    </row>
    <row r="5792">
      <c r="A5792" s="431"/>
    </row>
    <row r="5793">
      <c r="A5793" s="431"/>
    </row>
    <row r="5794">
      <c r="A5794" s="431"/>
    </row>
    <row r="5795">
      <c r="A5795" s="431"/>
    </row>
    <row r="5796">
      <c r="A5796" s="431"/>
    </row>
    <row r="5797">
      <c r="A5797" s="431"/>
    </row>
    <row r="5798">
      <c r="A5798" s="431"/>
    </row>
    <row r="5799">
      <c r="A5799" s="431"/>
    </row>
    <row r="5800">
      <c r="A5800" s="431"/>
    </row>
    <row r="5801">
      <c r="A5801" s="431"/>
    </row>
    <row r="5802">
      <c r="A5802" s="431"/>
    </row>
    <row r="5803">
      <c r="A5803" s="431"/>
    </row>
    <row r="5804">
      <c r="A5804" s="431"/>
    </row>
    <row r="5805">
      <c r="A5805" s="431"/>
    </row>
    <row r="5806">
      <c r="A5806" s="431"/>
    </row>
    <row r="5807">
      <c r="A5807" s="431"/>
    </row>
    <row r="5808">
      <c r="A5808" s="431"/>
    </row>
    <row r="5809">
      <c r="A5809" s="431"/>
    </row>
    <row r="5810">
      <c r="A5810" s="431"/>
    </row>
    <row r="5811">
      <c r="A5811" s="431"/>
    </row>
    <row r="5812">
      <c r="A5812" s="431"/>
    </row>
    <row r="5813">
      <c r="A5813" s="431"/>
    </row>
    <row r="5814">
      <c r="A5814" s="431"/>
    </row>
    <row r="5815">
      <c r="A5815" s="431"/>
    </row>
    <row r="5816">
      <c r="A5816" s="431"/>
    </row>
    <row r="5817">
      <c r="A5817" s="431"/>
    </row>
    <row r="5818">
      <c r="A5818" s="431"/>
    </row>
    <row r="5819">
      <c r="A5819" s="431"/>
    </row>
    <row r="5820">
      <c r="A5820" s="431"/>
    </row>
    <row r="5821">
      <c r="A5821" s="431"/>
    </row>
    <row r="5822">
      <c r="A5822" s="431"/>
    </row>
    <row r="5823">
      <c r="A5823" s="431"/>
    </row>
    <row r="5824">
      <c r="A5824" s="431"/>
    </row>
    <row r="5825">
      <c r="A5825" s="431"/>
    </row>
    <row r="5826">
      <c r="A5826" s="431"/>
    </row>
    <row r="5827">
      <c r="A5827" s="431"/>
    </row>
    <row r="5828">
      <c r="A5828" s="431"/>
    </row>
    <row r="5829">
      <c r="A5829" s="431"/>
    </row>
    <row r="5830">
      <c r="A5830" s="431"/>
    </row>
    <row r="5831">
      <c r="A5831" s="431"/>
    </row>
    <row r="5832">
      <c r="A5832" s="431"/>
    </row>
    <row r="5833">
      <c r="A5833" s="431"/>
    </row>
    <row r="5834">
      <c r="A5834" s="431"/>
    </row>
    <row r="5835">
      <c r="A5835" s="431"/>
    </row>
    <row r="5836">
      <c r="A5836" s="431"/>
    </row>
    <row r="5837">
      <c r="A5837" s="431"/>
    </row>
    <row r="5838">
      <c r="A5838" s="431"/>
    </row>
    <row r="5839">
      <c r="A5839" s="431"/>
    </row>
    <row r="5840">
      <c r="A5840" s="431"/>
    </row>
    <row r="5841">
      <c r="A5841" s="431"/>
    </row>
    <row r="5842">
      <c r="A5842" s="431"/>
    </row>
    <row r="5843">
      <c r="A5843" s="431"/>
    </row>
    <row r="5844">
      <c r="A5844" s="431"/>
    </row>
    <row r="5845">
      <c r="A5845" s="431"/>
    </row>
    <row r="5846">
      <c r="A5846" s="431"/>
    </row>
    <row r="5847">
      <c r="A5847" s="431"/>
    </row>
    <row r="5848">
      <c r="A5848" s="431"/>
    </row>
    <row r="5849">
      <c r="A5849" s="431"/>
    </row>
    <row r="5850">
      <c r="A5850" s="431"/>
    </row>
    <row r="5851">
      <c r="A5851" s="431"/>
    </row>
    <row r="5852">
      <c r="A5852" s="431"/>
    </row>
    <row r="5853">
      <c r="A5853" s="431"/>
    </row>
    <row r="5854">
      <c r="A5854" s="431"/>
    </row>
    <row r="5855">
      <c r="A5855" s="431"/>
    </row>
    <row r="5856">
      <c r="A5856" s="431"/>
    </row>
    <row r="5857">
      <c r="A5857" s="431"/>
    </row>
    <row r="5858">
      <c r="A5858" s="431"/>
    </row>
    <row r="5859">
      <c r="A5859" s="431"/>
    </row>
    <row r="5860">
      <c r="A5860" s="431"/>
    </row>
    <row r="5861">
      <c r="A5861" s="431"/>
    </row>
    <row r="5862">
      <c r="A5862" s="431"/>
    </row>
    <row r="5863">
      <c r="A5863" s="431"/>
    </row>
    <row r="5864">
      <c r="A5864" s="431"/>
    </row>
    <row r="5865">
      <c r="A5865" s="431"/>
    </row>
    <row r="5866">
      <c r="A5866" s="431"/>
    </row>
    <row r="5867">
      <c r="A5867" s="431"/>
    </row>
    <row r="5868">
      <c r="A5868" s="431"/>
    </row>
    <row r="5869">
      <c r="A5869" s="431"/>
    </row>
    <row r="5870">
      <c r="A5870" s="431"/>
    </row>
    <row r="5871">
      <c r="A5871" s="431"/>
    </row>
    <row r="5872">
      <c r="A5872" s="431"/>
    </row>
    <row r="5873">
      <c r="A5873" s="431"/>
    </row>
    <row r="5874">
      <c r="A5874" s="431"/>
    </row>
    <row r="5875">
      <c r="A5875" s="431"/>
    </row>
    <row r="5876">
      <c r="A5876" s="431"/>
    </row>
    <row r="5877">
      <c r="A5877" s="431"/>
    </row>
    <row r="5878">
      <c r="A5878" s="431"/>
    </row>
    <row r="5879">
      <c r="A5879" s="431"/>
    </row>
    <row r="5880">
      <c r="A5880" s="431"/>
    </row>
    <row r="5881">
      <c r="A5881" s="431"/>
    </row>
    <row r="5882">
      <c r="A5882" s="431"/>
    </row>
    <row r="5883">
      <c r="A5883" s="431"/>
    </row>
    <row r="5884">
      <c r="A5884" s="431"/>
    </row>
    <row r="5885">
      <c r="A5885" s="431"/>
    </row>
    <row r="5886">
      <c r="A5886" s="431"/>
    </row>
    <row r="5887">
      <c r="A5887" s="431"/>
    </row>
    <row r="5888">
      <c r="A5888" s="431"/>
    </row>
    <row r="5889">
      <c r="A5889" s="431"/>
    </row>
    <row r="5890">
      <c r="A5890" s="431"/>
    </row>
    <row r="5891">
      <c r="A5891" s="431"/>
    </row>
    <row r="5892">
      <c r="A5892" s="431"/>
    </row>
    <row r="5893">
      <c r="A5893" s="431"/>
    </row>
    <row r="5894">
      <c r="A5894" s="431"/>
    </row>
    <row r="5895">
      <c r="A5895" s="431"/>
    </row>
    <row r="5896">
      <c r="A5896" s="431"/>
    </row>
    <row r="5897">
      <c r="A5897" s="431"/>
    </row>
    <row r="5898">
      <c r="A5898" s="431"/>
    </row>
    <row r="5899">
      <c r="A5899" s="431"/>
    </row>
    <row r="5900">
      <c r="A5900" s="431"/>
    </row>
    <row r="5901">
      <c r="A5901" s="431"/>
    </row>
    <row r="5902">
      <c r="A5902" s="431"/>
    </row>
    <row r="5903">
      <c r="A5903" s="431"/>
    </row>
    <row r="5904">
      <c r="A5904" s="431"/>
    </row>
    <row r="5905">
      <c r="A5905" s="431"/>
    </row>
    <row r="5906">
      <c r="A5906" s="431"/>
    </row>
    <row r="5907">
      <c r="A5907" s="431"/>
    </row>
    <row r="5908">
      <c r="A5908" s="431"/>
    </row>
    <row r="5909">
      <c r="A5909" s="431"/>
    </row>
    <row r="5910">
      <c r="A5910" s="431"/>
    </row>
    <row r="5911">
      <c r="A5911" s="431"/>
    </row>
    <row r="5912">
      <c r="A5912" s="431"/>
    </row>
    <row r="5913">
      <c r="A5913" s="431"/>
    </row>
    <row r="5914">
      <c r="A5914" s="431"/>
    </row>
    <row r="5915">
      <c r="A5915" s="431"/>
    </row>
    <row r="5916">
      <c r="A5916" s="431"/>
    </row>
    <row r="5917">
      <c r="A5917" s="431"/>
    </row>
    <row r="5918">
      <c r="A5918" s="431"/>
    </row>
    <row r="5919">
      <c r="A5919" s="431"/>
    </row>
    <row r="5920">
      <c r="A5920" s="431"/>
    </row>
    <row r="5921">
      <c r="A5921" s="431"/>
    </row>
    <row r="5922">
      <c r="A5922" s="431"/>
    </row>
    <row r="5923">
      <c r="A5923" s="431"/>
    </row>
    <row r="5924">
      <c r="A5924" s="431"/>
    </row>
    <row r="5925">
      <c r="A5925" s="431"/>
    </row>
    <row r="5926">
      <c r="A5926" s="431"/>
    </row>
    <row r="5927">
      <c r="A5927" s="431"/>
    </row>
    <row r="5928">
      <c r="A5928" s="431"/>
    </row>
    <row r="5929">
      <c r="A5929" s="431"/>
    </row>
    <row r="5930">
      <c r="A5930" s="431"/>
    </row>
    <row r="5931">
      <c r="A5931" s="431"/>
    </row>
    <row r="5932">
      <c r="A5932" s="431"/>
    </row>
    <row r="5933">
      <c r="A5933" s="431"/>
    </row>
    <row r="5934">
      <c r="A5934" s="431"/>
    </row>
    <row r="5935">
      <c r="A5935" s="431"/>
    </row>
    <row r="5936">
      <c r="A5936" s="431"/>
    </row>
    <row r="5937">
      <c r="A5937" s="431"/>
    </row>
    <row r="5938">
      <c r="A5938" s="431"/>
    </row>
    <row r="5939">
      <c r="A5939" s="431"/>
    </row>
    <row r="5940">
      <c r="A5940" s="431"/>
    </row>
    <row r="5941">
      <c r="A5941" s="431"/>
    </row>
    <row r="5942">
      <c r="A5942" s="431"/>
    </row>
    <row r="5943">
      <c r="A5943" s="431"/>
    </row>
    <row r="5944">
      <c r="A5944" s="431"/>
    </row>
    <row r="5945">
      <c r="A5945" s="431"/>
    </row>
    <row r="5946">
      <c r="A5946" s="431"/>
    </row>
    <row r="5947">
      <c r="A5947" s="431"/>
    </row>
    <row r="5948">
      <c r="A5948" s="431"/>
    </row>
    <row r="5949">
      <c r="A5949" s="431"/>
    </row>
    <row r="5950">
      <c r="A5950" s="431"/>
    </row>
    <row r="5951">
      <c r="A5951" s="431"/>
    </row>
    <row r="5952">
      <c r="A5952" s="431"/>
    </row>
    <row r="5953">
      <c r="A5953" s="431"/>
    </row>
    <row r="5954">
      <c r="A5954" s="431"/>
    </row>
    <row r="5955">
      <c r="A5955" s="431"/>
    </row>
    <row r="5956">
      <c r="A5956" s="431"/>
    </row>
    <row r="5957">
      <c r="A5957" s="431"/>
    </row>
    <row r="5958">
      <c r="A5958" s="431"/>
    </row>
    <row r="5959">
      <c r="A5959" s="431"/>
    </row>
    <row r="5960">
      <c r="A5960" s="431"/>
    </row>
    <row r="5961">
      <c r="A5961" s="431"/>
    </row>
    <row r="5962">
      <c r="A5962" s="431"/>
    </row>
    <row r="5963">
      <c r="A5963" s="431"/>
    </row>
    <row r="5964">
      <c r="A5964" s="431"/>
    </row>
    <row r="5965">
      <c r="A5965" s="431"/>
    </row>
    <row r="5966">
      <c r="A5966" s="431"/>
    </row>
    <row r="5967">
      <c r="A5967" s="431"/>
    </row>
    <row r="5968">
      <c r="A5968" s="431"/>
    </row>
    <row r="5969">
      <c r="A5969" s="431"/>
    </row>
    <row r="5970">
      <c r="A5970" s="431"/>
    </row>
    <row r="5971">
      <c r="A5971" s="431"/>
    </row>
    <row r="5972">
      <c r="A5972" s="431"/>
    </row>
    <row r="5973">
      <c r="A5973" s="431"/>
    </row>
    <row r="5974">
      <c r="A5974" s="431"/>
    </row>
    <row r="5975">
      <c r="A5975" s="431"/>
    </row>
    <row r="5976">
      <c r="A5976" s="431"/>
    </row>
    <row r="5977">
      <c r="A5977" s="431"/>
    </row>
    <row r="5978">
      <c r="A5978" s="431"/>
    </row>
    <row r="5979">
      <c r="A5979" s="431"/>
    </row>
    <row r="5980">
      <c r="A5980" s="431"/>
    </row>
    <row r="5981">
      <c r="A5981" s="431"/>
    </row>
    <row r="5982">
      <c r="A5982" s="431"/>
    </row>
    <row r="5983">
      <c r="A5983" s="431"/>
    </row>
    <row r="5984">
      <c r="A5984" s="431"/>
    </row>
    <row r="5985">
      <c r="A5985" s="431"/>
    </row>
    <row r="5986">
      <c r="A5986" s="431"/>
    </row>
    <row r="5987">
      <c r="A5987" s="431"/>
    </row>
    <row r="5988">
      <c r="A5988" s="431"/>
    </row>
    <row r="5989">
      <c r="A5989" s="431"/>
    </row>
    <row r="5990">
      <c r="A5990" s="431"/>
    </row>
    <row r="5991">
      <c r="A5991" s="431"/>
    </row>
    <row r="5992">
      <c r="A5992" s="431"/>
    </row>
    <row r="5993">
      <c r="A5993" s="431"/>
    </row>
    <row r="5994">
      <c r="A5994" s="431"/>
    </row>
    <row r="5995">
      <c r="A5995" s="431"/>
    </row>
    <row r="5996">
      <c r="A5996" s="431"/>
    </row>
    <row r="5997">
      <c r="A5997" s="431"/>
    </row>
    <row r="5998">
      <c r="A5998" s="431"/>
    </row>
    <row r="5999">
      <c r="A5999" s="431"/>
    </row>
    <row r="6000">
      <c r="A6000" s="431"/>
    </row>
    <row r="6001">
      <c r="A6001" s="431"/>
    </row>
    <row r="6002">
      <c r="A6002" s="431"/>
    </row>
    <row r="6003">
      <c r="A6003" s="431"/>
    </row>
    <row r="6004">
      <c r="A6004" s="431"/>
    </row>
    <row r="6005">
      <c r="A6005" s="431"/>
    </row>
    <row r="6006">
      <c r="A6006" s="431"/>
    </row>
    <row r="6007">
      <c r="A6007" s="431"/>
    </row>
    <row r="6008">
      <c r="A6008" s="431"/>
    </row>
    <row r="6009">
      <c r="A6009" s="431"/>
    </row>
    <row r="6010">
      <c r="A6010" s="431"/>
    </row>
    <row r="6011">
      <c r="A6011" s="431"/>
    </row>
    <row r="6012">
      <c r="A6012" s="431"/>
    </row>
    <row r="6013">
      <c r="A6013" s="431"/>
    </row>
    <row r="6014">
      <c r="A6014" s="431"/>
    </row>
    <row r="6015">
      <c r="A6015" s="431"/>
    </row>
    <row r="6016">
      <c r="A6016" s="431"/>
    </row>
    <row r="6017">
      <c r="A6017" s="431"/>
    </row>
    <row r="6018">
      <c r="A6018" s="431"/>
    </row>
    <row r="6019">
      <c r="A6019" s="431"/>
    </row>
    <row r="6020">
      <c r="A6020" s="431"/>
    </row>
    <row r="6021">
      <c r="A6021" s="431"/>
    </row>
    <row r="6022">
      <c r="A6022" s="431"/>
    </row>
    <row r="6023">
      <c r="A6023" s="431"/>
    </row>
    <row r="6024">
      <c r="A6024" s="431"/>
    </row>
    <row r="6025">
      <c r="A6025" s="431"/>
    </row>
    <row r="6026">
      <c r="A6026" s="431"/>
    </row>
    <row r="6027">
      <c r="A6027" s="431"/>
    </row>
    <row r="6028">
      <c r="A6028" s="431"/>
    </row>
    <row r="6029">
      <c r="A6029" s="431"/>
    </row>
    <row r="6030">
      <c r="A6030" s="431"/>
    </row>
    <row r="6031">
      <c r="A6031" s="431"/>
    </row>
    <row r="6032">
      <c r="A6032" s="431"/>
    </row>
    <row r="6033">
      <c r="A6033" s="431"/>
    </row>
    <row r="6034">
      <c r="A6034" s="431"/>
    </row>
    <row r="6035">
      <c r="A6035" s="431"/>
    </row>
    <row r="6036">
      <c r="A6036" s="431"/>
    </row>
    <row r="6037">
      <c r="A6037" s="431"/>
    </row>
    <row r="6038">
      <c r="A6038" s="431"/>
    </row>
    <row r="6039">
      <c r="A6039" s="431"/>
    </row>
    <row r="6040">
      <c r="A6040" s="431"/>
    </row>
    <row r="6041">
      <c r="A6041" s="431"/>
    </row>
    <row r="6042">
      <c r="A6042" s="431"/>
    </row>
    <row r="6043">
      <c r="A6043" s="431"/>
    </row>
    <row r="6044">
      <c r="A6044" s="431"/>
    </row>
    <row r="6045">
      <c r="A6045" s="431"/>
    </row>
    <row r="6046">
      <c r="A6046" s="431"/>
    </row>
    <row r="6047">
      <c r="A6047" s="431"/>
    </row>
    <row r="6048">
      <c r="A6048" s="431"/>
    </row>
    <row r="6049">
      <c r="A6049" s="431"/>
    </row>
    <row r="6050">
      <c r="A6050" s="431"/>
    </row>
    <row r="6051">
      <c r="A6051" s="431"/>
    </row>
    <row r="6052">
      <c r="A6052" s="431"/>
    </row>
    <row r="6053">
      <c r="A6053" s="431"/>
    </row>
    <row r="6054">
      <c r="A6054" s="431"/>
    </row>
    <row r="6055">
      <c r="A6055" s="431"/>
    </row>
    <row r="6056">
      <c r="A6056" s="431"/>
    </row>
    <row r="6057">
      <c r="A6057" s="431"/>
    </row>
    <row r="6058">
      <c r="A6058" s="431"/>
    </row>
    <row r="6059">
      <c r="A6059" s="431"/>
    </row>
    <row r="6060">
      <c r="A6060" s="431"/>
    </row>
    <row r="6061">
      <c r="A6061" s="431"/>
    </row>
    <row r="6062">
      <c r="A6062" s="431"/>
    </row>
    <row r="6063">
      <c r="A6063" s="431"/>
    </row>
    <row r="6064">
      <c r="A6064" s="431"/>
    </row>
    <row r="6065">
      <c r="A6065" s="431"/>
    </row>
    <row r="6066">
      <c r="A6066" s="431"/>
    </row>
    <row r="6067">
      <c r="A6067" s="431"/>
    </row>
    <row r="6068">
      <c r="A6068" s="431"/>
    </row>
    <row r="6069">
      <c r="A6069" s="431"/>
    </row>
    <row r="6070">
      <c r="A6070" s="431"/>
    </row>
    <row r="6071">
      <c r="A6071" s="431"/>
    </row>
    <row r="6072">
      <c r="A6072" s="431"/>
    </row>
    <row r="6073">
      <c r="A6073" s="431"/>
    </row>
    <row r="6074">
      <c r="A6074" s="431"/>
    </row>
    <row r="6075">
      <c r="A6075" s="431"/>
    </row>
    <row r="6076">
      <c r="A6076" s="431"/>
    </row>
    <row r="6077">
      <c r="A6077" s="431"/>
    </row>
    <row r="6078">
      <c r="A6078" s="431"/>
    </row>
    <row r="6079">
      <c r="A6079" s="431"/>
    </row>
    <row r="6080">
      <c r="A6080" s="431"/>
    </row>
    <row r="6081">
      <c r="A6081" s="431"/>
    </row>
    <row r="6082">
      <c r="A6082" s="431"/>
    </row>
    <row r="6083">
      <c r="A6083" s="431"/>
    </row>
    <row r="6084">
      <c r="A6084" s="431"/>
    </row>
    <row r="6085">
      <c r="A6085" s="431"/>
    </row>
    <row r="6086">
      <c r="A6086" s="431"/>
    </row>
    <row r="6087">
      <c r="A6087" s="431"/>
    </row>
    <row r="6088">
      <c r="A6088" s="431"/>
    </row>
    <row r="6089">
      <c r="A6089" s="431"/>
    </row>
    <row r="6090">
      <c r="A6090" s="431"/>
    </row>
    <row r="6091">
      <c r="A6091" s="431"/>
    </row>
    <row r="6092">
      <c r="A6092" s="431"/>
    </row>
    <row r="6093">
      <c r="A6093" s="431"/>
    </row>
    <row r="6094">
      <c r="A6094" s="431"/>
    </row>
    <row r="6095">
      <c r="A6095" s="431"/>
    </row>
    <row r="6096">
      <c r="A6096" s="431"/>
    </row>
    <row r="6097">
      <c r="A6097" s="431"/>
    </row>
    <row r="6098">
      <c r="A6098" s="431"/>
    </row>
    <row r="6099">
      <c r="A6099" s="431"/>
    </row>
    <row r="6100">
      <c r="A6100" s="431"/>
    </row>
    <row r="6101">
      <c r="A6101" s="431"/>
    </row>
    <row r="6102">
      <c r="A6102" s="431"/>
    </row>
    <row r="6103">
      <c r="A6103" s="431"/>
    </row>
    <row r="6104">
      <c r="A6104" s="431"/>
    </row>
    <row r="6105">
      <c r="A6105" s="431"/>
    </row>
    <row r="6106">
      <c r="A6106" s="431"/>
    </row>
    <row r="6107">
      <c r="A6107" s="431"/>
    </row>
    <row r="6108">
      <c r="A6108" s="431"/>
    </row>
    <row r="6109">
      <c r="A6109" s="431"/>
    </row>
    <row r="6110">
      <c r="A6110" s="431"/>
    </row>
    <row r="6111">
      <c r="A6111" s="431"/>
    </row>
    <row r="6112">
      <c r="A6112" s="431"/>
    </row>
    <row r="6113">
      <c r="A6113" s="431"/>
    </row>
    <row r="6114">
      <c r="A6114" s="431"/>
    </row>
    <row r="6115">
      <c r="A6115" s="431"/>
    </row>
    <row r="6116">
      <c r="A6116" s="431"/>
    </row>
    <row r="6117">
      <c r="A6117" s="431"/>
    </row>
    <row r="6118">
      <c r="A6118" s="431"/>
    </row>
    <row r="6119">
      <c r="A6119" s="431"/>
    </row>
    <row r="6120">
      <c r="A6120" s="431"/>
    </row>
    <row r="6121">
      <c r="A6121" s="431"/>
    </row>
    <row r="6122">
      <c r="A6122" s="431"/>
    </row>
    <row r="6123">
      <c r="A6123" s="431"/>
    </row>
    <row r="6124">
      <c r="A6124" s="431"/>
    </row>
    <row r="6125">
      <c r="A6125" s="431"/>
    </row>
    <row r="6126">
      <c r="A6126" s="431"/>
    </row>
    <row r="6127">
      <c r="A6127" s="431"/>
    </row>
    <row r="6128">
      <c r="A6128" s="431"/>
    </row>
    <row r="6129">
      <c r="A6129" s="431"/>
    </row>
    <row r="6130">
      <c r="A6130" s="431"/>
    </row>
    <row r="6131">
      <c r="A6131" s="431"/>
    </row>
    <row r="6132">
      <c r="A6132" s="431"/>
    </row>
    <row r="6133">
      <c r="A6133" s="431"/>
    </row>
    <row r="6134">
      <c r="A6134" s="431"/>
    </row>
    <row r="6135">
      <c r="A6135" s="431"/>
    </row>
    <row r="6136">
      <c r="A6136" s="431"/>
    </row>
    <row r="6137">
      <c r="A6137" s="431"/>
    </row>
    <row r="6138">
      <c r="A6138" s="431"/>
    </row>
    <row r="6139">
      <c r="A6139" s="431"/>
    </row>
    <row r="6140">
      <c r="A6140" s="431"/>
    </row>
    <row r="6141">
      <c r="A6141" s="431"/>
    </row>
    <row r="6142">
      <c r="A6142" s="431"/>
    </row>
    <row r="6143">
      <c r="A6143" s="431"/>
    </row>
    <row r="6144">
      <c r="A6144" s="431"/>
    </row>
    <row r="6145">
      <c r="A6145" s="431"/>
    </row>
    <row r="6146">
      <c r="A6146" s="431"/>
    </row>
    <row r="6147">
      <c r="A6147" s="431"/>
    </row>
    <row r="6148">
      <c r="A6148" s="431"/>
    </row>
    <row r="6149">
      <c r="A6149" s="431"/>
    </row>
    <row r="6150">
      <c r="A6150" s="431"/>
    </row>
    <row r="6151">
      <c r="A6151" s="431"/>
    </row>
    <row r="6152">
      <c r="A6152" s="431"/>
    </row>
    <row r="6153">
      <c r="A6153" s="431"/>
    </row>
    <row r="6154">
      <c r="A6154" s="431"/>
    </row>
    <row r="6155">
      <c r="A6155" s="431"/>
    </row>
    <row r="6156">
      <c r="A6156" s="431"/>
    </row>
    <row r="6157">
      <c r="A6157" s="431"/>
    </row>
    <row r="6158">
      <c r="A6158" s="431"/>
    </row>
    <row r="6159">
      <c r="A6159" s="431"/>
    </row>
    <row r="6160">
      <c r="A6160" s="431"/>
    </row>
    <row r="6161">
      <c r="A6161" s="431"/>
    </row>
    <row r="6162">
      <c r="A6162" s="431"/>
    </row>
    <row r="6163">
      <c r="A6163" s="431"/>
    </row>
    <row r="6164">
      <c r="A6164" s="431"/>
    </row>
    <row r="6165">
      <c r="A6165" s="431"/>
    </row>
    <row r="6166">
      <c r="A6166" s="431"/>
    </row>
    <row r="6167">
      <c r="A6167" s="431"/>
    </row>
    <row r="6168">
      <c r="A6168" s="431"/>
    </row>
    <row r="6169">
      <c r="A6169" s="431"/>
    </row>
    <row r="6170">
      <c r="A6170" s="431"/>
    </row>
    <row r="6171">
      <c r="A6171" s="431"/>
    </row>
    <row r="6172">
      <c r="A6172" s="431"/>
    </row>
    <row r="6173">
      <c r="A6173" s="431"/>
    </row>
    <row r="6174">
      <c r="A6174" s="431"/>
    </row>
    <row r="6175">
      <c r="A6175" s="431"/>
    </row>
    <row r="6176">
      <c r="A6176" s="431"/>
    </row>
    <row r="6177">
      <c r="A6177" s="431"/>
    </row>
    <row r="6178">
      <c r="A6178" s="431"/>
    </row>
    <row r="6179">
      <c r="A6179" s="431"/>
    </row>
    <row r="6180">
      <c r="A6180" s="431"/>
    </row>
    <row r="6181">
      <c r="A6181" s="431"/>
    </row>
    <row r="6182">
      <c r="A6182" s="431"/>
    </row>
    <row r="6183">
      <c r="A6183" s="431"/>
    </row>
    <row r="6184">
      <c r="A6184" s="431"/>
    </row>
    <row r="6185">
      <c r="A6185" s="431"/>
    </row>
    <row r="6186">
      <c r="A6186" s="431"/>
    </row>
    <row r="6187">
      <c r="A6187" s="431"/>
    </row>
    <row r="6188">
      <c r="A6188" s="431"/>
    </row>
    <row r="6189">
      <c r="A6189" s="431"/>
    </row>
    <row r="6190">
      <c r="A6190" s="431"/>
    </row>
    <row r="6191">
      <c r="A6191" s="431"/>
    </row>
    <row r="6192">
      <c r="A6192" s="431"/>
    </row>
    <row r="6193">
      <c r="A6193" s="431"/>
    </row>
    <row r="6194">
      <c r="A6194" s="431"/>
    </row>
    <row r="6195">
      <c r="A6195" s="431"/>
    </row>
    <row r="6196">
      <c r="A6196" s="431"/>
    </row>
    <row r="6197">
      <c r="A6197" s="431"/>
    </row>
    <row r="6198">
      <c r="A6198" s="431"/>
    </row>
    <row r="6199">
      <c r="A6199" s="431"/>
    </row>
    <row r="6200">
      <c r="A6200" s="431"/>
    </row>
    <row r="6201">
      <c r="A6201" s="431"/>
    </row>
    <row r="6202">
      <c r="A6202" s="431"/>
    </row>
    <row r="6203">
      <c r="A6203" s="431"/>
    </row>
    <row r="6204">
      <c r="A6204" s="431"/>
    </row>
    <row r="6205">
      <c r="A6205" s="431"/>
    </row>
    <row r="6206">
      <c r="A6206" s="431"/>
    </row>
    <row r="6207">
      <c r="A6207" s="431"/>
    </row>
    <row r="6208">
      <c r="A6208" s="431"/>
    </row>
    <row r="6209">
      <c r="A6209" s="431"/>
    </row>
    <row r="6210">
      <c r="A6210" s="431"/>
    </row>
    <row r="6211">
      <c r="A6211" s="431"/>
    </row>
    <row r="6212">
      <c r="A6212" s="431"/>
    </row>
    <row r="6213">
      <c r="A6213" s="431"/>
    </row>
    <row r="6214">
      <c r="A6214" s="431"/>
    </row>
    <row r="6215">
      <c r="A6215" s="431"/>
    </row>
    <row r="6216">
      <c r="A6216" s="431"/>
    </row>
    <row r="6217">
      <c r="A6217" s="431"/>
    </row>
    <row r="6218">
      <c r="A6218" s="431"/>
    </row>
    <row r="6219">
      <c r="A6219" s="431"/>
    </row>
    <row r="6220">
      <c r="A6220" s="431"/>
    </row>
    <row r="6221">
      <c r="A6221" s="431"/>
    </row>
    <row r="6222">
      <c r="A6222" s="431"/>
    </row>
    <row r="6223">
      <c r="A6223" s="431"/>
    </row>
    <row r="6224">
      <c r="A6224" s="431"/>
    </row>
    <row r="6225">
      <c r="A6225" s="431"/>
    </row>
    <row r="6226">
      <c r="A6226" s="431"/>
    </row>
    <row r="6227">
      <c r="A6227" s="431"/>
    </row>
    <row r="6228">
      <c r="A6228" s="431"/>
    </row>
    <row r="6229">
      <c r="A6229" s="431"/>
    </row>
    <row r="6230">
      <c r="A6230" s="431"/>
    </row>
    <row r="6231">
      <c r="A6231" s="431"/>
    </row>
    <row r="6232">
      <c r="A6232" s="431"/>
    </row>
    <row r="6233">
      <c r="A6233" s="431"/>
    </row>
    <row r="6234">
      <c r="A6234" s="431"/>
    </row>
    <row r="6235">
      <c r="A6235" s="431"/>
    </row>
    <row r="6236">
      <c r="A6236" s="431"/>
    </row>
    <row r="6237">
      <c r="A6237" s="431"/>
    </row>
    <row r="6238">
      <c r="A6238" s="431"/>
    </row>
    <row r="6239">
      <c r="A6239" s="431"/>
    </row>
    <row r="6240">
      <c r="A6240" s="431"/>
    </row>
    <row r="6241">
      <c r="A6241" s="431"/>
    </row>
    <row r="6242">
      <c r="A6242" s="431"/>
    </row>
    <row r="6243">
      <c r="A6243" s="431"/>
    </row>
    <row r="6244">
      <c r="A6244" s="431"/>
    </row>
    <row r="6245">
      <c r="A6245" s="431"/>
    </row>
    <row r="6246">
      <c r="A6246" s="431"/>
    </row>
    <row r="6247">
      <c r="A6247" s="431"/>
    </row>
    <row r="6248">
      <c r="A6248" s="431"/>
    </row>
    <row r="6249">
      <c r="A6249" s="431"/>
    </row>
    <row r="6250">
      <c r="A6250" s="431"/>
    </row>
    <row r="6251">
      <c r="A6251" s="431"/>
    </row>
    <row r="6252">
      <c r="A6252" s="431"/>
    </row>
    <row r="6253">
      <c r="A6253" s="431"/>
    </row>
    <row r="6254">
      <c r="A6254" s="431"/>
    </row>
    <row r="6255">
      <c r="A6255" s="431"/>
    </row>
    <row r="6256">
      <c r="A6256" s="431"/>
    </row>
    <row r="6257">
      <c r="A6257" s="431"/>
    </row>
    <row r="6258">
      <c r="A6258" s="431"/>
    </row>
    <row r="6259">
      <c r="A6259" s="431"/>
    </row>
    <row r="6260">
      <c r="A6260" s="431"/>
    </row>
    <row r="6261">
      <c r="A6261" s="431"/>
    </row>
    <row r="6262">
      <c r="A6262" s="431"/>
    </row>
    <row r="6263">
      <c r="A6263" s="431"/>
    </row>
    <row r="6264">
      <c r="A6264" s="431"/>
    </row>
    <row r="6265">
      <c r="A6265" s="431"/>
    </row>
    <row r="6266">
      <c r="A6266" s="431"/>
    </row>
    <row r="6267">
      <c r="A6267" s="431"/>
    </row>
    <row r="6268">
      <c r="A6268" s="431"/>
    </row>
    <row r="6269">
      <c r="A6269" s="431"/>
    </row>
    <row r="6270">
      <c r="A6270" s="431"/>
    </row>
    <row r="6271">
      <c r="A6271" s="431"/>
    </row>
    <row r="6272">
      <c r="A6272" s="431"/>
    </row>
    <row r="6273">
      <c r="A6273" s="431"/>
    </row>
    <row r="6274">
      <c r="A6274" s="431"/>
    </row>
    <row r="6275">
      <c r="A6275" s="431"/>
    </row>
    <row r="6276">
      <c r="A6276" s="431"/>
    </row>
    <row r="6277">
      <c r="A6277" s="431"/>
    </row>
    <row r="6278">
      <c r="A6278" s="431"/>
    </row>
    <row r="6279">
      <c r="A6279" s="431"/>
    </row>
    <row r="6280">
      <c r="A6280" s="431"/>
    </row>
    <row r="6281">
      <c r="A6281" s="431"/>
    </row>
    <row r="6282">
      <c r="A6282" s="431"/>
    </row>
    <row r="6283">
      <c r="A6283" s="431"/>
    </row>
    <row r="6284">
      <c r="A6284" s="431"/>
    </row>
    <row r="6285">
      <c r="A6285" s="431"/>
    </row>
    <row r="6286">
      <c r="A6286" s="431"/>
    </row>
    <row r="6287">
      <c r="A6287" s="431"/>
    </row>
    <row r="6288">
      <c r="A6288" s="431"/>
    </row>
    <row r="6289">
      <c r="A6289" s="431"/>
    </row>
    <row r="6290">
      <c r="A6290" s="431"/>
    </row>
    <row r="6291">
      <c r="A6291" s="431"/>
    </row>
    <row r="6292">
      <c r="A6292" s="431"/>
    </row>
    <row r="6293">
      <c r="A6293" s="431"/>
    </row>
    <row r="6294">
      <c r="A6294" s="431"/>
    </row>
    <row r="6295">
      <c r="A6295" s="431"/>
    </row>
    <row r="6296">
      <c r="A6296" s="431"/>
    </row>
    <row r="6297">
      <c r="A6297" s="431"/>
    </row>
    <row r="6298">
      <c r="A6298" s="431"/>
    </row>
    <row r="6299">
      <c r="A6299" s="431"/>
    </row>
    <row r="6300">
      <c r="A6300" s="431"/>
    </row>
    <row r="6301">
      <c r="A6301" s="431"/>
    </row>
    <row r="6302">
      <c r="A6302" s="431"/>
    </row>
    <row r="6303">
      <c r="A6303" s="431"/>
    </row>
    <row r="6304">
      <c r="A6304" s="431"/>
    </row>
    <row r="6305">
      <c r="A6305" s="431"/>
    </row>
    <row r="6306">
      <c r="A6306" s="431"/>
    </row>
    <row r="6307">
      <c r="A6307" s="431"/>
    </row>
    <row r="6308">
      <c r="A6308" s="431"/>
    </row>
    <row r="6309">
      <c r="A6309" s="431"/>
    </row>
    <row r="6310">
      <c r="A6310" s="431"/>
    </row>
    <row r="6311">
      <c r="A6311" s="431"/>
    </row>
    <row r="6312">
      <c r="A6312" s="431"/>
    </row>
    <row r="6313">
      <c r="A6313" s="431"/>
    </row>
    <row r="6314">
      <c r="A6314" s="431"/>
    </row>
    <row r="6315">
      <c r="A6315" s="431"/>
    </row>
    <row r="6316">
      <c r="A6316" s="431"/>
    </row>
    <row r="6317">
      <c r="A6317" s="431"/>
    </row>
    <row r="6318">
      <c r="A6318" s="431"/>
    </row>
    <row r="6319">
      <c r="A6319" s="431"/>
    </row>
    <row r="6320">
      <c r="A6320" s="431"/>
    </row>
    <row r="6321">
      <c r="A6321" s="431"/>
    </row>
    <row r="6322">
      <c r="A6322" s="431"/>
    </row>
    <row r="6323">
      <c r="A6323" s="431"/>
    </row>
    <row r="6324">
      <c r="A6324" s="431"/>
    </row>
    <row r="6325">
      <c r="A6325" s="431"/>
    </row>
    <row r="6326">
      <c r="A6326" s="431"/>
    </row>
    <row r="6327">
      <c r="A6327" s="431"/>
    </row>
    <row r="6328">
      <c r="A6328" s="431"/>
    </row>
    <row r="6329">
      <c r="A6329" s="431"/>
    </row>
    <row r="6330">
      <c r="A6330" s="431"/>
    </row>
    <row r="6331">
      <c r="A6331" s="431"/>
    </row>
    <row r="6332">
      <c r="A6332" s="431"/>
    </row>
    <row r="6333">
      <c r="A6333" s="431"/>
    </row>
    <row r="6334">
      <c r="A6334" s="431"/>
    </row>
    <row r="6335">
      <c r="A6335" s="431"/>
    </row>
    <row r="6336">
      <c r="A6336" s="431"/>
    </row>
    <row r="6337">
      <c r="A6337" s="431"/>
    </row>
    <row r="6338">
      <c r="A6338" s="431"/>
    </row>
    <row r="6339">
      <c r="A6339" s="431"/>
    </row>
    <row r="6340">
      <c r="A6340" s="431"/>
    </row>
    <row r="6341">
      <c r="A6341" s="431"/>
    </row>
    <row r="6342">
      <c r="A6342" s="431"/>
    </row>
    <row r="6343">
      <c r="A6343" s="431"/>
    </row>
    <row r="6344">
      <c r="A6344" s="431"/>
    </row>
    <row r="6345">
      <c r="A6345" s="431"/>
    </row>
    <row r="6346">
      <c r="A6346" s="431"/>
    </row>
    <row r="6347">
      <c r="A6347" s="431"/>
    </row>
    <row r="6348">
      <c r="A6348" s="431"/>
    </row>
    <row r="6349">
      <c r="A6349" s="431"/>
    </row>
    <row r="6350">
      <c r="A6350" s="431"/>
    </row>
    <row r="6351">
      <c r="A6351" s="431"/>
    </row>
    <row r="6352">
      <c r="A6352" s="431"/>
    </row>
    <row r="6353">
      <c r="A6353" s="431"/>
    </row>
    <row r="6354">
      <c r="A6354" s="431"/>
    </row>
    <row r="6355">
      <c r="A6355" s="431"/>
    </row>
    <row r="6356">
      <c r="A6356" s="431"/>
    </row>
    <row r="6357">
      <c r="A6357" s="431"/>
    </row>
    <row r="6358">
      <c r="A6358" s="431"/>
    </row>
    <row r="6359">
      <c r="A6359" s="431"/>
    </row>
    <row r="6360">
      <c r="A6360" s="431"/>
    </row>
    <row r="6361">
      <c r="A6361" s="431"/>
    </row>
    <row r="6362">
      <c r="A6362" s="431"/>
    </row>
    <row r="6363">
      <c r="A6363" s="431"/>
    </row>
    <row r="6364">
      <c r="A6364" s="431"/>
    </row>
    <row r="6365">
      <c r="A6365" s="431"/>
    </row>
    <row r="6366">
      <c r="A6366" s="431"/>
    </row>
    <row r="6367">
      <c r="A6367" s="431"/>
    </row>
    <row r="6368">
      <c r="A6368" s="431"/>
    </row>
    <row r="6369">
      <c r="A6369" s="431"/>
    </row>
    <row r="6370">
      <c r="A6370" s="431"/>
    </row>
    <row r="6371">
      <c r="A6371" s="431"/>
    </row>
    <row r="6372">
      <c r="A6372" s="431"/>
    </row>
    <row r="6373">
      <c r="A6373" s="431"/>
    </row>
    <row r="6374">
      <c r="A6374" s="431"/>
    </row>
    <row r="6375">
      <c r="A6375" s="431"/>
    </row>
    <row r="6376">
      <c r="A6376" s="431"/>
    </row>
    <row r="6377">
      <c r="A6377" s="431"/>
    </row>
    <row r="6378">
      <c r="A6378" s="431"/>
    </row>
    <row r="6379">
      <c r="A6379" s="431"/>
    </row>
    <row r="6380">
      <c r="A6380" s="431"/>
    </row>
    <row r="6381">
      <c r="A6381" s="431"/>
    </row>
    <row r="6382">
      <c r="A6382" s="431"/>
    </row>
    <row r="6383">
      <c r="A6383" s="431"/>
    </row>
    <row r="6384">
      <c r="A6384" s="431"/>
    </row>
    <row r="6385">
      <c r="A6385" s="431"/>
    </row>
    <row r="6386">
      <c r="A6386" s="431"/>
    </row>
    <row r="6387">
      <c r="A6387" s="431"/>
    </row>
    <row r="6388">
      <c r="A6388" s="431"/>
    </row>
    <row r="6389">
      <c r="A6389" s="431"/>
    </row>
    <row r="6390">
      <c r="A6390" s="431"/>
    </row>
    <row r="6391">
      <c r="A6391" s="431"/>
    </row>
    <row r="6392">
      <c r="A6392" s="431"/>
    </row>
    <row r="6393">
      <c r="A6393" s="431"/>
    </row>
    <row r="6394">
      <c r="A6394" s="431"/>
    </row>
    <row r="6395">
      <c r="A6395" s="431"/>
    </row>
    <row r="6396">
      <c r="A6396" s="431"/>
    </row>
    <row r="6397">
      <c r="A6397" s="431"/>
    </row>
    <row r="6398">
      <c r="A6398" s="431"/>
    </row>
    <row r="6399">
      <c r="A6399" s="431"/>
    </row>
    <row r="6400">
      <c r="A6400" s="431"/>
    </row>
    <row r="6401">
      <c r="A6401" s="431"/>
    </row>
    <row r="6402">
      <c r="A6402" s="431"/>
    </row>
    <row r="6403">
      <c r="A6403" s="431"/>
    </row>
    <row r="6404">
      <c r="A6404" s="431"/>
    </row>
    <row r="6405">
      <c r="A6405" s="431"/>
    </row>
    <row r="6406">
      <c r="A6406" s="431"/>
    </row>
    <row r="6407">
      <c r="A6407" s="431"/>
    </row>
    <row r="6408">
      <c r="A6408" s="431"/>
    </row>
    <row r="6409">
      <c r="A6409" s="431"/>
    </row>
    <row r="6410">
      <c r="A6410" s="431"/>
    </row>
    <row r="6411">
      <c r="A6411" s="431"/>
    </row>
    <row r="6412">
      <c r="A6412" s="431"/>
    </row>
    <row r="6413">
      <c r="A6413" s="431"/>
    </row>
    <row r="6414">
      <c r="A6414" s="431"/>
    </row>
    <row r="6415">
      <c r="A6415" s="431"/>
    </row>
    <row r="6416">
      <c r="A6416" s="431"/>
    </row>
    <row r="6417">
      <c r="A6417" s="431"/>
    </row>
    <row r="6418">
      <c r="A6418" s="431"/>
    </row>
    <row r="6419">
      <c r="A6419" s="431"/>
    </row>
    <row r="6420">
      <c r="A6420" s="431"/>
    </row>
    <row r="6421">
      <c r="A6421" s="431"/>
    </row>
    <row r="6422">
      <c r="A6422" s="431"/>
    </row>
    <row r="6423">
      <c r="A6423" s="431"/>
    </row>
    <row r="6424">
      <c r="A6424" s="431"/>
    </row>
    <row r="6425">
      <c r="A6425" s="431"/>
    </row>
    <row r="6426">
      <c r="A6426" s="431"/>
    </row>
    <row r="6427">
      <c r="A6427" s="431"/>
    </row>
    <row r="6428">
      <c r="A6428" s="431"/>
    </row>
    <row r="6429">
      <c r="A6429" s="431"/>
    </row>
    <row r="6430">
      <c r="A6430" s="431"/>
    </row>
    <row r="6431">
      <c r="A6431" s="431"/>
    </row>
    <row r="6432">
      <c r="A6432" s="431"/>
    </row>
    <row r="6433">
      <c r="A6433" s="431"/>
    </row>
    <row r="6434">
      <c r="A6434" s="431"/>
    </row>
    <row r="6435">
      <c r="A6435" s="431"/>
    </row>
    <row r="6436">
      <c r="A6436" s="431"/>
    </row>
    <row r="6437">
      <c r="A6437" s="431"/>
    </row>
    <row r="6438">
      <c r="A6438" s="431"/>
    </row>
    <row r="6439">
      <c r="A6439" s="431"/>
    </row>
    <row r="6440">
      <c r="A6440" s="431"/>
    </row>
    <row r="6441">
      <c r="A6441" s="431"/>
    </row>
    <row r="6442">
      <c r="A6442" s="431"/>
    </row>
    <row r="6443">
      <c r="A6443" s="431"/>
    </row>
    <row r="6444">
      <c r="A6444" s="431"/>
    </row>
    <row r="6445">
      <c r="A6445" s="431"/>
    </row>
    <row r="6446">
      <c r="A6446" s="431"/>
    </row>
    <row r="6447">
      <c r="A6447" s="431"/>
    </row>
    <row r="6448">
      <c r="A6448" s="431"/>
    </row>
    <row r="6449">
      <c r="A6449" s="431"/>
    </row>
    <row r="6450">
      <c r="A6450" s="431"/>
    </row>
    <row r="6451">
      <c r="A6451" s="431"/>
    </row>
    <row r="6452">
      <c r="A6452" s="431"/>
    </row>
    <row r="6453">
      <c r="A6453" s="431"/>
    </row>
    <row r="6454">
      <c r="A6454" s="431"/>
    </row>
    <row r="6455">
      <c r="A6455" s="431"/>
    </row>
    <row r="6456">
      <c r="A6456" s="431"/>
    </row>
    <row r="6457">
      <c r="A6457" s="431"/>
    </row>
    <row r="6458">
      <c r="A6458" s="431"/>
    </row>
    <row r="6459">
      <c r="A6459" s="431"/>
    </row>
    <row r="6460">
      <c r="A6460" s="431"/>
    </row>
    <row r="6461">
      <c r="A6461" s="431"/>
    </row>
    <row r="6462">
      <c r="A6462" s="431"/>
    </row>
    <row r="6463">
      <c r="A6463" s="431"/>
    </row>
    <row r="6464">
      <c r="A6464" s="431"/>
    </row>
    <row r="6465">
      <c r="A6465" s="431"/>
    </row>
    <row r="6466">
      <c r="A6466" s="431"/>
    </row>
    <row r="6467">
      <c r="A6467" s="431"/>
    </row>
    <row r="6468">
      <c r="A6468" s="431"/>
    </row>
    <row r="6469">
      <c r="A6469" s="431"/>
    </row>
    <row r="6470">
      <c r="A6470" s="431"/>
    </row>
    <row r="6471">
      <c r="A6471" s="431"/>
    </row>
    <row r="6472">
      <c r="A6472" s="431"/>
    </row>
    <row r="6473">
      <c r="A6473" s="431"/>
    </row>
    <row r="6474">
      <c r="A6474" s="431"/>
    </row>
    <row r="6475">
      <c r="A6475" s="431"/>
    </row>
    <row r="6476">
      <c r="A6476" s="431"/>
    </row>
    <row r="6477">
      <c r="A6477" s="431"/>
    </row>
    <row r="6478">
      <c r="A6478" s="431"/>
    </row>
    <row r="6479">
      <c r="A6479" s="431"/>
    </row>
    <row r="6480">
      <c r="A6480" s="431"/>
    </row>
    <row r="6481">
      <c r="A6481" s="431"/>
    </row>
    <row r="6482">
      <c r="A6482" s="431"/>
    </row>
    <row r="6483">
      <c r="A6483" s="431"/>
    </row>
    <row r="6484">
      <c r="A6484" s="431"/>
    </row>
    <row r="6485">
      <c r="A6485" s="431"/>
    </row>
    <row r="6486">
      <c r="A6486" s="431"/>
    </row>
    <row r="6487">
      <c r="A6487" s="431"/>
    </row>
    <row r="6488">
      <c r="A6488" s="431"/>
    </row>
    <row r="6489">
      <c r="A6489" s="431"/>
    </row>
    <row r="6490">
      <c r="A6490" s="431"/>
    </row>
    <row r="6491">
      <c r="A6491" s="431"/>
    </row>
    <row r="6492">
      <c r="A6492" s="431"/>
    </row>
    <row r="6493">
      <c r="A6493" s="431"/>
    </row>
    <row r="6494">
      <c r="A6494" s="431"/>
    </row>
    <row r="6495">
      <c r="A6495" s="431"/>
    </row>
    <row r="6496">
      <c r="A6496" s="431"/>
    </row>
    <row r="6497">
      <c r="A6497" s="431"/>
    </row>
    <row r="6498">
      <c r="A6498" s="431"/>
    </row>
    <row r="6499">
      <c r="A6499" s="431"/>
    </row>
    <row r="6500">
      <c r="A6500" s="431"/>
    </row>
    <row r="6501">
      <c r="A6501" s="431"/>
    </row>
    <row r="6502">
      <c r="A6502" s="431"/>
    </row>
    <row r="6503">
      <c r="A6503" s="431"/>
    </row>
    <row r="6504">
      <c r="A6504" s="431"/>
    </row>
    <row r="6505">
      <c r="A6505" s="431"/>
    </row>
    <row r="6506">
      <c r="A6506" s="431"/>
    </row>
    <row r="6507">
      <c r="A6507" s="431"/>
    </row>
    <row r="6508">
      <c r="A6508" s="431"/>
    </row>
    <row r="6509">
      <c r="A6509" s="431"/>
    </row>
    <row r="6510">
      <c r="A6510" s="431"/>
    </row>
    <row r="6511">
      <c r="A6511" s="431"/>
    </row>
    <row r="6512">
      <c r="A6512" s="431"/>
    </row>
    <row r="6513">
      <c r="A6513" s="431"/>
    </row>
    <row r="6514">
      <c r="A6514" s="431"/>
    </row>
    <row r="6515">
      <c r="A6515" s="431"/>
    </row>
    <row r="6516">
      <c r="A6516" s="431"/>
    </row>
    <row r="6517">
      <c r="A6517" s="431"/>
    </row>
    <row r="6518">
      <c r="A6518" s="431"/>
    </row>
    <row r="6519">
      <c r="A6519" s="431"/>
    </row>
    <row r="6520">
      <c r="A6520" s="431"/>
    </row>
    <row r="6521">
      <c r="A6521" s="431"/>
    </row>
    <row r="6522">
      <c r="A6522" s="431"/>
    </row>
    <row r="6523">
      <c r="A6523" s="431"/>
    </row>
    <row r="6524">
      <c r="A6524" s="431"/>
    </row>
    <row r="6525">
      <c r="A6525" s="431"/>
    </row>
    <row r="6526">
      <c r="A6526" s="431"/>
    </row>
    <row r="6527">
      <c r="A6527" s="431"/>
    </row>
    <row r="6528">
      <c r="A6528" s="431"/>
    </row>
    <row r="6529">
      <c r="A6529" s="431"/>
    </row>
    <row r="6530">
      <c r="A6530" s="431"/>
    </row>
    <row r="6531">
      <c r="A6531" s="431"/>
    </row>
    <row r="6532">
      <c r="A6532" s="431"/>
    </row>
    <row r="6533">
      <c r="A6533" s="431"/>
    </row>
    <row r="6534">
      <c r="A6534" s="431"/>
    </row>
    <row r="6535">
      <c r="A6535" s="431"/>
    </row>
    <row r="6536">
      <c r="A6536" s="431"/>
    </row>
    <row r="6537">
      <c r="A6537" s="431"/>
    </row>
    <row r="6538">
      <c r="A6538" s="431"/>
    </row>
    <row r="6539">
      <c r="A6539" s="431"/>
    </row>
    <row r="6540">
      <c r="A6540" s="431"/>
    </row>
    <row r="6541">
      <c r="A6541" s="431"/>
    </row>
    <row r="6542">
      <c r="A6542" s="431"/>
    </row>
    <row r="6543">
      <c r="A6543" s="431"/>
    </row>
    <row r="6544">
      <c r="A6544" s="431"/>
    </row>
    <row r="6545">
      <c r="A6545" s="431"/>
    </row>
    <row r="6546">
      <c r="A6546" s="431"/>
    </row>
    <row r="6547">
      <c r="A6547" s="431"/>
    </row>
    <row r="6548">
      <c r="A6548" s="431"/>
    </row>
    <row r="6549">
      <c r="A6549" s="431"/>
    </row>
    <row r="6550">
      <c r="A6550" s="431"/>
    </row>
    <row r="6551">
      <c r="A6551" s="431"/>
    </row>
    <row r="6552">
      <c r="A6552" s="431"/>
    </row>
    <row r="6553">
      <c r="A6553" s="431"/>
    </row>
    <row r="6554">
      <c r="A6554" s="431"/>
    </row>
    <row r="6555">
      <c r="A6555" s="431"/>
    </row>
    <row r="6556">
      <c r="A6556" s="431"/>
    </row>
    <row r="6557">
      <c r="A6557" s="431"/>
    </row>
    <row r="6558">
      <c r="A6558" s="431"/>
    </row>
    <row r="6559">
      <c r="A6559" s="431"/>
    </row>
    <row r="6560">
      <c r="A6560" s="431"/>
    </row>
    <row r="6561">
      <c r="A6561" s="431"/>
    </row>
    <row r="6562">
      <c r="A6562" s="431"/>
    </row>
    <row r="6563">
      <c r="A6563" s="431"/>
    </row>
    <row r="6564">
      <c r="A6564" s="431"/>
    </row>
    <row r="6565">
      <c r="A6565" s="431"/>
    </row>
    <row r="6566">
      <c r="A6566" s="431"/>
    </row>
    <row r="6567">
      <c r="A6567" s="431"/>
    </row>
    <row r="6568">
      <c r="A6568" s="431"/>
    </row>
    <row r="6569">
      <c r="A6569" s="431"/>
    </row>
    <row r="6570">
      <c r="A6570" s="431"/>
    </row>
    <row r="6571">
      <c r="A6571" s="431"/>
    </row>
    <row r="6572">
      <c r="A6572" s="431"/>
    </row>
    <row r="6573">
      <c r="A6573" s="431"/>
    </row>
    <row r="6574">
      <c r="A6574" s="431"/>
    </row>
    <row r="6575">
      <c r="A6575" s="431"/>
    </row>
    <row r="6576">
      <c r="A6576" s="431"/>
    </row>
    <row r="6577">
      <c r="A6577" s="431"/>
    </row>
    <row r="6578">
      <c r="A6578" s="431"/>
    </row>
    <row r="6579">
      <c r="A6579" s="431"/>
    </row>
    <row r="6580">
      <c r="A6580" s="431"/>
    </row>
    <row r="6581">
      <c r="A6581" s="431"/>
    </row>
    <row r="6582">
      <c r="A6582" s="431"/>
    </row>
    <row r="6583">
      <c r="A6583" s="431"/>
    </row>
    <row r="6584">
      <c r="A6584" s="431"/>
    </row>
    <row r="6585">
      <c r="A6585" s="431"/>
    </row>
    <row r="6586">
      <c r="A6586" s="431"/>
    </row>
    <row r="6587">
      <c r="A6587" s="431"/>
    </row>
    <row r="6588">
      <c r="A6588" s="431"/>
    </row>
    <row r="6589">
      <c r="A6589" s="431"/>
    </row>
    <row r="6590">
      <c r="A6590" s="431"/>
    </row>
    <row r="6591">
      <c r="A6591" s="431"/>
    </row>
    <row r="6592">
      <c r="A6592" s="431"/>
    </row>
    <row r="6593">
      <c r="A6593" s="431"/>
    </row>
    <row r="6594">
      <c r="A6594" s="431"/>
    </row>
    <row r="6595">
      <c r="A6595" s="431"/>
    </row>
    <row r="6596">
      <c r="A6596" s="431"/>
    </row>
    <row r="6597">
      <c r="A6597" s="431"/>
    </row>
    <row r="6598">
      <c r="A6598" s="431"/>
    </row>
    <row r="6599">
      <c r="A6599" s="431"/>
    </row>
    <row r="6600">
      <c r="A6600" s="431"/>
    </row>
    <row r="6601">
      <c r="A6601" s="431"/>
    </row>
    <row r="6602">
      <c r="A6602" s="431"/>
    </row>
    <row r="6603">
      <c r="A6603" s="431"/>
    </row>
    <row r="6604">
      <c r="A6604" s="431"/>
    </row>
    <row r="6605">
      <c r="A6605" s="431"/>
    </row>
    <row r="6606">
      <c r="A6606" s="431"/>
    </row>
    <row r="6607">
      <c r="A6607" s="431"/>
    </row>
    <row r="6608">
      <c r="A6608" s="431"/>
    </row>
    <row r="6609">
      <c r="A6609" s="431"/>
    </row>
    <row r="6610">
      <c r="A6610" s="431"/>
    </row>
    <row r="6611">
      <c r="A6611" s="431"/>
    </row>
    <row r="6612">
      <c r="A6612" s="431"/>
    </row>
    <row r="6613">
      <c r="A6613" s="431"/>
    </row>
    <row r="6614">
      <c r="A6614" s="431"/>
    </row>
    <row r="6615">
      <c r="A6615" s="431"/>
    </row>
    <row r="6616">
      <c r="A6616" s="431"/>
    </row>
    <row r="6617">
      <c r="A6617" s="431"/>
    </row>
    <row r="6618">
      <c r="A6618" s="431"/>
    </row>
    <row r="6619">
      <c r="A6619" s="431"/>
    </row>
    <row r="6620">
      <c r="A6620" s="431"/>
    </row>
    <row r="6621">
      <c r="A6621" s="431"/>
    </row>
    <row r="6622">
      <c r="A6622" s="431"/>
    </row>
    <row r="6623">
      <c r="A6623" s="431"/>
    </row>
    <row r="6624">
      <c r="A6624" s="431"/>
    </row>
    <row r="6625">
      <c r="A6625" s="431"/>
    </row>
    <row r="6626">
      <c r="A6626" s="431"/>
    </row>
    <row r="6627">
      <c r="A6627" s="431"/>
    </row>
    <row r="6628">
      <c r="A6628" s="431"/>
    </row>
    <row r="6629">
      <c r="A6629" s="431"/>
    </row>
    <row r="6630">
      <c r="A6630" s="431"/>
    </row>
    <row r="6631">
      <c r="A6631" s="431"/>
    </row>
    <row r="6632">
      <c r="A6632" s="431"/>
    </row>
    <row r="6633">
      <c r="A6633" s="431"/>
    </row>
    <row r="6634">
      <c r="A6634" s="431"/>
    </row>
    <row r="6635">
      <c r="A6635" s="431"/>
    </row>
    <row r="6636">
      <c r="A6636" s="431"/>
    </row>
    <row r="6637">
      <c r="A6637" s="431"/>
    </row>
    <row r="6638">
      <c r="A6638" s="431"/>
    </row>
    <row r="6639">
      <c r="A6639" s="431"/>
    </row>
    <row r="6640">
      <c r="A6640" s="431"/>
    </row>
    <row r="6641">
      <c r="A6641" s="431"/>
    </row>
    <row r="6642">
      <c r="A6642" s="431"/>
    </row>
    <row r="6643">
      <c r="A6643" s="431"/>
    </row>
    <row r="6644">
      <c r="A6644" s="431"/>
    </row>
    <row r="6645">
      <c r="A6645" s="431"/>
    </row>
    <row r="6646">
      <c r="A6646" s="431"/>
    </row>
    <row r="6647">
      <c r="A6647" s="431"/>
    </row>
    <row r="6648">
      <c r="A6648" s="431"/>
    </row>
    <row r="6649">
      <c r="A6649" s="431"/>
    </row>
    <row r="6650">
      <c r="A6650" s="431"/>
    </row>
    <row r="6651">
      <c r="A6651" s="431"/>
    </row>
    <row r="6652">
      <c r="A6652" s="431"/>
    </row>
    <row r="6653">
      <c r="A6653" s="431"/>
    </row>
    <row r="6654">
      <c r="A6654" s="431"/>
    </row>
    <row r="6655">
      <c r="A6655" s="431"/>
    </row>
    <row r="6656">
      <c r="A6656" s="431"/>
    </row>
    <row r="6657">
      <c r="A6657" s="431"/>
    </row>
    <row r="6658">
      <c r="A6658" s="431"/>
    </row>
    <row r="6659">
      <c r="A6659" s="431"/>
    </row>
    <row r="6660">
      <c r="A6660" s="431"/>
    </row>
    <row r="6661">
      <c r="A6661" s="431"/>
    </row>
    <row r="6662">
      <c r="A6662" s="431"/>
    </row>
    <row r="6663">
      <c r="A6663" s="431"/>
    </row>
    <row r="6664">
      <c r="A6664" s="431"/>
    </row>
    <row r="6665">
      <c r="A6665" s="431"/>
    </row>
    <row r="6666">
      <c r="A6666" s="431"/>
    </row>
    <row r="6667">
      <c r="A6667" s="431"/>
    </row>
    <row r="6668">
      <c r="A6668" s="431"/>
    </row>
    <row r="6669">
      <c r="A6669" s="431"/>
    </row>
    <row r="6670">
      <c r="A6670" s="431"/>
    </row>
    <row r="6671">
      <c r="A6671" s="431"/>
    </row>
    <row r="6672">
      <c r="A6672" s="431"/>
    </row>
    <row r="6673">
      <c r="A6673" s="431"/>
    </row>
    <row r="6674">
      <c r="A6674" s="431"/>
    </row>
    <row r="6675">
      <c r="A6675" s="431"/>
    </row>
    <row r="6676">
      <c r="A6676" s="431"/>
    </row>
    <row r="6677">
      <c r="A6677" s="431"/>
    </row>
    <row r="6678">
      <c r="A6678" s="431"/>
    </row>
    <row r="6679">
      <c r="A6679" s="431"/>
    </row>
    <row r="6680">
      <c r="A6680" s="431"/>
    </row>
    <row r="6681">
      <c r="A6681" s="431"/>
    </row>
    <row r="6682">
      <c r="A6682" s="431"/>
    </row>
    <row r="6683">
      <c r="A6683" s="431"/>
    </row>
    <row r="6684">
      <c r="A6684" s="431"/>
    </row>
    <row r="6685">
      <c r="A6685" s="431"/>
    </row>
    <row r="6686">
      <c r="A6686" s="431"/>
    </row>
    <row r="6687">
      <c r="A6687" s="431"/>
    </row>
    <row r="6688">
      <c r="A6688" s="431"/>
    </row>
    <row r="6689">
      <c r="A6689" s="431"/>
    </row>
    <row r="6690">
      <c r="A6690" s="431"/>
    </row>
    <row r="6691">
      <c r="A6691" s="431"/>
    </row>
    <row r="6692">
      <c r="A6692" s="431"/>
    </row>
    <row r="6693">
      <c r="A6693" s="431"/>
    </row>
    <row r="6694">
      <c r="A6694" s="431"/>
    </row>
    <row r="6695">
      <c r="A6695" s="431"/>
    </row>
    <row r="6696">
      <c r="A6696" s="431"/>
    </row>
    <row r="6697">
      <c r="A6697" s="431"/>
    </row>
    <row r="6698">
      <c r="A6698" s="431"/>
    </row>
    <row r="6699">
      <c r="A6699" s="431"/>
    </row>
    <row r="6700">
      <c r="A6700" s="431"/>
    </row>
    <row r="6701">
      <c r="A6701" s="431"/>
    </row>
    <row r="6702">
      <c r="A6702" s="431"/>
    </row>
    <row r="6703">
      <c r="A6703" s="431"/>
    </row>
    <row r="6704">
      <c r="A6704" s="431"/>
    </row>
    <row r="6705">
      <c r="A6705" s="431"/>
    </row>
    <row r="6706">
      <c r="A6706" s="431"/>
    </row>
    <row r="6707">
      <c r="A6707" s="431"/>
    </row>
    <row r="6708">
      <c r="A6708" s="431"/>
    </row>
    <row r="6709">
      <c r="A6709" s="431"/>
    </row>
    <row r="6710">
      <c r="A6710" s="431"/>
    </row>
    <row r="6711">
      <c r="A6711" s="431"/>
    </row>
    <row r="6712">
      <c r="A6712" s="431"/>
    </row>
    <row r="6713">
      <c r="A6713" s="431"/>
    </row>
    <row r="6714">
      <c r="A6714" s="431"/>
    </row>
    <row r="6715">
      <c r="A6715" s="431"/>
    </row>
    <row r="6716">
      <c r="A6716" s="431"/>
    </row>
    <row r="6717">
      <c r="A6717" s="431"/>
    </row>
    <row r="6718">
      <c r="A6718" s="431"/>
    </row>
    <row r="6719">
      <c r="A6719" s="431"/>
    </row>
    <row r="6720">
      <c r="A6720" s="431"/>
    </row>
    <row r="6721">
      <c r="A6721" s="431"/>
    </row>
    <row r="6722">
      <c r="A6722" s="431"/>
    </row>
    <row r="6723">
      <c r="A6723" s="431"/>
    </row>
    <row r="6724">
      <c r="A6724" s="431"/>
    </row>
    <row r="6725">
      <c r="A6725" s="431"/>
    </row>
    <row r="6726">
      <c r="A6726" s="431"/>
    </row>
    <row r="6727">
      <c r="A6727" s="431"/>
    </row>
    <row r="6728">
      <c r="A6728" s="431"/>
    </row>
    <row r="6729">
      <c r="A6729" s="431"/>
    </row>
    <row r="6730">
      <c r="A6730" s="431"/>
    </row>
    <row r="6731">
      <c r="A6731" s="431"/>
    </row>
    <row r="6732">
      <c r="A6732" s="431"/>
    </row>
    <row r="6733">
      <c r="A6733" s="431"/>
    </row>
    <row r="6734">
      <c r="A6734" s="431"/>
    </row>
    <row r="6735">
      <c r="A6735" s="431"/>
    </row>
    <row r="6736">
      <c r="A6736" s="431"/>
    </row>
    <row r="6737">
      <c r="A6737" s="431"/>
    </row>
    <row r="6738">
      <c r="A6738" s="431"/>
    </row>
    <row r="6739">
      <c r="A6739" s="431"/>
    </row>
    <row r="6740">
      <c r="A6740" s="431"/>
    </row>
    <row r="6741">
      <c r="A6741" s="431"/>
    </row>
    <row r="6742">
      <c r="A6742" s="431"/>
    </row>
    <row r="6743">
      <c r="A6743" s="431"/>
    </row>
    <row r="6744">
      <c r="A6744" s="431"/>
    </row>
    <row r="6745">
      <c r="A6745" s="431"/>
    </row>
    <row r="6746">
      <c r="A6746" s="431"/>
    </row>
    <row r="6747">
      <c r="A6747" s="431"/>
    </row>
    <row r="6748">
      <c r="A6748" s="431"/>
    </row>
    <row r="6749">
      <c r="A6749" s="431"/>
    </row>
    <row r="6750">
      <c r="A6750" s="431"/>
    </row>
    <row r="6751">
      <c r="A6751" s="431"/>
    </row>
    <row r="6752">
      <c r="A6752" s="431"/>
    </row>
    <row r="6753">
      <c r="A6753" s="431"/>
    </row>
    <row r="6754">
      <c r="A6754" s="431"/>
    </row>
    <row r="6755">
      <c r="A6755" s="431"/>
    </row>
    <row r="6756">
      <c r="A6756" s="431"/>
    </row>
    <row r="6757">
      <c r="A6757" s="431"/>
    </row>
    <row r="6758">
      <c r="A6758" s="431"/>
    </row>
    <row r="6759">
      <c r="A6759" s="431"/>
    </row>
    <row r="6760">
      <c r="A6760" s="431"/>
    </row>
    <row r="6761">
      <c r="A6761" s="431"/>
    </row>
    <row r="6762">
      <c r="A6762" s="431"/>
    </row>
    <row r="6763">
      <c r="A6763" s="431"/>
    </row>
    <row r="6764">
      <c r="A6764" s="431"/>
    </row>
    <row r="6765">
      <c r="A6765" s="431"/>
    </row>
    <row r="6766">
      <c r="A6766" s="431"/>
    </row>
    <row r="6767">
      <c r="A6767" s="431"/>
    </row>
    <row r="6768">
      <c r="A6768" s="431"/>
    </row>
    <row r="6769">
      <c r="A6769" s="431"/>
    </row>
    <row r="6770">
      <c r="A6770" s="431"/>
    </row>
    <row r="6771">
      <c r="A6771" s="431"/>
    </row>
    <row r="6772">
      <c r="A6772" s="431"/>
    </row>
    <row r="6773">
      <c r="A6773" s="431"/>
    </row>
    <row r="6774">
      <c r="A6774" s="431"/>
    </row>
    <row r="6775">
      <c r="A6775" s="431"/>
    </row>
    <row r="6776">
      <c r="A6776" s="431"/>
    </row>
    <row r="6777">
      <c r="A6777" s="431"/>
    </row>
    <row r="6778">
      <c r="A6778" s="431"/>
    </row>
    <row r="6779">
      <c r="A6779" s="431"/>
    </row>
    <row r="6780">
      <c r="A6780" s="431"/>
    </row>
    <row r="6781">
      <c r="A6781" s="431"/>
    </row>
    <row r="6782">
      <c r="A6782" s="431"/>
    </row>
    <row r="6783">
      <c r="A6783" s="431"/>
    </row>
    <row r="6784">
      <c r="A6784" s="431"/>
    </row>
    <row r="6785">
      <c r="A6785" s="431"/>
    </row>
    <row r="6786">
      <c r="A6786" s="431"/>
    </row>
    <row r="6787">
      <c r="A6787" s="431"/>
    </row>
    <row r="6788">
      <c r="A6788" s="431"/>
    </row>
    <row r="6789">
      <c r="A6789" s="431"/>
    </row>
    <row r="6790">
      <c r="A6790" s="431"/>
    </row>
    <row r="6791">
      <c r="A6791" s="431"/>
    </row>
    <row r="6792">
      <c r="A6792" s="431"/>
    </row>
    <row r="6793">
      <c r="A6793" s="431"/>
    </row>
    <row r="6794">
      <c r="A6794" s="431"/>
    </row>
    <row r="6795">
      <c r="A6795" s="431"/>
    </row>
    <row r="6796">
      <c r="A6796" s="431"/>
    </row>
    <row r="6797">
      <c r="A6797" s="431"/>
    </row>
    <row r="6798">
      <c r="A6798" s="431"/>
    </row>
    <row r="6799">
      <c r="A6799" s="431"/>
    </row>
    <row r="6800">
      <c r="A6800" s="431"/>
    </row>
    <row r="6801">
      <c r="A6801" s="431"/>
    </row>
    <row r="6802">
      <c r="A6802" s="431"/>
    </row>
    <row r="6803">
      <c r="A6803" s="431"/>
    </row>
    <row r="6804">
      <c r="A6804" s="431"/>
    </row>
    <row r="6805">
      <c r="A6805" s="431"/>
    </row>
    <row r="6806">
      <c r="A6806" s="431"/>
    </row>
    <row r="6807">
      <c r="A6807" s="431"/>
    </row>
    <row r="6808">
      <c r="A6808" s="431"/>
    </row>
    <row r="6809">
      <c r="A6809" s="431"/>
    </row>
    <row r="6810">
      <c r="A6810" s="431"/>
    </row>
    <row r="6811">
      <c r="A6811" s="431"/>
    </row>
    <row r="6812">
      <c r="A6812" s="431"/>
    </row>
    <row r="6813">
      <c r="A6813" s="431"/>
    </row>
    <row r="6814">
      <c r="A6814" s="431"/>
    </row>
    <row r="6815">
      <c r="A6815" s="431"/>
    </row>
    <row r="6816">
      <c r="A6816" s="431"/>
    </row>
    <row r="6817">
      <c r="A6817" s="431"/>
    </row>
    <row r="6818">
      <c r="A6818" s="431"/>
    </row>
    <row r="6819">
      <c r="A6819" s="431"/>
    </row>
    <row r="6820">
      <c r="A6820" s="431"/>
    </row>
    <row r="6821">
      <c r="A6821" s="431"/>
    </row>
    <row r="6822">
      <c r="A6822" s="431"/>
    </row>
    <row r="6823">
      <c r="A6823" s="431"/>
    </row>
    <row r="6824">
      <c r="A6824" s="431"/>
    </row>
    <row r="6825">
      <c r="A6825" s="431"/>
    </row>
    <row r="6826">
      <c r="A6826" s="431"/>
    </row>
    <row r="6827">
      <c r="A6827" s="431"/>
    </row>
    <row r="6828">
      <c r="A6828" s="431"/>
    </row>
    <row r="6829">
      <c r="A6829" s="431"/>
    </row>
    <row r="6830">
      <c r="A6830" s="431"/>
    </row>
    <row r="6831">
      <c r="A6831" s="431"/>
    </row>
    <row r="6832">
      <c r="A6832" s="431"/>
    </row>
    <row r="6833">
      <c r="A6833" s="431"/>
    </row>
    <row r="6834">
      <c r="A6834" s="431"/>
    </row>
    <row r="6835">
      <c r="A6835" s="431"/>
    </row>
    <row r="6836">
      <c r="A6836" s="431"/>
    </row>
    <row r="6837">
      <c r="A6837" s="431"/>
    </row>
    <row r="6838">
      <c r="A6838" s="431"/>
    </row>
    <row r="6839">
      <c r="A6839" s="431"/>
    </row>
    <row r="6840">
      <c r="A6840" s="431"/>
    </row>
    <row r="6841">
      <c r="A6841" s="431"/>
    </row>
    <row r="6842">
      <c r="A6842" s="431"/>
    </row>
    <row r="6843">
      <c r="A6843" s="431"/>
    </row>
    <row r="6844">
      <c r="A6844" s="431"/>
    </row>
    <row r="6845">
      <c r="A6845" s="431"/>
    </row>
    <row r="6846">
      <c r="A6846" s="431"/>
    </row>
    <row r="6847">
      <c r="A6847" s="431"/>
    </row>
    <row r="6848">
      <c r="A6848" s="431"/>
    </row>
    <row r="6849">
      <c r="A6849" s="431"/>
    </row>
    <row r="6850">
      <c r="A6850" s="431"/>
    </row>
    <row r="6851">
      <c r="A6851" s="431"/>
    </row>
    <row r="6852">
      <c r="A6852" s="431"/>
    </row>
    <row r="6853">
      <c r="A6853" s="431"/>
    </row>
    <row r="6854">
      <c r="A6854" s="431"/>
    </row>
    <row r="6855">
      <c r="A6855" s="431"/>
    </row>
    <row r="6856">
      <c r="A6856" s="431"/>
    </row>
    <row r="6857">
      <c r="A6857" s="431"/>
    </row>
    <row r="6858">
      <c r="A6858" s="431"/>
    </row>
    <row r="6859">
      <c r="A6859" s="431"/>
    </row>
    <row r="6860">
      <c r="A6860" s="431"/>
    </row>
    <row r="6861">
      <c r="A6861" s="431"/>
    </row>
    <row r="6862">
      <c r="A6862" s="431"/>
    </row>
    <row r="6863">
      <c r="A6863" s="431"/>
    </row>
    <row r="6864">
      <c r="A6864" s="431"/>
    </row>
    <row r="6865">
      <c r="A6865" s="431"/>
    </row>
    <row r="6866">
      <c r="A6866" s="431"/>
    </row>
    <row r="6867">
      <c r="A6867" s="431"/>
    </row>
    <row r="6868">
      <c r="A6868" s="431"/>
    </row>
    <row r="6869">
      <c r="A6869" s="431"/>
    </row>
    <row r="6870">
      <c r="A6870" s="431"/>
    </row>
    <row r="6871">
      <c r="A6871" s="431"/>
    </row>
    <row r="6872">
      <c r="A6872" s="431"/>
    </row>
    <row r="6873">
      <c r="A6873" s="431"/>
    </row>
    <row r="6874">
      <c r="A6874" s="431"/>
    </row>
    <row r="6875">
      <c r="A6875" s="431"/>
    </row>
    <row r="6876">
      <c r="A6876" s="431"/>
    </row>
    <row r="6877">
      <c r="A6877" s="431"/>
    </row>
    <row r="6878">
      <c r="A6878" s="431"/>
    </row>
    <row r="6879">
      <c r="A6879" s="431"/>
    </row>
    <row r="6880">
      <c r="A6880" s="431"/>
    </row>
    <row r="6881">
      <c r="A6881" s="431"/>
    </row>
    <row r="6882">
      <c r="A6882" s="431"/>
    </row>
    <row r="6883">
      <c r="A6883" s="431"/>
    </row>
    <row r="6884">
      <c r="A6884" s="431"/>
    </row>
    <row r="6885">
      <c r="A6885" s="431"/>
    </row>
    <row r="6886">
      <c r="A6886" s="431"/>
    </row>
    <row r="6887">
      <c r="A6887" s="431"/>
    </row>
    <row r="6888">
      <c r="A6888" s="431"/>
    </row>
    <row r="6889">
      <c r="A6889" s="431"/>
    </row>
    <row r="6890">
      <c r="A6890" s="431"/>
    </row>
    <row r="6891">
      <c r="A6891" s="431"/>
    </row>
    <row r="6892">
      <c r="A6892" s="431"/>
    </row>
    <row r="6893">
      <c r="A6893" s="431"/>
    </row>
    <row r="6894">
      <c r="A6894" s="431"/>
    </row>
    <row r="6895">
      <c r="A6895" s="431"/>
    </row>
    <row r="6896">
      <c r="A6896" s="431"/>
    </row>
    <row r="6897">
      <c r="A6897" s="431"/>
    </row>
    <row r="6898">
      <c r="A6898" s="431"/>
    </row>
    <row r="6899">
      <c r="A6899" s="431"/>
    </row>
    <row r="6900">
      <c r="A6900" s="431"/>
    </row>
    <row r="6901">
      <c r="A6901" s="431"/>
    </row>
    <row r="6902">
      <c r="A6902" s="431"/>
    </row>
    <row r="6903">
      <c r="A6903" s="431"/>
    </row>
    <row r="6904">
      <c r="A6904" s="431"/>
    </row>
    <row r="6905">
      <c r="A6905" s="431"/>
    </row>
    <row r="6906">
      <c r="A6906" s="431"/>
    </row>
    <row r="6907">
      <c r="A6907" s="431"/>
    </row>
    <row r="6908">
      <c r="A6908" s="431"/>
    </row>
    <row r="6909">
      <c r="A6909" s="431"/>
    </row>
    <row r="6910">
      <c r="A6910" s="431"/>
    </row>
    <row r="6911">
      <c r="A6911" s="431"/>
    </row>
    <row r="6912">
      <c r="A6912" s="431"/>
    </row>
    <row r="6913">
      <c r="A6913" s="431"/>
    </row>
    <row r="6914">
      <c r="A6914" s="431"/>
    </row>
    <row r="6915">
      <c r="A6915" s="431"/>
    </row>
    <row r="6916">
      <c r="A6916" s="431"/>
    </row>
    <row r="6917">
      <c r="A6917" s="431"/>
    </row>
    <row r="6918">
      <c r="A6918" s="431"/>
    </row>
    <row r="6919">
      <c r="A6919" s="431"/>
    </row>
    <row r="6920">
      <c r="A6920" s="431"/>
    </row>
    <row r="6921">
      <c r="A6921" s="431"/>
    </row>
    <row r="6922">
      <c r="A6922" s="431"/>
    </row>
    <row r="6923">
      <c r="A6923" s="431"/>
    </row>
    <row r="6924">
      <c r="A6924" s="431"/>
    </row>
    <row r="6925">
      <c r="A6925" s="431"/>
    </row>
    <row r="6926">
      <c r="A6926" s="431"/>
    </row>
    <row r="6927">
      <c r="A6927" s="431"/>
    </row>
    <row r="6928">
      <c r="A6928" s="431"/>
    </row>
    <row r="6929">
      <c r="A6929" s="431"/>
    </row>
    <row r="6930">
      <c r="A6930" s="431"/>
    </row>
    <row r="6931">
      <c r="A6931" s="431"/>
    </row>
    <row r="6932">
      <c r="A6932" s="431"/>
    </row>
    <row r="6933">
      <c r="A6933" s="431"/>
    </row>
    <row r="6934">
      <c r="A6934" s="431"/>
    </row>
    <row r="6935">
      <c r="A6935" s="431"/>
    </row>
    <row r="6936">
      <c r="A6936" s="431"/>
    </row>
    <row r="6937">
      <c r="A6937" s="431"/>
    </row>
    <row r="6938">
      <c r="A6938" s="431"/>
    </row>
    <row r="6939">
      <c r="A6939" s="431"/>
    </row>
    <row r="6940">
      <c r="A6940" s="431"/>
    </row>
    <row r="6941">
      <c r="A6941" s="431"/>
    </row>
    <row r="6942">
      <c r="A6942" s="431"/>
    </row>
    <row r="6943">
      <c r="A6943" s="431"/>
    </row>
    <row r="6944">
      <c r="A6944" s="431"/>
    </row>
    <row r="6945">
      <c r="A6945" s="431"/>
    </row>
    <row r="6946">
      <c r="A6946" s="431"/>
    </row>
    <row r="6947">
      <c r="A6947" s="431"/>
    </row>
    <row r="6948">
      <c r="A6948" s="431"/>
    </row>
    <row r="6949">
      <c r="A6949" s="431"/>
    </row>
    <row r="6950">
      <c r="A6950" s="431"/>
    </row>
    <row r="6951">
      <c r="A6951" s="431"/>
    </row>
    <row r="6952">
      <c r="A6952" s="431"/>
    </row>
    <row r="6953">
      <c r="A6953" s="431"/>
    </row>
    <row r="6954">
      <c r="A6954" s="431"/>
    </row>
    <row r="6955">
      <c r="A6955" s="431"/>
    </row>
    <row r="6956">
      <c r="A6956" s="431"/>
    </row>
    <row r="6957">
      <c r="A6957" s="431"/>
    </row>
    <row r="6958">
      <c r="A6958" s="431"/>
    </row>
    <row r="6959">
      <c r="A6959" s="431"/>
    </row>
    <row r="6960">
      <c r="A6960" s="431"/>
    </row>
    <row r="6961">
      <c r="A6961" s="431"/>
    </row>
    <row r="6962">
      <c r="A6962" s="431"/>
    </row>
    <row r="6963">
      <c r="A6963" s="431"/>
    </row>
    <row r="6964">
      <c r="A6964" s="431"/>
    </row>
    <row r="6965">
      <c r="A6965" s="431"/>
    </row>
    <row r="6966">
      <c r="A6966" s="431"/>
    </row>
    <row r="6967">
      <c r="A6967" s="431"/>
    </row>
    <row r="6968">
      <c r="A6968" s="431"/>
    </row>
    <row r="6969">
      <c r="A6969" s="431"/>
    </row>
    <row r="6970">
      <c r="A6970" s="431"/>
    </row>
    <row r="6971">
      <c r="A6971" s="431"/>
    </row>
    <row r="6972">
      <c r="A6972" s="431"/>
    </row>
    <row r="6973">
      <c r="A6973" s="431"/>
    </row>
    <row r="6974">
      <c r="A6974" s="431"/>
    </row>
    <row r="6975">
      <c r="A6975" s="431"/>
    </row>
    <row r="6976">
      <c r="A6976" s="431"/>
    </row>
    <row r="6977">
      <c r="A6977" s="431"/>
    </row>
    <row r="6978">
      <c r="A6978" s="431"/>
    </row>
    <row r="6979">
      <c r="A6979" s="431"/>
    </row>
    <row r="6980">
      <c r="A6980" s="431"/>
    </row>
    <row r="6981">
      <c r="A6981" s="431"/>
    </row>
    <row r="6982">
      <c r="A6982" s="431"/>
    </row>
    <row r="6983">
      <c r="A6983" s="431"/>
    </row>
    <row r="6984">
      <c r="A6984" s="431"/>
    </row>
    <row r="6985">
      <c r="A6985" s="431"/>
    </row>
    <row r="6986">
      <c r="A6986" s="431"/>
    </row>
    <row r="6987">
      <c r="A6987" s="431"/>
    </row>
    <row r="6988">
      <c r="A6988" s="431"/>
    </row>
    <row r="6989">
      <c r="A6989" s="431"/>
    </row>
    <row r="6990">
      <c r="A6990" s="431"/>
    </row>
    <row r="6991">
      <c r="A6991" s="431"/>
    </row>
    <row r="6992">
      <c r="A6992" s="431"/>
    </row>
    <row r="6993">
      <c r="A6993" s="431"/>
    </row>
    <row r="6994">
      <c r="A6994" s="431"/>
    </row>
    <row r="6995">
      <c r="A6995" s="431"/>
    </row>
    <row r="6996">
      <c r="A6996" s="431"/>
    </row>
    <row r="6997">
      <c r="A6997" s="431"/>
    </row>
    <row r="6998">
      <c r="A6998" s="431"/>
    </row>
    <row r="6999">
      <c r="A6999" s="431"/>
    </row>
    <row r="7000">
      <c r="A7000" s="431"/>
    </row>
    <row r="7001">
      <c r="A7001" s="431"/>
    </row>
    <row r="7002">
      <c r="A7002" s="431"/>
    </row>
    <row r="7003">
      <c r="A7003" s="431"/>
    </row>
    <row r="7004">
      <c r="A7004" s="431"/>
    </row>
    <row r="7005">
      <c r="A7005" s="431"/>
    </row>
    <row r="7006">
      <c r="A7006" s="431"/>
    </row>
    <row r="7007">
      <c r="A7007" s="431"/>
    </row>
    <row r="7008">
      <c r="A7008" s="431"/>
    </row>
    <row r="7009">
      <c r="A7009" s="431"/>
    </row>
    <row r="7010">
      <c r="A7010" s="431"/>
    </row>
    <row r="7011">
      <c r="A7011" s="431"/>
    </row>
    <row r="7012">
      <c r="A7012" s="431"/>
    </row>
    <row r="7013">
      <c r="A7013" s="431"/>
    </row>
    <row r="7014">
      <c r="A7014" s="431"/>
    </row>
    <row r="7015">
      <c r="A7015" s="431"/>
    </row>
    <row r="7016">
      <c r="A7016" s="431"/>
    </row>
    <row r="7017">
      <c r="A7017" s="431"/>
    </row>
    <row r="7018">
      <c r="A7018" s="431"/>
    </row>
    <row r="7019">
      <c r="A7019" s="431"/>
    </row>
    <row r="7020">
      <c r="A7020" s="431"/>
    </row>
    <row r="7021">
      <c r="A7021" s="431"/>
    </row>
    <row r="7022">
      <c r="A7022" s="431"/>
    </row>
    <row r="7023">
      <c r="A7023" s="431"/>
    </row>
    <row r="7024">
      <c r="A7024" s="431"/>
    </row>
    <row r="7025">
      <c r="A7025" s="431"/>
    </row>
    <row r="7026">
      <c r="A7026" s="431"/>
    </row>
    <row r="7027">
      <c r="A7027" s="431"/>
    </row>
    <row r="7028">
      <c r="A7028" s="431"/>
    </row>
    <row r="7029">
      <c r="A7029" s="431"/>
    </row>
    <row r="7030">
      <c r="A7030" s="431"/>
    </row>
    <row r="7031">
      <c r="A7031" s="431"/>
    </row>
    <row r="7032">
      <c r="A7032" s="431"/>
    </row>
    <row r="7033">
      <c r="A7033" s="431"/>
    </row>
    <row r="7034">
      <c r="A7034" s="431"/>
    </row>
    <row r="7035">
      <c r="A7035" s="431"/>
    </row>
    <row r="7036">
      <c r="A7036" s="431"/>
    </row>
    <row r="7037">
      <c r="A7037" s="431"/>
    </row>
    <row r="7038">
      <c r="A7038" s="431"/>
    </row>
    <row r="7039">
      <c r="A7039" s="431"/>
    </row>
    <row r="7040">
      <c r="A7040" s="431"/>
    </row>
    <row r="7041">
      <c r="A7041" s="431"/>
    </row>
    <row r="7042">
      <c r="A7042" s="431"/>
    </row>
    <row r="7043">
      <c r="A7043" s="431"/>
    </row>
    <row r="7044">
      <c r="A7044" s="431"/>
    </row>
    <row r="7045">
      <c r="A7045" s="431"/>
    </row>
    <row r="7046">
      <c r="A7046" s="431"/>
    </row>
    <row r="7047">
      <c r="A7047" s="431"/>
    </row>
    <row r="7048">
      <c r="A7048" s="431"/>
    </row>
    <row r="7049">
      <c r="A7049" s="431"/>
    </row>
    <row r="7050">
      <c r="A7050" s="431"/>
    </row>
    <row r="7051">
      <c r="A7051" s="431"/>
    </row>
    <row r="7052">
      <c r="A7052" s="431"/>
    </row>
    <row r="7053">
      <c r="A7053" s="431"/>
    </row>
    <row r="7054">
      <c r="A7054" s="431"/>
    </row>
    <row r="7055">
      <c r="A7055" s="431"/>
    </row>
    <row r="7056">
      <c r="A7056" s="431"/>
    </row>
    <row r="7057">
      <c r="A7057" s="431"/>
    </row>
    <row r="7058">
      <c r="A7058" s="431"/>
    </row>
    <row r="7059">
      <c r="A7059" s="431"/>
    </row>
    <row r="7060">
      <c r="A7060" s="431"/>
    </row>
    <row r="7061">
      <c r="A7061" s="431"/>
    </row>
    <row r="7062">
      <c r="A7062" s="431"/>
    </row>
    <row r="7063">
      <c r="A7063" s="431"/>
    </row>
    <row r="7064">
      <c r="A7064" s="431"/>
    </row>
    <row r="7065">
      <c r="A7065" s="431"/>
    </row>
    <row r="7066">
      <c r="A7066" s="431"/>
    </row>
    <row r="7067">
      <c r="A7067" s="431"/>
    </row>
    <row r="7068">
      <c r="A7068" s="431"/>
    </row>
    <row r="7069">
      <c r="A7069" s="431"/>
    </row>
    <row r="7070">
      <c r="A7070" s="431"/>
    </row>
    <row r="7071">
      <c r="A7071" s="431"/>
    </row>
    <row r="7072">
      <c r="A7072" s="431"/>
    </row>
    <row r="7073">
      <c r="A7073" s="431"/>
    </row>
    <row r="7074">
      <c r="A7074" s="431"/>
    </row>
    <row r="7075">
      <c r="A7075" s="431"/>
    </row>
    <row r="7076">
      <c r="A7076" s="431"/>
    </row>
    <row r="7077">
      <c r="A7077" s="431"/>
    </row>
    <row r="7078">
      <c r="A7078" s="431"/>
    </row>
    <row r="7079">
      <c r="A7079" s="431"/>
    </row>
    <row r="7080">
      <c r="A7080" s="431"/>
    </row>
    <row r="7081">
      <c r="A7081" s="431"/>
    </row>
    <row r="7082">
      <c r="A7082" s="431"/>
    </row>
    <row r="7083">
      <c r="A7083" s="431"/>
    </row>
    <row r="7084">
      <c r="A7084" s="431"/>
    </row>
    <row r="7085">
      <c r="A7085" s="431"/>
    </row>
    <row r="7086">
      <c r="A7086" s="431"/>
    </row>
    <row r="7087">
      <c r="A7087" s="431"/>
    </row>
    <row r="7088">
      <c r="A7088" s="431"/>
    </row>
    <row r="7089">
      <c r="A7089" s="431"/>
    </row>
    <row r="7090">
      <c r="A7090" s="431"/>
    </row>
    <row r="7091">
      <c r="A7091" s="431"/>
    </row>
    <row r="7092">
      <c r="A7092" s="431"/>
    </row>
    <row r="7093">
      <c r="A7093" s="431"/>
    </row>
    <row r="7094">
      <c r="A7094" s="431"/>
    </row>
    <row r="7095">
      <c r="A7095" s="431"/>
    </row>
    <row r="7096">
      <c r="A7096" s="431"/>
    </row>
    <row r="7097">
      <c r="A7097" s="431"/>
    </row>
    <row r="7098">
      <c r="A7098" s="431"/>
    </row>
    <row r="7099">
      <c r="A7099" s="431"/>
    </row>
    <row r="7100">
      <c r="A7100" s="431"/>
    </row>
    <row r="7101">
      <c r="A7101" s="431"/>
    </row>
    <row r="7102">
      <c r="A7102" s="431"/>
    </row>
    <row r="7103">
      <c r="A7103" s="431"/>
    </row>
    <row r="7104">
      <c r="A7104" s="431"/>
    </row>
    <row r="7105">
      <c r="A7105" s="431"/>
    </row>
    <row r="7106">
      <c r="A7106" s="431"/>
    </row>
    <row r="7107">
      <c r="A7107" s="431"/>
    </row>
    <row r="7108">
      <c r="A7108" s="431"/>
    </row>
    <row r="7109">
      <c r="A7109" s="431"/>
    </row>
    <row r="7110">
      <c r="A7110" s="431"/>
    </row>
    <row r="7111">
      <c r="A7111" s="431"/>
    </row>
    <row r="7112">
      <c r="A7112" s="431"/>
    </row>
    <row r="7113">
      <c r="A7113" s="431"/>
    </row>
    <row r="7114">
      <c r="A7114" s="431"/>
    </row>
    <row r="7115">
      <c r="A7115" s="431"/>
    </row>
    <row r="7116">
      <c r="A7116" s="431"/>
    </row>
    <row r="7117">
      <c r="A7117" s="431"/>
    </row>
    <row r="7118">
      <c r="A7118" s="431"/>
    </row>
    <row r="7119">
      <c r="A7119" s="431"/>
    </row>
    <row r="7120">
      <c r="A7120" s="431"/>
    </row>
    <row r="7121">
      <c r="A7121" s="431"/>
    </row>
    <row r="7122">
      <c r="A7122" s="431"/>
    </row>
    <row r="7123">
      <c r="A7123" s="431"/>
    </row>
    <row r="7124">
      <c r="A7124" s="431"/>
    </row>
    <row r="7125">
      <c r="A7125" s="431"/>
    </row>
    <row r="7126">
      <c r="A7126" s="431"/>
    </row>
    <row r="7127">
      <c r="A7127" s="431"/>
    </row>
    <row r="7128">
      <c r="A7128" s="431"/>
    </row>
    <row r="7129">
      <c r="A7129" s="431"/>
    </row>
    <row r="7130">
      <c r="A7130" s="431"/>
    </row>
    <row r="7131">
      <c r="A7131" s="431"/>
    </row>
    <row r="7132">
      <c r="A7132" s="431"/>
    </row>
    <row r="7133">
      <c r="A7133" s="431"/>
    </row>
    <row r="7134">
      <c r="A7134" s="431"/>
    </row>
    <row r="7135">
      <c r="A7135" s="431"/>
    </row>
    <row r="7136">
      <c r="A7136" s="431"/>
    </row>
    <row r="7137">
      <c r="A7137" s="431"/>
    </row>
    <row r="7138">
      <c r="A7138" s="431"/>
    </row>
    <row r="7139">
      <c r="A7139" s="431"/>
    </row>
    <row r="7140">
      <c r="A7140" s="431"/>
    </row>
    <row r="7141">
      <c r="A7141" s="431"/>
    </row>
    <row r="7142">
      <c r="A7142" s="431"/>
    </row>
    <row r="7143">
      <c r="A7143" s="431"/>
    </row>
    <row r="7144">
      <c r="A7144" s="431"/>
    </row>
    <row r="7145">
      <c r="A7145" s="431"/>
    </row>
    <row r="7146">
      <c r="A7146" s="431"/>
    </row>
    <row r="7147">
      <c r="A7147" s="431"/>
    </row>
    <row r="7148">
      <c r="A7148" s="431"/>
    </row>
    <row r="7149">
      <c r="A7149" s="431"/>
    </row>
    <row r="7150">
      <c r="A7150" s="431"/>
    </row>
    <row r="7151">
      <c r="A7151" s="431"/>
    </row>
    <row r="7152">
      <c r="A7152" s="431"/>
    </row>
    <row r="7153">
      <c r="A7153" s="431"/>
    </row>
    <row r="7154">
      <c r="A7154" s="431"/>
    </row>
    <row r="7155">
      <c r="A7155" s="431"/>
    </row>
    <row r="7156">
      <c r="A7156" s="431"/>
    </row>
    <row r="7157">
      <c r="A7157" s="431"/>
    </row>
    <row r="7158">
      <c r="A7158" s="431"/>
    </row>
    <row r="7159">
      <c r="A7159" s="431"/>
    </row>
    <row r="7160">
      <c r="A7160" s="431"/>
    </row>
    <row r="7161">
      <c r="A7161" s="431"/>
    </row>
    <row r="7162">
      <c r="A7162" s="431"/>
    </row>
    <row r="7163">
      <c r="A7163" s="431"/>
    </row>
    <row r="7164">
      <c r="A7164" s="431"/>
    </row>
    <row r="7165">
      <c r="A7165" s="431"/>
    </row>
    <row r="7166">
      <c r="A7166" s="431"/>
    </row>
    <row r="7167">
      <c r="A7167" s="431"/>
    </row>
    <row r="7168">
      <c r="A7168" s="431"/>
    </row>
    <row r="7169">
      <c r="A7169" s="431"/>
    </row>
    <row r="7170">
      <c r="A7170" s="431"/>
    </row>
    <row r="7171">
      <c r="A7171" s="431"/>
    </row>
    <row r="7172">
      <c r="A7172" s="431"/>
    </row>
    <row r="7173">
      <c r="A7173" s="431"/>
    </row>
    <row r="7174">
      <c r="A7174" s="431"/>
    </row>
    <row r="7175">
      <c r="A7175" s="431"/>
    </row>
    <row r="7176">
      <c r="A7176" s="431"/>
    </row>
    <row r="7177">
      <c r="A7177" s="431"/>
    </row>
    <row r="7178">
      <c r="A7178" s="431"/>
    </row>
    <row r="7179">
      <c r="A7179" s="431"/>
    </row>
    <row r="7180">
      <c r="A7180" s="431"/>
    </row>
    <row r="7181">
      <c r="A7181" s="431"/>
    </row>
    <row r="7182">
      <c r="A7182" s="431"/>
    </row>
    <row r="7183">
      <c r="A7183" s="431"/>
    </row>
    <row r="7184">
      <c r="A7184" s="431"/>
    </row>
    <row r="7185">
      <c r="A7185" s="431"/>
    </row>
    <row r="7186">
      <c r="A7186" s="431"/>
    </row>
    <row r="7187">
      <c r="A7187" s="431"/>
    </row>
    <row r="7188">
      <c r="A7188" s="431"/>
    </row>
    <row r="7189">
      <c r="A7189" s="431"/>
    </row>
    <row r="7190">
      <c r="A7190" s="431"/>
    </row>
    <row r="7191">
      <c r="A7191" s="431"/>
    </row>
    <row r="7192">
      <c r="A7192" s="431"/>
    </row>
    <row r="7193">
      <c r="A7193" s="431"/>
    </row>
    <row r="7194">
      <c r="A7194" s="431"/>
    </row>
    <row r="7195">
      <c r="A7195" s="431"/>
    </row>
    <row r="7196">
      <c r="A7196" s="431"/>
    </row>
    <row r="7197">
      <c r="A7197" s="431"/>
    </row>
    <row r="7198">
      <c r="A7198" s="431"/>
    </row>
    <row r="7199">
      <c r="A7199" s="431"/>
    </row>
    <row r="7200">
      <c r="A7200" s="431"/>
    </row>
    <row r="7201">
      <c r="A7201" s="431"/>
    </row>
    <row r="7202">
      <c r="A7202" s="431"/>
    </row>
    <row r="7203">
      <c r="A7203" s="431"/>
    </row>
    <row r="7204">
      <c r="A7204" s="431"/>
    </row>
    <row r="7205">
      <c r="A7205" s="431"/>
    </row>
    <row r="7206">
      <c r="A7206" s="431"/>
    </row>
    <row r="7207">
      <c r="A7207" s="431"/>
    </row>
    <row r="7208">
      <c r="A7208" s="431"/>
    </row>
    <row r="7209">
      <c r="A7209" s="431"/>
    </row>
    <row r="7210">
      <c r="A7210" s="431"/>
    </row>
    <row r="7211">
      <c r="A7211" s="431"/>
    </row>
    <row r="7212">
      <c r="A7212" s="431"/>
    </row>
    <row r="7213">
      <c r="A7213" s="431"/>
    </row>
    <row r="7214">
      <c r="A7214" s="431"/>
    </row>
    <row r="7215">
      <c r="A7215" s="431"/>
    </row>
    <row r="7216">
      <c r="A7216" s="431"/>
    </row>
    <row r="7217">
      <c r="A7217" s="431"/>
    </row>
    <row r="7218">
      <c r="A7218" s="431"/>
    </row>
    <row r="7219">
      <c r="A7219" s="431"/>
    </row>
    <row r="7220">
      <c r="A7220" s="431"/>
    </row>
    <row r="7221">
      <c r="A7221" s="431"/>
    </row>
    <row r="7222">
      <c r="A7222" s="431"/>
    </row>
    <row r="7223">
      <c r="A7223" s="431"/>
    </row>
    <row r="7224">
      <c r="A7224" s="431"/>
    </row>
    <row r="7225">
      <c r="A7225" s="431"/>
    </row>
    <row r="7226">
      <c r="A7226" s="431"/>
    </row>
    <row r="7227">
      <c r="A7227" s="431"/>
    </row>
    <row r="7228">
      <c r="A7228" s="431"/>
    </row>
    <row r="7229">
      <c r="A7229" s="431"/>
    </row>
    <row r="7230">
      <c r="A7230" s="431"/>
    </row>
    <row r="7231">
      <c r="A7231" s="431"/>
    </row>
    <row r="7232">
      <c r="A7232" s="431"/>
    </row>
    <row r="7233">
      <c r="A7233" s="431"/>
    </row>
    <row r="7234">
      <c r="A7234" s="431"/>
    </row>
    <row r="7235">
      <c r="A7235" s="431"/>
    </row>
    <row r="7236">
      <c r="A7236" s="431"/>
    </row>
    <row r="7237">
      <c r="A7237" s="431"/>
    </row>
    <row r="7238">
      <c r="A7238" s="431"/>
    </row>
    <row r="7239">
      <c r="A7239" s="431"/>
    </row>
    <row r="7240">
      <c r="A7240" s="431"/>
    </row>
    <row r="7241">
      <c r="A7241" s="431"/>
    </row>
    <row r="7242">
      <c r="A7242" s="431"/>
    </row>
    <row r="7243">
      <c r="A7243" s="431"/>
    </row>
    <row r="7244">
      <c r="A7244" s="431"/>
    </row>
    <row r="7245">
      <c r="A7245" s="431"/>
    </row>
    <row r="7246">
      <c r="A7246" s="431"/>
    </row>
    <row r="7247">
      <c r="A7247" s="431"/>
    </row>
    <row r="7248">
      <c r="A7248" s="431"/>
    </row>
    <row r="7249">
      <c r="A7249" s="431"/>
    </row>
    <row r="7250">
      <c r="A7250" s="431"/>
    </row>
    <row r="7251">
      <c r="A7251" s="431"/>
    </row>
    <row r="7252">
      <c r="A7252" s="431"/>
    </row>
    <row r="7253">
      <c r="A7253" s="431"/>
    </row>
    <row r="7254">
      <c r="A7254" s="431"/>
    </row>
    <row r="7255">
      <c r="A7255" s="431"/>
    </row>
    <row r="7256">
      <c r="A7256" s="431"/>
    </row>
    <row r="7257">
      <c r="A7257" s="431"/>
    </row>
    <row r="7258">
      <c r="A7258" s="431"/>
    </row>
    <row r="7259">
      <c r="A7259" s="431"/>
    </row>
    <row r="7260">
      <c r="A7260" s="431"/>
    </row>
    <row r="7261">
      <c r="A7261" s="431"/>
    </row>
    <row r="7262">
      <c r="A7262" s="431"/>
    </row>
    <row r="7263">
      <c r="A7263" s="431"/>
    </row>
    <row r="7264">
      <c r="A7264" s="431"/>
    </row>
    <row r="7265">
      <c r="A7265" s="431"/>
    </row>
    <row r="7266">
      <c r="A7266" s="431"/>
    </row>
    <row r="7267">
      <c r="A7267" s="431"/>
    </row>
    <row r="7268">
      <c r="A7268" s="431"/>
    </row>
    <row r="7269">
      <c r="A7269" s="431"/>
    </row>
    <row r="7270">
      <c r="A7270" s="431"/>
    </row>
    <row r="7271">
      <c r="A7271" s="431"/>
    </row>
    <row r="7272">
      <c r="A7272" s="431"/>
    </row>
    <row r="7273">
      <c r="A7273" s="431"/>
    </row>
    <row r="7274">
      <c r="A7274" s="431"/>
    </row>
    <row r="7275">
      <c r="A7275" s="431"/>
    </row>
    <row r="7276">
      <c r="A7276" s="431"/>
    </row>
    <row r="7277">
      <c r="A7277" s="431"/>
    </row>
    <row r="7278">
      <c r="A7278" s="431"/>
    </row>
    <row r="7279">
      <c r="A7279" s="431"/>
    </row>
    <row r="7280">
      <c r="A7280" s="431"/>
    </row>
    <row r="7281">
      <c r="A7281" s="431"/>
    </row>
    <row r="7282">
      <c r="A7282" s="431"/>
    </row>
    <row r="7283">
      <c r="A7283" s="431"/>
    </row>
    <row r="7284">
      <c r="A7284" s="431"/>
    </row>
    <row r="7285">
      <c r="A7285" s="431"/>
    </row>
    <row r="7286">
      <c r="A7286" s="431"/>
    </row>
    <row r="7287">
      <c r="A7287" s="431"/>
    </row>
    <row r="7288">
      <c r="A7288" s="431"/>
    </row>
    <row r="7289">
      <c r="A7289" s="431"/>
    </row>
    <row r="7290">
      <c r="A7290" s="431"/>
    </row>
    <row r="7291">
      <c r="A7291" s="431"/>
    </row>
    <row r="7292">
      <c r="A7292" s="431"/>
    </row>
    <row r="7293">
      <c r="A7293" s="431"/>
    </row>
    <row r="7294">
      <c r="A7294" s="431"/>
    </row>
    <row r="7295">
      <c r="A7295" s="431"/>
    </row>
    <row r="7296">
      <c r="A7296" s="431"/>
    </row>
    <row r="7297">
      <c r="A7297" s="431"/>
    </row>
    <row r="7298">
      <c r="A7298" s="431"/>
    </row>
    <row r="7299">
      <c r="A7299" s="431"/>
    </row>
    <row r="7300">
      <c r="A7300" s="431"/>
    </row>
    <row r="7301">
      <c r="A7301" s="431"/>
    </row>
    <row r="7302">
      <c r="A7302" s="431"/>
    </row>
    <row r="7303">
      <c r="A7303" s="431"/>
    </row>
    <row r="7304">
      <c r="A7304" s="431"/>
    </row>
    <row r="7305">
      <c r="A7305" s="431"/>
    </row>
    <row r="7306">
      <c r="A7306" s="431"/>
    </row>
    <row r="7307">
      <c r="A7307" s="431"/>
    </row>
    <row r="7308">
      <c r="A7308" s="431"/>
    </row>
    <row r="7309">
      <c r="A7309" s="431"/>
    </row>
    <row r="7310">
      <c r="A7310" s="431"/>
    </row>
    <row r="7311">
      <c r="A7311" s="431"/>
    </row>
    <row r="7312">
      <c r="A7312" s="431"/>
    </row>
    <row r="7313">
      <c r="A7313" s="431"/>
    </row>
    <row r="7314">
      <c r="A7314" s="431"/>
    </row>
    <row r="7315">
      <c r="A7315" s="431"/>
    </row>
    <row r="7316">
      <c r="A7316" s="431"/>
    </row>
    <row r="7317">
      <c r="A7317" s="431"/>
    </row>
    <row r="7318">
      <c r="A7318" s="431"/>
    </row>
    <row r="7319">
      <c r="A7319" s="431"/>
    </row>
    <row r="7320">
      <c r="A7320" s="431"/>
    </row>
    <row r="7321">
      <c r="A7321" s="431"/>
    </row>
    <row r="7322">
      <c r="A7322" s="431"/>
    </row>
    <row r="7323">
      <c r="A7323" s="431"/>
    </row>
    <row r="7324">
      <c r="A7324" s="431"/>
    </row>
    <row r="7325">
      <c r="A7325" s="431"/>
    </row>
    <row r="7326">
      <c r="A7326" s="431"/>
    </row>
    <row r="7327">
      <c r="A7327" s="431"/>
    </row>
    <row r="7328">
      <c r="A7328" s="431"/>
    </row>
    <row r="7329">
      <c r="A7329" s="431"/>
    </row>
    <row r="7330">
      <c r="A7330" s="431"/>
    </row>
    <row r="7331">
      <c r="A7331" s="431"/>
    </row>
    <row r="7332">
      <c r="A7332" s="431"/>
    </row>
    <row r="7333">
      <c r="A7333" s="431"/>
    </row>
    <row r="7334">
      <c r="A7334" s="431"/>
    </row>
    <row r="7335">
      <c r="A7335" s="431"/>
    </row>
    <row r="7336">
      <c r="A7336" s="431"/>
    </row>
    <row r="7337">
      <c r="A7337" s="431"/>
    </row>
    <row r="7338">
      <c r="A7338" s="431"/>
    </row>
    <row r="7339">
      <c r="A7339" s="431"/>
    </row>
    <row r="7340">
      <c r="A7340" s="431"/>
    </row>
    <row r="7341">
      <c r="A7341" s="431"/>
    </row>
    <row r="7342">
      <c r="A7342" s="431"/>
    </row>
    <row r="7343">
      <c r="A7343" s="431"/>
    </row>
    <row r="7344">
      <c r="A7344" s="431"/>
    </row>
    <row r="7345">
      <c r="A7345" s="431"/>
    </row>
    <row r="7346">
      <c r="A7346" s="431"/>
    </row>
    <row r="7347">
      <c r="A7347" s="431"/>
    </row>
    <row r="7348">
      <c r="A7348" s="431"/>
    </row>
    <row r="7349">
      <c r="A7349" s="431"/>
    </row>
    <row r="7350">
      <c r="A7350" s="431"/>
    </row>
    <row r="7351">
      <c r="A7351" s="431"/>
    </row>
    <row r="7352">
      <c r="A7352" s="431"/>
    </row>
    <row r="7353">
      <c r="A7353" s="431"/>
    </row>
    <row r="7354">
      <c r="A7354" s="431"/>
    </row>
    <row r="7355">
      <c r="A7355" s="431"/>
    </row>
    <row r="7356">
      <c r="A7356" s="431"/>
    </row>
    <row r="7357">
      <c r="A7357" s="431"/>
    </row>
    <row r="7358">
      <c r="A7358" s="431"/>
    </row>
    <row r="7359">
      <c r="A7359" s="431"/>
    </row>
    <row r="7360">
      <c r="A7360" s="431"/>
    </row>
    <row r="7361">
      <c r="A7361" s="431"/>
    </row>
    <row r="7362">
      <c r="A7362" s="431"/>
    </row>
    <row r="7363">
      <c r="A7363" s="431"/>
    </row>
    <row r="7364">
      <c r="A7364" s="431"/>
    </row>
    <row r="7365">
      <c r="A7365" s="431"/>
    </row>
    <row r="7366">
      <c r="A7366" s="431"/>
    </row>
    <row r="7367">
      <c r="A7367" s="431"/>
    </row>
    <row r="7368">
      <c r="A7368" s="431"/>
    </row>
    <row r="7369">
      <c r="A7369" s="431"/>
    </row>
    <row r="7370">
      <c r="A7370" s="431"/>
    </row>
    <row r="7371">
      <c r="A7371" s="431"/>
    </row>
    <row r="7372">
      <c r="A7372" s="431"/>
    </row>
    <row r="7373">
      <c r="A7373" s="431"/>
    </row>
    <row r="7374">
      <c r="A7374" s="431"/>
    </row>
    <row r="7375">
      <c r="A7375" s="431"/>
    </row>
    <row r="7376">
      <c r="A7376" s="431"/>
    </row>
    <row r="7377">
      <c r="A7377" s="431"/>
    </row>
    <row r="7378">
      <c r="A7378" s="431"/>
    </row>
    <row r="7379">
      <c r="A7379" s="431"/>
    </row>
    <row r="7380">
      <c r="A7380" s="431"/>
    </row>
    <row r="7381">
      <c r="A7381" s="431"/>
    </row>
    <row r="7382">
      <c r="A7382" s="431"/>
    </row>
    <row r="7383">
      <c r="A7383" s="431"/>
    </row>
    <row r="7384">
      <c r="A7384" s="431"/>
    </row>
    <row r="7385">
      <c r="A7385" s="431"/>
    </row>
    <row r="7386">
      <c r="A7386" s="431"/>
    </row>
    <row r="7387">
      <c r="A7387" s="431"/>
    </row>
    <row r="7388">
      <c r="A7388" s="431"/>
    </row>
    <row r="7389">
      <c r="A7389" s="431"/>
    </row>
    <row r="7390">
      <c r="A7390" s="431"/>
    </row>
    <row r="7391">
      <c r="A7391" s="431"/>
    </row>
    <row r="7392">
      <c r="A7392" s="431"/>
    </row>
    <row r="7393">
      <c r="A7393" s="431"/>
    </row>
    <row r="7394">
      <c r="A7394" s="431"/>
    </row>
    <row r="7395">
      <c r="A7395" s="431"/>
    </row>
    <row r="7396">
      <c r="A7396" s="431"/>
    </row>
    <row r="7397">
      <c r="A7397" s="431"/>
    </row>
    <row r="7398">
      <c r="A7398" s="431"/>
    </row>
    <row r="7399">
      <c r="A7399" s="431"/>
    </row>
    <row r="7400">
      <c r="A7400" s="431"/>
    </row>
    <row r="7401">
      <c r="A7401" s="431"/>
    </row>
    <row r="7402">
      <c r="A7402" s="431"/>
    </row>
    <row r="7403">
      <c r="A7403" s="431"/>
    </row>
    <row r="7404">
      <c r="A7404" s="431"/>
    </row>
    <row r="7405">
      <c r="A7405" s="431"/>
    </row>
    <row r="7406">
      <c r="A7406" s="431"/>
    </row>
    <row r="7407">
      <c r="A7407" s="431"/>
    </row>
    <row r="7408">
      <c r="A7408" s="431"/>
    </row>
    <row r="7409">
      <c r="A7409" s="431"/>
    </row>
    <row r="7410">
      <c r="A7410" s="431"/>
    </row>
    <row r="7411">
      <c r="A7411" s="431"/>
    </row>
    <row r="7412">
      <c r="A7412" s="431"/>
    </row>
    <row r="7413">
      <c r="A7413" s="431"/>
    </row>
    <row r="7414">
      <c r="A7414" s="431"/>
    </row>
    <row r="7415">
      <c r="A7415" s="431"/>
    </row>
    <row r="7416">
      <c r="A7416" s="431"/>
    </row>
    <row r="7417">
      <c r="A7417" s="431"/>
    </row>
    <row r="7418">
      <c r="A7418" s="431"/>
    </row>
    <row r="7419">
      <c r="A7419" s="431"/>
    </row>
    <row r="7420">
      <c r="A7420" s="431"/>
    </row>
    <row r="7421">
      <c r="A7421" s="431"/>
    </row>
    <row r="7422">
      <c r="A7422" s="431"/>
    </row>
    <row r="7423">
      <c r="A7423" s="431"/>
    </row>
    <row r="7424">
      <c r="A7424" s="431"/>
    </row>
    <row r="7425">
      <c r="A7425" s="431"/>
    </row>
    <row r="7426">
      <c r="A7426" s="431"/>
    </row>
    <row r="7427">
      <c r="A7427" s="431"/>
    </row>
    <row r="7428">
      <c r="A7428" s="431"/>
    </row>
    <row r="7429">
      <c r="A7429" s="431"/>
    </row>
    <row r="7430">
      <c r="A7430" s="431"/>
    </row>
    <row r="7431">
      <c r="A7431" s="431"/>
    </row>
    <row r="7432">
      <c r="A7432" s="431"/>
    </row>
    <row r="7433">
      <c r="A7433" s="431"/>
    </row>
    <row r="7434">
      <c r="A7434" s="431"/>
    </row>
    <row r="7435">
      <c r="A7435" s="431"/>
    </row>
    <row r="7436">
      <c r="A7436" s="431"/>
    </row>
    <row r="7437">
      <c r="A7437" s="431"/>
    </row>
    <row r="7438">
      <c r="A7438" s="431"/>
    </row>
    <row r="7439">
      <c r="A7439" s="431"/>
    </row>
    <row r="7440">
      <c r="A7440" s="431"/>
    </row>
    <row r="7441">
      <c r="A7441" s="431"/>
    </row>
    <row r="7442">
      <c r="A7442" s="431"/>
    </row>
    <row r="7443">
      <c r="A7443" s="431"/>
    </row>
    <row r="7444">
      <c r="A7444" s="431"/>
    </row>
    <row r="7445">
      <c r="A7445" s="431"/>
    </row>
    <row r="7446">
      <c r="A7446" s="431"/>
    </row>
    <row r="7447">
      <c r="A7447" s="431"/>
    </row>
    <row r="7448">
      <c r="A7448" s="431"/>
    </row>
    <row r="7449">
      <c r="A7449" s="431"/>
    </row>
    <row r="7450">
      <c r="A7450" s="431"/>
    </row>
    <row r="7451">
      <c r="A7451" s="431"/>
    </row>
    <row r="7452">
      <c r="A7452" s="431"/>
    </row>
    <row r="7453">
      <c r="A7453" s="431"/>
    </row>
    <row r="7454">
      <c r="A7454" s="431"/>
    </row>
    <row r="7455">
      <c r="A7455" s="431"/>
    </row>
    <row r="7456">
      <c r="A7456" s="431"/>
    </row>
    <row r="7457">
      <c r="A7457" s="431"/>
    </row>
    <row r="7458">
      <c r="A7458" s="431"/>
    </row>
    <row r="7459">
      <c r="A7459" s="431"/>
    </row>
    <row r="7460">
      <c r="A7460" s="431"/>
    </row>
    <row r="7461">
      <c r="A7461" s="431"/>
    </row>
    <row r="7462">
      <c r="A7462" s="431"/>
    </row>
    <row r="7463">
      <c r="A7463" s="431"/>
    </row>
    <row r="7464">
      <c r="A7464" s="431"/>
    </row>
    <row r="7465">
      <c r="A7465" s="431"/>
    </row>
    <row r="7466">
      <c r="A7466" s="431"/>
    </row>
    <row r="7467">
      <c r="A7467" s="431"/>
    </row>
    <row r="7468">
      <c r="A7468" s="431"/>
    </row>
    <row r="7469">
      <c r="A7469" s="431"/>
    </row>
    <row r="7470">
      <c r="A7470" s="431"/>
    </row>
    <row r="7471">
      <c r="A7471" s="431"/>
    </row>
    <row r="7472">
      <c r="A7472" s="431"/>
    </row>
    <row r="7473">
      <c r="A7473" s="431"/>
    </row>
    <row r="7474">
      <c r="A7474" s="431"/>
    </row>
    <row r="7475">
      <c r="A7475" s="431"/>
    </row>
    <row r="7476">
      <c r="A7476" s="431"/>
    </row>
    <row r="7477">
      <c r="A7477" s="431"/>
    </row>
    <row r="7478">
      <c r="A7478" s="431"/>
    </row>
    <row r="7479">
      <c r="A7479" s="431"/>
    </row>
    <row r="7480">
      <c r="A7480" s="431"/>
    </row>
    <row r="7481">
      <c r="A7481" s="431"/>
    </row>
    <row r="7482">
      <c r="A7482" s="431"/>
    </row>
    <row r="7483">
      <c r="A7483" s="431"/>
    </row>
    <row r="7484">
      <c r="A7484" s="431"/>
    </row>
    <row r="7485">
      <c r="A7485" s="431"/>
    </row>
    <row r="7486">
      <c r="A7486" s="431"/>
    </row>
    <row r="7487">
      <c r="A7487" s="431"/>
    </row>
    <row r="7488">
      <c r="A7488" s="431"/>
    </row>
    <row r="7489">
      <c r="A7489" s="431"/>
    </row>
    <row r="7490">
      <c r="A7490" s="431"/>
    </row>
    <row r="7491">
      <c r="A7491" s="431"/>
    </row>
    <row r="7492">
      <c r="A7492" s="431"/>
    </row>
    <row r="7493">
      <c r="A7493" s="431"/>
    </row>
    <row r="7494">
      <c r="A7494" s="431"/>
    </row>
    <row r="7495">
      <c r="A7495" s="431"/>
    </row>
    <row r="7496">
      <c r="A7496" s="431"/>
    </row>
    <row r="7497">
      <c r="A7497" s="431"/>
    </row>
    <row r="7498">
      <c r="A7498" s="431"/>
    </row>
    <row r="7499">
      <c r="A7499" s="431"/>
    </row>
    <row r="7500">
      <c r="A7500" s="431"/>
    </row>
    <row r="7501">
      <c r="A7501" s="431"/>
    </row>
    <row r="7502">
      <c r="A7502" s="431"/>
    </row>
    <row r="7503">
      <c r="A7503" s="431"/>
    </row>
    <row r="7504">
      <c r="A7504" s="431"/>
    </row>
    <row r="7505">
      <c r="A7505" s="431"/>
    </row>
    <row r="7506">
      <c r="A7506" s="431"/>
    </row>
    <row r="7507">
      <c r="A7507" s="431"/>
    </row>
    <row r="7508">
      <c r="A7508" s="431"/>
    </row>
    <row r="7509">
      <c r="A7509" s="431"/>
    </row>
    <row r="7510">
      <c r="A7510" s="431"/>
    </row>
    <row r="7511">
      <c r="A7511" s="431"/>
    </row>
    <row r="7512">
      <c r="A7512" s="431"/>
    </row>
    <row r="7513">
      <c r="A7513" s="431"/>
    </row>
    <row r="7514">
      <c r="A7514" s="431"/>
    </row>
    <row r="7515">
      <c r="A7515" s="431"/>
    </row>
    <row r="7516">
      <c r="A7516" s="431"/>
    </row>
    <row r="7517">
      <c r="A7517" s="431"/>
    </row>
    <row r="7518">
      <c r="A7518" s="431"/>
    </row>
    <row r="7519">
      <c r="A7519" s="431"/>
    </row>
    <row r="7520">
      <c r="A7520" s="431"/>
    </row>
    <row r="7521">
      <c r="A7521" s="431"/>
    </row>
    <row r="7522">
      <c r="A7522" s="431"/>
    </row>
    <row r="7523">
      <c r="A7523" s="431"/>
    </row>
    <row r="7524">
      <c r="A7524" s="431"/>
    </row>
    <row r="7525">
      <c r="A7525" s="431"/>
    </row>
    <row r="7526">
      <c r="A7526" s="431"/>
    </row>
    <row r="7527">
      <c r="A7527" s="431"/>
    </row>
    <row r="7528">
      <c r="A7528" s="431"/>
    </row>
    <row r="7529">
      <c r="A7529" s="431"/>
    </row>
    <row r="7530">
      <c r="A7530" s="431"/>
    </row>
    <row r="7531">
      <c r="A7531" s="431"/>
    </row>
    <row r="7532">
      <c r="A7532" s="431"/>
    </row>
    <row r="7533">
      <c r="A7533" s="431"/>
    </row>
    <row r="7534">
      <c r="A7534" s="431"/>
    </row>
    <row r="7535">
      <c r="A7535" s="431"/>
    </row>
    <row r="7536">
      <c r="A7536" s="431"/>
    </row>
    <row r="7537">
      <c r="A7537" s="431"/>
    </row>
    <row r="7538">
      <c r="A7538" s="431"/>
    </row>
    <row r="7539">
      <c r="A7539" s="431"/>
    </row>
    <row r="7540">
      <c r="A7540" s="431"/>
    </row>
    <row r="7541">
      <c r="A7541" s="431"/>
    </row>
    <row r="7542">
      <c r="A7542" s="431"/>
    </row>
    <row r="7543">
      <c r="A7543" s="431"/>
    </row>
    <row r="7544">
      <c r="A7544" s="431"/>
    </row>
    <row r="7545">
      <c r="A7545" s="431"/>
    </row>
    <row r="7546">
      <c r="A7546" s="431"/>
    </row>
    <row r="7547">
      <c r="A7547" s="431"/>
    </row>
    <row r="7548">
      <c r="A7548" s="431"/>
    </row>
    <row r="7549">
      <c r="A7549" s="431"/>
    </row>
    <row r="7550">
      <c r="A7550" s="431"/>
    </row>
    <row r="7551">
      <c r="A7551" s="431"/>
    </row>
    <row r="7552">
      <c r="A7552" s="431"/>
    </row>
    <row r="7553">
      <c r="A7553" s="431"/>
    </row>
    <row r="7554">
      <c r="A7554" s="431"/>
    </row>
    <row r="7555">
      <c r="A7555" s="431"/>
    </row>
    <row r="7556">
      <c r="A7556" s="431"/>
    </row>
    <row r="7557">
      <c r="A7557" s="431"/>
    </row>
    <row r="7558">
      <c r="A7558" s="431"/>
    </row>
    <row r="7559">
      <c r="A7559" s="431"/>
    </row>
    <row r="7560">
      <c r="A7560" s="431"/>
    </row>
    <row r="7561">
      <c r="A7561" s="431"/>
    </row>
    <row r="7562">
      <c r="A7562" s="431"/>
    </row>
    <row r="7563">
      <c r="A7563" s="431"/>
    </row>
    <row r="7564">
      <c r="A7564" s="431"/>
    </row>
    <row r="7565">
      <c r="A7565" s="431"/>
    </row>
    <row r="7566">
      <c r="A7566" s="431"/>
    </row>
    <row r="7567">
      <c r="A7567" s="431"/>
    </row>
    <row r="7568">
      <c r="A7568" s="431"/>
    </row>
    <row r="7569">
      <c r="A7569" s="431"/>
    </row>
    <row r="7570">
      <c r="A7570" s="431"/>
    </row>
    <row r="7571">
      <c r="A7571" s="431"/>
    </row>
    <row r="7572">
      <c r="A7572" s="431"/>
    </row>
    <row r="7573">
      <c r="A7573" s="431"/>
    </row>
    <row r="7574">
      <c r="A7574" s="431"/>
    </row>
    <row r="7575">
      <c r="A7575" s="431"/>
    </row>
    <row r="7576">
      <c r="A7576" s="431"/>
    </row>
    <row r="7577">
      <c r="A7577" s="431"/>
    </row>
    <row r="7578">
      <c r="A7578" s="431"/>
    </row>
    <row r="7579">
      <c r="A7579" s="431"/>
    </row>
    <row r="7580">
      <c r="A7580" s="431"/>
    </row>
    <row r="7581">
      <c r="A7581" s="431"/>
    </row>
    <row r="7582">
      <c r="A7582" s="431"/>
    </row>
    <row r="7583">
      <c r="A7583" s="431"/>
    </row>
    <row r="7584">
      <c r="A7584" s="431"/>
    </row>
    <row r="7585">
      <c r="A7585" s="431"/>
    </row>
    <row r="7586">
      <c r="A7586" s="431"/>
    </row>
    <row r="7587">
      <c r="A7587" s="431"/>
    </row>
    <row r="7588">
      <c r="A7588" s="431"/>
    </row>
    <row r="7589">
      <c r="A7589" s="431"/>
    </row>
    <row r="7590">
      <c r="A7590" s="431"/>
    </row>
    <row r="7591">
      <c r="A7591" s="431"/>
    </row>
    <row r="7592">
      <c r="A7592" s="431"/>
    </row>
    <row r="7593">
      <c r="A7593" s="431"/>
    </row>
    <row r="7594">
      <c r="A7594" s="431"/>
    </row>
    <row r="7595">
      <c r="A7595" s="431"/>
    </row>
    <row r="7596">
      <c r="A7596" s="431"/>
    </row>
    <row r="7597">
      <c r="A7597" s="431"/>
    </row>
    <row r="7598">
      <c r="A7598" s="431"/>
    </row>
    <row r="7599">
      <c r="A7599" s="431"/>
    </row>
    <row r="7600">
      <c r="A7600" s="431"/>
    </row>
    <row r="7601">
      <c r="A7601" s="431"/>
    </row>
    <row r="7602">
      <c r="A7602" s="431"/>
    </row>
    <row r="7603">
      <c r="A7603" s="431"/>
    </row>
    <row r="7604">
      <c r="A7604" s="431"/>
    </row>
    <row r="7605">
      <c r="A7605" s="431"/>
    </row>
    <row r="7606">
      <c r="A7606" s="431"/>
    </row>
    <row r="7607">
      <c r="A7607" s="431"/>
    </row>
    <row r="7608">
      <c r="A7608" s="431"/>
    </row>
    <row r="7609">
      <c r="A7609" s="431"/>
    </row>
    <row r="7610">
      <c r="A7610" s="431"/>
    </row>
    <row r="7611">
      <c r="A7611" s="431"/>
    </row>
    <row r="7612">
      <c r="A7612" s="431"/>
    </row>
    <row r="7613">
      <c r="A7613" s="431"/>
    </row>
    <row r="7614">
      <c r="A7614" s="431"/>
    </row>
    <row r="7615">
      <c r="A7615" s="431"/>
    </row>
    <row r="7616">
      <c r="A7616" s="431"/>
    </row>
    <row r="7617">
      <c r="A7617" s="431"/>
    </row>
    <row r="7618">
      <c r="A7618" s="431"/>
    </row>
    <row r="7619">
      <c r="A7619" s="431"/>
    </row>
    <row r="7620">
      <c r="A7620" s="431"/>
    </row>
    <row r="7621">
      <c r="A7621" s="431"/>
    </row>
    <row r="7622">
      <c r="A7622" s="431"/>
    </row>
    <row r="7623">
      <c r="A7623" s="431"/>
    </row>
    <row r="7624">
      <c r="A7624" s="431"/>
    </row>
    <row r="7625">
      <c r="A7625" s="431"/>
    </row>
    <row r="7626">
      <c r="A7626" s="431"/>
    </row>
    <row r="7627">
      <c r="A7627" s="431"/>
    </row>
    <row r="7628">
      <c r="A7628" s="431"/>
    </row>
    <row r="7629">
      <c r="A7629" s="431"/>
    </row>
    <row r="7630">
      <c r="A7630" s="431"/>
    </row>
    <row r="7631">
      <c r="A7631" s="431"/>
    </row>
    <row r="7632">
      <c r="A7632" s="431"/>
    </row>
    <row r="7633">
      <c r="A7633" s="431"/>
    </row>
    <row r="7634">
      <c r="A7634" s="431"/>
    </row>
    <row r="7635">
      <c r="A7635" s="431"/>
    </row>
    <row r="7636">
      <c r="A7636" s="431"/>
    </row>
    <row r="7637">
      <c r="A7637" s="431"/>
    </row>
    <row r="7638">
      <c r="A7638" s="431"/>
    </row>
    <row r="7639">
      <c r="A7639" s="431"/>
    </row>
    <row r="7640">
      <c r="A7640" s="431"/>
    </row>
    <row r="7641">
      <c r="A7641" s="431"/>
    </row>
    <row r="7642">
      <c r="A7642" s="431"/>
    </row>
    <row r="7643">
      <c r="A7643" s="431"/>
    </row>
    <row r="7644">
      <c r="A7644" s="431"/>
    </row>
    <row r="7645">
      <c r="A7645" s="431"/>
    </row>
    <row r="7646">
      <c r="A7646" s="431"/>
    </row>
    <row r="7647">
      <c r="A7647" s="431"/>
    </row>
    <row r="7648">
      <c r="A7648" s="431"/>
    </row>
    <row r="7649">
      <c r="A7649" s="431"/>
    </row>
    <row r="7650">
      <c r="A7650" s="431"/>
    </row>
    <row r="7651">
      <c r="A7651" s="431"/>
    </row>
    <row r="7652">
      <c r="A7652" s="431"/>
    </row>
    <row r="7653">
      <c r="A7653" s="431"/>
    </row>
    <row r="7654">
      <c r="A7654" s="431"/>
    </row>
    <row r="7655">
      <c r="A7655" s="431"/>
    </row>
    <row r="7656">
      <c r="A7656" s="431"/>
    </row>
    <row r="7657">
      <c r="A7657" s="431"/>
    </row>
    <row r="7658">
      <c r="A7658" s="431"/>
    </row>
    <row r="7659">
      <c r="A7659" s="431"/>
    </row>
    <row r="7660">
      <c r="A7660" s="431"/>
    </row>
    <row r="7661">
      <c r="A7661" s="431"/>
    </row>
    <row r="7662">
      <c r="A7662" s="431"/>
    </row>
    <row r="7663">
      <c r="A7663" s="431"/>
    </row>
    <row r="7664">
      <c r="A7664" s="431"/>
    </row>
    <row r="7665">
      <c r="A7665" s="431"/>
    </row>
    <row r="7666">
      <c r="A7666" s="431"/>
    </row>
    <row r="7667">
      <c r="A7667" s="431"/>
    </row>
    <row r="7668">
      <c r="A7668" s="431"/>
    </row>
    <row r="7669">
      <c r="A7669" s="431"/>
    </row>
    <row r="7670">
      <c r="A7670" s="431"/>
    </row>
    <row r="7671">
      <c r="A7671" s="431"/>
    </row>
    <row r="7672">
      <c r="A7672" s="431"/>
    </row>
    <row r="7673">
      <c r="A7673" s="431"/>
    </row>
    <row r="7674">
      <c r="A7674" s="431"/>
    </row>
    <row r="7675">
      <c r="A7675" s="431"/>
    </row>
    <row r="7676">
      <c r="A7676" s="431"/>
    </row>
    <row r="7677">
      <c r="A7677" s="431"/>
    </row>
    <row r="7678">
      <c r="A7678" s="431"/>
    </row>
    <row r="7679">
      <c r="A7679" s="431"/>
    </row>
    <row r="7680">
      <c r="A7680" s="431"/>
    </row>
    <row r="7681">
      <c r="A7681" s="431"/>
    </row>
    <row r="7682">
      <c r="A7682" s="431"/>
    </row>
    <row r="7683">
      <c r="A7683" s="431"/>
    </row>
    <row r="7684">
      <c r="A7684" s="431"/>
    </row>
    <row r="7685">
      <c r="A7685" s="431"/>
    </row>
    <row r="7686">
      <c r="A7686" s="431"/>
    </row>
    <row r="7687">
      <c r="A7687" s="431"/>
    </row>
    <row r="7688">
      <c r="A7688" s="431"/>
    </row>
    <row r="7689">
      <c r="A7689" s="431"/>
    </row>
    <row r="7690">
      <c r="A7690" s="431"/>
    </row>
    <row r="7691">
      <c r="A7691" s="431"/>
    </row>
    <row r="7692">
      <c r="A7692" s="431"/>
    </row>
    <row r="7693">
      <c r="A7693" s="431"/>
    </row>
    <row r="7694">
      <c r="A7694" s="431"/>
    </row>
    <row r="7695">
      <c r="A7695" s="431"/>
    </row>
    <row r="7696">
      <c r="A7696" s="431"/>
    </row>
    <row r="7697">
      <c r="A7697" s="431"/>
    </row>
    <row r="7698">
      <c r="A7698" s="431"/>
    </row>
    <row r="7699">
      <c r="A7699" s="431"/>
    </row>
    <row r="7700">
      <c r="A7700" s="431"/>
    </row>
    <row r="7701">
      <c r="A7701" s="431"/>
    </row>
    <row r="7702">
      <c r="A7702" s="431"/>
    </row>
    <row r="7703">
      <c r="A7703" s="431"/>
    </row>
    <row r="7704">
      <c r="A7704" s="431"/>
    </row>
    <row r="7705">
      <c r="A7705" s="431"/>
    </row>
    <row r="7706">
      <c r="A7706" s="431"/>
    </row>
    <row r="7707">
      <c r="A7707" s="431"/>
    </row>
    <row r="7708">
      <c r="A7708" s="431"/>
    </row>
    <row r="7709">
      <c r="A7709" s="431"/>
    </row>
    <row r="7710">
      <c r="A7710" s="431"/>
    </row>
    <row r="7711">
      <c r="A7711" s="431"/>
    </row>
    <row r="7712">
      <c r="A7712" s="431"/>
    </row>
    <row r="7713">
      <c r="A7713" s="431"/>
    </row>
    <row r="7714">
      <c r="A7714" s="431"/>
    </row>
    <row r="7715">
      <c r="A7715" s="431"/>
    </row>
    <row r="7716">
      <c r="A7716" s="431"/>
    </row>
    <row r="7717">
      <c r="A7717" s="431"/>
    </row>
    <row r="7718">
      <c r="A7718" s="431"/>
    </row>
    <row r="7719">
      <c r="A7719" s="431"/>
    </row>
    <row r="7720">
      <c r="A7720" s="431"/>
    </row>
    <row r="7721">
      <c r="A7721" s="431"/>
    </row>
    <row r="7722">
      <c r="A7722" s="431"/>
    </row>
    <row r="7723">
      <c r="A7723" s="431"/>
    </row>
    <row r="7724">
      <c r="A7724" s="431"/>
    </row>
    <row r="7725">
      <c r="A7725" s="431"/>
    </row>
    <row r="7726">
      <c r="A7726" s="431"/>
    </row>
    <row r="7727">
      <c r="A7727" s="431"/>
    </row>
    <row r="7728">
      <c r="A7728" s="431"/>
    </row>
    <row r="7729">
      <c r="A7729" s="431"/>
    </row>
    <row r="7730">
      <c r="A7730" s="431"/>
    </row>
    <row r="7731">
      <c r="A7731" s="431"/>
    </row>
    <row r="7732">
      <c r="A7732" s="431"/>
    </row>
    <row r="7733">
      <c r="A7733" s="431"/>
    </row>
    <row r="7734">
      <c r="A7734" s="431"/>
    </row>
    <row r="7735">
      <c r="A7735" s="431"/>
    </row>
    <row r="7736">
      <c r="A7736" s="431"/>
    </row>
    <row r="7737">
      <c r="A7737" s="431"/>
    </row>
    <row r="7738">
      <c r="A7738" s="431"/>
    </row>
    <row r="7739">
      <c r="A7739" s="431"/>
    </row>
    <row r="7740">
      <c r="A7740" s="431"/>
    </row>
    <row r="7741">
      <c r="A7741" s="431"/>
    </row>
    <row r="7742">
      <c r="A7742" s="431"/>
    </row>
    <row r="7743">
      <c r="A7743" s="431"/>
    </row>
    <row r="7744">
      <c r="A7744" s="431"/>
    </row>
    <row r="7745">
      <c r="A7745" s="431"/>
    </row>
    <row r="7746">
      <c r="A7746" s="431"/>
    </row>
    <row r="7747">
      <c r="A7747" s="431"/>
    </row>
    <row r="7748">
      <c r="A7748" s="431"/>
    </row>
    <row r="7749">
      <c r="A7749" s="431"/>
    </row>
    <row r="7750">
      <c r="A7750" s="431"/>
    </row>
    <row r="7751">
      <c r="A7751" s="431"/>
    </row>
    <row r="7752">
      <c r="A7752" s="431"/>
    </row>
    <row r="7753">
      <c r="A7753" s="431"/>
    </row>
    <row r="7754">
      <c r="A7754" s="431"/>
    </row>
    <row r="7755">
      <c r="A7755" s="431"/>
    </row>
    <row r="7756">
      <c r="A7756" s="431"/>
    </row>
    <row r="7757">
      <c r="A7757" s="431"/>
    </row>
    <row r="7758">
      <c r="A7758" s="431"/>
    </row>
    <row r="7759">
      <c r="A7759" s="431"/>
    </row>
    <row r="7760">
      <c r="A7760" s="431"/>
    </row>
    <row r="7761">
      <c r="A7761" s="431"/>
    </row>
    <row r="7762">
      <c r="A7762" s="431"/>
    </row>
    <row r="7763">
      <c r="A7763" s="431"/>
    </row>
    <row r="7764">
      <c r="A7764" s="431"/>
    </row>
    <row r="7765">
      <c r="A7765" s="431"/>
    </row>
    <row r="7766">
      <c r="A7766" s="431"/>
    </row>
    <row r="7767">
      <c r="A7767" s="431"/>
    </row>
    <row r="7768">
      <c r="A7768" s="431"/>
    </row>
    <row r="7769">
      <c r="A7769" s="431"/>
    </row>
    <row r="7770">
      <c r="A7770" s="431"/>
    </row>
    <row r="7771">
      <c r="A7771" s="431"/>
    </row>
    <row r="7772">
      <c r="A7772" s="431"/>
    </row>
    <row r="7773">
      <c r="A7773" s="431"/>
    </row>
    <row r="7774">
      <c r="A7774" s="431"/>
    </row>
    <row r="7775">
      <c r="A7775" s="431"/>
    </row>
    <row r="7776">
      <c r="A7776" s="431"/>
    </row>
    <row r="7777">
      <c r="A7777" s="431"/>
    </row>
    <row r="7778">
      <c r="A7778" s="431"/>
    </row>
    <row r="7779">
      <c r="A7779" s="431"/>
    </row>
    <row r="7780">
      <c r="A7780" s="431"/>
    </row>
    <row r="7781">
      <c r="A7781" s="431"/>
    </row>
    <row r="7782">
      <c r="A7782" s="431"/>
    </row>
    <row r="7783">
      <c r="A7783" s="431"/>
    </row>
    <row r="7784">
      <c r="A7784" s="431"/>
    </row>
    <row r="7785">
      <c r="A7785" s="431"/>
    </row>
    <row r="7786">
      <c r="A7786" s="431"/>
    </row>
    <row r="7787">
      <c r="A7787" s="431"/>
    </row>
    <row r="7788">
      <c r="A7788" s="431"/>
    </row>
    <row r="7789">
      <c r="A7789" s="431"/>
    </row>
    <row r="7790">
      <c r="A7790" s="431"/>
    </row>
    <row r="7791">
      <c r="A7791" s="431"/>
    </row>
    <row r="7792">
      <c r="A7792" s="431"/>
    </row>
    <row r="7793">
      <c r="A7793" s="431"/>
    </row>
    <row r="7794">
      <c r="A7794" s="431"/>
    </row>
    <row r="7795">
      <c r="A7795" s="431"/>
    </row>
    <row r="7796">
      <c r="A7796" s="431"/>
    </row>
    <row r="7797">
      <c r="A7797" s="431"/>
    </row>
    <row r="7798">
      <c r="A7798" s="431"/>
    </row>
    <row r="7799">
      <c r="A7799" s="431"/>
    </row>
    <row r="7800">
      <c r="A7800" s="431"/>
    </row>
    <row r="7801">
      <c r="A7801" s="431"/>
    </row>
    <row r="7802">
      <c r="A7802" s="431"/>
    </row>
    <row r="7803">
      <c r="A7803" s="431"/>
    </row>
    <row r="7804">
      <c r="A7804" s="431"/>
    </row>
    <row r="7805">
      <c r="A7805" s="431"/>
    </row>
    <row r="7806">
      <c r="A7806" s="431"/>
    </row>
    <row r="7807">
      <c r="A7807" s="431"/>
    </row>
    <row r="7808">
      <c r="A7808" s="431"/>
    </row>
    <row r="7809">
      <c r="A7809" s="431"/>
    </row>
    <row r="7810">
      <c r="A7810" s="431"/>
    </row>
    <row r="7811">
      <c r="A7811" s="431"/>
    </row>
    <row r="7812">
      <c r="A7812" s="431"/>
    </row>
    <row r="7813">
      <c r="A7813" s="431"/>
    </row>
    <row r="7814">
      <c r="A7814" s="431"/>
    </row>
    <row r="7815">
      <c r="A7815" s="431"/>
    </row>
    <row r="7816">
      <c r="A7816" s="431"/>
    </row>
    <row r="7817">
      <c r="A7817" s="431"/>
    </row>
    <row r="7818">
      <c r="A7818" s="431"/>
    </row>
    <row r="7819">
      <c r="A7819" s="431"/>
    </row>
    <row r="7820">
      <c r="A7820" s="431"/>
    </row>
    <row r="7821">
      <c r="A7821" s="431"/>
    </row>
    <row r="7822">
      <c r="A7822" s="431"/>
    </row>
    <row r="7823">
      <c r="A7823" s="431"/>
    </row>
    <row r="7824">
      <c r="A7824" s="431"/>
    </row>
    <row r="7825">
      <c r="A7825" s="431"/>
    </row>
    <row r="7826">
      <c r="A7826" s="431"/>
    </row>
    <row r="7827">
      <c r="A7827" s="431"/>
    </row>
    <row r="7828">
      <c r="A7828" s="431"/>
    </row>
    <row r="7829">
      <c r="A7829" s="431"/>
    </row>
    <row r="7830">
      <c r="A7830" s="431"/>
    </row>
    <row r="7831">
      <c r="A7831" s="431"/>
    </row>
    <row r="7832">
      <c r="A7832" s="431"/>
    </row>
    <row r="7833">
      <c r="A7833" s="431"/>
    </row>
    <row r="7834">
      <c r="A7834" s="431"/>
    </row>
    <row r="7835">
      <c r="A7835" s="431"/>
    </row>
    <row r="7836">
      <c r="A7836" s="431"/>
    </row>
    <row r="7837">
      <c r="A7837" s="431"/>
    </row>
    <row r="7838">
      <c r="A7838" s="431"/>
    </row>
    <row r="7839">
      <c r="A7839" s="431"/>
    </row>
    <row r="7840">
      <c r="A7840" s="431"/>
    </row>
    <row r="7841">
      <c r="A7841" s="431"/>
    </row>
    <row r="7842">
      <c r="A7842" s="431"/>
    </row>
    <row r="7843">
      <c r="A7843" s="431"/>
    </row>
    <row r="7844">
      <c r="A7844" s="431"/>
    </row>
    <row r="7845">
      <c r="A7845" s="431"/>
    </row>
    <row r="7846">
      <c r="A7846" s="431"/>
    </row>
    <row r="7847">
      <c r="A7847" s="431"/>
    </row>
    <row r="7848">
      <c r="A7848" s="431"/>
    </row>
    <row r="7849">
      <c r="A7849" s="431"/>
    </row>
    <row r="7850">
      <c r="A7850" s="431"/>
    </row>
    <row r="7851">
      <c r="A7851" s="431"/>
    </row>
    <row r="7852">
      <c r="A7852" s="431"/>
    </row>
    <row r="7853">
      <c r="A7853" s="431"/>
    </row>
    <row r="7854">
      <c r="A7854" s="431"/>
    </row>
    <row r="7855">
      <c r="A7855" s="431"/>
    </row>
    <row r="7856">
      <c r="A7856" s="431"/>
    </row>
    <row r="7857">
      <c r="A7857" s="431"/>
    </row>
    <row r="7858">
      <c r="A7858" s="431"/>
    </row>
    <row r="7859">
      <c r="A7859" s="431"/>
    </row>
    <row r="7860">
      <c r="A7860" s="431"/>
    </row>
    <row r="7861">
      <c r="A7861" s="431"/>
    </row>
    <row r="7862">
      <c r="A7862" s="431"/>
    </row>
    <row r="7863">
      <c r="A7863" s="431"/>
    </row>
    <row r="7864">
      <c r="A7864" s="431"/>
    </row>
    <row r="7865">
      <c r="A7865" s="431"/>
    </row>
    <row r="7866">
      <c r="A7866" s="431"/>
    </row>
    <row r="7867">
      <c r="A7867" s="431"/>
    </row>
    <row r="7868">
      <c r="A7868" s="431"/>
    </row>
    <row r="7869">
      <c r="A7869" s="431"/>
    </row>
    <row r="7870">
      <c r="A7870" s="431"/>
    </row>
    <row r="7871">
      <c r="A7871" s="431"/>
    </row>
    <row r="7872">
      <c r="A7872" s="431"/>
    </row>
    <row r="7873">
      <c r="A7873" s="431"/>
    </row>
    <row r="7874">
      <c r="A7874" s="431"/>
    </row>
    <row r="7875">
      <c r="A7875" s="431"/>
    </row>
    <row r="7876">
      <c r="A7876" s="431"/>
    </row>
    <row r="7877">
      <c r="A7877" s="431"/>
    </row>
    <row r="7878">
      <c r="A7878" s="431"/>
    </row>
    <row r="7879">
      <c r="A7879" s="431"/>
    </row>
    <row r="7880">
      <c r="A7880" s="431"/>
    </row>
    <row r="7881">
      <c r="A7881" s="431"/>
    </row>
    <row r="7882">
      <c r="A7882" s="431"/>
    </row>
    <row r="7883">
      <c r="A7883" s="431"/>
    </row>
    <row r="7884">
      <c r="A7884" s="431"/>
    </row>
    <row r="7885">
      <c r="A7885" s="431"/>
    </row>
    <row r="7886">
      <c r="A7886" s="431"/>
    </row>
    <row r="7887">
      <c r="A7887" s="431"/>
    </row>
    <row r="7888">
      <c r="A7888" s="431"/>
    </row>
    <row r="7889">
      <c r="A7889" s="431"/>
    </row>
    <row r="7890">
      <c r="A7890" s="431"/>
    </row>
    <row r="7891">
      <c r="A7891" s="431"/>
    </row>
    <row r="7892">
      <c r="A7892" s="431"/>
    </row>
    <row r="7893">
      <c r="A7893" s="431"/>
    </row>
    <row r="7894">
      <c r="A7894" s="431"/>
    </row>
    <row r="7895">
      <c r="A7895" s="431"/>
    </row>
    <row r="7896">
      <c r="A7896" s="431"/>
    </row>
    <row r="7897">
      <c r="A7897" s="431"/>
    </row>
    <row r="7898">
      <c r="A7898" s="431"/>
    </row>
    <row r="7899">
      <c r="A7899" s="431"/>
    </row>
    <row r="7900">
      <c r="A7900" s="431"/>
    </row>
    <row r="7901">
      <c r="A7901" s="431"/>
    </row>
    <row r="7902">
      <c r="A7902" s="431"/>
    </row>
    <row r="7903">
      <c r="A7903" s="431"/>
    </row>
    <row r="7904">
      <c r="A7904" s="431"/>
    </row>
    <row r="7905">
      <c r="A7905" s="431"/>
    </row>
    <row r="7906">
      <c r="A7906" s="431"/>
    </row>
    <row r="7907">
      <c r="A7907" s="431"/>
    </row>
    <row r="7908">
      <c r="A7908" s="431"/>
    </row>
    <row r="7909">
      <c r="A7909" s="431"/>
    </row>
    <row r="7910">
      <c r="A7910" s="431"/>
    </row>
    <row r="7911">
      <c r="A7911" s="431"/>
    </row>
    <row r="7912">
      <c r="A7912" s="431"/>
    </row>
    <row r="7913">
      <c r="A7913" s="431"/>
    </row>
    <row r="7914">
      <c r="A7914" s="431"/>
    </row>
    <row r="7915">
      <c r="A7915" s="431"/>
    </row>
    <row r="7916">
      <c r="A7916" s="431"/>
    </row>
    <row r="7917">
      <c r="A7917" s="431"/>
    </row>
    <row r="7918">
      <c r="A7918" s="431"/>
    </row>
    <row r="7919">
      <c r="A7919" s="431"/>
    </row>
    <row r="7920">
      <c r="A7920" s="431"/>
    </row>
    <row r="7921">
      <c r="A7921" s="431"/>
    </row>
    <row r="7922">
      <c r="A7922" s="431"/>
    </row>
    <row r="7923">
      <c r="A7923" s="431"/>
    </row>
    <row r="7924">
      <c r="A7924" s="431"/>
    </row>
    <row r="7925">
      <c r="A7925" s="431"/>
    </row>
    <row r="7926">
      <c r="A7926" s="431"/>
    </row>
    <row r="7927">
      <c r="A7927" s="431"/>
    </row>
    <row r="7928">
      <c r="A7928" s="431"/>
    </row>
    <row r="7929">
      <c r="A7929" s="431"/>
    </row>
    <row r="7930">
      <c r="A7930" s="431"/>
    </row>
    <row r="7931">
      <c r="A7931" s="431"/>
    </row>
    <row r="7932">
      <c r="A7932" s="431"/>
    </row>
    <row r="7933">
      <c r="A7933" s="431"/>
    </row>
    <row r="7934">
      <c r="A7934" s="431"/>
    </row>
    <row r="7935">
      <c r="A7935" s="431"/>
    </row>
    <row r="7936">
      <c r="A7936" s="431"/>
    </row>
    <row r="7937">
      <c r="A7937" s="431"/>
    </row>
    <row r="7938">
      <c r="A7938" s="431"/>
    </row>
    <row r="7939">
      <c r="A7939" s="431"/>
    </row>
    <row r="7940">
      <c r="A7940" s="431"/>
    </row>
    <row r="7941">
      <c r="A7941" s="431"/>
    </row>
    <row r="7942">
      <c r="A7942" s="431"/>
    </row>
    <row r="7943">
      <c r="A7943" s="431"/>
    </row>
    <row r="7944">
      <c r="A7944" s="431"/>
    </row>
    <row r="7945">
      <c r="A7945" s="431"/>
    </row>
    <row r="7946">
      <c r="A7946" s="431"/>
    </row>
    <row r="7947">
      <c r="A7947" s="431"/>
    </row>
    <row r="7948">
      <c r="A7948" s="431"/>
    </row>
    <row r="7949">
      <c r="A7949" s="431"/>
    </row>
    <row r="7950">
      <c r="A7950" s="431"/>
    </row>
    <row r="7951">
      <c r="A7951" s="431"/>
    </row>
    <row r="7952">
      <c r="A7952" s="431"/>
    </row>
    <row r="7953">
      <c r="A7953" s="431"/>
    </row>
    <row r="7954">
      <c r="A7954" s="431"/>
    </row>
    <row r="7955">
      <c r="A7955" s="431"/>
    </row>
    <row r="7956">
      <c r="A7956" s="431"/>
    </row>
    <row r="7957">
      <c r="A7957" s="431"/>
    </row>
    <row r="7958">
      <c r="A7958" s="431"/>
    </row>
    <row r="7959">
      <c r="A7959" s="431"/>
    </row>
    <row r="7960">
      <c r="A7960" s="431"/>
    </row>
    <row r="7961">
      <c r="A7961" s="431"/>
    </row>
    <row r="7962">
      <c r="A7962" s="431"/>
    </row>
    <row r="7963">
      <c r="A7963" s="431"/>
    </row>
    <row r="7964">
      <c r="A7964" s="431"/>
    </row>
    <row r="7965">
      <c r="A7965" s="431"/>
    </row>
    <row r="7966">
      <c r="A7966" s="431"/>
    </row>
    <row r="7967">
      <c r="A7967" s="431"/>
    </row>
    <row r="7968">
      <c r="A7968" s="431"/>
    </row>
    <row r="7969">
      <c r="A7969" s="431"/>
    </row>
    <row r="7970">
      <c r="A7970" s="431"/>
    </row>
    <row r="7971">
      <c r="A7971" s="431"/>
    </row>
    <row r="7972">
      <c r="A7972" s="431"/>
    </row>
    <row r="7973">
      <c r="A7973" s="431"/>
    </row>
    <row r="7974">
      <c r="A7974" s="431"/>
    </row>
    <row r="7975">
      <c r="A7975" s="431"/>
    </row>
    <row r="7976">
      <c r="A7976" s="431"/>
    </row>
    <row r="7977">
      <c r="A7977" s="431"/>
    </row>
    <row r="7978">
      <c r="A7978" s="431"/>
    </row>
    <row r="7979">
      <c r="A7979" s="431"/>
    </row>
    <row r="7980">
      <c r="A7980" s="431"/>
    </row>
    <row r="7981">
      <c r="A7981" s="431"/>
    </row>
    <row r="7982">
      <c r="A7982" s="431"/>
    </row>
    <row r="7983">
      <c r="A7983" s="431"/>
    </row>
    <row r="7984">
      <c r="A7984" s="431"/>
    </row>
    <row r="7985">
      <c r="A7985" s="431"/>
    </row>
    <row r="7986">
      <c r="A7986" s="431"/>
    </row>
    <row r="7987">
      <c r="A7987" s="431"/>
    </row>
    <row r="7988">
      <c r="A7988" s="431"/>
    </row>
    <row r="7989">
      <c r="A7989" s="431"/>
    </row>
    <row r="7990">
      <c r="A7990" s="431"/>
    </row>
    <row r="7991">
      <c r="A7991" s="431"/>
    </row>
    <row r="7992">
      <c r="A7992" s="431"/>
    </row>
    <row r="7993">
      <c r="A7993" s="431"/>
    </row>
    <row r="7994">
      <c r="A7994" s="431"/>
    </row>
    <row r="7995">
      <c r="A7995" s="431"/>
    </row>
    <row r="7996">
      <c r="A7996" s="431"/>
    </row>
    <row r="7997">
      <c r="A7997" s="431"/>
    </row>
    <row r="7998">
      <c r="A7998" s="431"/>
    </row>
    <row r="7999">
      <c r="A7999" s="431"/>
    </row>
    <row r="8000">
      <c r="A8000" s="431"/>
    </row>
    <row r="8001">
      <c r="A8001" s="431"/>
    </row>
    <row r="8002">
      <c r="A8002" s="431"/>
    </row>
    <row r="8003">
      <c r="A8003" s="431"/>
    </row>
    <row r="8004">
      <c r="A8004" s="431"/>
    </row>
    <row r="8005">
      <c r="A8005" s="431"/>
    </row>
    <row r="8006">
      <c r="A8006" s="431"/>
    </row>
    <row r="8007">
      <c r="A8007" s="431"/>
    </row>
    <row r="8008">
      <c r="A8008" s="431"/>
    </row>
    <row r="8009">
      <c r="A8009" s="431"/>
    </row>
    <row r="8010">
      <c r="A8010" s="431"/>
    </row>
    <row r="8011">
      <c r="A8011" s="431"/>
    </row>
    <row r="8012">
      <c r="A8012" s="431"/>
    </row>
    <row r="8013">
      <c r="A8013" s="431"/>
    </row>
    <row r="8014">
      <c r="A8014" s="431"/>
    </row>
    <row r="8015">
      <c r="A8015" s="431"/>
    </row>
    <row r="8016">
      <c r="A8016" s="431"/>
    </row>
    <row r="8017">
      <c r="A8017" s="431"/>
    </row>
    <row r="8018">
      <c r="A8018" s="431"/>
    </row>
    <row r="8019">
      <c r="A8019" s="431"/>
    </row>
    <row r="8020">
      <c r="A8020" s="431"/>
    </row>
    <row r="8021">
      <c r="A8021" s="431"/>
    </row>
    <row r="8022">
      <c r="A8022" s="431"/>
    </row>
    <row r="8023">
      <c r="A8023" s="431"/>
    </row>
    <row r="8024">
      <c r="A8024" s="431"/>
    </row>
    <row r="8025">
      <c r="A8025" s="431"/>
    </row>
    <row r="8026">
      <c r="A8026" s="431"/>
    </row>
    <row r="8027">
      <c r="A8027" s="431"/>
    </row>
    <row r="8028">
      <c r="A8028" s="431"/>
    </row>
    <row r="8029">
      <c r="A8029" s="431"/>
    </row>
    <row r="8030">
      <c r="A8030" s="431"/>
    </row>
    <row r="8031">
      <c r="A8031" s="431"/>
    </row>
    <row r="8032">
      <c r="A8032" s="431"/>
    </row>
    <row r="8033">
      <c r="A8033" s="431"/>
    </row>
    <row r="8034">
      <c r="A8034" s="431"/>
    </row>
    <row r="8035">
      <c r="A8035" s="431"/>
    </row>
    <row r="8036">
      <c r="A8036" s="431"/>
    </row>
    <row r="8037">
      <c r="A8037" s="431"/>
    </row>
    <row r="8038">
      <c r="A8038" s="431"/>
    </row>
    <row r="8039">
      <c r="A8039" s="431"/>
    </row>
    <row r="8040">
      <c r="A8040" s="431"/>
    </row>
    <row r="8041">
      <c r="A8041" s="431"/>
    </row>
    <row r="8042">
      <c r="A8042" s="431"/>
    </row>
    <row r="8043">
      <c r="A8043" s="431"/>
    </row>
    <row r="8044">
      <c r="A8044" s="431"/>
    </row>
    <row r="8045">
      <c r="A8045" s="431"/>
    </row>
    <row r="8046">
      <c r="A8046" s="431"/>
    </row>
    <row r="8047">
      <c r="A8047" s="431"/>
    </row>
    <row r="8048">
      <c r="A8048" s="431"/>
    </row>
    <row r="8049">
      <c r="A8049" s="431"/>
    </row>
    <row r="8050">
      <c r="A8050" s="431"/>
    </row>
    <row r="8051">
      <c r="A8051" s="431"/>
    </row>
    <row r="8052">
      <c r="A8052" s="431"/>
    </row>
    <row r="8053">
      <c r="A8053" s="431"/>
    </row>
    <row r="8054">
      <c r="A8054" s="431"/>
    </row>
    <row r="8055">
      <c r="A8055" s="431"/>
    </row>
    <row r="8056">
      <c r="A8056" s="431"/>
    </row>
    <row r="8057">
      <c r="A8057" s="431"/>
    </row>
    <row r="8058">
      <c r="A8058" s="431"/>
    </row>
    <row r="8059">
      <c r="A8059" s="431"/>
    </row>
    <row r="8060">
      <c r="A8060" s="431"/>
    </row>
    <row r="8061">
      <c r="A8061" s="431"/>
    </row>
    <row r="8062">
      <c r="A8062" s="431"/>
    </row>
    <row r="8063">
      <c r="A8063" s="431"/>
    </row>
    <row r="8064">
      <c r="A8064" s="431"/>
    </row>
    <row r="8065">
      <c r="A8065" s="431"/>
    </row>
    <row r="8066">
      <c r="A8066" s="431"/>
    </row>
    <row r="8067">
      <c r="A8067" s="431"/>
    </row>
    <row r="8068">
      <c r="A8068" s="431"/>
    </row>
    <row r="8069">
      <c r="A8069" s="431"/>
    </row>
    <row r="8070">
      <c r="A8070" s="431"/>
    </row>
    <row r="8071">
      <c r="A8071" s="431"/>
    </row>
    <row r="8072">
      <c r="A8072" s="431"/>
    </row>
    <row r="8073">
      <c r="A8073" s="431"/>
    </row>
    <row r="8074">
      <c r="A8074" s="431"/>
    </row>
    <row r="8075">
      <c r="A8075" s="431"/>
    </row>
    <row r="8076">
      <c r="A8076" s="431"/>
    </row>
    <row r="8077">
      <c r="A8077" s="431"/>
    </row>
    <row r="8078">
      <c r="A8078" s="431"/>
    </row>
    <row r="8079">
      <c r="A8079" s="431"/>
    </row>
    <row r="8080">
      <c r="A8080" s="431"/>
    </row>
    <row r="8081">
      <c r="A8081" s="431"/>
    </row>
    <row r="8082">
      <c r="A8082" s="431"/>
    </row>
    <row r="8083">
      <c r="A8083" s="431"/>
    </row>
    <row r="8084">
      <c r="A8084" s="431"/>
    </row>
    <row r="8085">
      <c r="A8085" s="431"/>
    </row>
    <row r="8086">
      <c r="A8086" s="431"/>
    </row>
    <row r="8087">
      <c r="A8087" s="431"/>
    </row>
    <row r="8088">
      <c r="A8088" s="431"/>
    </row>
    <row r="8089">
      <c r="A8089" s="431"/>
    </row>
    <row r="8090">
      <c r="A8090" s="431"/>
    </row>
    <row r="8091">
      <c r="A8091" s="431"/>
    </row>
    <row r="8092">
      <c r="A8092" s="431"/>
    </row>
    <row r="8093">
      <c r="A8093" s="431"/>
    </row>
    <row r="8094">
      <c r="A8094" s="431"/>
    </row>
    <row r="8095">
      <c r="A8095" s="431"/>
    </row>
    <row r="8096">
      <c r="A8096" s="431"/>
    </row>
    <row r="8097">
      <c r="A8097" s="431"/>
    </row>
    <row r="8098">
      <c r="A8098" s="431"/>
    </row>
    <row r="8099">
      <c r="A8099" s="431"/>
    </row>
    <row r="8100">
      <c r="A8100" s="431"/>
    </row>
    <row r="8101">
      <c r="A8101" s="431"/>
    </row>
    <row r="8102">
      <c r="A8102" s="431"/>
    </row>
    <row r="8103">
      <c r="A8103" s="431"/>
    </row>
    <row r="8104">
      <c r="A8104" s="431"/>
    </row>
    <row r="8105">
      <c r="A8105" s="431"/>
    </row>
    <row r="8106">
      <c r="A8106" s="431"/>
    </row>
    <row r="8107">
      <c r="A8107" s="431"/>
    </row>
    <row r="8108">
      <c r="A8108" s="431"/>
    </row>
  </sheetData>
  <autoFilter ref="$A$1:$U$5868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8.0"/>
    <col customWidth="1" min="2" max="2" width="58.38"/>
    <col customWidth="1" min="5" max="5" width="38.63"/>
  </cols>
  <sheetData>
    <row r="1">
      <c r="A1" s="202" t="s">
        <v>0</v>
      </c>
      <c r="B1" s="203" t="s">
        <v>2</v>
      </c>
      <c r="C1" s="202" t="s">
        <v>22</v>
      </c>
      <c r="D1" s="204" t="s">
        <v>23</v>
      </c>
      <c r="E1" s="204" t="s">
        <v>36</v>
      </c>
    </row>
    <row r="2">
      <c r="A2" s="205">
        <v>15329.0</v>
      </c>
      <c r="B2" s="206" t="s">
        <v>557</v>
      </c>
      <c r="C2" s="205" t="s">
        <v>558</v>
      </c>
      <c r="D2" s="207" t="s">
        <v>368</v>
      </c>
      <c r="E2" s="208" t="s">
        <v>370</v>
      </c>
    </row>
    <row r="3">
      <c r="A3" s="209">
        <v>15055.0</v>
      </c>
      <c r="B3" s="210" t="s">
        <v>171</v>
      </c>
      <c r="C3" s="209" t="s">
        <v>172</v>
      </c>
      <c r="D3" s="211" t="s">
        <v>173</v>
      </c>
      <c r="E3" s="212" t="s">
        <v>178</v>
      </c>
    </row>
    <row r="4">
      <c r="A4" s="209">
        <v>15056.0</v>
      </c>
      <c r="B4" s="210" t="s">
        <v>183</v>
      </c>
      <c r="C4" s="209" t="s">
        <v>184</v>
      </c>
      <c r="D4" s="211" t="s">
        <v>173</v>
      </c>
      <c r="E4" s="212" t="s">
        <v>178</v>
      </c>
    </row>
    <row r="5">
      <c r="A5" s="209">
        <v>15057.0</v>
      </c>
      <c r="B5" s="210" t="s">
        <v>197</v>
      </c>
      <c r="C5" s="209" t="s">
        <v>198</v>
      </c>
      <c r="D5" s="211" t="s">
        <v>173</v>
      </c>
      <c r="E5" s="212" t="s">
        <v>178</v>
      </c>
    </row>
    <row r="6">
      <c r="A6" s="209">
        <v>15070.0</v>
      </c>
      <c r="B6" s="210" t="s">
        <v>228</v>
      </c>
      <c r="C6" s="209" t="s">
        <v>229</v>
      </c>
      <c r="D6" s="211" t="s">
        <v>173</v>
      </c>
      <c r="E6" s="212" t="s">
        <v>178</v>
      </c>
    </row>
    <row r="7">
      <c r="A7" s="209">
        <v>15072.0</v>
      </c>
      <c r="B7" s="210" t="s">
        <v>559</v>
      </c>
      <c r="C7" s="209" t="s">
        <v>234</v>
      </c>
      <c r="D7" s="211" t="s">
        <v>173</v>
      </c>
      <c r="E7" s="212" t="s">
        <v>237</v>
      </c>
    </row>
    <row r="8">
      <c r="A8" s="209">
        <v>15151.0</v>
      </c>
      <c r="B8" s="210" t="s">
        <v>259</v>
      </c>
      <c r="C8" s="209" t="s">
        <v>260</v>
      </c>
      <c r="D8" s="211" t="s">
        <v>173</v>
      </c>
      <c r="E8" s="212" t="s">
        <v>178</v>
      </c>
    </row>
    <row r="9">
      <c r="A9" s="209">
        <v>15259.0</v>
      </c>
      <c r="B9" s="210" t="s">
        <v>305</v>
      </c>
      <c r="C9" s="209" t="s">
        <v>306</v>
      </c>
      <c r="D9" s="211" t="s">
        <v>173</v>
      </c>
      <c r="E9" s="212" t="s">
        <v>178</v>
      </c>
    </row>
    <row r="10">
      <c r="A10" s="209">
        <v>15308.0</v>
      </c>
      <c r="B10" s="210" t="s">
        <v>560</v>
      </c>
      <c r="C10" s="209" t="s">
        <v>334</v>
      </c>
      <c r="D10" s="211" t="s">
        <v>173</v>
      </c>
      <c r="E10" s="212" t="s">
        <v>337</v>
      </c>
    </row>
    <row r="11">
      <c r="A11" s="209">
        <v>15353.0</v>
      </c>
      <c r="B11" s="210" t="s">
        <v>561</v>
      </c>
      <c r="C11" s="209" t="s">
        <v>390</v>
      </c>
      <c r="D11" s="211" t="s">
        <v>173</v>
      </c>
      <c r="E11" s="212" t="s">
        <v>393</v>
      </c>
    </row>
    <row r="12">
      <c r="A12" s="209">
        <v>15355.0</v>
      </c>
      <c r="B12" s="210" t="s">
        <v>562</v>
      </c>
      <c r="C12" s="209" t="s">
        <v>396</v>
      </c>
      <c r="D12" s="211" t="s">
        <v>173</v>
      </c>
      <c r="E12" s="212" t="s">
        <v>178</v>
      </c>
    </row>
    <row r="13">
      <c r="A13" s="209">
        <v>15356.0</v>
      </c>
      <c r="B13" s="210" t="s">
        <v>405</v>
      </c>
      <c r="C13" s="209" t="s">
        <v>407</v>
      </c>
      <c r="D13" s="211" t="s">
        <v>173</v>
      </c>
      <c r="E13" s="212" t="s">
        <v>178</v>
      </c>
    </row>
    <row r="14">
      <c r="A14" s="209">
        <v>15364.0</v>
      </c>
      <c r="B14" s="210" t="s">
        <v>439</v>
      </c>
      <c r="C14" s="209" t="s">
        <v>440</v>
      </c>
      <c r="D14" s="211" t="s">
        <v>173</v>
      </c>
      <c r="E14" s="212" t="s">
        <v>178</v>
      </c>
    </row>
    <row r="15">
      <c r="A15" s="209">
        <v>15369.0</v>
      </c>
      <c r="B15" s="210" t="s">
        <v>454</v>
      </c>
      <c r="C15" s="209" t="s">
        <v>486</v>
      </c>
      <c r="D15" s="211" t="s">
        <v>173</v>
      </c>
      <c r="E15" s="212" t="s">
        <v>178</v>
      </c>
    </row>
    <row r="16">
      <c r="A16" s="209">
        <v>15373.0</v>
      </c>
      <c r="B16" s="210" t="s">
        <v>563</v>
      </c>
      <c r="C16" s="213" t="s">
        <v>467</v>
      </c>
      <c r="D16" s="211" t="s">
        <v>173</v>
      </c>
      <c r="E16" s="212" t="s">
        <v>178</v>
      </c>
    </row>
    <row r="17">
      <c r="A17" s="214">
        <v>15017.0</v>
      </c>
      <c r="B17" s="215" t="s">
        <v>564</v>
      </c>
      <c r="C17" s="214" t="s">
        <v>123</v>
      </c>
      <c r="D17" s="216" t="s">
        <v>124</v>
      </c>
      <c r="E17" s="217" t="s">
        <v>128</v>
      </c>
    </row>
    <row r="18">
      <c r="A18" s="214">
        <v>15018.0</v>
      </c>
      <c r="B18" s="215" t="s">
        <v>140</v>
      </c>
      <c r="C18" s="214" t="s">
        <v>146</v>
      </c>
      <c r="D18" s="216" t="s">
        <v>124</v>
      </c>
      <c r="E18" s="217" t="s">
        <v>151</v>
      </c>
    </row>
    <row r="19">
      <c r="A19" s="214">
        <v>15019.0</v>
      </c>
      <c r="B19" s="215" t="s">
        <v>164</v>
      </c>
      <c r="C19" s="214" t="s">
        <v>166</v>
      </c>
      <c r="D19" s="216" t="s">
        <v>124</v>
      </c>
      <c r="E19" s="217" t="s">
        <v>151</v>
      </c>
    </row>
    <row r="20">
      <c r="A20" s="214">
        <v>15060.0</v>
      </c>
      <c r="B20" s="215" t="s">
        <v>202</v>
      </c>
      <c r="C20" s="214" t="s">
        <v>206</v>
      </c>
      <c r="D20" s="216" t="s">
        <v>124</v>
      </c>
      <c r="E20" s="217" t="s">
        <v>151</v>
      </c>
    </row>
    <row r="21">
      <c r="A21" s="214">
        <v>15066.0</v>
      </c>
      <c r="B21" s="215" t="s">
        <v>218</v>
      </c>
      <c r="C21" s="214" t="s">
        <v>221</v>
      </c>
      <c r="D21" s="216" t="s">
        <v>124</v>
      </c>
      <c r="E21" s="217" t="s">
        <v>128</v>
      </c>
    </row>
    <row r="22">
      <c r="A22" s="214">
        <v>15107.0</v>
      </c>
      <c r="B22" s="215" t="s">
        <v>565</v>
      </c>
      <c r="C22" s="214" t="s">
        <v>253</v>
      </c>
      <c r="D22" s="216" t="s">
        <v>124</v>
      </c>
      <c r="E22" s="217" t="s">
        <v>256</v>
      </c>
    </row>
    <row r="23">
      <c r="A23" s="214">
        <v>15220.0</v>
      </c>
      <c r="B23" s="215" t="s">
        <v>281</v>
      </c>
      <c r="C23" s="214" t="s">
        <v>282</v>
      </c>
      <c r="D23" s="216" t="s">
        <v>124</v>
      </c>
      <c r="E23" s="217" t="s">
        <v>128</v>
      </c>
    </row>
    <row r="24">
      <c r="A24" s="214">
        <v>15314.0</v>
      </c>
      <c r="B24" s="215" t="s">
        <v>566</v>
      </c>
      <c r="C24" s="214" t="s">
        <v>349</v>
      </c>
      <c r="D24" s="216" t="s">
        <v>124</v>
      </c>
      <c r="E24" s="217" t="s">
        <v>128</v>
      </c>
    </row>
    <row r="25">
      <c r="A25" s="214">
        <v>15360.0</v>
      </c>
      <c r="B25" s="215" t="s">
        <v>422</v>
      </c>
      <c r="C25" s="214" t="s">
        <v>425</v>
      </c>
      <c r="D25" s="216" t="s">
        <v>124</v>
      </c>
      <c r="E25" s="217" t="s">
        <v>428</v>
      </c>
    </row>
    <row r="26">
      <c r="A26" s="214">
        <v>15371.0</v>
      </c>
      <c r="B26" s="215" t="s">
        <v>458</v>
      </c>
      <c r="C26" s="214" t="s">
        <v>461</v>
      </c>
      <c r="D26" s="216" t="s">
        <v>124</v>
      </c>
      <c r="E26" s="217" t="s">
        <v>464</v>
      </c>
    </row>
    <row r="27">
      <c r="A27" s="214">
        <v>15244.0</v>
      </c>
      <c r="B27" s="215" t="s">
        <v>286</v>
      </c>
      <c r="C27" s="214" t="s">
        <v>288</v>
      </c>
      <c r="D27" s="216" t="s">
        <v>289</v>
      </c>
      <c r="E27" s="217" t="s">
        <v>293</v>
      </c>
    </row>
    <row r="28">
      <c r="A28" s="214">
        <v>15349.0</v>
      </c>
      <c r="B28" s="215" t="s">
        <v>567</v>
      </c>
      <c r="C28" s="214" t="s">
        <v>384</v>
      </c>
      <c r="D28" s="216" t="s">
        <v>289</v>
      </c>
      <c r="E28" s="217" t="s">
        <v>151</v>
      </c>
    </row>
    <row r="29">
      <c r="A29" s="184"/>
      <c r="B29" s="181"/>
      <c r="C29" s="184"/>
      <c r="D29" s="180"/>
      <c r="E29" s="180"/>
    </row>
    <row r="30">
      <c r="A30" s="184"/>
      <c r="B30" s="181"/>
      <c r="C30" s="184"/>
      <c r="D30" s="180"/>
      <c r="E30" s="180"/>
    </row>
    <row r="31">
      <c r="A31" s="184"/>
      <c r="B31" s="181"/>
      <c r="C31" s="184"/>
      <c r="D31" s="180"/>
      <c r="E31" s="180"/>
    </row>
    <row r="32">
      <c r="A32" s="184"/>
      <c r="B32" s="181"/>
      <c r="C32" s="184"/>
      <c r="D32" s="180"/>
      <c r="E32" s="180"/>
    </row>
    <row r="33">
      <c r="A33" s="184"/>
      <c r="B33" s="181"/>
      <c r="C33" s="184"/>
      <c r="D33" s="180"/>
      <c r="E33" s="180"/>
    </row>
    <row r="34">
      <c r="A34" s="184"/>
      <c r="B34" s="181"/>
      <c r="C34" s="184"/>
      <c r="D34" s="180"/>
      <c r="E34" s="180"/>
    </row>
    <row r="35">
      <c r="A35" s="184"/>
      <c r="B35" s="181"/>
      <c r="C35" s="184"/>
      <c r="D35" s="180"/>
      <c r="E35" s="180"/>
    </row>
    <row r="36">
      <c r="A36" s="184"/>
      <c r="B36" s="181"/>
      <c r="C36" s="184"/>
      <c r="D36" s="180"/>
      <c r="E36" s="180"/>
    </row>
    <row r="37">
      <c r="A37" s="184"/>
      <c r="B37" s="181"/>
      <c r="C37" s="184"/>
      <c r="D37" s="180"/>
      <c r="E37" s="180"/>
    </row>
    <row r="38">
      <c r="A38" s="184"/>
      <c r="B38" s="181"/>
      <c r="C38" s="184"/>
      <c r="D38" s="180"/>
      <c r="E38" s="180"/>
    </row>
    <row r="39">
      <c r="A39" s="184"/>
      <c r="B39" s="181"/>
      <c r="C39" s="184"/>
      <c r="D39" s="180"/>
      <c r="E39" s="180"/>
    </row>
    <row r="40">
      <c r="A40" s="184"/>
      <c r="B40" s="181"/>
      <c r="C40" s="184"/>
      <c r="D40" s="180"/>
      <c r="E40" s="180"/>
    </row>
  </sheetData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5" max="5" width="35.63"/>
  </cols>
  <sheetData>
    <row r="1">
      <c r="A1" s="218" t="s">
        <v>555</v>
      </c>
      <c r="B1" s="218" t="s">
        <v>8706</v>
      </c>
      <c r="C1" s="218" t="s">
        <v>8707</v>
      </c>
      <c r="D1" s="218" t="s">
        <v>8708</v>
      </c>
      <c r="E1" s="218" t="s">
        <v>8709</v>
      </c>
      <c r="F1" s="218" t="s">
        <v>79</v>
      </c>
      <c r="G1" s="218" t="s">
        <v>8710</v>
      </c>
      <c r="H1" s="218" t="s">
        <v>8711</v>
      </c>
      <c r="I1" s="218" t="s">
        <v>8712</v>
      </c>
      <c r="J1" s="218" t="s">
        <v>8713</v>
      </c>
    </row>
    <row r="2">
      <c r="A2" s="218" t="s">
        <v>8714</v>
      </c>
      <c r="B2" s="218">
        <v>84.0</v>
      </c>
      <c r="C2" s="218">
        <v>2018.0</v>
      </c>
      <c r="D2" s="218">
        <v>107702.0</v>
      </c>
      <c r="E2" s="218" t="s">
        <v>8715</v>
      </c>
      <c r="F2" s="218" t="s">
        <v>8716</v>
      </c>
      <c r="G2" s="218">
        <v>22.0</v>
      </c>
      <c r="H2" s="218" t="s">
        <v>8717</v>
      </c>
      <c r="I2" s="218">
        <v>339047.0</v>
      </c>
      <c r="J2" s="218" t="s">
        <v>8718</v>
      </c>
    </row>
    <row r="3">
      <c r="A3" s="218" t="s">
        <v>8714</v>
      </c>
      <c r="B3" s="218">
        <v>83.0</v>
      </c>
      <c r="C3" s="218">
        <v>2018.0</v>
      </c>
      <c r="D3" s="218">
        <v>107702.0</v>
      </c>
      <c r="E3" s="218" t="s">
        <v>8715</v>
      </c>
      <c r="F3" s="218" t="s">
        <v>8716</v>
      </c>
      <c r="G3" s="218">
        <v>43.0</v>
      </c>
      <c r="H3" s="218" t="s">
        <v>8719</v>
      </c>
      <c r="I3" s="218">
        <v>339039.0</v>
      </c>
      <c r="J3" s="218" t="s">
        <v>8720</v>
      </c>
    </row>
    <row r="4">
      <c r="A4" s="218" t="s">
        <v>8721</v>
      </c>
      <c r="B4" s="218">
        <v>81.0</v>
      </c>
      <c r="C4" s="218">
        <v>2018.0</v>
      </c>
      <c r="D4" s="218">
        <v>107702.0</v>
      </c>
      <c r="E4" s="218" t="s">
        <v>8715</v>
      </c>
      <c r="F4" s="218" t="s">
        <v>8716</v>
      </c>
      <c r="G4" s="218">
        <v>15.0</v>
      </c>
      <c r="H4" s="218" t="s">
        <v>8722</v>
      </c>
      <c r="I4" s="218">
        <v>339039.0</v>
      </c>
      <c r="J4" s="218" t="s">
        <v>8720</v>
      </c>
    </row>
    <row r="5">
      <c r="A5" s="218" t="s">
        <v>8721</v>
      </c>
      <c r="B5" s="218">
        <v>81.0</v>
      </c>
      <c r="C5" s="218">
        <v>2018.0</v>
      </c>
      <c r="D5" s="218">
        <v>107702.0</v>
      </c>
      <c r="E5" s="218" t="s">
        <v>8715</v>
      </c>
      <c r="F5" s="218" t="s">
        <v>8716</v>
      </c>
      <c r="G5" s="218">
        <v>10.0</v>
      </c>
      <c r="H5" s="218" t="s">
        <v>8723</v>
      </c>
      <c r="I5" s="218">
        <v>339039.0</v>
      </c>
      <c r="J5" s="218" t="s">
        <v>8720</v>
      </c>
    </row>
    <row r="6">
      <c r="A6" s="218" t="s">
        <v>8721</v>
      </c>
      <c r="B6" s="218">
        <v>81.0</v>
      </c>
      <c r="C6" s="218">
        <v>2018.0</v>
      </c>
      <c r="D6" s="218">
        <v>107702.0</v>
      </c>
      <c r="E6" s="218" t="s">
        <v>8715</v>
      </c>
      <c r="F6" s="218" t="s">
        <v>8716</v>
      </c>
      <c r="G6" s="218">
        <v>2.0</v>
      </c>
      <c r="H6" s="218" t="s">
        <v>8724</v>
      </c>
      <c r="I6" s="218">
        <v>339039.0</v>
      </c>
      <c r="J6" s="218" t="s">
        <v>8720</v>
      </c>
    </row>
    <row r="7">
      <c r="A7" s="218" t="s">
        <v>8725</v>
      </c>
      <c r="B7" s="218">
        <v>73.0</v>
      </c>
      <c r="C7" s="218">
        <v>2018.0</v>
      </c>
      <c r="D7" s="218">
        <v>107702.0</v>
      </c>
      <c r="E7" s="218" t="s">
        <v>8715</v>
      </c>
      <c r="F7" s="218" t="s">
        <v>8716</v>
      </c>
      <c r="G7" s="218">
        <v>10.0</v>
      </c>
      <c r="H7" s="218" t="s">
        <v>8726</v>
      </c>
      <c r="I7" s="218">
        <v>339047.0</v>
      </c>
      <c r="J7" s="218" t="s">
        <v>8718</v>
      </c>
    </row>
    <row r="8">
      <c r="A8" s="218" t="s">
        <v>8725</v>
      </c>
      <c r="B8" s="218">
        <v>70.0</v>
      </c>
      <c r="C8" s="218">
        <v>2018.0</v>
      </c>
      <c r="D8" s="218">
        <v>107702.0</v>
      </c>
      <c r="E8" s="218" t="s">
        <v>8715</v>
      </c>
      <c r="F8" s="218" t="s">
        <v>8716</v>
      </c>
      <c r="G8" s="218">
        <v>44.0</v>
      </c>
      <c r="H8" s="218" t="s">
        <v>8727</v>
      </c>
      <c r="I8" s="218">
        <v>339039.0</v>
      </c>
      <c r="J8" s="218" t="s">
        <v>8720</v>
      </c>
    </row>
    <row r="9">
      <c r="A9" s="218" t="s">
        <v>8725</v>
      </c>
      <c r="B9" s="218">
        <v>73.0</v>
      </c>
      <c r="C9" s="218">
        <v>2018.0</v>
      </c>
      <c r="D9" s="218">
        <v>107702.0</v>
      </c>
      <c r="E9" s="218" t="s">
        <v>8715</v>
      </c>
      <c r="F9" s="218" t="s">
        <v>8716</v>
      </c>
      <c r="G9" s="218">
        <v>10.0</v>
      </c>
      <c r="H9" s="218" t="s">
        <v>8726</v>
      </c>
      <c r="I9" s="218">
        <v>339047.0</v>
      </c>
      <c r="J9" s="218" t="s">
        <v>8718</v>
      </c>
    </row>
    <row r="10">
      <c r="A10" s="218" t="s">
        <v>8728</v>
      </c>
      <c r="B10" s="218">
        <v>121.0</v>
      </c>
      <c r="C10" s="218">
        <v>2018.0</v>
      </c>
      <c r="D10" s="218">
        <v>107702.0</v>
      </c>
      <c r="E10" s="218" t="s">
        <v>8715</v>
      </c>
      <c r="F10" s="218" t="s">
        <v>8716</v>
      </c>
      <c r="G10" s="218">
        <v>2.0</v>
      </c>
      <c r="H10" s="218" t="s">
        <v>8724</v>
      </c>
      <c r="I10" s="218">
        <v>339039.0</v>
      </c>
      <c r="J10" s="218" t="s">
        <v>8720</v>
      </c>
    </row>
    <row r="11">
      <c r="A11" s="218" t="s">
        <v>8728</v>
      </c>
      <c r="B11" s="218">
        <v>120.0</v>
      </c>
      <c r="C11" s="218">
        <v>2018.0</v>
      </c>
      <c r="D11" s="218">
        <v>107702.0</v>
      </c>
      <c r="E11" s="218" t="s">
        <v>8715</v>
      </c>
      <c r="F11" s="218" t="s">
        <v>8716</v>
      </c>
      <c r="G11" s="218">
        <v>15.0</v>
      </c>
      <c r="H11" s="218" t="s">
        <v>8723</v>
      </c>
      <c r="I11" s="218">
        <v>339036.0</v>
      </c>
      <c r="J11" s="218" t="s">
        <v>8729</v>
      </c>
    </row>
    <row r="12">
      <c r="A12" s="218" t="s">
        <v>8730</v>
      </c>
      <c r="B12" s="218">
        <v>82.0</v>
      </c>
      <c r="C12" s="218">
        <v>2018.0</v>
      </c>
      <c r="D12" s="218">
        <v>107702.0</v>
      </c>
      <c r="E12" s="218" t="s">
        <v>8715</v>
      </c>
      <c r="F12" s="218" t="s">
        <v>8716</v>
      </c>
      <c r="G12" s="218">
        <v>10.0</v>
      </c>
      <c r="H12" s="218" t="s">
        <v>8723</v>
      </c>
      <c r="I12" s="218">
        <v>339039.0</v>
      </c>
      <c r="J12" s="218" t="s">
        <v>8720</v>
      </c>
    </row>
    <row r="13">
      <c r="A13" s="218" t="s">
        <v>8730</v>
      </c>
      <c r="B13" s="218">
        <v>82.0</v>
      </c>
      <c r="C13" s="218">
        <v>2018.0</v>
      </c>
      <c r="D13" s="218">
        <v>107702.0</v>
      </c>
      <c r="E13" s="218" t="s">
        <v>8715</v>
      </c>
      <c r="F13" s="218" t="s">
        <v>8716</v>
      </c>
      <c r="G13" s="218">
        <v>15.0</v>
      </c>
      <c r="H13" s="218" t="s">
        <v>8722</v>
      </c>
      <c r="I13" s="218">
        <v>339039.0</v>
      </c>
      <c r="J13" s="218" t="s">
        <v>8720</v>
      </c>
    </row>
    <row r="14">
      <c r="A14" s="218" t="s">
        <v>8730</v>
      </c>
      <c r="B14" s="218">
        <v>82.0</v>
      </c>
      <c r="C14" s="218">
        <v>2018.0</v>
      </c>
      <c r="D14" s="218">
        <v>107702.0</v>
      </c>
      <c r="E14" s="218" t="s">
        <v>8715</v>
      </c>
      <c r="F14" s="218" t="s">
        <v>8716</v>
      </c>
      <c r="G14" s="218">
        <v>15.0</v>
      </c>
      <c r="H14" s="218" t="s">
        <v>8722</v>
      </c>
      <c r="I14" s="218">
        <v>339039.0</v>
      </c>
      <c r="J14" s="218" t="s">
        <v>8720</v>
      </c>
    </row>
    <row r="15">
      <c r="A15" s="218" t="s">
        <v>8731</v>
      </c>
      <c r="B15" s="218">
        <v>105.0</v>
      </c>
      <c r="C15" s="218">
        <v>2018.0</v>
      </c>
      <c r="D15" s="218">
        <v>107702.0</v>
      </c>
      <c r="E15" s="218" t="s">
        <v>8715</v>
      </c>
      <c r="F15" s="218" t="s">
        <v>8716</v>
      </c>
      <c r="G15" s="218">
        <v>15.0</v>
      </c>
      <c r="H15" s="218" t="s">
        <v>8723</v>
      </c>
      <c r="I15" s="218">
        <v>339036.0</v>
      </c>
      <c r="J15" s="218" t="s">
        <v>8729</v>
      </c>
    </row>
    <row r="16">
      <c r="A16" s="218" t="s">
        <v>8731</v>
      </c>
      <c r="B16" s="218">
        <v>104.0</v>
      </c>
      <c r="C16" s="218">
        <v>2018.0</v>
      </c>
      <c r="D16" s="218">
        <v>1077022.0</v>
      </c>
      <c r="E16" s="218" t="s">
        <v>8732</v>
      </c>
      <c r="F16" s="218" t="s">
        <v>8733</v>
      </c>
      <c r="G16" s="218">
        <v>15.0</v>
      </c>
      <c r="H16" s="218" t="s">
        <v>8723</v>
      </c>
      <c r="I16" s="218">
        <v>339036.0</v>
      </c>
      <c r="J16" s="218" t="s">
        <v>8729</v>
      </c>
    </row>
    <row r="17">
      <c r="A17" s="218" t="s">
        <v>8731</v>
      </c>
      <c r="B17" s="218">
        <v>105.0</v>
      </c>
      <c r="C17" s="218">
        <v>2018.0</v>
      </c>
      <c r="D17" s="218">
        <v>107702.0</v>
      </c>
      <c r="E17" s="218" t="s">
        <v>8715</v>
      </c>
      <c r="F17" s="218" t="s">
        <v>8716</v>
      </c>
      <c r="G17" s="218">
        <v>17.0</v>
      </c>
      <c r="H17" s="218" t="s">
        <v>8734</v>
      </c>
      <c r="I17" s="218">
        <v>339036.0</v>
      </c>
      <c r="J17" s="218" t="s">
        <v>8729</v>
      </c>
    </row>
    <row r="18">
      <c r="A18" s="218" t="s">
        <v>8731</v>
      </c>
      <c r="B18" s="218">
        <v>466.0</v>
      </c>
      <c r="C18" s="218">
        <v>2018.0</v>
      </c>
      <c r="D18" s="218">
        <v>107702.0</v>
      </c>
      <c r="E18" s="218" t="s">
        <v>8715</v>
      </c>
      <c r="F18" s="218" t="s">
        <v>8716</v>
      </c>
      <c r="G18" s="218">
        <v>36.0</v>
      </c>
      <c r="H18" s="218" t="s">
        <v>8735</v>
      </c>
      <c r="I18" s="218">
        <v>339092.0</v>
      </c>
      <c r="J18" s="218" t="s">
        <v>8736</v>
      </c>
    </row>
    <row r="19">
      <c r="A19" s="218" t="s">
        <v>8737</v>
      </c>
      <c r="B19" s="218">
        <v>66.0</v>
      </c>
      <c r="C19" s="218">
        <v>2018.0</v>
      </c>
      <c r="D19" s="218">
        <v>107702.0</v>
      </c>
      <c r="E19" s="218" t="s">
        <v>8715</v>
      </c>
      <c r="F19" s="218" t="s">
        <v>8716</v>
      </c>
      <c r="G19" s="218">
        <v>44.0</v>
      </c>
      <c r="H19" s="218" t="s">
        <v>8727</v>
      </c>
      <c r="I19" s="218">
        <v>339039.0</v>
      </c>
      <c r="J19" s="218" t="s">
        <v>8720</v>
      </c>
    </row>
    <row r="20">
      <c r="A20" s="218" t="s">
        <v>8738</v>
      </c>
      <c r="B20" s="218">
        <v>75.0</v>
      </c>
      <c r="C20" s="218">
        <v>2018.0</v>
      </c>
      <c r="D20" s="218">
        <v>107702.0</v>
      </c>
      <c r="E20" s="218" t="s">
        <v>8715</v>
      </c>
      <c r="F20" s="218" t="s">
        <v>8716</v>
      </c>
      <c r="G20" s="218">
        <v>43.0</v>
      </c>
      <c r="H20" s="218" t="s">
        <v>8719</v>
      </c>
      <c r="I20" s="218">
        <v>339039.0</v>
      </c>
      <c r="J20" s="218" t="s">
        <v>8720</v>
      </c>
    </row>
    <row r="21">
      <c r="A21" s="218" t="s">
        <v>8738</v>
      </c>
      <c r="B21" s="218">
        <v>116.0</v>
      </c>
      <c r="C21" s="218">
        <v>2018.0</v>
      </c>
      <c r="D21" s="218">
        <v>1077021.0</v>
      </c>
      <c r="E21" s="218" t="s">
        <v>8739</v>
      </c>
      <c r="F21" s="218" t="s">
        <v>8740</v>
      </c>
      <c r="G21" s="218">
        <v>43.0</v>
      </c>
      <c r="H21" s="218" t="s">
        <v>8719</v>
      </c>
      <c r="I21" s="218">
        <v>339039.0</v>
      </c>
      <c r="J21" s="218" t="s">
        <v>8720</v>
      </c>
    </row>
    <row r="22">
      <c r="A22" s="218" t="s">
        <v>8738</v>
      </c>
      <c r="B22" s="218">
        <v>117.0</v>
      </c>
      <c r="C22" s="218">
        <v>2018.0</v>
      </c>
      <c r="D22" s="218">
        <v>1077021.0</v>
      </c>
      <c r="E22" s="218" t="s">
        <v>8739</v>
      </c>
      <c r="F22" s="218" t="s">
        <v>8740</v>
      </c>
      <c r="G22" s="218">
        <v>22.0</v>
      </c>
      <c r="H22" s="218" t="s">
        <v>8717</v>
      </c>
      <c r="I22" s="218">
        <v>339047.0</v>
      </c>
      <c r="J22" s="218" t="s">
        <v>8718</v>
      </c>
    </row>
    <row r="23">
      <c r="A23" s="218" t="s">
        <v>8738</v>
      </c>
      <c r="B23" s="218">
        <v>76.0</v>
      </c>
      <c r="C23" s="218">
        <v>2018.0</v>
      </c>
      <c r="D23" s="218">
        <v>107702.0</v>
      </c>
      <c r="E23" s="218" t="s">
        <v>8715</v>
      </c>
      <c r="F23" s="218" t="s">
        <v>8716</v>
      </c>
      <c r="G23" s="218">
        <v>22.0</v>
      </c>
      <c r="H23" s="218" t="s">
        <v>8717</v>
      </c>
      <c r="I23" s="218">
        <v>339047.0</v>
      </c>
      <c r="J23" s="218" t="s">
        <v>8718</v>
      </c>
    </row>
    <row r="24">
      <c r="A24" s="218" t="s">
        <v>8738</v>
      </c>
      <c r="B24" s="218">
        <v>848.0</v>
      </c>
      <c r="C24" s="218">
        <v>2018.0</v>
      </c>
      <c r="D24" s="218">
        <v>107702.0</v>
      </c>
      <c r="E24" s="218" t="s">
        <v>8715</v>
      </c>
      <c r="F24" s="218" t="s">
        <v>8716</v>
      </c>
      <c r="G24" s="218">
        <v>43.0</v>
      </c>
      <c r="H24" s="218" t="s">
        <v>8719</v>
      </c>
      <c r="I24" s="218">
        <v>339039.0</v>
      </c>
      <c r="J24" s="218" t="s">
        <v>8720</v>
      </c>
    </row>
    <row r="25">
      <c r="A25" s="218" t="s">
        <v>8738</v>
      </c>
      <c r="B25" s="218">
        <v>850.0</v>
      </c>
      <c r="C25" s="218">
        <v>2018.0</v>
      </c>
      <c r="D25" s="218">
        <v>107702.0</v>
      </c>
      <c r="E25" s="218" t="s">
        <v>8715</v>
      </c>
      <c r="F25" s="218" t="s">
        <v>8716</v>
      </c>
      <c r="G25" s="218">
        <v>22.0</v>
      </c>
      <c r="H25" s="218" t="s">
        <v>8717</v>
      </c>
      <c r="I25" s="218">
        <v>339047.0</v>
      </c>
      <c r="J25" s="218" t="s">
        <v>8718</v>
      </c>
    </row>
    <row r="26">
      <c r="A26" s="218" t="s">
        <v>8741</v>
      </c>
      <c r="B26" s="218">
        <v>107.0</v>
      </c>
      <c r="C26" s="218">
        <v>2018.0</v>
      </c>
      <c r="D26" s="218">
        <v>107702.0</v>
      </c>
      <c r="E26" s="218" t="s">
        <v>8715</v>
      </c>
      <c r="F26" s="218" t="s">
        <v>8716</v>
      </c>
      <c r="G26" s="218">
        <v>10.0</v>
      </c>
      <c r="H26" s="218" t="s">
        <v>8726</v>
      </c>
      <c r="I26" s="218">
        <v>339047.0</v>
      </c>
      <c r="J26" s="218" t="s">
        <v>8718</v>
      </c>
    </row>
    <row r="27">
      <c r="A27" s="218" t="s">
        <v>8741</v>
      </c>
      <c r="B27" s="218">
        <v>106.0</v>
      </c>
      <c r="C27" s="218">
        <v>2018.0</v>
      </c>
      <c r="D27" s="218">
        <v>107702.0</v>
      </c>
      <c r="E27" s="218" t="s">
        <v>8715</v>
      </c>
      <c r="F27" s="218" t="s">
        <v>8716</v>
      </c>
      <c r="G27" s="218">
        <v>44.0</v>
      </c>
      <c r="H27" s="218" t="s">
        <v>8727</v>
      </c>
      <c r="I27" s="218">
        <v>339039.0</v>
      </c>
      <c r="J27" s="218" t="s">
        <v>8720</v>
      </c>
    </row>
    <row r="28">
      <c r="A28" s="218" t="s">
        <v>8742</v>
      </c>
      <c r="B28" s="218">
        <v>67.0</v>
      </c>
      <c r="C28" s="218">
        <v>2018.0</v>
      </c>
      <c r="D28" s="218">
        <v>107702.0</v>
      </c>
      <c r="E28" s="218" t="s">
        <v>8715</v>
      </c>
      <c r="F28" s="218" t="s">
        <v>8716</v>
      </c>
      <c r="G28" s="218">
        <v>44.0</v>
      </c>
      <c r="H28" s="218" t="s">
        <v>8727</v>
      </c>
      <c r="I28" s="218">
        <v>339039.0</v>
      </c>
      <c r="J28" s="218" t="s">
        <v>8720</v>
      </c>
    </row>
    <row r="29">
      <c r="A29" s="218" t="s">
        <v>8743</v>
      </c>
      <c r="B29" s="218">
        <v>74.0</v>
      </c>
      <c r="C29" s="218">
        <v>2018.0</v>
      </c>
      <c r="D29" s="218">
        <v>107702.0</v>
      </c>
      <c r="E29" s="218" t="s">
        <v>8715</v>
      </c>
      <c r="F29" s="218" t="s">
        <v>8716</v>
      </c>
      <c r="G29" s="218">
        <v>44.0</v>
      </c>
      <c r="H29" s="218" t="s">
        <v>8727</v>
      </c>
      <c r="I29" s="218">
        <v>339039.0</v>
      </c>
      <c r="J29" s="218" t="s">
        <v>8720</v>
      </c>
    </row>
    <row r="30">
      <c r="A30" s="218" t="s">
        <v>8744</v>
      </c>
      <c r="B30" s="218">
        <v>80.0</v>
      </c>
      <c r="C30" s="218">
        <v>2018.0</v>
      </c>
      <c r="D30" s="218">
        <v>107702.0</v>
      </c>
      <c r="E30" s="218" t="s">
        <v>8715</v>
      </c>
      <c r="F30" s="218" t="s">
        <v>8716</v>
      </c>
      <c r="G30" s="218">
        <v>44.0</v>
      </c>
      <c r="H30" s="218" t="s">
        <v>8727</v>
      </c>
      <c r="I30" s="218">
        <v>339039.0</v>
      </c>
      <c r="J30" s="218" t="s">
        <v>8720</v>
      </c>
    </row>
    <row r="31">
      <c r="A31" s="218" t="s">
        <v>8745</v>
      </c>
      <c r="B31" s="218">
        <v>77.0</v>
      </c>
      <c r="C31" s="218">
        <v>2018.0</v>
      </c>
      <c r="D31" s="218">
        <v>107702.0</v>
      </c>
      <c r="E31" s="218" t="s">
        <v>8715</v>
      </c>
      <c r="F31" s="218" t="s">
        <v>8716</v>
      </c>
      <c r="G31" s="218">
        <v>44.0</v>
      </c>
      <c r="H31" s="218" t="s">
        <v>8727</v>
      </c>
      <c r="I31" s="218">
        <v>339039.0</v>
      </c>
      <c r="J31" s="218" t="s">
        <v>8720</v>
      </c>
    </row>
    <row r="32">
      <c r="A32" s="218" t="s">
        <v>8745</v>
      </c>
      <c r="B32" s="218">
        <v>78.0</v>
      </c>
      <c r="C32" s="218">
        <v>2018.0</v>
      </c>
      <c r="D32" s="218">
        <v>107702.0</v>
      </c>
      <c r="E32" s="218" t="s">
        <v>8715</v>
      </c>
      <c r="F32" s="218" t="s">
        <v>8716</v>
      </c>
      <c r="G32" s="218">
        <v>10.0</v>
      </c>
      <c r="H32" s="218" t="s">
        <v>8726</v>
      </c>
      <c r="I32" s="218">
        <v>339047.0</v>
      </c>
      <c r="J32" s="218" t="s">
        <v>8718</v>
      </c>
    </row>
    <row r="33">
      <c r="A33" s="218" t="s">
        <v>8746</v>
      </c>
      <c r="B33" s="218">
        <v>69.0</v>
      </c>
      <c r="C33" s="218">
        <v>2018.0</v>
      </c>
      <c r="D33" s="218">
        <v>107702.0</v>
      </c>
      <c r="E33" s="218" t="s">
        <v>8715</v>
      </c>
      <c r="F33" s="218" t="s">
        <v>8716</v>
      </c>
      <c r="G33" s="218">
        <v>10.0</v>
      </c>
      <c r="H33" s="218" t="s">
        <v>8726</v>
      </c>
      <c r="I33" s="218">
        <v>339047.0</v>
      </c>
      <c r="J33" s="218" t="s">
        <v>8718</v>
      </c>
    </row>
    <row r="34">
      <c r="A34" s="218" t="s">
        <v>8746</v>
      </c>
      <c r="B34" s="218">
        <v>68.0</v>
      </c>
      <c r="C34" s="218">
        <v>2018.0</v>
      </c>
      <c r="D34" s="218">
        <v>107702.0</v>
      </c>
      <c r="E34" s="218" t="s">
        <v>8715</v>
      </c>
      <c r="F34" s="218" t="s">
        <v>8716</v>
      </c>
      <c r="G34" s="218">
        <v>44.0</v>
      </c>
      <c r="H34" s="218" t="s">
        <v>8727</v>
      </c>
      <c r="I34" s="218">
        <v>339039.0</v>
      </c>
      <c r="J34" s="218" t="s">
        <v>8720</v>
      </c>
    </row>
    <row r="35">
      <c r="A35" s="218" t="s">
        <v>8747</v>
      </c>
      <c r="B35" s="218">
        <v>125.0</v>
      </c>
      <c r="C35" s="218">
        <v>2018.0</v>
      </c>
      <c r="D35" s="218">
        <v>107702.0</v>
      </c>
      <c r="E35" s="218" t="s">
        <v>8715</v>
      </c>
      <c r="F35" s="218" t="s">
        <v>8716</v>
      </c>
      <c r="G35" s="218">
        <v>10.0</v>
      </c>
      <c r="H35" s="218" t="s">
        <v>8723</v>
      </c>
      <c r="I35" s="218">
        <v>339039.0</v>
      </c>
      <c r="J35" s="218" t="s">
        <v>8720</v>
      </c>
    </row>
    <row r="36">
      <c r="A36" s="218" t="s">
        <v>8747</v>
      </c>
      <c r="B36" s="218">
        <v>126.0</v>
      </c>
      <c r="C36" s="218">
        <v>2018.0</v>
      </c>
      <c r="D36" s="218">
        <v>107702.0</v>
      </c>
      <c r="E36" s="218" t="s">
        <v>8715</v>
      </c>
      <c r="F36" s="218" t="s">
        <v>8716</v>
      </c>
      <c r="G36" s="218">
        <v>78.0</v>
      </c>
      <c r="H36" s="218" t="s">
        <v>8748</v>
      </c>
      <c r="I36" s="218">
        <v>339039.0</v>
      </c>
      <c r="J36" s="218" t="s">
        <v>8720</v>
      </c>
    </row>
    <row r="37">
      <c r="A37" s="218" t="s">
        <v>8747</v>
      </c>
      <c r="B37" s="218">
        <v>125.0</v>
      </c>
      <c r="C37" s="218">
        <v>2018.0</v>
      </c>
      <c r="D37" s="218">
        <v>107702.0</v>
      </c>
      <c r="E37" s="218" t="s">
        <v>8715</v>
      </c>
      <c r="F37" s="218" t="s">
        <v>8716</v>
      </c>
      <c r="G37" s="218">
        <v>15.0</v>
      </c>
      <c r="H37" s="218" t="s">
        <v>8722</v>
      </c>
      <c r="I37" s="218">
        <v>339039.0</v>
      </c>
      <c r="J37" s="218" t="s">
        <v>8720</v>
      </c>
    </row>
    <row r="38">
      <c r="A38" s="218" t="s">
        <v>8749</v>
      </c>
      <c r="B38" s="218">
        <v>110.0</v>
      </c>
      <c r="C38" s="218">
        <v>2018.0</v>
      </c>
      <c r="D38" s="218">
        <v>107702.0</v>
      </c>
      <c r="E38" s="218" t="s">
        <v>8715</v>
      </c>
      <c r="F38" s="218" t="s">
        <v>8716</v>
      </c>
      <c r="G38" s="218">
        <v>15.0</v>
      </c>
      <c r="H38" s="218" t="s">
        <v>8722</v>
      </c>
      <c r="I38" s="218">
        <v>339039.0</v>
      </c>
      <c r="J38" s="218" t="s">
        <v>8720</v>
      </c>
    </row>
    <row r="39">
      <c r="A39" s="218" t="s">
        <v>8749</v>
      </c>
      <c r="B39" s="218">
        <v>108.0</v>
      </c>
      <c r="C39" s="218">
        <v>2018.0</v>
      </c>
      <c r="D39" s="218">
        <v>107702.0</v>
      </c>
      <c r="E39" s="218" t="s">
        <v>8715</v>
      </c>
      <c r="F39" s="218" t="s">
        <v>8716</v>
      </c>
      <c r="G39" s="218">
        <v>2.0</v>
      </c>
      <c r="H39" s="218" t="s">
        <v>8724</v>
      </c>
      <c r="I39" s="218">
        <v>339039.0</v>
      </c>
      <c r="J39" s="218" t="s">
        <v>8720</v>
      </c>
    </row>
    <row r="40">
      <c r="A40" s="218" t="s">
        <v>8749</v>
      </c>
      <c r="B40" s="218">
        <v>109.0</v>
      </c>
      <c r="C40" s="218">
        <v>2018.0</v>
      </c>
      <c r="D40" s="218">
        <v>107702.0</v>
      </c>
      <c r="E40" s="218" t="s">
        <v>8715</v>
      </c>
      <c r="F40" s="218" t="s">
        <v>8716</v>
      </c>
      <c r="G40" s="218">
        <v>10.0</v>
      </c>
      <c r="H40" s="218" t="s">
        <v>8723</v>
      </c>
      <c r="I40" s="218">
        <v>339039.0</v>
      </c>
      <c r="J40" s="218" t="s">
        <v>8720</v>
      </c>
    </row>
    <row r="41">
      <c r="A41" s="218" t="s">
        <v>8749</v>
      </c>
      <c r="B41" s="218">
        <v>111.0</v>
      </c>
      <c r="C41" s="218">
        <v>2018.0</v>
      </c>
      <c r="D41" s="218">
        <v>107702.0</v>
      </c>
      <c r="E41" s="218" t="s">
        <v>8715</v>
      </c>
      <c r="F41" s="218" t="s">
        <v>8716</v>
      </c>
      <c r="G41" s="218">
        <v>78.0</v>
      </c>
      <c r="H41" s="218" t="s">
        <v>8748</v>
      </c>
      <c r="I41" s="218">
        <v>339039.0</v>
      </c>
      <c r="J41" s="218" t="s">
        <v>8720</v>
      </c>
    </row>
    <row r="42">
      <c r="A42" s="218" t="s">
        <v>8750</v>
      </c>
      <c r="B42" s="218">
        <v>48.0</v>
      </c>
      <c r="C42" s="218">
        <v>2018.0</v>
      </c>
      <c r="D42" s="218">
        <v>107702.0</v>
      </c>
      <c r="E42" s="218" t="s">
        <v>8715</v>
      </c>
      <c r="F42" s="218" t="s">
        <v>8716</v>
      </c>
      <c r="G42" s="218">
        <v>90.0</v>
      </c>
      <c r="H42" s="218" t="s">
        <v>8751</v>
      </c>
      <c r="I42" s="218">
        <v>339139.0</v>
      </c>
      <c r="J42" s="218" t="s">
        <v>8752</v>
      </c>
    </row>
    <row r="43">
      <c r="A43" s="218" t="s">
        <v>8750</v>
      </c>
      <c r="B43" s="218">
        <v>340.0</v>
      </c>
      <c r="C43" s="218">
        <v>2018.0</v>
      </c>
      <c r="D43" s="218">
        <v>107702.0</v>
      </c>
      <c r="E43" s="218" t="s">
        <v>8715</v>
      </c>
      <c r="F43" s="218" t="s">
        <v>8716</v>
      </c>
      <c r="G43" s="218">
        <v>39.0</v>
      </c>
      <c r="H43" s="218" t="s">
        <v>8753</v>
      </c>
      <c r="I43" s="218">
        <v>339192.0</v>
      </c>
      <c r="J43" s="218" t="s">
        <v>8736</v>
      </c>
    </row>
    <row r="44">
      <c r="A44" s="218" t="s">
        <v>8754</v>
      </c>
      <c r="B44" s="218">
        <v>1017.0</v>
      </c>
      <c r="C44" s="218">
        <v>2018.0</v>
      </c>
      <c r="D44" s="218">
        <v>107702.0</v>
      </c>
      <c r="E44" s="218" t="s">
        <v>8715</v>
      </c>
      <c r="F44" s="218" t="s">
        <v>8716</v>
      </c>
      <c r="G44" s="218">
        <v>39.0</v>
      </c>
      <c r="H44" s="218" t="s">
        <v>8753</v>
      </c>
      <c r="I44" s="218">
        <v>339092.0</v>
      </c>
      <c r="J44" s="218" t="s">
        <v>8736</v>
      </c>
    </row>
    <row r="45">
      <c r="A45" s="218" t="s">
        <v>8754</v>
      </c>
      <c r="B45" s="218">
        <v>1022.0</v>
      </c>
      <c r="C45" s="218">
        <v>2018.0</v>
      </c>
      <c r="D45" s="218">
        <v>107702.0</v>
      </c>
      <c r="E45" s="218" t="s">
        <v>8715</v>
      </c>
      <c r="F45" s="218" t="s">
        <v>8716</v>
      </c>
      <c r="G45" s="218">
        <v>2.0</v>
      </c>
      <c r="H45" s="218" t="s">
        <v>8724</v>
      </c>
      <c r="I45" s="218">
        <v>339039.0</v>
      </c>
      <c r="J45" s="218" t="s">
        <v>8720</v>
      </c>
    </row>
    <row r="46">
      <c r="A46" s="218" t="s">
        <v>8754</v>
      </c>
      <c r="B46" s="218">
        <v>1022.0</v>
      </c>
      <c r="C46" s="218">
        <v>2018.0</v>
      </c>
      <c r="D46" s="218">
        <v>107702.0</v>
      </c>
      <c r="E46" s="218" t="s">
        <v>8715</v>
      </c>
      <c r="F46" s="218" t="s">
        <v>8716</v>
      </c>
      <c r="G46" s="218">
        <v>15.0</v>
      </c>
      <c r="H46" s="218" t="s">
        <v>8722</v>
      </c>
      <c r="I46" s="218">
        <v>339039.0</v>
      </c>
      <c r="J46" s="218" t="s">
        <v>8720</v>
      </c>
    </row>
    <row r="47">
      <c r="A47" s="218" t="s">
        <v>8755</v>
      </c>
      <c r="B47" s="218">
        <v>146.0</v>
      </c>
      <c r="C47" s="218">
        <v>2018.0</v>
      </c>
      <c r="D47" s="218">
        <v>85046.0</v>
      </c>
      <c r="E47" s="218" t="s">
        <v>8756</v>
      </c>
      <c r="F47" s="218" t="s">
        <v>8716</v>
      </c>
      <c r="G47" s="218">
        <v>11.0</v>
      </c>
      <c r="H47" s="218" t="s">
        <v>8757</v>
      </c>
      <c r="I47" s="218">
        <v>339040.0</v>
      </c>
      <c r="J47" s="218" t="s">
        <v>136</v>
      </c>
    </row>
    <row r="48">
      <c r="A48" s="218" t="s">
        <v>8758</v>
      </c>
      <c r="B48" s="218">
        <v>231.0</v>
      </c>
      <c r="C48" s="218">
        <v>2018.0</v>
      </c>
      <c r="D48" s="218">
        <v>107702.0</v>
      </c>
      <c r="E48" s="218" t="s">
        <v>8715</v>
      </c>
      <c r="F48" s="218" t="s">
        <v>8716</v>
      </c>
      <c r="G48" s="218">
        <v>39.0</v>
      </c>
      <c r="H48" s="218" t="s">
        <v>8759</v>
      </c>
      <c r="I48" s="218">
        <v>339030.0</v>
      </c>
      <c r="J48" s="218" t="s">
        <v>249</v>
      </c>
    </row>
    <row r="49">
      <c r="A49" s="218" t="s">
        <v>8758</v>
      </c>
      <c r="B49" s="218">
        <v>232.0</v>
      </c>
      <c r="C49" s="218">
        <v>2018.0</v>
      </c>
      <c r="D49" s="218">
        <v>107702.0</v>
      </c>
      <c r="E49" s="218" t="s">
        <v>8715</v>
      </c>
      <c r="F49" s="218" t="s">
        <v>8716</v>
      </c>
      <c r="G49" s="218">
        <v>19.0</v>
      </c>
      <c r="H49" s="218" t="s">
        <v>8760</v>
      </c>
      <c r="I49" s="218">
        <v>339039.0</v>
      </c>
      <c r="J49" s="218" t="s">
        <v>8720</v>
      </c>
    </row>
    <row r="50">
      <c r="A50" s="218" t="s">
        <v>8761</v>
      </c>
      <c r="B50" s="218">
        <v>355.0</v>
      </c>
      <c r="C50" s="218">
        <v>2018.0</v>
      </c>
      <c r="D50" s="218">
        <v>107702.0</v>
      </c>
      <c r="E50" s="218" t="s">
        <v>8715</v>
      </c>
      <c r="F50" s="218" t="s">
        <v>8716</v>
      </c>
      <c r="G50" s="218">
        <v>13.0</v>
      </c>
      <c r="H50" s="218" t="s">
        <v>8762</v>
      </c>
      <c r="I50" s="218">
        <v>339040.0</v>
      </c>
      <c r="J50" s="218" t="s">
        <v>136</v>
      </c>
    </row>
    <row r="51">
      <c r="A51" s="218" t="s">
        <v>8761</v>
      </c>
      <c r="B51" s="218">
        <v>764.0</v>
      </c>
      <c r="C51" s="218">
        <v>2018.0</v>
      </c>
      <c r="D51" s="218">
        <v>107702.0</v>
      </c>
      <c r="E51" s="218" t="s">
        <v>8715</v>
      </c>
      <c r="F51" s="218" t="s">
        <v>8716</v>
      </c>
      <c r="G51" s="218">
        <v>40.0</v>
      </c>
      <c r="H51" s="218" t="s">
        <v>8763</v>
      </c>
      <c r="I51" s="218">
        <v>339092.0</v>
      </c>
      <c r="J51" s="218" t="s">
        <v>8736</v>
      </c>
    </row>
    <row r="52">
      <c r="A52" s="218" t="s">
        <v>8761</v>
      </c>
      <c r="B52" s="218">
        <v>162.0</v>
      </c>
      <c r="C52" s="218">
        <v>2018.0</v>
      </c>
      <c r="D52" s="218">
        <v>85046.0</v>
      </c>
      <c r="E52" s="218" t="s">
        <v>8756</v>
      </c>
      <c r="F52" s="218" t="s">
        <v>8716</v>
      </c>
      <c r="G52" s="218">
        <v>13.0</v>
      </c>
      <c r="H52" s="218" t="s">
        <v>8762</v>
      </c>
      <c r="I52" s="218">
        <v>339040.0</v>
      </c>
      <c r="J52" s="218" t="s">
        <v>136</v>
      </c>
    </row>
    <row r="53">
      <c r="A53" s="218" t="s">
        <v>8764</v>
      </c>
      <c r="B53" s="218">
        <v>87.0</v>
      </c>
      <c r="C53" s="218">
        <v>2018.0</v>
      </c>
      <c r="D53" s="218">
        <v>107702.0</v>
      </c>
      <c r="E53" s="218" t="s">
        <v>8715</v>
      </c>
      <c r="F53" s="218" t="s">
        <v>8716</v>
      </c>
      <c r="G53" s="218">
        <v>2.0</v>
      </c>
      <c r="H53" s="218" t="s">
        <v>8724</v>
      </c>
      <c r="I53" s="218">
        <v>339039.0</v>
      </c>
      <c r="J53" s="218" t="s">
        <v>8720</v>
      </c>
    </row>
    <row r="54">
      <c r="A54" s="218" t="s">
        <v>8764</v>
      </c>
      <c r="B54" s="218">
        <v>101.0</v>
      </c>
      <c r="C54" s="218">
        <v>2018.0</v>
      </c>
      <c r="D54" s="218">
        <v>107702.0</v>
      </c>
      <c r="E54" s="218" t="s">
        <v>8715</v>
      </c>
      <c r="F54" s="218" t="s">
        <v>8716</v>
      </c>
      <c r="G54" s="218">
        <v>10.0</v>
      </c>
      <c r="H54" s="218" t="s">
        <v>8723</v>
      </c>
      <c r="I54" s="218">
        <v>339039.0</v>
      </c>
      <c r="J54" s="218" t="s">
        <v>8720</v>
      </c>
    </row>
    <row r="55">
      <c r="A55" s="218" t="s">
        <v>8765</v>
      </c>
      <c r="B55" s="218">
        <v>1028.0</v>
      </c>
      <c r="C55" s="218">
        <v>2018.0</v>
      </c>
      <c r="D55" s="218">
        <v>107702.0</v>
      </c>
      <c r="E55" s="218" t="s">
        <v>8715</v>
      </c>
      <c r="F55" s="218" t="s">
        <v>8716</v>
      </c>
      <c r="G55" s="218">
        <v>39.0</v>
      </c>
      <c r="H55" s="218" t="s">
        <v>8753</v>
      </c>
      <c r="I55" s="218">
        <v>339092.0</v>
      </c>
      <c r="J55" s="218" t="s">
        <v>8736</v>
      </c>
    </row>
    <row r="56">
      <c r="A56" s="218" t="s">
        <v>8766</v>
      </c>
      <c r="B56" s="218">
        <v>270.0</v>
      </c>
      <c r="C56" s="218">
        <v>2018.0</v>
      </c>
      <c r="D56" s="218">
        <v>1077020.0</v>
      </c>
      <c r="E56" s="218" t="s">
        <v>8767</v>
      </c>
      <c r="F56" s="218" t="s">
        <v>8768</v>
      </c>
      <c r="G56" s="218">
        <v>1.0</v>
      </c>
      <c r="H56" s="218" t="s">
        <v>8769</v>
      </c>
      <c r="I56" s="218">
        <v>339037.0</v>
      </c>
      <c r="J56" s="218" t="s">
        <v>8770</v>
      </c>
    </row>
    <row r="57">
      <c r="A57" s="218" t="s">
        <v>8766</v>
      </c>
      <c r="B57" s="218">
        <v>270.0</v>
      </c>
      <c r="C57" s="218">
        <v>2018.0</v>
      </c>
      <c r="D57" s="218">
        <v>1077020.0</v>
      </c>
      <c r="E57" s="218" t="s">
        <v>8767</v>
      </c>
      <c r="F57" s="218" t="s">
        <v>8768</v>
      </c>
      <c r="G57" s="218">
        <v>2.0</v>
      </c>
      <c r="H57" s="218" t="s">
        <v>8748</v>
      </c>
      <c r="I57" s="218">
        <v>339037.0</v>
      </c>
      <c r="J57" s="218" t="s">
        <v>8770</v>
      </c>
    </row>
    <row r="58">
      <c r="A58" s="218" t="s">
        <v>8771</v>
      </c>
      <c r="B58" s="218">
        <v>222.0</v>
      </c>
      <c r="C58" s="218">
        <v>2018.0</v>
      </c>
      <c r="D58" s="218">
        <v>107702.0</v>
      </c>
      <c r="E58" s="218" t="s">
        <v>8715</v>
      </c>
      <c r="F58" s="218" t="s">
        <v>8716</v>
      </c>
      <c r="G58" s="218">
        <v>3.0</v>
      </c>
      <c r="H58" s="218" t="s">
        <v>8772</v>
      </c>
      <c r="I58" s="218">
        <v>339037.0</v>
      </c>
      <c r="J58" s="218" t="s">
        <v>8770</v>
      </c>
    </row>
    <row r="59">
      <c r="A59" s="218" t="s">
        <v>8773</v>
      </c>
      <c r="B59" s="218">
        <v>321.0</v>
      </c>
      <c r="C59" s="218">
        <v>2018.0</v>
      </c>
      <c r="D59" s="218">
        <v>107702.0</v>
      </c>
      <c r="E59" s="218" t="s">
        <v>8715</v>
      </c>
      <c r="F59" s="218" t="s">
        <v>8716</v>
      </c>
      <c r="G59" s="218">
        <v>24.0</v>
      </c>
      <c r="H59" s="218" t="s">
        <v>8774</v>
      </c>
      <c r="I59" s="218">
        <v>339030.0</v>
      </c>
      <c r="J59" s="218" t="s">
        <v>249</v>
      </c>
    </row>
    <row r="60">
      <c r="A60" s="218" t="s">
        <v>8773</v>
      </c>
      <c r="B60" s="218">
        <v>322.0</v>
      </c>
      <c r="C60" s="218">
        <v>2018.0</v>
      </c>
      <c r="D60" s="218">
        <v>107702.0</v>
      </c>
      <c r="E60" s="218" t="s">
        <v>8715</v>
      </c>
      <c r="F60" s="218" t="s">
        <v>8716</v>
      </c>
      <c r="G60" s="218">
        <v>16.0</v>
      </c>
      <c r="H60" s="218" t="s">
        <v>8775</v>
      </c>
      <c r="I60" s="218">
        <v>339039.0</v>
      </c>
      <c r="J60" s="218" t="s">
        <v>8720</v>
      </c>
    </row>
    <row r="61">
      <c r="A61" s="218" t="s">
        <v>8776</v>
      </c>
      <c r="B61" s="218">
        <v>239.0</v>
      </c>
      <c r="C61" s="218">
        <v>2018.0</v>
      </c>
      <c r="D61" s="218">
        <v>107702.0</v>
      </c>
      <c r="E61" s="218" t="s">
        <v>8715</v>
      </c>
      <c r="F61" s="218" t="s">
        <v>8716</v>
      </c>
      <c r="G61" s="218">
        <v>15.0</v>
      </c>
      <c r="H61" s="218" t="s">
        <v>8722</v>
      </c>
      <c r="I61" s="218">
        <v>339039.0</v>
      </c>
      <c r="J61" s="218" t="s">
        <v>8720</v>
      </c>
    </row>
    <row r="62">
      <c r="A62" s="218" t="s">
        <v>8776</v>
      </c>
      <c r="B62" s="218">
        <v>239.0</v>
      </c>
      <c r="C62" s="218">
        <v>2018.0</v>
      </c>
      <c r="D62" s="218">
        <v>107702.0</v>
      </c>
      <c r="E62" s="218" t="s">
        <v>8715</v>
      </c>
      <c r="F62" s="218" t="s">
        <v>8716</v>
      </c>
      <c r="G62" s="218">
        <v>43.0</v>
      </c>
      <c r="H62" s="218" t="s">
        <v>8719</v>
      </c>
      <c r="I62" s="218">
        <v>339039.0</v>
      </c>
      <c r="J62" s="218" t="s">
        <v>8720</v>
      </c>
    </row>
    <row r="63">
      <c r="A63" s="218" t="s">
        <v>8776</v>
      </c>
      <c r="B63" s="218">
        <v>239.0</v>
      </c>
      <c r="C63" s="218">
        <v>2018.0</v>
      </c>
      <c r="D63" s="218">
        <v>107702.0</v>
      </c>
      <c r="E63" s="218" t="s">
        <v>8715</v>
      </c>
      <c r="F63" s="218" t="s">
        <v>8716</v>
      </c>
      <c r="G63" s="218">
        <v>44.0</v>
      </c>
      <c r="H63" s="218" t="s">
        <v>8727</v>
      </c>
      <c r="I63" s="218">
        <v>339039.0</v>
      </c>
      <c r="J63" s="218" t="s">
        <v>8720</v>
      </c>
    </row>
    <row r="64">
      <c r="A64" s="218" t="s">
        <v>8777</v>
      </c>
      <c r="B64" s="218">
        <v>19.0</v>
      </c>
      <c r="C64" s="218">
        <v>2018.0</v>
      </c>
      <c r="D64" s="218">
        <v>107702.0</v>
      </c>
      <c r="E64" s="218" t="s">
        <v>8715</v>
      </c>
      <c r="F64" s="218" t="s">
        <v>8716</v>
      </c>
      <c r="G64" s="218">
        <v>15.0</v>
      </c>
      <c r="H64" s="218" t="s">
        <v>8722</v>
      </c>
      <c r="I64" s="218">
        <v>339039.0</v>
      </c>
      <c r="J64" s="218" t="s">
        <v>8720</v>
      </c>
    </row>
    <row r="65">
      <c r="A65" s="218" t="s">
        <v>8777</v>
      </c>
      <c r="B65" s="218">
        <v>1320.0</v>
      </c>
      <c r="C65" s="218">
        <v>2018.0</v>
      </c>
      <c r="D65" s="218">
        <v>107702.0</v>
      </c>
      <c r="E65" s="218" t="s">
        <v>8715</v>
      </c>
      <c r="F65" s="218" t="s">
        <v>8716</v>
      </c>
      <c r="G65" s="218">
        <v>15.0</v>
      </c>
      <c r="H65" s="218" t="s">
        <v>8722</v>
      </c>
      <c r="I65" s="218">
        <v>339039.0</v>
      </c>
      <c r="J65" s="218" t="s">
        <v>8720</v>
      </c>
    </row>
    <row r="66">
      <c r="A66" s="218" t="s">
        <v>8777</v>
      </c>
      <c r="B66" s="218">
        <v>283.0</v>
      </c>
      <c r="C66" s="218">
        <v>2018.0</v>
      </c>
      <c r="D66" s="218">
        <v>107702.0</v>
      </c>
      <c r="E66" s="218" t="s">
        <v>8715</v>
      </c>
      <c r="F66" s="218" t="s">
        <v>8716</v>
      </c>
      <c r="G66" s="218">
        <v>10.0</v>
      </c>
      <c r="H66" s="218" t="s">
        <v>8726</v>
      </c>
      <c r="I66" s="218">
        <v>339047.0</v>
      </c>
      <c r="J66" s="218" t="s">
        <v>8718</v>
      </c>
    </row>
    <row r="67">
      <c r="A67" s="218" t="s">
        <v>8777</v>
      </c>
      <c r="B67" s="218">
        <v>124.0</v>
      </c>
      <c r="C67" s="218">
        <v>2018.0</v>
      </c>
      <c r="D67" s="218">
        <v>1077021.0</v>
      </c>
      <c r="E67" s="218" t="s">
        <v>8739</v>
      </c>
      <c r="F67" s="218" t="s">
        <v>8740</v>
      </c>
      <c r="G67" s="218">
        <v>10.0</v>
      </c>
      <c r="H67" s="218" t="s">
        <v>8723</v>
      </c>
      <c r="I67" s="218">
        <v>339039.0</v>
      </c>
      <c r="J67" s="218" t="s">
        <v>8720</v>
      </c>
    </row>
    <row r="68">
      <c r="A68" s="218" t="s">
        <v>8777</v>
      </c>
      <c r="B68" s="218">
        <v>773.0</v>
      </c>
      <c r="C68" s="218">
        <v>2018.0</v>
      </c>
      <c r="D68" s="218">
        <v>107702.0</v>
      </c>
      <c r="E68" s="218" t="s">
        <v>8715</v>
      </c>
      <c r="F68" s="218" t="s">
        <v>8716</v>
      </c>
      <c r="G68" s="218">
        <v>10.0</v>
      </c>
      <c r="H68" s="218" t="s">
        <v>8723</v>
      </c>
      <c r="I68" s="218">
        <v>339039.0</v>
      </c>
      <c r="J68" s="218" t="s">
        <v>8720</v>
      </c>
    </row>
    <row r="69">
      <c r="A69" s="218" t="s">
        <v>8778</v>
      </c>
      <c r="B69" s="218">
        <v>211.0</v>
      </c>
      <c r="C69" s="218">
        <v>2018.0</v>
      </c>
      <c r="D69" s="218">
        <v>107702.0</v>
      </c>
      <c r="E69" s="218" t="s">
        <v>8715</v>
      </c>
      <c r="F69" s="218" t="s">
        <v>8716</v>
      </c>
      <c r="G69" s="218">
        <v>58.0</v>
      </c>
      <c r="H69" s="218" t="s">
        <v>8779</v>
      </c>
      <c r="I69" s="218">
        <v>339039.0</v>
      </c>
      <c r="J69" s="218" t="s">
        <v>8720</v>
      </c>
    </row>
    <row r="70">
      <c r="A70" s="218" t="s">
        <v>8780</v>
      </c>
      <c r="B70" s="218">
        <v>227.0</v>
      </c>
      <c r="C70" s="218">
        <v>2018.0</v>
      </c>
      <c r="D70" s="218">
        <v>107702.0</v>
      </c>
      <c r="E70" s="218" t="s">
        <v>8715</v>
      </c>
      <c r="F70" s="218" t="s">
        <v>8716</v>
      </c>
      <c r="G70" s="218">
        <v>3.0</v>
      </c>
      <c r="H70" s="218" t="s">
        <v>8772</v>
      </c>
      <c r="I70" s="218">
        <v>339037.0</v>
      </c>
      <c r="J70" s="218" t="s">
        <v>8770</v>
      </c>
    </row>
    <row r="71">
      <c r="A71" s="218" t="s">
        <v>8781</v>
      </c>
      <c r="B71" s="218">
        <v>238.0</v>
      </c>
      <c r="C71" s="218">
        <v>2018.0</v>
      </c>
      <c r="D71" s="218">
        <v>107702.0</v>
      </c>
      <c r="E71" s="218" t="s">
        <v>8715</v>
      </c>
      <c r="F71" s="218" t="s">
        <v>8716</v>
      </c>
      <c r="G71" s="218">
        <v>14.0</v>
      </c>
      <c r="H71" s="218" t="s">
        <v>853</v>
      </c>
      <c r="I71" s="218">
        <v>339040.0</v>
      </c>
      <c r="J71" s="218" t="s">
        <v>136</v>
      </c>
    </row>
    <row r="72">
      <c r="A72" s="218" t="s">
        <v>8781</v>
      </c>
      <c r="B72" s="218">
        <v>177.0</v>
      </c>
      <c r="C72" s="218">
        <v>2018.0</v>
      </c>
      <c r="D72" s="218">
        <v>107702.0</v>
      </c>
      <c r="E72" s="218" t="s">
        <v>8715</v>
      </c>
      <c r="F72" s="218" t="s">
        <v>8716</v>
      </c>
      <c r="G72" s="218">
        <v>58.0</v>
      </c>
      <c r="H72" s="218" t="s">
        <v>8779</v>
      </c>
      <c r="I72" s="218">
        <v>339039.0</v>
      </c>
      <c r="J72" s="218" t="s">
        <v>8720</v>
      </c>
    </row>
    <row r="73">
      <c r="A73" s="218" t="s">
        <v>8782</v>
      </c>
      <c r="B73" s="218">
        <v>165.0</v>
      </c>
      <c r="C73" s="218">
        <v>2018.0</v>
      </c>
      <c r="D73" s="218">
        <v>107702.0</v>
      </c>
      <c r="E73" s="218" t="s">
        <v>8715</v>
      </c>
      <c r="F73" s="218" t="s">
        <v>8716</v>
      </c>
      <c r="G73" s="218">
        <v>13.0</v>
      </c>
      <c r="H73" s="218" t="s">
        <v>8762</v>
      </c>
      <c r="I73" s="218">
        <v>339040.0</v>
      </c>
      <c r="J73" s="218" t="s">
        <v>136</v>
      </c>
    </row>
    <row r="74">
      <c r="A74" s="218" t="s">
        <v>8783</v>
      </c>
      <c r="B74" s="218">
        <v>187.0</v>
      </c>
      <c r="C74" s="218">
        <v>2018.0</v>
      </c>
      <c r="D74" s="218">
        <v>107702.0</v>
      </c>
      <c r="E74" s="218" t="s">
        <v>8715</v>
      </c>
      <c r="F74" s="218" t="s">
        <v>8716</v>
      </c>
      <c r="G74" s="218">
        <v>25.0</v>
      </c>
      <c r="H74" s="218" t="s">
        <v>8784</v>
      </c>
      <c r="I74" s="218">
        <v>339030.0</v>
      </c>
      <c r="J74" s="218" t="s">
        <v>249</v>
      </c>
    </row>
    <row r="75">
      <c r="A75" s="218" t="s">
        <v>8783</v>
      </c>
      <c r="B75" s="218">
        <v>188.0</v>
      </c>
      <c r="C75" s="218">
        <v>2018.0</v>
      </c>
      <c r="D75" s="218">
        <v>107702.0</v>
      </c>
      <c r="E75" s="218" t="s">
        <v>8715</v>
      </c>
      <c r="F75" s="218" t="s">
        <v>8716</v>
      </c>
      <c r="G75" s="218">
        <v>16.0</v>
      </c>
      <c r="H75" s="218" t="s">
        <v>8775</v>
      </c>
      <c r="I75" s="218">
        <v>339039.0</v>
      </c>
      <c r="J75" s="218" t="s">
        <v>8720</v>
      </c>
    </row>
    <row r="76">
      <c r="A76" s="218" t="s">
        <v>8783</v>
      </c>
      <c r="B76" s="218">
        <v>102.0</v>
      </c>
      <c r="C76" s="218">
        <v>2018.0</v>
      </c>
      <c r="D76" s="218">
        <v>107702.0</v>
      </c>
      <c r="E76" s="218" t="s">
        <v>8715</v>
      </c>
      <c r="F76" s="218" t="s">
        <v>8716</v>
      </c>
      <c r="G76" s="218">
        <v>39.0</v>
      </c>
      <c r="H76" s="218" t="s">
        <v>8753</v>
      </c>
      <c r="I76" s="218">
        <v>339092.0</v>
      </c>
      <c r="J76" s="218" t="s">
        <v>8736</v>
      </c>
    </row>
    <row r="77">
      <c r="A77" s="218" t="s">
        <v>8785</v>
      </c>
      <c r="B77" s="218">
        <v>230.0</v>
      </c>
      <c r="C77" s="218">
        <v>2018.0</v>
      </c>
      <c r="D77" s="218">
        <v>107702.0</v>
      </c>
      <c r="E77" s="218" t="s">
        <v>8715</v>
      </c>
      <c r="F77" s="218" t="s">
        <v>8716</v>
      </c>
      <c r="G77" s="218">
        <v>3.0</v>
      </c>
      <c r="H77" s="218" t="s">
        <v>8772</v>
      </c>
      <c r="I77" s="218">
        <v>339037.0</v>
      </c>
      <c r="J77" s="218" t="s">
        <v>8770</v>
      </c>
    </row>
    <row r="78">
      <c r="A78" s="218" t="s">
        <v>8786</v>
      </c>
      <c r="B78" s="218">
        <v>157.0</v>
      </c>
      <c r="C78" s="218">
        <v>2018.0</v>
      </c>
      <c r="D78" s="218">
        <v>107702.0</v>
      </c>
      <c r="E78" s="218" t="s">
        <v>8715</v>
      </c>
      <c r="F78" s="218" t="s">
        <v>8716</v>
      </c>
      <c r="G78" s="218">
        <v>1.0</v>
      </c>
      <c r="H78" s="218" t="s">
        <v>8787</v>
      </c>
      <c r="I78" s="218">
        <v>339033.0</v>
      </c>
      <c r="J78" s="218" t="s">
        <v>8788</v>
      </c>
    </row>
    <row r="79">
      <c r="A79" s="218" t="s">
        <v>8786</v>
      </c>
      <c r="B79" s="218">
        <v>158.0</v>
      </c>
      <c r="C79" s="218">
        <v>2018.0</v>
      </c>
      <c r="D79" s="218">
        <v>107702.0</v>
      </c>
      <c r="E79" s="218" t="s">
        <v>8715</v>
      </c>
      <c r="F79" s="218" t="s">
        <v>8716</v>
      </c>
      <c r="G79" s="218">
        <v>3.0</v>
      </c>
      <c r="H79" s="218" t="s">
        <v>8789</v>
      </c>
      <c r="I79" s="218">
        <v>339039.0</v>
      </c>
      <c r="J79" s="218" t="s">
        <v>8720</v>
      </c>
    </row>
    <row r="80">
      <c r="A80" s="218" t="s">
        <v>8786</v>
      </c>
      <c r="B80" s="218">
        <v>394.0</v>
      </c>
      <c r="C80" s="218">
        <v>2018.0</v>
      </c>
      <c r="D80" s="218">
        <v>85049.0</v>
      </c>
      <c r="E80" s="218" t="s">
        <v>8790</v>
      </c>
      <c r="F80" s="218" t="s">
        <v>8791</v>
      </c>
      <c r="G80" s="218">
        <v>1.0</v>
      </c>
      <c r="H80" s="218" t="s">
        <v>8787</v>
      </c>
      <c r="I80" s="218">
        <v>339033.0</v>
      </c>
      <c r="J80" s="218" t="s">
        <v>8788</v>
      </c>
    </row>
    <row r="81">
      <c r="A81" s="218" t="s">
        <v>8786</v>
      </c>
      <c r="B81" s="218">
        <v>395.0</v>
      </c>
      <c r="C81" s="218">
        <v>2018.0</v>
      </c>
      <c r="D81" s="218">
        <v>85049.0</v>
      </c>
      <c r="E81" s="218" t="s">
        <v>8790</v>
      </c>
      <c r="F81" s="218" t="s">
        <v>8791</v>
      </c>
      <c r="G81" s="218">
        <v>3.0</v>
      </c>
      <c r="H81" s="218" t="s">
        <v>8789</v>
      </c>
      <c r="I81" s="218">
        <v>339039.0</v>
      </c>
      <c r="J81" s="218" t="s">
        <v>8720</v>
      </c>
    </row>
    <row r="82">
      <c r="A82" s="218" t="s">
        <v>8786</v>
      </c>
      <c r="B82" s="218">
        <v>154.0</v>
      </c>
      <c r="C82" s="218">
        <v>2018.0</v>
      </c>
      <c r="D82" s="218">
        <v>85049.0</v>
      </c>
      <c r="E82" s="218" t="s">
        <v>8790</v>
      </c>
      <c r="F82" s="218" t="s">
        <v>8791</v>
      </c>
      <c r="G82" s="218">
        <v>1.0</v>
      </c>
      <c r="H82" s="218" t="s">
        <v>8787</v>
      </c>
      <c r="I82" s="218">
        <v>339033.0</v>
      </c>
      <c r="J82" s="218" t="s">
        <v>8788</v>
      </c>
    </row>
    <row r="83">
      <c r="A83" s="218" t="s">
        <v>8786</v>
      </c>
      <c r="B83" s="218">
        <v>155.0</v>
      </c>
      <c r="C83" s="218">
        <v>2018.0</v>
      </c>
      <c r="D83" s="218">
        <v>85049.0</v>
      </c>
      <c r="E83" s="218" t="s">
        <v>8790</v>
      </c>
      <c r="F83" s="218" t="s">
        <v>8791</v>
      </c>
      <c r="G83" s="218">
        <v>3.0</v>
      </c>
      <c r="H83" s="218" t="s">
        <v>8789</v>
      </c>
      <c r="I83" s="218">
        <v>339039.0</v>
      </c>
      <c r="J83" s="218" t="s">
        <v>8720</v>
      </c>
    </row>
    <row r="84">
      <c r="A84" s="218" t="s">
        <v>8792</v>
      </c>
      <c r="B84" s="218">
        <v>223.0</v>
      </c>
      <c r="C84" s="218">
        <v>2018.0</v>
      </c>
      <c r="D84" s="218">
        <v>107702.0</v>
      </c>
      <c r="E84" s="218" t="s">
        <v>8715</v>
      </c>
      <c r="F84" s="218" t="s">
        <v>8716</v>
      </c>
      <c r="G84" s="218">
        <v>1.0</v>
      </c>
      <c r="H84" s="218" t="s">
        <v>8769</v>
      </c>
      <c r="I84" s="218">
        <v>339037.0</v>
      </c>
      <c r="J84" s="218" t="s">
        <v>8770</v>
      </c>
    </row>
    <row r="85">
      <c r="A85" s="218" t="s">
        <v>8793</v>
      </c>
      <c r="B85" s="218">
        <v>1019.0</v>
      </c>
      <c r="C85" s="218">
        <v>2018.0</v>
      </c>
      <c r="D85" s="218">
        <v>107702.0</v>
      </c>
      <c r="E85" s="218" t="s">
        <v>8715</v>
      </c>
      <c r="F85" s="218" t="s">
        <v>8716</v>
      </c>
      <c r="G85" s="218">
        <v>39.0</v>
      </c>
      <c r="H85" s="218" t="s">
        <v>8753</v>
      </c>
      <c r="I85" s="218">
        <v>339092.0</v>
      </c>
      <c r="J85" s="218" t="s">
        <v>8736</v>
      </c>
    </row>
    <row r="86">
      <c r="A86" s="218" t="s">
        <v>8793</v>
      </c>
      <c r="B86" s="218">
        <v>1023.0</v>
      </c>
      <c r="C86" s="218">
        <v>2018.0</v>
      </c>
      <c r="D86" s="218">
        <v>107702.0</v>
      </c>
      <c r="E86" s="218" t="s">
        <v>8715</v>
      </c>
      <c r="F86" s="218" t="s">
        <v>8716</v>
      </c>
      <c r="G86" s="218">
        <v>2.0</v>
      </c>
      <c r="H86" s="218" t="s">
        <v>8724</v>
      </c>
      <c r="I86" s="218">
        <v>339039.0</v>
      </c>
      <c r="J86" s="218" t="s">
        <v>8720</v>
      </c>
    </row>
    <row r="87">
      <c r="A87" s="218" t="s">
        <v>8793</v>
      </c>
      <c r="B87" s="218">
        <v>1023.0</v>
      </c>
      <c r="C87" s="218">
        <v>2018.0</v>
      </c>
      <c r="D87" s="218">
        <v>107702.0</v>
      </c>
      <c r="E87" s="218" t="s">
        <v>8715</v>
      </c>
      <c r="F87" s="218" t="s">
        <v>8716</v>
      </c>
      <c r="G87" s="218">
        <v>15.0</v>
      </c>
      <c r="H87" s="218" t="s">
        <v>8722</v>
      </c>
      <c r="I87" s="218">
        <v>339039.0</v>
      </c>
      <c r="J87" s="218" t="s">
        <v>8720</v>
      </c>
    </row>
    <row r="88">
      <c r="A88" s="218" t="s">
        <v>8794</v>
      </c>
      <c r="B88" s="218">
        <v>680.0</v>
      </c>
      <c r="C88" s="218">
        <v>2018.0</v>
      </c>
      <c r="D88" s="218">
        <v>107702.0</v>
      </c>
      <c r="E88" s="218" t="s">
        <v>8715</v>
      </c>
      <c r="F88" s="218" t="s">
        <v>8716</v>
      </c>
      <c r="G88" s="218">
        <v>39.0</v>
      </c>
      <c r="H88" s="218" t="s">
        <v>8753</v>
      </c>
      <c r="I88" s="218">
        <v>339092.0</v>
      </c>
      <c r="J88" s="218" t="s">
        <v>8736</v>
      </c>
    </row>
    <row r="89">
      <c r="A89" s="218" t="s">
        <v>8795</v>
      </c>
      <c r="B89" s="218">
        <v>242.0</v>
      </c>
      <c r="C89" s="218">
        <v>2018.0</v>
      </c>
      <c r="D89" s="218">
        <v>107702.0</v>
      </c>
      <c r="E89" s="218" t="s">
        <v>8715</v>
      </c>
      <c r="F89" s="218" t="s">
        <v>8716</v>
      </c>
      <c r="G89" s="218">
        <v>44.0</v>
      </c>
      <c r="H89" s="218" t="s">
        <v>8727</v>
      </c>
      <c r="I89" s="218">
        <v>339039.0</v>
      </c>
      <c r="J89" s="218" t="s">
        <v>8720</v>
      </c>
    </row>
    <row r="90">
      <c r="A90" s="218" t="s">
        <v>8796</v>
      </c>
      <c r="B90" s="218">
        <v>112.0</v>
      </c>
      <c r="C90" s="218">
        <v>2018.0</v>
      </c>
      <c r="D90" s="218">
        <v>107702.0</v>
      </c>
      <c r="E90" s="218" t="s">
        <v>8715</v>
      </c>
      <c r="F90" s="218" t="s">
        <v>8716</v>
      </c>
      <c r="G90" s="218">
        <v>47.0</v>
      </c>
      <c r="H90" s="218" t="s">
        <v>8797</v>
      </c>
      <c r="I90" s="218">
        <v>339039.0</v>
      </c>
      <c r="J90" s="218" t="s">
        <v>8720</v>
      </c>
    </row>
    <row r="91">
      <c r="A91" s="218" t="s">
        <v>8798</v>
      </c>
      <c r="B91" s="218">
        <v>91.0</v>
      </c>
      <c r="C91" s="218">
        <v>2018.0</v>
      </c>
      <c r="D91" s="218">
        <v>107702.0</v>
      </c>
      <c r="E91" s="218" t="s">
        <v>8715</v>
      </c>
      <c r="F91" s="218" t="s">
        <v>8716</v>
      </c>
      <c r="G91" s="218">
        <v>16.0</v>
      </c>
      <c r="H91" s="218" t="s">
        <v>8775</v>
      </c>
      <c r="I91" s="218">
        <v>339039.0</v>
      </c>
      <c r="J91" s="218" t="s">
        <v>8720</v>
      </c>
    </row>
    <row r="92">
      <c r="A92" s="218" t="s">
        <v>8799</v>
      </c>
      <c r="B92" s="218">
        <v>927.0</v>
      </c>
      <c r="C92" s="218">
        <v>2018.0</v>
      </c>
      <c r="D92" s="218">
        <v>107702.0</v>
      </c>
      <c r="E92" s="218" t="s">
        <v>8715</v>
      </c>
      <c r="F92" s="218" t="s">
        <v>8716</v>
      </c>
      <c r="G92" s="218">
        <v>1.0</v>
      </c>
      <c r="H92" s="218" t="s">
        <v>8769</v>
      </c>
      <c r="I92" s="218">
        <v>339037.0</v>
      </c>
      <c r="J92" s="218" t="s">
        <v>8770</v>
      </c>
    </row>
    <row r="93">
      <c r="A93" s="218" t="s">
        <v>8799</v>
      </c>
      <c r="B93" s="218">
        <v>288.0</v>
      </c>
      <c r="C93" s="218">
        <v>2018.0</v>
      </c>
      <c r="D93" s="218">
        <v>1077021.0</v>
      </c>
      <c r="E93" s="218" t="s">
        <v>8739</v>
      </c>
      <c r="F93" s="218" t="s">
        <v>8740</v>
      </c>
      <c r="G93" s="218">
        <v>2.0</v>
      </c>
      <c r="H93" s="218" t="s">
        <v>8748</v>
      </c>
      <c r="I93" s="218">
        <v>339037.0</v>
      </c>
      <c r="J93" s="218" t="s">
        <v>8770</v>
      </c>
    </row>
    <row r="94">
      <c r="A94" s="218" t="s">
        <v>8799</v>
      </c>
      <c r="B94" s="218">
        <v>288.0</v>
      </c>
      <c r="C94" s="218">
        <v>2018.0</v>
      </c>
      <c r="D94" s="218">
        <v>1077021.0</v>
      </c>
      <c r="E94" s="218" t="s">
        <v>8739</v>
      </c>
      <c r="F94" s="218" t="s">
        <v>8740</v>
      </c>
      <c r="G94" s="218">
        <v>5.0</v>
      </c>
      <c r="H94" s="218" t="s">
        <v>8800</v>
      </c>
      <c r="I94" s="218">
        <v>339037.0</v>
      </c>
      <c r="J94" s="218" t="s">
        <v>8770</v>
      </c>
    </row>
    <row r="95">
      <c r="A95" s="218" t="s">
        <v>8799</v>
      </c>
      <c r="B95" s="218">
        <v>288.0</v>
      </c>
      <c r="C95" s="218">
        <v>2018.0</v>
      </c>
      <c r="D95" s="218">
        <v>1077021.0</v>
      </c>
      <c r="E95" s="218" t="s">
        <v>8739</v>
      </c>
      <c r="F95" s="218" t="s">
        <v>8740</v>
      </c>
      <c r="G95" s="218">
        <v>1.0</v>
      </c>
      <c r="H95" s="218" t="s">
        <v>8769</v>
      </c>
      <c r="I95" s="218">
        <v>339037.0</v>
      </c>
      <c r="J95" s="218" t="s">
        <v>8770</v>
      </c>
    </row>
    <row r="96">
      <c r="A96" s="218" t="s">
        <v>8799</v>
      </c>
      <c r="B96" s="218">
        <v>927.0</v>
      </c>
      <c r="C96" s="218">
        <v>2018.0</v>
      </c>
      <c r="D96" s="218">
        <v>107702.0</v>
      </c>
      <c r="E96" s="218" t="s">
        <v>8715</v>
      </c>
      <c r="F96" s="218" t="s">
        <v>8716</v>
      </c>
      <c r="G96" s="218">
        <v>5.0</v>
      </c>
      <c r="H96" s="218" t="s">
        <v>8800</v>
      </c>
      <c r="I96" s="218">
        <v>339037.0</v>
      </c>
      <c r="J96" s="218" t="s">
        <v>8770</v>
      </c>
    </row>
    <row r="97">
      <c r="A97" s="218" t="s">
        <v>8799</v>
      </c>
      <c r="B97" s="218">
        <v>927.0</v>
      </c>
      <c r="C97" s="218">
        <v>2018.0</v>
      </c>
      <c r="D97" s="218">
        <v>107702.0</v>
      </c>
      <c r="E97" s="218" t="s">
        <v>8715</v>
      </c>
      <c r="F97" s="218" t="s">
        <v>8716</v>
      </c>
      <c r="G97" s="218">
        <v>2.0</v>
      </c>
      <c r="H97" s="218" t="s">
        <v>8748</v>
      </c>
      <c r="I97" s="218">
        <v>339037.0</v>
      </c>
      <c r="J97" s="218" t="s">
        <v>8770</v>
      </c>
    </row>
    <row r="98">
      <c r="A98" s="218" t="s">
        <v>8801</v>
      </c>
      <c r="B98" s="218">
        <v>152.0</v>
      </c>
      <c r="C98" s="218">
        <v>2018.0</v>
      </c>
      <c r="D98" s="218">
        <v>107702.0</v>
      </c>
      <c r="E98" s="218" t="s">
        <v>8715</v>
      </c>
      <c r="F98" s="218" t="s">
        <v>8716</v>
      </c>
      <c r="G98" s="218">
        <v>7.0</v>
      </c>
      <c r="H98" s="218" t="s">
        <v>8802</v>
      </c>
      <c r="I98" s="218">
        <v>339040.0</v>
      </c>
      <c r="J98" s="218" t="s">
        <v>136</v>
      </c>
    </row>
    <row r="99">
      <c r="A99" s="218" t="s">
        <v>8803</v>
      </c>
      <c r="B99" s="218">
        <v>95.0</v>
      </c>
      <c r="C99" s="218">
        <v>2018.0</v>
      </c>
      <c r="D99" s="218">
        <v>107702.0</v>
      </c>
      <c r="E99" s="218" t="s">
        <v>8715</v>
      </c>
      <c r="F99" s="218" t="s">
        <v>8716</v>
      </c>
      <c r="G99" s="218">
        <v>16.0</v>
      </c>
      <c r="H99" s="218" t="s">
        <v>8775</v>
      </c>
      <c r="I99" s="218">
        <v>339039.0</v>
      </c>
      <c r="J99" s="218" t="s">
        <v>8720</v>
      </c>
    </row>
    <row r="100">
      <c r="A100" s="218" t="s">
        <v>8803</v>
      </c>
      <c r="B100" s="218">
        <v>94.0</v>
      </c>
      <c r="C100" s="218">
        <v>2018.0</v>
      </c>
      <c r="D100" s="218">
        <v>107702.0</v>
      </c>
      <c r="E100" s="218" t="s">
        <v>8715</v>
      </c>
      <c r="F100" s="218" t="s">
        <v>8716</v>
      </c>
      <c r="G100" s="218">
        <v>16.0</v>
      </c>
      <c r="H100" s="218" t="s">
        <v>8775</v>
      </c>
      <c r="I100" s="218">
        <v>339039.0</v>
      </c>
      <c r="J100" s="218" t="s">
        <v>8720</v>
      </c>
    </row>
    <row r="101">
      <c r="A101" s="218" t="s">
        <v>8804</v>
      </c>
      <c r="B101" s="218">
        <v>249.0</v>
      </c>
      <c r="C101" s="218">
        <v>2018.0</v>
      </c>
      <c r="D101" s="218">
        <v>107702.0</v>
      </c>
      <c r="E101" s="218" t="s">
        <v>8715</v>
      </c>
      <c r="F101" s="218" t="s">
        <v>8716</v>
      </c>
      <c r="G101" s="218">
        <v>39.0</v>
      </c>
      <c r="H101" s="218" t="s">
        <v>8753</v>
      </c>
      <c r="I101" s="218">
        <v>339092.0</v>
      </c>
      <c r="J101" s="218" t="s">
        <v>8736</v>
      </c>
    </row>
    <row r="102">
      <c r="A102" s="218" t="s">
        <v>8804</v>
      </c>
      <c r="B102" s="218">
        <v>490.0</v>
      </c>
      <c r="C102" s="218">
        <v>2018.0</v>
      </c>
      <c r="D102" s="218">
        <v>107702.0</v>
      </c>
      <c r="E102" s="218" t="s">
        <v>8715</v>
      </c>
      <c r="F102" s="218" t="s">
        <v>8716</v>
      </c>
      <c r="G102" s="218">
        <v>16.0</v>
      </c>
      <c r="H102" s="218" t="s">
        <v>8775</v>
      </c>
      <c r="I102" s="218">
        <v>339039.0</v>
      </c>
      <c r="J102" s="218" t="s">
        <v>8720</v>
      </c>
    </row>
    <row r="103">
      <c r="A103" s="218" t="s">
        <v>8805</v>
      </c>
      <c r="B103" s="218">
        <v>56.0</v>
      </c>
      <c r="C103" s="218">
        <v>2018.0</v>
      </c>
      <c r="D103" s="218">
        <v>85043.0</v>
      </c>
      <c r="E103" s="218" t="s">
        <v>8806</v>
      </c>
      <c r="F103" s="218" t="s">
        <v>8807</v>
      </c>
      <c r="G103" s="218">
        <v>91.0</v>
      </c>
      <c r="H103" s="218" t="s">
        <v>8808</v>
      </c>
      <c r="I103" s="218">
        <v>449051.0</v>
      </c>
      <c r="J103" s="218" t="s">
        <v>8809</v>
      </c>
    </row>
    <row r="104">
      <c r="A104" s="218" t="s">
        <v>8810</v>
      </c>
      <c r="B104" s="218">
        <v>92.0</v>
      </c>
      <c r="C104" s="218">
        <v>2018.0</v>
      </c>
      <c r="D104" s="218">
        <v>107702.0</v>
      </c>
      <c r="E104" s="218" t="s">
        <v>8715</v>
      </c>
      <c r="F104" s="218" t="s">
        <v>8716</v>
      </c>
      <c r="G104" s="218">
        <v>16.0</v>
      </c>
      <c r="H104" s="218" t="s">
        <v>8775</v>
      </c>
      <c r="I104" s="218">
        <v>339039.0</v>
      </c>
      <c r="J104" s="218" t="s">
        <v>8720</v>
      </c>
    </row>
    <row r="105">
      <c r="A105" s="218" t="s">
        <v>8811</v>
      </c>
      <c r="B105" s="218">
        <v>85.0</v>
      </c>
      <c r="C105" s="218">
        <v>2018.0</v>
      </c>
      <c r="D105" s="218">
        <v>107702.0</v>
      </c>
      <c r="E105" s="218" t="s">
        <v>8715</v>
      </c>
      <c r="F105" s="218" t="s">
        <v>8716</v>
      </c>
      <c r="G105" s="218">
        <v>15.0</v>
      </c>
      <c r="H105" s="218" t="s">
        <v>8722</v>
      </c>
      <c r="I105" s="218">
        <v>339039.0</v>
      </c>
      <c r="J105" s="218" t="s">
        <v>8720</v>
      </c>
    </row>
    <row r="106">
      <c r="A106" s="218" t="s">
        <v>8811</v>
      </c>
      <c r="B106" s="218">
        <v>85.0</v>
      </c>
      <c r="C106" s="218">
        <v>2018.0</v>
      </c>
      <c r="D106" s="218">
        <v>107702.0</v>
      </c>
      <c r="E106" s="218" t="s">
        <v>8715</v>
      </c>
      <c r="F106" s="218" t="s">
        <v>8716</v>
      </c>
      <c r="G106" s="218">
        <v>10.0</v>
      </c>
      <c r="H106" s="218" t="s">
        <v>8723</v>
      </c>
      <c r="I106" s="218">
        <v>339039.0</v>
      </c>
      <c r="J106" s="218" t="s">
        <v>8720</v>
      </c>
    </row>
    <row r="107">
      <c r="A107" s="218" t="s">
        <v>8812</v>
      </c>
      <c r="B107" s="218">
        <v>244.0</v>
      </c>
      <c r="C107" s="218">
        <v>2018.0</v>
      </c>
      <c r="D107" s="218">
        <v>1077020.0</v>
      </c>
      <c r="E107" s="218" t="s">
        <v>8767</v>
      </c>
      <c r="F107" s="218" t="s">
        <v>8768</v>
      </c>
      <c r="G107" s="218">
        <v>3.0</v>
      </c>
      <c r="H107" s="218" t="s">
        <v>8772</v>
      </c>
      <c r="I107" s="218">
        <v>339037.0</v>
      </c>
      <c r="J107" s="218" t="s">
        <v>8770</v>
      </c>
    </row>
    <row r="108">
      <c r="A108" s="218" t="s">
        <v>8813</v>
      </c>
      <c r="B108" s="218">
        <v>309.0</v>
      </c>
      <c r="C108" s="218">
        <v>2018.0</v>
      </c>
      <c r="D108" s="218">
        <v>107702.0</v>
      </c>
      <c r="E108" s="218" t="s">
        <v>8715</v>
      </c>
      <c r="F108" s="218" t="s">
        <v>8716</v>
      </c>
      <c r="G108" s="218">
        <v>92.0</v>
      </c>
      <c r="H108" s="218" t="s">
        <v>249</v>
      </c>
      <c r="I108" s="218">
        <v>339092.0</v>
      </c>
      <c r="J108" s="218" t="s">
        <v>8736</v>
      </c>
    </row>
    <row r="109">
      <c r="A109" s="218" t="s">
        <v>8814</v>
      </c>
      <c r="B109" s="218">
        <v>184.0</v>
      </c>
      <c r="C109" s="218">
        <v>2018.0</v>
      </c>
      <c r="D109" s="218">
        <v>107702.0</v>
      </c>
      <c r="E109" s="218" t="s">
        <v>8715</v>
      </c>
      <c r="F109" s="218" t="s">
        <v>8716</v>
      </c>
      <c r="G109" s="218">
        <v>77.0</v>
      </c>
      <c r="H109" s="218" t="s">
        <v>8815</v>
      </c>
      <c r="I109" s="218">
        <v>339039.0</v>
      </c>
      <c r="J109" s="218" t="s">
        <v>8720</v>
      </c>
    </row>
    <row r="110">
      <c r="A110" s="218" t="s">
        <v>8816</v>
      </c>
      <c r="B110" s="218">
        <v>173.0</v>
      </c>
      <c r="C110" s="218">
        <v>2018.0</v>
      </c>
      <c r="D110" s="218">
        <v>107702.0</v>
      </c>
      <c r="E110" s="218" t="s">
        <v>8715</v>
      </c>
      <c r="F110" s="218" t="s">
        <v>8716</v>
      </c>
      <c r="G110" s="218">
        <v>12.0</v>
      </c>
      <c r="H110" s="218" t="s">
        <v>8817</v>
      </c>
      <c r="I110" s="218">
        <v>339040.0</v>
      </c>
      <c r="J110" s="218" t="s">
        <v>136</v>
      </c>
    </row>
    <row r="111">
      <c r="A111" s="218" t="s">
        <v>8818</v>
      </c>
      <c r="B111" s="218">
        <v>245.0</v>
      </c>
      <c r="C111" s="218">
        <v>2018.0</v>
      </c>
      <c r="D111" s="218">
        <v>107702.0</v>
      </c>
      <c r="E111" s="218" t="s">
        <v>8715</v>
      </c>
      <c r="F111" s="218" t="s">
        <v>8716</v>
      </c>
      <c r="G111" s="218">
        <v>14.0</v>
      </c>
      <c r="H111" s="218" t="s">
        <v>853</v>
      </c>
      <c r="I111" s="218">
        <v>339040.0</v>
      </c>
      <c r="J111" s="218" t="s">
        <v>136</v>
      </c>
    </row>
    <row r="112">
      <c r="A112" s="218" t="s">
        <v>8819</v>
      </c>
      <c r="B112" s="218">
        <v>189.0</v>
      </c>
      <c r="C112" s="218">
        <v>2018.0</v>
      </c>
      <c r="D112" s="218">
        <v>107702.0</v>
      </c>
      <c r="E112" s="218" t="s">
        <v>8715</v>
      </c>
      <c r="F112" s="218" t="s">
        <v>8716</v>
      </c>
      <c r="G112" s="218">
        <v>79.0</v>
      </c>
      <c r="H112" s="218" t="s">
        <v>8820</v>
      </c>
      <c r="I112" s="218">
        <v>339039.0</v>
      </c>
      <c r="J112" s="218" t="s">
        <v>8720</v>
      </c>
    </row>
    <row r="113">
      <c r="A113" s="218" t="s">
        <v>8819</v>
      </c>
      <c r="B113" s="218">
        <v>246.0</v>
      </c>
      <c r="C113" s="218">
        <v>2018.0</v>
      </c>
      <c r="D113" s="218">
        <v>107702.0</v>
      </c>
      <c r="E113" s="218" t="s">
        <v>8715</v>
      </c>
      <c r="F113" s="218" t="s">
        <v>8716</v>
      </c>
      <c r="G113" s="218">
        <v>39.0</v>
      </c>
      <c r="H113" s="218" t="s">
        <v>8753</v>
      </c>
      <c r="I113" s="218">
        <v>339092.0</v>
      </c>
      <c r="J113" s="218" t="s">
        <v>8736</v>
      </c>
    </row>
    <row r="114">
      <c r="A114" s="218" t="s">
        <v>8821</v>
      </c>
      <c r="B114" s="218">
        <v>174.0</v>
      </c>
      <c r="C114" s="218">
        <v>2018.0</v>
      </c>
      <c r="D114" s="218">
        <v>107702.0</v>
      </c>
      <c r="E114" s="218" t="s">
        <v>8715</v>
      </c>
      <c r="F114" s="218" t="s">
        <v>8716</v>
      </c>
      <c r="G114" s="218">
        <v>6.0</v>
      </c>
      <c r="H114" s="218" t="s">
        <v>846</v>
      </c>
      <c r="I114" s="218">
        <v>339040.0</v>
      </c>
      <c r="J114" s="218" t="s">
        <v>136</v>
      </c>
    </row>
    <row r="115">
      <c r="A115" s="218" t="s">
        <v>8822</v>
      </c>
      <c r="B115" s="218">
        <v>175.0</v>
      </c>
      <c r="C115" s="218">
        <v>2018.0</v>
      </c>
      <c r="D115" s="218">
        <v>107702.0</v>
      </c>
      <c r="E115" s="218" t="s">
        <v>8715</v>
      </c>
      <c r="F115" s="218" t="s">
        <v>8716</v>
      </c>
      <c r="G115" s="218">
        <v>12.0</v>
      </c>
      <c r="H115" s="218" t="s">
        <v>8817</v>
      </c>
      <c r="I115" s="218">
        <v>339040.0</v>
      </c>
      <c r="J115" s="218" t="s">
        <v>136</v>
      </c>
    </row>
    <row r="116">
      <c r="A116" s="218" t="s">
        <v>8823</v>
      </c>
      <c r="B116" s="218">
        <v>216.0</v>
      </c>
      <c r="C116" s="218">
        <v>2018.0</v>
      </c>
      <c r="D116" s="218">
        <v>107702.0</v>
      </c>
      <c r="E116" s="218" t="s">
        <v>8715</v>
      </c>
      <c r="F116" s="218" t="s">
        <v>8716</v>
      </c>
      <c r="G116" s="218">
        <v>1.0</v>
      </c>
      <c r="H116" s="218" t="s">
        <v>8769</v>
      </c>
      <c r="I116" s="218">
        <v>339037.0</v>
      </c>
      <c r="J116" s="218" t="s">
        <v>8770</v>
      </c>
    </row>
    <row r="117">
      <c r="A117" s="218" t="s">
        <v>8823</v>
      </c>
      <c r="B117" s="218">
        <v>216.0</v>
      </c>
      <c r="C117" s="218">
        <v>2018.0</v>
      </c>
      <c r="D117" s="218">
        <v>107702.0</v>
      </c>
      <c r="E117" s="218" t="s">
        <v>8715</v>
      </c>
      <c r="F117" s="218" t="s">
        <v>8716</v>
      </c>
      <c r="G117" s="218">
        <v>2.0</v>
      </c>
      <c r="H117" s="218" t="s">
        <v>8748</v>
      </c>
      <c r="I117" s="218">
        <v>339037.0</v>
      </c>
      <c r="J117" s="218" t="s">
        <v>8770</v>
      </c>
    </row>
    <row r="118">
      <c r="A118" s="218" t="s">
        <v>8823</v>
      </c>
      <c r="B118" s="218">
        <v>216.0</v>
      </c>
      <c r="C118" s="218">
        <v>2018.0</v>
      </c>
      <c r="D118" s="218">
        <v>107702.0</v>
      </c>
      <c r="E118" s="218" t="s">
        <v>8715</v>
      </c>
      <c r="F118" s="218" t="s">
        <v>8716</v>
      </c>
      <c r="G118" s="218">
        <v>5.0</v>
      </c>
      <c r="H118" s="218" t="s">
        <v>8800</v>
      </c>
      <c r="I118" s="218">
        <v>339037.0</v>
      </c>
      <c r="J118" s="218" t="s">
        <v>8770</v>
      </c>
    </row>
    <row r="119">
      <c r="A119" s="218" t="s">
        <v>8824</v>
      </c>
      <c r="B119" s="218">
        <v>142.0</v>
      </c>
      <c r="C119" s="218">
        <v>2018.0</v>
      </c>
      <c r="D119" s="218">
        <v>107702.0</v>
      </c>
      <c r="E119" s="218" t="s">
        <v>8715</v>
      </c>
      <c r="F119" s="218" t="s">
        <v>8716</v>
      </c>
      <c r="G119" s="218">
        <v>17.0</v>
      </c>
      <c r="H119" s="218" t="s">
        <v>8825</v>
      </c>
      <c r="I119" s="218">
        <v>339039.0</v>
      </c>
      <c r="J119" s="218" t="s">
        <v>8720</v>
      </c>
    </row>
    <row r="120">
      <c r="A120" s="218" t="s">
        <v>8824</v>
      </c>
      <c r="B120" s="218">
        <v>143.0</v>
      </c>
      <c r="C120" s="218">
        <v>2018.0</v>
      </c>
      <c r="D120" s="218">
        <v>107702.0</v>
      </c>
      <c r="E120" s="218" t="s">
        <v>8715</v>
      </c>
      <c r="F120" s="218" t="s">
        <v>8716</v>
      </c>
      <c r="G120" s="218">
        <v>25.0</v>
      </c>
      <c r="H120" s="218" t="s">
        <v>8784</v>
      </c>
      <c r="I120" s="218">
        <v>339030.0</v>
      </c>
      <c r="J120" s="218" t="s">
        <v>249</v>
      </c>
    </row>
    <row r="121">
      <c r="A121" s="218" t="s">
        <v>8826</v>
      </c>
      <c r="B121" s="218">
        <v>88.0</v>
      </c>
      <c r="C121" s="218">
        <v>2018.0</v>
      </c>
      <c r="D121" s="218">
        <v>107702.0</v>
      </c>
      <c r="E121" s="218" t="s">
        <v>8715</v>
      </c>
      <c r="F121" s="218" t="s">
        <v>8716</v>
      </c>
      <c r="G121" s="218">
        <v>41.0</v>
      </c>
      <c r="H121" s="218" t="s">
        <v>8827</v>
      </c>
      <c r="I121" s="218">
        <v>339039.0</v>
      </c>
      <c r="J121" s="218" t="s">
        <v>8720</v>
      </c>
    </row>
    <row r="122">
      <c r="A122" s="218" t="s">
        <v>8826</v>
      </c>
      <c r="B122" s="218">
        <v>396.0</v>
      </c>
      <c r="C122" s="218">
        <v>2018.0</v>
      </c>
      <c r="D122" s="218">
        <v>85049.0</v>
      </c>
      <c r="E122" s="218" t="s">
        <v>8790</v>
      </c>
      <c r="F122" s="218" t="s">
        <v>8791</v>
      </c>
      <c r="G122" s="218">
        <v>41.0</v>
      </c>
      <c r="H122" s="218" t="s">
        <v>8827</v>
      </c>
      <c r="I122" s="218">
        <v>339039.0</v>
      </c>
      <c r="J122" s="218" t="s">
        <v>8720</v>
      </c>
    </row>
    <row r="123">
      <c r="A123" s="218" t="s">
        <v>8826</v>
      </c>
      <c r="B123" s="218">
        <v>90.0</v>
      </c>
      <c r="C123" s="218">
        <v>2018.0</v>
      </c>
      <c r="D123" s="218">
        <v>85049.0</v>
      </c>
      <c r="E123" s="218" t="s">
        <v>8790</v>
      </c>
      <c r="F123" s="218" t="s">
        <v>8791</v>
      </c>
      <c r="G123" s="218">
        <v>41.0</v>
      </c>
      <c r="H123" s="218" t="s">
        <v>8827</v>
      </c>
      <c r="I123" s="218">
        <v>339039.0</v>
      </c>
      <c r="J123" s="218" t="s">
        <v>8720</v>
      </c>
    </row>
    <row r="124">
      <c r="A124" s="218" t="s">
        <v>8828</v>
      </c>
      <c r="B124" s="218">
        <v>147.0</v>
      </c>
      <c r="C124" s="218">
        <v>2018.0</v>
      </c>
      <c r="D124" s="218">
        <v>85046.0</v>
      </c>
      <c r="E124" s="218" t="s">
        <v>8756</v>
      </c>
      <c r="F124" s="218" t="s">
        <v>8716</v>
      </c>
      <c r="G124" s="218">
        <v>11.0</v>
      </c>
      <c r="H124" s="218" t="s">
        <v>8757</v>
      </c>
      <c r="I124" s="218">
        <v>339040.0</v>
      </c>
      <c r="J124" s="218" t="s">
        <v>136</v>
      </c>
    </row>
    <row r="125">
      <c r="A125" s="218" t="s">
        <v>8829</v>
      </c>
      <c r="B125" s="218">
        <v>98.0</v>
      </c>
      <c r="C125" s="218">
        <v>2018.0</v>
      </c>
      <c r="D125" s="218">
        <v>107702.0</v>
      </c>
      <c r="E125" s="218" t="s">
        <v>8715</v>
      </c>
      <c r="F125" s="218" t="s">
        <v>8716</v>
      </c>
      <c r="G125" s="218">
        <v>16.0</v>
      </c>
      <c r="H125" s="218" t="s">
        <v>8775</v>
      </c>
      <c r="I125" s="218">
        <v>339039.0</v>
      </c>
      <c r="J125" s="218" t="s">
        <v>8720</v>
      </c>
    </row>
    <row r="126">
      <c r="A126" s="218" t="s">
        <v>8830</v>
      </c>
      <c r="B126" s="218">
        <v>204.0</v>
      </c>
      <c r="C126" s="218">
        <v>2018.0</v>
      </c>
      <c r="D126" s="218">
        <v>107702.0</v>
      </c>
      <c r="E126" s="218" t="s">
        <v>8715</v>
      </c>
      <c r="F126" s="218" t="s">
        <v>8716</v>
      </c>
      <c r="G126" s="218">
        <v>58.0</v>
      </c>
      <c r="H126" s="218" t="s">
        <v>8779</v>
      </c>
      <c r="I126" s="218">
        <v>339039.0</v>
      </c>
      <c r="J126" s="218" t="s">
        <v>8720</v>
      </c>
    </row>
    <row r="127">
      <c r="A127" s="218" t="s">
        <v>8831</v>
      </c>
      <c r="B127" s="218">
        <v>103.0</v>
      </c>
      <c r="C127" s="218">
        <v>2018.0</v>
      </c>
      <c r="D127" s="218">
        <v>107702.0</v>
      </c>
      <c r="E127" s="218" t="s">
        <v>8715</v>
      </c>
      <c r="F127" s="218" t="s">
        <v>8716</v>
      </c>
      <c r="G127" s="218">
        <v>37.0</v>
      </c>
      <c r="H127" s="218" t="s">
        <v>8832</v>
      </c>
      <c r="I127" s="218">
        <v>339092.0</v>
      </c>
      <c r="J127" s="218" t="s">
        <v>8736</v>
      </c>
    </row>
    <row r="128">
      <c r="A128" s="218" t="s">
        <v>8831</v>
      </c>
      <c r="B128" s="218">
        <v>226.0</v>
      </c>
      <c r="C128" s="218">
        <v>2018.0</v>
      </c>
      <c r="D128" s="218">
        <v>107702.0</v>
      </c>
      <c r="E128" s="218" t="s">
        <v>8715</v>
      </c>
      <c r="F128" s="218" t="s">
        <v>8716</v>
      </c>
      <c r="G128" s="218">
        <v>3.0</v>
      </c>
      <c r="H128" s="218" t="s">
        <v>8772</v>
      </c>
      <c r="I128" s="218">
        <v>339037.0</v>
      </c>
      <c r="J128" s="218" t="s">
        <v>8770</v>
      </c>
    </row>
    <row r="129">
      <c r="A129" s="218" t="s">
        <v>8833</v>
      </c>
      <c r="B129" s="218">
        <v>163.0</v>
      </c>
      <c r="C129" s="218">
        <v>2018.0</v>
      </c>
      <c r="D129" s="218">
        <v>107702.0</v>
      </c>
      <c r="E129" s="218" t="s">
        <v>8715</v>
      </c>
      <c r="F129" s="218" t="s">
        <v>8716</v>
      </c>
      <c r="G129" s="218">
        <v>78.0</v>
      </c>
      <c r="H129" s="218" t="s">
        <v>8748</v>
      </c>
      <c r="I129" s="218">
        <v>339039.0</v>
      </c>
      <c r="J129" s="218" t="s">
        <v>8720</v>
      </c>
    </row>
    <row r="130">
      <c r="A130" s="218" t="s">
        <v>8834</v>
      </c>
      <c r="B130" s="218">
        <v>1029.0</v>
      </c>
      <c r="C130" s="218">
        <v>2018.0</v>
      </c>
      <c r="D130" s="218">
        <v>107702.0</v>
      </c>
      <c r="E130" s="218" t="s">
        <v>8715</v>
      </c>
      <c r="F130" s="218" t="s">
        <v>8716</v>
      </c>
      <c r="G130" s="218">
        <v>39.0</v>
      </c>
      <c r="H130" s="218" t="s">
        <v>8753</v>
      </c>
      <c r="I130" s="218">
        <v>339092.0</v>
      </c>
      <c r="J130" s="218" t="s">
        <v>8736</v>
      </c>
    </row>
    <row r="131">
      <c r="A131" s="218" t="s">
        <v>8834</v>
      </c>
      <c r="B131" s="218">
        <v>962.0</v>
      </c>
      <c r="C131" s="218">
        <v>2018.0</v>
      </c>
      <c r="D131" s="218">
        <v>107702.0</v>
      </c>
      <c r="E131" s="218" t="s">
        <v>8715</v>
      </c>
      <c r="F131" s="218" t="s">
        <v>8716</v>
      </c>
      <c r="G131" s="218">
        <v>58.0</v>
      </c>
      <c r="H131" s="218" t="s">
        <v>8779</v>
      </c>
      <c r="I131" s="218">
        <v>339039.0</v>
      </c>
      <c r="J131" s="218" t="s">
        <v>8720</v>
      </c>
    </row>
    <row r="132">
      <c r="A132" s="218" t="s">
        <v>8835</v>
      </c>
      <c r="B132" s="218">
        <v>240.0</v>
      </c>
      <c r="C132" s="218">
        <v>2018.0</v>
      </c>
      <c r="D132" s="218">
        <v>107702.0</v>
      </c>
      <c r="E132" s="218" t="s">
        <v>8715</v>
      </c>
      <c r="F132" s="218" t="s">
        <v>8716</v>
      </c>
      <c r="G132" s="218">
        <v>43.0</v>
      </c>
      <c r="H132" s="218" t="s">
        <v>8719</v>
      </c>
      <c r="I132" s="218">
        <v>339039.0</v>
      </c>
      <c r="J132" s="218" t="s">
        <v>8720</v>
      </c>
    </row>
    <row r="133">
      <c r="A133" s="218" t="s">
        <v>8835</v>
      </c>
      <c r="B133" s="218">
        <v>240.0</v>
      </c>
      <c r="C133" s="218">
        <v>2018.0</v>
      </c>
      <c r="D133" s="218">
        <v>107702.0</v>
      </c>
      <c r="E133" s="218" t="s">
        <v>8715</v>
      </c>
      <c r="F133" s="218" t="s">
        <v>8716</v>
      </c>
      <c r="G133" s="218">
        <v>15.0</v>
      </c>
      <c r="H133" s="218" t="s">
        <v>8722</v>
      </c>
      <c r="I133" s="218">
        <v>339039.0</v>
      </c>
      <c r="J133" s="218" t="s">
        <v>8720</v>
      </c>
    </row>
    <row r="134">
      <c r="A134" s="218" t="s">
        <v>8835</v>
      </c>
      <c r="B134" s="218">
        <v>347.0</v>
      </c>
      <c r="C134" s="218">
        <v>2018.0</v>
      </c>
      <c r="D134" s="218">
        <v>107702.0</v>
      </c>
      <c r="E134" s="218" t="s">
        <v>8715</v>
      </c>
      <c r="F134" s="218" t="s">
        <v>8716</v>
      </c>
      <c r="G134" s="218">
        <v>39.0</v>
      </c>
      <c r="H134" s="218" t="s">
        <v>8753</v>
      </c>
      <c r="I134" s="218">
        <v>339092.0</v>
      </c>
      <c r="J134" s="218" t="s">
        <v>8736</v>
      </c>
    </row>
    <row r="135">
      <c r="A135" s="218" t="s">
        <v>8835</v>
      </c>
      <c r="B135" s="218">
        <v>240.0</v>
      </c>
      <c r="C135" s="218">
        <v>2018.0</v>
      </c>
      <c r="D135" s="218">
        <v>107702.0</v>
      </c>
      <c r="E135" s="218" t="s">
        <v>8715</v>
      </c>
      <c r="F135" s="218" t="s">
        <v>8716</v>
      </c>
      <c r="G135" s="218">
        <v>17.0</v>
      </c>
      <c r="H135" s="218" t="s">
        <v>8825</v>
      </c>
      <c r="I135" s="218">
        <v>339039.0</v>
      </c>
      <c r="J135" s="218" t="s">
        <v>8720</v>
      </c>
    </row>
    <row r="136">
      <c r="A136" s="218" t="s">
        <v>8835</v>
      </c>
      <c r="B136" s="218">
        <v>240.0</v>
      </c>
      <c r="C136" s="218">
        <v>2018.0</v>
      </c>
      <c r="D136" s="218">
        <v>107702.0</v>
      </c>
      <c r="E136" s="218" t="s">
        <v>8715</v>
      </c>
      <c r="F136" s="218" t="s">
        <v>8716</v>
      </c>
      <c r="G136" s="218">
        <v>44.0</v>
      </c>
      <c r="H136" s="218" t="s">
        <v>8727</v>
      </c>
      <c r="I136" s="218">
        <v>339039.0</v>
      </c>
      <c r="J136" s="218" t="s">
        <v>8720</v>
      </c>
    </row>
    <row r="137">
      <c r="A137" s="218" t="s">
        <v>8836</v>
      </c>
      <c r="B137" s="218">
        <v>149.0</v>
      </c>
      <c r="C137" s="218">
        <v>2018.0</v>
      </c>
      <c r="D137" s="218">
        <v>85046.0</v>
      </c>
      <c r="E137" s="218" t="s">
        <v>8756</v>
      </c>
      <c r="F137" s="218" t="s">
        <v>8716</v>
      </c>
      <c r="G137" s="218">
        <v>1.0</v>
      </c>
      <c r="H137" s="218" t="s">
        <v>379</v>
      </c>
      <c r="I137" s="218">
        <v>449040.0</v>
      </c>
      <c r="J137" s="218" t="s">
        <v>8837</v>
      </c>
    </row>
    <row r="138">
      <c r="A138" s="218" t="s">
        <v>8838</v>
      </c>
      <c r="B138" s="218">
        <v>219.0</v>
      </c>
      <c r="C138" s="218">
        <v>2018.0</v>
      </c>
      <c r="D138" s="218">
        <v>107702.0</v>
      </c>
      <c r="E138" s="218" t="s">
        <v>8715</v>
      </c>
      <c r="F138" s="218" t="s">
        <v>8716</v>
      </c>
      <c r="G138" s="218">
        <v>58.0</v>
      </c>
      <c r="H138" s="218" t="s">
        <v>8779</v>
      </c>
      <c r="I138" s="218">
        <v>339039.0</v>
      </c>
      <c r="J138" s="218" t="s">
        <v>8720</v>
      </c>
    </row>
    <row r="139">
      <c r="A139" s="218" t="s">
        <v>8839</v>
      </c>
      <c r="B139" s="218">
        <v>549.0</v>
      </c>
      <c r="C139" s="218">
        <v>2018.0</v>
      </c>
      <c r="D139" s="218">
        <v>107702.0</v>
      </c>
      <c r="E139" s="218" t="s">
        <v>8715</v>
      </c>
      <c r="F139" s="218" t="s">
        <v>8716</v>
      </c>
      <c r="G139" s="218">
        <v>39.0</v>
      </c>
      <c r="H139" s="218" t="s">
        <v>8753</v>
      </c>
      <c r="I139" s="218">
        <v>339092.0</v>
      </c>
      <c r="J139" s="218" t="s">
        <v>8736</v>
      </c>
    </row>
    <row r="140">
      <c r="A140" s="218" t="s">
        <v>8839</v>
      </c>
      <c r="B140" s="218">
        <v>113.0</v>
      </c>
      <c r="C140" s="218">
        <v>2018.0</v>
      </c>
      <c r="D140" s="218">
        <v>107702.0</v>
      </c>
      <c r="E140" s="218" t="s">
        <v>8715</v>
      </c>
      <c r="F140" s="218" t="s">
        <v>8716</v>
      </c>
      <c r="G140" s="218">
        <v>74.0</v>
      </c>
      <c r="H140" s="218" t="s">
        <v>8840</v>
      </c>
      <c r="I140" s="218">
        <v>339039.0</v>
      </c>
      <c r="J140" s="218" t="s">
        <v>8720</v>
      </c>
    </row>
    <row r="141">
      <c r="A141" s="218" t="s">
        <v>8841</v>
      </c>
      <c r="B141" s="218">
        <v>161.0</v>
      </c>
      <c r="C141" s="218">
        <v>2018.0</v>
      </c>
      <c r="D141" s="218">
        <v>85046.0</v>
      </c>
      <c r="E141" s="218" t="s">
        <v>8756</v>
      </c>
      <c r="F141" s="218" t="s">
        <v>8716</v>
      </c>
      <c r="G141" s="218">
        <v>7.0</v>
      </c>
      <c r="H141" s="218" t="s">
        <v>8802</v>
      </c>
      <c r="I141" s="218">
        <v>339040.0</v>
      </c>
      <c r="J141" s="218" t="s">
        <v>136</v>
      </c>
    </row>
    <row r="142">
      <c r="A142" s="218" t="s">
        <v>8842</v>
      </c>
      <c r="B142" s="218">
        <v>137.0</v>
      </c>
      <c r="C142" s="218">
        <v>2018.0</v>
      </c>
      <c r="D142" s="218">
        <v>85046.0</v>
      </c>
      <c r="E142" s="218" t="s">
        <v>8756</v>
      </c>
      <c r="F142" s="218" t="s">
        <v>8716</v>
      </c>
      <c r="G142" s="218">
        <v>7.0</v>
      </c>
      <c r="H142" s="218" t="s">
        <v>8802</v>
      </c>
      <c r="I142" s="218">
        <v>339040.0</v>
      </c>
      <c r="J142" s="218" t="s">
        <v>136</v>
      </c>
    </row>
    <row r="143">
      <c r="A143" s="218" t="s">
        <v>8843</v>
      </c>
      <c r="B143" s="218">
        <v>171.0</v>
      </c>
      <c r="C143" s="218">
        <v>2018.0</v>
      </c>
      <c r="D143" s="218">
        <v>107702.0</v>
      </c>
      <c r="E143" s="218" t="s">
        <v>8715</v>
      </c>
      <c r="F143" s="218" t="s">
        <v>8716</v>
      </c>
      <c r="G143" s="218">
        <v>77.0</v>
      </c>
      <c r="H143" s="218" t="s">
        <v>8815</v>
      </c>
      <c r="I143" s="218">
        <v>339039.0</v>
      </c>
      <c r="J143" s="218" t="s">
        <v>8720</v>
      </c>
    </row>
    <row r="144">
      <c r="A144" s="218" t="s">
        <v>8843</v>
      </c>
      <c r="B144" s="218">
        <v>170.0</v>
      </c>
      <c r="C144" s="218">
        <v>2018.0</v>
      </c>
      <c r="D144" s="218">
        <v>107702.0</v>
      </c>
      <c r="E144" s="218" t="s">
        <v>8715</v>
      </c>
      <c r="F144" s="218" t="s">
        <v>8716</v>
      </c>
      <c r="G144" s="218">
        <v>77.0</v>
      </c>
      <c r="H144" s="218" t="s">
        <v>8815</v>
      </c>
      <c r="I144" s="218">
        <v>339039.0</v>
      </c>
      <c r="J144" s="218" t="s">
        <v>8720</v>
      </c>
    </row>
    <row r="145">
      <c r="A145" s="218" t="s">
        <v>8844</v>
      </c>
      <c r="B145" s="218">
        <v>213.0</v>
      </c>
      <c r="C145" s="218">
        <v>2018.0</v>
      </c>
      <c r="D145" s="218">
        <v>1077020.0</v>
      </c>
      <c r="E145" s="218" t="s">
        <v>8767</v>
      </c>
      <c r="F145" s="218" t="s">
        <v>8768</v>
      </c>
      <c r="G145" s="218">
        <v>2.0</v>
      </c>
      <c r="H145" s="218" t="s">
        <v>8748</v>
      </c>
      <c r="I145" s="218">
        <v>339037.0</v>
      </c>
      <c r="J145" s="218" t="s">
        <v>8770</v>
      </c>
    </row>
    <row r="146">
      <c r="A146" s="218" t="s">
        <v>8844</v>
      </c>
      <c r="B146" s="218">
        <v>215.0</v>
      </c>
      <c r="C146" s="218">
        <v>2018.0</v>
      </c>
      <c r="D146" s="218">
        <v>1077020.0</v>
      </c>
      <c r="E146" s="218" t="s">
        <v>8767</v>
      </c>
      <c r="F146" s="218" t="s">
        <v>8768</v>
      </c>
      <c r="G146" s="218">
        <v>2.0</v>
      </c>
      <c r="H146" s="218" t="s">
        <v>8748</v>
      </c>
      <c r="I146" s="218">
        <v>339037.0</v>
      </c>
      <c r="J146" s="218" t="s">
        <v>8770</v>
      </c>
    </row>
    <row r="147">
      <c r="A147" s="218" t="s">
        <v>8844</v>
      </c>
      <c r="B147" s="218">
        <v>214.0</v>
      </c>
      <c r="C147" s="218">
        <v>2018.0</v>
      </c>
      <c r="D147" s="218">
        <v>107702.0</v>
      </c>
      <c r="E147" s="218" t="s">
        <v>8715</v>
      </c>
      <c r="F147" s="218" t="s">
        <v>8716</v>
      </c>
      <c r="G147" s="218">
        <v>1.0</v>
      </c>
      <c r="H147" s="218" t="s">
        <v>8769</v>
      </c>
      <c r="I147" s="218">
        <v>339037.0</v>
      </c>
      <c r="J147" s="218" t="s">
        <v>8770</v>
      </c>
    </row>
    <row r="148">
      <c r="A148" s="218" t="s">
        <v>8844</v>
      </c>
      <c r="B148" s="218">
        <v>212.0</v>
      </c>
      <c r="C148" s="218">
        <v>2018.0</v>
      </c>
      <c r="D148" s="218">
        <v>107702.0</v>
      </c>
      <c r="E148" s="218" t="s">
        <v>8715</v>
      </c>
      <c r="F148" s="218" t="s">
        <v>8716</v>
      </c>
      <c r="G148" s="218">
        <v>1.0</v>
      </c>
      <c r="H148" s="218" t="s">
        <v>8769</v>
      </c>
      <c r="I148" s="218">
        <v>339037.0</v>
      </c>
      <c r="J148" s="218" t="s">
        <v>8770</v>
      </c>
    </row>
    <row r="149">
      <c r="A149" s="218" t="s">
        <v>8845</v>
      </c>
      <c r="B149" s="218">
        <v>250.0</v>
      </c>
      <c r="C149" s="218">
        <v>2018.0</v>
      </c>
      <c r="D149" s="218">
        <v>107702.0</v>
      </c>
      <c r="E149" s="218" t="s">
        <v>8715</v>
      </c>
      <c r="F149" s="218" t="s">
        <v>8716</v>
      </c>
      <c r="G149" s="218">
        <v>39.0</v>
      </c>
      <c r="H149" s="218" t="s">
        <v>8753</v>
      </c>
      <c r="I149" s="218">
        <v>339092.0</v>
      </c>
      <c r="J149" s="218" t="s">
        <v>8736</v>
      </c>
    </row>
    <row r="150">
      <c r="A150" s="218" t="s">
        <v>8845</v>
      </c>
      <c r="B150" s="218">
        <v>302.0</v>
      </c>
      <c r="C150" s="218">
        <v>2018.0</v>
      </c>
      <c r="D150" s="218">
        <v>107702.0</v>
      </c>
      <c r="E150" s="218" t="s">
        <v>8715</v>
      </c>
      <c r="F150" s="218" t="s">
        <v>8716</v>
      </c>
      <c r="G150" s="218">
        <v>46.0</v>
      </c>
      <c r="H150" s="218" t="s">
        <v>8846</v>
      </c>
      <c r="I150" s="218">
        <v>339039.0</v>
      </c>
      <c r="J150" s="218" t="s">
        <v>8720</v>
      </c>
    </row>
    <row r="151">
      <c r="A151" s="218" t="s">
        <v>8847</v>
      </c>
      <c r="B151" s="218">
        <v>243.0</v>
      </c>
      <c r="C151" s="218">
        <v>2018.0</v>
      </c>
      <c r="D151" s="218">
        <v>1077020.0</v>
      </c>
      <c r="E151" s="218" t="s">
        <v>8767</v>
      </c>
      <c r="F151" s="218" t="s">
        <v>8768</v>
      </c>
      <c r="G151" s="218">
        <v>3.0</v>
      </c>
      <c r="H151" s="218" t="s">
        <v>8772</v>
      </c>
      <c r="I151" s="218">
        <v>339037.0</v>
      </c>
      <c r="J151" s="218" t="s">
        <v>8770</v>
      </c>
    </row>
    <row r="152">
      <c r="A152" s="218" t="s">
        <v>8848</v>
      </c>
      <c r="B152" s="218">
        <v>1364.0</v>
      </c>
      <c r="C152" s="218">
        <v>2018.0</v>
      </c>
      <c r="D152" s="218">
        <v>107702.0</v>
      </c>
      <c r="E152" s="218" t="s">
        <v>8715</v>
      </c>
      <c r="F152" s="218" t="s">
        <v>8716</v>
      </c>
      <c r="G152" s="218">
        <v>13.0</v>
      </c>
      <c r="H152" s="218" t="s">
        <v>8762</v>
      </c>
      <c r="I152" s="218">
        <v>339040.0</v>
      </c>
      <c r="J152" s="218" t="s">
        <v>136</v>
      </c>
    </row>
    <row r="153">
      <c r="A153" s="218" t="s">
        <v>8849</v>
      </c>
      <c r="B153" s="218">
        <v>153.0</v>
      </c>
      <c r="C153" s="218">
        <v>2018.0</v>
      </c>
      <c r="D153" s="218">
        <v>107702.0</v>
      </c>
      <c r="E153" s="218" t="s">
        <v>8715</v>
      </c>
      <c r="F153" s="218" t="s">
        <v>8716</v>
      </c>
      <c r="G153" s="218">
        <v>12.0</v>
      </c>
      <c r="H153" s="218" t="s">
        <v>8817</v>
      </c>
      <c r="I153" s="218">
        <v>339040.0</v>
      </c>
      <c r="J153" s="218" t="s">
        <v>136</v>
      </c>
    </row>
    <row r="154">
      <c r="A154" s="218" t="s">
        <v>8850</v>
      </c>
      <c r="B154" s="218">
        <v>97.0</v>
      </c>
      <c r="C154" s="218">
        <v>2018.0</v>
      </c>
      <c r="D154" s="218">
        <v>107702.0</v>
      </c>
      <c r="E154" s="218" t="s">
        <v>8715</v>
      </c>
      <c r="F154" s="218" t="s">
        <v>8716</v>
      </c>
      <c r="G154" s="218">
        <v>16.0</v>
      </c>
      <c r="H154" s="218" t="s">
        <v>8775</v>
      </c>
      <c r="I154" s="218">
        <v>339039.0</v>
      </c>
      <c r="J154" s="218" t="s">
        <v>8720</v>
      </c>
    </row>
    <row r="155">
      <c r="A155" s="218" t="s">
        <v>8851</v>
      </c>
      <c r="B155" s="218">
        <v>190.0</v>
      </c>
      <c r="C155" s="218">
        <v>2018.0</v>
      </c>
      <c r="D155" s="218">
        <v>107702.0</v>
      </c>
      <c r="E155" s="218" t="s">
        <v>8715</v>
      </c>
      <c r="F155" s="218" t="s">
        <v>8716</v>
      </c>
      <c r="G155" s="218">
        <v>20.0</v>
      </c>
      <c r="H155" s="218" t="s">
        <v>8852</v>
      </c>
      <c r="I155" s="218">
        <v>339039.0</v>
      </c>
      <c r="J155" s="218" t="s">
        <v>8720</v>
      </c>
    </row>
    <row r="156">
      <c r="A156" s="218" t="s">
        <v>8851</v>
      </c>
      <c r="B156" s="218">
        <v>191.0</v>
      </c>
      <c r="C156" s="218">
        <v>2018.0</v>
      </c>
      <c r="D156" s="218">
        <v>107702.0</v>
      </c>
      <c r="E156" s="218" t="s">
        <v>8715</v>
      </c>
      <c r="F156" s="218" t="s">
        <v>8716</v>
      </c>
      <c r="G156" s="218">
        <v>25.0</v>
      </c>
      <c r="H156" s="218" t="s">
        <v>8784</v>
      </c>
      <c r="I156" s="218">
        <v>339030.0</v>
      </c>
      <c r="J156" s="218" t="s">
        <v>249</v>
      </c>
    </row>
    <row r="157">
      <c r="A157" s="218" t="s">
        <v>8853</v>
      </c>
      <c r="B157" s="218">
        <v>150.0</v>
      </c>
      <c r="C157" s="218">
        <v>2018.0</v>
      </c>
      <c r="D157" s="218">
        <v>85046.0</v>
      </c>
      <c r="E157" s="218" t="s">
        <v>8756</v>
      </c>
      <c r="F157" s="218" t="s">
        <v>8716</v>
      </c>
      <c r="G157" s="218">
        <v>12.0</v>
      </c>
      <c r="H157" s="218" t="s">
        <v>8817</v>
      </c>
      <c r="I157" s="218">
        <v>339040.0</v>
      </c>
      <c r="J157" s="218" t="s">
        <v>136</v>
      </c>
    </row>
    <row r="158">
      <c r="A158" s="218" t="s">
        <v>8854</v>
      </c>
      <c r="B158" s="218">
        <v>229.0</v>
      </c>
      <c r="C158" s="218">
        <v>2018.0</v>
      </c>
      <c r="D158" s="218">
        <v>107702.0</v>
      </c>
      <c r="E158" s="218" t="s">
        <v>8715</v>
      </c>
      <c r="F158" s="218" t="s">
        <v>8716</v>
      </c>
      <c r="G158" s="218">
        <v>43.0</v>
      </c>
      <c r="H158" s="218" t="s">
        <v>8719</v>
      </c>
      <c r="I158" s="218">
        <v>339039.0</v>
      </c>
      <c r="J158" s="218" t="s">
        <v>8720</v>
      </c>
    </row>
    <row r="159">
      <c r="A159" s="218" t="s">
        <v>8854</v>
      </c>
      <c r="B159" s="218">
        <v>229.0</v>
      </c>
      <c r="C159" s="218">
        <v>2018.0</v>
      </c>
      <c r="D159" s="218">
        <v>107702.0</v>
      </c>
      <c r="E159" s="218" t="s">
        <v>8715</v>
      </c>
      <c r="F159" s="218" t="s">
        <v>8716</v>
      </c>
      <c r="G159" s="218">
        <v>15.0</v>
      </c>
      <c r="H159" s="218" t="s">
        <v>8722</v>
      </c>
      <c r="I159" s="218">
        <v>339039.0</v>
      </c>
      <c r="J159" s="218" t="s">
        <v>8720</v>
      </c>
    </row>
    <row r="160">
      <c r="A160" s="218" t="s">
        <v>8854</v>
      </c>
      <c r="B160" s="218">
        <v>229.0</v>
      </c>
      <c r="C160" s="218">
        <v>2018.0</v>
      </c>
      <c r="D160" s="218">
        <v>107702.0</v>
      </c>
      <c r="E160" s="218" t="s">
        <v>8715</v>
      </c>
      <c r="F160" s="218" t="s">
        <v>8716</v>
      </c>
      <c r="G160" s="218">
        <v>44.0</v>
      </c>
      <c r="H160" s="218" t="s">
        <v>8727</v>
      </c>
      <c r="I160" s="218">
        <v>339039.0</v>
      </c>
      <c r="J160" s="218" t="s">
        <v>8720</v>
      </c>
    </row>
    <row r="161">
      <c r="A161" s="218" t="s">
        <v>8854</v>
      </c>
      <c r="B161" s="218">
        <v>715.0</v>
      </c>
      <c r="C161" s="218">
        <v>2018.0</v>
      </c>
      <c r="D161" s="218">
        <v>107702.0</v>
      </c>
      <c r="E161" s="218" t="s">
        <v>8715</v>
      </c>
      <c r="F161" s="218" t="s">
        <v>8716</v>
      </c>
      <c r="G161" s="218">
        <v>10.0</v>
      </c>
      <c r="H161" s="218" t="s">
        <v>8726</v>
      </c>
      <c r="I161" s="218">
        <v>339047.0</v>
      </c>
      <c r="J161" s="218" t="s">
        <v>8718</v>
      </c>
    </row>
    <row r="162">
      <c r="A162" s="218" t="s">
        <v>8855</v>
      </c>
      <c r="B162" s="218">
        <v>93.0</v>
      </c>
      <c r="C162" s="218">
        <v>2018.0</v>
      </c>
      <c r="D162" s="218">
        <v>107702.0</v>
      </c>
      <c r="E162" s="218" t="s">
        <v>8715</v>
      </c>
      <c r="F162" s="218" t="s">
        <v>8716</v>
      </c>
      <c r="G162" s="218">
        <v>16.0</v>
      </c>
      <c r="H162" s="218" t="s">
        <v>8775</v>
      </c>
      <c r="I162" s="218">
        <v>339039.0</v>
      </c>
      <c r="J162" s="218" t="s">
        <v>8720</v>
      </c>
    </row>
    <row r="163">
      <c r="A163" s="218" t="s">
        <v>8856</v>
      </c>
      <c r="B163" s="218">
        <v>167.0</v>
      </c>
      <c r="C163" s="218">
        <v>2018.0</v>
      </c>
      <c r="D163" s="218">
        <v>107702.0</v>
      </c>
      <c r="E163" s="218" t="s">
        <v>8715</v>
      </c>
      <c r="F163" s="218" t="s">
        <v>8716</v>
      </c>
      <c r="G163" s="218">
        <v>11.0</v>
      </c>
      <c r="H163" s="218" t="s">
        <v>8757</v>
      </c>
      <c r="I163" s="218">
        <v>339040.0</v>
      </c>
      <c r="J163" s="218" t="s">
        <v>136</v>
      </c>
    </row>
    <row r="164">
      <c r="A164" s="218" t="s">
        <v>8857</v>
      </c>
      <c r="B164" s="218">
        <v>182.0</v>
      </c>
      <c r="C164" s="218">
        <v>2018.0</v>
      </c>
      <c r="D164" s="218">
        <v>107702.0</v>
      </c>
      <c r="E164" s="218" t="s">
        <v>8715</v>
      </c>
      <c r="F164" s="218" t="s">
        <v>8716</v>
      </c>
      <c r="G164" s="218">
        <v>77.0</v>
      </c>
      <c r="H164" s="218" t="s">
        <v>8815</v>
      </c>
      <c r="I164" s="218">
        <v>339039.0</v>
      </c>
      <c r="J164" s="218" t="s">
        <v>8720</v>
      </c>
    </row>
    <row r="165">
      <c r="A165" s="218" t="s">
        <v>8857</v>
      </c>
      <c r="B165" s="218">
        <v>183.0</v>
      </c>
      <c r="C165" s="218">
        <v>2018.0</v>
      </c>
      <c r="D165" s="218">
        <v>107702.0</v>
      </c>
      <c r="E165" s="218" t="s">
        <v>8715</v>
      </c>
      <c r="F165" s="218" t="s">
        <v>8716</v>
      </c>
      <c r="G165" s="218">
        <v>77.0</v>
      </c>
      <c r="H165" s="218" t="s">
        <v>8815</v>
      </c>
      <c r="I165" s="218">
        <v>339039.0</v>
      </c>
      <c r="J165" s="218" t="s">
        <v>8720</v>
      </c>
    </row>
    <row r="166">
      <c r="A166" s="218" t="s">
        <v>8858</v>
      </c>
      <c r="B166" s="218">
        <v>808.0</v>
      </c>
      <c r="C166" s="218">
        <v>2018.0</v>
      </c>
      <c r="D166" s="218">
        <v>107702.0</v>
      </c>
      <c r="E166" s="218" t="s">
        <v>8715</v>
      </c>
      <c r="F166" s="218" t="s">
        <v>8716</v>
      </c>
      <c r="G166" s="218">
        <v>5.0</v>
      </c>
      <c r="H166" s="218" t="s">
        <v>8859</v>
      </c>
      <c r="I166" s="218">
        <v>339039.0</v>
      </c>
      <c r="J166" s="218" t="s">
        <v>8720</v>
      </c>
    </row>
    <row r="167">
      <c r="A167" s="218" t="s">
        <v>8860</v>
      </c>
      <c r="B167" s="218">
        <v>200.0</v>
      </c>
      <c r="C167" s="218">
        <v>2018.0</v>
      </c>
      <c r="D167" s="218">
        <v>107702.0</v>
      </c>
      <c r="E167" s="218" t="s">
        <v>8715</v>
      </c>
      <c r="F167" s="218" t="s">
        <v>8716</v>
      </c>
      <c r="G167" s="218">
        <v>79.0</v>
      </c>
      <c r="H167" s="218" t="s">
        <v>8820</v>
      </c>
      <c r="I167" s="218">
        <v>339039.0</v>
      </c>
      <c r="J167" s="218" t="s">
        <v>8720</v>
      </c>
    </row>
    <row r="168">
      <c r="A168" s="218" t="s">
        <v>8861</v>
      </c>
      <c r="B168" s="218">
        <v>140.0</v>
      </c>
      <c r="C168" s="218">
        <v>2018.0</v>
      </c>
      <c r="D168" s="218">
        <v>85046.0</v>
      </c>
      <c r="E168" s="218" t="s">
        <v>8756</v>
      </c>
      <c r="F168" s="218" t="s">
        <v>8716</v>
      </c>
      <c r="G168" s="218">
        <v>7.0</v>
      </c>
      <c r="H168" s="218" t="s">
        <v>8802</v>
      </c>
      <c r="I168" s="218">
        <v>339040.0</v>
      </c>
      <c r="J168" s="218" t="s">
        <v>136</v>
      </c>
    </row>
    <row r="169">
      <c r="A169" s="218" t="s">
        <v>8862</v>
      </c>
      <c r="B169" s="218">
        <v>197.0</v>
      </c>
      <c r="C169" s="218">
        <v>2018.0</v>
      </c>
      <c r="D169" s="218">
        <v>107702.0</v>
      </c>
      <c r="E169" s="218" t="s">
        <v>8715</v>
      </c>
      <c r="F169" s="218" t="s">
        <v>8716</v>
      </c>
      <c r="G169" s="218">
        <v>92.0</v>
      </c>
      <c r="H169" s="218" t="s">
        <v>249</v>
      </c>
      <c r="I169" s="218">
        <v>339092.0</v>
      </c>
      <c r="J169" s="218" t="s">
        <v>8736</v>
      </c>
    </row>
    <row r="170">
      <c r="A170" s="218" t="s">
        <v>8863</v>
      </c>
      <c r="B170" s="218">
        <v>62.0</v>
      </c>
      <c r="C170" s="218">
        <v>2018.0</v>
      </c>
      <c r="D170" s="218">
        <v>107702.0</v>
      </c>
      <c r="E170" s="218" t="s">
        <v>8715</v>
      </c>
      <c r="F170" s="218" t="s">
        <v>8716</v>
      </c>
      <c r="G170" s="218">
        <v>92.0</v>
      </c>
      <c r="H170" s="218" t="s">
        <v>249</v>
      </c>
      <c r="I170" s="218">
        <v>339092.0</v>
      </c>
      <c r="J170" s="218" t="s">
        <v>8736</v>
      </c>
    </row>
    <row r="171">
      <c r="A171" s="218" t="s">
        <v>8864</v>
      </c>
      <c r="B171" s="218">
        <v>166.0</v>
      </c>
      <c r="C171" s="218">
        <v>2018.0</v>
      </c>
      <c r="D171" s="218">
        <v>107702.0</v>
      </c>
      <c r="E171" s="218" t="s">
        <v>8715</v>
      </c>
      <c r="F171" s="218" t="s">
        <v>8716</v>
      </c>
      <c r="G171" s="218">
        <v>12.0</v>
      </c>
      <c r="H171" s="218" t="s">
        <v>8817</v>
      </c>
      <c r="I171" s="218">
        <v>339040.0</v>
      </c>
      <c r="J171" s="218" t="s">
        <v>136</v>
      </c>
    </row>
    <row r="172">
      <c r="A172" s="218" t="s">
        <v>8865</v>
      </c>
      <c r="B172" s="218">
        <v>228.0</v>
      </c>
      <c r="C172" s="218">
        <v>2018.0</v>
      </c>
      <c r="D172" s="218">
        <v>107702.0</v>
      </c>
      <c r="E172" s="218" t="s">
        <v>8715</v>
      </c>
      <c r="F172" s="218" t="s">
        <v>8716</v>
      </c>
      <c r="G172" s="218">
        <v>3.0</v>
      </c>
      <c r="H172" s="218" t="s">
        <v>8772</v>
      </c>
      <c r="I172" s="218">
        <v>339037.0</v>
      </c>
      <c r="J172" s="218" t="s">
        <v>8770</v>
      </c>
    </row>
    <row r="173">
      <c r="A173" s="218" t="s">
        <v>8865</v>
      </c>
      <c r="B173" s="218">
        <v>465.0</v>
      </c>
      <c r="C173" s="218">
        <v>2018.0</v>
      </c>
      <c r="D173" s="218">
        <v>107702.0</v>
      </c>
      <c r="E173" s="218" t="s">
        <v>8715</v>
      </c>
      <c r="F173" s="218" t="s">
        <v>8716</v>
      </c>
      <c r="G173" s="218">
        <v>37.0</v>
      </c>
      <c r="H173" s="218" t="s">
        <v>8832</v>
      </c>
      <c r="I173" s="218">
        <v>339092.0</v>
      </c>
      <c r="J173" s="218" t="s">
        <v>8736</v>
      </c>
    </row>
    <row r="174">
      <c r="A174" s="218" t="s">
        <v>8866</v>
      </c>
      <c r="B174" s="218">
        <v>181.0</v>
      </c>
      <c r="C174" s="218">
        <v>2018.0</v>
      </c>
      <c r="D174" s="218">
        <v>107702.0</v>
      </c>
      <c r="E174" s="218" t="s">
        <v>8715</v>
      </c>
      <c r="F174" s="218" t="s">
        <v>8716</v>
      </c>
      <c r="G174" s="218">
        <v>77.0</v>
      </c>
      <c r="H174" s="218" t="s">
        <v>8815</v>
      </c>
      <c r="I174" s="218">
        <v>339039.0</v>
      </c>
      <c r="J174" s="218" t="s">
        <v>8720</v>
      </c>
    </row>
    <row r="175">
      <c r="A175" s="218" t="s">
        <v>8866</v>
      </c>
      <c r="B175" s="218">
        <v>180.0</v>
      </c>
      <c r="C175" s="218">
        <v>2018.0</v>
      </c>
      <c r="D175" s="218">
        <v>107702.0</v>
      </c>
      <c r="E175" s="218" t="s">
        <v>8715</v>
      </c>
      <c r="F175" s="218" t="s">
        <v>8716</v>
      </c>
      <c r="G175" s="218">
        <v>77.0</v>
      </c>
      <c r="H175" s="218" t="s">
        <v>8815</v>
      </c>
      <c r="I175" s="218">
        <v>339039.0</v>
      </c>
      <c r="J175" s="218" t="s">
        <v>8720</v>
      </c>
    </row>
    <row r="176">
      <c r="A176" s="218" t="s">
        <v>8867</v>
      </c>
      <c r="B176" s="218">
        <v>251.0</v>
      </c>
      <c r="C176" s="218">
        <v>2018.0</v>
      </c>
      <c r="D176" s="218">
        <v>107702.0</v>
      </c>
      <c r="E176" s="218" t="s">
        <v>8715</v>
      </c>
      <c r="F176" s="218" t="s">
        <v>8716</v>
      </c>
      <c r="G176" s="218">
        <v>10.0</v>
      </c>
      <c r="H176" s="218" t="s">
        <v>849</v>
      </c>
      <c r="I176" s="218">
        <v>339040.0</v>
      </c>
      <c r="J176" s="218" t="s">
        <v>136</v>
      </c>
    </row>
    <row r="177">
      <c r="A177" s="218" t="s">
        <v>8868</v>
      </c>
      <c r="B177" s="218">
        <v>411.0</v>
      </c>
      <c r="C177" s="218">
        <v>2018.0</v>
      </c>
      <c r="D177" s="218">
        <v>107702.0</v>
      </c>
      <c r="E177" s="218" t="s">
        <v>8715</v>
      </c>
      <c r="F177" s="218" t="s">
        <v>8716</v>
      </c>
      <c r="G177" s="218">
        <v>23.0</v>
      </c>
      <c r="H177" s="218" t="s">
        <v>8869</v>
      </c>
      <c r="I177" s="218">
        <v>339040.0</v>
      </c>
      <c r="J177" s="218" t="s">
        <v>136</v>
      </c>
    </row>
    <row r="178">
      <c r="A178" s="218" t="s">
        <v>166</v>
      </c>
      <c r="B178" s="218">
        <v>278.0</v>
      </c>
      <c r="C178" s="218">
        <v>2018.0</v>
      </c>
      <c r="D178" s="218">
        <v>107702.0</v>
      </c>
      <c r="E178" s="218" t="s">
        <v>8715</v>
      </c>
      <c r="F178" s="218" t="s">
        <v>8716</v>
      </c>
      <c r="G178" s="218">
        <v>12.0</v>
      </c>
      <c r="H178" s="218" t="s">
        <v>8817</v>
      </c>
      <c r="I178" s="218">
        <v>339040.0</v>
      </c>
      <c r="J178" s="218" t="s">
        <v>136</v>
      </c>
    </row>
    <row r="179">
      <c r="A179" s="218" t="s">
        <v>8870</v>
      </c>
      <c r="B179" s="218">
        <v>96.0</v>
      </c>
      <c r="C179" s="218">
        <v>2018.0</v>
      </c>
      <c r="D179" s="218">
        <v>107702.0</v>
      </c>
      <c r="E179" s="218" t="s">
        <v>8715</v>
      </c>
      <c r="F179" s="218" t="s">
        <v>8716</v>
      </c>
      <c r="G179" s="218">
        <v>16.0</v>
      </c>
      <c r="H179" s="218" t="s">
        <v>8775</v>
      </c>
      <c r="I179" s="218">
        <v>339039.0</v>
      </c>
      <c r="J179" s="218" t="s">
        <v>8720</v>
      </c>
    </row>
    <row r="180">
      <c r="A180" s="218" t="s">
        <v>8871</v>
      </c>
      <c r="B180" s="218">
        <v>156.0</v>
      </c>
      <c r="C180" s="218">
        <v>2018.0</v>
      </c>
      <c r="D180" s="218">
        <v>107702.0</v>
      </c>
      <c r="E180" s="218" t="s">
        <v>8715</v>
      </c>
      <c r="F180" s="218" t="s">
        <v>8716</v>
      </c>
      <c r="G180" s="218">
        <v>11.0</v>
      </c>
      <c r="H180" s="218" t="s">
        <v>8757</v>
      </c>
      <c r="I180" s="218">
        <v>339040.0</v>
      </c>
      <c r="J180" s="218" t="s">
        <v>136</v>
      </c>
    </row>
    <row r="181">
      <c r="A181" s="218" t="s">
        <v>8872</v>
      </c>
      <c r="B181" s="218">
        <v>299.0</v>
      </c>
      <c r="C181" s="218">
        <v>2018.0</v>
      </c>
      <c r="D181" s="218">
        <v>107702.0</v>
      </c>
      <c r="E181" s="218" t="s">
        <v>8715</v>
      </c>
      <c r="F181" s="218" t="s">
        <v>8716</v>
      </c>
      <c r="G181" s="218">
        <v>16.0</v>
      </c>
      <c r="H181" s="218" t="s">
        <v>8775</v>
      </c>
      <c r="I181" s="218">
        <v>339039.0</v>
      </c>
      <c r="J181" s="218" t="s">
        <v>8720</v>
      </c>
    </row>
    <row r="182">
      <c r="A182" s="218" t="s">
        <v>8872</v>
      </c>
      <c r="B182" s="218">
        <v>253.0</v>
      </c>
      <c r="C182" s="218">
        <v>2018.0</v>
      </c>
      <c r="D182" s="218">
        <v>107702.0</v>
      </c>
      <c r="E182" s="218" t="s">
        <v>8715</v>
      </c>
      <c r="F182" s="218" t="s">
        <v>8716</v>
      </c>
      <c r="G182" s="218">
        <v>92.0</v>
      </c>
      <c r="H182" s="218" t="s">
        <v>249</v>
      </c>
      <c r="I182" s="218">
        <v>339092.0</v>
      </c>
      <c r="J182" s="218" t="s">
        <v>8736</v>
      </c>
    </row>
    <row r="183">
      <c r="A183" s="218" t="s">
        <v>8872</v>
      </c>
      <c r="B183" s="218">
        <v>252.0</v>
      </c>
      <c r="C183" s="218">
        <v>2018.0</v>
      </c>
      <c r="D183" s="218">
        <v>107702.0</v>
      </c>
      <c r="E183" s="218" t="s">
        <v>8715</v>
      </c>
      <c r="F183" s="218" t="s">
        <v>8716</v>
      </c>
      <c r="G183" s="218">
        <v>39.0</v>
      </c>
      <c r="H183" s="218" t="s">
        <v>8753</v>
      </c>
      <c r="I183" s="218">
        <v>339092.0</v>
      </c>
      <c r="J183" s="218" t="s">
        <v>8736</v>
      </c>
    </row>
    <row r="184">
      <c r="A184" s="218" t="s">
        <v>8872</v>
      </c>
      <c r="B184" s="218">
        <v>298.0</v>
      </c>
      <c r="C184" s="218">
        <v>2018.0</v>
      </c>
      <c r="D184" s="218">
        <v>107702.0</v>
      </c>
      <c r="E184" s="218" t="s">
        <v>8715</v>
      </c>
      <c r="F184" s="218" t="s">
        <v>8716</v>
      </c>
      <c r="G184" s="218">
        <v>24.0</v>
      </c>
      <c r="H184" s="218" t="s">
        <v>8774</v>
      </c>
      <c r="I184" s="218">
        <v>339030.0</v>
      </c>
      <c r="J184" s="218" t="s">
        <v>249</v>
      </c>
    </row>
    <row r="185">
      <c r="A185" s="218" t="s">
        <v>8873</v>
      </c>
      <c r="B185" s="218">
        <v>79.0</v>
      </c>
      <c r="C185" s="218">
        <v>2018.0</v>
      </c>
      <c r="D185" s="218">
        <v>107702.0</v>
      </c>
      <c r="E185" s="218" t="s">
        <v>8715</v>
      </c>
      <c r="F185" s="218" t="s">
        <v>8716</v>
      </c>
      <c r="G185" s="218">
        <v>69.0</v>
      </c>
      <c r="H185" s="218" t="s">
        <v>8874</v>
      </c>
      <c r="I185" s="218">
        <v>339039.0</v>
      </c>
      <c r="J185" s="218" t="s">
        <v>8720</v>
      </c>
    </row>
    <row r="186">
      <c r="A186" s="218" t="s">
        <v>8875</v>
      </c>
      <c r="B186" s="218">
        <v>168.0</v>
      </c>
      <c r="C186" s="218">
        <v>2018.0</v>
      </c>
      <c r="D186" s="218">
        <v>107702.0</v>
      </c>
      <c r="E186" s="218" t="s">
        <v>8715</v>
      </c>
      <c r="F186" s="218" t="s">
        <v>8716</v>
      </c>
      <c r="G186" s="218">
        <v>7.0</v>
      </c>
      <c r="H186" s="218" t="s">
        <v>8802</v>
      </c>
      <c r="I186" s="218">
        <v>339040.0</v>
      </c>
      <c r="J186" s="218" t="s">
        <v>136</v>
      </c>
    </row>
    <row r="187">
      <c r="A187" s="218" t="s">
        <v>8876</v>
      </c>
      <c r="B187" s="218">
        <v>425.0</v>
      </c>
      <c r="C187" s="218">
        <v>2018.0</v>
      </c>
      <c r="D187" s="218">
        <v>85046.0</v>
      </c>
      <c r="E187" s="218" t="s">
        <v>8756</v>
      </c>
      <c r="F187" s="218" t="s">
        <v>8716</v>
      </c>
      <c r="G187" s="218">
        <v>5.0</v>
      </c>
      <c r="H187" s="218" t="s">
        <v>8877</v>
      </c>
      <c r="I187" s="218">
        <v>449040.0</v>
      </c>
      <c r="J187" s="218" t="s">
        <v>8837</v>
      </c>
    </row>
    <row r="188">
      <c r="A188" s="218" t="s">
        <v>8878</v>
      </c>
      <c r="B188" s="218">
        <v>308.0</v>
      </c>
      <c r="C188" s="218">
        <v>2018.0</v>
      </c>
      <c r="D188" s="218">
        <v>107702.0</v>
      </c>
      <c r="E188" s="218" t="s">
        <v>8715</v>
      </c>
      <c r="F188" s="218" t="s">
        <v>8716</v>
      </c>
      <c r="G188" s="218">
        <v>16.0</v>
      </c>
      <c r="H188" s="218" t="s">
        <v>8879</v>
      </c>
      <c r="I188" s="218">
        <v>339030.0</v>
      </c>
      <c r="J188" s="218" t="s">
        <v>249</v>
      </c>
    </row>
    <row r="189">
      <c r="A189" s="218" t="s">
        <v>8880</v>
      </c>
      <c r="B189" s="218">
        <v>199.0</v>
      </c>
      <c r="C189" s="218">
        <v>2018.0</v>
      </c>
      <c r="D189" s="218">
        <v>107702.0</v>
      </c>
      <c r="E189" s="218" t="s">
        <v>8715</v>
      </c>
      <c r="F189" s="218" t="s">
        <v>8716</v>
      </c>
      <c r="G189" s="218">
        <v>3.0</v>
      </c>
      <c r="H189" s="218" t="s">
        <v>8772</v>
      </c>
      <c r="I189" s="218">
        <v>339037.0</v>
      </c>
      <c r="J189" s="218" t="s">
        <v>8770</v>
      </c>
    </row>
    <row r="190">
      <c r="A190" s="218" t="s">
        <v>8881</v>
      </c>
      <c r="B190" s="218">
        <v>89.0</v>
      </c>
      <c r="C190" s="218">
        <v>2018.0</v>
      </c>
      <c r="D190" s="218">
        <v>107702.0</v>
      </c>
      <c r="E190" s="218" t="s">
        <v>8715</v>
      </c>
      <c r="F190" s="218" t="s">
        <v>8716</v>
      </c>
      <c r="G190" s="218">
        <v>90.0</v>
      </c>
      <c r="H190" s="218" t="s">
        <v>8751</v>
      </c>
      <c r="I190" s="218">
        <v>339039.0</v>
      </c>
      <c r="J190" s="218" t="s">
        <v>8720</v>
      </c>
    </row>
    <row r="191">
      <c r="A191" s="218" t="s">
        <v>8882</v>
      </c>
      <c r="B191" s="218">
        <v>201.0</v>
      </c>
      <c r="C191" s="218">
        <v>2018.0</v>
      </c>
      <c r="D191" s="218">
        <v>107702.0</v>
      </c>
      <c r="E191" s="218" t="s">
        <v>8715</v>
      </c>
      <c r="F191" s="218" t="s">
        <v>8716</v>
      </c>
      <c r="G191" s="218">
        <v>78.0</v>
      </c>
      <c r="H191" s="218" t="s">
        <v>8748</v>
      </c>
      <c r="I191" s="218">
        <v>339039.0</v>
      </c>
      <c r="J191" s="218" t="s">
        <v>8720</v>
      </c>
    </row>
    <row r="192">
      <c r="A192" s="218" t="s">
        <v>8883</v>
      </c>
      <c r="B192" s="218">
        <v>164.0</v>
      </c>
      <c r="C192" s="218">
        <v>2018.0</v>
      </c>
      <c r="D192" s="218">
        <v>107702.0</v>
      </c>
      <c r="E192" s="218" t="s">
        <v>8715</v>
      </c>
      <c r="F192" s="218" t="s">
        <v>8716</v>
      </c>
      <c r="G192" s="218">
        <v>13.0</v>
      </c>
      <c r="H192" s="218" t="s">
        <v>8762</v>
      </c>
      <c r="I192" s="218">
        <v>339040.0</v>
      </c>
      <c r="J192" s="218" t="s">
        <v>136</v>
      </c>
    </row>
    <row r="193">
      <c r="A193" s="218" t="s">
        <v>146</v>
      </c>
      <c r="B193" s="218">
        <v>130.0</v>
      </c>
      <c r="C193" s="218">
        <v>2018.0</v>
      </c>
      <c r="D193" s="218">
        <v>85046.0</v>
      </c>
      <c r="E193" s="218" t="s">
        <v>8756</v>
      </c>
      <c r="F193" s="218" t="s">
        <v>8716</v>
      </c>
      <c r="G193" s="218">
        <v>11.0</v>
      </c>
      <c r="H193" s="218" t="s">
        <v>8757</v>
      </c>
      <c r="I193" s="218">
        <v>339040.0</v>
      </c>
      <c r="J193" s="218" t="s">
        <v>136</v>
      </c>
    </row>
    <row r="194">
      <c r="A194" s="218" t="s">
        <v>8884</v>
      </c>
      <c r="B194" s="218">
        <v>133.0</v>
      </c>
      <c r="C194" s="218">
        <v>2018.0</v>
      </c>
      <c r="D194" s="218">
        <v>85046.0</v>
      </c>
      <c r="E194" s="218" t="s">
        <v>8756</v>
      </c>
      <c r="F194" s="218" t="s">
        <v>8716</v>
      </c>
      <c r="G194" s="218">
        <v>6.0</v>
      </c>
      <c r="H194" s="218" t="s">
        <v>846</v>
      </c>
      <c r="I194" s="218">
        <v>339040.0</v>
      </c>
      <c r="J194" s="218" t="s">
        <v>136</v>
      </c>
    </row>
    <row r="195">
      <c r="A195" s="218" t="s">
        <v>8885</v>
      </c>
      <c r="B195" s="218">
        <v>224.0</v>
      </c>
      <c r="C195" s="218">
        <v>2018.0</v>
      </c>
      <c r="D195" s="218">
        <v>107702.0</v>
      </c>
      <c r="E195" s="218" t="s">
        <v>8715</v>
      </c>
      <c r="F195" s="218" t="s">
        <v>8716</v>
      </c>
      <c r="G195" s="218">
        <v>17.0</v>
      </c>
      <c r="H195" s="218" t="s">
        <v>8825</v>
      </c>
      <c r="I195" s="218">
        <v>339039.0</v>
      </c>
      <c r="J195" s="218" t="s">
        <v>8720</v>
      </c>
    </row>
    <row r="196">
      <c r="A196" s="218" t="s">
        <v>8885</v>
      </c>
      <c r="B196" s="218">
        <v>122.0</v>
      </c>
      <c r="C196" s="218">
        <v>2018.0</v>
      </c>
      <c r="D196" s="218">
        <v>107702.0</v>
      </c>
      <c r="E196" s="218" t="s">
        <v>8715</v>
      </c>
      <c r="F196" s="218" t="s">
        <v>8716</v>
      </c>
      <c r="G196" s="218">
        <v>92.0</v>
      </c>
      <c r="H196" s="218" t="s">
        <v>249</v>
      </c>
      <c r="I196" s="218">
        <v>339092.0</v>
      </c>
      <c r="J196" s="218" t="s">
        <v>8736</v>
      </c>
    </row>
    <row r="197">
      <c r="A197" s="218" t="s">
        <v>8885</v>
      </c>
      <c r="B197" s="218">
        <v>225.0</v>
      </c>
      <c r="C197" s="218">
        <v>2018.0</v>
      </c>
      <c r="D197" s="218">
        <v>107702.0</v>
      </c>
      <c r="E197" s="218" t="s">
        <v>8715</v>
      </c>
      <c r="F197" s="218" t="s">
        <v>8716</v>
      </c>
      <c r="G197" s="218">
        <v>25.0</v>
      </c>
      <c r="H197" s="218" t="s">
        <v>8784</v>
      </c>
      <c r="I197" s="218">
        <v>339030.0</v>
      </c>
      <c r="J197" s="218" t="s">
        <v>249</v>
      </c>
    </row>
    <row r="198">
      <c r="A198" s="218" t="s">
        <v>8886</v>
      </c>
      <c r="B198" s="218">
        <v>218.0</v>
      </c>
      <c r="C198" s="218">
        <v>2018.0</v>
      </c>
      <c r="D198" s="218">
        <v>107702.0</v>
      </c>
      <c r="E198" s="218" t="s">
        <v>8715</v>
      </c>
      <c r="F198" s="218" t="s">
        <v>8716</v>
      </c>
      <c r="G198" s="218">
        <v>1.0</v>
      </c>
      <c r="H198" s="218" t="s">
        <v>8769</v>
      </c>
      <c r="I198" s="218">
        <v>339037.0</v>
      </c>
      <c r="J198" s="218" t="s">
        <v>8770</v>
      </c>
    </row>
    <row r="199">
      <c r="A199" s="218" t="s">
        <v>8887</v>
      </c>
      <c r="B199" s="218">
        <v>160.0</v>
      </c>
      <c r="C199" s="218">
        <v>2018.0</v>
      </c>
      <c r="D199" s="218">
        <v>107702.0</v>
      </c>
      <c r="E199" s="218" t="s">
        <v>8715</v>
      </c>
      <c r="F199" s="218" t="s">
        <v>8716</v>
      </c>
      <c r="G199" s="218">
        <v>13.0</v>
      </c>
      <c r="H199" s="218" t="s">
        <v>8762</v>
      </c>
      <c r="I199" s="218">
        <v>339040.0</v>
      </c>
      <c r="J199" s="218" t="s">
        <v>136</v>
      </c>
    </row>
    <row r="200">
      <c r="A200" s="218" t="s">
        <v>123</v>
      </c>
      <c r="B200" s="218">
        <v>196.0</v>
      </c>
      <c r="C200" s="218">
        <v>2018.0</v>
      </c>
      <c r="D200" s="218">
        <v>107702.0</v>
      </c>
      <c r="E200" s="218" t="s">
        <v>8715</v>
      </c>
      <c r="F200" s="218" t="s">
        <v>8716</v>
      </c>
      <c r="G200" s="218">
        <v>12.0</v>
      </c>
      <c r="H200" s="218" t="s">
        <v>8817</v>
      </c>
      <c r="I200" s="218">
        <v>339040.0</v>
      </c>
      <c r="J200" s="218" t="s">
        <v>136</v>
      </c>
    </row>
    <row r="201">
      <c r="A201" s="218" t="s">
        <v>8888</v>
      </c>
      <c r="B201" s="218">
        <v>789.0</v>
      </c>
      <c r="C201" s="218">
        <v>2018.0</v>
      </c>
      <c r="D201" s="218">
        <v>107702.0</v>
      </c>
      <c r="E201" s="218" t="s">
        <v>8715</v>
      </c>
      <c r="F201" s="218" t="s">
        <v>8716</v>
      </c>
      <c r="G201" s="218">
        <v>33.0</v>
      </c>
      <c r="H201" s="218" t="s">
        <v>8889</v>
      </c>
      <c r="I201" s="218">
        <v>449052.0</v>
      </c>
      <c r="J201" s="218" t="s">
        <v>362</v>
      </c>
    </row>
    <row r="202">
      <c r="A202" s="218" t="s">
        <v>8888</v>
      </c>
      <c r="B202" s="218">
        <v>790.0</v>
      </c>
      <c r="C202" s="218">
        <v>2018.0</v>
      </c>
      <c r="D202" s="218">
        <v>107702.0</v>
      </c>
      <c r="E202" s="218" t="s">
        <v>8715</v>
      </c>
      <c r="F202" s="218" t="s">
        <v>8716</v>
      </c>
      <c r="G202" s="218">
        <v>33.0</v>
      </c>
      <c r="H202" s="218" t="s">
        <v>8889</v>
      </c>
      <c r="I202" s="218">
        <v>449052.0</v>
      </c>
      <c r="J202" s="218" t="s">
        <v>362</v>
      </c>
    </row>
    <row r="203">
      <c r="A203" s="218" t="s">
        <v>8888</v>
      </c>
      <c r="B203" s="218">
        <v>787.0</v>
      </c>
      <c r="C203" s="218">
        <v>2018.0</v>
      </c>
      <c r="D203" s="218">
        <v>107702.0</v>
      </c>
      <c r="E203" s="218" t="s">
        <v>8715</v>
      </c>
      <c r="F203" s="218" t="s">
        <v>8716</v>
      </c>
      <c r="G203" s="218">
        <v>34.0</v>
      </c>
      <c r="H203" s="218" t="s">
        <v>8890</v>
      </c>
      <c r="I203" s="218">
        <v>449052.0</v>
      </c>
      <c r="J203" s="218" t="s">
        <v>362</v>
      </c>
    </row>
    <row r="204">
      <c r="A204" s="218" t="s">
        <v>8888</v>
      </c>
      <c r="B204" s="218">
        <v>786.0</v>
      </c>
      <c r="C204" s="218">
        <v>2018.0</v>
      </c>
      <c r="D204" s="218">
        <v>107702.0</v>
      </c>
      <c r="E204" s="218" t="s">
        <v>8715</v>
      </c>
      <c r="F204" s="218" t="s">
        <v>8716</v>
      </c>
      <c r="G204" s="218">
        <v>34.0</v>
      </c>
      <c r="H204" s="218" t="s">
        <v>8890</v>
      </c>
      <c r="I204" s="218">
        <v>449052.0</v>
      </c>
      <c r="J204" s="218" t="s">
        <v>362</v>
      </c>
    </row>
    <row r="205">
      <c r="A205" s="218" t="s">
        <v>8888</v>
      </c>
      <c r="B205" s="218">
        <v>788.0</v>
      </c>
      <c r="C205" s="218">
        <v>2018.0</v>
      </c>
      <c r="D205" s="218">
        <v>107702.0</v>
      </c>
      <c r="E205" s="218" t="s">
        <v>8715</v>
      </c>
      <c r="F205" s="218" t="s">
        <v>8716</v>
      </c>
      <c r="G205" s="218">
        <v>34.0</v>
      </c>
      <c r="H205" s="218" t="s">
        <v>8890</v>
      </c>
      <c r="I205" s="218">
        <v>449052.0</v>
      </c>
      <c r="J205" s="218" t="s">
        <v>362</v>
      </c>
    </row>
    <row r="206">
      <c r="A206" s="218" t="s">
        <v>8891</v>
      </c>
      <c r="B206" s="218">
        <v>688.0</v>
      </c>
      <c r="C206" s="218">
        <v>2018.0</v>
      </c>
      <c r="D206" s="218">
        <v>107702.0</v>
      </c>
      <c r="E206" s="218" t="s">
        <v>8715</v>
      </c>
      <c r="F206" s="218" t="s">
        <v>8716</v>
      </c>
      <c r="G206" s="218">
        <v>16.0</v>
      </c>
      <c r="H206" s="218" t="s">
        <v>8879</v>
      </c>
      <c r="I206" s="218">
        <v>339030.0</v>
      </c>
      <c r="J206" s="218" t="s">
        <v>249</v>
      </c>
    </row>
    <row r="207">
      <c r="A207" s="218" t="s">
        <v>8891</v>
      </c>
      <c r="B207" s="218">
        <v>688.0</v>
      </c>
      <c r="C207" s="218">
        <v>2018.0</v>
      </c>
      <c r="D207" s="218">
        <v>107702.0</v>
      </c>
      <c r="E207" s="218" t="s">
        <v>8715</v>
      </c>
      <c r="F207" s="218" t="s">
        <v>8716</v>
      </c>
      <c r="G207" s="218">
        <v>16.0</v>
      </c>
      <c r="H207" s="218" t="s">
        <v>8879</v>
      </c>
      <c r="I207" s="218">
        <v>339030.0</v>
      </c>
      <c r="J207" s="218" t="s">
        <v>249</v>
      </c>
    </row>
    <row r="208">
      <c r="A208" s="218" t="s">
        <v>8891</v>
      </c>
      <c r="B208" s="218">
        <v>688.0</v>
      </c>
      <c r="C208" s="218">
        <v>2018.0</v>
      </c>
      <c r="D208" s="218">
        <v>107702.0</v>
      </c>
      <c r="E208" s="218" t="s">
        <v>8715</v>
      </c>
      <c r="F208" s="218" t="s">
        <v>8716</v>
      </c>
      <c r="G208" s="218">
        <v>16.0</v>
      </c>
      <c r="H208" s="218" t="s">
        <v>8879</v>
      </c>
      <c r="I208" s="218">
        <v>339030.0</v>
      </c>
      <c r="J208" s="218" t="s">
        <v>249</v>
      </c>
    </row>
    <row r="209">
      <c r="A209" s="218" t="s">
        <v>8891</v>
      </c>
      <c r="B209" s="218">
        <v>688.0</v>
      </c>
      <c r="C209" s="218">
        <v>2018.0</v>
      </c>
      <c r="D209" s="218">
        <v>107702.0</v>
      </c>
      <c r="E209" s="218" t="s">
        <v>8715</v>
      </c>
      <c r="F209" s="218" t="s">
        <v>8716</v>
      </c>
      <c r="G209" s="218">
        <v>16.0</v>
      </c>
      <c r="H209" s="218" t="s">
        <v>8879</v>
      </c>
      <c r="I209" s="218">
        <v>339030.0</v>
      </c>
      <c r="J209" s="218" t="s">
        <v>249</v>
      </c>
    </row>
    <row r="210">
      <c r="A210" s="218" t="s">
        <v>8891</v>
      </c>
      <c r="B210" s="218">
        <v>688.0</v>
      </c>
      <c r="C210" s="218">
        <v>2018.0</v>
      </c>
      <c r="D210" s="218">
        <v>107702.0</v>
      </c>
      <c r="E210" s="218" t="s">
        <v>8715</v>
      </c>
      <c r="F210" s="218" t="s">
        <v>8716</v>
      </c>
      <c r="G210" s="218">
        <v>16.0</v>
      </c>
      <c r="H210" s="218" t="s">
        <v>8879</v>
      </c>
      <c r="I210" s="218">
        <v>339030.0</v>
      </c>
      <c r="J210" s="218" t="s">
        <v>249</v>
      </c>
    </row>
    <row r="211">
      <c r="A211" s="218" t="s">
        <v>8891</v>
      </c>
      <c r="B211" s="218">
        <v>688.0</v>
      </c>
      <c r="C211" s="218">
        <v>2018.0</v>
      </c>
      <c r="D211" s="218">
        <v>107702.0</v>
      </c>
      <c r="E211" s="218" t="s">
        <v>8715</v>
      </c>
      <c r="F211" s="218" t="s">
        <v>8716</v>
      </c>
      <c r="G211" s="218">
        <v>16.0</v>
      </c>
      <c r="H211" s="218" t="s">
        <v>8879</v>
      </c>
      <c r="I211" s="218">
        <v>339030.0</v>
      </c>
      <c r="J211" s="218" t="s">
        <v>249</v>
      </c>
    </row>
    <row r="212">
      <c r="A212" s="218" t="s">
        <v>8891</v>
      </c>
      <c r="B212" s="218">
        <v>688.0</v>
      </c>
      <c r="C212" s="218">
        <v>2018.0</v>
      </c>
      <c r="D212" s="218">
        <v>107702.0</v>
      </c>
      <c r="E212" s="218" t="s">
        <v>8715</v>
      </c>
      <c r="F212" s="218" t="s">
        <v>8716</v>
      </c>
      <c r="G212" s="218">
        <v>16.0</v>
      </c>
      <c r="H212" s="218" t="s">
        <v>8879</v>
      </c>
      <c r="I212" s="218">
        <v>339030.0</v>
      </c>
      <c r="J212" s="218" t="s">
        <v>249</v>
      </c>
    </row>
    <row r="213">
      <c r="A213" s="218" t="s">
        <v>8891</v>
      </c>
      <c r="B213" s="218">
        <v>688.0</v>
      </c>
      <c r="C213" s="218">
        <v>2018.0</v>
      </c>
      <c r="D213" s="218">
        <v>107702.0</v>
      </c>
      <c r="E213" s="218" t="s">
        <v>8715</v>
      </c>
      <c r="F213" s="218" t="s">
        <v>8716</v>
      </c>
      <c r="G213" s="218">
        <v>16.0</v>
      </c>
      <c r="H213" s="218" t="s">
        <v>8879</v>
      </c>
      <c r="I213" s="218">
        <v>339030.0</v>
      </c>
      <c r="J213" s="218" t="s">
        <v>249</v>
      </c>
    </row>
    <row r="214">
      <c r="A214" s="218" t="s">
        <v>8891</v>
      </c>
      <c r="B214" s="218">
        <v>688.0</v>
      </c>
      <c r="C214" s="218">
        <v>2018.0</v>
      </c>
      <c r="D214" s="218">
        <v>107702.0</v>
      </c>
      <c r="E214" s="218" t="s">
        <v>8715</v>
      </c>
      <c r="F214" s="218" t="s">
        <v>8716</v>
      </c>
      <c r="G214" s="218">
        <v>16.0</v>
      </c>
      <c r="H214" s="218" t="s">
        <v>8879</v>
      </c>
      <c r="I214" s="218">
        <v>339030.0</v>
      </c>
      <c r="J214" s="218" t="s">
        <v>249</v>
      </c>
    </row>
    <row r="215">
      <c r="A215" s="218" t="s">
        <v>8891</v>
      </c>
      <c r="B215" s="218">
        <v>688.0</v>
      </c>
      <c r="C215" s="218">
        <v>2018.0</v>
      </c>
      <c r="D215" s="218">
        <v>107702.0</v>
      </c>
      <c r="E215" s="218" t="s">
        <v>8715</v>
      </c>
      <c r="F215" s="218" t="s">
        <v>8716</v>
      </c>
      <c r="G215" s="218">
        <v>16.0</v>
      </c>
      <c r="H215" s="218" t="s">
        <v>8879</v>
      </c>
      <c r="I215" s="218">
        <v>339030.0</v>
      </c>
      <c r="J215" s="218" t="s">
        <v>249</v>
      </c>
    </row>
    <row r="216">
      <c r="A216" s="218" t="s">
        <v>8891</v>
      </c>
      <c r="B216" s="218">
        <v>688.0</v>
      </c>
      <c r="C216" s="218">
        <v>2018.0</v>
      </c>
      <c r="D216" s="218">
        <v>107702.0</v>
      </c>
      <c r="E216" s="218" t="s">
        <v>8715</v>
      </c>
      <c r="F216" s="218" t="s">
        <v>8716</v>
      </c>
      <c r="G216" s="218">
        <v>16.0</v>
      </c>
      <c r="H216" s="218" t="s">
        <v>8879</v>
      </c>
      <c r="I216" s="218">
        <v>339030.0</v>
      </c>
      <c r="J216" s="218" t="s">
        <v>249</v>
      </c>
    </row>
    <row r="217">
      <c r="A217" s="218" t="s">
        <v>8891</v>
      </c>
      <c r="B217" s="218">
        <v>688.0</v>
      </c>
      <c r="C217" s="218">
        <v>2018.0</v>
      </c>
      <c r="D217" s="218">
        <v>107702.0</v>
      </c>
      <c r="E217" s="218" t="s">
        <v>8715</v>
      </c>
      <c r="F217" s="218" t="s">
        <v>8716</v>
      </c>
      <c r="G217" s="218">
        <v>16.0</v>
      </c>
      <c r="H217" s="218" t="s">
        <v>8879</v>
      </c>
      <c r="I217" s="218">
        <v>339030.0</v>
      </c>
      <c r="J217" s="218" t="s">
        <v>249</v>
      </c>
    </row>
    <row r="218">
      <c r="A218" s="218" t="s">
        <v>8891</v>
      </c>
      <c r="B218" s="218">
        <v>690.0</v>
      </c>
      <c r="C218" s="218">
        <v>2018.0</v>
      </c>
      <c r="D218" s="218">
        <v>107702.0</v>
      </c>
      <c r="E218" s="218" t="s">
        <v>8715</v>
      </c>
      <c r="F218" s="218" t="s">
        <v>8716</v>
      </c>
      <c r="G218" s="218">
        <v>19.0</v>
      </c>
      <c r="H218" s="218" t="s">
        <v>8892</v>
      </c>
      <c r="I218" s="218">
        <v>339030.0</v>
      </c>
      <c r="J218" s="218" t="s">
        <v>249</v>
      </c>
    </row>
    <row r="219">
      <c r="A219" s="218" t="s">
        <v>8891</v>
      </c>
      <c r="B219" s="218">
        <v>692.0</v>
      </c>
      <c r="C219" s="218">
        <v>2018.0</v>
      </c>
      <c r="D219" s="218">
        <v>107702.0</v>
      </c>
      <c r="E219" s="218" t="s">
        <v>8715</v>
      </c>
      <c r="F219" s="218" t="s">
        <v>8716</v>
      </c>
      <c r="G219" s="218">
        <v>16.0</v>
      </c>
      <c r="H219" s="218" t="s">
        <v>8879</v>
      </c>
      <c r="I219" s="218">
        <v>339030.0</v>
      </c>
      <c r="J219" s="218" t="s">
        <v>249</v>
      </c>
    </row>
    <row r="220">
      <c r="A220" s="218" t="s">
        <v>8891</v>
      </c>
      <c r="B220" s="218">
        <v>689.0</v>
      </c>
      <c r="C220" s="218">
        <v>2018.0</v>
      </c>
      <c r="D220" s="218">
        <v>107702.0</v>
      </c>
      <c r="E220" s="218" t="s">
        <v>8715</v>
      </c>
      <c r="F220" s="218" t="s">
        <v>8716</v>
      </c>
      <c r="G220" s="218">
        <v>16.0</v>
      </c>
      <c r="H220" s="218" t="s">
        <v>8879</v>
      </c>
      <c r="I220" s="218">
        <v>339030.0</v>
      </c>
      <c r="J220" s="218" t="s">
        <v>249</v>
      </c>
    </row>
    <row r="221">
      <c r="A221" s="218" t="s">
        <v>8891</v>
      </c>
      <c r="B221" s="218">
        <v>691.0</v>
      </c>
      <c r="C221" s="218">
        <v>2018.0</v>
      </c>
      <c r="D221" s="218">
        <v>107702.0</v>
      </c>
      <c r="E221" s="218" t="s">
        <v>8715</v>
      </c>
      <c r="F221" s="218" t="s">
        <v>8716</v>
      </c>
      <c r="G221" s="218">
        <v>16.0</v>
      </c>
      <c r="H221" s="218" t="s">
        <v>8879</v>
      </c>
      <c r="I221" s="218">
        <v>339030.0</v>
      </c>
      <c r="J221" s="218" t="s">
        <v>249</v>
      </c>
    </row>
    <row r="222">
      <c r="A222" s="218" t="s">
        <v>8891</v>
      </c>
      <c r="B222" s="218">
        <v>688.0</v>
      </c>
      <c r="C222" s="218">
        <v>2018.0</v>
      </c>
      <c r="D222" s="218">
        <v>107702.0</v>
      </c>
      <c r="E222" s="218" t="s">
        <v>8715</v>
      </c>
      <c r="F222" s="218" t="s">
        <v>8716</v>
      </c>
      <c r="G222" s="218">
        <v>16.0</v>
      </c>
      <c r="H222" s="218" t="s">
        <v>8879</v>
      </c>
      <c r="I222" s="218">
        <v>339030.0</v>
      </c>
      <c r="J222" s="218" t="s">
        <v>249</v>
      </c>
    </row>
    <row r="223">
      <c r="A223" s="218" t="s">
        <v>8891</v>
      </c>
      <c r="B223" s="218">
        <v>688.0</v>
      </c>
      <c r="C223" s="218">
        <v>2018.0</v>
      </c>
      <c r="D223" s="218">
        <v>107702.0</v>
      </c>
      <c r="E223" s="218" t="s">
        <v>8715</v>
      </c>
      <c r="F223" s="218" t="s">
        <v>8716</v>
      </c>
      <c r="G223" s="218">
        <v>16.0</v>
      </c>
      <c r="H223" s="218" t="s">
        <v>8879</v>
      </c>
      <c r="I223" s="218">
        <v>339030.0</v>
      </c>
      <c r="J223" s="218" t="s">
        <v>249</v>
      </c>
    </row>
    <row r="224">
      <c r="A224" s="218" t="s">
        <v>8891</v>
      </c>
      <c r="B224" s="218">
        <v>688.0</v>
      </c>
      <c r="C224" s="218">
        <v>2018.0</v>
      </c>
      <c r="D224" s="218">
        <v>107702.0</v>
      </c>
      <c r="E224" s="218" t="s">
        <v>8715</v>
      </c>
      <c r="F224" s="218" t="s">
        <v>8716</v>
      </c>
      <c r="G224" s="218">
        <v>16.0</v>
      </c>
      <c r="H224" s="218" t="s">
        <v>8879</v>
      </c>
      <c r="I224" s="218">
        <v>339030.0</v>
      </c>
      <c r="J224" s="218" t="s">
        <v>249</v>
      </c>
    </row>
    <row r="225">
      <c r="A225" s="218" t="s">
        <v>8891</v>
      </c>
      <c r="B225" s="218">
        <v>688.0</v>
      </c>
      <c r="C225" s="218">
        <v>2018.0</v>
      </c>
      <c r="D225" s="218">
        <v>107702.0</v>
      </c>
      <c r="E225" s="218" t="s">
        <v>8715</v>
      </c>
      <c r="F225" s="218" t="s">
        <v>8716</v>
      </c>
      <c r="G225" s="218">
        <v>16.0</v>
      </c>
      <c r="H225" s="218" t="s">
        <v>8879</v>
      </c>
      <c r="I225" s="218">
        <v>339030.0</v>
      </c>
      <c r="J225" s="218" t="s">
        <v>249</v>
      </c>
    </row>
    <row r="226">
      <c r="A226" s="218" t="s">
        <v>8891</v>
      </c>
      <c r="B226" s="218">
        <v>688.0</v>
      </c>
      <c r="C226" s="218">
        <v>2018.0</v>
      </c>
      <c r="D226" s="218">
        <v>107702.0</v>
      </c>
      <c r="E226" s="218" t="s">
        <v>8715</v>
      </c>
      <c r="F226" s="218" t="s">
        <v>8716</v>
      </c>
      <c r="G226" s="218">
        <v>16.0</v>
      </c>
      <c r="H226" s="218" t="s">
        <v>8879</v>
      </c>
      <c r="I226" s="218">
        <v>339030.0</v>
      </c>
      <c r="J226" s="218" t="s">
        <v>249</v>
      </c>
    </row>
    <row r="227">
      <c r="A227" s="218" t="s">
        <v>8891</v>
      </c>
      <c r="B227" s="218">
        <v>688.0</v>
      </c>
      <c r="C227" s="218">
        <v>2018.0</v>
      </c>
      <c r="D227" s="218">
        <v>107702.0</v>
      </c>
      <c r="E227" s="218" t="s">
        <v>8715</v>
      </c>
      <c r="F227" s="218" t="s">
        <v>8716</v>
      </c>
      <c r="G227" s="218">
        <v>16.0</v>
      </c>
      <c r="H227" s="218" t="s">
        <v>8879</v>
      </c>
      <c r="I227" s="218">
        <v>339030.0</v>
      </c>
      <c r="J227" s="218" t="s">
        <v>249</v>
      </c>
    </row>
    <row r="228">
      <c r="A228" s="218" t="s">
        <v>8893</v>
      </c>
      <c r="B228" s="218">
        <v>612.0</v>
      </c>
      <c r="C228" s="218">
        <v>2018.0</v>
      </c>
      <c r="D228" s="218">
        <v>107702.0</v>
      </c>
      <c r="E228" s="218" t="s">
        <v>8715</v>
      </c>
      <c r="F228" s="218" t="s">
        <v>8716</v>
      </c>
      <c r="G228" s="218">
        <v>16.0</v>
      </c>
      <c r="H228" s="218" t="s">
        <v>8879</v>
      </c>
      <c r="I228" s="218">
        <v>339030.0</v>
      </c>
      <c r="J228" s="218" t="s">
        <v>249</v>
      </c>
    </row>
    <row r="229">
      <c r="A229" s="218" t="s">
        <v>8894</v>
      </c>
      <c r="B229" s="218">
        <v>880.0</v>
      </c>
      <c r="C229" s="218">
        <v>2018.0</v>
      </c>
      <c r="D229" s="218">
        <v>107702.0</v>
      </c>
      <c r="E229" s="218" t="s">
        <v>8715</v>
      </c>
      <c r="F229" s="218" t="s">
        <v>8716</v>
      </c>
      <c r="G229" s="218">
        <v>22.0</v>
      </c>
      <c r="H229" s="218" t="s">
        <v>8895</v>
      </c>
      <c r="I229" s="218">
        <v>339030.0</v>
      </c>
      <c r="J229" s="218" t="s">
        <v>249</v>
      </c>
    </row>
    <row r="230">
      <c r="A230" s="218" t="s">
        <v>8894</v>
      </c>
      <c r="B230" s="218">
        <v>881.0</v>
      </c>
      <c r="C230" s="218">
        <v>2018.0</v>
      </c>
      <c r="D230" s="218">
        <v>107702.0</v>
      </c>
      <c r="E230" s="218" t="s">
        <v>8715</v>
      </c>
      <c r="F230" s="218" t="s">
        <v>8716</v>
      </c>
      <c r="G230" s="218">
        <v>22.0</v>
      </c>
      <c r="H230" s="218" t="s">
        <v>8895</v>
      </c>
      <c r="I230" s="218">
        <v>339030.0</v>
      </c>
      <c r="J230" s="218" t="s">
        <v>249</v>
      </c>
    </row>
    <row r="231">
      <c r="A231" s="218" t="s">
        <v>8894</v>
      </c>
      <c r="B231" s="218">
        <v>881.0</v>
      </c>
      <c r="C231" s="218">
        <v>2018.0</v>
      </c>
      <c r="D231" s="218">
        <v>107702.0</v>
      </c>
      <c r="E231" s="218" t="s">
        <v>8715</v>
      </c>
      <c r="F231" s="218" t="s">
        <v>8716</v>
      </c>
      <c r="G231" s="218">
        <v>22.0</v>
      </c>
      <c r="H231" s="218" t="s">
        <v>8895</v>
      </c>
      <c r="I231" s="218">
        <v>339030.0</v>
      </c>
      <c r="J231" s="218" t="s">
        <v>249</v>
      </c>
    </row>
    <row r="232">
      <c r="A232" s="218" t="s">
        <v>8894</v>
      </c>
      <c r="B232" s="218">
        <v>881.0</v>
      </c>
      <c r="C232" s="218">
        <v>2018.0</v>
      </c>
      <c r="D232" s="218">
        <v>107702.0</v>
      </c>
      <c r="E232" s="218" t="s">
        <v>8715</v>
      </c>
      <c r="F232" s="218" t="s">
        <v>8716</v>
      </c>
      <c r="G232" s="218">
        <v>22.0</v>
      </c>
      <c r="H232" s="218" t="s">
        <v>8895</v>
      </c>
      <c r="I232" s="218">
        <v>339030.0</v>
      </c>
      <c r="J232" s="218" t="s">
        <v>249</v>
      </c>
    </row>
    <row r="233">
      <c r="A233" s="218" t="s">
        <v>8894</v>
      </c>
      <c r="B233" s="218">
        <v>881.0</v>
      </c>
      <c r="C233" s="218">
        <v>2018.0</v>
      </c>
      <c r="D233" s="218">
        <v>107702.0</v>
      </c>
      <c r="E233" s="218" t="s">
        <v>8715</v>
      </c>
      <c r="F233" s="218" t="s">
        <v>8716</v>
      </c>
      <c r="G233" s="218">
        <v>22.0</v>
      </c>
      <c r="H233" s="218" t="s">
        <v>8895</v>
      </c>
      <c r="I233" s="218">
        <v>339030.0</v>
      </c>
      <c r="J233" s="218" t="s">
        <v>249</v>
      </c>
    </row>
    <row r="234">
      <c r="A234" s="218" t="s">
        <v>8894</v>
      </c>
      <c r="B234" s="218">
        <v>882.0</v>
      </c>
      <c r="C234" s="218">
        <v>2018.0</v>
      </c>
      <c r="D234" s="218">
        <v>107702.0</v>
      </c>
      <c r="E234" s="218" t="s">
        <v>8715</v>
      </c>
      <c r="F234" s="218" t="s">
        <v>8716</v>
      </c>
      <c r="G234" s="218">
        <v>21.0</v>
      </c>
      <c r="H234" s="218" t="s">
        <v>8896</v>
      </c>
      <c r="I234" s="218">
        <v>339030.0</v>
      </c>
      <c r="J234" s="218" t="s">
        <v>249</v>
      </c>
    </row>
    <row r="235">
      <c r="A235" s="218" t="s">
        <v>8894</v>
      </c>
      <c r="B235" s="218">
        <v>882.0</v>
      </c>
      <c r="C235" s="218">
        <v>2018.0</v>
      </c>
      <c r="D235" s="218">
        <v>107702.0</v>
      </c>
      <c r="E235" s="218" t="s">
        <v>8715</v>
      </c>
      <c r="F235" s="218" t="s">
        <v>8716</v>
      </c>
      <c r="G235" s="218">
        <v>21.0</v>
      </c>
      <c r="H235" s="218" t="s">
        <v>8896</v>
      </c>
      <c r="I235" s="218">
        <v>339030.0</v>
      </c>
      <c r="J235" s="218" t="s">
        <v>249</v>
      </c>
    </row>
    <row r="236">
      <c r="A236" s="218" t="s">
        <v>8894</v>
      </c>
      <c r="B236" s="218">
        <v>882.0</v>
      </c>
      <c r="C236" s="218">
        <v>2018.0</v>
      </c>
      <c r="D236" s="218">
        <v>107702.0</v>
      </c>
      <c r="E236" s="218" t="s">
        <v>8715</v>
      </c>
      <c r="F236" s="218" t="s">
        <v>8716</v>
      </c>
      <c r="G236" s="218">
        <v>22.0</v>
      </c>
      <c r="H236" s="218" t="s">
        <v>8895</v>
      </c>
      <c r="I236" s="218">
        <v>339030.0</v>
      </c>
      <c r="J236" s="218" t="s">
        <v>249</v>
      </c>
    </row>
    <row r="237">
      <c r="A237" s="218" t="s">
        <v>8894</v>
      </c>
      <c r="B237" s="218">
        <v>882.0</v>
      </c>
      <c r="C237" s="218">
        <v>2018.0</v>
      </c>
      <c r="D237" s="218">
        <v>107702.0</v>
      </c>
      <c r="E237" s="218" t="s">
        <v>8715</v>
      </c>
      <c r="F237" s="218" t="s">
        <v>8716</v>
      </c>
      <c r="G237" s="218">
        <v>22.0</v>
      </c>
      <c r="H237" s="218" t="s">
        <v>8895</v>
      </c>
      <c r="I237" s="218">
        <v>339030.0</v>
      </c>
      <c r="J237" s="218" t="s">
        <v>249</v>
      </c>
    </row>
    <row r="238">
      <c r="A238" s="218" t="s">
        <v>8894</v>
      </c>
      <c r="B238" s="218">
        <v>882.0</v>
      </c>
      <c r="C238" s="218">
        <v>2018.0</v>
      </c>
      <c r="D238" s="218">
        <v>107702.0</v>
      </c>
      <c r="E238" s="218" t="s">
        <v>8715</v>
      </c>
      <c r="F238" s="218" t="s">
        <v>8716</v>
      </c>
      <c r="G238" s="218">
        <v>22.0</v>
      </c>
      <c r="H238" s="218" t="s">
        <v>8895</v>
      </c>
      <c r="I238" s="218">
        <v>339030.0</v>
      </c>
      <c r="J238" s="218" t="s">
        <v>249</v>
      </c>
    </row>
    <row r="239">
      <c r="A239" s="218" t="s">
        <v>8894</v>
      </c>
      <c r="B239" s="218">
        <v>882.0</v>
      </c>
      <c r="C239" s="218">
        <v>2018.0</v>
      </c>
      <c r="D239" s="218">
        <v>107702.0</v>
      </c>
      <c r="E239" s="218" t="s">
        <v>8715</v>
      </c>
      <c r="F239" s="218" t="s">
        <v>8716</v>
      </c>
      <c r="G239" s="218">
        <v>22.0</v>
      </c>
      <c r="H239" s="218" t="s">
        <v>8895</v>
      </c>
      <c r="I239" s="218">
        <v>339030.0</v>
      </c>
      <c r="J239" s="218" t="s">
        <v>249</v>
      </c>
    </row>
    <row r="240">
      <c r="A240" s="218" t="s">
        <v>8894</v>
      </c>
      <c r="B240" s="218">
        <v>882.0</v>
      </c>
      <c r="C240" s="218">
        <v>2018.0</v>
      </c>
      <c r="D240" s="218">
        <v>107702.0</v>
      </c>
      <c r="E240" s="218" t="s">
        <v>8715</v>
      </c>
      <c r="F240" s="218" t="s">
        <v>8716</v>
      </c>
      <c r="G240" s="218">
        <v>22.0</v>
      </c>
      <c r="H240" s="218" t="s">
        <v>8895</v>
      </c>
      <c r="I240" s="218">
        <v>339030.0</v>
      </c>
      <c r="J240" s="218" t="s">
        <v>249</v>
      </c>
    </row>
    <row r="241">
      <c r="A241" s="218" t="s">
        <v>8894</v>
      </c>
      <c r="B241" s="218">
        <v>882.0</v>
      </c>
      <c r="C241" s="218">
        <v>2018.0</v>
      </c>
      <c r="D241" s="218">
        <v>107702.0</v>
      </c>
      <c r="E241" s="218" t="s">
        <v>8715</v>
      </c>
      <c r="F241" s="218" t="s">
        <v>8716</v>
      </c>
      <c r="G241" s="218">
        <v>22.0</v>
      </c>
      <c r="H241" s="218" t="s">
        <v>8895</v>
      </c>
      <c r="I241" s="218">
        <v>339030.0</v>
      </c>
      <c r="J241" s="218" t="s">
        <v>249</v>
      </c>
    </row>
    <row r="242">
      <c r="A242" s="218" t="s">
        <v>8894</v>
      </c>
      <c r="B242" s="218">
        <v>882.0</v>
      </c>
      <c r="C242" s="218">
        <v>2018.0</v>
      </c>
      <c r="D242" s="218">
        <v>107702.0</v>
      </c>
      <c r="E242" s="218" t="s">
        <v>8715</v>
      </c>
      <c r="F242" s="218" t="s">
        <v>8716</v>
      </c>
      <c r="G242" s="218">
        <v>22.0</v>
      </c>
      <c r="H242" s="218" t="s">
        <v>8895</v>
      </c>
      <c r="I242" s="218">
        <v>339030.0</v>
      </c>
      <c r="J242" s="218" t="s">
        <v>249</v>
      </c>
    </row>
    <row r="243">
      <c r="A243" s="218" t="s">
        <v>8894</v>
      </c>
      <c r="B243" s="218">
        <v>887.0</v>
      </c>
      <c r="C243" s="218">
        <v>2018.0</v>
      </c>
      <c r="D243" s="218">
        <v>107702.0</v>
      </c>
      <c r="E243" s="218" t="s">
        <v>8715</v>
      </c>
      <c r="F243" s="218" t="s">
        <v>8716</v>
      </c>
      <c r="G243" s="218">
        <v>19.0</v>
      </c>
      <c r="H243" s="218" t="s">
        <v>8892</v>
      </c>
      <c r="I243" s="218">
        <v>339030.0</v>
      </c>
      <c r="J243" s="218" t="s">
        <v>249</v>
      </c>
    </row>
    <row r="244">
      <c r="A244" s="218" t="s">
        <v>8894</v>
      </c>
      <c r="B244" s="218">
        <v>883.0</v>
      </c>
      <c r="C244" s="218">
        <v>2018.0</v>
      </c>
      <c r="D244" s="218">
        <v>107702.0</v>
      </c>
      <c r="E244" s="218" t="s">
        <v>8715</v>
      </c>
      <c r="F244" s="218" t="s">
        <v>8716</v>
      </c>
      <c r="G244" s="218">
        <v>19.0</v>
      </c>
      <c r="H244" s="218" t="s">
        <v>8892</v>
      </c>
      <c r="I244" s="218">
        <v>339030.0</v>
      </c>
      <c r="J244" s="218" t="s">
        <v>249</v>
      </c>
    </row>
    <row r="245">
      <c r="A245" s="218" t="s">
        <v>8894</v>
      </c>
      <c r="B245" s="218">
        <v>884.0</v>
      </c>
      <c r="C245" s="218">
        <v>2018.0</v>
      </c>
      <c r="D245" s="218">
        <v>107702.0</v>
      </c>
      <c r="E245" s="218" t="s">
        <v>8715</v>
      </c>
      <c r="F245" s="218" t="s">
        <v>8716</v>
      </c>
      <c r="G245" s="218">
        <v>19.0</v>
      </c>
      <c r="H245" s="218" t="s">
        <v>8892</v>
      </c>
      <c r="I245" s="218">
        <v>339030.0</v>
      </c>
      <c r="J245" s="218" t="s">
        <v>249</v>
      </c>
    </row>
    <row r="246">
      <c r="A246" s="218" t="s">
        <v>8894</v>
      </c>
      <c r="B246" s="218">
        <v>884.0</v>
      </c>
      <c r="C246" s="218">
        <v>2018.0</v>
      </c>
      <c r="D246" s="218">
        <v>107702.0</v>
      </c>
      <c r="E246" s="218" t="s">
        <v>8715</v>
      </c>
      <c r="F246" s="218" t="s">
        <v>8716</v>
      </c>
      <c r="G246" s="218">
        <v>22.0</v>
      </c>
      <c r="H246" s="218" t="s">
        <v>8895</v>
      </c>
      <c r="I246" s="218">
        <v>339030.0</v>
      </c>
      <c r="J246" s="218" t="s">
        <v>249</v>
      </c>
    </row>
    <row r="247">
      <c r="A247" s="218" t="s">
        <v>8894</v>
      </c>
      <c r="B247" s="218">
        <v>884.0</v>
      </c>
      <c r="C247" s="218">
        <v>2018.0</v>
      </c>
      <c r="D247" s="218">
        <v>107702.0</v>
      </c>
      <c r="E247" s="218" t="s">
        <v>8715</v>
      </c>
      <c r="F247" s="218" t="s">
        <v>8716</v>
      </c>
      <c r="G247" s="218">
        <v>22.0</v>
      </c>
      <c r="H247" s="218" t="s">
        <v>8895</v>
      </c>
      <c r="I247" s="218">
        <v>339030.0</v>
      </c>
      <c r="J247" s="218" t="s">
        <v>249</v>
      </c>
    </row>
    <row r="248">
      <c r="A248" s="218" t="s">
        <v>8894</v>
      </c>
      <c r="B248" s="218">
        <v>884.0</v>
      </c>
      <c r="C248" s="218">
        <v>2018.0</v>
      </c>
      <c r="D248" s="218">
        <v>107702.0</v>
      </c>
      <c r="E248" s="218" t="s">
        <v>8715</v>
      </c>
      <c r="F248" s="218" t="s">
        <v>8716</v>
      </c>
      <c r="G248" s="218">
        <v>22.0</v>
      </c>
      <c r="H248" s="218" t="s">
        <v>8895</v>
      </c>
      <c r="I248" s="218">
        <v>339030.0</v>
      </c>
      <c r="J248" s="218" t="s">
        <v>249</v>
      </c>
    </row>
    <row r="249">
      <c r="A249" s="218" t="s">
        <v>8894</v>
      </c>
      <c r="B249" s="218">
        <v>885.0</v>
      </c>
      <c r="C249" s="218">
        <v>2018.0</v>
      </c>
      <c r="D249" s="218">
        <v>107702.0</v>
      </c>
      <c r="E249" s="218" t="s">
        <v>8715</v>
      </c>
      <c r="F249" s="218" t="s">
        <v>8716</v>
      </c>
      <c r="G249" s="218">
        <v>22.0</v>
      </c>
      <c r="H249" s="218" t="s">
        <v>8895</v>
      </c>
      <c r="I249" s="218">
        <v>339030.0</v>
      </c>
      <c r="J249" s="218" t="s">
        <v>249</v>
      </c>
    </row>
    <row r="250">
      <c r="A250" s="218" t="s">
        <v>8894</v>
      </c>
      <c r="B250" s="218">
        <v>885.0</v>
      </c>
      <c r="C250" s="218">
        <v>2018.0</v>
      </c>
      <c r="D250" s="218">
        <v>107702.0</v>
      </c>
      <c r="E250" s="218" t="s">
        <v>8715</v>
      </c>
      <c r="F250" s="218" t="s">
        <v>8716</v>
      </c>
      <c r="G250" s="218">
        <v>22.0</v>
      </c>
      <c r="H250" s="218" t="s">
        <v>8895</v>
      </c>
      <c r="I250" s="218">
        <v>339030.0</v>
      </c>
      <c r="J250" s="218" t="s">
        <v>249</v>
      </c>
    </row>
    <row r="251">
      <c r="A251" s="218" t="s">
        <v>8894</v>
      </c>
      <c r="B251" s="218">
        <v>885.0</v>
      </c>
      <c r="C251" s="218">
        <v>2018.0</v>
      </c>
      <c r="D251" s="218">
        <v>107702.0</v>
      </c>
      <c r="E251" s="218" t="s">
        <v>8715</v>
      </c>
      <c r="F251" s="218" t="s">
        <v>8716</v>
      </c>
      <c r="G251" s="218">
        <v>21.0</v>
      </c>
      <c r="H251" s="218" t="s">
        <v>8896</v>
      </c>
      <c r="I251" s="218">
        <v>339030.0</v>
      </c>
      <c r="J251" s="218" t="s">
        <v>249</v>
      </c>
    </row>
    <row r="252">
      <c r="A252" s="218" t="s">
        <v>8894</v>
      </c>
      <c r="B252" s="218">
        <v>885.0</v>
      </c>
      <c r="C252" s="218">
        <v>2018.0</v>
      </c>
      <c r="D252" s="218">
        <v>107702.0</v>
      </c>
      <c r="E252" s="218" t="s">
        <v>8715</v>
      </c>
      <c r="F252" s="218" t="s">
        <v>8716</v>
      </c>
      <c r="G252" s="218">
        <v>22.0</v>
      </c>
      <c r="H252" s="218" t="s">
        <v>8895</v>
      </c>
      <c r="I252" s="218">
        <v>339030.0</v>
      </c>
      <c r="J252" s="218" t="s">
        <v>249</v>
      </c>
    </row>
    <row r="253">
      <c r="A253" s="218" t="s">
        <v>8894</v>
      </c>
      <c r="B253" s="218">
        <v>885.0</v>
      </c>
      <c r="C253" s="218">
        <v>2018.0</v>
      </c>
      <c r="D253" s="218">
        <v>107702.0</v>
      </c>
      <c r="E253" s="218" t="s">
        <v>8715</v>
      </c>
      <c r="F253" s="218" t="s">
        <v>8716</v>
      </c>
      <c r="G253" s="218">
        <v>22.0</v>
      </c>
      <c r="H253" s="218" t="s">
        <v>8895</v>
      </c>
      <c r="I253" s="218">
        <v>339030.0</v>
      </c>
      <c r="J253" s="218" t="s">
        <v>249</v>
      </c>
    </row>
    <row r="254">
      <c r="A254" s="218" t="s">
        <v>8894</v>
      </c>
      <c r="B254" s="218">
        <v>886.0</v>
      </c>
      <c r="C254" s="218">
        <v>2018.0</v>
      </c>
      <c r="D254" s="218">
        <v>107702.0</v>
      </c>
      <c r="E254" s="218" t="s">
        <v>8715</v>
      </c>
      <c r="F254" s="218" t="s">
        <v>8716</v>
      </c>
      <c r="G254" s="218">
        <v>22.0</v>
      </c>
      <c r="H254" s="218" t="s">
        <v>8895</v>
      </c>
      <c r="I254" s="218">
        <v>339030.0</v>
      </c>
      <c r="J254" s="218" t="s">
        <v>249</v>
      </c>
    </row>
    <row r="255">
      <c r="A255" s="218" t="s">
        <v>8894</v>
      </c>
      <c r="B255" s="218">
        <v>886.0</v>
      </c>
      <c r="C255" s="218">
        <v>2018.0</v>
      </c>
      <c r="D255" s="218">
        <v>107702.0</v>
      </c>
      <c r="E255" s="218" t="s">
        <v>8715</v>
      </c>
      <c r="F255" s="218" t="s">
        <v>8716</v>
      </c>
      <c r="G255" s="218">
        <v>22.0</v>
      </c>
      <c r="H255" s="218" t="s">
        <v>8895</v>
      </c>
      <c r="I255" s="218">
        <v>339030.0</v>
      </c>
      <c r="J255" s="218" t="s">
        <v>249</v>
      </c>
    </row>
    <row r="256">
      <c r="A256" s="218" t="s">
        <v>8894</v>
      </c>
      <c r="B256" s="218">
        <v>886.0</v>
      </c>
      <c r="C256" s="218">
        <v>2018.0</v>
      </c>
      <c r="D256" s="218">
        <v>107702.0</v>
      </c>
      <c r="E256" s="218" t="s">
        <v>8715</v>
      </c>
      <c r="F256" s="218" t="s">
        <v>8716</v>
      </c>
      <c r="G256" s="218">
        <v>22.0</v>
      </c>
      <c r="H256" s="218" t="s">
        <v>8895</v>
      </c>
      <c r="I256" s="218">
        <v>339030.0</v>
      </c>
      <c r="J256" s="218" t="s">
        <v>249</v>
      </c>
    </row>
    <row r="257">
      <c r="A257" s="218" t="s">
        <v>8894</v>
      </c>
      <c r="B257" s="218">
        <v>886.0</v>
      </c>
      <c r="C257" s="218">
        <v>2018.0</v>
      </c>
      <c r="D257" s="218">
        <v>107702.0</v>
      </c>
      <c r="E257" s="218" t="s">
        <v>8715</v>
      </c>
      <c r="F257" s="218" t="s">
        <v>8716</v>
      </c>
      <c r="G257" s="218">
        <v>22.0</v>
      </c>
      <c r="H257" s="218" t="s">
        <v>8895</v>
      </c>
      <c r="I257" s="218">
        <v>339030.0</v>
      </c>
      <c r="J257" s="218" t="s">
        <v>249</v>
      </c>
    </row>
    <row r="258">
      <c r="A258" s="218" t="s">
        <v>8894</v>
      </c>
      <c r="B258" s="218">
        <v>886.0</v>
      </c>
      <c r="C258" s="218">
        <v>2018.0</v>
      </c>
      <c r="D258" s="218">
        <v>107702.0</v>
      </c>
      <c r="E258" s="218" t="s">
        <v>8715</v>
      </c>
      <c r="F258" s="218" t="s">
        <v>8716</v>
      </c>
      <c r="G258" s="218">
        <v>22.0</v>
      </c>
      <c r="H258" s="218" t="s">
        <v>8895</v>
      </c>
      <c r="I258" s="218">
        <v>339030.0</v>
      </c>
      <c r="J258" s="218" t="s">
        <v>249</v>
      </c>
    </row>
    <row r="259">
      <c r="A259" s="218" t="s">
        <v>8894</v>
      </c>
      <c r="B259" s="218">
        <v>886.0</v>
      </c>
      <c r="C259" s="218">
        <v>2018.0</v>
      </c>
      <c r="D259" s="218">
        <v>107702.0</v>
      </c>
      <c r="E259" s="218" t="s">
        <v>8715</v>
      </c>
      <c r="F259" s="218" t="s">
        <v>8716</v>
      </c>
      <c r="G259" s="218">
        <v>22.0</v>
      </c>
      <c r="H259" s="218" t="s">
        <v>8895</v>
      </c>
      <c r="I259" s="218">
        <v>339030.0</v>
      </c>
      <c r="J259" s="218" t="s">
        <v>249</v>
      </c>
    </row>
    <row r="260">
      <c r="A260" s="218" t="s">
        <v>8894</v>
      </c>
      <c r="B260" s="218">
        <v>888.0</v>
      </c>
      <c r="C260" s="218">
        <v>2018.0</v>
      </c>
      <c r="D260" s="218">
        <v>107702.0</v>
      </c>
      <c r="E260" s="218" t="s">
        <v>8715</v>
      </c>
      <c r="F260" s="218" t="s">
        <v>8716</v>
      </c>
      <c r="G260" s="218">
        <v>25.0</v>
      </c>
      <c r="H260" s="218" t="s">
        <v>8784</v>
      </c>
      <c r="I260" s="218">
        <v>339030.0</v>
      </c>
      <c r="J260" s="218" t="s">
        <v>249</v>
      </c>
    </row>
    <row r="261">
      <c r="A261" s="218" t="s">
        <v>8894</v>
      </c>
      <c r="B261" s="218">
        <v>889.0</v>
      </c>
      <c r="C261" s="218">
        <v>2018.0</v>
      </c>
      <c r="D261" s="218">
        <v>107702.0</v>
      </c>
      <c r="E261" s="218" t="s">
        <v>8715</v>
      </c>
      <c r="F261" s="218" t="s">
        <v>8716</v>
      </c>
      <c r="G261" s="218">
        <v>22.0</v>
      </c>
      <c r="H261" s="218" t="s">
        <v>8895</v>
      </c>
      <c r="I261" s="218">
        <v>339030.0</v>
      </c>
      <c r="J261" s="218" t="s">
        <v>249</v>
      </c>
    </row>
    <row r="262">
      <c r="A262" s="218" t="s">
        <v>8894</v>
      </c>
      <c r="B262" s="218">
        <v>880.0</v>
      </c>
      <c r="C262" s="218">
        <v>2018.0</v>
      </c>
      <c r="D262" s="218">
        <v>107702.0</v>
      </c>
      <c r="E262" s="218" t="s">
        <v>8715</v>
      </c>
      <c r="F262" s="218" t="s">
        <v>8716</v>
      </c>
      <c r="G262" s="218">
        <v>22.0</v>
      </c>
      <c r="H262" s="218" t="s">
        <v>8895</v>
      </c>
      <c r="I262" s="218">
        <v>339030.0</v>
      </c>
      <c r="J262" s="218" t="s">
        <v>249</v>
      </c>
    </row>
    <row r="263">
      <c r="A263" s="218" t="s">
        <v>8894</v>
      </c>
      <c r="B263" s="218">
        <v>880.0</v>
      </c>
      <c r="C263" s="218">
        <v>2018.0</v>
      </c>
      <c r="D263" s="218">
        <v>107702.0</v>
      </c>
      <c r="E263" s="218" t="s">
        <v>8715</v>
      </c>
      <c r="F263" s="218" t="s">
        <v>8716</v>
      </c>
      <c r="G263" s="218">
        <v>22.0</v>
      </c>
      <c r="H263" s="218" t="s">
        <v>8895</v>
      </c>
      <c r="I263" s="218">
        <v>339030.0</v>
      </c>
      <c r="J263" s="218" t="s">
        <v>249</v>
      </c>
    </row>
    <row r="264">
      <c r="A264" s="218" t="s">
        <v>8897</v>
      </c>
      <c r="B264" s="218">
        <v>236.0</v>
      </c>
      <c r="C264" s="218">
        <v>2018.0</v>
      </c>
      <c r="D264" s="218">
        <v>1077020.0</v>
      </c>
      <c r="E264" s="218" t="s">
        <v>8767</v>
      </c>
      <c r="F264" s="218" t="s">
        <v>8768</v>
      </c>
      <c r="G264" s="218">
        <v>1.0</v>
      </c>
      <c r="H264" s="218" t="s">
        <v>8769</v>
      </c>
      <c r="I264" s="218">
        <v>339037.0</v>
      </c>
      <c r="J264" s="218" t="s">
        <v>8770</v>
      </c>
    </row>
    <row r="265">
      <c r="A265" s="218" t="s">
        <v>8897</v>
      </c>
      <c r="B265" s="218">
        <v>236.0</v>
      </c>
      <c r="C265" s="218">
        <v>2018.0</v>
      </c>
      <c r="D265" s="218">
        <v>1077020.0</v>
      </c>
      <c r="E265" s="218" t="s">
        <v>8767</v>
      </c>
      <c r="F265" s="218" t="s">
        <v>8768</v>
      </c>
      <c r="G265" s="218">
        <v>2.0</v>
      </c>
      <c r="H265" s="218" t="s">
        <v>8748</v>
      </c>
      <c r="I265" s="218">
        <v>339037.0</v>
      </c>
      <c r="J265" s="218" t="s">
        <v>8770</v>
      </c>
    </row>
    <row r="266">
      <c r="A266" s="218" t="s">
        <v>8897</v>
      </c>
      <c r="B266" s="218">
        <v>236.0</v>
      </c>
      <c r="C266" s="218">
        <v>2018.0</v>
      </c>
      <c r="D266" s="218">
        <v>1077020.0</v>
      </c>
      <c r="E266" s="218" t="s">
        <v>8767</v>
      </c>
      <c r="F266" s="218" t="s">
        <v>8768</v>
      </c>
      <c r="G266" s="218">
        <v>5.0</v>
      </c>
      <c r="H266" s="218" t="s">
        <v>8800</v>
      </c>
      <c r="I266" s="218">
        <v>339037.0</v>
      </c>
      <c r="J266" s="218" t="s">
        <v>8770</v>
      </c>
    </row>
    <row r="267">
      <c r="A267" s="218" t="s">
        <v>8898</v>
      </c>
      <c r="B267" s="218">
        <v>159.0</v>
      </c>
      <c r="C267" s="218">
        <v>2018.0</v>
      </c>
      <c r="D267" s="218">
        <v>107702.0</v>
      </c>
      <c r="E267" s="218" t="s">
        <v>8715</v>
      </c>
      <c r="F267" s="218" t="s">
        <v>8716</v>
      </c>
      <c r="G267" s="218">
        <v>7.0</v>
      </c>
      <c r="H267" s="218" t="s">
        <v>8802</v>
      </c>
      <c r="I267" s="218">
        <v>339040.0</v>
      </c>
      <c r="J267" s="218" t="s">
        <v>136</v>
      </c>
    </row>
    <row r="268">
      <c r="A268" s="218" t="s">
        <v>184</v>
      </c>
      <c r="B268" s="218">
        <v>131.0</v>
      </c>
      <c r="C268" s="218">
        <v>2018.0</v>
      </c>
      <c r="D268" s="218">
        <v>85046.0</v>
      </c>
      <c r="E268" s="218" t="s">
        <v>8756</v>
      </c>
      <c r="F268" s="218" t="s">
        <v>8716</v>
      </c>
      <c r="G268" s="218">
        <v>13.0</v>
      </c>
      <c r="H268" s="218" t="s">
        <v>8762</v>
      </c>
      <c r="I268" s="218">
        <v>339040.0</v>
      </c>
      <c r="J268" s="218" t="s">
        <v>136</v>
      </c>
    </row>
    <row r="269">
      <c r="A269" s="218" t="s">
        <v>229</v>
      </c>
      <c r="B269" s="218">
        <v>148.0</v>
      </c>
      <c r="C269" s="218">
        <v>2018.0</v>
      </c>
      <c r="D269" s="218">
        <v>85046.0</v>
      </c>
      <c r="E269" s="218" t="s">
        <v>8756</v>
      </c>
      <c r="F269" s="218" t="s">
        <v>8716</v>
      </c>
      <c r="G269" s="218">
        <v>13.0</v>
      </c>
      <c r="H269" s="218" t="s">
        <v>8762</v>
      </c>
      <c r="I269" s="218">
        <v>339040.0</v>
      </c>
      <c r="J269" s="218" t="s">
        <v>136</v>
      </c>
    </row>
    <row r="270">
      <c r="A270" s="218" t="s">
        <v>440</v>
      </c>
      <c r="B270" s="218">
        <v>134.0</v>
      </c>
      <c r="C270" s="218">
        <v>2018.0</v>
      </c>
      <c r="D270" s="218">
        <v>85046.0</v>
      </c>
      <c r="E270" s="218" t="s">
        <v>8756</v>
      </c>
      <c r="F270" s="218" t="s">
        <v>8716</v>
      </c>
      <c r="G270" s="218">
        <v>11.0</v>
      </c>
      <c r="H270" s="218" t="s">
        <v>8757</v>
      </c>
      <c r="I270" s="218">
        <v>339040.0</v>
      </c>
      <c r="J270" s="218" t="s">
        <v>136</v>
      </c>
    </row>
    <row r="271">
      <c r="A271" s="218" t="s">
        <v>8899</v>
      </c>
      <c r="B271" s="218">
        <v>971.0</v>
      </c>
      <c r="C271" s="218">
        <v>2018.0</v>
      </c>
      <c r="D271" s="218">
        <v>107702.0</v>
      </c>
      <c r="E271" s="218" t="s">
        <v>8715</v>
      </c>
      <c r="F271" s="218" t="s">
        <v>8716</v>
      </c>
      <c r="G271" s="218">
        <v>34.0</v>
      </c>
      <c r="H271" s="218" t="s">
        <v>8890</v>
      </c>
      <c r="I271" s="218">
        <v>449052.0</v>
      </c>
      <c r="J271" s="218" t="s">
        <v>362</v>
      </c>
    </row>
    <row r="272">
      <c r="A272" s="218" t="s">
        <v>8899</v>
      </c>
      <c r="B272" s="218">
        <v>141.0</v>
      </c>
      <c r="C272" s="218">
        <v>2018.0</v>
      </c>
      <c r="D272" s="218">
        <v>107702.0</v>
      </c>
      <c r="E272" s="218" t="s">
        <v>8715</v>
      </c>
      <c r="F272" s="218" t="s">
        <v>8716</v>
      </c>
      <c r="G272" s="218">
        <v>17.0</v>
      </c>
      <c r="H272" s="218" t="s">
        <v>8825</v>
      </c>
      <c r="I272" s="218">
        <v>339039.0</v>
      </c>
      <c r="J272" s="218" t="s">
        <v>8720</v>
      </c>
    </row>
    <row r="273">
      <c r="A273" s="218" t="s">
        <v>8900</v>
      </c>
      <c r="B273" s="218">
        <v>818.0</v>
      </c>
      <c r="C273" s="218">
        <v>2018.0</v>
      </c>
      <c r="D273" s="218">
        <v>107702.0</v>
      </c>
      <c r="E273" s="218" t="s">
        <v>8715</v>
      </c>
      <c r="F273" s="218" t="s">
        <v>8716</v>
      </c>
      <c r="G273" s="218">
        <v>42.0</v>
      </c>
      <c r="H273" s="218" t="s">
        <v>8901</v>
      </c>
      <c r="I273" s="218">
        <v>449052.0</v>
      </c>
      <c r="J273" s="218" t="s">
        <v>362</v>
      </c>
    </row>
    <row r="274">
      <c r="A274" s="218" t="s">
        <v>8900</v>
      </c>
      <c r="B274" s="218">
        <v>385.0</v>
      </c>
      <c r="C274" s="218">
        <v>2018.0</v>
      </c>
      <c r="D274" s="218">
        <v>107702.0</v>
      </c>
      <c r="E274" s="218" t="s">
        <v>8715</v>
      </c>
      <c r="F274" s="218" t="s">
        <v>8716</v>
      </c>
      <c r="G274" s="218">
        <v>42.0</v>
      </c>
      <c r="H274" s="218" t="s">
        <v>8901</v>
      </c>
      <c r="I274" s="218">
        <v>449052.0</v>
      </c>
      <c r="J274" s="218" t="s">
        <v>362</v>
      </c>
    </row>
    <row r="275">
      <c r="A275" s="218" t="s">
        <v>8900</v>
      </c>
      <c r="B275" s="218">
        <v>385.0</v>
      </c>
      <c r="C275" s="218">
        <v>2018.0</v>
      </c>
      <c r="D275" s="218">
        <v>107702.0</v>
      </c>
      <c r="E275" s="218" t="s">
        <v>8715</v>
      </c>
      <c r="F275" s="218" t="s">
        <v>8716</v>
      </c>
      <c r="G275" s="218">
        <v>42.0</v>
      </c>
      <c r="H275" s="218" t="s">
        <v>8901</v>
      </c>
      <c r="I275" s="218">
        <v>449052.0</v>
      </c>
      <c r="J275" s="218" t="s">
        <v>362</v>
      </c>
    </row>
    <row r="276">
      <c r="A276" s="218" t="s">
        <v>8900</v>
      </c>
      <c r="B276" s="218">
        <v>818.0</v>
      </c>
      <c r="C276" s="218">
        <v>2018.0</v>
      </c>
      <c r="D276" s="218">
        <v>107702.0</v>
      </c>
      <c r="E276" s="218" t="s">
        <v>8715</v>
      </c>
      <c r="F276" s="218" t="s">
        <v>8716</v>
      </c>
      <c r="G276" s="218">
        <v>42.0</v>
      </c>
      <c r="H276" s="218" t="s">
        <v>8901</v>
      </c>
      <c r="I276" s="218">
        <v>449052.0</v>
      </c>
      <c r="J276" s="218" t="s">
        <v>362</v>
      </c>
    </row>
    <row r="277">
      <c r="A277" s="218" t="s">
        <v>8900</v>
      </c>
      <c r="B277" s="218">
        <v>819.0</v>
      </c>
      <c r="C277" s="218">
        <v>2018.0</v>
      </c>
      <c r="D277" s="218">
        <v>107702.0</v>
      </c>
      <c r="E277" s="218" t="s">
        <v>8715</v>
      </c>
      <c r="F277" s="218" t="s">
        <v>8716</v>
      </c>
      <c r="G277" s="218">
        <v>42.0</v>
      </c>
      <c r="H277" s="218" t="s">
        <v>8901</v>
      </c>
      <c r="I277" s="218">
        <v>449052.0</v>
      </c>
      <c r="J277" s="218" t="s">
        <v>362</v>
      </c>
    </row>
    <row r="278">
      <c r="A278" s="218" t="s">
        <v>8900</v>
      </c>
      <c r="B278" s="218">
        <v>819.0</v>
      </c>
      <c r="C278" s="218">
        <v>2018.0</v>
      </c>
      <c r="D278" s="218">
        <v>107702.0</v>
      </c>
      <c r="E278" s="218" t="s">
        <v>8715</v>
      </c>
      <c r="F278" s="218" t="s">
        <v>8716</v>
      </c>
      <c r="G278" s="218">
        <v>42.0</v>
      </c>
      <c r="H278" s="218" t="s">
        <v>8901</v>
      </c>
      <c r="I278" s="218">
        <v>449052.0</v>
      </c>
      <c r="J278" s="218" t="s">
        <v>362</v>
      </c>
    </row>
    <row r="279">
      <c r="A279" s="218" t="s">
        <v>8900</v>
      </c>
      <c r="B279" s="218">
        <v>820.0</v>
      </c>
      <c r="C279" s="218">
        <v>2018.0</v>
      </c>
      <c r="D279" s="218">
        <v>107702.0</v>
      </c>
      <c r="E279" s="218" t="s">
        <v>8715</v>
      </c>
      <c r="F279" s="218" t="s">
        <v>8716</v>
      </c>
      <c r="G279" s="218">
        <v>42.0</v>
      </c>
      <c r="H279" s="218" t="s">
        <v>8901</v>
      </c>
      <c r="I279" s="218">
        <v>449052.0</v>
      </c>
      <c r="J279" s="218" t="s">
        <v>362</v>
      </c>
    </row>
    <row r="280">
      <c r="A280" s="218" t="s">
        <v>8900</v>
      </c>
      <c r="B280" s="218">
        <v>819.0</v>
      </c>
      <c r="C280" s="218">
        <v>2018.0</v>
      </c>
      <c r="D280" s="218">
        <v>107702.0</v>
      </c>
      <c r="E280" s="218" t="s">
        <v>8715</v>
      </c>
      <c r="F280" s="218" t="s">
        <v>8716</v>
      </c>
      <c r="G280" s="218">
        <v>42.0</v>
      </c>
      <c r="H280" s="218" t="s">
        <v>8901</v>
      </c>
      <c r="I280" s="218">
        <v>449052.0</v>
      </c>
      <c r="J280" s="218" t="s">
        <v>362</v>
      </c>
    </row>
    <row r="281">
      <c r="A281" s="218" t="s">
        <v>8900</v>
      </c>
      <c r="B281" s="218">
        <v>819.0</v>
      </c>
      <c r="C281" s="218">
        <v>2018.0</v>
      </c>
      <c r="D281" s="218">
        <v>107702.0</v>
      </c>
      <c r="E281" s="218" t="s">
        <v>8715</v>
      </c>
      <c r="F281" s="218" t="s">
        <v>8716</v>
      </c>
      <c r="G281" s="218">
        <v>42.0</v>
      </c>
      <c r="H281" s="218" t="s">
        <v>8901</v>
      </c>
      <c r="I281" s="218">
        <v>449052.0</v>
      </c>
      <c r="J281" s="218" t="s">
        <v>362</v>
      </c>
    </row>
    <row r="282">
      <c r="A282" s="218" t="s">
        <v>8900</v>
      </c>
      <c r="B282" s="218">
        <v>819.0</v>
      </c>
      <c r="C282" s="218">
        <v>2018.0</v>
      </c>
      <c r="D282" s="218">
        <v>107702.0</v>
      </c>
      <c r="E282" s="218" t="s">
        <v>8715</v>
      </c>
      <c r="F282" s="218" t="s">
        <v>8716</v>
      </c>
      <c r="G282" s="218">
        <v>42.0</v>
      </c>
      <c r="H282" s="218" t="s">
        <v>8901</v>
      </c>
      <c r="I282" s="218">
        <v>449052.0</v>
      </c>
      <c r="J282" s="218" t="s">
        <v>362</v>
      </c>
    </row>
    <row r="283">
      <c r="A283" s="218" t="s">
        <v>8900</v>
      </c>
      <c r="B283" s="218">
        <v>820.0</v>
      </c>
      <c r="C283" s="218">
        <v>2018.0</v>
      </c>
      <c r="D283" s="218">
        <v>107702.0</v>
      </c>
      <c r="E283" s="218" t="s">
        <v>8715</v>
      </c>
      <c r="F283" s="218" t="s">
        <v>8716</v>
      </c>
      <c r="G283" s="218">
        <v>42.0</v>
      </c>
      <c r="H283" s="218" t="s">
        <v>8901</v>
      </c>
      <c r="I283" s="218">
        <v>449052.0</v>
      </c>
      <c r="J283" s="218" t="s">
        <v>362</v>
      </c>
    </row>
    <row r="284">
      <c r="A284" s="218" t="s">
        <v>8900</v>
      </c>
      <c r="B284" s="218">
        <v>820.0</v>
      </c>
      <c r="C284" s="218">
        <v>2018.0</v>
      </c>
      <c r="D284" s="218">
        <v>107702.0</v>
      </c>
      <c r="E284" s="218" t="s">
        <v>8715</v>
      </c>
      <c r="F284" s="218" t="s">
        <v>8716</v>
      </c>
      <c r="G284" s="218">
        <v>42.0</v>
      </c>
      <c r="H284" s="218" t="s">
        <v>8901</v>
      </c>
      <c r="I284" s="218">
        <v>449052.0</v>
      </c>
      <c r="J284" s="218" t="s">
        <v>362</v>
      </c>
    </row>
    <row r="285">
      <c r="A285" s="218" t="s">
        <v>8900</v>
      </c>
      <c r="B285" s="218">
        <v>820.0</v>
      </c>
      <c r="C285" s="218">
        <v>2018.0</v>
      </c>
      <c r="D285" s="218">
        <v>107702.0</v>
      </c>
      <c r="E285" s="218" t="s">
        <v>8715</v>
      </c>
      <c r="F285" s="218" t="s">
        <v>8716</v>
      </c>
      <c r="G285" s="218">
        <v>42.0</v>
      </c>
      <c r="H285" s="218" t="s">
        <v>8901</v>
      </c>
      <c r="I285" s="218">
        <v>449052.0</v>
      </c>
      <c r="J285" s="218" t="s">
        <v>362</v>
      </c>
    </row>
    <row r="286">
      <c r="A286" s="218" t="s">
        <v>8900</v>
      </c>
      <c r="B286" s="218">
        <v>819.0</v>
      </c>
      <c r="C286" s="218">
        <v>2018.0</v>
      </c>
      <c r="D286" s="218">
        <v>107702.0</v>
      </c>
      <c r="E286" s="218" t="s">
        <v>8715</v>
      </c>
      <c r="F286" s="218" t="s">
        <v>8716</v>
      </c>
      <c r="G286" s="218">
        <v>42.0</v>
      </c>
      <c r="H286" s="218" t="s">
        <v>8901</v>
      </c>
      <c r="I286" s="218">
        <v>449052.0</v>
      </c>
      <c r="J286" s="218" t="s">
        <v>362</v>
      </c>
    </row>
    <row r="287">
      <c r="A287" s="218" t="s">
        <v>8902</v>
      </c>
      <c r="B287" s="218">
        <v>1079.0</v>
      </c>
      <c r="C287" s="218">
        <v>2018.0</v>
      </c>
      <c r="D287" s="218">
        <v>107702.0</v>
      </c>
      <c r="E287" s="218" t="s">
        <v>8715</v>
      </c>
      <c r="F287" s="218" t="s">
        <v>8716</v>
      </c>
      <c r="G287" s="218">
        <v>17.0</v>
      </c>
      <c r="H287" s="218" t="s">
        <v>8903</v>
      </c>
      <c r="I287" s="218">
        <v>339030.0</v>
      </c>
      <c r="J287" s="218" t="s">
        <v>249</v>
      </c>
    </row>
    <row r="288">
      <c r="A288" s="218" t="s">
        <v>8902</v>
      </c>
      <c r="B288" s="218">
        <v>1080.0</v>
      </c>
      <c r="C288" s="218">
        <v>2018.0</v>
      </c>
      <c r="D288" s="218">
        <v>107702.0</v>
      </c>
      <c r="E288" s="218" t="s">
        <v>8715</v>
      </c>
      <c r="F288" s="218" t="s">
        <v>8716</v>
      </c>
      <c r="G288" s="218">
        <v>17.0</v>
      </c>
      <c r="H288" s="218" t="s">
        <v>8903</v>
      </c>
      <c r="I288" s="218">
        <v>339030.0</v>
      </c>
      <c r="J288" s="218" t="s">
        <v>249</v>
      </c>
    </row>
    <row r="289">
      <c r="A289" s="218" t="s">
        <v>8902</v>
      </c>
      <c r="B289" s="218">
        <v>1079.0</v>
      </c>
      <c r="C289" s="218">
        <v>2018.0</v>
      </c>
      <c r="D289" s="218">
        <v>107702.0</v>
      </c>
      <c r="E289" s="218" t="s">
        <v>8715</v>
      </c>
      <c r="F289" s="218" t="s">
        <v>8716</v>
      </c>
      <c r="G289" s="218">
        <v>17.0</v>
      </c>
      <c r="H289" s="218" t="s">
        <v>8903</v>
      </c>
      <c r="I289" s="218">
        <v>339030.0</v>
      </c>
      <c r="J289" s="218" t="s">
        <v>249</v>
      </c>
    </row>
    <row r="290">
      <c r="A290" s="218" t="s">
        <v>8902</v>
      </c>
      <c r="B290" s="218">
        <v>1081.0</v>
      </c>
      <c r="C290" s="218">
        <v>2018.0</v>
      </c>
      <c r="D290" s="218">
        <v>107702.0</v>
      </c>
      <c r="E290" s="218" t="s">
        <v>8715</v>
      </c>
      <c r="F290" s="218" t="s">
        <v>8716</v>
      </c>
      <c r="G290" s="218">
        <v>41.0</v>
      </c>
      <c r="H290" s="218" t="s">
        <v>8904</v>
      </c>
      <c r="I290" s="218">
        <v>339030.0</v>
      </c>
      <c r="J290" s="218" t="s">
        <v>249</v>
      </c>
    </row>
    <row r="291">
      <c r="A291" s="218" t="s">
        <v>8902</v>
      </c>
      <c r="B291" s="218">
        <v>1078.0</v>
      </c>
      <c r="C291" s="218">
        <v>2018.0</v>
      </c>
      <c r="D291" s="218">
        <v>107702.0</v>
      </c>
      <c r="E291" s="218" t="s">
        <v>8715</v>
      </c>
      <c r="F291" s="218" t="s">
        <v>8716</v>
      </c>
      <c r="G291" s="218">
        <v>17.0</v>
      </c>
      <c r="H291" s="218" t="s">
        <v>8903</v>
      </c>
      <c r="I291" s="218">
        <v>339030.0</v>
      </c>
      <c r="J291" s="218" t="s">
        <v>249</v>
      </c>
    </row>
    <row r="292">
      <c r="A292" s="218" t="s">
        <v>8902</v>
      </c>
      <c r="B292" s="218">
        <v>1078.0</v>
      </c>
      <c r="C292" s="218">
        <v>2018.0</v>
      </c>
      <c r="D292" s="218">
        <v>107702.0</v>
      </c>
      <c r="E292" s="218" t="s">
        <v>8715</v>
      </c>
      <c r="F292" s="218" t="s">
        <v>8716</v>
      </c>
      <c r="G292" s="218">
        <v>17.0</v>
      </c>
      <c r="H292" s="218" t="s">
        <v>8903</v>
      </c>
      <c r="I292" s="218">
        <v>339030.0</v>
      </c>
      <c r="J292" s="218" t="s">
        <v>249</v>
      </c>
    </row>
    <row r="293">
      <c r="A293" s="218" t="s">
        <v>8902</v>
      </c>
      <c r="B293" s="218">
        <v>1078.0</v>
      </c>
      <c r="C293" s="218">
        <v>2018.0</v>
      </c>
      <c r="D293" s="218">
        <v>107702.0</v>
      </c>
      <c r="E293" s="218" t="s">
        <v>8715</v>
      </c>
      <c r="F293" s="218" t="s">
        <v>8716</v>
      </c>
      <c r="G293" s="218">
        <v>17.0</v>
      </c>
      <c r="H293" s="218" t="s">
        <v>8903</v>
      </c>
      <c r="I293" s="218">
        <v>339030.0</v>
      </c>
      <c r="J293" s="218" t="s">
        <v>249</v>
      </c>
    </row>
    <row r="294">
      <c r="A294" s="218" t="s">
        <v>8902</v>
      </c>
      <c r="B294" s="218">
        <v>1078.0</v>
      </c>
      <c r="C294" s="218">
        <v>2018.0</v>
      </c>
      <c r="D294" s="218">
        <v>107702.0</v>
      </c>
      <c r="E294" s="218" t="s">
        <v>8715</v>
      </c>
      <c r="F294" s="218" t="s">
        <v>8716</v>
      </c>
      <c r="G294" s="218">
        <v>17.0</v>
      </c>
      <c r="H294" s="218" t="s">
        <v>8903</v>
      </c>
      <c r="I294" s="218">
        <v>339030.0</v>
      </c>
      <c r="J294" s="218" t="s">
        <v>249</v>
      </c>
    </row>
    <row r="295">
      <c r="A295" s="218" t="s">
        <v>253</v>
      </c>
      <c r="B295" s="218">
        <v>176.0</v>
      </c>
      <c r="C295" s="218">
        <v>2018.0</v>
      </c>
      <c r="D295" s="218">
        <v>107702.0</v>
      </c>
      <c r="E295" s="218" t="s">
        <v>8715</v>
      </c>
      <c r="F295" s="218" t="s">
        <v>8716</v>
      </c>
      <c r="G295" s="218">
        <v>12.0</v>
      </c>
      <c r="H295" s="218" t="s">
        <v>8817</v>
      </c>
      <c r="I295" s="218">
        <v>339040.0</v>
      </c>
      <c r="J295" s="218" t="s">
        <v>136</v>
      </c>
    </row>
    <row r="296">
      <c r="A296" s="218" t="s">
        <v>8905</v>
      </c>
      <c r="B296" s="218">
        <v>210.0</v>
      </c>
      <c r="C296" s="218">
        <v>2018.0</v>
      </c>
      <c r="D296" s="218">
        <v>107702.0</v>
      </c>
      <c r="E296" s="218" t="s">
        <v>8715</v>
      </c>
      <c r="F296" s="218" t="s">
        <v>8716</v>
      </c>
      <c r="G296" s="218">
        <v>17.0</v>
      </c>
      <c r="H296" s="218" t="s">
        <v>8825</v>
      </c>
      <c r="I296" s="218">
        <v>339039.0</v>
      </c>
      <c r="J296" s="218" t="s">
        <v>8720</v>
      </c>
    </row>
    <row r="297">
      <c r="A297" s="218" t="s">
        <v>8905</v>
      </c>
      <c r="B297" s="218">
        <v>209.0</v>
      </c>
      <c r="C297" s="218">
        <v>2018.0</v>
      </c>
      <c r="D297" s="218">
        <v>107702.0</v>
      </c>
      <c r="E297" s="218" t="s">
        <v>8715</v>
      </c>
      <c r="F297" s="218" t="s">
        <v>8716</v>
      </c>
      <c r="G297" s="218">
        <v>28.0</v>
      </c>
      <c r="H297" s="218" t="s">
        <v>8906</v>
      </c>
      <c r="I297" s="218">
        <v>339030.0</v>
      </c>
      <c r="J297" s="218" t="s">
        <v>249</v>
      </c>
    </row>
    <row r="298">
      <c r="A298" s="218" t="s">
        <v>8907</v>
      </c>
      <c r="B298" s="218">
        <v>547.0</v>
      </c>
      <c r="C298" s="218">
        <v>2018.0</v>
      </c>
      <c r="D298" s="218">
        <v>107702.0</v>
      </c>
      <c r="E298" s="218" t="s">
        <v>8715</v>
      </c>
      <c r="F298" s="218" t="s">
        <v>8716</v>
      </c>
      <c r="G298" s="218">
        <v>25.0</v>
      </c>
      <c r="H298" s="218" t="s">
        <v>8784</v>
      </c>
      <c r="I298" s="218">
        <v>339030.0</v>
      </c>
      <c r="J298" s="218" t="s">
        <v>249</v>
      </c>
    </row>
    <row r="299">
      <c r="A299" s="218" t="s">
        <v>8907</v>
      </c>
      <c r="B299" s="218">
        <v>151.0</v>
      </c>
      <c r="C299" s="218">
        <v>2018.0</v>
      </c>
      <c r="D299" s="218">
        <v>107702.0</v>
      </c>
      <c r="E299" s="218" t="s">
        <v>8715</v>
      </c>
      <c r="F299" s="218" t="s">
        <v>8716</v>
      </c>
      <c r="G299" s="218">
        <v>16.0</v>
      </c>
      <c r="H299" s="218" t="s">
        <v>8775</v>
      </c>
      <c r="I299" s="218">
        <v>339039.0</v>
      </c>
      <c r="J299" s="218" t="s">
        <v>8720</v>
      </c>
    </row>
    <row r="300">
      <c r="A300" s="218" t="s">
        <v>8908</v>
      </c>
      <c r="B300" s="218">
        <v>1189.0</v>
      </c>
      <c r="C300" s="218">
        <v>2018.0</v>
      </c>
      <c r="D300" s="218">
        <v>107702.0</v>
      </c>
      <c r="E300" s="218" t="s">
        <v>8715</v>
      </c>
      <c r="F300" s="218" t="s">
        <v>8716</v>
      </c>
      <c r="G300" s="218">
        <v>16.0</v>
      </c>
      <c r="H300" s="218" t="s">
        <v>8775</v>
      </c>
      <c r="I300" s="218">
        <v>339039.0</v>
      </c>
      <c r="J300" s="218" t="s">
        <v>8720</v>
      </c>
    </row>
    <row r="301">
      <c r="A301" s="218" t="s">
        <v>260</v>
      </c>
      <c r="B301" s="218">
        <v>123.0</v>
      </c>
      <c r="C301" s="218">
        <v>2018.0</v>
      </c>
      <c r="D301" s="218">
        <v>85046.0</v>
      </c>
      <c r="E301" s="218" t="s">
        <v>8756</v>
      </c>
      <c r="F301" s="218" t="s">
        <v>8716</v>
      </c>
      <c r="G301" s="218">
        <v>7.0</v>
      </c>
      <c r="H301" s="218" t="s">
        <v>8802</v>
      </c>
      <c r="I301" s="218">
        <v>339040.0</v>
      </c>
      <c r="J301" s="218" t="s">
        <v>136</v>
      </c>
    </row>
    <row r="302">
      <c r="A302" s="218" t="s">
        <v>8909</v>
      </c>
      <c r="B302" s="218">
        <v>611.0</v>
      </c>
      <c r="C302" s="218">
        <v>2018.0</v>
      </c>
      <c r="D302" s="218">
        <v>107702.0</v>
      </c>
      <c r="E302" s="218" t="s">
        <v>8715</v>
      </c>
      <c r="F302" s="218" t="s">
        <v>8716</v>
      </c>
      <c r="G302" s="218">
        <v>16.0</v>
      </c>
      <c r="H302" s="218" t="s">
        <v>8775</v>
      </c>
      <c r="I302" s="218">
        <v>339039.0</v>
      </c>
      <c r="J302" s="218" t="s">
        <v>8720</v>
      </c>
    </row>
    <row r="303">
      <c r="A303" s="218" t="s">
        <v>8910</v>
      </c>
      <c r="B303" s="218">
        <v>668.0</v>
      </c>
      <c r="C303" s="218">
        <v>2018.0</v>
      </c>
      <c r="D303" s="218">
        <v>84847.0</v>
      </c>
      <c r="E303" s="218" t="s">
        <v>8911</v>
      </c>
      <c r="F303" s="218" t="s">
        <v>8912</v>
      </c>
      <c r="G303" s="218">
        <v>17.0</v>
      </c>
      <c r="H303" s="218" t="s">
        <v>8903</v>
      </c>
      <c r="I303" s="218">
        <v>339030.0</v>
      </c>
      <c r="J303" s="218" t="s">
        <v>249</v>
      </c>
    </row>
    <row r="304">
      <c r="A304" s="218" t="s">
        <v>8910</v>
      </c>
      <c r="B304" s="218">
        <v>669.0</v>
      </c>
      <c r="C304" s="218">
        <v>2018.0</v>
      </c>
      <c r="D304" s="218">
        <v>84847.0</v>
      </c>
      <c r="E304" s="218" t="s">
        <v>8911</v>
      </c>
      <c r="F304" s="218" t="s">
        <v>8912</v>
      </c>
      <c r="G304" s="218">
        <v>17.0</v>
      </c>
      <c r="H304" s="218" t="s">
        <v>8903</v>
      </c>
      <c r="I304" s="218">
        <v>339030.0</v>
      </c>
      <c r="J304" s="218" t="s">
        <v>249</v>
      </c>
    </row>
    <row r="305">
      <c r="A305" s="218" t="s">
        <v>8910</v>
      </c>
      <c r="B305" s="218">
        <v>666.0</v>
      </c>
      <c r="C305" s="218">
        <v>2018.0</v>
      </c>
      <c r="D305" s="218">
        <v>84847.0</v>
      </c>
      <c r="E305" s="218" t="s">
        <v>8911</v>
      </c>
      <c r="F305" s="218" t="s">
        <v>8912</v>
      </c>
      <c r="G305" s="218">
        <v>35.0</v>
      </c>
      <c r="H305" s="218" t="s">
        <v>8913</v>
      </c>
      <c r="I305" s="218">
        <v>449052.0</v>
      </c>
      <c r="J305" s="218" t="s">
        <v>362</v>
      </c>
    </row>
    <row r="306">
      <c r="A306" s="218" t="s">
        <v>8910</v>
      </c>
      <c r="B306" s="218">
        <v>667.0</v>
      </c>
      <c r="C306" s="218">
        <v>2018.0</v>
      </c>
      <c r="D306" s="218">
        <v>84847.0</v>
      </c>
      <c r="E306" s="218" t="s">
        <v>8911</v>
      </c>
      <c r="F306" s="218" t="s">
        <v>8912</v>
      </c>
      <c r="G306" s="218">
        <v>17.0</v>
      </c>
      <c r="H306" s="218" t="s">
        <v>8903</v>
      </c>
      <c r="I306" s="218">
        <v>339030.0</v>
      </c>
      <c r="J306" s="218" t="s">
        <v>249</v>
      </c>
    </row>
    <row r="307">
      <c r="A307" s="218" t="s">
        <v>8910</v>
      </c>
      <c r="B307" s="218">
        <v>668.0</v>
      </c>
      <c r="C307" s="218">
        <v>2018.0</v>
      </c>
      <c r="D307" s="218">
        <v>84847.0</v>
      </c>
      <c r="E307" s="218" t="s">
        <v>8911</v>
      </c>
      <c r="F307" s="218" t="s">
        <v>8912</v>
      </c>
      <c r="G307" s="218">
        <v>17.0</v>
      </c>
      <c r="H307" s="218" t="s">
        <v>8903</v>
      </c>
      <c r="I307" s="218">
        <v>339030.0</v>
      </c>
      <c r="J307" s="218" t="s">
        <v>249</v>
      </c>
    </row>
    <row r="308">
      <c r="A308" s="218" t="s">
        <v>8914</v>
      </c>
      <c r="B308" s="218">
        <v>32.0</v>
      </c>
      <c r="C308" s="218">
        <v>2018.0</v>
      </c>
      <c r="D308" s="218">
        <v>107702.0</v>
      </c>
      <c r="E308" s="218" t="s">
        <v>8715</v>
      </c>
      <c r="F308" s="218" t="s">
        <v>8716</v>
      </c>
      <c r="G308" s="218">
        <v>7.0</v>
      </c>
      <c r="H308" s="218" t="s">
        <v>8915</v>
      </c>
      <c r="I308" s="218">
        <v>339030.0</v>
      </c>
      <c r="J308" s="218" t="s">
        <v>249</v>
      </c>
    </row>
    <row r="309">
      <c r="A309" s="218" t="s">
        <v>8916</v>
      </c>
      <c r="B309" s="218">
        <v>49.0</v>
      </c>
      <c r="C309" s="218">
        <v>2018.0</v>
      </c>
      <c r="D309" s="218">
        <v>107702.0</v>
      </c>
      <c r="E309" s="218" t="s">
        <v>8715</v>
      </c>
      <c r="F309" s="218" t="s">
        <v>8716</v>
      </c>
      <c r="G309" s="218">
        <v>39.0</v>
      </c>
      <c r="H309" s="218" t="s">
        <v>8759</v>
      </c>
      <c r="I309" s="218">
        <v>339030.0</v>
      </c>
      <c r="J309" s="218" t="s">
        <v>249</v>
      </c>
    </row>
    <row r="310">
      <c r="A310" s="218" t="s">
        <v>8916</v>
      </c>
      <c r="B310" s="218">
        <v>49.0</v>
      </c>
      <c r="C310" s="218">
        <v>2018.0</v>
      </c>
      <c r="D310" s="218">
        <v>107702.0</v>
      </c>
      <c r="E310" s="218" t="s">
        <v>8715</v>
      </c>
      <c r="F310" s="218" t="s">
        <v>8716</v>
      </c>
      <c r="G310" s="218">
        <v>1.0</v>
      </c>
      <c r="H310" s="218" t="s">
        <v>8917</v>
      </c>
      <c r="I310" s="218">
        <v>339030.0</v>
      </c>
      <c r="J310" s="218" t="s">
        <v>249</v>
      </c>
    </row>
    <row r="311">
      <c r="A311" s="218" t="s">
        <v>8918</v>
      </c>
      <c r="B311" s="218">
        <v>284.0</v>
      </c>
      <c r="C311" s="218">
        <v>2018.0</v>
      </c>
      <c r="D311" s="218">
        <v>107702.0</v>
      </c>
      <c r="E311" s="218" t="s">
        <v>8715</v>
      </c>
      <c r="F311" s="218" t="s">
        <v>8716</v>
      </c>
      <c r="G311" s="218">
        <v>77.0</v>
      </c>
      <c r="H311" s="218" t="s">
        <v>8815</v>
      </c>
      <c r="I311" s="218">
        <v>339039.0</v>
      </c>
      <c r="J311" s="218" t="s">
        <v>8720</v>
      </c>
    </row>
    <row r="312">
      <c r="A312" s="218" t="s">
        <v>8919</v>
      </c>
      <c r="B312" s="218">
        <v>368.0</v>
      </c>
      <c r="C312" s="218">
        <v>2018.0</v>
      </c>
      <c r="D312" s="218">
        <v>107702.0</v>
      </c>
      <c r="E312" s="218" t="s">
        <v>8715</v>
      </c>
      <c r="F312" s="218" t="s">
        <v>8716</v>
      </c>
      <c r="G312" s="218">
        <v>17.0</v>
      </c>
      <c r="H312" s="218" t="s">
        <v>8903</v>
      </c>
      <c r="I312" s="218">
        <v>339030.0</v>
      </c>
      <c r="J312" s="218" t="s">
        <v>249</v>
      </c>
    </row>
    <row r="313">
      <c r="A313" s="218" t="s">
        <v>8920</v>
      </c>
      <c r="B313" s="218">
        <v>52.0</v>
      </c>
      <c r="C313" s="218">
        <v>2018.0</v>
      </c>
      <c r="D313" s="218">
        <v>107702.0</v>
      </c>
      <c r="E313" s="218" t="s">
        <v>8715</v>
      </c>
      <c r="F313" s="218" t="s">
        <v>8716</v>
      </c>
      <c r="G313" s="218">
        <v>58.0</v>
      </c>
      <c r="H313" s="218" t="s">
        <v>8779</v>
      </c>
      <c r="I313" s="218">
        <v>339039.0</v>
      </c>
      <c r="J313" s="218" t="s">
        <v>8720</v>
      </c>
    </row>
    <row r="314">
      <c r="A314" s="218" t="s">
        <v>8921</v>
      </c>
      <c r="B314" s="218">
        <v>47.0</v>
      </c>
      <c r="C314" s="218">
        <v>2018.0</v>
      </c>
      <c r="D314" s="218">
        <v>107702.0</v>
      </c>
      <c r="E314" s="218" t="s">
        <v>8715</v>
      </c>
      <c r="F314" s="218" t="s">
        <v>8716</v>
      </c>
      <c r="G314" s="218">
        <v>4.0</v>
      </c>
      <c r="H314" s="218" t="s">
        <v>8922</v>
      </c>
      <c r="I314" s="218">
        <v>339030.0</v>
      </c>
      <c r="J314" s="218" t="s">
        <v>249</v>
      </c>
    </row>
    <row r="315">
      <c r="A315" s="218" t="s">
        <v>8923</v>
      </c>
      <c r="B315" s="218">
        <v>38.0</v>
      </c>
      <c r="C315" s="218">
        <v>2018.0</v>
      </c>
      <c r="D315" s="218">
        <v>107702.0</v>
      </c>
      <c r="E315" s="218" t="s">
        <v>8715</v>
      </c>
      <c r="F315" s="218" t="s">
        <v>8716</v>
      </c>
      <c r="G315" s="218">
        <v>7.0</v>
      </c>
      <c r="H315" s="218" t="s">
        <v>8915</v>
      </c>
      <c r="I315" s="218">
        <v>339030.0</v>
      </c>
      <c r="J315" s="218" t="s">
        <v>249</v>
      </c>
    </row>
    <row r="316">
      <c r="A316" s="218" t="s">
        <v>8923</v>
      </c>
      <c r="B316" s="218">
        <v>119.0</v>
      </c>
      <c r="C316" s="218">
        <v>2018.0</v>
      </c>
      <c r="D316" s="218">
        <v>107702.0</v>
      </c>
      <c r="E316" s="218" t="s">
        <v>8715</v>
      </c>
      <c r="F316" s="218" t="s">
        <v>8716</v>
      </c>
      <c r="G316" s="218">
        <v>7.0</v>
      </c>
      <c r="H316" s="218" t="s">
        <v>8915</v>
      </c>
      <c r="I316" s="218">
        <v>339030.0</v>
      </c>
      <c r="J316" s="218" t="s">
        <v>249</v>
      </c>
    </row>
    <row r="317">
      <c r="A317" s="218" t="s">
        <v>8923</v>
      </c>
      <c r="B317" s="218">
        <v>45.0</v>
      </c>
      <c r="C317" s="218">
        <v>2018.0</v>
      </c>
      <c r="D317" s="218">
        <v>107702.0</v>
      </c>
      <c r="E317" s="218" t="s">
        <v>8715</v>
      </c>
      <c r="F317" s="218" t="s">
        <v>8716</v>
      </c>
      <c r="G317" s="218">
        <v>7.0</v>
      </c>
      <c r="H317" s="218" t="s">
        <v>8915</v>
      </c>
      <c r="I317" s="218">
        <v>339030.0</v>
      </c>
      <c r="J317" s="218" t="s">
        <v>249</v>
      </c>
    </row>
    <row r="318">
      <c r="A318" s="218" t="s">
        <v>8923</v>
      </c>
      <c r="B318" s="218">
        <v>41.0</v>
      </c>
      <c r="C318" s="218">
        <v>2018.0</v>
      </c>
      <c r="D318" s="218">
        <v>107702.0</v>
      </c>
      <c r="E318" s="218" t="s">
        <v>8715</v>
      </c>
      <c r="F318" s="218" t="s">
        <v>8716</v>
      </c>
      <c r="G318" s="218">
        <v>7.0</v>
      </c>
      <c r="H318" s="218" t="s">
        <v>8915</v>
      </c>
      <c r="I318" s="218">
        <v>339030.0</v>
      </c>
      <c r="J318" s="218" t="s">
        <v>249</v>
      </c>
    </row>
    <row r="319">
      <c r="A319" s="218" t="s">
        <v>8923</v>
      </c>
      <c r="B319" s="218">
        <v>46.0</v>
      </c>
      <c r="C319" s="218">
        <v>2018.0</v>
      </c>
      <c r="D319" s="218">
        <v>107702.0</v>
      </c>
      <c r="E319" s="218" t="s">
        <v>8715</v>
      </c>
      <c r="F319" s="218" t="s">
        <v>8716</v>
      </c>
      <c r="G319" s="218">
        <v>7.0</v>
      </c>
      <c r="H319" s="218" t="s">
        <v>8915</v>
      </c>
      <c r="I319" s="218">
        <v>339030.0</v>
      </c>
      <c r="J319" s="218" t="s">
        <v>249</v>
      </c>
    </row>
    <row r="320">
      <c r="A320" s="218" t="s">
        <v>8923</v>
      </c>
      <c r="B320" s="218">
        <v>39.0</v>
      </c>
      <c r="C320" s="218">
        <v>2018.0</v>
      </c>
      <c r="D320" s="218">
        <v>107702.0</v>
      </c>
      <c r="E320" s="218" t="s">
        <v>8715</v>
      </c>
      <c r="F320" s="218" t="s">
        <v>8716</v>
      </c>
      <c r="G320" s="218">
        <v>7.0</v>
      </c>
      <c r="H320" s="218" t="s">
        <v>8915</v>
      </c>
      <c r="I320" s="218">
        <v>339030.0</v>
      </c>
      <c r="J320" s="218" t="s">
        <v>249</v>
      </c>
    </row>
    <row r="321">
      <c r="A321" s="218" t="s">
        <v>8923</v>
      </c>
      <c r="B321" s="218">
        <v>40.0</v>
      </c>
      <c r="C321" s="218">
        <v>2018.0</v>
      </c>
      <c r="D321" s="218">
        <v>107702.0</v>
      </c>
      <c r="E321" s="218" t="s">
        <v>8715</v>
      </c>
      <c r="F321" s="218" t="s">
        <v>8716</v>
      </c>
      <c r="G321" s="218">
        <v>7.0</v>
      </c>
      <c r="H321" s="218" t="s">
        <v>8915</v>
      </c>
      <c r="I321" s="218">
        <v>339030.0</v>
      </c>
      <c r="J321" s="218" t="s">
        <v>249</v>
      </c>
    </row>
    <row r="322">
      <c r="A322" s="218" t="s">
        <v>8923</v>
      </c>
      <c r="B322" s="218">
        <v>37.0</v>
      </c>
      <c r="C322" s="218">
        <v>2018.0</v>
      </c>
      <c r="D322" s="218">
        <v>107702.0</v>
      </c>
      <c r="E322" s="218" t="s">
        <v>8715</v>
      </c>
      <c r="F322" s="218" t="s">
        <v>8716</v>
      </c>
      <c r="G322" s="218">
        <v>7.0</v>
      </c>
      <c r="H322" s="218" t="s">
        <v>8915</v>
      </c>
      <c r="I322" s="218">
        <v>339030.0</v>
      </c>
      <c r="J322" s="218" t="s">
        <v>249</v>
      </c>
    </row>
    <row r="323">
      <c r="A323" s="218" t="s">
        <v>8923</v>
      </c>
      <c r="B323" s="218">
        <v>44.0</v>
      </c>
      <c r="C323" s="218">
        <v>2018.0</v>
      </c>
      <c r="D323" s="218">
        <v>107702.0</v>
      </c>
      <c r="E323" s="218" t="s">
        <v>8715</v>
      </c>
      <c r="F323" s="218" t="s">
        <v>8716</v>
      </c>
      <c r="G323" s="218">
        <v>7.0</v>
      </c>
      <c r="H323" s="218" t="s">
        <v>8915</v>
      </c>
      <c r="I323" s="218">
        <v>339030.0</v>
      </c>
      <c r="J323" s="218" t="s">
        <v>249</v>
      </c>
    </row>
    <row r="324">
      <c r="A324" s="218" t="s">
        <v>8923</v>
      </c>
      <c r="B324" s="218">
        <v>42.0</v>
      </c>
      <c r="C324" s="218">
        <v>2018.0</v>
      </c>
      <c r="D324" s="218">
        <v>107702.0</v>
      </c>
      <c r="E324" s="218" t="s">
        <v>8715</v>
      </c>
      <c r="F324" s="218" t="s">
        <v>8716</v>
      </c>
      <c r="G324" s="218">
        <v>7.0</v>
      </c>
      <c r="H324" s="218" t="s">
        <v>8915</v>
      </c>
      <c r="I324" s="218">
        <v>339030.0</v>
      </c>
      <c r="J324" s="218" t="s">
        <v>249</v>
      </c>
    </row>
    <row r="325">
      <c r="A325" s="218" t="s">
        <v>8923</v>
      </c>
      <c r="B325" s="218">
        <v>43.0</v>
      </c>
      <c r="C325" s="218">
        <v>2018.0</v>
      </c>
      <c r="D325" s="218">
        <v>107702.0</v>
      </c>
      <c r="E325" s="218" t="s">
        <v>8715</v>
      </c>
      <c r="F325" s="218" t="s">
        <v>8716</v>
      </c>
      <c r="G325" s="218">
        <v>7.0</v>
      </c>
      <c r="H325" s="218" t="s">
        <v>8915</v>
      </c>
      <c r="I325" s="218">
        <v>339030.0</v>
      </c>
      <c r="J325" s="218" t="s">
        <v>249</v>
      </c>
    </row>
    <row r="326">
      <c r="A326" s="218" t="s">
        <v>8923</v>
      </c>
      <c r="B326" s="218">
        <v>43.0</v>
      </c>
      <c r="C326" s="218">
        <v>2018.0</v>
      </c>
      <c r="D326" s="218">
        <v>107702.0</v>
      </c>
      <c r="E326" s="218" t="s">
        <v>8715</v>
      </c>
      <c r="F326" s="218" t="s">
        <v>8716</v>
      </c>
      <c r="G326" s="218">
        <v>7.0</v>
      </c>
      <c r="H326" s="218" t="s">
        <v>8915</v>
      </c>
      <c r="I326" s="218">
        <v>339030.0</v>
      </c>
      <c r="J326" s="218" t="s">
        <v>249</v>
      </c>
    </row>
    <row r="327">
      <c r="A327" s="218" t="s">
        <v>8924</v>
      </c>
      <c r="B327" s="218">
        <v>51.0</v>
      </c>
      <c r="C327" s="218">
        <v>2018.0</v>
      </c>
      <c r="D327" s="218">
        <v>107702.0</v>
      </c>
      <c r="E327" s="218" t="s">
        <v>8715</v>
      </c>
      <c r="F327" s="218" t="s">
        <v>8716</v>
      </c>
      <c r="G327" s="218">
        <v>16.0</v>
      </c>
      <c r="H327" s="218" t="s">
        <v>8775</v>
      </c>
      <c r="I327" s="218">
        <v>339039.0</v>
      </c>
      <c r="J327" s="218" t="s">
        <v>8720</v>
      </c>
    </row>
    <row r="328">
      <c r="A328" s="218" t="s">
        <v>234</v>
      </c>
      <c r="B328" s="218">
        <v>255.0</v>
      </c>
      <c r="C328" s="218">
        <v>2018.0</v>
      </c>
      <c r="D328" s="218">
        <v>107702.0</v>
      </c>
      <c r="E328" s="218" t="s">
        <v>8715</v>
      </c>
      <c r="F328" s="218" t="s">
        <v>8716</v>
      </c>
      <c r="G328" s="218">
        <v>11.0</v>
      </c>
      <c r="H328" s="218" t="s">
        <v>8757</v>
      </c>
      <c r="I328" s="218">
        <v>339040.0</v>
      </c>
      <c r="J328" s="218" t="s">
        <v>136</v>
      </c>
    </row>
    <row r="329">
      <c r="A329" s="218" t="s">
        <v>8925</v>
      </c>
      <c r="B329" s="218">
        <v>959.0</v>
      </c>
      <c r="C329" s="218">
        <v>2018.0</v>
      </c>
      <c r="D329" s="218">
        <v>84847.0</v>
      </c>
      <c r="E329" s="218" t="s">
        <v>8911</v>
      </c>
      <c r="F329" s="218" t="s">
        <v>8912</v>
      </c>
      <c r="G329" s="218">
        <v>35.0</v>
      </c>
      <c r="H329" s="218" t="s">
        <v>8913</v>
      </c>
      <c r="I329" s="218">
        <v>449052.0</v>
      </c>
      <c r="J329" s="218" t="s">
        <v>362</v>
      </c>
    </row>
    <row r="330">
      <c r="A330" s="218" t="s">
        <v>8925</v>
      </c>
      <c r="B330" s="218">
        <v>960.0</v>
      </c>
      <c r="C330" s="218">
        <v>2018.0</v>
      </c>
      <c r="D330" s="218">
        <v>84847.0</v>
      </c>
      <c r="E330" s="218" t="s">
        <v>8911</v>
      </c>
      <c r="F330" s="218" t="s">
        <v>8912</v>
      </c>
      <c r="G330" s="218">
        <v>20.0</v>
      </c>
      <c r="H330" s="218" t="s">
        <v>8926</v>
      </c>
      <c r="I330" s="218">
        <v>339040.0</v>
      </c>
      <c r="J330" s="218" t="s">
        <v>136</v>
      </c>
    </row>
    <row r="331">
      <c r="A331" s="218" t="s">
        <v>8925</v>
      </c>
      <c r="B331" s="218">
        <v>961.0</v>
      </c>
      <c r="C331" s="218">
        <v>2018.0</v>
      </c>
      <c r="D331" s="218">
        <v>107702.0</v>
      </c>
      <c r="E331" s="218" t="s">
        <v>8715</v>
      </c>
      <c r="F331" s="218" t="s">
        <v>8716</v>
      </c>
      <c r="G331" s="218">
        <v>17.0</v>
      </c>
      <c r="H331" s="218" t="s">
        <v>8903</v>
      </c>
      <c r="I331" s="218">
        <v>339030.0</v>
      </c>
      <c r="J331" s="218" t="s">
        <v>249</v>
      </c>
    </row>
    <row r="332">
      <c r="A332" s="218" t="s">
        <v>8925</v>
      </c>
      <c r="B332" s="218">
        <v>961.0</v>
      </c>
      <c r="C332" s="218">
        <v>2018.0</v>
      </c>
      <c r="D332" s="218">
        <v>107702.0</v>
      </c>
      <c r="E332" s="218" t="s">
        <v>8715</v>
      </c>
      <c r="F332" s="218" t="s">
        <v>8716</v>
      </c>
      <c r="G332" s="218">
        <v>17.0</v>
      </c>
      <c r="H332" s="218" t="s">
        <v>8903</v>
      </c>
      <c r="I332" s="218">
        <v>339030.0</v>
      </c>
      <c r="J332" s="218" t="s">
        <v>249</v>
      </c>
    </row>
    <row r="333">
      <c r="A333" s="218" t="s">
        <v>8925</v>
      </c>
      <c r="B333" s="218">
        <v>959.0</v>
      </c>
      <c r="C333" s="218">
        <v>2018.0</v>
      </c>
      <c r="D333" s="218">
        <v>84847.0</v>
      </c>
      <c r="E333" s="218" t="s">
        <v>8911</v>
      </c>
      <c r="F333" s="218" t="s">
        <v>8912</v>
      </c>
      <c r="G333" s="218">
        <v>35.0</v>
      </c>
      <c r="H333" s="218" t="s">
        <v>8913</v>
      </c>
      <c r="I333" s="218">
        <v>449052.0</v>
      </c>
      <c r="J333" s="218" t="s">
        <v>362</v>
      </c>
    </row>
    <row r="334">
      <c r="A334" s="218" t="s">
        <v>8925</v>
      </c>
      <c r="B334" s="218">
        <v>961.0</v>
      </c>
      <c r="C334" s="218">
        <v>2018.0</v>
      </c>
      <c r="D334" s="218">
        <v>107702.0</v>
      </c>
      <c r="E334" s="218" t="s">
        <v>8715</v>
      </c>
      <c r="F334" s="218" t="s">
        <v>8716</v>
      </c>
      <c r="G334" s="218">
        <v>17.0</v>
      </c>
      <c r="H334" s="218" t="s">
        <v>8903</v>
      </c>
      <c r="I334" s="218">
        <v>339030.0</v>
      </c>
      <c r="J334" s="218" t="s">
        <v>249</v>
      </c>
    </row>
    <row r="335">
      <c r="A335" s="218" t="s">
        <v>8925</v>
      </c>
      <c r="B335" s="218">
        <v>961.0</v>
      </c>
      <c r="C335" s="218">
        <v>2018.0</v>
      </c>
      <c r="D335" s="218">
        <v>107702.0</v>
      </c>
      <c r="E335" s="218" t="s">
        <v>8715</v>
      </c>
      <c r="F335" s="218" t="s">
        <v>8716</v>
      </c>
      <c r="G335" s="218">
        <v>17.0</v>
      </c>
      <c r="H335" s="218" t="s">
        <v>8903</v>
      </c>
      <c r="I335" s="218">
        <v>339030.0</v>
      </c>
      <c r="J335" s="218" t="s">
        <v>249</v>
      </c>
    </row>
    <row r="336">
      <c r="A336" s="218" t="s">
        <v>8925</v>
      </c>
      <c r="B336" s="218">
        <v>961.0</v>
      </c>
      <c r="C336" s="218">
        <v>2018.0</v>
      </c>
      <c r="D336" s="218">
        <v>107702.0</v>
      </c>
      <c r="E336" s="218" t="s">
        <v>8715</v>
      </c>
      <c r="F336" s="218" t="s">
        <v>8716</v>
      </c>
      <c r="G336" s="218">
        <v>17.0</v>
      </c>
      <c r="H336" s="218" t="s">
        <v>8903</v>
      </c>
      <c r="I336" s="218">
        <v>339030.0</v>
      </c>
      <c r="J336" s="218" t="s">
        <v>249</v>
      </c>
    </row>
    <row r="337">
      <c r="A337" s="218" t="s">
        <v>8925</v>
      </c>
      <c r="B337" s="218">
        <v>975.0</v>
      </c>
      <c r="C337" s="218">
        <v>2018.0</v>
      </c>
      <c r="D337" s="218">
        <v>107702.0</v>
      </c>
      <c r="E337" s="218" t="s">
        <v>8715</v>
      </c>
      <c r="F337" s="218" t="s">
        <v>8716</v>
      </c>
      <c r="G337" s="218">
        <v>17.0</v>
      </c>
      <c r="H337" s="218" t="s">
        <v>8903</v>
      </c>
      <c r="I337" s="218">
        <v>339030.0</v>
      </c>
      <c r="J337" s="218" t="s">
        <v>249</v>
      </c>
    </row>
    <row r="338">
      <c r="A338" s="218" t="s">
        <v>8925</v>
      </c>
      <c r="B338" s="218">
        <v>975.0</v>
      </c>
      <c r="C338" s="218">
        <v>2018.0</v>
      </c>
      <c r="D338" s="218">
        <v>107702.0</v>
      </c>
      <c r="E338" s="218" t="s">
        <v>8715</v>
      </c>
      <c r="F338" s="218" t="s">
        <v>8716</v>
      </c>
      <c r="G338" s="218">
        <v>17.0</v>
      </c>
      <c r="H338" s="218" t="s">
        <v>8903</v>
      </c>
      <c r="I338" s="218">
        <v>339030.0</v>
      </c>
      <c r="J338" s="218" t="s">
        <v>249</v>
      </c>
    </row>
    <row r="339">
      <c r="A339" s="218" t="s">
        <v>8925</v>
      </c>
      <c r="B339" s="218">
        <v>975.0</v>
      </c>
      <c r="C339" s="218">
        <v>2018.0</v>
      </c>
      <c r="D339" s="218">
        <v>107702.0</v>
      </c>
      <c r="E339" s="218" t="s">
        <v>8715</v>
      </c>
      <c r="F339" s="218" t="s">
        <v>8716</v>
      </c>
      <c r="G339" s="218">
        <v>17.0</v>
      </c>
      <c r="H339" s="218" t="s">
        <v>8903</v>
      </c>
      <c r="I339" s="218">
        <v>339030.0</v>
      </c>
      <c r="J339" s="218" t="s">
        <v>249</v>
      </c>
    </row>
    <row r="340">
      <c r="A340" s="218" t="s">
        <v>8925</v>
      </c>
      <c r="B340" s="218">
        <v>975.0</v>
      </c>
      <c r="C340" s="218">
        <v>2018.0</v>
      </c>
      <c r="D340" s="218">
        <v>107702.0</v>
      </c>
      <c r="E340" s="218" t="s">
        <v>8715</v>
      </c>
      <c r="F340" s="218" t="s">
        <v>8716</v>
      </c>
      <c r="G340" s="218">
        <v>17.0</v>
      </c>
      <c r="H340" s="218" t="s">
        <v>8903</v>
      </c>
      <c r="I340" s="218">
        <v>339030.0</v>
      </c>
      <c r="J340" s="218" t="s">
        <v>249</v>
      </c>
    </row>
    <row r="341">
      <c r="A341" s="218" t="s">
        <v>8925</v>
      </c>
      <c r="B341" s="218">
        <v>975.0</v>
      </c>
      <c r="C341" s="218">
        <v>2018.0</v>
      </c>
      <c r="D341" s="218">
        <v>107702.0</v>
      </c>
      <c r="E341" s="218" t="s">
        <v>8715</v>
      </c>
      <c r="F341" s="218" t="s">
        <v>8716</v>
      </c>
      <c r="G341" s="218">
        <v>17.0</v>
      </c>
      <c r="H341" s="218" t="s">
        <v>8903</v>
      </c>
      <c r="I341" s="218">
        <v>339030.0</v>
      </c>
      <c r="J341" s="218" t="s">
        <v>249</v>
      </c>
    </row>
    <row r="342">
      <c r="A342" s="218" t="s">
        <v>8927</v>
      </c>
      <c r="B342" s="218">
        <v>144.0</v>
      </c>
      <c r="C342" s="218">
        <v>2018.0</v>
      </c>
      <c r="D342" s="218">
        <v>107702.0</v>
      </c>
      <c r="E342" s="218" t="s">
        <v>8715</v>
      </c>
      <c r="F342" s="218" t="s">
        <v>8716</v>
      </c>
      <c r="G342" s="218">
        <v>17.0</v>
      </c>
      <c r="H342" s="218" t="s">
        <v>8825</v>
      </c>
      <c r="I342" s="218">
        <v>339039.0</v>
      </c>
      <c r="J342" s="218" t="s">
        <v>8720</v>
      </c>
    </row>
    <row r="343">
      <c r="A343" s="218" t="s">
        <v>8927</v>
      </c>
      <c r="B343" s="218">
        <v>145.0</v>
      </c>
      <c r="C343" s="218">
        <v>2018.0</v>
      </c>
      <c r="D343" s="218">
        <v>107702.0</v>
      </c>
      <c r="E343" s="218" t="s">
        <v>8715</v>
      </c>
      <c r="F343" s="218" t="s">
        <v>8716</v>
      </c>
      <c r="G343" s="218">
        <v>25.0</v>
      </c>
      <c r="H343" s="218" t="s">
        <v>8784</v>
      </c>
      <c r="I343" s="218">
        <v>339030.0</v>
      </c>
      <c r="J343" s="218" t="s">
        <v>249</v>
      </c>
    </row>
    <row r="344">
      <c r="A344" s="218" t="s">
        <v>8928</v>
      </c>
      <c r="B344" s="218">
        <v>235.0</v>
      </c>
      <c r="C344" s="218">
        <v>2018.0</v>
      </c>
      <c r="D344" s="218">
        <v>107702.0</v>
      </c>
      <c r="E344" s="218" t="s">
        <v>8715</v>
      </c>
      <c r="F344" s="218" t="s">
        <v>8716</v>
      </c>
      <c r="G344" s="218">
        <v>17.0</v>
      </c>
      <c r="H344" s="218" t="s">
        <v>8825</v>
      </c>
      <c r="I344" s="218">
        <v>339039.0</v>
      </c>
      <c r="J344" s="218" t="s">
        <v>8720</v>
      </c>
    </row>
    <row r="345">
      <c r="A345" s="218" t="s">
        <v>8928</v>
      </c>
      <c r="B345" s="218">
        <v>234.0</v>
      </c>
      <c r="C345" s="218">
        <v>2018.0</v>
      </c>
      <c r="D345" s="218">
        <v>107702.0</v>
      </c>
      <c r="E345" s="218" t="s">
        <v>8715</v>
      </c>
      <c r="F345" s="218" t="s">
        <v>8716</v>
      </c>
      <c r="G345" s="218">
        <v>25.0</v>
      </c>
      <c r="H345" s="218" t="s">
        <v>8784</v>
      </c>
      <c r="I345" s="218">
        <v>339030.0</v>
      </c>
      <c r="J345" s="218" t="s">
        <v>249</v>
      </c>
    </row>
    <row r="346">
      <c r="A346" s="218" t="s">
        <v>8929</v>
      </c>
      <c r="B346" s="218">
        <v>221.0</v>
      </c>
      <c r="C346" s="218">
        <v>2018.0</v>
      </c>
      <c r="D346" s="218">
        <v>107702.0</v>
      </c>
      <c r="E346" s="218" t="s">
        <v>8715</v>
      </c>
      <c r="F346" s="218" t="s">
        <v>8716</v>
      </c>
      <c r="G346" s="218">
        <v>17.0</v>
      </c>
      <c r="H346" s="218" t="s">
        <v>8825</v>
      </c>
      <c r="I346" s="218">
        <v>339039.0</v>
      </c>
      <c r="J346" s="218" t="s">
        <v>8720</v>
      </c>
    </row>
    <row r="347">
      <c r="A347" s="218" t="s">
        <v>8929</v>
      </c>
      <c r="B347" s="218">
        <v>220.0</v>
      </c>
      <c r="C347" s="218">
        <v>2018.0</v>
      </c>
      <c r="D347" s="218">
        <v>107702.0</v>
      </c>
      <c r="E347" s="218" t="s">
        <v>8715</v>
      </c>
      <c r="F347" s="218" t="s">
        <v>8716</v>
      </c>
      <c r="G347" s="218">
        <v>25.0</v>
      </c>
      <c r="H347" s="218" t="s">
        <v>8784</v>
      </c>
      <c r="I347" s="218">
        <v>339030.0</v>
      </c>
      <c r="J347" s="218" t="s">
        <v>249</v>
      </c>
    </row>
    <row r="348">
      <c r="A348" s="218" t="s">
        <v>8930</v>
      </c>
      <c r="B348" s="218">
        <v>208.0</v>
      </c>
      <c r="C348" s="218">
        <v>2018.0</v>
      </c>
      <c r="D348" s="218">
        <v>107702.0</v>
      </c>
      <c r="E348" s="218" t="s">
        <v>8715</v>
      </c>
      <c r="F348" s="218" t="s">
        <v>8716</v>
      </c>
      <c r="G348" s="218">
        <v>17.0</v>
      </c>
      <c r="H348" s="218" t="s">
        <v>8825</v>
      </c>
      <c r="I348" s="218">
        <v>339039.0</v>
      </c>
      <c r="J348" s="218" t="s">
        <v>8720</v>
      </c>
    </row>
    <row r="349">
      <c r="A349" s="218" t="s">
        <v>8930</v>
      </c>
      <c r="B349" s="218">
        <v>207.0</v>
      </c>
      <c r="C349" s="218">
        <v>2018.0</v>
      </c>
      <c r="D349" s="218">
        <v>107702.0</v>
      </c>
      <c r="E349" s="218" t="s">
        <v>8715</v>
      </c>
      <c r="F349" s="218" t="s">
        <v>8716</v>
      </c>
      <c r="G349" s="218">
        <v>25.0</v>
      </c>
      <c r="H349" s="218" t="s">
        <v>8784</v>
      </c>
      <c r="I349" s="218">
        <v>339030.0</v>
      </c>
      <c r="J349" s="218" t="s">
        <v>249</v>
      </c>
    </row>
    <row r="350">
      <c r="A350" s="218" t="s">
        <v>8931</v>
      </c>
      <c r="B350" s="218">
        <v>203.0</v>
      </c>
      <c r="C350" s="218">
        <v>2018.0</v>
      </c>
      <c r="D350" s="218">
        <v>107702.0</v>
      </c>
      <c r="E350" s="218" t="s">
        <v>8715</v>
      </c>
      <c r="F350" s="218" t="s">
        <v>8716</v>
      </c>
      <c r="G350" s="218">
        <v>25.0</v>
      </c>
      <c r="H350" s="218" t="s">
        <v>8784</v>
      </c>
      <c r="I350" s="218">
        <v>339030.0</v>
      </c>
      <c r="J350" s="218" t="s">
        <v>249</v>
      </c>
    </row>
    <row r="351">
      <c r="A351" s="218" t="s">
        <v>8931</v>
      </c>
      <c r="B351" s="218">
        <v>202.0</v>
      </c>
      <c r="C351" s="218">
        <v>2018.0</v>
      </c>
      <c r="D351" s="218">
        <v>107702.0</v>
      </c>
      <c r="E351" s="218" t="s">
        <v>8715</v>
      </c>
      <c r="F351" s="218" t="s">
        <v>8716</v>
      </c>
      <c r="G351" s="218">
        <v>17.0</v>
      </c>
      <c r="H351" s="218" t="s">
        <v>8825</v>
      </c>
      <c r="I351" s="218">
        <v>339039.0</v>
      </c>
      <c r="J351" s="218" t="s">
        <v>8720</v>
      </c>
    </row>
    <row r="352">
      <c r="A352" s="218" t="s">
        <v>8932</v>
      </c>
      <c r="B352" s="218">
        <v>523.0</v>
      </c>
      <c r="C352" s="218">
        <v>2018.0</v>
      </c>
      <c r="D352" s="218">
        <v>107702.0</v>
      </c>
      <c r="E352" s="218" t="s">
        <v>8715</v>
      </c>
      <c r="F352" s="218" t="s">
        <v>8716</v>
      </c>
      <c r="G352" s="218">
        <v>22.0</v>
      </c>
      <c r="H352" s="218" t="s">
        <v>8895</v>
      </c>
      <c r="I352" s="218">
        <v>339030.0</v>
      </c>
      <c r="J352" s="218" t="s">
        <v>249</v>
      </c>
    </row>
    <row r="353">
      <c r="A353" s="218" t="s">
        <v>8932</v>
      </c>
      <c r="B353" s="218">
        <v>1191.0</v>
      </c>
      <c r="C353" s="218">
        <v>2018.0</v>
      </c>
      <c r="D353" s="218">
        <v>107702.0</v>
      </c>
      <c r="E353" s="218" t="s">
        <v>8715</v>
      </c>
      <c r="F353" s="218" t="s">
        <v>8716</v>
      </c>
      <c r="G353" s="218">
        <v>21.0</v>
      </c>
      <c r="H353" s="218" t="s">
        <v>8896</v>
      </c>
      <c r="I353" s="218">
        <v>339030.0</v>
      </c>
      <c r="J353" s="218" t="s">
        <v>249</v>
      </c>
    </row>
    <row r="354">
      <c r="A354" s="218" t="s">
        <v>8932</v>
      </c>
      <c r="B354" s="218">
        <v>287.0</v>
      </c>
      <c r="C354" s="218">
        <v>2018.0</v>
      </c>
      <c r="D354" s="218">
        <v>107702.0</v>
      </c>
      <c r="E354" s="218" t="s">
        <v>8715</v>
      </c>
      <c r="F354" s="218" t="s">
        <v>8716</v>
      </c>
      <c r="G354" s="218">
        <v>21.0</v>
      </c>
      <c r="H354" s="218" t="s">
        <v>8896</v>
      </c>
      <c r="I354" s="218">
        <v>339030.0</v>
      </c>
      <c r="J354" s="218" t="s">
        <v>249</v>
      </c>
    </row>
    <row r="355">
      <c r="A355" s="218" t="s">
        <v>8932</v>
      </c>
      <c r="B355" s="218">
        <v>179.0</v>
      </c>
      <c r="C355" s="218">
        <v>2018.0</v>
      </c>
      <c r="D355" s="218">
        <v>107702.0</v>
      </c>
      <c r="E355" s="218" t="s">
        <v>8715</v>
      </c>
      <c r="F355" s="218" t="s">
        <v>8716</v>
      </c>
      <c r="G355" s="218">
        <v>21.0</v>
      </c>
      <c r="H355" s="218" t="s">
        <v>8896</v>
      </c>
      <c r="I355" s="218">
        <v>339030.0</v>
      </c>
      <c r="J355" s="218" t="s">
        <v>249</v>
      </c>
    </row>
    <row r="356">
      <c r="A356" s="218" t="s">
        <v>8933</v>
      </c>
      <c r="B356" s="218">
        <v>57.0</v>
      </c>
      <c r="C356" s="218">
        <v>2018.0</v>
      </c>
      <c r="D356" s="218">
        <v>107702.0</v>
      </c>
      <c r="E356" s="218" t="s">
        <v>8715</v>
      </c>
      <c r="F356" s="218" t="s">
        <v>8716</v>
      </c>
      <c r="G356" s="218">
        <v>44.0</v>
      </c>
      <c r="H356" s="218" t="s">
        <v>8934</v>
      </c>
      <c r="I356" s="218">
        <v>339030.0</v>
      </c>
      <c r="J356" s="218" t="s">
        <v>249</v>
      </c>
    </row>
    <row r="357">
      <c r="A357" s="218" t="s">
        <v>8935</v>
      </c>
      <c r="B357" s="218">
        <v>338.0</v>
      </c>
      <c r="C357" s="218">
        <v>2018.0</v>
      </c>
      <c r="D357" s="218">
        <v>107702.0</v>
      </c>
      <c r="E357" s="218" t="s">
        <v>8715</v>
      </c>
      <c r="F357" s="218" t="s">
        <v>8716</v>
      </c>
      <c r="G357" s="218">
        <v>7.0</v>
      </c>
      <c r="H357" s="218" t="s">
        <v>8802</v>
      </c>
      <c r="I357" s="218">
        <v>339040.0</v>
      </c>
      <c r="J357" s="218" t="s">
        <v>136</v>
      </c>
    </row>
    <row r="358">
      <c r="A358" s="218" t="s">
        <v>8936</v>
      </c>
      <c r="B358" s="218">
        <v>50.0</v>
      </c>
      <c r="C358" s="218">
        <v>2018.0</v>
      </c>
      <c r="D358" s="218">
        <v>107702.0</v>
      </c>
      <c r="E358" s="218" t="s">
        <v>8715</v>
      </c>
      <c r="F358" s="218" t="s">
        <v>8716</v>
      </c>
      <c r="G358" s="218">
        <v>81.0</v>
      </c>
      <c r="H358" s="218" t="s">
        <v>8937</v>
      </c>
      <c r="I358" s="218">
        <v>339039.0</v>
      </c>
      <c r="J358" s="218" t="s">
        <v>8720</v>
      </c>
    </row>
    <row r="359">
      <c r="A359" s="218" t="s">
        <v>8938</v>
      </c>
      <c r="B359" s="218">
        <v>256.0</v>
      </c>
      <c r="C359" s="218">
        <v>2018.0</v>
      </c>
      <c r="D359" s="218">
        <v>107702.0</v>
      </c>
      <c r="E359" s="218" t="s">
        <v>8715</v>
      </c>
      <c r="F359" s="218" t="s">
        <v>8716</v>
      </c>
      <c r="G359" s="218">
        <v>3.0</v>
      </c>
      <c r="H359" s="218" t="s">
        <v>8939</v>
      </c>
      <c r="I359" s="218">
        <v>449039.0</v>
      </c>
      <c r="J359" s="218" t="s">
        <v>8940</v>
      </c>
    </row>
    <row r="360">
      <c r="A360" s="218" t="s">
        <v>8941</v>
      </c>
      <c r="B360" s="218">
        <v>185.0</v>
      </c>
      <c r="C360" s="218">
        <v>2018.0</v>
      </c>
      <c r="D360" s="218">
        <v>107702.0</v>
      </c>
      <c r="E360" s="218" t="s">
        <v>8715</v>
      </c>
      <c r="F360" s="218" t="s">
        <v>8716</v>
      </c>
      <c r="G360" s="218">
        <v>7.0</v>
      </c>
      <c r="H360" s="218" t="s">
        <v>8802</v>
      </c>
      <c r="I360" s="218">
        <v>339040.0</v>
      </c>
      <c r="J360" s="218" t="s">
        <v>136</v>
      </c>
    </row>
    <row r="361">
      <c r="A361" s="218" t="s">
        <v>8942</v>
      </c>
      <c r="B361" s="218">
        <v>53.0</v>
      </c>
      <c r="C361" s="218">
        <v>2018.0</v>
      </c>
      <c r="D361" s="218">
        <v>107702.0</v>
      </c>
      <c r="E361" s="218" t="s">
        <v>8715</v>
      </c>
      <c r="F361" s="218" t="s">
        <v>8716</v>
      </c>
      <c r="G361" s="218">
        <v>10.0</v>
      </c>
      <c r="H361" s="218" t="s">
        <v>8726</v>
      </c>
      <c r="I361" s="218">
        <v>339047.0</v>
      </c>
      <c r="J361" s="218" t="s">
        <v>8718</v>
      </c>
    </row>
    <row r="362">
      <c r="A362" s="218" t="s">
        <v>8943</v>
      </c>
      <c r="B362" s="218">
        <v>54.0</v>
      </c>
      <c r="C362" s="218">
        <v>2018.0</v>
      </c>
      <c r="D362" s="218">
        <v>107702.0</v>
      </c>
      <c r="E362" s="218" t="s">
        <v>8715</v>
      </c>
      <c r="F362" s="218" t="s">
        <v>8716</v>
      </c>
      <c r="G362" s="218">
        <v>10.0</v>
      </c>
      <c r="H362" s="218" t="s">
        <v>8726</v>
      </c>
      <c r="I362" s="218">
        <v>339047.0</v>
      </c>
      <c r="J362" s="218" t="s">
        <v>8718</v>
      </c>
    </row>
    <row r="363">
      <c r="A363" s="218" t="s">
        <v>8944</v>
      </c>
      <c r="B363" s="218">
        <v>55.0</v>
      </c>
      <c r="C363" s="218">
        <v>2018.0</v>
      </c>
      <c r="D363" s="218">
        <v>107702.0</v>
      </c>
      <c r="E363" s="218" t="s">
        <v>8715</v>
      </c>
      <c r="F363" s="218" t="s">
        <v>8716</v>
      </c>
      <c r="G363" s="218">
        <v>39.0</v>
      </c>
      <c r="H363" s="218" t="s">
        <v>8759</v>
      </c>
      <c r="I363" s="218">
        <v>339030.0</v>
      </c>
      <c r="J363" s="218" t="s">
        <v>249</v>
      </c>
    </row>
    <row r="364">
      <c r="A364" s="218" t="s">
        <v>8945</v>
      </c>
      <c r="B364" s="218">
        <v>63.0</v>
      </c>
      <c r="C364" s="218">
        <v>2018.0</v>
      </c>
      <c r="D364" s="218">
        <v>107702.0</v>
      </c>
      <c r="E364" s="218" t="s">
        <v>8715</v>
      </c>
      <c r="F364" s="218" t="s">
        <v>8716</v>
      </c>
      <c r="G364" s="218">
        <v>1.0</v>
      </c>
      <c r="H364" s="218" t="s">
        <v>8946</v>
      </c>
      <c r="I364" s="218">
        <v>339039.0</v>
      </c>
      <c r="J364" s="218" t="s">
        <v>8720</v>
      </c>
    </row>
    <row r="365">
      <c r="A365" s="218" t="s">
        <v>8947</v>
      </c>
      <c r="B365" s="218">
        <v>285.0</v>
      </c>
      <c r="C365" s="218">
        <v>2018.0</v>
      </c>
      <c r="D365" s="218">
        <v>85042.0</v>
      </c>
      <c r="E365" s="218" t="s">
        <v>8948</v>
      </c>
      <c r="F365" s="218" t="s">
        <v>8949</v>
      </c>
      <c r="G365" s="218">
        <v>9.0</v>
      </c>
      <c r="H365" s="218" t="s">
        <v>8950</v>
      </c>
      <c r="I365" s="218">
        <v>339030.0</v>
      </c>
      <c r="J365" s="218" t="s">
        <v>249</v>
      </c>
    </row>
    <row r="366">
      <c r="A366" s="218" t="s">
        <v>8947</v>
      </c>
      <c r="B366" s="218">
        <v>285.0</v>
      </c>
      <c r="C366" s="218">
        <v>2018.0</v>
      </c>
      <c r="D366" s="218">
        <v>85042.0</v>
      </c>
      <c r="E366" s="218" t="s">
        <v>8948</v>
      </c>
      <c r="F366" s="218" t="s">
        <v>8949</v>
      </c>
      <c r="G366" s="218">
        <v>9.0</v>
      </c>
      <c r="H366" s="218" t="s">
        <v>8950</v>
      </c>
      <c r="I366" s="218">
        <v>339030.0</v>
      </c>
      <c r="J366" s="218" t="s">
        <v>249</v>
      </c>
    </row>
    <row r="367">
      <c r="A367" s="218" t="s">
        <v>8951</v>
      </c>
      <c r="B367" s="218">
        <v>193.0</v>
      </c>
      <c r="C367" s="218">
        <v>2018.0</v>
      </c>
      <c r="D367" s="218">
        <v>107702.0</v>
      </c>
      <c r="E367" s="218" t="s">
        <v>8715</v>
      </c>
      <c r="F367" s="218" t="s">
        <v>8716</v>
      </c>
      <c r="G367" s="218">
        <v>26.0</v>
      </c>
      <c r="H367" s="218" t="s">
        <v>8952</v>
      </c>
      <c r="I367" s="218">
        <v>339030.0</v>
      </c>
      <c r="J367" s="218" t="s">
        <v>249</v>
      </c>
    </row>
    <row r="368">
      <c r="A368" s="218" t="s">
        <v>8951</v>
      </c>
      <c r="B368" s="218">
        <v>192.0</v>
      </c>
      <c r="C368" s="218">
        <v>2018.0</v>
      </c>
      <c r="D368" s="218">
        <v>107702.0</v>
      </c>
      <c r="E368" s="218" t="s">
        <v>8715</v>
      </c>
      <c r="F368" s="218" t="s">
        <v>8716</v>
      </c>
      <c r="G368" s="218">
        <v>20.0</v>
      </c>
      <c r="H368" s="218" t="s">
        <v>8852</v>
      </c>
      <c r="I368" s="218">
        <v>339039.0</v>
      </c>
      <c r="J368" s="218" t="s">
        <v>8720</v>
      </c>
    </row>
    <row r="369">
      <c r="A369" s="218" t="s">
        <v>8953</v>
      </c>
      <c r="B369" s="218">
        <v>178.0</v>
      </c>
      <c r="C369" s="218">
        <v>2018.0</v>
      </c>
      <c r="D369" s="218">
        <v>107702.0</v>
      </c>
      <c r="E369" s="218" t="s">
        <v>8715</v>
      </c>
      <c r="F369" s="218" t="s">
        <v>8716</v>
      </c>
      <c r="G369" s="218">
        <v>21.0</v>
      </c>
      <c r="H369" s="218" t="s">
        <v>8954</v>
      </c>
      <c r="I369" s="218">
        <v>339040.0</v>
      </c>
      <c r="J369" s="218" t="s">
        <v>136</v>
      </c>
    </row>
    <row r="370">
      <c r="A370" s="218" t="s">
        <v>8953</v>
      </c>
      <c r="B370" s="218">
        <v>178.0</v>
      </c>
      <c r="C370" s="218">
        <v>2018.0</v>
      </c>
      <c r="D370" s="218">
        <v>107702.0</v>
      </c>
      <c r="E370" s="218" t="s">
        <v>8715</v>
      </c>
      <c r="F370" s="218" t="s">
        <v>8716</v>
      </c>
      <c r="G370" s="218">
        <v>20.0</v>
      </c>
      <c r="H370" s="218" t="s">
        <v>8926</v>
      </c>
      <c r="I370" s="218">
        <v>339040.0</v>
      </c>
      <c r="J370" s="218" t="s">
        <v>136</v>
      </c>
    </row>
    <row r="371">
      <c r="A371" s="218" t="s">
        <v>8955</v>
      </c>
      <c r="B371" s="218">
        <v>138.0</v>
      </c>
      <c r="C371" s="218">
        <v>2018.0</v>
      </c>
      <c r="D371" s="218">
        <v>107702.0</v>
      </c>
      <c r="E371" s="218" t="s">
        <v>8715</v>
      </c>
      <c r="F371" s="218" t="s">
        <v>8716</v>
      </c>
      <c r="G371" s="218">
        <v>10.0</v>
      </c>
      <c r="H371" s="218" t="s">
        <v>8726</v>
      </c>
      <c r="I371" s="218">
        <v>339047.0</v>
      </c>
      <c r="J371" s="218" t="s">
        <v>8718</v>
      </c>
    </row>
    <row r="372">
      <c r="A372" s="218" t="s">
        <v>8956</v>
      </c>
      <c r="B372" s="218">
        <v>139.0</v>
      </c>
      <c r="C372" s="218">
        <v>2018.0</v>
      </c>
      <c r="D372" s="218">
        <v>107702.0</v>
      </c>
      <c r="E372" s="218" t="s">
        <v>8715</v>
      </c>
      <c r="F372" s="218" t="s">
        <v>8716</v>
      </c>
      <c r="G372" s="218">
        <v>78.0</v>
      </c>
      <c r="H372" s="218" t="s">
        <v>8748</v>
      </c>
      <c r="I372" s="218">
        <v>339039.0</v>
      </c>
      <c r="J372" s="218" t="s">
        <v>8720</v>
      </c>
    </row>
    <row r="373">
      <c r="A373" s="218" t="s">
        <v>8957</v>
      </c>
      <c r="B373" s="218">
        <v>198.0</v>
      </c>
      <c r="C373" s="218">
        <v>2018.0</v>
      </c>
      <c r="D373" s="218">
        <v>107702.0</v>
      </c>
      <c r="E373" s="218" t="s">
        <v>8715</v>
      </c>
      <c r="F373" s="218" t="s">
        <v>8716</v>
      </c>
      <c r="G373" s="218">
        <v>50.0</v>
      </c>
      <c r="H373" s="218" t="s">
        <v>8958</v>
      </c>
      <c r="I373" s="218">
        <v>339030.0</v>
      </c>
      <c r="J373" s="218" t="s">
        <v>249</v>
      </c>
    </row>
    <row r="374">
      <c r="A374" s="218" t="s">
        <v>8957</v>
      </c>
      <c r="B374" s="218">
        <v>198.0</v>
      </c>
      <c r="C374" s="218">
        <v>2018.0</v>
      </c>
      <c r="D374" s="218">
        <v>107702.0</v>
      </c>
      <c r="E374" s="218" t="s">
        <v>8715</v>
      </c>
      <c r="F374" s="218" t="s">
        <v>8716</v>
      </c>
      <c r="G374" s="218">
        <v>50.0</v>
      </c>
      <c r="H374" s="218" t="s">
        <v>8958</v>
      </c>
      <c r="I374" s="218">
        <v>339030.0</v>
      </c>
      <c r="J374" s="218" t="s">
        <v>249</v>
      </c>
    </row>
    <row r="375">
      <c r="A375" s="218" t="s">
        <v>8957</v>
      </c>
      <c r="B375" s="218">
        <v>198.0</v>
      </c>
      <c r="C375" s="218">
        <v>2018.0</v>
      </c>
      <c r="D375" s="218">
        <v>107702.0</v>
      </c>
      <c r="E375" s="218" t="s">
        <v>8715</v>
      </c>
      <c r="F375" s="218" t="s">
        <v>8716</v>
      </c>
      <c r="G375" s="218">
        <v>50.0</v>
      </c>
      <c r="H375" s="218" t="s">
        <v>8958</v>
      </c>
      <c r="I375" s="218">
        <v>339030.0</v>
      </c>
      <c r="J375" s="218" t="s">
        <v>249</v>
      </c>
    </row>
    <row r="376">
      <c r="A376" s="218" t="s">
        <v>8959</v>
      </c>
      <c r="B376" s="218">
        <v>217.0</v>
      </c>
      <c r="C376" s="218">
        <v>2018.0</v>
      </c>
      <c r="D376" s="218">
        <v>107702.0</v>
      </c>
      <c r="E376" s="218" t="s">
        <v>8715</v>
      </c>
      <c r="F376" s="218" t="s">
        <v>8716</v>
      </c>
      <c r="G376" s="218">
        <v>7.0</v>
      </c>
      <c r="H376" s="218" t="s">
        <v>8915</v>
      </c>
      <c r="I376" s="218">
        <v>339030.0</v>
      </c>
      <c r="J376" s="218" t="s">
        <v>249</v>
      </c>
    </row>
    <row r="377">
      <c r="A377" s="218" t="s">
        <v>8960</v>
      </c>
      <c r="B377" s="218">
        <v>248.0</v>
      </c>
      <c r="C377" s="218">
        <v>2018.0</v>
      </c>
      <c r="D377" s="218">
        <v>107702.0</v>
      </c>
      <c r="E377" s="218" t="s">
        <v>8715</v>
      </c>
      <c r="F377" s="218" t="s">
        <v>8716</v>
      </c>
      <c r="G377" s="218">
        <v>10.0</v>
      </c>
      <c r="H377" s="218" t="s">
        <v>8726</v>
      </c>
      <c r="I377" s="218">
        <v>339047.0</v>
      </c>
      <c r="J377" s="218" t="s">
        <v>8718</v>
      </c>
    </row>
    <row r="378">
      <c r="A378" s="218" t="s">
        <v>8960</v>
      </c>
      <c r="B378" s="218">
        <v>205.0</v>
      </c>
      <c r="C378" s="218">
        <v>2018.0</v>
      </c>
      <c r="D378" s="218">
        <v>107702.0</v>
      </c>
      <c r="E378" s="218" t="s">
        <v>8715</v>
      </c>
      <c r="F378" s="218" t="s">
        <v>8716</v>
      </c>
      <c r="G378" s="218">
        <v>69.0</v>
      </c>
      <c r="H378" s="218" t="s">
        <v>8874</v>
      </c>
      <c r="I378" s="218">
        <v>339039.0</v>
      </c>
      <c r="J378" s="218" t="s">
        <v>8720</v>
      </c>
    </row>
    <row r="379">
      <c r="A379" s="218" t="s">
        <v>8961</v>
      </c>
      <c r="B379" s="218">
        <v>194.0</v>
      </c>
      <c r="C379" s="218">
        <v>2018.0</v>
      </c>
      <c r="D379" s="218">
        <v>107702.0</v>
      </c>
      <c r="E379" s="218" t="s">
        <v>8715</v>
      </c>
      <c r="F379" s="218" t="s">
        <v>8716</v>
      </c>
      <c r="G379" s="218">
        <v>90.0</v>
      </c>
      <c r="H379" s="218" t="s">
        <v>8751</v>
      </c>
      <c r="I379" s="218">
        <v>339039.0</v>
      </c>
      <c r="J379" s="218" t="s">
        <v>8720</v>
      </c>
    </row>
    <row r="380">
      <c r="A380" s="218" t="s">
        <v>8962</v>
      </c>
      <c r="B380" s="218">
        <v>241.0</v>
      </c>
      <c r="C380" s="218">
        <v>2018.0</v>
      </c>
      <c r="D380" s="218">
        <v>85042.0</v>
      </c>
      <c r="E380" s="218" t="s">
        <v>8948</v>
      </c>
      <c r="F380" s="218" t="s">
        <v>8949</v>
      </c>
      <c r="G380" s="218">
        <v>34.0</v>
      </c>
      <c r="H380" s="218" t="s">
        <v>8963</v>
      </c>
      <c r="I380" s="218">
        <v>339036.0</v>
      </c>
      <c r="J380" s="218" t="s">
        <v>8729</v>
      </c>
    </row>
    <row r="381">
      <c r="A381" s="218" t="s">
        <v>8964</v>
      </c>
      <c r="B381" s="218">
        <v>254.0</v>
      </c>
      <c r="C381" s="218">
        <v>2018.0</v>
      </c>
      <c r="D381" s="218">
        <v>107702.0</v>
      </c>
      <c r="E381" s="218" t="s">
        <v>8715</v>
      </c>
      <c r="F381" s="218" t="s">
        <v>8716</v>
      </c>
      <c r="G381" s="218">
        <v>10.0</v>
      </c>
      <c r="H381" s="218" t="s">
        <v>8726</v>
      </c>
      <c r="I381" s="218">
        <v>339047.0</v>
      </c>
      <c r="J381" s="218" t="s">
        <v>8718</v>
      </c>
    </row>
    <row r="382">
      <c r="A382" s="218" t="s">
        <v>8965</v>
      </c>
      <c r="B382" s="218">
        <v>257.0</v>
      </c>
      <c r="C382" s="218">
        <v>2018.0</v>
      </c>
      <c r="D382" s="218">
        <v>107702.0</v>
      </c>
      <c r="E382" s="218" t="s">
        <v>8715</v>
      </c>
      <c r="F382" s="218" t="s">
        <v>8716</v>
      </c>
      <c r="G382" s="218">
        <v>19.0</v>
      </c>
      <c r="H382" s="218" t="s">
        <v>8760</v>
      </c>
      <c r="I382" s="218">
        <v>339039.0</v>
      </c>
      <c r="J382" s="218" t="s">
        <v>8720</v>
      </c>
    </row>
    <row r="383">
      <c r="A383" s="218" t="s">
        <v>8965</v>
      </c>
      <c r="B383" s="218">
        <v>258.0</v>
      </c>
      <c r="C383" s="218">
        <v>2018.0</v>
      </c>
      <c r="D383" s="218">
        <v>107702.0</v>
      </c>
      <c r="E383" s="218" t="s">
        <v>8715</v>
      </c>
      <c r="F383" s="218" t="s">
        <v>8716</v>
      </c>
      <c r="G383" s="218">
        <v>19.0</v>
      </c>
      <c r="H383" s="218" t="s">
        <v>8760</v>
      </c>
      <c r="I383" s="218">
        <v>339039.0</v>
      </c>
      <c r="J383" s="218" t="s">
        <v>8720</v>
      </c>
    </row>
    <row r="384">
      <c r="A384" s="218" t="s">
        <v>8965</v>
      </c>
      <c r="B384" s="218">
        <v>258.0</v>
      </c>
      <c r="C384" s="218">
        <v>2018.0</v>
      </c>
      <c r="D384" s="218">
        <v>107702.0</v>
      </c>
      <c r="E384" s="218" t="s">
        <v>8715</v>
      </c>
      <c r="F384" s="218" t="s">
        <v>8716</v>
      </c>
      <c r="G384" s="218">
        <v>19.0</v>
      </c>
      <c r="H384" s="218" t="s">
        <v>8760</v>
      </c>
      <c r="I384" s="218">
        <v>339039.0</v>
      </c>
      <c r="J384" s="218" t="s">
        <v>8720</v>
      </c>
    </row>
    <row r="385">
      <c r="A385" s="218" t="s">
        <v>8965</v>
      </c>
      <c r="B385" s="218">
        <v>259.0</v>
      </c>
      <c r="C385" s="218">
        <v>2018.0</v>
      </c>
      <c r="D385" s="218">
        <v>107702.0</v>
      </c>
      <c r="E385" s="218" t="s">
        <v>8715</v>
      </c>
      <c r="F385" s="218" t="s">
        <v>8716</v>
      </c>
      <c r="G385" s="218">
        <v>19.0</v>
      </c>
      <c r="H385" s="218" t="s">
        <v>8760</v>
      </c>
      <c r="I385" s="218">
        <v>339039.0</v>
      </c>
      <c r="J385" s="218" t="s">
        <v>8720</v>
      </c>
    </row>
    <row r="386">
      <c r="A386" s="218" t="s">
        <v>8966</v>
      </c>
      <c r="B386" s="218">
        <v>260.0</v>
      </c>
      <c r="C386" s="218">
        <v>2018.0</v>
      </c>
      <c r="D386" s="218">
        <v>107702.0</v>
      </c>
      <c r="E386" s="218" t="s">
        <v>8715</v>
      </c>
      <c r="F386" s="218" t="s">
        <v>8716</v>
      </c>
      <c r="G386" s="218">
        <v>10.0</v>
      </c>
      <c r="H386" s="218" t="s">
        <v>8726</v>
      </c>
      <c r="I386" s="218">
        <v>339047.0</v>
      </c>
      <c r="J386" s="218" t="s">
        <v>8718</v>
      </c>
    </row>
    <row r="387">
      <c r="A387" s="218" t="s">
        <v>8967</v>
      </c>
      <c r="B387" s="218">
        <v>268.0</v>
      </c>
      <c r="C387" s="218">
        <v>2018.0</v>
      </c>
      <c r="D387" s="218">
        <v>85048.0</v>
      </c>
      <c r="E387" s="218" t="s">
        <v>8968</v>
      </c>
      <c r="F387" s="218" t="s">
        <v>8969</v>
      </c>
      <c r="G387" s="218">
        <v>48.0</v>
      </c>
      <c r="H387" s="218" t="s">
        <v>8970</v>
      </c>
      <c r="I387" s="218">
        <v>339039.0</v>
      </c>
      <c r="J387" s="218" t="s">
        <v>8720</v>
      </c>
    </row>
    <row r="388">
      <c r="A388" s="218" t="s">
        <v>8971</v>
      </c>
      <c r="B388" s="218">
        <v>306.0</v>
      </c>
      <c r="C388" s="218">
        <v>2018.0</v>
      </c>
      <c r="D388" s="218">
        <v>107702.0</v>
      </c>
      <c r="E388" s="218" t="s">
        <v>8715</v>
      </c>
      <c r="F388" s="218" t="s">
        <v>8716</v>
      </c>
      <c r="G388" s="218">
        <v>16.0</v>
      </c>
      <c r="H388" s="218" t="s">
        <v>8879</v>
      </c>
      <c r="I388" s="218">
        <v>339030.0</v>
      </c>
      <c r="J388" s="218" t="s">
        <v>249</v>
      </c>
    </row>
    <row r="389">
      <c r="A389" s="218" t="s">
        <v>8972</v>
      </c>
      <c r="B389" s="218">
        <v>267.0</v>
      </c>
      <c r="C389" s="218">
        <v>2018.0</v>
      </c>
      <c r="D389" s="218">
        <v>107702.0</v>
      </c>
      <c r="E389" s="218" t="s">
        <v>8715</v>
      </c>
      <c r="F389" s="218" t="s">
        <v>8716</v>
      </c>
      <c r="G389" s="218">
        <v>92.0</v>
      </c>
      <c r="H389" s="218" t="s">
        <v>249</v>
      </c>
      <c r="I389" s="218">
        <v>339092.0</v>
      </c>
      <c r="J389" s="218" t="s">
        <v>8736</v>
      </c>
    </row>
    <row r="390">
      <c r="A390" s="218" t="s">
        <v>8973</v>
      </c>
      <c r="B390" s="218">
        <v>269.0</v>
      </c>
      <c r="C390" s="218">
        <v>2018.0</v>
      </c>
      <c r="D390" s="218">
        <v>107702.0</v>
      </c>
      <c r="E390" s="218" t="s">
        <v>8715</v>
      </c>
      <c r="F390" s="218" t="s">
        <v>8716</v>
      </c>
      <c r="G390" s="218">
        <v>69.0</v>
      </c>
      <c r="H390" s="218" t="s">
        <v>8874</v>
      </c>
      <c r="I390" s="218">
        <v>339039.0</v>
      </c>
      <c r="J390" s="218" t="s">
        <v>8720</v>
      </c>
    </row>
    <row r="391">
      <c r="A391" s="218" t="s">
        <v>8974</v>
      </c>
      <c r="B391" s="218">
        <v>320.0</v>
      </c>
      <c r="C391" s="218">
        <v>2018.0</v>
      </c>
      <c r="D391" s="218">
        <v>84847.0</v>
      </c>
      <c r="E391" s="218" t="s">
        <v>8911</v>
      </c>
      <c r="F391" s="218" t="s">
        <v>8912</v>
      </c>
      <c r="G391" s="218">
        <v>7.0</v>
      </c>
      <c r="H391" s="218" t="s">
        <v>8802</v>
      </c>
      <c r="I391" s="218">
        <v>339040.0</v>
      </c>
      <c r="J391" s="218" t="s">
        <v>136</v>
      </c>
    </row>
    <row r="392">
      <c r="A392" s="218" t="s">
        <v>8975</v>
      </c>
      <c r="B392" s="218">
        <v>489.0</v>
      </c>
      <c r="C392" s="218">
        <v>2018.0</v>
      </c>
      <c r="D392" s="218">
        <v>107702.0</v>
      </c>
      <c r="E392" s="218" t="s">
        <v>8715</v>
      </c>
      <c r="F392" s="218" t="s">
        <v>8716</v>
      </c>
      <c r="G392" s="218">
        <v>5.0</v>
      </c>
      <c r="H392" s="218" t="s">
        <v>8859</v>
      </c>
      <c r="I392" s="218">
        <v>339039.0</v>
      </c>
      <c r="J392" s="218" t="s">
        <v>8720</v>
      </c>
    </row>
    <row r="393">
      <c r="A393" s="218" t="s">
        <v>8976</v>
      </c>
      <c r="B393" s="218">
        <v>273.0</v>
      </c>
      <c r="C393" s="218">
        <v>2018.0</v>
      </c>
      <c r="D393" s="218">
        <v>107702.0</v>
      </c>
      <c r="E393" s="218" t="s">
        <v>8715</v>
      </c>
      <c r="F393" s="218" t="s">
        <v>8716</v>
      </c>
      <c r="G393" s="218">
        <v>10.0</v>
      </c>
      <c r="H393" s="218" t="s">
        <v>8726</v>
      </c>
      <c r="I393" s="218">
        <v>339047.0</v>
      </c>
      <c r="J393" s="218" t="s">
        <v>8718</v>
      </c>
    </row>
    <row r="394">
      <c r="A394" s="218" t="s">
        <v>8977</v>
      </c>
      <c r="B394" s="218">
        <v>281.0</v>
      </c>
      <c r="C394" s="218">
        <v>2018.0</v>
      </c>
      <c r="D394" s="218">
        <v>107702.0</v>
      </c>
      <c r="E394" s="218" t="s">
        <v>8715</v>
      </c>
      <c r="F394" s="218" t="s">
        <v>8716</v>
      </c>
      <c r="G394" s="218">
        <v>78.0</v>
      </c>
      <c r="H394" s="218" t="s">
        <v>8748</v>
      </c>
      <c r="I394" s="218">
        <v>339039.0</v>
      </c>
      <c r="J394" s="218" t="s">
        <v>8720</v>
      </c>
    </row>
    <row r="395">
      <c r="A395" s="218" t="s">
        <v>8978</v>
      </c>
      <c r="B395" s="218">
        <v>272.0</v>
      </c>
      <c r="C395" s="218">
        <v>2018.0</v>
      </c>
      <c r="D395" s="218">
        <v>643.0</v>
      </c>
      <c r="E395" s="432">
        <v>2.06105714256E15</v>
      </c>
      <c r="F395" s="218" t="s">
        <v>8979</v>
      </c>
      <c r="G395" s="218">
        <v>17.0</v>
      </c>
      <c r="H395" s="218" t="s">
        <v>8903</v>
      </c>
      <c r="I395" s="218">
        <v>339030.0</v>
      </c>
      <c r="J395" s="218" t="s">
        <v>249</v>
      </c>
    </row>
    <row r="396">
      <c r="A396" s="218" t="s">
        <v>8978</v>
      </c>
      <c r="B396" s="218">
        <v>272.0</v>
      </c>
      <c r="C396" s="218">
        <v>2018.0</v>
      </c>
      <c r="D396" s="218">
        <v>643.0</v>
      </c>
      <c r="E396" s="432">
        <v>2.06105714256E15</v>
      </c>
      <c r="F396" s="218" t="s">
        <v>8979</v>
      </c>
      <c r="G396" s="218">
        <v>17.0</v>
      </c>
      <c r="H396" s="218" t="s">
        <v>8903</v>
      </c>
      <c r="I396" s="218">
        <v>339030.0</v>
      </c>
      <c r="J396" s="218" t="s">
        <v>249</v>
      </c>
    </row>
    <row r="397">
      <c r="A397" s="218" t="s">
        <v>8978</v>
      </c>
      <c r="B397" s="218">
        <v>272.0</v>
      </c>
      <c r="C397" s="218">
        <v>2018.0</v>
      </c>
      <c r="D397" s="218">
        <v>643.0</v>
      </c>
      <c r="E397" s="432">
        <v>2.06105714256E15</v>
      </c>
      <c r="F397" s="218" t="s">
        <v>8979</v>
      </c>
      <c r="G397" s="218">
        <v>17.0</v>
      </c>
      <c r="H397" s="218" t="s">
        <v>8903</v>
      </c>
      <c r="I397" s="218">
        <v>339030.0</v>
      </c>
      <c r="J397" s="218" t="s">
        <v>249</v>
      </c>
    </row>
    <row r="398">
      <c r="A398" s="218" t="s">
        <v>8980</v>
      </c>
      <c r="B398" s="218">
        <v>280.0</v>
      </c>
      <c r="C398" s="218">
        <v>2018.0</v>
      </c>
      <c r="D398" s="218">
        <v>85048.0</v>
      </c>
      <c r="E398" s="218" t="s">
        <v>8968</v>
      </c>
      <c r="F398" s="218" t="s">
        <v>8969</v>
      </c>
      <c r="G398" s="218">
        <v>48.0</v>
      </c>
      <c r="H398" s="218" t="s">
        <v>8970</v>
      </c>
      <c r="I398" s="218">
        <v>339039.0</v>
      </c>
      <c r="J398" s="218" t="s">
        <v>8720</v>
      </c>
    </row>
    <row r="399">
      <c r="A399" s="218" t="s">
        <v>8981</v>
      </c>
      <c r="B399" s="218">
        <v>279.0</v>
      </c>
      <c r="C399" s="218">
        <v>2018.0</v>
      </c>
      <c r="D399" s="218">
        <v>107702.0</v>
      </c>
      <c r="E399" s="218" t="s">
        <v>8715</v>
      </c>
      <c r="F399" s="218" t="s">
        <v>8716</v>
      </c>
      <c r="G399" s="218">
        <v>10.0</v>
      </c>
      <c r="H399" s="218" t="s">
        <v>8726</v>
      </c>
      <c r="I399" s="218">
        <v>339047.0</v>
      </c>
      <c r="J399" s="218" t="s">
        <v>8718</v>
      </c>
    </row>
    <row r="400">
      <c r="A400" s="218" t="s">
        <v>8982</v>
      </c>
      <c r="B400" s="218">
        <v>282.0</v>
      </c>
      <c r="C400" s="218">
        <v>2018.0</v>
      </c>
      <c r="D400" s="218">
        <v>107702.0</v>
      </c>
      <c r="E400" s="218" t="s">
        <v>8715</v>
      </c>
      <c r="F400" s="218" t="s">
        <v>8716</v>
      </c>
      <c r="G400" s="218">
        <v>10.0</v>
      </c>
      <c r="H400" s="218" t="s">
        <v>8726</v>
      </c>
      <c r="I400" s="218">
        <v>339047.0</v>
      </c>
      <c r="J400" s="218" t="s">
        <v>8718</v>
      </c>
    </row>
    <row r="401">
      <c r="A401" s="218" t="s">
        <v>8982</v>
      </c>
      <c r="B401" s="218">
        <v>282.0</v>
      </c>
      <c r="C401" s="218">
        <v>2018.0</v>
      </c>
      <c r="D401" s="218">
        <v>107702.0</v>
      </c>
      <c r="E401" s="218" t="s">
        <v>8715</v>
      </c>
      <c r="F401" s="218" t="s">
        <v>8716</v>
      </c>
      <c r="G401" s="218">
        <v>22.0</v>
      </c>
      <c r="H401" s="218" t="s">
        <v>8717</v>
      </c>
      <c r="I401" s="218">
        <v>339047.0</v>
      </c>
      <c r="J401" s="218" t="s">
        <v>8718</v>
      </c>
    </row>
    <row r="402">
      <c r="A402" s="218" t="s">
        <v>8983</v>
      </c>
      <c r="B402" s="218">
        <v>307.0</v>
      </c>
      <c r="C402" s="218">
        <v>2018.0</v>
      </c>
      <c r="D402" s="218">
        <v>85048.0</v>
      </c>
      <c r="E402" s="218" t="s">
        <v>8968</v>
      </c>
      <c r="F402" s="218" t="s">
        <v>8969</v>
      </c>
      <c r="G402" s="218">
        <v>48.0</v>
      </c>
      <c r="H402" s="218" t="s">
        <v>8970</v>
      </c>
      <c r="I402" s="218">
        <v>339039.0</v>
      </c>
      <c r="J402" s="218" t="s">
        <v>8720</v>
      </c>
    </row>
    <row r="403">
      <c r="A403" s="218" t="s">
        <v>8984</v>
      </c>
      <c r="B403" s="218">
        <v>296.0</v>
      </c>
      <c r="C403" s="218">
        <v>2018.0</v>
      </c>
      <c r="D403" s="218">
        <v>107702.0</v>
      </c>
      <c r="E403" s="218" t="s">
        <v>8715</v>
      </c>
      <c r="F403" s="218" t="s">
        <v>8716</v>
      </c>
      <c r="G403" s="218">
        <v>10.0</v>
      </c>
      <c r="H403" s="218" t="s">
        <v>8726</v>
      </c>
      <c r="I403" s="218">
        <v>339047.0</v>
      </c>
      <c r="J403" s="218" t="s">
        <v>8718</v>
      </c>
    </row>
    <row r="404">
      <c r="A404" s="218" t="s">
        <v>8985</v>
      </c>
      <c r="B404" s="218">
        <v>293.0</v>
      </c>
      <c r="C404" s="218">
        <v>2018.0</v>
      </c>
      <c r="D404" s="218">
        <v>107702.0</v>
      </c>
      <c r="E404" s="218" t="s">
        <v>8715</v>
      </c>
      <c r="F404" s="218" t="s">
        <v>8716</v>
      </c>
      <c r="G404" s="218">
        <v>1.0</v>
      </c>
      <c r="H404" s="218" t="s">
        <v>8946</v>
      </c>
      <c r="I404" s="218">
        <v>339039.0</v>
      </c>
      <c r="J404" s="218" t="s">
        <v>8720</v>
      </c>
    </row>
    <row r="405">
      <c r="A405" s="218" t="s">
        <v>8986</v>
      </c>
      <c r="B405" s="218">
        <v>294.0</v>
      </c>
      <c r="C405" s="218">
        <v>2018.0</v>
      </c>
      <c r="D405" s="218">
        <v>85048.0</v>
      </c>
      <c r="E405" s="218" t="s">
        <v>8968</v>
      </c>
      <c r="F405" s="218" t="s">
        <v>8969</v>
      </c>
      <c r="G405" s="218">
        <v>48.0</v>
      </c>
      <c r="H405" s="218" t="s">
        <v>8970</v>
      </c>
      <c r="I405" s="218">
        <v>339039.0</v>
      </c>
      <c r="J405" s="218" t="s">
        <v>8720</v>
      </c>
    </row>
    <row r="406">
      <c r="A406" s="218" t="s">
        <v>8987</v>
      </c>
      <c r="B406" s="218">
        <v>464.0</v>
      </c>
      <c r="C406" s="218">
        <v>2018.0</v>
      </c>
      <c r="D406" s="218">
        <v>107702.0</v>
      </c>
      <c r="E406" s="218" t="s">
        <v>8715</v>
      </c>
      <c r="F406" s="218" t="s">
        <v>8716</v>
      </c>
      <c r="G406" s="218">
        <v>78.0</v>
      </c>
      <c r="H406" s="218" t="s">
        <v>8748</v>
      </c>
      <c r="I406" s="218">
        <v>339039.0</v>
      </c>
      <c r="J406" s="218" t="s">
        <v>8720</v>
      </c>
    </row>
    <row r="407">
      <c r="A407" s="218" t="s">
        <v>8987</v>
      </c>
      <c r="B407" s="218">
        <v>460.0</v>
      </c>
      <c r="C407" s="218">
        <v>2018.0</v>
      </c>
      <c r="D407" s="218">
        <v>107702.0</v>
      </c>
      <c r="E407" s="218" t="s">
        <v>8715</v>
      </c>
      <c r="F407" s="218" t="s">
        <v>8716</v>
      </c>
      <c r="G407" s="218">
        <v>78.0</v>
      </c>
      <c r="H407" s="218" t="s">
        <v>8748</v>
      </c>
      <c r="I407" s="218">
        <v>339039.0</v>
      </c>
      <c r="J407" s="218" t="s">
        <v>8720</v>
      </c>
    </row>
    <row r="408">
      <c r="A408" s="218" t="s">
        <v>8987</v>
      </c>
      <c r="B408" s="218">
        <v>462.0</v>
      </c>
      <c r="C408" s="218">
        <v>2018.0</v>
      </c>
      <c r="D408" s="218">
        <v>107702.0</v>
      </c>
      <c r="E408" s="218" t="s">
        <v>8715</v>
      </c>
      <c r="F408" s="218" t="s">
        <v>8716</v>
      </c>
      <c r="G408" s="218">
        <v>78.0</v>
      </c>
      <c r="H408" s="218" t="s">
        <v>8748</v>
      </c>
      <c r="I408" s="218">
        <v>339039.0</v>
      </c>
      <c r="J408" s="218" t="s">
        <v>8720</v>
      </c>
    </row>
    <row r="409">
      <c r="A409" s="218" t="s">
        <v>8988</v>
      </c>
      <c r="B409" s="218">
        <v>311.0</v>
      </c>
      <c r="C409" s="218">
        <v>2018.0</v>
      </c>
      <c r="D409" s="218">
        <v>107702.0</v>
      </c>
      <c r="E409" s="218" t="s">
        <v>8715</v>
      </c>
      <c r="F409" s="218" t="s">
        <v>8716</v>
      </c>
      <c r="G409" s="218">
        <v>21.0</v>
      </c>
      <c r="H409" s="218" t="s">
        <v>8896</v>
      </c>
      <c r="I409" s="218">
        <v>339030.0</v>
      </c>
      <c r="J409" s="218" t="s">
        <v>249</v>
      </c>
    </row>
    <row r="410">
      <c r="A410" s="218" t="s">
        <v>8988</v>
      </c>
      <c r="B410" s="218">
        <v>314.0</v>
      </c>
      <c r="C410" s="218">
        <v>2018.0</v>
      </c>
      <c r="D410" s="218">
        <v>107702.0</v>
      </c>
      <c r="E410" s="218" t="s">
        <v>8715</v>
      </c>
      <c r="F410" s="218" t="s">
        <v>8716</v>
      </c>
      <c r="G410" s="218">
        <v>7.0</v>
      </c>
      <c r="H410" s="218" t="s">
        <v>8915</v>
      </c>
      <c r="I410" s="218">
        <v>339030.0</v>
      </c>
      <c r="J410" s="218" t="s">
        <v>249</v>
      </c>
    </row>
    <row r="411">
      <c r="A411" s="218" t="s">
        <v>8988</v>
      </c>
      <c r="B411" s="218">
        <v>310.0</v>
      </c>
      <c r="C411" s="218">
        <v>2018.0</v>
      </c>
      <c r="D411" s="218">
        <v>107702.0</v>
      </c>
      <c r="E411" s="218" t="s">
        <v>8715</v>
      </c>
      <c r="F411" s="218" t="s">
        <v>8716</v>
      </c>
      <c r="G411" s="218">
        <v>7.0</v>
      </c>
      <c r="H411" s="218" t="s">
        <v>8915</v>
      </c>
      <c r="I411" s="218">
        <v>339030.0</v>
      </c>
      <c r="J411" s="218" t="s">
        <v>249</v>
      </c>
    </row>
    <row r="412">
      <c r="A412" s="218" t="s">
        <v>8988</v>
      </c>
      <c r="B412" s="218">
        <v>312.0</v>
      </c>
      <c r="C412" s="218">
        <v>2018.0</v>
      </c>
      <c r="D412" s="218">
        <v>107702.0</v>
      </c>
      <c r="E412" s="218" t="s">
        <v>8715</v>
      </c>
      <c r="F412" s="218" t="s">
        <v>8716</v>
      </c>
      <c r="G412" s="218">
        <v>7.0</v>
      </c>
      <c r="H412" s="218" t="s">
        <v>8915</v>
      </c>
      <c r="I412" s="218">
        <v>339030.0</v>
      </c>
      <c r="J412" s="218" t="s">
        <v>249</v>
      </c>
    </row>
    <row r="413">
      <c r="A413" s="218" t="s">
        <v>8988</v>
      </c>
      <c r="B413" s="218">
        <v>312.0</v>
      </c>
      <c r="C413" s="218">
        <v>2018.0</v>
      </c>
      <c r="D413" s="218">
        <v>107702.0</v>
      </c>
      <c r="E413" s="218" t="s">
        <v>8715</v>
      </c>
      <c r="F413" s="218" t="s">
        <v>8716</v>
      </c>
      <c r="G413" s="218">
        <v>7.0</v>
      </c>
      <c r="H413" s="218" t="s">
        <v>8915</v>
      </c>
      <c r="I413" s="218">
        <v>339030.0</v>
      </c>
      <c r="J413" s="218" t="s">
        <v>249</v>
      </c>
    </row>
    <row r="414">
      <c r="A414" s="218" t="s">
        <v>8988</v>
      </c>
      <c r="B414" s="218">
        <v>313.0</v>
      </c>
      <c r="C414" s="218">
        <v>2018.0</v>
      </c>
      <c r="D414" s="218">
        <v>107702.0</v>
      </c>
      <c r="E414" s="218" t="s">
        <v>8715</v>
      </c>
      <c r="F414" s="218" t="s">
        <v>8716</v>
      </c>
      <c r="G414" s="218">
        <v>20.0</v>
      </c>
      <c r="H414" s="218" t="s">
        <v>8989</v>
      </c>
      <c r="I414" s="218">
        <v>339030.0</v>
      </c>
      <c r="J414" s="218" t="s">
        <v>249</v>
      </c>
    </row>
    <row r="415">
      <c r="A415" s="218" t="s">
        <v>8990</v>
      </c>
      <c r="B415" s="218">
        <v>419.0</v>
      </c>
      <c r="C415" s="218">
        <v>2018.0</v>
      </c>
      <c r="D415" s="218">
        <v>107702.0</v>
      </c>
      <c r="E415" s="218" t="s">
        <v>8715</v>
      </c>
      <c r="F415" s="218" t="s">
        <v>8716</v>
      </c>
      <c r="G415" s="218">
        <v>1.0</v>
      </c>
      <c r="H415" s="218" t="s">
        <v>8917</v>
      </c>
      <c r="I415" s="218">
        <v>339030.0</v>
      </c>
      <c r="J415" s="218" t="s">
        <v>249</v>
      </c>
    </row>
    <row r="416">
      <c r="A416" s="218" t="s">
        <v>8991</v>
      </c>
      <c r="B416" s="218">
        <v>414.0</v>
      </c>
      <c r="C416" s="218">
        <v>2018.0</v>
      </c>
      <c r="D416" s="218">
        <v>107702.0</v>
      </c>
      <c r="E416" s="218" t="s">
        <v>8715</v>
      </c>
      <c r="F416" s="218" t="s">
        <v>8716</v>
      </c>
      <c r="G416" s="218">
        <v>39.0</v>
      </c>
      <c r="H416" s="218" t="s">
        <v>8759</v>
      </c>
      <c r="I416" s="218">
        <v>339030.0</v>
      </c>
      <c r="J416" s="218" t="s">
        <v>249</v>
      </c>
    </row>
    <row r="417">
      <c r="A417" s="218" t="s">
        <v>8991</v>
      </c>
      <c r="B417" s="218">
        <v>415.0</v>
      </c>
      <c r="C417" s="218">
        <v>2018.0</v>
      </c>
      <c r="D417" s="218">
        <v>107702.0</v>
      </c>
      <c r="E417" s="218" t="s">
        <v>8715</v>
      </c>
      <c r="F417" s="218" t="s">
        <v>8716</v>
      </c>
      <c r="G417" s="218">
        <v>19.0</v>
      </c>
      <c r="H417" s="218" t="s">
        <v>8760</v>
      </c>
      <c r="I417" s="218">
        <v>339039.0</v>
      </c>
      <c r="J417" s="218" t="s">
        <v>8720</v>
      </c>
    </row>
    <row r="418">
      <c r="A418" s="218" t="s">
        <v>8991</v>
      </c>
      <c r="B418" s="218">
        <v>415.0</v>
      </c>
      <c r="C418" s="218">
        <v>2018.0</v>
      </c>
      <c r="D418" s="218">
        <v>107702.0</v>
      </c>
      <c r="E418" s="218" t="s">
        <v>8715</v>
      </c>
      <c r="F418" s="218" t="s">
        <v>8716</v>
      </c>
      <c r="G418" s="218">
        <v>25.0</v>
      </c>
      <c r="H418" s="218" t="s">
        <v>8992</v>
      </c>
      <c r="I418" s="218">
        <v>339039.0</v>
      </c>
      <c r="J418" s="218" t="s">
        <v>8720</v>
      </c>
    </row>
    <row r="419">
      <c r="A419" s="218" t="s">
        <v>8993</v>
      </c>
      <c r="B419" s="218">
        <v>518.0</v>
      </c>
      <c r="C419" s="218">
        <v>2018.0</v>
      </c>
      <c r="D419" s="218">
        <v>85048.0</v>
      </c>
      <c r="E419" s="218" t="s">
        <v>8968</v>
      </c>
      <c r="F419" s="218" t="s">
        <v>8969</v>
      </c>
      <c r="G419" s="218">
        <v>48.0</v>
      </c>
      <c r="H419" s="218" t="s">
        <v>8970</v>
      </c>
      <c r="I419" s="218">
        <v>339039.0</v>
      </c>
      <c r="J419" s="218" t="s">
        <v>8720</v>
      </c>
    </row>
    <row r="420">
      <c r="A420" s="218" t="s">
        <v>8993</v>
      </c>
      <c r="B420" s="218">
        <v>315.0</v>
      </c>
      <c r="C420" s="218">
        <v>2018.0</v>
      </c>
      <c r="D420" s="218">
        <v>85048.0</v>
      </c>
      <c r="E420" s="218" t="s">
        <v>8968</v>
      </c>
      <c r="F420" s="218" t="s">
        <v>8969</v>
      </c>
      <c r="G420" s="218">
        <v>48.0</v>
      </c>
      <c r="H420" s="218" t="s">
        <v>8970</v>
      </c>
      <c r="I420" s="218">
        <v>339039.0</v>
      </c>
      <c r="J420" s="218" t="s">
        <v>8720</v>
      </c>
    </row>
    <row r="421">
      <c r="A421" s="218" t="s">
        <v>8994</v>
      </c>
      <c r="B421" s="218">
        <v>301.0</v>
      </c>
      <c r="C421" s="218">
        <v>2018.0</v>
      </c>
      <c r="D421" s="218">
        <v>107702.0</v>
      </c>
      <c r="E421" s="218" t="s">
        <v>8715</v>
      </c>
      <c r="F421" s="218" t="s">
        <v>8716</v>
      </c>
      <c r="G421" s="218">
        <v>17.0</v>
      </c>
      <c r="H421" s="218" t="s">
        <v>8903</v>
      </c>
      <c r="I421" s="218">
        <v>339030.0</v>
      </c>
      <c r="J421" s="218" t="s">
        <v>249</v>
      </c>
    </row>
    <row r="422">
      <c r="A422" s="218" t="s">
        <v>8995</v>
      </c>
      <c r="B422" s="218">
        <v>300.0</v>
      </c>
      <c r="C422" s="218">
        <v>2018.0</v>
      </c>
      <c r="D422" s="218">
        <v>107702.0</v>
      </c>
      <c r="E422" s="218" t="s">
        <v>8715</v>
      </c>
      <c r="F422" s="218" t="s">
        <v>8716</v>
      </c>
      <c r="G422" s="218">
        <v>10.0</v>
      </c>
      <c r="H422" s="218" t="s">
        <v>8726</v>
      </c>
      <c r="I422" s="218">
        <v>339047.0</v>
      </c>
      <c r="J422" s="218" t="s">
        <v>8718</v>
      </c>
    </row>
    <row r="423">
      <c r="A423" s="218" t="s">
        <v>8996</v>
      </c>
      <c r="B423" s="218">
        <v>297.0</v>
      </c>
      <c r="C423" s="218">
        <v>2018.0</v>
      </c>
      <c r="D423" s="218">
        <v>85049.0</v>
      </c>
      <c r="E423" s="218" t="s">
        <v>8790</v>
      </c>
      <c r="F423" s="218" t="s">
        <v>8791</v>
      </c>
      <c r="G423" s="218">
        <v>81.0</v>
      </c>
      <c r="H423" s="218" t="s">
        <v>8937</v>
      </c>
      <c r="I423" s="218">
        <v>339039.0</v>
      </c>
      <c r="J423" s="218" t="s">
        <v>8720</v>
      </c>
    </row>
    <row r="424">
      <c r="A424" s="218" t="s">
        <v>8997</v>
      </c>
      <c r="B424" s="218">
        <v>303.0</v>
      </c>
      <c r="C424" s="218">
        <v>2018.0</v>
      </c>
      <c r="D424" s="218">
        <v>85048.0</v>
      </c>
      <c r="E424" s="218" t="s">
        <v>8968</v>
      </c>
      <c r="F424" s="218" t="s">
        <v>8969</v>
      </c>
      <c r="G424" s="218">
        <v>48.0</v>
      </c>
      <c r="H424" s="218" t="s">
        <v>8970</v>
      </c>
      <c r="I424" s="218">
        <v>339039.0</v>
      </c>
      <c r="J424" s="218" t="s">
        <v>8720</v>
      </c>
    </row>
    <row r="425">
      <c r="A425" s="218" t="s">
        <v>8998</v>
      </c>
      <c r="B425" s="218">
        <v>509.0</v>
      </c>
      <c r="C425" s="218">
        <v>2018.0</v>
      </c>
      <c r="D425" s="218">
        <v>107703.0</v>
      </c>
      <c r="E425" s="218" t="s">
        <v>8999</v>
      </c>
      <c r="F425" s="218" t="s">
        <v>9000</v>
      </c>
      <c r="G425" s="218">
        <v>29.0</v>
      </c>
      <c r="H425" s="218" t="s">
        <v>9001</v>
      </c>
      <c r="I425" s="218">
        <v>339030.0</v>
      </c>
      <c r="J425" s="218" t="s">
        <v>249</v>
      </c>
    </row>
    <row r="426">
      <c r="A426" s="218" t="s">
        <v>8998</v>
      </c>
      <c r="B426" s="218">
        <v>470.0</v>
      </c>
      <c r="C426" s="218">
        <v>2018.0</v>
      </c>
      <c r="D426" s="218">
        <v>107703.0</v>
      </c>
      <c r="E426" s="218" t="s">
        <v>8999</v>
      </c>
      <c r="F426" s="218" t="s">
        <v>9000</v>
      </c>
      <c r="G426" s="218">
        <v>35.0</v>
      </c>
      <c r="H426" s="218" t="s">
        <v>8913</v>
      </c>
      <c r="I426" s="218">
        <v>449052.0</v>
      </c>
      <c r="J426" s="218" t="s">
        <v>362</v>
      </c>
    </row>
    <row r="427">
      <c r="A427" s="218" t="s">
        <v>8998</v>
      </c>
      <c r="B427" s="218">
        <v>509.0</v>
      </c>
      <c r="C427" s="218">
        <v>2018.0</v>
      </c>
      <c r="D427" s="218">
        <v>107703.0</v>
      </c>
      <c r="E427" s="218" t="s">
        <v>8999</v>
      </c>
      <c r="F427" s="218" t="s">
        <v>9000</v>
      </c>
      <c r="G427" s="218">
        <v>29.0</v>
      </c>
      <c r="H427" s="218" t="s">
        <v>9001</v>
      </c>
      <c r="I427" s="218">
        <v>339030.0</v>
      </c>
      <c r="J427" s="218" t="s">
        <v>249</v>
      </c>
    </row>
    <row r="428">
      <c r="A428" s="218" t="s">
        <v>8998</v>
      </c>
      <c r="B428" s="218">
        <v>509.0</v>
      </c>
      <c r="C428" s="218">
        <v>2018.0</v>
      </c>
      <c r="D428" s="218">
        <v>107703.0</v>
      </c>
      <c r="E428" s="218" t="s">
        <v>8999</v>
      </c>
      <c r="F428" s="218" t="s">
        <v>9000</v>
      </c>
      <c r="G428" s="218">
        <v>29.0</v>
      </c>
      <c r="H428" s="218" t="s">
        <v>9001</v>
      </c>
      <c r="I428" s="218">
        <v>339030.0</v>
      </c>
      <c r="J428" s="218" t="s">
        <v>249</v>
      </c>
    </row>
    <row r="429">
      <c r="A429" s="218" t="s">
        <v>8998</v>
      </c>
      <c r="B429" s="218">
        <v>509.0</v>
      </c>
      <c r="C429" s="218">
        <v>2018.0</v>
      </c>
      <c r="D429" s="218">
        <v>107703.0</v>
      </c>
      <c r="E429" s="218" t="s">
        <v>8999</v>
      </c>
      <c r="F429" s="218" t="s">
        <v>9000</v>
      </c>
      <c r="G429" s="218">
        <v>29.0</v>
      </c>
      <c r="H429" s="218" t="s">
        <v>9001</v>
      </c>
      <c r="I429" s="218">
        <v>339030.0</v>
      </c>
      <c r="J429" s="218" t="s">
        <v>249</v>
      </c>
    </row>
    <row r="430">
      <c r="A430" s="218" t="s">
        <v>8998</v>
      </c>
      <c r="B430" s="218">
        <v>469.0</v>
      </c>
      <c r="C430" s="218">
        <v>2018.0</v>
      </c>
      <c r="D430" s="218">
        <v>107703.0</v>
      </c>
      <c r="E430" s="218" t="s">
        <v>8999</v>
      </c>
      <c r="F430" s="218" t="s">
        <v>9000</v>
      </c>
      <c r="G430" s="218">
        <v>33.0</v>
      </c>
      <c r="H430" s="218" t="s">
        <v>8889</v>
      </c>
      <c r="I430" s="218">
        <v>449052.0</v>
      </c>
      <c r="J430" s="218" t="s">
        <v>362</v>
      </c>
    </row>
    <row r="431">
      <c r="A431" s="218" t="s">
        <v>8998</v>
      </c>
      <c r="B431" s="218">
        <v>470.0</v>
      </c>
      <c r="C431" s="218">
        <v>2018.0</v>
      </c>
      <c r="D431" s="218">
        <v>107703.0</v>
      </c>
      <c r="E431" s="218" t="s">
        <v>8999</v>
      </c>
      <c r="F431" s="218" t="s">
        <v>9000</v>
      </c>
      <c r="G431" s="218">
        <v>33.0</v>
      </c>
      <c r="H431" s="218" t="s">
        <v>8889</v>
      </c>
      <c r="I431" s="218">
        <v>449052.0</v>
      </c>
      <c r="J431" s="218" t="s">
        <v>362</v>
      </c>
    </row>
    <row r="432">
      <c r="A432" s="218" t="s">
        <v>8998</v>
      </c>
      <c r="B432" s="218">
        <v>470.0</v>
      </c>
      <c r="C432" s="218">
        <v>2018.0</v>
      </c>
      <c r="D432" s="218">
        <v>107703.0</v>
      </c>
      <c r="E432" s="218" t="s">
        <v>8999</v>
      </c>
      <c r="F432" s="218" t="s">
        <v>9000</v>
      </c>
      <c r="G432" s="218">
        <v>33.0</v>
      </c>
      <c r="H432" s="218" t="s">
        <v>8889</v>
      </c>
      <c r="I432" s="218">
        <v>449052.0</v>
      </c>
      <c r="J432" s="218" t="s">
        <v>362</v>
      </c>
    </row>
    <row r="433">
      <c r="A433" s="218" t="s">
        <v>8998</v>
      </c>
      <c r="B433" s="218">
        <v>470.0</v>
      </c>
      <c r="C433" s="218">
        <v>2018.0</v>
      </c>
      <c r="D433" s="218">
        <v>107703.0</v>
      </c>
      <c r="E433" s="218" t="s">
        <v>8999</v>
      </c>
      <c r="F433" s="218" t="s">
        <v>9000</v>
      </c>
      <c r="G433" s="218">
        <v>33.0</v>
      </c>
      <c r="H433" s="218" t="s">
        <v>8889</v>
      </c>
      <c r="I433" s="218">
        <v>449052.0</v>
      </c>
      <c r="J433" s="218" t="s">
        <v>362</v>
      </c>
    </row>
    <row r="434">
      <c r="A434" s="218" t="s">
        <v>8998</v>
      </c>
      <c r="B434" s="218">
        <v>470.0</v>
      </c>
      <c r="C434" s="218">
        <v>2018.0</v>
      </c>
      <c r="D434" s="218">
        <v>107703.0</v>
      </c>
      <c r="E434" s="218" t="s">
        <v>8999</v>
      </c>
      <c r="F434" s="218" t="s">
        <v>9000</v>
      </c>
      <c r="G434" s="218">
        <v>35.0</v>
      </c>
      <c r="H434" s="218" t="s">
        <v>8913</v>
      </c>
      <c r="I434" s="218">
        <v>449052.0</v>
      </c>
      <c r="J434" s="218" t="s">
        <v>362</v>
      </c>
    </row>
    <row r="435">
      <c r="A435" s="218" t="s">
        <v>8998</v>
      </c>
      <c r="B435" s="218">
        <v>470.0</v>
      </c>
      <c r="C435" s="218">
        <v>2018.0</v>
      </c>
      <c r="D435" s="218">
        <v>107703.0</v>
      </c>
      <c r="E435" s="218" t="s">
        <v>8999</v>
      </c>
      <c r="F435" s="218" t="s">
        <v>9000</v>
      </c>
      <c r="G435" s="218">
        <v>35.0</v>
      </c>
      <c r="H435" s="218" t="s">
        <v>8913</v>
      </c>
      <c r="I435" s="218">
        <v>449052.0</v>
      </c>
      <c r="J435" s="218" t="s">
        <v>362</v>
      </c>
    </row>
    <row r="436">
      <c r="A436" s="218" t="s">
        <v>8998</v>
      </c>
      <c r="B436" s="218">
        <v>470.0</v>
      </c>
      <c r="C436" s="218">
        <v>2018.0</v>
      </c>
      <c r="D436" s="218">
        <v>107703.0</v>
      </c>
      <c r="E436" s="218" t="s">
        <v>8999</v>
      </c>
      <c r="F436" s="218" t="s">
        <v>9000</v>
      </c>
      <c r="G436" s="218">
        <v>35.0</v>
      </c>
      <c r="H436" s="218" t="s">
        <v>8913</v>
      </c>
      <c r="I436" s="218">
        <v>449052.0</v>
      </c>
      <c r="J436" s="218" t="s">
        <v>362</v>
      </c>
    </row>
    <row r="437">
      <c r="A437" s="218" t="s">
        <v>8998</v>
      </c>
      <c r="B437" s="218">
        <v>470.0</v>
      </c>
      <c r="C437" s="218">
        <v>2018.0</v>
      </c>
      <c r="D437" s="218">
        <v>107703.0</v>
      </c>
      <c r="E437" s="218" t="s">
        <v>8999</v>
      </c>
      <c r="F437" s="218" t="s">
        <v>9000</v>
      </c>
      <c r="G437" s="218">
        <v>35.0</v>
      </c>
      <c r="H437" s="218" t="s">
        <v>8913</v>
      </c>
      <c r="I437" s="218">
        <v>449052.0</v>
      </c>
      <c r="J437" s="218" t="s">
        <v>362</v>
      </c>
    </row>
    <row r="438">
      <c r="A438" s="218" t="s">
        <v>8998</v>
      </c>
      <c r="B438" s="218">
        <v>470.0</v>
      </c>
      <c r="C438" s="218">
        <v>2018.0</v>
      </c>
      <c r="D438" s="218">
        <v>107703.0</v>
      </c>
      <c r="E438" s="218" t="s">
        <v>8999</v>
      </c>
      <c r="F438" s="218" t="s">
        <v>9000</v>
      </c>
      <c r="G438" s="218">
        <v>35.0</v>
      </c>
      <c r="H438" s="218" t="s">
        <v>8913</v>
      </c>
      <c r="I438" s="218">
        <v>449052.0</v>
      </c>
      <c r="J438" s="218" t="s">
        <v>362</v>
      </c>
    </row>
    <row r="439">
      <c r="A439" s="218" t="s">
        <v>8998</v>
      </c>
      <c r="B439" s="218">
        <v>509.0</v>
      </c>
      <c r="C439" s="218">
        <v>2018.0</v>
      </c>
      <c r="D439" s="218">
        <v>107703.0</v>
      </c>
      <c r="E439" s="218" t="s">
        <v>8999</v>
      </c>
      <c r="F439" s="218" t="s">
        <v>9000</v>
      </c>
      <c r="G439" s="218">
        <v>29.0</v>
      </c>
      <c r="H439" s="218" t="s">
        <v>9001</v>
      </c>
      <c r="I439" s="218">
        <v>339030.0</v>
      </c>
      <c r="J439" s="218" t="s">
        <v>249</v>
      </c>
    </row>
    <row r="440">
      <c r="A440" s="218" t="s">
        <v>9002</v>
      </c>
      <c r="B440" s="218">
        <v>318.0</v>
      </c>
      <c r="C440" s="218">
        <v>2018.0</v>
      </c>
      <c r="D440" s="218">
        <v>107702.0</v>
      </c>
      <c r="E440" s="218" t="s">
        <v>8715</v>
      </c>
      <c r="F440" s="218" t="s">
        <v>8716</v>
      </c>
      <c r="G440" s="218">
        <v>10.0</v>
      </c>
      <c r="H440" s="218" t="s">
        <v>8726</v>
      </c>
      <c r="I440" s="218">
        <v>339047.0</v>
      </c>
      <c r="J440" s="218" t="s">
        <v>8718</v>
      </c>
    </row>
    <row r="441">
      <c r="A441" s="218" t="s">
        <v>9003</v>
      </c>
      <c r="B441" s="218">
        <v>325.0</v>
      </c>
      <c r="C441" s="218">
        <v>2018.0</v>
      </c>
      <c r="D441" s="218">
        <v>107702.0</v>
      </c>
      <c r="E441" s="218" t="s">
        <v>8715</v>
      </c>
      <c r="F441" s="218" t="s">
        <v>8716</v>
      </c>
      <c r="G441" s="218">
        <v>10.0</v>
      </c>
      <c r="H441" s="218" t="s">
        <v>8726</v>
      </c>
      <c r="I441" s="218">
        <v>339047.0</v>
      </c>
      <c r="J441" s="218" t="s">
        <v>8718</v>
      </c>
    </row>
    <row r="442">
      <c r="A442" s="218" t="s">
        <v>9004</v>
      </c>
      <c r="B442" s="218">
        <v>323.0</v>
      </c>
      <c r="C442" s="218">
        <v>2018.0</v>
      </c>
      <c r="D442" s="218">
        <v>85042.0</v>
      </c>
      <c r="E442" s="218" t="s">
        <v>8948</v>
      </c>
      <c r="F442" s="218" t="s">
        <v>8949</v>
      </c>
      <c r="G442" s="218">
        <v>9.0</v>
      </c>
      <c r="H442" s="218" t="s">
        <v>8950</v>
      </c>
      <c r="I442" s="218">
        <v>339030.0</v>
      </c>
      <c r="J442" s="218" t="s">
        <v>249</v>
      </c>
    </row>
    <row r="443">
      <c r="A443" s="218" t="s">
        <v>9005</v>
      </c>
      <c r="B443" s="218">
        <v>328.0</v>
      </c>
      <c r="C443" s="218">
        <v>2018.0</v>
      </c>
      <c r="D443" s="218">
        <v>107702.0</v>
      </c>
      <c r="E443" s="218" t="s">
        <v>8715</v>
      </c>
      <c r="F443" s="218" t="s">
        <v>8716</v>
      </c>
      <c r="G443" s="218">
        <v>44.0</v>
      </c>
      <c r="H443" s="218" t="s">
        <v>8934</v>
      </c>
      <c r="I443" s="218">
        <v>339030.0</v>
      </c>
      <c r="J443" s="218" t="s">
        <v>249</v>
      </c>
    </row>
    <row r="444">
      <c r="A444" s="218" t="s">
        <v>9005</v>
      </c>
      <c r="B444" s="218">
        <v>328.0</v>
      </c>
      <c r="C444" s="218">
        <v>2018.0</v>
      </c>
      <c r="D444" s="218">
        <v>107702.0</v>
      </c>
      <c r="E444" s="218" t="s">
        <v>8715</v>
      </c>
      <c r="F444" s="218" t="s">
        <v>8716</v>
      </c>
      <c r="G444" s="218">
        <v>44.0</v>
      </c>
      <c r="H444" s="218" t="s">
        <v>8934</v>
      </c>
      <c r="I444" s="218">
        <v>339030.0</v>
      </c>
      <c r="J444" s="218" t="s">
        <v>249</v>
      </c>
    </row>
    <row r="445">
      <c r="A445" s="218" t="s">
        <v>9005</v>
      </c>
      <c r="B445" s="218">
        <v>328.0</v>
      </c>
      <c r="C445" s="218">
        <v>2018.0</v>
      </c>
      <c r="D445" s="218">
        <v>107702.0</v>
      </c>
      <c r="E445" s="218" t="s">
        <v>8715</v>
      </c>
      <c r="F445" s="218" t="s">
        <v>8716</v>
      </c>
      <c r="G445" s="218">
        <v>44.0</v>
      </c>
      <c r="H445" s="218" t="s">
        <v>8934</v>
      </c>
      <c r="I445" s="218">
        <v>339030.0</v>
      </c>
      <c r="J445" s="218" t="s">
        <v>249</v>
      </c>
    </row>
    <row r="446">
      <c r="A446" s="218" t="s">
        <v>9005</v>
      </c>
      <c r="B446" s="218">
        <v>328.0</v>
      </c>
      <c r="C446" s="218">
        <v>2018.0</v>
      </c>
      <c r="D446" s="218">
        <v>107702.0</v>
      </c>
      <c r="E446" s="218" t="s">
        <v>8715</v>
      </c>
      <c r="F446" s="218" t="s">
        <v>8716</v>
      </c>
      <c r="G446" s="218">
        <v>44.0</v>
      </c>
      <c r="H446" s="218" t="s">
        <v>8934</v>
      </c>
      <c r="I446" s="218">
        <v>339030.0</v>
      </c>
      <c r="J446" s="218" t="s">
        <v>249</v>
      </c>
    </row>
    <row r="447">
      <c r="A447" s="218" t="s">
        <v>9006</v>
      </c>
      <c r="B447" s="218">
        <v>326.0</v>
      </c>
      <c r="C447" s="218">
        <v>2018.0</v>
      </c>
      <c r="D447" s="218">
        <v>107702.0</v>
      </c>
      <c r="E447" s="218" t="s">
        <v>8715</v>
      </c>
      <c r="F447" s="218" t="s">
        <v>8716</v>
      </c>
      <c r="G447" s="218">
        <v>39.0</v>
      </c>
      <c r="H447" s="218" t="s">
        <v>8759</v>
      </c>
      <c r="I447" s="218">
        <v>339030.0</v>
      </c>
      <c r="J447" s="218" t="s">
        <v>249</v>
      </c>
    </row>
    <row r="448">
      <c r="A448" s="218" t="s">
        <v>9006</v>
      </c>
      <c r="B448" s="218">
        <v>326.0</v>
      </c>
      <c r="C448" s="218">
        <v>2018.0</v>
      </c>
      <c r="D448" s="218">
        <v>107702.0</v>
      </c>
      <c r="E448" s="218" t="s">
        <v>8715</v>
      </c>
      <c r="F448" s="218" t="s">
        <v>8716</v>
      </c>
      <c r="G448" s="218">
        <v>39.0</v>
      </c>
      <c r="H448" s="218" t="s">
        <v>8759</v>
      </c>
      <c r="I448" s="218">
        <v>339030.0</v>
      </c>
      <c r="J448" s="218" t="s">
        <v>249</v>
      </c>
    </row>
    <row r="449">
      <c r="A449" s="218" t="s">
        <v>9006</v>
      </c>
      <c r="B449" s="218">
        <v>326.0</v>
      </c>
      <c r="C449" s="218">
        <v>2018.0</v>
      </c>
      <c r="D449" s="218">
        <v>107702.0</v>
      </c>
      <c r="E449" s="218" t="s">
        <v>8715</v>
      </c>
      <c r="F449" s="218" t="s">
        <v>8716</v>
      </c>
      <c r="G449" s="218">
        <v>39.0</v>
      </c>
      <c r="H449" s="218" t="s">
        <v>8759</v>
      </c>
      <c r="I449" s="218">
        <v>339030.0</v>
      </c>
      <c r="J449" s="218" t="s">
        <v>249</v>
      </c>
    </row>
    <row r="450">
      <c r="A450" s="218" t="s">
        <v>9006</v>
      </c>
      <c r="B450" s="218">
        <v>327.0</v>
      </c>
      <c r="C450" s="218">
        <v>2018.0</v>
      </c>
      <c r="D450" s="218">
        <v>107702.0</v>
      </c>
      <c r="E450" s="218" t="s">
        <v>8715</v>
      </c>
      <c r="F450" s="218" t="s">
        <v>8716</v>
      </c>
      <c r="G450" s="218">
        <v>19.0</v>
      </c>
      <c r="H450" s="218" t="s">
        <v>8760</v>
      </c>
      <c r="I450" s="218">
        <v>339039.0</v>
      </c>
      <c r="J450" s="218" t="s">
        <v>8720</v>
      </c>
    </row>
    <row r="451">
      <c r="A451" s="218" t="s">
        <v>9007</v>
      </c>
      <c r="B451" s="218">
        <v>343.0</v>
      </c>
      <c r="C451" s="218">
        <v>2018.0</v>
      </c>
      <c r="D451" s="218">
        <v>107702.0</v>
      </c>
      <c r="E451" s="218" t="s">
        <v>8715</v>
      </c>
      <c r="F451" s="218" t="s">
        <v>8716</v>
      </c>
      <c r="G451" s="218">
        <v>1.0</v>
      </c>
      <c r="H451" s="218" t="s">
        <v>8946</v>
      </c>
      <c r="I451" s="218">
        <v>339039.0</v>
      </c>
      <c r="J451" s="218" t="s">
        <v>8720</v>
      </c>
    </row>
    <row r="452">
      <c r="A452" s="218" t="s">
        <v>9008</v>
      </c>
      <c r="B452" s="218">
        <v>346.0</v>
      </c>
      <c r="C452" s="218">
        <v>2018.0</v>
      </c>
      <c r="D452" s="218">
        <v>107702.0</v>
      </c>
      <c r="E452" s="218" t="s">
        <v>8715</v>
      </c>
      <c r="F452" s="218" t="s">
        <v>8716</v>
      </c>
      <c r="G452" s="218">
        <v>16.0</v>
      </c>
      <c r="H452" s="218" t="s">
        <v>8775</v>
      </c>
      <c r="I452" s="218">
        <v>339039.0</v>
      </c>
      <c r="J452" s="218" t="s">
        <v>8720</v>
      </c>
    </row>
    <row r="453">
      <c r="A453" s="218" t="s">
        <v>9009</v>
      </c>
      <c r="B453" s="218">
        <v>337.0</v>
      </c>
      <c r="C453" s="218">
        <v>2018.0</v>
      </c>
      <c r="D453" s="218">
        <v>107702.0</v>
      </c>
      <c r="E453" s="218" t="s">
        <v>8715</v>
      </c>
      <c r="F453" s="218" t="s">
        <v>8716</v>
      </c>
      <c r="G453" s="218">
        <v>17.0</v>
      </c>
      <c r="H453" s="218" t="s">
        <v>8825</v>
      </c>
      <c r="I453" s="218">
        <v>339039.0</v>
      </c>
      <c r="J453" s="218" t="s">
        <v>8720</v>
      </c>
    </row>
    <row r="454">
      <c r="A454" s="218" t="s">
        <v>9009</v>
      </c>
      <c r="B454" s="218">
        <v>337.0</v>
      </c>
      <c r="C454" s="218">
        <v>2018.0</v>
      </c>
      <c r="D454" s="218">
        <v>107702.0</v>
      </c>
      <c r="E454" s="218" t="s">
        <v>8715</v>
      </c>
      <c r="F454" s="218" t="s">
        <v>8716</v>
      </c>
      <c r="G454" s="218">
        <v>17.0</v>
      </c>
      <c r="H454" s="218" t="s">
        <v>8825</v>
      </c>
      <c r="I454" s="218">
        <v>339039.0</v>
      </c>
      <c r="J454" s="218" t="s">
        <v>8720</v>
      </c>
    </row>
    <row r="455">
      <c r="A455" s="218" t="s">
        <v>9009</v>
      </c>
      <c r="B455" s="218">
        <v>336.0</v>
      </c>
      <c r="C455" s="218">
        <v>2018.0</v>
      </c>
      <c r="D455" s="218">
        <v>107702.0</v>
      </c>
      <c r="E455" s="218" t="s">
        <v>8715</v>
      </c>
      <c r="F455" s="218" t="s">
        <v>8716</v>
      </c>
      <c r="G455" s="218">
        <v>28.0</v>
      </c>
      <c r="H455" s="218" t="s">
        <v>8906</v>
      </c>
      <c r="I455" s="218">
        <v>339030.0</v>
      </c>
      <c r="J455" s="218" t="s">
        <v>249</v>
      </c>
    </row>
    <row r="456">
      <c r="A456" s="218" t="s">
        <v>9010</v>
      </c>
      <c r="B456" s="218">
        <v>468.0</v>
      </c>
      <c r="C456" s="218">
        <v>2018.0</v>
      </c>
      <c r="D456" s="218">
        <v>107702.0</v>
      </c>
      <c r="E456" s="218" t="s">
        <v>8715</v>
      </c>
      <c r="F456" s="218" t="s">
        <v>8716</v>
      </c>
      <c r="G456" s="218">
        <v>16.0</v>
      </c>
      <c r="H456" s="218" t="s">
        <v>8775</v>
      </c>
      <c r="I456" s="218">
        <v>339039.0</v>
      </c>
      <c r="J456" s="218" t="s">
        <v>8720</v>
      </c>
    </row>
    <row r="457">
      <c r="A457" s="218" t="s">
        <v>9011</v>
      </c>
      <c r="B457" s="218">
        <v>383.0</v>
      </c>
      <c r="C457" s="218">
        <v>2018.0</v>
      </c>
      <c r="D457" s="218">
        <v>107702.0</v>
      </c>
      <c r="E457" s="218" t="s">
        <v>8715</v>
      </c>
      <c r="F457" s="218" t="s">
        <v>8716</v>
      </c>
      <c r="G457" s="218">
        <v>44.0</v>
      </c>
      <c r="H457" s="218" t="s">
        <v>8934</v>
      </c>
      <c r="I457" s="218">
        <v>339030.0</v>
      </c>
      <c r="J457" s="218" t="s">
        <v>249</v>
      </c>
    </row>
    <row r="458">
      <c r="A458" s="218" t="s">
        <v>9011</v>
      </c>
      <c r="B458" s="218">
        <v>383.0</v>
      </c>
      <c r="C458" s="218">
        <v>2018.0</v>
      </c>
      <c r="D458" s="218">
        <v>107702.0</v>
      </c>
      <c r="E458" s="218" t="s">
        <v>8715</v>
      </c>
      <c r="F458" s="218" t="s">
        <v>8716</v>
      </c>
      <c r="G458" s="218">
        <v>44.0</v>
      </c>
      <c r="H458" s="218" t="s">
        <v>8934</v>
      </c>
      <c r="I458" s="218">
        <v>339030.0</v>
      </c>
      <c r="J458" s="218" t="s">
        <v>249</v>
      </c>
    </row>
    <row r="459">
      <c r="A459" s="218" t="s">
        <v>9011</v>
      </c>
      <c r="B459" s="218">
        <v>384.0</v>
      </c>
      <c r="C459" s="218">
        <v>2018.0</v>
      </c>
      <c r="D459" s="218">
        <v>107702.0</v>
      </c>
      <c r="E459" s="218" t="s">
        <v>8715</v>
      </c>
      <c r="F459" s="218" t="s">
        <v>8716</v>
      </c>
      <c r="G459" s="218">
        <v>63.0</v>
      </c>
      <c r="H459" s="218" t="s">
        <v>9012</v>
      </c>
      <c r="I459" s="218">
        <v>339039.0</v>
      </c>
      <c r="J459" s="218" t="s">
        <v>8720</v>
      </c>
    </row>
    <row r="460">
      <c r="A460" s="218" t="s">
        <v>9011</v>
      </c>
      <c r="B460" s="218">
        <v>383.0</v>
      </c>
      <c r="C460" s="218">
        <v>2018.0</v>
      </c>
      <c r="D460" s="218">
        <v>107702.0</v>
      </c>
      <c r="E460" s="218" t="s">
        <v>8715</v>
      </c>
      <c r="F460" s="218" t="s">
        <v>8716</v>
      </c>
      <c r="G460" s="218">
        <v>44.0</v>
      </c>
      <c r="H460" s="218" t="s">
        <v>8934</v>
      </c>
      <c r="I460" s="218">
        <v>339030.0</v>
      </c>
      <c r="J460" s="218" t="s">
        <v>249</v>
      </c>
    </row>
    <row r="461">
      <c r="A461" s="218" t="s">
        <v>9011</v>
      </c>
      <c r="B461" s="218">
        <v>383.0</v>
      </c>
      <c r="C461" s="218">
        <v>2018.0</v>
      </c>
      <c r="D461" s="218">
        <v>107702.0</v>
      </c>
      <c r="E461" s="218" t="s">
        <v>8715</v>
      </c>
      <c r="F461" s="218" t="s">
        <v>8716</v>
      </c>
      <c r="G461" s="218">
        <v>44.0</v>
      </c>
      <c r="H461" s="218" t="s">
        <v>8934</v>
      </c>
      <c r="I461" s="218">
        <v>339030.0</v>
      </c>
      <c r="J461" s="218" t="s">
        <v>249</v>
      </c>
    </row>
    <row r="462">
      <c r="A462" s="218" t="s">
        <v>9013</v>
      </c>
      <c r="B462" s="218">
        <v>379.0</v>
      </c>
      <c r="C462" s="218">
        <v>2018.0</v>
      </c>
      <c r="D462" s="218">
        <v>107702.0</v>
      </c>
      <c r="E462" s="218" t="s">
        <v>8715</v>
      </c>
      <c r="F462" s="218" t="s">
        <v>8716</v>
      </c>
      <c r="G462" s="218">
        <v>5.0</v>
      </c>
      <c r="H462" s="218" t="s">
        <v>9014</v>
      </c>
      <c r="I462" s="218">
        <v>339030.0</v>
      </c>
      <c r="J462" s="218" t="s">
        <v>249</v>
      </c>
    </row>
    <row r="463">
      <c r="A463" s="218" t="s">
        <v>9013</v>
      </c>
      <c r="B463" s="218">
        <v>379.0</v>
      </c>
      <c r="C463" s="218">
        <v>2018.0</v>
      </c>
      <c r="D463" s="218">
        <v>107702.0</v>
      </c>
      <c r="E463" s="218" t="s">
        <v>8715</v>
      </c>
      <c r="F463" s="218" t="s">
        <v>8716</v>
      </c>
      <c r="G463" s="218">
        <v>5.0</v>
      </c>
      <c r="H463" s="218" t="s">
        <v>9014</v>
      </c>
      <c r="I463" s="218">
        <v>339030.0</v>
      </c>
      <c r="J463" s="218" t="s">
        <v>249</v>
      </c>
    </row>
    <row r="464">
      <c r="A464" s="218" t="s">
        <v>9015</v>
      </c>
      <c r="B464" s="218">
        <v>354.0</v>
      </c>
      <c r="C464" s="218">
        <v>2018.0</v>
      </c>
      <c r="D464" s="218">
        <v>107702.0</v>
      </c>
      <c r="E464" s="218" t="s">
        <v>8715</v>
      </c>
      <c r="F464" s="218" t="s">
        <v>8716</v>
      </c>
      <c r="G464" s="218">
        <v>10.0</v>
      </c>
      <c r="H464" s="218" t="s">
        <v>8726</v>
      </c>
      <c r="I464" s="218">
        <v>339047.0</v>
      </c>
      <c r="J464" s="218" t="s">
        <v>8718</v>
      </c>
    </row>
    <row r="465">
      <c r="A465" s="218" t="s">
        <v>9016</v>
      </c>
      <c r="B465" s="218">
        <v>357.0</v>
      </c>
      <c r="C465" s="218">
        <v>2018.0</v>
      </c>
      <c r="D465" s="218">
        <v>107702.0</v>
      </c>
      <c r="E465" s="218" t="s">
        <v>8715</v>
      </c>
      <c r="F465" s="218" t="s">
        <v>8716</v>
      </c>
      <c r="G465" s="218">
        <v>10.0</v>
      </c>
      <c r="H465" s="218" t="s">
        <v>8726</v>
      </c>
      <c r="I465" s="218">
        <v>339147.0</v>
      </c>
      <c r="J465" s="218" t="s">
        <v>9017</v>
      </c>
    </row>
    <row r="466">
      <c r="A466" s="218" t="s">
        <v>9016</v>
      </c>
      <c r="B466" s="218">
        <v>356.0</v>
      </c>
      <c r="C466" s="218">
        <v>2018.0</v>
      </c>
      <c r="D466" s="218">
        <v>107702.0</v>
      </c>
      <c r="E466" s="218" t="s">
        <v>8715</v>
      </c>
      <c r="F466" s="218" t="s">
        <v>8716</v>
      </c>
      <c r="G466" s="218">
        <v>10.0</v>
      </c>
      <c r="H466" s="218" t="s">
        <v>8726</v>
      </c>
      <c r="I466" s="218">
        <v>339147.0</v>
      </c>
      <c r="J466" s="218" t="s">
        <v>9017</v>
      </c>
    </row>
    <row r="467">
      <c r="A467" s="218" t="s">
        <v>9018</v>
      </c>
      <c r="B467" s="218">
        <v>358.0</v>
      </c>
      <c r="C467" s="218">
        <v>2018.0</v>
      </c>
      <c r="D467" s="218">
        <v>107702.0</v>
      </c>
      <c r="E467" s="218" t="s">
        <v>8715</v>
      </c>
      <c r="F467" s="218" t="s">
        <v>8716</v>
      </c>
      <c r="G467" s="218">
        <v>10.0</v>
      </c>
      <c r="H467" s="218" t="s">
        <v>8726</v>
      </c>
      <c r="I467" s="218">
        <v>339047.0</v>
      </c>
      <c r="J467" s="218" t="s">
        <v>8718</v>
      </c>
    </row>
    <row r="468">
      <c r="A468" s="218" t="s">
        <v>9019</v>
      </c>
      <c r="B468" s="218">
        <v>381.0</v>
      </c>
      <c r="C468" s="218">
        <v>2018.0</v>
      </c>
      <c r="D468" s="218">
        <v>107702.0</v>
      </c>
      <c r="E468" s="218" t="s">
        <v>8715</v>
      </c>
      <c r="F468" s="218" t="s">
        <v>8716</v>
      </c>
      <c r="G468" s="218">
        <v>5.0</v>
      </c>
      <c r="H468" s="218" t="s">
        <v>8859</v>
      </c>
      <c r="I468" s="218">
        <v>339039.0</v>
      </c>
      <c r="J468" s="218" t="s">
        <v>8720</v>
      </c>
    </row>
    <row r="469">
      <c r="A469" s="218" t="s">
        <v>9019</v>
      </c>
      <c r="B469" s="218">
        <v>381.0</v>
      </c>
      <c r="C469" s="218">
        <v>2018.0</v>
      </c>
      <c r="D469" s="218">
        <v>107702.0</v>
      </c>
      <c r="E469" s="218" t="s">
        <v>8715</v>
      </c>
      <c r="F469" s="218" t="s">
        <v>8716</v>
      </c>
      <c r="G469" s="218">
        <v>5.0</v>
      </c>
      <c r="H469" s="218" t="s">
        <v>8859</v>
      </c>
      <c r="I469" s="218">
        <v>339039.0</v>
      </c>
      <c r="J469" s="218" t="s">
        <v>8720</v>
      </c>
    </row>
    <row r="470">
      <c r="A470" s="218" t="s">
        <v>9019</v>
      </c>
      <c r="B470" s="218">
        <v>381.0</v>
      </c>
      <c r="C470" s="218">
        <v>2018.0</v>
      </c>
      <c r="D470" s="218">
        <v>107702.0</v>
      </c>
      <c r="E470" s="218" t="s">
        <v>8715</v>
      </c>
      <c r="F470" s="218" t="s">
        <v>8716</v>
      </c>
      <c r="G470" s="218">
        <v>5.0</v>
      </c>
      <c r="H470" s="218" t="s">
        <v>8859</v>
      </c>
      <c r="I470" s="218">
        <v>339039.0</v>
      </c>
      <c r="J470" s="218" t="s">
        <v>8720</v>
      </c>
    </row>
    <row r="471">
      <c r="A471" s="218" t="s">
        <v>9019</v>
      </c>
      <c r="B471" s="218">
        <v>381.0</v>
      </c>
      <c r="C471" s="218">
        <v>2018.0</v>
      </c>
      <c r="D471" s="218">
        <v>107702.0</v>
      </c>
      <c r="E471" s="218" t="s">
        <v>8715</v>
      </c>
      <c r="F471" s="218" t="s">
        <v>8716</v>
      </c>
      <c r="G471" s="218">
        <v>5.0</v>
      </c>
      <c r="H471" s="218" t="s">
        <v>8859</v>
      </c>
      <c r="I471" s="218">
        <v>339039.0</v>
      </c>
      <c r="J471" s="218" t="s">
        <v>8720</v>
      </c>
    </row>
    <row r="472">
      <c r="A472" s="218" t="s">
        <v>9019</v>
      </c>
      <c r="B472" s="218">
        <v>381.0</v>
      </c>
      <c r="C472" s="218">
        <v>2018.0</v>
      </c>
      <c r="D472" s="218">
        <v>107702.0</v>
      </c>
      <c r="E472" s="218" t="s">
        <v>8715</v>
      </c>
      <c r="F472" s="218" t="s">
        <v>8716</v>
      </c>
      <c r="G472" s="218">
        <v>5.0</v>
      </c>
      <c r="H472" s="218" t="s">
        <v>8859</v>
      </c>
      <c r="I472" s="218">
        <v>339039.0</v>
      </c>
      <c r="J472" s="218" t="s">
        <v>8720</v>
      </c>
    </row>
    <row r="473">
      <c r="A473" s="218" t="s">
        <v>9019</v>
      </c>
      <c r="B473" s="218">
        <v>381.0</v>
      </c>
      <c r="C473" s="218">
        <v>2018.0</v>
      </c>
      <c r="D473" s="218">
        <v>107702.0</v>
      </c>
      <c r="E473" s="218" t="s">
        <v>8715</v>
      </c>
      <c r="F473" s="218" t="s">
        <v>8716</v>
      </c>
      <c r="G473" s="218">
        <v>5.0</v>
      </c>
      <c r="H473" s="218" t="s">
        <v>8859</v>
      </c>
      <c r="I473" s="218">
        <v>339039.0</v>
      </c>
      <c r="J473" s="218" t="s">
        <v>8720</v>
      </c>
    </row>
    <row r="474">
      <c r="A474" s="218" t="s">
        <v>9019</v>
      </c>
      <c r="B474" s="218">
        <v>381.0</v>
      </c>
      <c r="C474" s="218">
        <v>2018.0</v>
      </c>
      <c r="D474" s="218">
        <v>107702.0</v>
      </c>
      <c r="E474" s="218" t="s">
        <v>8715</v>
      </c>
      <c r="F474" s="218" t="s">
        <v>8716</v>
      </c>
      <c r="G474" s="218">
        <v>5.0</v>
      </c>
      <c r="H474" s="218" t="s">
        <v>8859</v>
      </c>
      <c r="I474" s="218">
        <v>339039.0</v>
      </c>
      <c r="J474" s="218" t="s">
        <v>8720</v>
      </c>
    </row>
    <row r="475">
      <c r="A475" s="218" t="s">
        <v>9020</v>
      </c>
      <c r="B475" s="218">
        <v>369.0</v>
      </c>
      <c r="C475" s="218">
        <v>2018.0</v>
      </c>
      <c r="D475" s="218">
        <v>107702.0</v>
      </c>
      <c r="E475" s="218" t="s">
        <v>8715</v>
      </c>
      <c r="F475" s="218" t="s">
        <v>8716</v>
      </c>
      <c r="G475" s="218">
        <v>10.0</v>
      </c>
      <c r="H475" s="218" t="s">
        <v>8726</v>
      </c>
      <c r="I475" s="218">
        <v>339047.0</v>
      </c>
      <c r="J475" s="218" t="s">
        <v>8718</v>
      </c>
    </row>
    <row r="476">
      <c r="A476" s="218" t="s">
        <v>9020</v>
      </c>
      <c r="B476" s="218">
        <v>370.0</v>
      </c>
      <c r="C476" s="218">
        <v>2018.0</v>
      </c>
      <c r="D476" s="218">
        <v>107702.0</v>
      </c>
      <c r="E476" s="218" t="s">
        <v>8715</v>
      </c>
      <c r="F476" s="218" t="s">
        <v>8716</v>
      </c>
      <c r="G476" s="218">
        <v>69.0</v>
      </c>
      <c r="H476" s="218" t="s">
        <v>8874</v>
      </c>
      <c r="I476" s="218">
        <v>339039.0</v>
      </c>
      <c r="J476" s="218" t="s">
        <v>8720</v>
      </c>
    </row>
    <row r="477">
      <c r="A477" s="218" t="s">
        <v>9021</v>
      </c>
      <c r="B477" s="218">
        <v>382.0</v>
      </c>
      <c r="C477" s="218">
        <v>2018.0</v>
      </c>
      <c r="D477" s="218">
        <v>107702.0</v>
      </c>
      <c r="E477" s="218" t="s">
        <v>8715</v>
      </c>
      <c r="F477" s="218" t="s">
        <v>8716</v>
      </c>
      <c r="G477" s="218">
        <v>41.0</v>
      </c>
      <c r="H477" s="218" t="s">
        <v>8827</v>
      </c>
      <c r="I477" s="218">
        <v>339039.0</v>
      </c>
      <c r="J477" s="218" t="s">
        <v>8720</v>
      </c>
    </row>
    <row r="478">
      <c r="A478" s="218" t="s">
        <v>9021</v>
      </c>
      <c r="B478" s="218">
        <v>382.0</v>
      </c>
      <c r="C478" s="218">
        <v>2018.0</v>
      </c>
      <c r="D478" s="218">
        <v>107702.0</v>
      </c>
      <c r="E478" s="218" t="s">
        <v>8715</v>
      </c>
      <c r="F478" s="218" t="s">
        <v>8716</v>
      </c>
      <c r="G478" s="218">
        <v>41.0</v>
      </c>
      <c r="H478" s="218" t="s">
        <v>8827</v>
      </c>
      <c r="I478" s="218">
        <v>339039.0</v>
      </c>
      <c r="J478" s="218" t="s">
        <v>8720</v>
      </c>
    </row>
    <row r="479">
      <c r="A479" s="218" t="s">
        <v>9022</v>
      </c>
      <c r="B479" s="218">
        <v>539.0</v>
      </c>
      <c r="C479" s="218">
        <v>2018.0</v>
      </c>
      <c r="D479" s="218">
        <v>107702.0</v>
      </c>
      <c r="E479" s="218" t="s">
        <v>8715</v>
      </c>
      <c r="F479" s="218" t="s">
        <v>8716</v>
      </c>
      <c r="G479" s="218">
        <v>24.0</v>
      </c>
      <c r="H479" s="218" t="s">
        <v>9023</v>
      </c>
      <c r="I479" s="218">
        <v>449052.0</v>
      </c>
      <c r="J479" s="218" t="s">
        <v>362</v>
      </c>
    </row>
    <row r="480">
      <c r="A480" s="218" t="s">
        <v>9022</v>
      </c>
      <c r="B480" s="218">
        <v>539.0</v>
      </c>
      <c r="C480" s="218">
        <v>2018.0</v>
      </c>
      <c r="D480" s="218">
        <v>107702.0</v>
      </c>
      <c r="E480" s="218" t="s">
        <v>8715</v>
      </c>
      <c r="F480" s="218" t="s">
        <v>8716</v>
      </c>
      <c r="G480" s="218">
        <v>24.0</v>
      </c>
      <c r="H480" s="218" t="s">
        <v>9023</v>
      </c>
      <c r="I480" s="218">
        <v>449052.0</v>
      </c>
      <c r="J480" s="218" t="s">
        <v>362</v>
      </c>
    </row>
    <row r="481">
      <c r="A481" s="218" t="s">
        <v>9024</v>
      </c>
      <c r="B481" s="218">
        <v>516.0</v>
      </c>
      <c r="C481" s="218">
        <v>2018.0</v>
      </c>
      <c r="D481" s="218">
        <v>107702.0</v>
      </c>
      <c r="E481" s="218" t="s">
        <v>8715</v>
      </c>
      <c r="F481" s="218" t="s">
        <v>8716</v>
      </c>
      <c r="G481" s="218">
        <v>51.0</v>
      </c>
      <c r="H481" s="218" t="s">
        <v>9025</v>
      </c>
      <c r="I481" s="218">
        <v>449052.0</v>
      </c>
      <c r="J481" s="218" t="s">
        <v>362</v>
      </c>
    </row>
    <row r="482">
      <c r="A482" s="218" t="s">
        <v>9024</v>
      </c>
      <c r="B482" s="218">
        <v>517.0</v>
      </c>
      <c r="C482" s="218">
        <v>2018.0</v>
      </c>
      <c r="D482" s="218">
        <v>107702.0</v>
      </c>
      <c r="E482" s="218" t="s">
        <v>8715</v>
      </c>
      <c r="F482" s="218" t="s">
        <v>8716</v>
      </c>
      <c r="G482" s="218">
        <v>51.0</v>
      </c>
      <c r="H482" s="218" t="s">
        <v>9025</v>
      </c>
      <c r="I482" s="218">
        <v>449052.0</v>
      </c>
      <c r="J482" s="218" t="s">
        <v>362</v>
      </c>
    </row>
    <row r="483">
      <c r="A483" s="218" t="s">
        <v>9026</v>
      </c>
      <c r="B483" s="218">
        <v>401.0</v>
      </c>
      <c r="C483" s="218">
        <v>2018.0</v>
      </c>
      <c r="D483" s="218">
        <v>107702.0</v>
      </c>
      <c r="E483" s="218" t="s">
        <v>8715</v>
      </c>
      <c r="F483" s="218" t="s">
        <v>8716</v>
      </c>
      <c r="G483" s="218">
        <v>10.0</v>
      </c>
      <c r="H483" s="218" t="s">
        <v>8726</v>
      </c>
      <c r="I483" s="218">
        <v>339047.0</v>
      </c>
      <c r="J483" s="218" t="s">
        <v>8718</v>
      </c>
    </row>
    <row r="484">
      <c r="A484" s="218" t="s">
        <v>9026</v>
      </c>
      <c r="B484" s="218">
        <v>403.0</v>
      </c>
      <c r="C484" s="218">
        <v>2018.0</v>
      </c>
      <c r="D484" s="218">
        <v>107702.0</v>
      </c>
      <c r="E484" s="218" t="s">
        <v>8715</v>
      </c>
      <c r="F484" s="218" t="s">
        <v>8716</v>
      </c>
      <c r="G484" s="218">
        <v>10.0</v>
      </c>
      <c r="H484" s="218" t="s">
        <v>8726</v>
      </c>
      <c r="I484" s="218">
        <v>339047.0</v>
      </c>
      <c r="J484" s="218" t="s">
        <v>8718</v>
      </c>
    </row>
    <row r="485">
      <c r="A485" s="218" t="s">
        <v>9026</v>
      </c>
      <c r="B485" s="218">
        <v>402.0</v>
      </c>
      <c r="C485" s="218">
        <v>2018.0</v>
      </c>
      <c r="D485" s="218">
        <v>107702.0</v>
      </c>
      <c r="E485" s="218" t="s">
        <v>8715</v>
      </c>
      <c r="F485" s="218" t="s">
        <v>8716</v>
      </c>
      <c r="G485" s="218">
        <v>10.0</v>
      </c>
      <c r="H485" s="218" t="s">
        <v>8726</v>
      </c>
      <c r="I485" s="218">
        <v>339047.0</v>
      </c>
      <c r="J485" s="218" t="s">
        <v>8718</v>
      </c>
    </row>
    <row r="486">
      <c r="A486" s="218" t="s">
        <v>9027</v>
      </c>
      <c r="B486" s="218">
        <v>409.0</v>
      </c>
      <c r="C486" s="218">
        <v>2018.0</v>
      </c>
      <c r="D486" s="218">
        <v>107702.0</v>
      </c>
      <c r="E486" s="218" t="s">
        <v>8715</v>
      </c>
      <c r="F486" s="218" t="s">
        <v>8716</v>
      </c>
      <c r="G486" s="218">
        <v>3.0</v>
      </c>
      <c r="H486" s="218" t="s">
        <v>9028</v>
      </c>
      <c r="I486" s="218">
        <v>339033.0</v>
      </c>
      <c r="J486" s="218" t="s">
        <v>8788</v>
      </c>
    </row>
    <row r="487">
      <c r="A487" s="218" t="s">
        <v>9027</v>
      </c>
      <c r="B487" s="218">
        <v>410.0</v>
      </c>
      <c r="C487" s="218">
        <v>2018.0</v>
      </c>
      <c r="D487" s="218">
        <v>107702.0</v>
      </c>
      <c r="E487" s="218" t="s">
        <v>8715</v>
      </c>
      <c r="F487" s="218" t="s">
        <v>8716</v>
      </c>
      <c r="G487" s="218">
        <v>1.0</v>
      </c>
      <c r="H487" s="218" t="s">
        <v>8917</v>
      </c>
      <c r="I487" s="218">
        <v>339030.0</v>
      </c>
      <c r="J487" s="218" t="s">
        <v>249</v>
      </c>
    </row>
    <row r="488">
      <c r="A488" s="218" t="s">
        <v>9029</v>
      </c>
      <c r="B488" s="218">
        <v>528.0</v>
      </c>
      <c r="C488" s="218">
        <v>2018.0</v>
      </c>
      <c r="D488" s="218">
        <v>107702.0</v>
      </c>
      <c r="E488" s="218" t="s">
        <v>8715</v>
      </c>
      <c r="F488" s="218" t="s">
        <v>8716</v>
      </c>
      <c r="G488" s="218">
        <v>1.0</v>
      </c>
      <c r="H488" s="218" t="s">
        <v>8787</v>
      </c>
      <c r="I488" s="218">
        <v>339033.0</v>
      </c>
      <c r="J488" s="218" t="s">
        <v>8788</v>
      </c>
    </row>
    <row r="489">
      <c r="A489" s="218" t="s">
        <v>9029</v>
      </c>
      <c r="B489" s="218">
        <v>529.0</v>
      </c>
      <c r="C489" s="218">
        <v>2018.0</v>
      </c>
      <c r="D489" s="218">
        <v>107702.0</v>
      </c>
      <c r="E489" s="218" t="s">
        <v>8715</v>
      </c>
      <c r="F489" s="218" t="s">
        <v>8716</v>
      </c>
      <c r="G489" s="218">
        <v>3.0</v>
      </c>
      <c r="H489" s="218" t="s">
        <v>8789</v>
      </c>
      <c r="I489" s="218">
        <v>339039.0</v>
      </c>
      <c r="J489" s="218" t="s">
        <v>8720</v>
      </c>
    </row>
    <row r="490">
      <c r="A490" s="218" t="s">
        <v>9029</v>
      </c>
      <c r="B490" s="218">
        <v>658.0</v>
      </c>
      <c r="C490" s="218">
        <v>2018.0</v>
      </c>
      <c r="D490" s="218">
        <v>85049.0</v>
      </c>
      <c r="E490" s="218" t="s">
        <v>8790</v>
      </c>
      <c r="F490" s="218" t="s">
        <v>8791</v>
      </c>
      <c r="G490" s="218">
        <v>1.0</v>
      </c>
      <c r="H490" s="218" t="s">
        <v>8787</v>
      </c>
      <c r="I490" s="218">
        <v>339033.0</v>
      </c>
      <c r="J490" s="218" t="s">
        <v>8788</v>
      </c>
    </row>
    <row r="491">
      <c r="A491" s="218" t="s">
        <v>9029</v>
      </c>
      <c r="B491" s="218">
        <v>660.0</v>
      </c>
      <c r="C491" s="218">
        <v>2018.0</v>
      </c>
      <c r="D491" s="218">
        <v>85049.0</v>
      </c>
      <c r="E491" s="218" t="s">
        <v>8790</v>
      </c>
      <c r="F491" s="218" t="s">
        <v>8791</v>
      </c>
      <c r="G491" s="218">
        <v>3.0</v>
      </c>
      <c r="H491" s="218" t="s">
        <v>8789</v>
      </c>
      <c r="I491" s="218">
        <v>339039.0</v>
      </c>
      <c r="J491" s="218" t="s">
        <v>8720</v>
      </c>
    </row>
    <row r="492">
      <c r="A492" s="218" t="s">
        <v>9030</v>
      </c>
      <c r="B492" s="218">
        <v>413.0</v>
      </c>
      <c r="C492" s="218">
        <v>2018.0</v>
      </c>
      <c r="D492" s="218">
        <v>107702.0</v>
      </c>
      <c r="E492" s="218" t="s">
        <v>8715</v>
      </c>
      <c r="F492" s="218" t="s">
        <v>8716</v>
      </c>
      <c r="G492" s="218">
        <v>19.0</v>
      </c>
      <c r="H492" s="218" t="s">
        <v>8760</v>
      </c>
      <c r="I492" s="218">
        <v>339039.0</v>
      </c>
      <c r="J492" s="218" t="s">
        <v>8720</v>
      </c>
    </row>
    <row r="493">
      <c r="A493" s="218" t="s">
        <v>9030</v>
      </c>
      <c r="B493" s="218">
        <v>412.0</v>
      </c>
      <c r="C493" s="218">
        <v>2018.0</v>
      </c>
      <c r="D493" s="218">
        <v>107702.0</v>
      </c>
      <c r="E493" s="218" t="s">
        <v>8715</v>
      </c>
      <c r="F493" s="218" t="s">
        <v>8716</v>
      </c>
      <c r="G493" s="218">
        <v>39.0</v>
      </c>
      <c r="H493" s="218" t="s">
        <v>8759</v>
      </c>
      <c r="I493" s="218">
        <v>339030.0</v>
      </c>
      <c r="J493" s="218" t="s">
        <v>249</v>
      </c>
    </row>
    <row r="494">
      <c r="A494" s="218" t="s">
        <v>9031</v>
      </c>
      <c r="B494" s="218">
        <v>426.0</v>
      </c>
      <c r="C494" s="218">
        <v>2018.0</v>
      </c>
      <c r="D494" s="218">
        <v>85042.0</v>
      </c>
      <c r="E494" s="218" t="s">
        <v>8948</v>
      </c>
      <c r="F494" s="218" t="s">
        <v>8949</v>
      </c>
      <c r="G494" s="218">
        <v>10.0</v>
      </c>
      <c r="H494" s="218" t="s">
        <v>9032</v>
      </c>
      <c r="I494" s="218">
        <v>339030.0</v>
      </c>
      <c r="J494" s="218" t="s">
        <v>249</v>
      </c>
    </row>
    <row r="495">
      <c r="A495" s="218" t="s">
        <v>9031</v>
      </c>
      <c r="B495" s="218">
        <v>426.0</v>
      </c>
      <c r="C495" s="218">
        <v>2018.0</v>
      </c>
      <c r="D495" s="218">
        <v>85042.0</v>
      </c>
      <c r="E495" s="218" t="s">
        <v>8948</v>
      </c>
      <c r="F495" s="218" t="s">
        <v>8949</v>
      </c>
      <c r="G495" s="218">
        <v>10.0</v>
      </c>
      <c r="H495" s="218" t="s">
        <v>9032</v>
      </c>
      <c r="I495" s="218">
        <v>339030.0</v>
      </c>
      <c r="J495" s="218" t="s">
        <v>249</v>
      </c>
    </row>
    <row r="496">
      <c r="A496" s="218" t="s">
        <v>9031</v>
      </c>
      <c r="B496" s="218">
        <v>428.0</v>
      </c>
      <c r="C496" s="218">
        <v>2018.0</v>
      </c>
      <c r="D496" s="218">
        <v>85042.0</v>
      </c>
      <c r="E496" s="218" t="s">
        <v>8948</v>
      </c>
      <c r="F496" s="218" t="s">
        <v>8949</v>
      </c>
      <c r="G496" s="218">
        <v>10.0</v>
      </c>
      <c r="H496" s="218" t="s">
        <v>9032</v>
      </c>
      <c r="I496" s="218">
        <v>339030.0</v>
      </c>
      <c r="J496" s="218" t="s">
        <v>249</v>
      </c>
    </row>
    <row r="497">
      <c r="A497" s="218" t="s">
        <v>9031</v>
      </c>
      <c r="B497" s="218">
        <v>426.0</v>
      </c>
      <c r="C497" s="218">
        <v>2018.0</v>
      </c>
      <c r="D497" s="218">
        <v>85042.0</v>
      </c>
      <c r="E497" s="218" t="s">
        <v>8948</v>
      </c>
      <c r="F497" s="218" t="s">
        <v>8949</v>
      </c>
      <c r="G497" s="218">
        <v>10.0</v>
      </c>
      <c r="H497" s="218" t="s">
        <v>9032</v>
      </c>
      <c r="I497" s="218">
        <v>339030.0</v>
      </c>
      <c r="J497" s="218" t="s">
        <v>249</v>
      </c>
    </row>
    <row r="498">
      <c r="A498" s="218" t="s">
        <v>9031</v>
      </c>
      <c r="B498" s="218">
        <v>426.0</v>
      </c>
      <c r="C498" s="218">
        <v>2018.0</v>
      </c>
      <c r="D498" s="218">
        <v>85042.0</v>
      </c>
      <c r="E498" s="218" t="s">
        <v>8948</v>
      </c>
      <c r="F498" s="218" t="s">
        <v>8949</v>
      </c>
      <c r="G498" s="218">
        <v>10.0</v>
      </c>
      <c r="H498" s="218" t="s">
        <v>9032</v>
      </c>
      <c r="I498" s="218">
        <v>339030.0</v>
      </c>
      <c r="J498" s="218" t="s">
        <v>249</v>
      </c>
    </row>
    <row r="499">
      <c r="A499" s="218" t="s">
        <v>9031</v>
      </c>
      <c r="B499" s="218">
        <v>426.0</v>
      </c>
      <c r="C499" s="218">
        <v>2018.0</v>
      </c>
      <c r="D499" s="218">
        <v>85042.0</v>
      </c>
      <c r="E499" s="218" t="s">
        <v>8948</v>
      </c>
      <c r="F499" s="218" t="s">
        <v>8949</v>
      </c>
      <c r="G499" s="218">
        <v>10.0</v>
      </c>
      <c r="H499" s="218" t="s">
        <v>9032</v>
      </c>
      <c r="I499" s="218">
        <v>339030.0</v>
      </c>
      <c r="J499" s="218" t="s">
        <v>249</v>
      </c>
    </row>
    <row r="500">
      <c r="A500" s="218" t="s">
        <v>9031</v>
      </c>
      <c r="B500" s="218">
        <v>426.0</v>
      </c>
      <c r="C500" s="218">
        <v>2018.0</v>
      </c>
      <c r="D500" s="218">
        <v>85042.0</v>
      </c>
      <c r="E500" s="218" t="s">
        <v>8948</v>
      </c>
      <c r="F500" s="218" t="s">
        <v>8949</v>
      </c>
      <c r="G500" s="218">
        <v>10.0</v>
      </c>
      <c r="H500" s="218" t="s">
        <v>9032</v>
      </c>
      <c r="I500" s="218">
        <v>339030.0</v>
      </c>
      <c r="J500" s="218" t="s">
        <v>249</v>
      </c>
    </row>
    <row r="501">
      <c r="A501" s="218" t="s">
        <v>9031</v>
      </c>
      <c r="B501" s="218">
        <v>426.0</v>
      </c>
      <c r="C501" s="218">
        <v>2018.0</v>
      </c>
      <c r="D501" s="218">
        <v>85042.0</v>
      </c>
      <c r="E501" s="218" t="s">
        <v>8948</v>
      </c>
      <c r="F501" s="218" t="s">
        <v>8949</v>
      </c>
      <c r="G501" s="218">
        <v>10.0</v>
      </c>
      <c r="H501" s="218" t="s">
        <v>9032</v>
      </c>
      <c r="I501" s="218">
        <v>339030.0</v>
      </c>
      <c r="J501" s="218" t="s">
        <v>249</v>
      </c>
    </row>
    <row r="502">
      <c r="A502" s="218" t="s">
        <v>9031</v>
      </c>
      <c r="B502" s="218">
        <v>426.0</v>
      </c>
      <c r="C502" s="218">
        <v>2018.0</v>
      </c>
      <c r="D502" s="218">
        <v>85042.0</v>
      </c>
      <c r="E502" s="218" t="s">
        <v>8948</v>
      </c>
      <c r="F502" s="218" t="s">
        <v>8949</v>
      </c>
      <c r="G502" s="218">
        <v>10.0</v>
      </c>
      <c r="H502" s="218" t="s">
        <v>9032</v>
      </c>
      <c r="I502" s="218">
        <v>339030.0</v>
      </c>
      <c r="J502" s="218" t="s">
        <v>249</v>
      </c>
    </row>
    <row r="503">
      <c r="A503" s="218" t="s">
        <v>9031</v>
      </c>
      <c r="B503" s="218">
        <v>426.0</v>
      </c>
      <c r="C503" s="218">
        <v>2018.0</v>
      </c>
      <c r="D503" s="218">
        <v>85042.0</v>
      </c>
      <c r="E503" s="218" t="s">
        <v>8948</v>
      </c>
      <c r="F503" s="218" t="s">
        <v>8949</v>
      </c>
      <c r="G503" s="218">
        <v>10.0</v>
      </c>
      <c r="H503" s="218" t="s">
        <v>9032</v>
      </c>
      <c r="I503" s="218">
        <v>339030.0</v>
      </c>
      <c r="J503" s="218" t="s">
        <v>249</v>
      </c>
    </row>
    <row r="504">
      <c r="A504" s="218" t="s">
        <v>9031</v>
      </c>
      <c r="B504" s="218">
        <v>427.0</v>
      </c>
      <c r="C504" s="218">
        <v>2018.0</v>
      </c>
      <c r="D504" s="218">
        <v>85042.0</v>
      </c>
      <c r="E504" s="218" t="s">
        <v>8948</v>
      </c>
      <c r="F504" s="218" t="s">
        <v>8949</v>
      </c>
      <c r="G504" s="218">
        <v>10.0</v>
      </c>
      <c r="H504" s="218" t="s">
        <v>9032</v>
      </c>
      <c r="I504" s="218">
        <v>339030.0</v>
      </c>
      <c r="J504" s="218" t="s">
        <v>249</v>
      </c>
    </row>
    <row r="505">
      <c r="A505" s="218" t="s">
        <v>9031</v>
      </c>
      <c r="B505" s="218">
        <v>427.0</v>
      </c>
      <c r="C505" s="218">
        <v>2018.0</v>
      </c>
      <c r="D505" s="218">
        <v>85042.0</v>
      </c>
      <c r="E505" s="218" t="s">
        <v>8948</v>
      </c>
      <c r="F505" s="218" t="s">
        <v>8949</v>
      </c>
      <c r="G505" s="218">
        <v>10.0</v>
      </c>
      <c r="H505" s="218" t="s">
        <v>9032</v>
      </c>
      <c r="I505" s="218">
        <v>339030.0</v>
      </c>
      <c r="J505" s="218" t="s">
        <v>249</v>
      </c>
    </row>
    <row r="506">
      <c r="A506" s="218" t="s">
        <v>9031</v>
      </c>
      <c r="B506" s="218">
        <v>427.0</v>
      </c>
      <c r="C506" s="218">
        <v>2018.0</v>
      </c>
      <c r="D506" s="218">
        <v>85042.0</v>
      </c>
      <c r="E506" s="218" t="s">
        <v>8948</v>
      </c>
      <c r="F506" s="218" t="s">
        <v>8949</v>
      </c>
      <c r="G506" s="218">
        <v>10.0</v>
      </c>
      <c r="H506" s="218" t="s">
        <v>9032</v>
      </c>
      <c r="I506" s="218">
        <v>339030.0</v>
      </c>
      <c r="J506" s="218" t="s">
        <v>249</v>
      </c>
    </row>
    <row r="507">
      <c r="A507" s="218" t="s">
        <v>9031</v>
      </c>
      <c r="B507" s="218">
        <v>428.0</v>
      </c>
      <c r="C507" s="218">
        <v>2018.0</v>
      </c>
      <c r="D507" s="218">
        <v>85042.0</v>
      </c>
      <c r="E507" s="218" t="s">
        <v>8948</v>
      </c>
      <c r="F507" s="218" t="s">
        <v>8949</v>
      </c>
      <c r="G507" s="218">
        <v>10.0</v>
      </c>
      <c r="H507" s="218" t="s">
        <v>9032</v>
      </c>
      <c r="I507" s="218">
        <v>339030.0</v>
      </c>
      <c r="J507" s="218" t="s">
        <v>249</v>
      </c>
    </row>
    <row r="508">
      <c r="A508" s="218" t="s">
        <v>9033</v>
      </c>
      <c r="B508" s="218">
        <v>418.0</v>
      </c>
      <c r="C508" s="218">
        <v>2018.0</v>
      </c>
      <c r="D508" s="218">
        <v>107702.0</v>
      </c>
      <c r="E508" s="218" t="s">
        <v>8715</v>
      </c>
      <c r="F508" s="218" t="s">
        <v>8716</v>
      </c>
      <c r="G508" s="218">
        <v>23.0</v>
      </c>
      <c r="H508" s="218" t="s">
        <v>8869</v>
      </c>
      <c r="I508" s="218">
        <v>339040.0</v>
      </c>
      <c r="J508" s="218" t="s">
        <v>136</v>
      </c>
    </row>
    <row r="509">
      <c r="A509" s="218" t="s">
        <v>9034</v>
      </c>
      <c r="B509" s="218">
        <v>420.0</v>
      </c>
      <c r="C509" s="218">
        <v>2018.0</v>
      </c>
      <c r="D509" s="218">
        <v>107702.0</v>
      </c>
      <c r="E509" s="218" t="s">
        <v>8715</v>
      </c>
      <c r="F509" s="218" t="s">
        <v>8716</v>
      </c>
      <c r="G509" s="218">
        <v>69.0</v>
      </c>
      <c r="H509" s="218" t="s">
        <v>8874</v>
      </c>
      <c r="I509" s="218">
        <v>339039.0</v>
      </c>
      <c r="J509" s="218" t="s">
        <v>8720</v>
      </c>
    </row>
    <row r="510">
      <c r="A510" s="218" t="s">
        <v>9035</v>
      </c>
      <c r="B510" s="218">
        <v>430.0</v>
      </c>
      <c r="C510" s="218">
        <v>2018.0</v>
      </c>
      <c r="D510" s="218">
        <v>107702.0</v>
      </c>
      <c r="E510" s="218" t="s">
        <v>8715</v>
      </c>
      <c r="F510" s="218" t="s">
        <v>8716</v>
      </c>
      <c r="G510" s="218">
        <v>10.0</v>
      </c>
      <c r="H510" s="218" t="s">
        <v>8726</v>
      </c>
      <c r="I510" s="218">
        <v>339047.0</v>
      </c>
      <c r="J510" s="218" t="s">
        <v>8718</v>
      </c>
    </row>
    <row r="511">
      <c r="A511" s="218" t="s">
        <v>9036</v>
      </c>
      <c r="B511" s="218">
        <v>511.0</v>
      </c>
      <c r="C511" s="218">
        <v>2018.0</v>
      </c>
      <c r="D511" s="218">
        <v>107702.0</v>
      </c>
      <c r="E511" s="218" t="s">
        <v>8715</v>
      </c>
      <c r="F511" s="218" t="s">
        <v>8716</v>
      </c>
      <c r="G511" s="218">
        <v>69.0</v>
      </c>
      <c r="H511" s="218" t="s">
        <v>8874</v>
      </c>
      <c r="I511" s="218">
        <v>339039.0</v>
      </c>
      <c r="J511" s="218" t="s">
        <v>8720</v>
      </c>
    </row>
    <row r="512">
      <c r="A512" s="218" t="s">
        <v>9037</v>
      </c>
      <c r="B512" s="218">
        <v>431.0</v>
      </c>
      <c r="C512" s="218">
        <v>2018.0</v>
      </c>
      <c r="D512" s="218">
        <v>107703.0</v>
      </c>
      <c r="E512" s="218" t="s">
        <v>8999</v>
      </c>
      <c r="F512" s="218" t="s">
        <v>9000</v>
      </c>
      <c r="G512" s="218">
        <v>44.0</v>
      </c>
      <c r="H512" s="218" t="s">
        <v>8934</v>
      </c>
      <c r="I512" s="218">
        <v>339030.0</v>
      </c>
      <c r="J512" s="218" t="s">
        <v>249</v>
      </c>
    </row>
    <row r="513">
      <c r="A513" s="218" t="s">
        <v>9037</v>
      </c>
      <c r="B513" s="218">
        <v>432.0</v>
      </c>
      <c r="C513" s="218">
        <v>2018.0</v>
      </c>
      <c r="D513" s="218">
        <v>107703.0</v>
      </c>
      <c r="E513" s="218" t="s">
        <v>8999</v>
      </c>
      <c r="F513" s="218" t="s">
        <v>9000</v>
      </c>
      <c r="G513" s="218">
        <v>44.0</v>
      </c>
      <c r="H513" s="218" t="s">
        <v>8934</v>
      </c>
      <c r="I513" s="218">
        <v>339030.0</v>
      </c>
      <c r="J513" s="218" t="s">
        <v>249</v>
      </c>
    </row>
    <row r="514">
      <c r="A514" s="218" t="s">
        <v>9037</v>
      </c>
      <c r="B514" s="218">
        <v>432.0</v>
      </c>
      <c r="C514" s="218">
        <v>2018.0</v>
      </c>
      <c r="D514" s="218">
        <v>107703.0</v>
      </c>
      <c r="E514" s="218" t="s">
        <v>8999</v>
      </c>
      <c r="F514" s="218" t="s">
        <v>9000</v>
      </c>
      <c r="G514" s="218">
        <v>44.0</v>
      </c>
      <c r="H514" s="218" t="s">
        <v>8934</v>
      </c>
      <c r="I514" s="218">
        <v>339030.0</v>
      </c>
      <c r="J514" s="218" t="s">
        <v>249</v>
      </c>
    </row>
    <row r="515">
      <c r="A515" s="218" t="s">
        <v>9037</v>
      </c>
      <c r="B515" s="218">
        <v>432.0</v>
      </c>
      <c r="C515" s="218">
        <v>2018.0</v>
      </c>
      <c r="D515" s="218">
        <v>107703.0</v>
      </c>
      <c r="E515" s="218" t="s">
        <v>8999</v>
      </c>
      <c r="F515" s="218" t="s">
        <v>9000</v>
      </c>
      <c r="G515" s="218">
        <v>44.0</v>
      </c>
      <c r="H515" s="218" t="s">
        <v>8934</v>
      </c>
      <c r="I515" s="218">
        <v>339030.0</v>
      </c>
      <c r="J515" s="218" t="s">
        <v>249</v>
      </c>
    </row>
    <row r="516">
      <c r="A516" s="218" t="s">
        <v>9037</v>
      </c>
      <c r="B516" s="218">
        <v>431.0</v>
      </c>
      <c r="C516" s="218">
        <v>2018.0</v>
      </c>
      <c r="D516" s="218">
        <v>107703.0</v>
      </c>
      <c r="E516" s="218" t="s">
        <v>8999</v>
      </c>
      <c r="F516" s="218" t="s">
        <v>9000</v>
      </c>
      <c r="G516" s="218">
        <v>44.0</v>
      </c>
      <c r="H516" s="218" t="s">
        <v>8934</v>
      </c>
      <c r="I516" s="218">
        <v>339030.0</v>
      </c>
      <c r="J516" s="218" t="s">
        <v>249</v>
      </c>
    </row>
    <row r="517">
      <c r="A517" s="218" t="s">
        <v>9037</v>
      </c>
      <c r="B517" s="218">
        <v>432.0</v>
      </c>
      <c r="C517" s="218">
        <v>2018.0</v>
      </c>
      <c r="D517" s="218">
        <v>107703.0</v>
      </c>
      <c r="E517" s="218" t="s">
        <v>8999</v>
      </c>
      <c r="F517" s="218" t="s">
        <v>9000</v>
      </c>
      <c r="G517" s="218">
        <v>44.0</v>
      </c>
      <c r="H517" s="218" t="s">
        <v>8934</v>
      </c>
      <c r="I517" s="218">
        <v>339030.0</v>
      </c>
      <c r="J517" s="218" t="s">
        <v>249</v>
      </c>
    </row>
    <row r="518">
      <c r="A518" s="218" t="s">
        <v>9038</v>
      </c>
      <c r="B518" s="218">
        <v>458.0</v>
      </c>
      <c r="C518" s="218">
        <v>2018.0</v>
      </c>
      <c r="D518" s="218">
        <v>643.0</v>
      </c>
      <c r="E518" s="432">
        <v>2.06105714256E15</v>
      </c>
      <c r="F518" s="218" t="s">
        <v>8979</v>
      </c>
      <c r="G518" s="218">
        <v>78.0</v>
      </c>
      <c r="H518" s="218" t="s">
        <v>8748</v>
      </c>
      <c r="I518" s="218">
        <v>339039.0</v>
      </c>
      <c r="J518" s="218" t="s">
        <v>8720</v>
      </c>
    </row>
    <row r="519">
      <c r="A519" s="218" t="s">
        <v>9039</v>
      </c>
      <c r="B519" s="218">
        <v>473.0</v>
      </c>
      <c r="C519" s="218">
        <v>2018.0</v>
      </c>
      <c r="D519" s="218">
        <v>107702.0</v>
      </c>
      <c r="E519" s="218" t="s">
        <v>8715</v>
      </c>
      <c r="F519" s="218" t="s">
        <v>8716</v>
      </c>
      <c r="G519" s="218">
        <v>16.0</v>
      </c>
      <c r="H519" s="218" t="s">
        <v>8775</v>
      </c>
      <c r="I519" s="218">
        <v>339039.0</v>
      </c>
      <c r="J519" s="218" t="s">
        <v>8720</v>
      </c>
    </row>
    <row r="520">
      <c r="A520" s="218" t="s">
        <v>9039</v>
      </c>
      <c r="B520" s="218">
        <v>473.0</v>
      </c>
      <c r="C520" s="218">
        <v>2018.0</v>
      </c>
      <c r="D520" s="218">
        <v>107702.0</v>
      </c>
      <c r="E520" s="218" t="s">
        <v>8715</v>
      </c>
      <c r="F520" s="218" t="s">
        <v>8716</v>
      </c>
      <c r="G520" s="218">
        <v>16.0</v>
      </c>
      <c r="H520" s="218" t="s">
        <v>8775</v>
      </c>
      <c r="I520" s="218">
        <v>339039.0</v>
      </c>
      <c r="J520" s="218" t="s">
        <v>8720</v>
      </c>
    </row>
    <row r="521">
      <c r="A521" s="218" t="s">
        <v>9040</v>
      </c>
      <c r="B521" s="218">
        <v>538.0</v>
      </c>
      <c r="C521" s="218">
        <v>2018.0</v>
      </c>
      <c r="D521" s="218">
        <v>85048.0</v>
      </c>
      <c r="E521" s="218" t="s">
        <v>8968</v>
      </c>
      <c r="F521" s="218" t="s">
        <v>8969</v>
      </c>
      <c r="G521" s="218">
        <v>48.0</v>
      </c>
      <c r="H521" s="218" t="s">
        <v>8970</v>
      </c>
      <c r="I521" s="218">
        <v>339039.0</v>
      </c>
      <c r="J521" s="218" t="s">
        <v>8720</v>
      </c>
    </row>
    <row r="522">
      <c r="A522" s="218" t="s">
        <v>9040</v>
      </c>
      <c r="B522" s="218">
        <v>467.0</v>
      </c>
      <c r="C522" s="218">
        <v>2018.0</v>
      </c>
      <c r="D522" s="218">
        <v>85048.0</v>
      </c>
      <c r="E522" s="218" t="s">
        <v>8968</v>
      </c>
      <c r="F522" s="218" t="s">
        <v>8969</v>
      </c>
      <c r="G522" s="218">
        <v>48.0</v>
      </c>
      <c r="H522" s="218" t="s">
        <v>8970</v>
      </c>
      <c r="I522" s="218">
        <v>339039.0</v>
      </c>
      <c r="J522" s="218" t="s">
        <v>8720</v>
      </c>
    </row>
    <row r="523">
      <c r="A523" s="218" t="s">
        <v>9041</v>
      </c>
      <c r="B523" s="218">
        <v>474.0</v>
      </c>
      <c r="C523" s="218">
        <v>2018.0</v>
      </c>
      <c r="D523" s="218">
        <v>643.0</v>
      </c>
      <c r="E523" s="432">
        <v>2.06105714256E15</v>
      </c>
      <c r="F523" s="218" t="s">
        <v>8979</v>
      </c>
      <c r="G523" s="218">
        <v>78.0</v>
      </c>
      <c r="H523" s="218" t="s">
        <v>8748</v>
      </c>
      <c r="I523" s="218">
        <v>339039.0</v>
      </c>
      <c r="J523" s="218" t="s">
        <v>8720</v>
      </c>
    </row>
    <row r="524">
      <c r="A524" s="218" t="s">
        <v>9042</v>
      </c>
      <c r="B524" s="218">
        <v>471.0</v>
      </c>
      <c r="C524" s="218">
        <v>2018.0</v>
      </c>
      <c r="D524" s="218">
        <v>107702.0</v>
      </c>
      <c r="E524" s="218" t="s">
        <v>8715</v>
      </c>
      <c r="F524" s="218" t="s">
        <v>8716</v>
      </c>
      <c r="G524" s="218">
        <v>10.0</v>
      </c>
      <c r="H524" s="218" t="s">
        <v>8726</v>
      </c>
      <c r="I524" s="218">
        <v>339047.0</v>
      </c>
      <c r="J524" s="218" t="s">
        <v>8718</v>
      </c>
    </row>
    <row r="525">
      <c r="A525" s="218" t="s">
        <v>9043</v>
      </c>
      <c r="B525" s="218">
        <v>522.0</v>
      </c>
      <c r="C525" s="218">
        <v>2018.0</v>
      </c>
      <c r="D525" s="218">
        <v>107702.0</v>
      </c>
      <c r="E525" s="218" t="s">
        <v>8715</v>
      </c>
      <c r="F525" s="218" t="s">
        <v>8716</v>
      </c>
      <c r="G525" s="218">
        <v>32.0</v>
      </c>
      <c r="H525" s="218" t="s">
        <v>9044</v>
      </c>
      <c r="I525" s="218">
        <v>449052.0</v>
      </c>
      <c r="J525" s="218" t="s">
        <v>362</v>
      </c>
    </row>
    <row r="526">
      <c r="A526" s="218" t="s">
        <v>9043</v>
      </c>
      <c r="B526" s="218">
        <v>522.0</v>
      </c>
      <c r="C526" s="218">
        <v>2018.0</v>
      </c>
      <c r="D526" s="218">
        <v>107702.0</v>
      </c>
      <c r="E526" s="218" t="s">
        <v>8715</v>
      </c>
      <c r="F526" s="218" t="s">
        <v>8716</v>
      </c>
      <c r="G526" s="218">
        <v>32.0</v>
      </c>
      <c r="H526" s="218" t="s">
        <v>9044</v>
      </c>
      <c r="I526" s="218">
        <v>449052.0</v>
      </c>
      <c r="J526" s="218" t="s">
        <v>362</v>
      </c>
    </row>
    <row r="527">
      <c r="A527" s="218" t="s">
        <v>9045</v>
      </c>
      <c r="B527" s="218">
        <v>520.0</v>
      </c>
      <c r="C527" s="218">
        <v>2018.0</v>
      </c>
      <c r="D527" s="218">
        <v>107702.0</v>
      </c>
      <c r="E527" s="218" t="s">
        <v>8715</v>
      </c>
      <c r="F527" s="218" t="s">
        <v>8716</v>
      </c>
      <c r="G527" s="218">
        <v>64.0</v>
      </c>
      <c r="H527" s="218" t="s">
        <v>9046</v>
      </c>
      <c r="I527" s="218">
        <v>339039.0</v>
      </c>
      <c r="J527" s="218" t="s">
        <v>8720</v>
      </c>
    </row>
    <row r="528">
      <c r="A528" s="218" t="s">
        <v>9047</v>
      </c>
      <c r="B528" s="218">
        <v>488.0</v>
      </c>
      <c r="C528" s="218">
        <v>2018.0</v>
      </c>
      <c r="D528" s="218">
        <v>107703.0</v>
      </c>
      <c r="E528" s="218" t="s">
        <v>8999</v>
      </c>
      <c r="F528" s="218" t="s">
        <v>9000</v>
      </c>
      <c r="G528" s="218">
        <v>44.0</v>
      </c>
      <c r="H528" s="218" t="s">
        <v>8934</v>
      </c>
      <c r="I528" s="218">
        <v>339030.0</v>
      </c>
      <c r="J528" s="218" t="s">
        <v>249</v>
      </c>
    </row>
    <row r="529">
      <c r="A529" s="218" t="s">
        <v>9047</v>
      </c>
      <c r="B529" s="218">
        <v>488.0</v>
      </c>
      <c r="C529" s="218">
        <v>2018.0</v>
      </c>
      <c r="D529" s="218">
        <v>107703.0</v>
      </c>
      <c r="E529" s="218" t="s">
        <v>8999</v>
      </c>
      <c r="F529" s="218" t="s">
        <v>9000</v>
      </c>
      <c r="G529" s="218">
        <v>44.0</v>
      </c>
      <c r="H529" s="218" t="s">
        <v>8934</v>
      </c>
      <c r="I529" s="218">
        <v>339030.0</v>
      </c>
      <c r="J529" s="218" t="s">
        <v>249</v>
      </c>
    </row>
    <row r="530">
      <c r="A530" s="218" t="s">
        <v>9047</v>
      </c>
      <c r="B530" s="218">
        <v>488.0</v>
      </c>
      <c r="C530" s="218">
        <v>2018.0</v>
      </c>
      <c r="D530" s="218">
        <v>107703.0</v>
      </c>
      <c r="E530" s="218" t="s">
        <v>8999</v>
      </c>
      <c r="F530" s="218" t="s">
        <v>9000</v>
      </c>
      <c r="G530" s="218">
        <v>44.0</v>
      </c>
      <c r="H530" s="218" t="s">
        <v>8934</v>
      </c>
      <c r="I530" s="218">
        <v>339030.0</v>
      </c>
      <c r="J530" s="218" t="s">
        <v>249</v>
      </c>
    </row>
    <row r="531">
      <c r="A531" s="218" t="s">
        <v>9047</v>
      </c>
      <c r="B531" s="218">
        <v>488.0</v>
      </c>
      <c r="C531" s="218">
        <v>2018.0</v>
      </c>
      <c r="D531" s="218">
        <v>107703.0</v>
      </c>
      <c r="E531" s="218" t="s">
        <v>8999</v>
      </c>
      <c r="F531" s="218" t="s">
        <v>9000</v>
      </c>
      <c r="G531" s="218">
        <v>44.0</v>
      </c>
      <c r="H531" s="218" t="s">
        <v>8934</v>
      </c>
      <c r="I531" s="218">
        <v>339030.0</v>
      </c>
      <c r="J531" s="218" t="s">
        <v>249</v>
      </c>
    </row>
    <row r="532">
      <c r="A532" s="218" t="s">
        <v>9047</v>
      </c>
      <c r="B532" s="218">
        <v>488.0</v>
      </c>
      <c r="C532" s="218">
        <v>2018.0</v>
      </c>
      <c r="D532" s="218">
        <v>107703.0</v>
      </c>
      <c r="E532" s="218" t="s">
        <v>8999</v>
      </c>
      <c r="F532" s="218" t="s">
        <v>9000</v>
      </c>
      <c r="G532" s="218">
        <v>44.0</v>
      </c>
      <c r="H532" s="218" t="s">
        <v>8934</v>
      </c>
      <c r="I532" s="218">
        <v>339030.0</v>
      </c>
      <c r="J532" s="218" t="s">
        <v>249</v>
      </c>
    </row>
    <row r="533">
      <c r="A533" s="218" t="s">
        <v>9047</v>
      </c>
      <c r="B533" s="218">
        <v>488.0</v>
      </c>
      <c r="C533" s="218">
        <v>2018.0</v>
      </c>
      <c r="D533" s="218">
        <v>107703.0</v>
      </c>
      <c r="E533" s="218" t="s">
        <v>8999</v>
      </c>
      <c r="F533" s="218" t="s">
        <v>9000</v>
      </c>
      <c r="G533" s="218">
        <v>44.0</v>
      </c>
      <c r="H533" s="218" t="s">
        <v>8934</v>
      </c>
      <c r="I533" s="218">
        <v>339030.0</v>
      </c>
      <c r="J533" s="218" t="s">
        <v>249</v>
      </c>
    </row>
    <row r="534">
      <c r="A534" s="218" t="s">
        <v>9048</v>
      </c>
      <c r="B534" s="218">
        <v>492.0</v>
      </c>
      <c r="C534" s="218">
        <v>2018.0</v>
      </c>
      <c r="D534" s="218">
        <v>107702.0</v>
      </c>
      <c r="E534" s="218" t="s">
        <v>8715</v>
      </c>
      <c r="F534" s="218" t="s">
        <v>8716</v>
      </c>
      <c r="G534" s="218">
        <v>5.0</v>
      </c>
      <c r="H534" s="218" t="s">
        <v>8859</v>
      </c>
      <c r="I534" s="218">
        <v>339039.0</v>
      </c>
      <c r="J534" s="218" t="s">
        <v>8720</v>
      </c>
    </row>
    <row r="535">
      <c r="A535" s="218" t="s">
        <v>9048</v>
      </c>
      <c r="B535" s="218">
        <v>492.0</v>
      </c>
      <c r="C535" s="218">
        <v>2018.0</v>
      </c>
      <c r="D535" s="218">
        <v>107702.0</v>
      </c>
      <c r="E535" s="218" t="s">
        <v>8715</v>
      </c>
      <c r="F535" s="218" t="s">
        <v>8716</v>
      </c>
      <c r="G535" s="218">
        <v>5.0</v>
      </c>
      <c r="H535" s="218" t="s">
        <v>8859</v>
      </c>
      <c r="I535" s="218">
        <v>339039.0</v>
      </c>
      <c r="J535" s="218" t="s">
        <v>8720</v>
      </c>
    </row>
    <row r="536">
      <c r="A536" s="218" t="s">
        <v>9048</v>
      </c>
      <c r="B536" s="218">
        <v>491.0</v>
      </c>
      <c r="C536" s="218">
        <v>2018.0</v>
      </c>
      <c r="D536" s="218">
        <v>107702.0</v>
      </c>
      <c r="E536" s="218" t="s">
        <v>8715</v>
      </c>
      <c r="F536" s="218" t="s">
        <v>8716</v>
      </c>
      <c r="G536" s="218">
        <v>5.0</v>
      </c>
      <c r="H536" s="218" t="s">
        <v>8859</v>
      </c>
      <c r="I536" s="218">
        <v>339039.0</v>
      </c>
      <c r="J536" s="218" t="s">
        <v>8720</v>
      </c>
    </row>
    <row r="537">
      <c r="A537" s="218" t="s">
        <v>9048</v>
      </c>
      <c r="B537" s="218">
        <v>491.0</v>
      </c>
      <c r="C537" s="218">
        <v>2018.0</v>
      </c>
      <c r="D537" s="218">
        <v>107702.0</v>
      </c>
      <c r="E537" s="218" t="s">
        <v>8715</v>
      </c>
      <c r="F537" s="218" t="s">
        <v>8716</v>
      </c>
      <c r="G537" s="218">
        <v>5.0</v>
      </c>
      <c r="H537" s="218" t="s">
        <v>8859</v>
      </c>
      <c r="I537" s="218">
        <v>339039.0</v>
      </c>
      <c r="J537" s="218" t="s">
        <v>8720</v>
      </c>
    </row>
    <row r="538">
      <c r="A538" s="218" t="s">
        <v>9048</v>
      </c>
      <c r="B538" s="218">
        <v>491.0</v>
      </c>
      <c r="C538" s="218">
        <v>2018.0</v>
      </c>
      <c r="D538" s="218">
        <v>107702.0</v>
      </c>
      <c r="E538" s="218" t="s">
        <v>8715</v>
      </c>
      <c r="F538" s="218" t="s">
        <v>8716</v>
      </c>
      <c r="G538" s="218">
        <v>5.0</v>
      </c>
      <c r="H538" s="218" t="s">
        <v>8859</v>
      </c>
      <c r="I538" s="218">
        <v>339039.0</v>
      </c>
      <c r="J538" s="218" t="s">
        <v>8720</v>
      </c>
    </row>
    <row r="539">
      <c r="A539" s="218" t="s">
        <v>9048</v>
      </c>
      <c r="B539" s="218">
        <v>492.0</v>
      </c>
      <c r="C539" s="218">
        <v>2018.0</v>
      </c>
      <c r="D539" s="218">
        <v>107702.0</v>
      </c>
      <c r="E539" s="218" t="s">
        <v>8715</v>
      </c>
      <c r="F539" s="218" t="s">
        <v>8716</v>
      </c>
      <c r="G539" s="218">
        <v>5.0</v>
      </c>
      <c r="H539" s="218" t="s">
        <v>8859</v>
      </c>
      <c r="I539" s="218">
        <v>339039.0</v>
      </c>
      <c r="J539" s="218" t="s">
        <v>8720</v>
      </c>
    </row>
    <row r="540">
      <c r="A540" s="218" t="s">
        <v>9049</v>
      </c>
      <c r="B540" s="218">
        <v>631.0</v>
      </c>
      <c r="C540" s="218">
        <v>2018.0</v>
      </c>
      <c r="D540" s="218">
        <v>85042.0</v>
      </c>
      <c r="E540" s="218" t="s">
        <v>8948</v>
      </c>
      <c r="F540" s="218" t="s">
        <v>8949</v>
      </c>
      <c r="G540" s="218">
        <v>22.0</v>
      </c>
      <c r="H540" s="218" t="s">
        <v>8895</v>
      </c>
      <c r="I540" s="218">
        <v>339030.0</v>
      </c>
      <c r="J540" s="218" t="s">
        <v>249</v>
      </c>
    </row>
    <row r="541">
      <c r="A541" s="218" t="s">
        <v>9049</v>
      </c>
      <c r="B541" s="218">
        <v>631.0</v>
      </c>
      <c r="C541" s="218">
        <v>2018.0</v>
      </c>
      <c r="D541" s="218">
        <v>85042.0</v>
      </c>
      <c r="E541" s="218" t="s">
        <v>8948</v>
      </c>
      <c r="F541" s="218" t="s">
        <v>8949</v>
      </c>
      <c r="G541" s="218">
        <v>22.0</v>
      </c>
      <c r="H541" s="218" t="s">
        <v>8895</v>
      </c>
      <c r="I541" s="218">
        <v>339030.0</v>
      </c>
      <c r="J541" s="218" t="s">
        <v>249</v>
      </c>
    </row>
    <row r="542">
      <c r="A542" s="218" t="s">
        <v>9049</v>
      </c>
      <c r="B542" s="218">
        <v>631.0</v>
      </c>
      <c r="C542" s="218">
        <v>2018.0</v>
      </c>
      <c r="D542" s="218">
        <v>85042.0</v>
      </c>
      <c r="E542" s="218" t="s">
        <v>8948</v>
      </c>
      <c r="F542" s="218" t="s">
        <v>8949</v>
      </c>
      <c r="G542" s="218">
        <v>22.0</v>
      </c>
      <c r="H542" s="218" t="s">
        <v>8895</v>
      </c>
      <c r="I542" s="218">
        <v>339030.0</v>
      </c>
      <c r="J542" s="218" t="s">
        <v>249</v>
      </c>
    </row>
    <row r="543">
      <c r="A543" s="218" t="s">
        <v>9049</v>
      </c>
      <c r="B543" s="218">
        <v>631.0</v>
      </c>
      <c r="C543" s="218">
        <v>2018.0</v>
      </c>
      <c r="D543" s="218">
        <v>85042.0</v>
      </c>
      <c r="E543" s="218" t="s">
        <v>8948</v>
      </c>
      <c r="F543" s="218" t="s">
        <v>8949</v>
      </c>
      <c r="G543" s="218">
        <v>36.0</v>
      </c>
      <c r="H543" s="218" t="s">
        <v>9050</v>
      </c>
      <c r="I543" s="218">
        <v>339030.0</v>
      </c>
      <c r="J543" s="218" t="s">
        <v>249</v>
      </c>
    </row>
    <row r="544">
      <c r="A544" s="218" t="s">
        <v>9049</v>
      </c>
      <c r="B544" s="218">
        <v>631.0</v>
      </c>
      <c r="C544" s="218">
        <v>2018.0</v>
      </c>
      <c r="D544" s="218">
        <v>85042.0</v>
      </c>
      <c r="E544" s="218" t="s">
        <v>8948</v>
      </c>
      <c r="F544" s="218" t="s">
        <v>8949</v>
      </c>
      <c r="G544" s="218">
        <v>36.0</v>
      </c>
      <c r="H544" s="218" t="s">
        <v>9050</v>
      </c>
      <c r="I544" s="218">
        <v>339030.0</v>
      </c>
      <c r="J544" s="218" t="s">
        <v>249</v>
      </c>
    </row>
    <row r="545">
      <c r="A545" s="218" t="s">
        <v>9049</v>
      </c>
      <c r="B545" s="218">
        <v>631.0</v>
      </c>
      <c r="C545" s="218">
        <v>2018.0</v>
      </c>
      <c r="D545" s="218">
        <v>85042.0</v>
      </c>
      <c r="E545" s="218" t="s">
        <v>8948</v>
      </c>
      <c r="F545" s="218" t="s">
        <v>8949</v>
      </c>
      <c r="G545" s="218">
        <v>36.0</v>
      </c>
      <c r="H545" s="218" t="s">
        <v>9050</v>
      </c>
      <c r="I545" s="218">
        <v>339030.0</v>
      </c>
      <c r="J545" s="218" t="s">
        <v>249</v>
      </c>
    </row>
    <row r="546">
      <c r="A546" s="218" t="s">
        <v>9049</v>
      </c>
      <c r="B546" s="218">
        <v>631.0</v>
      </c>
      <c r="C546" s="218">
        <v>2018.0</v>
      </c>
      <c r="D546" s="218">
        <v>85042.0</v>
      </c>
      <c r="E546" s="218" t="s">
        <v>8948</v>
      </c>
      <c r="F546" s="218" t="s">
        <v>8949</v>
      </c>
      <c r="G546" s="218">
        <v>36.0</v>
      </c>
      <c r="H546" s="218" t="s">
        <v>9050</v>
      </c>
      <c r="I546" s="218">
        <v>339030.0</v>
      </c>
      <c r="J546" s="218" t="s">
        <v>249</v>
      </c>
    </row>
    <row r="547">
      <c r="A547" s="218" t="s">
        <v>9049</v>
      </c>
      <c r="B547" s="218">
        <v>631.0</v>
      </c>
      <c r="C547" s="218">
        <v>2018.0</v>
      </c>
      <c r="D547" s="218">
        <v>85042.0</v>
      </c>
      <c r="E547" s="218" t="s">
        <v>8948</v>
      </c>
      <c r="F547" s="218" t="s">
        <v>8949</v>
      </c>
      <c r="G547" s="218">
        <v>36.0</v>
      </c>
      <c r="H547" s="218" t="s">
        <v>9050</v>
      </c>
      <c r="I547" s="218">
        <v>339030.0</v>
      </c>
      <c r="J547" s="218" t="s">
        <v>249</v>
      </c>
    </row>
    <row r="548">
      <c r="A548" s="218" t="s">
        <v>9049</v>
      </c>
      <c r="B548" s="218">
        <v>627.0</v>
      </c>
      <c r="C548" s="218">
        <v>2018.0</v>
      </c>
      <c r="D548" s="218">
        <v>85042.0</v>
      </c>
      <c r="E548" s="218" t="s">
        <v>8948</v>
      </c>
      <c r="F548" s="218" t="s">
        <v>8949</v>
      </c>
      <c r="G548" s="218">
        <v>36.0</v>
      </c>
      <c r="H548" s="218" t="s">
        <v>9050</v>
      </c>
      <c r="I548" s="218">
        <v>339030.0</v>
      </c>
      <c r="J548" s="218" t="s">
        <v>249</v>
      </c>
    </row>
    <row r="549">
      <c r="A549" s="218" t="s">
        <v>9049</v>
      </c>
      <c r="B549" s="218">
        <v>627.0</v>
      </c>
      <c r="C549" s="218">
        <v>2018.0</v>
      </c>
      <c r="D549" s="218">
        <v>85042.0</v>
      </c>
      <c r="E549" s="218" t="s">
        <v>8948</v>
      </c>
      <c r="F549" s="218" t="s">
        <v>8949</v>
      </c>
      <c r="G549" s="218">
        <v>36.0</v>
      </c>
      <c r="H549" s="218" t="s">
        <v>9050</v>
      </c>
      <c r="I549" s="218">
        <v>339030.0</v>
      </c>
      <c r="J549" s="218" t="s">
        <v>249</v>
      </c>
    </row>
    <row r="550">
      <c r="A550" s="218" t="s">
        <v>9049</v>
      </c>
      <c r="B550" s="218">
        <v>627.0</v>
      </c>
      <c r="C550" s="218">
        <v>2018.0</v>
      </c>
      <c r="D550" s="218">
        <v>85042.0</v>
      </c>
      <c r="E550" s="218" t="s">
        <v>8948</v>
      </c>
      <c r="F550" s="218" t="s">
        <v>8949</v>
      </c>
      <c r="G550" s="218">
        <v>36.0</v>
      </c>
      <c r="H550" s="218" t="s">
        <v>9050</v>
      </c>
      <c r="I550" s="218">
        <v>339030.0</v>
      </c>
      <c r="J550" s="218" t="s">
        <v>249</v>
      </c>
    </row>
    <row r="551">
      <c r="A551" s="218" t="s">
        <v>9049</v>
      </c>
      <c r="B551" s="218">
        <v>627.0</v>
      </c>
      <c r="C551" s="218">
        <v>2018.0</v>
      </c>
      <c r="D551" s="218">
        <v>85042.0</v>
      </c>
      <c r="E551" s="218" t="s">
        <v>8948</v>
      </c>
      <c r="F551" s="218" t="s">
        <v>8949</v>
      </c>
      <c r="G551" s="218">
        <v>36.0</v>
      </c>
      <c r="H551" s="218" t="s">
        <v>9050</v>
      </c>
      <c r="I551" s="218">
        <v>339030.0</v>
      </c>
      <c r="J551" s="218" t="s">
        <v>249</v>
      </c>
    </row>
    <row r="552">
      <c r="A552" s="218" t="s">
        <v>9049</v>
      </c>
      <c r="B552" s="218">
        <v>627.0</v>
      </c>
      <c r="C552" s="218">
        <v>2018.0</v>
      </c>
      <c r="D552" s="218">
        <v>85042.0</v>
      </c>
      <c r="E552" s="218" t="s">
        <v>8948</v>
      </c>
      <c r="F552" s="218" t="s">
        <v>8949</v>
      </c>
      <c r="G552" s="218">
        <v>36.0</v>
      </c>
      <c r="H552" s="218" t="s">
        <v>9050</v>
      </c>
      <c r="I552" s="218">
        <v>339030.0</v>
      </c>
      <c r="J552" s="218" t="s">
        <v>249</v>
      </c>
    </row>
    <row r="553">
      <c r="A553" s="218" t="s">
        <v>9049</v>
      </c>
      <c r="B553" s="218">
        <v>627.0</v>
      </c>
      <c r="C553" s="218">
        <v>2018.0</v>
      </c>
      <c r="D553" s="218">
        <v>85042.0</v>
      </c>
      <c r="E553" s="218" t="s">
        <v>8948</v>
      </c>
      <c r="F553" s="218" t="s">
        <v>8949</v>
      </c>
      <c r="G553" s="218">
        <v>36.0</v>
      </c>
      <c r="H553" s="218" t="s">
        <v>9050</v>
      </c>
      <c r="I553" s="218">
        <v>339030.0</v>
      </c>
      <c r="J553" s="218" t="s">
        <v>249</v>
      </c>
    </row>
    <row r="554">
      <c r="A554" s="218" t="s">
        <v>9049</v>
      </c>
      <c r="B554" s="218">
        <v>627.0</v>
      </c>
      <c r="C554" s="218">
        <v>2018.0</v>
      </c>
      <c r="D554" s="218">
        <v>85042.0</v>
      </c>
      <c r="E554" s="218" t="s">
        <v>8948</v>
      </c>
      <c r="F554" s="218" t="s">
        <v>8949</v>
      </c>
      <c r="G554" s="218">
        <v>36.0</v>
      </c>
      <c r="H554" s="218" t="s">
        <v>9050</v>
      </c>
      <c r="I554" s="218">
        <v>339030.0</v>
      </c>
      <c r="J554" s="218" t="s">
        <v>249</v>
      </c>
    </row>
    <row r="555">
      <c r="A555" s="218" t="s">
        <v>9049</v>
      </c>
      <c r="B555" s="218">
        <v>627.0</v>
      </c>
      <c r="C555" s="218">
        <v>2018.0</v>
      </c>
      <c r="D555" s="218">
        <v>85042.0</v>
      </c>
      <c r="E555" s="218" t="s">
        <v>8948</v>
      </c>
      <c r="F555" s="218" t="s">
        <v>8949</v>
      </c>
      <c r="G555" s="218">
        <v>36.0</v>
      </c>
      <c r="H555" s="218" t="s">
        <v>9050</v>
      </c>
      <c r="I555" s="218">
        <v>339030.0</v>
      </c>
      <c r="J555" s="218" t="s">
        <v>249</v>
      </c>
    </row>
    <row r="556">
      <c r="A556" s="218" t="s">
        <v>9049</v>
      </c>
      <c r="B556" s="218">
        <v>627.0</v>
      </c>
      <c r="C556" s="218">
        <v>2018.0</v>
      </c>
      <c r="D556" s="218">
        <v>85042.0</v>
      </c>
      <c r="E556" s="218" t="s">
        <v>8948</v>
      </c>
      <c r="F556" s="218" t="s">
        <v>8949</v>
      </c>
      <c r="G556" s="218">
        <v>36.0</v>
      </c>
      <c r="H556" s="218" t="s">
        <v>9050</v>
      </c>
      <c r="I556" s="218">
        <v>339030.0</v>
      </c>
      <c r="J556" s="218" t="s">
        <v>249</v>
      </c>
    </row>
    <row r="557">
      <c r="A557" s="218" t="s">
        <v>9049</v>
      </c>
      <c r="B557" s="218">
        <v>628.0</v>
      </c>
      <c r="C557" s="218">
        <v>2018.0</v>
      </c>
      <c r="D557" s="218">
        <v>85042.0</v>
      </c>
      <c r="E557" s="218" t="s">
        <v>8948</v>
      </c>
      <c r="F557" s="218" t="s">
        <v>8949</v>
      </c>
      <c r="G557" s="218">
        <v>36.0</v>
      </c>
      <c r="H557" s="218" t="s">
        <v>9050</v>
      </c>
      <c r="I557" s="218">
        <v>339030.0</v>
      </c>
      <c r="J557" s="218" t="s">
        <v>249</v>
      </c>
    </row>
    <row r="558">
      <c r="A558" s="218" t="s">
        <v>9049</v>
      </c>
      <c r="B558" s="218">
        <v>628.0</v>
      </c>
      <c r="C558" s="218">
        <v>2018.0</v>
      </c>
      <c r="D558" s="218">
        <v>85042.0</v>
      </c>
      <c r="E558" s="218" t="s">
        <v>8948</v>
      </c>
      <c r="F558" s="218" t="s">
        <v>8949</v>
      </c>
      <c r="G558" s="218">
        <v>36.0</v>
      </c>
      <c r="H558" s="218" t="s">
        <v>9050</v>
      </c>
      <c r="I558" s="218">
        <v>339030.0</v>
      </c>
      <c r="J558" s="218" t="s">
        <v>249</v>
      </c>
    </row>
    <row r="559">
      <c r="A559" s="218" t="s">
        <v>9049</v>
      </c>
      <c r="B559" s="218">
        <v>628.0</v>
      </c>
      <c r="C559" s="218">
        <v>2018.0</v>
      </c>
      <c r="D559" s="218">
        <v>85042.0</v>
      </c>
      <c r="E559" s="218" t="s">
        <v>8948</v>
      </c>
      <c r="F559" s="218" t="s">
        <v>8949</v>
      </c>
      <c r="G559" s="218">
        <v>36.0</v>
      </c>
      <c r="H559" s="218" t="s">
        <v>9050</v>
      </c>
      <c r="I559" s="218">
        <v>339030.0</v>
      </c>
      <c r="J559" s="218" t="s">
        <v>249</v>
      </c>
    </row>
    <row r="560">
      <c r="A560" s="218" t="s">
        <v>9049</v>
      </c>
      <c r="B560" s="218">
        <v>629.0</v>
      </c>
      <c r="C560" s="218">
        <v>2018.0</v>
      </c>
      <c r="D560" s="218">
        <v>85042.0</v>
      </c>
      <c r="E560" s="218" t="s">
        <v>8948</v>
      </c>
      <c r="F560" s="218" t="s">
        <v>8949</v>
      </c>
      <c r="G560" s="218">
        <v>22.0</v>
      </c>
      <c r="H560" s="218" t="s">
        <v>8895</v>
      </c>
      <c r="I560" s="218">
        <v>339030.0</v>
      </c>
      <c r="J560" s="218" t="s">
        <v>249</v>
      </c>
    </row>
    <row r="561">
      <c r="A561" s="218" t="s">
        <v>9049</v>
      </c>
      <c r="B561" s="218">
        <v>629.0</v>
      </c>
      <c r="C561" s="218">
        <v>2018.0</v>
      </c>
      <c r="D561" s="218">
        <v>85042.0</v>
      </c>
      <c r="E561" s="218" t="s">
        <v>8948</v>
      </c>
      <c r="F561" s="218" t="s">
        <v>8949</v>
      </c>
      <c r="G561" s="218">
        <v>22.0</v>
      </c>
      <c r="H561" s="218" t="s">
        <v>8895</v>
      </c>
      <c r="I561" s="218">
        <v>339030.0</v>
      </c>
      <c r="J561" s="218" t="s">
        <v>249</v>
      </c>
    </row>
    <row r="562">
      <c r="A562" s="218" t="s">
        <v>9049</v>
      </c>
      <c r="B562" s="218">
        <v>629.0</v>
      </c>
      <c r="C562" s="218">
        <v>2018.0</v>
      </c>
      <c r="D562" s="218">
        <v>85042.0</v>
      </c>
      <c r="E562" s="218" t="s">
        <v>8948</v>
      </c>
      <c r="F562" s="218" t="s">
        <v>8949</v>
      </c>
      <c r="G562" s="218">
        <v>21.0</v>
      </c>
      <c r="H562" s="218" t="s">
        <v>8896</v>
      </c>
      <c r="I562" s="218">
        <v>339030.0</v>
      </c>
      <c r="J562" s="218" t="s">
        <v>249</v>
      </c>
    </row>
    <row r="563">
      <c r="A563" s="218" t="s">
        <v>9049</v>
      </c>
      <c r="B563" s="218">
        <v>629.0</v>
      </c>
      <c r="C563" s="218">
        <v>2018.0</v>
      </c>
      <c r="D563" s="218">
        <v>85042.0</v>
      </c>
      <c r="E563" s="218" t="s">
        <v>8948</v>
      </c>
      <c r="F563" s="218" t="s">
        <v>8949</v>
      </c>
      <c r="G563" s="218">
        <v>21.0</v>
      </c>
      <c r="H563" s="218" t="s">
        <v>8896</v>
      </c>
      <c r="I563" s="218">
        <v>339030.0</v>
      </c>
      <c r="J563" s="218" t="s">
        <v>249</v>
      </c>
    </row>
    <row r="564">
      <c r="A564" s="218" t="s">
        <v>9049</v>
      </c>
      <c r="B564" s="218">
        <v>630.0</v>
      </c>
      <c r="C564" s="218">
        <v>2018.0</v>
      </c>
      <c r="D564" s="218">
        <v>85042.0</v>
      </c>
      <c r="E564" s="218" t="s">
        <v>8948</v>
      </c>
      <c r="F564" s="218" t="s">
        <v>8949</v>
      </c>
      <c r="G564" s="218">
        <v>26.0</v>
      </c>
      <c r="H564" s="218" t="s">
        <v>8952</v>
      </c>
      <c r="I564" s="218">
        <v>339030.0</v>
      </c>
      <c r="J564" s="218" t="s">
        <v>249</v>
      </c>
    </row>
    <row r="565">
      <c r="A565" s="218" t="s">
        <v>9049</v>
      </c>
      <c r="B565" s="218">
        <v>630.0</v>
      </c>
      <c r="C565" s="218">
        <v>2018.0</v>
      </c>
      <c r="D565" s="218">
        <v>85042.0</v>
      </c>
      <c r="E565" s="218" t="s">
        <v>8948</v>
      </c>
      <c r="F565" s="218" t="s">
        <v>8949</v>
      </c>
      <c r="G565" s="218">
        <v>26.0</v>
      </c>
      <c r="H565" s="218" t="s">
        <v>8952</v>
      </c>
      <c r="I565" s="218">
        <v>339030.0</v>
      </c>
      <c r="J565" s="218" t="s">
        <v>249</v>
      </c>
    </row>
    <row r="566">
      <c r="A566" s="218" t="s">
        <v>9049</v>
      </c>
      <c r="B566" s="218">
        <v>631.0</v>
      </c>
      <c r="C566" s="218">
        <v>2018.0</v>
      </c>
      <c r="D566" s="218">
        <v>85042.0</v>
      </c>
      <c r="E566" s="218" t="s">
        <v>8948</v>
      </c>
      <c r="F566" s="218" t="s">
        <v>8949</v>
      </c>
      <c r="G566" s="218">
        <v>36.0</v>
      </c>
      <c r="H566" s="218" t="s">
        <v>9050</v>
      </c>
      <c r="I566" s="218">
        <v>339030.0</v>
      </c>
      <c r="J566" s="218" t="s">
        <v>249</v>
      </c>
    </row>
    <row r="567">
      <c r="A567" s="218" t="s">
        <v>9049</v>
      </c>
      <c r="B567" s="218">
        <v>631.0</v>
      </c>
      <c r="C567" s="218">
        <v>2018.0</v>
      </c>
      <c r="D567" s="218">
        <v>85042.0</v>
      </c>
      <c r="E567" s="218" t="s">
        <v>8948</v>
      </c>
      <c r="F567" s="218" t="s">
        <v>8949</v>
      </c>
      <c r="G567" s="218">
        <v>36.0</v>
      </c>
      <c r="H567" s="218" t="s">
        <v>9050</v>
      </c>
      <c r="I567" s="218">
        <v>339030.0</v>
      </c>
      <c r="J567" s="218" t="s">
        <v>249</v>
      </c>
    </row>
    <row r="568">
      <c r="A568" s="218" t="s">
        <v>9049</v>
      </c>
      <c r="B568" s="218">
        <v>631.0</v>
      </c>
      <c r="C568" s="218">
        <v>2018.0</v>
      </c>
      <c r="D568" s="218">
        <v>85042.0</v>
      </c>
      <c r="E568" s="218" t="s">
        <v>8948</v>
      </c>
      <c r="F568" s="218" t="s">
        <v>8949</v>
      </c>
      <c r="G568" s="218">
        <v>36.0</v>
      </c>
      <c r="H568" s="218" t="s">
        <v>9050</v>
      </c>
      <c r="I568" s="218">
        <v>339030.0</v>
      </c>
      <c r="J568" s="218" t="s">
        <v>249</v>
      </c>
    </row>
    <row r="569">
      <c r="A569" s="218" t="s">
        <v>9049</v>
      </c>
      <c r="B569" s="218">
        <v>631.0</v>
      </c>
      <c r="C569" s="218">
        <v>2018.0</v>
      </c>
      <c r="D569" s="218">
        <v>85042.0</v>
      </c>
      <c r="E569" s="218" t="s">
        <v>8948</v>
      </c>
      <c r="F569" s="218" t="s">
        <v>8949</v>
      </c>
      <c r="G569" s="218">
        <v>36.0</v>
      </c>
      <c r="H569" s="218" t="s">
        <v>9050</v>
      </c>
      <c r="I569" s="218">
        <v>339030.0</v>
      </c>
      <c r="J569" s="218" t="s">
        <v>249</v>
      </c>
    </row>
    <row r="570">
      <c r="A570" s="218" t="s">
        <v>9049</v>
      </c>
      <c r="B570" s="218">
        <v>631.0</v>
      </c>
      <c r="C570" s="218">
        <v>2018.0</v>
      </c>
      <c r="D570" s="218">
        <v>85042.0</v>
      </c>
      <c r="E570" s="218" t="s">
        <v>8948</v>
      </c>
      <c r="F570" s="218" t="s">
        <v>8949</v>
      </c>
      <c r="G570" s="218">
        <v>36.0</v>
      </c>
      <c r="H570" s="218" t="s">
        <v>9050</v>
      </c>
      <c r="I570" s="218">
        <v>339030.0</v>
      </c>
      <c r="J570" s="218" t="s">
        <v>249</v>
      </c>
    </row>
    <row r="571">
      <c r="A571" s="218" t="s">
        <v>9049</v>
      </c>
      <c r="B571" s="218">
        <v>631.0</v>
      </c>
      <c r="C571" s="218">
        <v>2018.0</v>
      </c>
      <c r="D571" s="218">
        <v>85042.0</v>
      </c>
      <c r="E571" s="218" t="s">
        <v>8948</v>
      </c>
      <c r="F571" s="218" t="s">
        <v>8949</v>
      </c>
      <c r="G571" s="218">
        <v>36.0</v>
      </c>
      <c r="H571" s="218" t="s">
        <v>9050</v>
      </c>
      <c r="I571" s="218">
        <v>339030.0</v>
      </c>
      <c r="J571" s="218" t="s">
        <v>249</v>
      </c>
    </row>
    <row r="572">
      <c r="A572" s="218" t="s">
        <v>9049</v>
      </c>
      <c r="B572" s="218">
        <v>631.0</v>
      </c>
      <c r="C572" s="218">
        <v>2018.0</v>
      </c>
      <c r="D572" s="218">
        <v>85042.0</v>
      </c>
      <c r="E572" s="218" t="s">
        <v>8948</v>
      </c>
      <c r="F572" s="218" t="s">
        <v>8949</v>
      </c>
      <c r="G572" s="218">
        <v>36.0</v>
      </c>
      <c r="H572" s="218" t="s">
        <v>9050</v>
      </c>
      <c r="I572" s="218">
        <v>339030.0</v>
      </c>
      <c r="J572" s="218" t="s">
        <v>249</v>
      </c>
    </row>
    <row r="573">
      <c r="A573" s="218" t="s">
        <v>9049</v>
      </c>
      <c r="B573" s="218">
        <v>631.0</v>
      </c>
      <c r="C573" s="218">
        <v>2018.0</v>
      </c>
      <c r="D573" s="218">
        <v>85042.0</v>
      </c>
      <c r="E573" s="218" t="s">
        <v>8948</v>
      </c>
      <c r="F573" s="218" t="s">
        <v>8949</v>
      </c>
      <c r="G573" s="218">
        <v>36.0</v>
      </c>
      <c r="H573" s="218" t="s">
        <v>9050</v>
      </c>
      <c r="I573" s="218">
        <v>339030.0</v>
      </c>
      <c r="J573" s="218" t="s">
        <v>249</v>
      </c>
    </row>
    <row r="574">
      <c r="A574" s="218" t="s">
        <v>9049</v>
      </c>
      <c r="B574" s="218">
        <v>631.0</v>
      </c>
      <c r="C574" s="218">
        <v>2018.0</v>
      </c>
      <c r="D574" s="218">
        <v>85042.0</v>
      </c>
      <c r="E574" s="218" t="s">
        <v>8948</v>
      </c>
      <c r="F574" s="218" t="s">
        <v>8949</v>
      </c>
      <c r="G574" s="218">
        <v>36.0</v>
      </c>
      <c r="H574" s="218" t="s">
        <v>9050</v>
      </c>
      <c r="I574" s="218">
        <v>339030.0</v>
      </c>
      <c r="J574" s="218" t="s">
        <v>249</v>
      </c>
    </row>
    <row r="575">
      <c r="A575" s="218" t="s">
        <v>9049</v>
      </c>
      <c r="B575" s="218">
        <v>631.0</v>
      </c>
      <c r="C575" s="218">
        <v>2018.0</v>
      </c>
      <c r="D575" s="218">
        <v>85042.0</v>
      </c>
      <c r="E575" s="218" t="s">
        <v>8948</v>
      </c>
      <c r="F575" s="218" t="s">
        <v>8949</v>
      </c>
      <c r="G575" s="218">
        <v>36.0</v>
      </c>
      <c r="H575" s="218" t="s">
        <v>9050</v>
      </c>
      <c r="I575" s="218">
        <v>339030.0</v>
      </c>
      <c r="J575" s="218" t="s">
        <v>249</v>
      </c>
    </row>
    <row r="576">
      <c r="A576" s="218" t="s">
        <v>9049</v>
      </c>
      <c r="B576" s="218">
        <v>631.0</v>
      </c>
      <c r="C576" s="218">
        <v>2018.0</v>
      </c>
      <c r="D576" s="218">
        <v>85042.0</v>
      </c>
      <c r="E576" s="218" t="s">
        <v>8948</v>
      </c>
      <c r="F576" s="218" t="s">
        <v>8949</v>
      </c>
      <c r="G576" s="218">
        <v>36.0</v>
      </c>
      <c r="H576" s="218" t="s">
        <v>9050</v>
      </c>
      <c r="I576" s="218">
        <v>339030.0</v>
      </c>
      <c r="J576" s="218" t="s">
        <v>249</v>
      </c>
    </row>
    <row r="577">
      <c r="A577" s="218" t="s">
        <v>9049</v>
      </c>
      <c r="B577" s="218">
        <v>631.0</v>
      </c>
      <c r="C577" s="218">
        <v>2018.0</v>
      </c>
      <c r="D577" s="218">
        <v>85042.0</v>
      </c>
      <c r="E577" s="218" t="s">
        <v>8948</v>
      </c>
      <c r="F577" s="218" t="s">
        <v>8949</v>
      </c>
      <c r="G577" s="218">
        <v>36.0</v>
      </c>
      <c r="H577" s="218" t="s">
        <v>9050</v>
      </c>
      <c r="I577" s="218">
        <v>339030.0</v>
      </c>
      <c r="J577" s="218" t="s">
        <v>249</v>
      </c>
    </row>
    <row r="578">
      <c r="A578" s="218" t="s">
        <v>9049</v>
      </c>
      <c r="B578" s="218">
        <v>631.0</v>
      </c>
      <c r="C578" s="218">
        <v>2018.0</v>
      </c>
      <c r="D578" s="218">
        <v>85042.0</v>
      </c>
      <c r="E578" s="218" t="s">
        <v>8948</v>
      </c>
      <c r="F578" s="218" t="s">
        <v>8949</v>
      </c>
      <c r="G578" s="218">
        <v>36.0</v>
      </c>
      <c r="H578" s="218" t="s">
        <v>9050</v>
      </c>
      <c r="I578" s="218">
        <v>339030.0</v>
      </c>
      <c r="J578" s="218" t="s">
        <v>249</v>
      </c>
    </row>
    <row r="579">
      <c r="A579" s="218" t="s">
        <v>9049</v>
      </c>
      <c r="B579" s="218">
        <v>631.0</v>
      </c>
      <c r="C579" s="218">
        <v>2018.0</v>
      </c>
      <c r="D579" s="218">
        <v>85042.0</v>
      </c>
      <c r="E579" s="218" t="s">
        <v>8948</v>
      </c>
      <c r="F579" s="218" t="s">
        <v>8949</v>
      </c>
      <c r="G579" s="218">
        <v>36.0</v>
      </c>
      <c r="H579" s="218" t="s">
        <v>9050</v>
      </c>
      <c r="I579" s="218">
        <v>339030.0</v>
      </c>
      <c r="J579" s="218" t="s">
        <v>249</v>
      </c>
    </row>
    <row r="580">
      <c r="A580" s="218" t="s">
        <v>9049</v>
      </c>
      <c r="B580" s="218">
        <v>631.0</v>
      </c>
      <c r="C580" s="218">
        <v>2018.0</v>
      </c>
      <c r="D580" s="218">
        <v>85042.0</v>
      </c>
      <c r="E580" s="218" t="s">
        <v>8948</v>
      </c>
      <c r="F580" s="218" t="s">
        <v>8949</v>
      </c>
      <c r="G580" s="218">
        <v>22.0</v>
      </c>
      <c r="H580" s="218" t="s">
        <v>8895</v>
      </c>
      <c r="I580" s="218">
        <v>339030.0</v>
      </c>
      <c r="J580" s="218" t="s">
        <v>249</v>
      </c>
    </row>
    <row r="581">
      <c r="A581" s="218" t="s">
        <v>9051</v>
      </c>
      <c r="B581" s="218">
        <v>776.0</v>
      </c>
      <c r="C581" s="218">
        <v>2018.0</v>
      </c>
      <c r="D581" s="218">
        <v>107702.0</v>
      </c>
      <c r="E581" s="218" t="s">
        <v>8715</v>
      </c>
      <c r="F581" s="218" t="s">
        <v>8716</v>
      </c>
      <c r="G581" s="218">
        <v>35.0</v>
      </c>
      <c r="H581" s="218" t="s">
        <v>8913</v>
      </c>
      <c r="I581" s="218">
        <v>449052.0</v>
      </c>
      <c r="J581" s="218" t="s">
        <v>362</v>
      </c>
    </row>
    <row r="582">
      <c r="A582" s="218" t="s">
        <v>9052</v>
      </c>
      <c r="B582" s="218">
        <v>519.0</v>
      </c>
      <c r="C582" s="218">
        <v>2018.0</v>
      </c>
      <c r="D582" s="218">
        <v>107702.0</v>
      </c>
      <c r="E582" s="218" t="s">
        <v>8715</v>
      </c>
      <c r="F582" s="218" t="s">
        <v>8716</v>
      </c>
      <c r="G582" s="218">
        <v>19.0</v>
      </c>
      <c r="H582" s="218" t="s">
        <v>8892</v>
      </c>
      <c r="I582" s="218">
        <v>339030.0</v>
      </c>
      <c r="J582" s="218" t="s">
        <v>249</v>
      </c>
    </row>
    <row r="583">
      <c r="A583" s="218" t="s">
        <v>9052</v>
      </c>
      <c r="B583" s="218">
        <v>519.0</v>
      </c>
      <c r="C583" s="218">
        <v>2018.0</v>
      </c>
      <c r="D583" s="218">
        <v>107702.0</v>
      </c>
      <c r="E583" s="218" t="s">
        <v>8715</v>
      </c>
      <c r="F583" s="218" t="s">
        <v>8716</v>
      </c>
      <c r="G583" s="218">
        <v>19.0</v>
      </c>
      <c r="H583" s="218" t="s">
        <v>8892</v>
      </c>
      <c r="I583" s="218">
        <v>339030.0</v>
      </c>
      <c r="J583" s="218" t="s">
        <v>249</v>
      </c>
    </row>
    <row r="584">
      <c r="A584" s="218" t="s">
        <v>9053</v>
      </c>
      <c r="B584" s="218">
        <v>521.0</v>
      </c>
      <c r="C584" s="218">
        <v>2018.0</v>
      </c>
      <c r="D584" s="218">
        <v>107702.0</v>
      </c>
      <c r="E584" s="218" t="s">
        <v>8715</v>
      </c>
      <c r="F584" s="218" t="s">
        <v>8716</v>
      </c>
      <c r="G584" s="218">
        <v>74.0</v>
      </c>
      <c r="H584" s="218" t="s">
        <v>8840</v>
      </c>
      <c r="I584" s="218">
        <v>339039.0</v>
      </c>
      <c r="J584" s="218" t="s">
        <v>8720</v>
      </c>
    </row>
    <row r="585">
      <c r="A585" s="218" t="s">
        <v>9054</v>
      </c>
      <c r="B585" s="218">
        <v>525.0</v>
      </c>
      <c r="C585" s="218">
        <v>2018.0</v>
      </c>
      <c r="D585" s="218">
        <v>107702.0</v>
      </c>
      <c r="E585" s="218" t="s">
        <v>8715</v>
      </c>
      <c r="F585" s="218" t="s">
        <v>8716</v>
      </c>
      <c r="G585" s="218">
        <v>10.0</v>
      </c>
      <c r="H585" s="218" t="s">
        <v>8726</v>
      </c>
      <c r="I585" s="218">
        <v>339047.0</v>
      </c>
      <c r="J585" s="218" t="s">
        <v>8718</v>
      </c>
    </row>
    <row r="586">
      <c r="A586" s="218" t="s">
        <v>9055</v>
      </c>
      <c r="B586" s="218">
        <v>527.0</v>
      </c>
      <c r="C586" s="218">
        <v>2018.0</v>
      </c>
      <c r="D586" s="218">
        <v>107702.0</v>
      </c>
      <c r="E586" s="218" t="s">
        <v>8715</v>
      </c>
      <c r="F586" s="218" t="s">
        <v>8716</v>
      </c>
      <c r="G586" s="218">
        <v>42.0</v>
      </c>
      <c r="H586" s="218" t="s">
        <v>8901</v>
      </c>
      <c r="I586" s="218">
        <v>449052.0</v>
      </c>
      <c r="J586" s="218" t="s">
        <v>362</v>
      </c>
    </row>
    <row r="587">
      <c r="A587" s="218" t="s">
        <v>9056</v>
      </c>
      <c r="B587" s="218">
        <v>532.0</v>
      </c>
      <c r="C587" s="218">
        <v>2018.0</v>
      </c>
      <c r="D587" s="218">
        <v>107702.0</v>
      </c>
      <c r="E587" s="218" t="s">
        <v>8715</v>
      </c>
      <c r="F587" s="218" t="s">
        <v>8716</v>
      </c>
      <c r="G587" s="218">
        <v>20.0</v>
      </c>
      <c r="H587" s="218" t="s">
        <v>8852</v>
      </c>
      <c r="I587" s="218">
        <v>339039.0</v>
      </c>
      <c r="J587" s="218" t="s">
        <v>8720</v>
      </c>
    </row>
    <row r="588">
      <c r="A588" s="218" t="s">
        <v>9056</v>
      </c>
      <c r="B588" s="218">
        <v>533.0</v>
      </c>
      <c r="C588" s="218">
        <v>2018.0</v>
      </c>
      <c r="D588" s="218">
        <v>107702.0</v>
      </c>
      <c r="E588" s="218" t="s">
        <v>8715</v>
      </c>
      <c r="F588" s="218" t="s">
        <v>8716</v>
      </c>
      <c r="G588" s="218">
        <v>28.0</v>
      </c>
      <c r="H588" s="218" t="s">
        <v>8906</v>
      </c>
      <c r="I588" s="218">
        <v>339030.0</v>
      </c>
      <c r="J588" s="218" t="s">
        <v>249</v>
      </c>
    </row>
    <row r="589">
      <c r="A589" s="218" t="s">
        <v>9057</v>
      </c>
      <c r="B589" s="218">
        <v>601.0</v>
      </c>
      <c r="C589" s="218">
        <v>2018.0</v>
      </c>
      <c r="D589" s="218">
        <v>85042.0</v>
      </c>
      <c r="E589" s="218" t="s">
        <v>8948</v>
      </c>
      <c r="F589" s="218" t="s">
        <v>8949</v>
      </c>
      <c r="G589" s="218">
        <v>10.0</v>
      </c>
      <c r="H589" s="218" t="s">
        <v>9032</v>
      </c>
      <c r="I589" s="218">
        <v>339030.0</v>
      </c>
      <c r="J589" s="218" t="s">
        <v>249</v>
      </c>
    </row>
    <row r="590">
      <c r="A590" s="218" t="s">
        <v>9057</v>
      </c>
      <c r="B590" s="218">
        <v>601.0</v>
      </c>
      <c r="C590" s="218">
        <v>2018.0</v>
      </c>
      <c r="D590" s="218">
        <v>85042.0</v>
      </c>
      <c r="E590" s="218" t="s">
        <v>8948</v>
      </c>
      <c r="F590" s="218" t="s">
        <v>8949</v>
      </c>
      <c r="G590" s="218">
        <v>10.0</v>
      </c>
      <c r="H590" s="218" t="s">
        <v>9032</v>
      </c>
      <c r="I590" s="218">
        <v>339030.0</v>
      </c>
      <c r="J590" s="218" t="s">
        <v>249</v>
      </c>
    </row>
    <row r="591">
      <c r="A591" s="218" t="s">
        <v>9057</v>
      </c>
      <c r="B591" s="218">
        <v>601.0</v>
      </c>
      <c r="C591" s="218">
        <v>2018.0</v>
      </c>
      <c r="D591" s="218">
        <v>85042.0</v>
      </c>
      <c r="E591" s="218" t="s">
        <v>8948</v>
      </c>
      <c r="F591" s="218" t="s">
        <v>8949</v>
      </c>
      <c r="G591" s="218">
        <v>10.0</v>
      </c>
      <c r="H591" s="218" t="s">
        <v>9032</v>
      </c>
      <c r="I591" s="218">
        <v>339030.0</v>
      </c>
      <c r="J591" s="218" t="s">
        <v>249</v>
      </c>
    </row>
    <row r="592">
      <c r="A592" s="218" t="s">
        <v>9057</v>
      </c>
      <c r="B592" s="218">
        <v>601.0</v>
      </c>
      <c r="C592" s="218">
        <v>2018.0</v>
      </c>
      <c r="D592" s="218">
        <v>85042.0</v>
      </c>
      <c r="E592" s="218" t="s">
        <v>8948</v>
      </c>
      <c r="F592" s="218" t="s">
        <v>8949</v>
      </c>
      <c r="G592" s="218">
        <v>10.0</v>
      </c>
      <c r="H592" s="218" t="s">
        <v>9032</v>
      </c>
      <c r="I592" s="218">
        <v>339030.0</v>
      </c>
      <c r="J592" s="218" t="s">
        <v>249</v>
      </c>
    </row>
    <row r="593">
      <c r="A593" s="218" t="s">
        <v>9057</v>
      </c>
      <c r="B593" s="218">
        <v>601.0</v>
      </c>
      <c r="C593" s="218">
        <v>2018.0</v>
      </c>
      <c r="D593" s="218">
        <v>85042.0</v>
      </c>
      <c r="E593" s="218" t="s">
        <v>8948</v>
      </c>
      <c r="F593" s="218" t="s">
        <v>8949</v>
      </c>
      <c r="G593" s="218">
        <v>10.0</v>
      </c>
      <c r="H593" s="218" t="s">
        <v>9032</v>
      </c>
      <c r="I593" s="218">
        <v>339030.0</v>
      </c>
      <c r="J593" s="218" t="s">
        <v>249</v>
      </c>
    </row>
    <row r="594">
      <c r="A594" s="218" t="s">
        <v>9057</v>
      </c>
      <c r="B594" s="218">
        <v>600.0</v>
      </c>
      <c r="C594" s="218">
        <v>2018.0</v>
      </c>
      <c r="D594" s="218">
        <v>85042.0</v>
      </c>
      <c r="E594" s="218" t="s">
        <v>8948</v>
      </c>
      <c r="F594" s="218" t="s">
        <v>8949</v>
      </c>
      <c r="G594" s="218">
        <v>10.0</v>
      </c>
      <c r="H594" s="218" t="s">
        <v>9032</v>
      </c>
      <c r="I594" s="218">
        <v>339030.0</v>
      </c>
      <c r="J594" s="218" t="s">
        <v>249</v>
      </c>
    </row>
    <row r="595">
      <c r="A595" s="218" t="s">
        <v>9057</v>
      </c>
      <c r="B595" s="218">
        <v>600.0</v>
      </c>
      <c r="C595" s="218">
        <v>2018.0</v>
      </c>
      <c r="D595" s="218">
        <v>85042.0</v>
      </c>
      <c r="E595" s="218" t="s">
        <v>8948</v>
      </c>
      <c r="F595" s="218" t="s">
        <v>8949</v>
      </c>
      <c r="G595" s="218">
        <v>10.0</v>
      </c>
      <c r="H595" s="218" t="s">
        <v>9032</v>
      </c>
      <c r="I595" s="218">
        <v>339030.0</v>
      </c>
      <c r="J595" s="218" t="s">
        <v>249</v>
      </c>
    </row>
    <row r="596">
      <c r="A596" s="218" t="s">
        <v>9057</v>
      </c>
      <c r="B596" s="218">
        <v>600.0</v>
      </c>
      <c r="C596" s="218">
        <v>2018.0</v>
      </c>
      <c r="D596" s="218">
        <v>85042.0</v>
      </c>
      <c r="E596" s="218" t="s">
        <v>8948</v>
      </c>
      <c r="F596" s="218" t="s">
        <v>8949</v>
      </c>
      <c r="G596" s="218">
        <v>10.0</v>
      </c>
      <c r="H596" s="218" t="s">
        <v>9032</v>
      </c>
      <c r="I596" s="218">
        <v>339030.0</v>
      </c>
      <c r="J596" s="218" t="s">
        <v>249</v>
      </c>
    </row>
    <row r="597">
      <c r="A597" s="218" t="s">
        <v>9057</v>
      </c>
      <c r="B597" s="218">
        <v>600.0</v>
      </c>
      <c r="C597" s="218">
        <v>2018.0</v>
      </c>
      <c r="D597" s="218">
        <v>85042.0</v>
      </c>
      <c r="E597" s="218" t="s">
        <v>8948</v>
      </c>
      <c r="F597" s="218" t="s">
        <v>8949</v>
      </c>
      <c r="G597" s="218">
        <v>10.0</v>
      </c>
      <c r="H597" s="218" t="s">
        <v>9032</v>
      </c>
      <c r="I597" s="218">
        <v>339030.0</v>
      </c>
      <c r="J597" s="218" t="s">
        <v>249</v>
      </c>
    </row>
    <row r="598">
      <c r="A598" s="218" t="s">
        <v>9057</v>
      </c>
      <c r="B598" s="218">
        <v>600.0</v>
      </c>
      <c r="C598" s="218">
        <v>2018.0</v>
      </c>
      <c r="D598" s="218">
        <v>85042.0</v>
      </c>
      <c r="E598" s="218" t="s">
        <v>8948</v>
      </c>
      <c r="F598" s="218" t="s">
        <v>8949</v>
      </c>
      <c r="G598" s="218">
        <v>10.0</v>
      </c>
      <c r="H598" s="218" t="s">
        <v>9032</v>
      </c>
      <c r="I598" s="218">
        <v>339030.0</v>
      </c>
      <c r="J598" s="218" t="s">
        <v>249</v>
      </c>
    </row>
    <row r="599">
      <c r="A599" s="218" t="s">
        <v>9057</v>
      </c>
      <c r="B599" s="218">
        <v>600.0</v>
      </c>
      <c r="C599" s="218">
        <v>2018.0</v>
      </c>
      <c r="D599" s="218">
        <v>85042.0</v>
      </c>
      <c r="E599" s="218" t="s">
        <v>8948</v>
      </c>
      <c r="F599" s="218" t="s">
        <v>8949</v>
      </c>
      <c r="G599" s="218">
        <v>10.0</v>
      </c>
      <c r="H599" s="218" t="s">
        <v>9032</v>
      </c>
      <c r="I599" s="218">
        <v>339030.0</v>
      </c>
      <c r="J599" s="218" t="s">
        <v>249</v>
      </c>
    </row>
    <row r="600">
      <c r="A600" s="218" t="s">
        <v>9057</v>
      </c>
      <c r="B600" s="218">
        <v>600.0</v>
      </c>
      <c r="C600" s="218">
        <v>2018.0</v>
      </c>
      <c r="D600" s="218">
        <v>85042.0</v>
      </c>
      <c r="E600" s="218" t="s">
        <v>8948</v>
      </c>
      <c r="F600" s="218" t="s">
        <v>8949</v>
      </c>
      <c r="G600" s="218">
        <v>10.0</v>
      </c>
      <c r="H600" s="218" t="s">
        <v>9032</v>
      </c>
      <c r="I600" s="218">
        <v>339030.0</v>
      </c>
      <c r="J600" s="218" t="s">
        <v>249</v>
      </c>
    </row>
    <row r="601">
      <c r="A601" s="218" t="s">
        <v>9057</v>
      </c>
      <c r="B601" s="218">
        <v>600.0</v>
      </c>
      <c r="C601" s="218">
        <v>2018.0</v>
      </c>
      <c r="D601" s="218">
        <v>85042.0</v>
      </c>
      <c r="E601" s="218" t="s">
        <v>8948</v>
      </c>
      <c r="F601" s="218" t="s">
        <v>8949</v>
      </c>
      <c r="G601" s="218">
        <v>10.0</v>
      </c>
      <c r="H601" s="218" t="s">
        <v>9032</v>
      </c>
      <c r="I601" s="218">
        <v>339030.0</v>
      </c>
      <c r="J601" s="218" t="s">
        <v>249</v>
      </c>
    </row>
    <row r="602">
      <c r="A602" s="218" t="s">
        <v>9057</v>
      </c>
      <c r="B602" s="218">
        <v>600.0</v>
      </c>
      <c r="C602" s="218">
        <v>2018.0</v>
      </c>
      <c r="D602" s="218">
        <v>85042.0</v>
      </c>
      <c r="E602" s="218" t="s">
        <v>8948</v>
      </c>
      <c r="F602" s="218" t="s">
        <v>8949</v>
      </c>
      <c r="G602" s="218">
        <v>10.0</v>
      </c>
      <c r="H602" s="218" t="s">
        <v>9032</v>
      </c>
      <c r="I602" s="218">
        <v>339030.0</v>
      </c>
      <c r="J602" s="218" t="s">
        <v>249</v>
      </c>
    </row>
    <row r="603">
      <c r="A603" s="218" t="s">
        <v>9057</v>
      </c>
      <c r="B603" s="218">
        <v>600.0</v>
      </c>
      <c r="C603" s="218">
        <v>2018.0</v>
      </c>
      <c r="D603" s="218">
        <v>85042.0</v>
      </c>
      <c r="E603" s="218" t="s">
        <v>8948</v>
      </c>
      <c r="F603" s="218" t="s">
        <v>8949</v>
      </c>
      <c r="G603" s="218">
        <v>10.0</v>
      </c>
      <c r="H603" s="218" t="s">
        <v>9032</v>
      </c>
      <c r="I603" s="218">
        <v>339030.0</v>
      </c>
      <c r="J603" s="218" t="s">
        <v>249</v>
      </c>
    </row>
    <row r="604">
      <c r="A604" s="218" t="s">
        <v>9057</v>
      </c>
      <c r="B604" s="218">
        <v>600.0</v>
      </c>
      <c r="C604" s="218">
        <v>2018.0</v>
      </c>
      <c r="D604" s="218">
        <v>85042.0</v>
      </c>
      <c r="E604" s="218" t="s">
        <v>8948</v>
      </c>
      <c r="F604" s="218" t="s">
        <v>8949</v>
      </c>
      <c r="G604" s="218">
        <v>10.0</v>
      </c>
      <c r="H604" s="218" t="s">
        <v>9032</v>
      </c>
      <c r="I604" s="218">
        <v>339030.0</v>
      </c>
      <c r="J604" s="218" t="s">
        <v>249</v>
      </c>
    </row>
    <row r="605">
      <c r="A605" s="218" t="s">
        <v>9057</v>
      </c>
      <c r="B605" s="218">
        <v>600.0</v>
      </c>
      <c r="C605" s="218">
        <v>2018.0</v>
      </c>
      <c r="D605" s="218">
        <v>85042.0</v>
      </c>
      <c r="E605" s="218" t="s">
        <v>8948</v>
      </c>
      <c r="F605" s="218" t="s">
        <v>8949</v>
      </c>
      <c r="G605" s="218">
        <v>10.0</v>
      </c>
      <c r="H605" s="218" t="s">
        <v>9032</v>
      </c>
      <c r="I605" s="218">
        <v>339030.0</v>
      </c>
      <c r="J605" s="218" t="s">
        <v>249</v>
      </c>
    </row>
    <row r="606">
      <c r="A606" s="218" t="s">
        <v>9057</v>
      </c>
      <c r="B606" s="218">
        <v>600.0</v>
      </c>
      <c r="C606" s="218">
        <v>2018.0</v>
      </c>
      <c r="D606" s="218">
        <v>85042.0</v>
      </c>
      <c r="E606" s="218" t="s">
        <v>8948</v>
      </c>
      <c r="F606" s="218" t="s">
        <v>8949</v>
      </c>
      <c r="G606" s="218">
        <v>10.0</v>
      </c>
      <c r="H606" s="218" t="s">
        <v>9032</v>
      </c>
      <c r="I606" s="218">
        <v>339030.0</v>
      </c>
      <c r="J606" s="218" t="s">
        <v>249</v>
      </c>
    </row>
    <row r="607">
      <c r="A607" s="218" t="s">
        <v>9057</v>
      </c>
      <c r="B607" s="218">
        <v>600.0</v>
      </c>
      <c r="C607" s="218">
        <v>2018.0</v>
      </c>
      <c r="D607" s="218">
        <v>85042.0</v>
      </c>
      <c r="E607" s="218" t="s">
        <v>8948</v>
      </c>
      <c r="F607" s="218" t="s">
        <v>8949</v>
      </c>
      <c r="G607" s="218">
        <v>10.0</v>
      </c>
      <c r="H607" s="218" t="s">
        <v>9032</v>
      </c>
      <c r="I607" s="218">
        <v>339030.0</v>
      </c>
      <c r="J607" s="218" t="s">
        <v>249</v>
      </c>
    </row>
    <row r="608">
      <c r="A608" s="218" t="s">
        <v>9057</v>
      </c>
      <c r="B608" s="218">
        <v>600.0</v>
      </c>
      <c r="C608" s="218">
        <v>2018.0</v>
      </c>
      <c r="D608" s="218">
        <v>85042.0</v>
      </c>
      <c r="E608" s="218" t="s">
        <v>8948</v>
      </c>
      <c r="F608" s="218" t="s">
        <v>8949</v>
      </c>
      <c r="G608" s="218">
        <v>10.0</v>
      </c>
      <c r="H608" s="218" t="s">
        <v>9032</v>
      </c>
      <c r="I608" s="218">
        <v>339030.0</v>
      </c>
      <c r="J608" s="218" t="s">
        <v>249</v>
      </c>
    </row>
    <row r="609">
      <c r="A609" s="218" t="s">
        <v>9057</v>
      </c>
      <c r="B609" s="218">
        <v>601.0</v>
      </c>
      <c r="C609" s="218">
        <v>2018.0</v>
      </c>
      <c r="D609" s="218">
        <v>85042.0</v>
      </c>
      <c r="E609" s="218" t="s">
        <v>8948</v>
      </c>
      <c r="F609" s="218" t="s">
        <v>8949</v>
      </c>
      <c r="G609" s="218">
        <v>10.0</v>
      </c>
      <c r="H609" s="218" t="s">
        <v>9032</v>
      </c>
      <c r="I609" s="218">
        <v>339030.0</v>
      </c>
      <c r="J609" s="218" t="s">
        <v>249</v>
      </c>
    </row>
    <row r="610">
      <c r="A610" s="218" t="s">
        <v>9057</v>
      </c>
      <c r="B610" s="218">
        <v>601.0</v>
      </c>
      <c r="C610" s="218">
        <v>2018.0</v>
      </c>
      <c r="D610" s="218">
        <v>85042.0</v>
      </c>
      <c r="E610" s="218" t="s">
        <v>8948</v>
      </c>
      <c r="F610" s="218" t="s">
        <v>8949</v>
      </c>
      <c r="G610" s="218">
        <v>10.0</v>
      </c>
      <c r="H610" s="218" t="s">
        <v>9032</v>
      </c>
      <c r="I610" s="218">
        <v>339030.0</v>
      </c>
      <c r="J610" s="218" t="s">
        <v>249</v>
      </c>
    </row>
    <row r="611">
      <c r="A611" s="218" t="s">
        <v>9057</v>
      </c>
      <c r="B611" s="218">
        <v>601.0</v>
      </c>
      <c r="C611" s="218">
        <v>2018.0</v>
      </c>
      <c r="D611" s="218">
        <v>85042.0</v>
      </c>
      <c r="E611" s="218" t="s">
        <v>8948</v>
      </c>
      <c r="F611" s="218" t="s">
        <v>8949</v>
      </c>
      <c r="G611" s="218">
        <v>10.0</v>
      </c>
      <c r="H611" s="218" t="s">
        <v>9032</v>
      </c>
      <c r="I611" s="218">
        <v>339030.0</v>
      </c>
      <c r="J611" s="218" t="s">
        <v>249</v>
      </c>
    </row>
    <row r="612">
      <c r="A612" s="218" t="s">
        <v>9057</v>
      </c>
      <c r="B612" s="218">
        <v>601.0</v>
      </c>
      <c r="C612" s="218">
        <v>2018.0</v>
      </c>
      <c r="D612" s="218">
        <v>85042.0</v>
      </c>
      <c r="E612" s="218" t="s">
        <v>8948</v>
      </c>
      <c r="F612" s="218" t="s">
        <v>8949</v>
      </c>
      <c r="G612" s="218">
        <v>10.0</v>
      </c>
      <c r="H612" s="218" t="s">
        <v>9032</v>
      </c>
      <c r="I612" s="218">
        <v>339030.0</v>
      </c>
      <c r="J612" s="218" t="s">
        <v>249</v>
      </c>
    </row>
    <row r="613">
      <c r="A613" s="218" t="s">
        <v>9057</v>
      </c>
      <c r="B613" s="218">
        <v>601.0</v>
      </c>
      <c r="C613" s="218">
        <v>2018.0</v>
      </c>
      <c r="D613" s="218">
        <v>85042.0</v>
      </c>
      <c r="E613" s="218" t="s">
        <v>8948</v>
      </c>
      <c r="F613" s="218" t="s">
        <v>8949</v>
      </c>
      <c r="G613" s="218">
        <v>10.0</v>
      </c>
      <c r="H613" s="218" t="s">
        <v>9032</v>
      </c>
      <c r="I613" s="218">
        <v>339030.0</v>
      </c>
      <c r="J613" s="218" t="s">
        <v>249</v>
      </c>
    </row>
    <row r="614">
      <c r="A614" s="218" t="s">
        <v>9057</v>
      </c>
      <c r="B614" s="218">
        <v>601.0</v>
      </c>
      <c r="C614" s="218">
        <v>2018.0</v>
      </c>
      <c r="D614" s="218">
        <v>85042.0</v>
      </c>
      <c r="E614" s="218" t="s">
        <v>8948</v>
      </c>
      <c r="F614" s="218" t="s">
        <v>8949</v>
      </c>
      <c r="G614" s="218">
        <v>10.0</v>
      </c>
      <c r="H614" s="218" t="s">
        <v>9032</v>
      </c>
      <c r="I614" s="218">
        <v>339030.0</v>
      </c>
      <c r="J614" s="218" t="s">
        <v>249</v>
      </c>
    </row>
    <row r="615">
      <c r="A615" s="218" t="s">
        <v>9057</v>
      </c>
      <c r="B615" s="218">
        <v>601.0</v>
      </c>
      <c r="C615" s="218">
        <v>2018.0</v>
      </c>
      <c r="D615" s="218">
        <v>85042.0</v>
      </c>
      <c r="E615" s="218" t="s">
        <v>8948</v>
      </c>
      <c r="F615" s="218" t="s">
        <v>8949</v>
      </c>
      <c r="G615" s="218">
        <v>10.0</v>
      </c>
      <c r="H615" s="218" t="s">
        <v>9032</v>
      </c>
      <c r="I615" s="218">
        <v>339030.0</v>
      </c>
      <c r="J615" s="218" t="s">
        <v>249</v>
      </c>
    </row>
    <row r="616">
      <c r="A616" s="218" t="s">
        <v>9057</v>
      </c>
      <c r="B616" s="218">
        <v>601.0</v>
      </c>
      <c r="C616" s="218">
        <v>2018.0</v>
      </c>
      <c r="D616" s="218">
        <v>85042.0</v>
      </c>
      <c r="E616" s="218" t="s">
        <v>8948</v>
      </c>
      <c r="F616" s="218" t="s">
        <v>8949</v>
      </c>
      <c r="G616" s="218">
        <v>10.0</v>
      </c>
      <c r="H616" s="218" t="s">
        <v>9032</v>
      </c>
      <c r="I616" s="218">
        <v>339030.0</v>
      </c>
      <c r="J616" s="218" t="s">
        <v>249</v>
      </c>
    </row>
    <row r="617">
      <c r="A617" s="218" t="s">
        <v>9057</v>
      </c>
      <c r="B617" s="218">
        <v>601.0</v>
      </c>
      <c r="C617" s="218">
        <v>2018.0</v>
      </c>
      <c r="D617" s="218">
        <v>85042.0</v>
      </c>
      <c r="E617" s="218" t="s">
        <v>8948</v>
      </c>
      <c r="F617" s="218" t="s">
        <v>8949</v>
      </c>
      <c r="G617" s="218">
        <v>10.0</v>
      </c>
      <c r="H617" s="218" t="s">
        <v>9032</v>
      </c>
      <c r="I617" s="218">
        <v>339030.0</v>
      </c>
      <c r="J617" s="218" t="s">
        <v>249</v>
      </c>
    </row>
    <row r="618">
      <c r="A618" s="218" t="s">
        <v>9057</v>
      </c>
      <c r="B618" s="218">
        <v>601.0</v>
      </c>
      <c r="C618" s="218">
        <v>2018.0</v>
      </c>
      <c r="D618" s="218">
        <v>85042.0</v>
      </c>
      <c r="E618" s="218" t="s">
        <v>8948</v>
      </c>
      <c r="F618" s="218" t="s">
        <v>8949</v>
      </c>
      <c r="G618" s="218">
        <v>10.0</v>
      </c>
      <c r="H618" s="218" t="s">
        <v>9032</v>
      </c>
      <c r="I618" s="218">
        <v>339030.0</v>
      </c>
      <c r="J618" s="218" t="s">
        <v>249</v>
      </c>
    </row>
    <row r="619">
      <c r="A619" s="218" t="s">
        <v>9057</v>
      </c>
      <c r="B619" s="218">
        <v>601.0</v>
      </c>
      <c r="C619" s="218">
        <v>2018.0</v>
      </c>
      <c r="D619" s="218">
        <v>85042.0</v>
      </c>
      <c r="E619" s="218" t="s">
        <v>8948</v>
      </c>
      <c r="F619" s="218" t="s">
        <v>8949</v>
      </c>
      <c r="G619" s="218">
        <v>10.0</v>
      </c>
      <c r="H619" s="218" t="s">
        <v>9032</v>
      </c>
      <c r="I619" s="218">
        <v>339030.0</v>
      </c>
      <c r="J619" s="218" t="s">
        <v>249</v>
      </c>
    </row>
    <row r="620">
      <c r="A620" s="218" t="s">
        <v>9057</v>
      </c>
      <c r="B620" s="218">
        <v>601.0</v>
      </c>
      <c r="C620" s="218">
        <v>2018.0</v>
      </c>
      <c r="D620" s="218">
        <v>85042.0</v>
      </c>
      <c r="E620" s="218" t="s">
        <v>8948</v>
      </c>
      <c r="F620" s="218" t="s">
        <v>8949</v>
      </c>
      <c r="G620" s="218">
        <v>10.0</v>
      </c>
      <c r="H620" s="218" t="s">
        <v>9032</v>
      </c>
      <c r="I620" s="218">
        <v>339030.0</v>
      </c>
      <c r="J620" s="218" t="s">
        <v>249</v>
      </c>
    </row>
    <row r="621">
      <c r="A621" s="218" t="s">
        <v>9057</v>
      </c>
      <c r="B621" s="218">
        <v>601.0</v>
      </c>
      <c r="C621" s="218">
        <v>2018.0</v>
      </c>
      <c r="D621" s="218">
        <v>85042.0</v>
      </c>
      <c r="E621" s="218" t="s">
        <v>8948</v>
      </c>
      <c r="F621" s="218" t="s">
        <v>8949</v>
      </c>
      <c r="G621" s="218">
        <v>10.0</v>
      </c>
      <c r="H621" s="218" t="s">
        <v>9032</v>
      </c>
      <c r="I621" s="218">
        <v>339030.0</v>
      </c>
      <c r="J621" s="218" t="s">
        <v>249</v>
      </c>
    </row>
    <row r="622">
      <c r="A622" s="218" t="s">
        <v>9057</v>
      </c>
      <c r="B622" s="218">
        <v>601.0</v>
      </c>
      <c r="C622" s="218">
        <v>2018.0</v>
      </c>
      <c r="D622" s="218">
        <v>85042.0</v>
      </c>
      <c r="E622" s="218" t="s">
        <v>8948</v>
      </c>
      <c r="F622" s="218" t="s">
        <v>8949</v>
      </c>
      <c r="G622" s="218">
        <v>10.0</v>
      </c>
      <c r="H622" s="218" t="s">
        <v>9032</v>
      </c>
      <c r="I622" s="218">
        <v>339030.0</v>
      </c>
      <c r="J622" s="218" t="s">
        <v>249</v>
      </c>
    </row>
    <row r="623">
      <c r="A623" s="218" t="s">
        <v>9057</v>
      </c>
      <c r="B623" s="218">
        <v>601.0</v>
      </c>
      <c r="C623" s="218">
        <v>2018.0</v>
      </c>
      <c r="D623" s="218">
        <v>85042.0</v>
      </c>
      <c r="E623" s="218" t="s">
        <v>8948</v>
      </c>
      <c r="F623" s="218" t="s">
        <v>8949</v>
      </c>
      <c r="G623" s="218">
        <v>10.0</v>
      </c>
      <c r="H623" s="218" t="s">
        <v>9032</v>
      </c>
      <c r="I623" s="218">
        <v>339030.0</v>
      </c>
      <c r="J623" s="218" t="s">
        <v>249</v>
      </c>
    </row>
    <row r="624">
      <c r="A624" s="218" t="s">
        <v>9057</v>
      </c>
      <c r="B624" s="218">
        <v>601.0</v>
      </c>
      <c r="C624" s="218">
        <v>2018.0</v>
      </c>
      <c r="D624" s="218">
        <v>85042.0</v>
      </c>
      <c r="E624" s="218" t="s">
        <v>8948</v>
      </c>
      <c r="F624" s="218" t="s">
        <v>8949</v>
      </c>
      <c r="G624" s="218">
        <v>10.0</v>
      </c>
      <c r="H624" s="218" t="s">
        <v>9032</v>
      </c>
      <c r="I624" s="218">
        <v>339030.0</v>
      </c>
      <c r="J624" s="218" t="s">
        <v>249</v>
      </c>
    </row>
    <row r="625">
      <c r="A625" s="218" t="s">
        <v>9057</v>
      </c>
      <c r="B625" s="218">
        <v>601.0</v>
      </c>
      <c r="C625" s="218">
        <v>2018.0</v>
      </c>
      <c r="D625" s="218">
        <v>85042.0</v>
      </c>
      <c r="E625" s="218" t="s">
        <v>8948</v>
      </c>
      <c r="F625" s="218" t="s">
        <v>8949</v>
      </c>
      <c r="G625" s="218">
        <v>10.0</v>
      </c>
      <c r="H625" s="218" t="s">
        <v>9032</v>
      </c>
      <c r="I625" s="218">
        <v>339030.0</v>
      </c>
      <c r="J625" s="218" t="s">
        <v>249</v>
      </c>
    </row>
    <row r="626">
      <c r="A626" s="218" t="s">
        <v>9057</v>
      </c>
      <c r="B626" s="218">
        <v>601.0</v>
      </c>
      <c r="C626" s="218">
        <v>2018.0</v>
      </c>
      <c r="D626" s="218">
        <v>85042.0</v>
      </c>
      <c r="E626" s="218" t="s">
        <v>8948</v>
      </c>
      <c r="F626" s="218" t="s">
        <v>8949</v>
      </c>
      <c r="G626" s="218">
        <v>10.0</v>
      </c>
      <c r="H626" s="218" t="s">
        <v>9032</v>
      </c>
      <c r="I626" s="218">
        <v>339030.0</v>
      </c>
      <c r="J626" s="218" t="s">
        <v>249</v>
      </c>
    </row>
    <row r="627">
      <c r="A627" s="218" t="s">
        <v>9057</v>
      </c>
      <c r="B627" s="218">
        <v>601.0</v>
      </c>
      <c r="C627" s="218">
        <v>2018.0</v>
      </c>
      <c r="D627" s="218">
        <v>85042.0</v>
      </c>
      <c r="E627" s="218" t="s">
        <v>8948</v>
      </c>
      <c r="F627" s="218" t="s">
        <v>8949</v>
      </c>
      <c r="G627" s="218">
        <v>10.0</v>
      </c>
      <c r="H627" s="218" t="s">
        <v>9032</v>
      </c>
      <c r="I627" s="218">
        <v>339030.0</v>
      </c>
      <c r="J627" s="218" t="s">
        <v>249</v>
      </c>
    </row>
    <row r="628">
      <c r="A628" s="218" t="s">
        <v>9057</v>
      </c>
      <c r="B628" s="218">
        <v>601.0</v>
      </c>
      <c r="C628" s="218">
        <v>2018.0</v>
      </c>
      <c r="D628" s="218">
        <v>85042.0</v>
      </c>
      <c r="E628" s="218" t="s">
        <v>8948</v>
      </c>
      <c r="F628" s="218" t="s">
        <v>8949</v>
      </c>
      <c r="G628" s="218">
        <v>10.0</v>
      </c>
      <c r="H628" s="218" t="s">
        <v>9032</v>
      </c>
      <c r="I628" s="218">
        <v>339030.0</v>
      </c>
      <c r="J628" s="218" t="s">
        <v>249</v>
      </c>
    </row>
    <row r="629">
      <c r="A629" s="218" t="s">
        <v>9057</v>
      </c>
      <c r="B629" s="218">
        <v>601.0</v>
      </c>
      <c r="C629" s="218">
        <v>2018.0</v>
      </c>
      <c r="D629" s="218">
        <v>85042.0</v>
      </c>
      <c r="E629" s="218" t="s">
        <v>8948</v>
      </c>
      <c r="F629" s="218" t="s">
        <v>8949</v>
      </c>
      <c r="G629" s="218">
        <v>10.0</v>
      </c>
      <c r="H629" s="218" t="s">
        <v>9032</v>
      </c>
      <c r="I629" s="218">
        <v>339030.0</v>
      </c>
      <c r="J629" s="218" t="s">
        <v>249</v>
      </c>
    </row>
    <row r="630">
      <c r="A630" s="218" t="s">
        <v>9057</v>
      </c>
      <c r="B630" s="218">
        <v>601.0</v>
      </c>
      <c r="C630" s="218">
        <v>2018.0</v>
      </c>
      <c r="D630" s="218">
        <v>85042.0</v>
      </c>
      <c r="E630" s="218" t="s">
        <v>8948</v>
      </c>
      <c r="F630" s="218" t="s">
        <v>8949</v>
      </c>
      <c r="G630" s="218">
        <v>10.0</v>
      </c>
      <c r="H630" s="218" t="s">
        <v>9032</v>
      </c>
      <c r="I630" s="218">
        <v>339030.0</v>
      </c>
      <c r="J630" s="218" t="s">
        <v>249</v>
      </c>
    </row>
    <row r="631">
      <c r="A631" s="218" t="s">
        <v>9057</v>
      </c>
      <c r="B631" s="218">
        <v>601.0</v>
      </c>
      <c r="C631" s="218">
        <v>2018.0</v>
      </c>
      <c r="D631" s="218">
        <v>85042.0</v>
      </c>
      <c r="E631" s="218" t="s">
        <v>8948</v>
      </c>
      <c r="F631" s="218" t="s">
        <v>8949</v>
      </c>
      <c r="G631" s="218">
        <v>10.0</v>
      </c>
      <c r="H631" s="218" t="s">
        <v>9032</v>
      </c>
      <c r="I631" s="218">
        <v>339030.0</v>
      </c>
      <c r="J631" s="218" t="s">
        <v>249</v>
      </c>
    </row>
    <row r="632">
      <c r="A632" s="218" t="s">
        <v>9057</v>
      </c>
      <c r="B632" s="218">
        <v>601.0</v>
      </c>
      <c r="C632" s="218">
        <v>2018.0</v>
      </c>
      <c r="D632" s="218">
        <v>85042.0</v>
      </c>
      <c r="E632" s="218" t="s">
        <v>8948</v>
      </c>
      <c r="F632" s="218" t="s">
        <v>8949</v>
      </c>
      <c r="G632" s="218">
        <v>10.0</v>
      </c>
      <c r="H632" s="218" t="s">
        <v>9032</v>
      </c>
      <c r="I632" s="218">
        <v>339030.0</v>
      </c>
      <c r="J632" s="218" t="s">
        <v>249</v>
      </c>
    </row>
    <row r="633">
      <c r="A633" s="218" t="s">
        <v>9057</v>
      </c>
      <c r="B633" s="218">
        <v>601.0</v>
      </c>
      <c r="C633" s="218">
        <v>2018.0</v>
      </c>
      <c r="D633" s="218">
        <v>85042.0</v>
      </c>
      <c r="E633" s="218" t="s">
        <v>8948</v>
      </c>
      <c r="F633" s="218" t="s">
        <v>8949</v>
      </c>
      <c r="G633" s="218">
        <v>10.0</v>
      </c>
      <c r="H633" s="218" t="s">
        <v>9032</v>
      </c>
      <c r="I633" s="218">
        <v>339030.0</v>
      </c>
      <c r="J633" s="218" t="s">
        <v>249</v>
      </c>
    </row>
    <row r="634">
      <c r="A634" s="218" t="s">
        <v>9057</v>
      </c>
      <c r="B634" s="218">
        <v>601.0</v>
      </c>
      <c r="C634" s="218">
        <v>2018.0</v>
      </c>
      <c r="D634" s="218">
        <v>85042.0</v>
      </c>
      <c r="E634" s="218" t="s">
        <v>8948</v>
      </c>
      <c r="F634" s="218" t="s">
        <v>8949</v>
      </c>
      <c r="G634" s="218">
        <v>10.0</v>
      </c>
      <c r="H634" s="218" t="s">
        <v>9032</v>
      </c>
      <c r="I634" s="218">
        <v>339030.0</v>
      </c>
      <c r="J634" s="218" t="s">
        <v>249</v>
      </c>
    </row>
    <row r="635">
      <c r="A635" s="218" t="s">
        <v>9057</v>
      </c>
      <c r="B635" s="218">
        <v>601.0</v>
      </c>
      <c r="C635" s="218">
        <v>2018.0</v>
      </c>
      <c r="D635" s="218">
        <v>85042.0</v>
      </c>
      <c r="E635" s="218" t="s">
        <v>8948</v>
      </c>
      <c r="F635" s="218" t="s">
        <v>8949</v>
      </c>
      <c r="G635" s="218">
        <v>10.0</v>
      </c>
      <c r="H635" s="218" t="s">
        <v>9032</v>
      </c>
      <c r="I635" s="218">
        <v>339030.0</v>
      </c>
      <c r="J635" s="218" t="s">
        <v>249</v>
      </c>
    </row>
    <row r="636">
      <c r="A636" s="218" t="s">
        <v>9057</v>
      </c>
      <c r="B636" s="218">
        <v>601.0</v>
      </c>
      <c r="C636" s="218">
        <v>2018.0</v>
      </c>
      <c r="D636" s="218">
        <v>85042.0</v>
      </c>
      <c r="E636" s="218" t="s">
        <v>8948</v>
      </c>
      <c r="F636" s="218" t="s">
        <v>8949</v>
      </c>
      <c r="G636" s="218">
        <v>10.0</v>
      </c>
      <c r="H636" s="218" t="s">
        <v>9032</v>
      </c>
      <c r="I636" s="218">
        <v>339030.0</v>
      </c>
      <c r="J636" s="218" t="s">
        <v>249</v>
      </c>
    </row>
    <row r="637">
      <c r="A637" s="218" t="s">
        <v>9057</v>
      </c>
      <c r="B637" s="218">
        <v>601.0</v>
      </c>
      <c r="C637" s="218">
        <v>2018.0</v>
      </c>
      <c r="D637" s="218">
        <v>85042.0</v>
      </c>
      <c r="E637" s="218" t="s">
        <v>8948</v>
      </c>
      <c r="F637" s="218" t="s">
        <v>8949</v>
      </c>
      <c r="G637" s="218">
        <v>10.0</v>
      </c>
      <c r="H637" s="218" t="s">
        <v>9032</v>
      </c>
      <c r="I637" s="218">
        <v>339030.0</v>
      </c>
      <c r="J637" s="218" t="s">
        <v>249</v>
      </c>
    </row>
    <row r="638">
      <c r="A638" s="218" t="s">
        <v>9057</v>
      </c>
      <c r="B638" s="218">
        <v>601.0</v>
      </c>
      <c r="C638" s="218">
        <v>2018.0</v>
      </c>
      <c r="D638" s="218">
        <v>85042.0</v>
      </c>
      <c r="E638" s="218" t="s">
        <v>8948</v>
      </c>
      <c r="F638" s="218" t="s">
        <v>8949</v>
      </c>
      <c r="G638" s="218">
        <v>10.0</v>
      </c>
      <c r="H638" s="218" t="s">
        <v>9032</v>
      </c>
      <c r="I638" s="218">
        <v>339030.0</v>
      </c>
      <c r="J638" s="218" t="s">
        <v>249</v>
      </c>
    </row>
    <row r="639">
      <c r="A639" s="218" t="s">
        <v>9057</v>
      </c>
      <c r="B639" s="218">
        <v>601.0</v>
      </c>
      <c r="C639" s="218">
        <v>2018.0</v>
      </c>
      <c r="D639" s="218">
        <v>85042.0</v>
      </c>
      <c r="E639" s="218" t="s">
        <v>8948</v>
      </c>
      <c r="F639" s="218" t="s">
        <v>8949</v>
      </c>
      <c r="G639" s="218">
        <v>10.0</v>
      </c>
      <c r="H639" s="218" t="s">
        <v>9032</v>
      </c>
      <c r="I639" s="218">
        <v>339030.0</v>
      </c>
      <c r="J639" s="218" t="s">
        <v>249</v>
      </c>
    </row>
    <row r="640">
      <c r="A640" s="218" t="s">
        <v>9057</v>
      </c>
      <c r="B640" s="218">
        <v>601.0</v>
      </c>
      <c r="C640" s="218">
        <v>2018.0</v>
      </c>
      <c r="D640" s="218">
        <v>85042.0</v>
      </c>
      <c r="E640" s="218" t="s">
        <v>8948</v>
      </c>
      <c r="F640" s="218" t="s">
        <v>8949</v>
      </c>
      <c r="G640" s="218">
        <v>10.0</v>
      </c>
      <c r="H640" s="218" t="s">
        <v>9032</v>
      </c>
      <c r="I640" s="218">
        <v>339030.0</v>
      </c>
      <c r="J640" s="218" t="s">
        <v>249</v>
      </c>
    </row>
    <row r="641">
      <c r="A641" s="218" t="s">
        <v>9057</v>
      </c>
      <c r="B641" s="218">
        <v>601.0</v>
      </c>
      <c r="C641" s="218">
        <v>2018.0</v>
      </c>
      <c r="D641" s="218">
        <v>85042.0</v>
      </c>
      <c r="E641" s="218" t="s">
        <v>8948</v>
      </c>
      <c r="F641" s="218" t="s">
        <v>8949</v>
      </c>
      <c r="G641" s="218">
        <v>10.0</v>
      </c>
      <c r="H641" s="218" t="s">
        <v>9032</v>
      </c>
      <c r="I641" s="218">
        <v>339030.0</v>
      </c>
      <c r="J641" s="218" t="s">
        <v>249</v>
      </c>
    </row>
    <row r="642">
      <c r="A642" s="218" t="s">
        <v>9058</v>
      </c>
      <c r="B642" s="218">
        <v>653.0</v>
      </c>
      <c r="C642" s="218">
        <v>2018.0</v>
      </c>
      <c r="D642" s="218">
        <v>107702.0</v>
      </c>
      <c r="E642" s="218" t="s">
        <v>8715</v>
      </c>
      <c r="F642" s="218" t="s">
        <v>8716</v>
      </c>
      <c r="G642" s="218">
        <v>69.0</v>
      </c>
      <c r="H642" s="218" t="s">
        <v>8874</v>
      </c>
      <c r="I642" s="218">
        <v>339039.0</v>
      </c>
      <c r="J642" s="218" t="s">
        <v>8720</v>
      </c>
    </row>
    <row r="643">
      <c r="A643" s="218" t="s">
        <v>9059</v>
      </c>
      <c r="B643" s="218">
        <v>700.0</v>
      </c>
      <c r="C643" s="218">
        <v>2018.0</v>
      </c>
      <c r="D643" s="218">
        <v>107702.0</v>
      </c>
      <c r="E643" s="218" t="s">
        <v>8715</v>
      </c>
      <c r="F643" s="218" t="s">
        <v>8716</v>
      </c>
      <c r="G643" s="218">
        <v>16.0</v>
      </c>
      <c r="H643" s="218" t="s">
        <v>8775</v>
      </c>
      <c r="I643" s="218">
        <v>339039.0</v>
      </c>
      <c r="J643" s="218" t="s">
        <v>8720</v>
      </c>
    </row>
    <row r="644">
      <c r="A644" s="218" t="s">
        <v>9059</v>
      </c>
      <c r="B644" s="218">
        <v>706.0</v>
      </c>
      <c r="C644" s="218">
        <v>2018.0</v>
      </c>
      <c r="D644" s="218">
        <v>107702.0</v>
      </c>
      <c r="E644" s="218" t="s">
        <v>8715</v>
      </c>
      <c r="F644" s="218" t="s">
        <v>8716</v>
      </c>
      <c r="G644" s="218">
        <v>24.0</v>
      </c>
      <c r="H644" s="218" t="s">
        <v>8774</v>
      </c>
      <c r="I644" s="218">
        <v>339030.0</v>
      </c>
      <c r="J644" s="218" t="s">
        <v>249</v>
      </c>
    </row>
    <row r="645">
      <c r="A645" s="218" t="s">
        <v>9060</v>
      </c>
      <c r="B645" s="218">
        <v>540.0</v>
      </c>
      <c r="C645" s="218">
        <v>2018.0</v>
      </c>
      <c r="D645" s="218">
        <v>107702.0</v>
      </c>
      <c r="E645" s="218" t="s">
        <v>8715</v>
      </c>
      <c r="F645" s="218" t="s">
        <v>8716</v>
      </c>
      <c r="G645" s="218">
        <v>10.0</v>
      </c>
      <c r="H645" s="218" t="s">
        <v>8726</v>
      </c>
      <c r="I645" s="218">
        <v>339047.0</v>
      </c>
      <c r="J645" s="218" t="s">
        <v>8718</v>
      </c>
    </row>
    <row r="646">
      <c r="A646" s="218" t="s">
        <v>9061</v>
      </c>
      <c r="B646" s="218">
        <v>544.0</v>
      </c>
      <c r="C646" s="218">
        <v>2018.0</v>
      </c>
      <c r="D646" s="218">
        <v>107702.0</v>
      </c>
      <c r="E646" s="218" t="s">
        <v>8715</v>
      </c>
      <c r="F646" s="218" t="s">
        <v>8716</v>
      </c>
      <c r="G646" s="218">
        <v>74.0</v>
      </c>
      <c r="H646" s="218" t="s">
        <v>8840</v>
      </c>
      <c r="I646" s="218">
        <v>339039.0</v>
      </c>
      <c r="J646" s="218" t="s">
        <v>8720</v>
      </c>
    </row>
    <row r="647">
      <c r="A647" s="218" t="s">
        <v>9062</v>
      </c>
      <c r="B647" s="218">
        <v>1133.0</v>
      </c>
      <c r="C647" s="218">
        <v>2018.0</v>
      </c>
      <c r="D647" s="218">
        <v>107702.0</v>
      </c>
      <c r="E647" s="218" t="s">
        <v>8715</v>
      </c>
      <c r="F647" s="218" t="s">
        <v>8716</v>
      </c>
      <c r="G647" s="218">
        <v>77.0</v>
      </c>
      <c r="H647" s="218" t="s">
        <v>8815</v>
      </c>
      <c r="I647" s="218">
        <v>339039.0</v>
      </c>
      <c r="J647" s="218" t="s">
        <v>8720</v>
      </c>
    </row>
    <row r="648">
      <c r="A648" s="218" t="s">
        <v>9062</v>
      </c>
      <c r="B648" s="218">
        <v>1136.0</v>
      </c>
      <c r="C648" s="218">
        <v>2018.0</v>
      </c>
      <c r="D648" s="218">
        <v>107702.0</v>
      </c>
      <c r="E648" s="218" t="s">
        <v>8715</v>
      </c>
      <c r="F648" s="218" t="s">
        <v>8716</v>
      </c>
      <c r="G648" s="218">
        <v>77.0</v>
      </c>
      <c r="H648" s="218" t="s">
        <v>8815</v>
      </c>
      <c r="I648" s="218">
        <v>339039.0</v>
      </c>
      <c r="J648" s="218" t="s">
        <v>8720</v>
      </c>
    </row>
    <row r="649">
      <c r="A649" s="218" t="s">
        <v>9063</v>
      </c>
      <c r="B649" s="218">
        <v>945.0</v>
      </c>
      <c r="C649" s="218">
        <v>2018.0</v>
      </c>
      <c r="D649" s="218">
        <v>107702.0</v>
      </c>
      <c r="E649" s="218" t="s">
        <v>8715</v>
      </c>
      <c r="F649" s="218" t="s">
        <v>8716</v>
      </c>
      <c r="G649" s="218">
        <v>24.0</v>
      </c>
      <c r="H649" s="218" t="s">
        <v>8774</v>
      </c>
      <c r="I649" s="218">
        <v>339030.0</v>
      </c>
      <c r="J649" s="218" t="s">
        <v>249</v>
      </c>
    </row>
    <row r="650">
      <c r="A650" s="218" t="s">
        <v>9063</v>
      </c>
      <c r="B650" s="218">
        <v>944.0</v>
      </c>
      <c r="C650" s="218">
        <v>2018.0</v>
      </c>
      <c r="D650" s="218">
        <v>107702.0</v>
      </c>
      <c r="E650" s="218" t="s">
        <v>8715</v>
      </c>
      <c r="F650" s="218" t="s">
        <v>8716</v>
      </c>
      <c r="G650" s="218">
        <v>16.0</v>
      </c>
      <c r="H650" s="218" t="s">
        <v>8775</v>
      </c>
      <c r="I650" s="218">
        <v>339039.0</v>
      </c>
      <c r="J650" s="218" t="s">
        <v>8720</v>
      </c>
    </row>
    <row r="651">
      <c r="A651" s="218" t="s">
        <v>9064</v>
      </c>
      <c r="B651" s="218">
        <v>548.0</v>
      </c>
      <c r="C651" s="218">
        <v>2018.0</v>
      </c>
      <c r="D651" s="218">
        <v>107702.0</v>
      </c>
      <c r="E651" s="218" t="s">
        <v>8715</v>
      </c>
      <c r="F651" s="218" t="s">
        <v>8716</v>
      </c>
      <c r="G651" s="218">
        <v>6.0</v>
      </c>
      <c r="H651" s="218" t="s">
        <v>9065</v>
      </c>
      <c r="I651" s="218">
        <v>449052.0</v>
      </c>
      <c r="J651" s="218" t="s">
        <v>362</v>
      </c>
    </row>
    <row r="652">
      <c r="A652" s="218" t="s">
        <v>9066</v>
      </c>
      <c r="B652" s="218">
        <v>589.0</v>
      </c>
      <c r="C652" s="218">
        <v>2018.0</v>
      </c>
      <c r="D652" s="218">
        <v>85048.0</v>
      </c>
      <c r="E652" s="218" t="s">
        <v>8968</v>
      </c>
      <c r="F652" s="218" t="s">
        <v>8969</v>
      </c>
      <c r="G652" s="218">
        <v>48.0</v>
      </c>
      <c r="H652" s="218" t="s">
        <v>8970</v>
      </c>
      <c r="I652" s="218">
        <v>339039.0</v>
      </c>
      <c r="J652" s="218" t="s">
        <v>8720</v>
      </c>
    </row>
    <row r="653">
      <c r="A653" s="218" t="s">
        <v>9067</v>
      </c>
      <c r="B653" s="218">
        <v>594.0</v>
      </c>
      <c r="C653" s="218">
        <v>2018.0</v>
      </c>
      <c r="D653" s="218">
        <v>107702.0</v>
      </c>
      <c r="E653" s="218" t="s">
        <v>8715</v>
      </c>
      <c r="F653" s="218" t="s">
        <v>8716</v>
      </c>
      <c r="G653" s="218">
        <v>19.0</v>
      </c>
      <c r="H653" s="218" t="s">
        <v>858</v>
      </c>
      <c r="I653" s="218">
        <v>339040.0</v>
      </c>
      <c r="J653" s="218" t="s">
        <v>136</v>
      </c>
    </row>
    <row r="654">
      <c r="A654" s="218" t="s">
        <v>9068</v>
      </c>
      <c r="B654" s="218">
        <v>584.0</v>
      </c>
      <c r="C654" s="218">
        <v>2018.0</v>
      </c>
      <c r="D654" s="218">
        <v>107702.0</v>
      </c>
      <c r="E654" s="218" t="s">
        <v>8715</v>
      </c>
      <c r="F654" s="218" t="s">
        <v>8716</v>
      </c>
      <c r="G654" s="218">
        <v>23.0</v>
      </c>
      <c r="H654" s="218" t="s">
        <v>9069</v>
      </c>
      <c r="I654" s="218">
        <v>339030.0</v>
      </c>
      <c r="J654" s="218" t="s">
        <v>249</v>
      </c>
    </row>
    <row r="655">
      <c r="A655" s="218" t="s">
        <v>9068</v>
      </c>
      <c r="B655" s="218">
        <v>584.0</v>
      </c>
      <c r="C655" s="218">
        <v>2018.0</v>
      </c>
      <c r="D655" s="218">
        <v>107702.0</v>
      </c>
      <c r="E655" s="218" t="s">
        <v>8715</v>
      </c>
      <c r="F655" s="218" t="s">
        <v>8716</v>
      </c>
      <c r="G655" s="218">
        <v>23.0</v>
      </c>
      <c r="H655" s="218" t="s">
        <v>9069</v>
      </c>
      <c r="I655" s="218">
        <v>339030.0</v>
      </c>
      <c r="J655" s="218" t="s">
        <v>249</v>
      </c>
    </row>
    <row r="656">
      <c r="A656" s="218" t="s">
        <v>9068</v>
      </c>
      <c r="B656" s="218">
        <v>584.0</v>
      </c>
      <c r="C656" s="218">
        <v>2018.0</v>
      </c>
      <c r="D656" s="218">
        <v>107702.0</v>
      </c>
      <c r="E656" s="218" t="s">
        <v>8715</v>
      </c>
      <c r="F656" s="218" t="s">
        <v>8716</v>
      </c>
      <c r="G656" s="218">
        <v>23.0</v>
      </c>
      <c r="H656" s="218" t="s">
        <v>9069</v>
      </c>
      <c r="I656" s="218">
        <v>339030.0</v>
      </c>
      <c r="J656" s="218" t="s">
        <v>249</v>
      </c>
    </row>
    <row r="657">
      <c r="A657" s="218" t="s">
        <v>9068</v>
      </c>
      <c r="B657" s="218">
        <v>584.0</v>
      </c>
      <c r="C657" s="218">
        <v>2018.0</v>
      </c>
      <c r="D657" s="218">
        <v>107702.0</v>
      </c>
      <c r="E657" s="218" t="s">
        <v>8715</v>
      </c>
      <c r="F657" s="218" t="s">
        <v>8716</v>
      </c>
      <c r="G657" s="218">
        <v>23.0</v>
      </c>
      <c r="H657" s="218" t="s">
        <v>9069</v>
      </c>
      <c r="I657" s="218">
        <v>339030.0</v>
      </c>
      <c r="J657" s="218" t="s">
        <v>249</v>
      </c>
    </row>
    <row r="658">
      <c r="A658" s="218" t="s">
        <v>9068</v>
      </c>
      <c r="B658" s="218">
        <v>584.0</v>
      </c>
      <c r="C658" s="218">
        <v>2018.0</v>
      </c>
      <c r="D658" s="218">
        <v>107702.0</v>
      </c>
      <c r="E658" s="218" t="s">
        <v>8715</v>
      </c>
      <c r="F658" s="218" t="s">
        <v>8716</v>
      </c>
      <c r="G658" s="218">
        <v>23.0</v>
      </c>
      <c r="H658" s="218" t="s">
        <v>9069</v>
      </c>
      <c r="I658" s="218">
        <v>339030.0</v>
      </c>
      <c r="J658" s="218" t="s">
        <v>249</v>
      </c>
    </row>
    <row r="659">
      <c r="A659" s="218" t="s">
        <v>9068</v>
      </c>
      <c r="B659" s="218">
        <v>584.0</v>
      </c>
      <c r="C659" s="218">
        <v>2018.0</v>
      </c>
      <c r="D659" s="218">
        <v>107702.0</v>
      </c>
      <c r="E659" s="218" t="s">
        <v>8715</v>
      </c>
      <c r="F659" s="218" t="s">
        <v>8716</v>
      </c>
      <c r="G659" s="218">
        <v>23.0</v>
      </c>
      <c r="H659" s="218" t="s">
        <v>9069</v>
      </c>
      <c r="I659" s="218">
        <v>339030.0</v>
      </c>
      <c r="J659" s="218" t="s">
        <v>249</v>
      </c>
    </row>
    <row r="660">
      <c r="A660" s="218" t="s">
        <v>9070</v>
      </c>
      <c r="B660" s="218">
        <v>553.0</v>
      </c>
      <c r="C660" s="218">
        <v>2018.0</v>
      </c>
      <c r="D660" s="218">
        <v>107702.0</v>
      </c>
      <c r="E660" s="218" t="s">
        <v>8715</v>
      </c>
      <c r="F660" s="218" t="s">
        <v>8716</v>
      </c>
      <c r="G660" s="218">
        <v>10.0</v>
      </c>
      <c r="H660" s="218" t="s">
        <v>8726</v>
      </c>
      <c r="I660" s="218">
        <v>339047.0</v>
      </c>
      <c r="J660" s="218" t="s">
        <v>8718</v>
      </c>
    </row>
    <row r="661">
      <c r="A661" s="218" t="s">
        <v>9070</v>
      </c>
      <c r="B661" s="218">
        <v>554.0</v>
      </c>
      <c r="C661" s="218">
        <v>2018.0</v>
      </c>
      <c r="D661" s="218">
        <v>107702.0</v>
      </c>
      <c r="E661" s="218" t="s">
        <v>8715</v>
      </c>
      <c r="F661" s="218" t="s">
        <v>8716</v>
      </c>
      <c r="G661" s="218">
        <v>10.0</v>
      </c>
      <c r="H661" s="218" t="s">
        <v>8726</v>
      </c>
      <c r="I661" s="218">
        <v>339047.0</v>
      </c>
      <c r="J661" s="218" t="s">
        <v>8718</v>
      </c>
    </row>
    <row r="662">
      <c r="A662" s="218" t="s">
        <v>9070</v>
      </c>
      <c r="B662" s="218">
        <v>552.0</v>
      </c>
      <c r="C662" s="218">
        <v>2018.0</v>
      </c>
      <c r="D662" s="218">
        <v>107702.0</v>
      </c>
      <c r="E662" s="218" t="s">
        <v>8715</v>
      </c>
      <c r="F662" s="218" t="s">
        <v>8716</v>
      </c>
      <c r="G662" s="218">
        <v>10.0</v>
      </c>
      <c r="H662" s="218" t="s">
        <v>8726</v>
      </c>
      <c r="I662" s="218">
        <v>339047.0</v>
      </c>
      <c r="J662" s="218" t="s">
        <v>8718</v>
      </c>
    </row>
    <row r="663">
      <c r="A663" s="218" t="s">
        <v>9071</v>
      </c>
      <c r="B663" s="218">
        <v>588.0</v>
      </c>
      <c r="C663" s="218">
        <v>2018.0</v>
      </c>
      <c r="D663" s="218">
        <v>107702.0</v>
      </c>
      <c r="E663" s="218" t="s">
        <v>8715</v>
      </c>
      <c r="F663" s="218" t="s">
        <v>8716</v>
      </c>
      <c r="G663" s="218">
        <v>42.0</v>
      </c>
      <c r="H663" s="218" t="s">
        <v>8901</v>
      </c>
      <c r="I663" s="218">
        <v>449052.0</v>
      </c>
      <c r="J663" s="218" t="s">
        <v>362</v>
      </c>
    </row>
    <row r="664">
      <c r="A664" s="218" t="s">
        <v>9072</v>
      </c>
      <c r="B664" s="218">
        <v>579.0</v>
      </c>
      <c r="C664" s="218">
        <v>2018.0</v>
      </c>
      <c r="D664" s="218">
        <v>107702.0</v>
      </c>
      <c r="E664" s="218" t="s">
        <v>8715</v>
      </c>
      <c r="F664" s="218" t="s">
        <v>8716</v>
      </c>
      <c r="G664" s="218">
        <v>1.0</v>
      </c>
      <c r="H664" s="218" t="s">
        <v>8946</v>
      </c>
      <c r="I664" s="218">
        <v>339039.0</v>
      </c>
      <c r="J664" s="218" t="s">
        <v>8720</v>
      </c>
    </row>
    <row r="665">
      <c r="A665" s="218" t="s">
        <v>9073</v>
      </c>
      <c r="B665" s="218">
        <v>595.0</v>
      </c>
      <c r="C665" s="218">
        <v>2018.0</v>
      </c>
      <c r="D665" s="218">
        <v>85048.0</v>
      </c>
      <c r="E665" s="218" t="s">
        <v>8968</v>
      </c>
      <c r="F665" s="218" t="s">
        <v>8969</v>
      </c>
      <c r="G665" s="218">
        <v>48.0</v>
      </c>
      <c r="H665" s="218" t="s">
        <v>8970</v>
      </c>
      <c r="I665" s="218">
        <v>339039.0</v>
      </c>
      <c r="J665" s="218" t="s">
        <v>8720</v>
      </c>
    </row>
    <row r="666">
      <c r="A666" s="218" t="s">
        <v>9074</v>
      </c>
      <c r="B666" s="218">
        <v>694.0</v>
      </c>
      <c r="C666" s="218">
        <v>2018.0</v>
      </c>
      <c r="D666" s="218">
        <v>107703.0</v>
      </c>
      <c r="E666" s="218" t="s">
        <v>8999</v>
      </c>
      <c r="F666" s="218" t="s">
        <v>9000</v>
      </c>
      <c r="G666" s="218">
        <v>33.0</v>
      </c>
      <c r="H666" s="218" t="s">
        <v>8889</v>
      </c>
      <c r="I666" s="218">
        <v>449052.0</v>
      </c>
      <c r="J666" s="218" t="s">
        <v>362</v>
      </c>
    </row>
    <row r="667">
      <c r="A667" s="218" t="s">
        <v>9074</v>
      </c>
      <c r="B667" s="218">
        <v>693.0</v>
      </c>
      <c r="C667" s="218">
        <v>2018.0</v>
      </c>
      <c r="D667" s="218">
        <v>107703.0</v>
      </c>
      <c r="E667" s="218" t="s">
        <v>8999</v>
      </c>
      <c r="F667" s="218" t="s">
        <v>9000</v>
      </c>
      <c r="G667" s="218">
        <v>33.0</v>
      </c>
      <c r="H667" s="218" t="s">
        <v>8889</v>
      </c>
      <c r="I667" s="218">
        <v>449052.0</v>
      </c>
      <c r="J667" s="218" t="s">
        <v>362</v>
      </c>
    </row>
    <row r="668">
      <c r="A668" s="218" t="s">
        <v>9075</v>
      </c>
      <c r="B668" s="218">
        <v>581.0</v>
      </c>
      <c r="C668" s="218">
        <v>2018.0</v>
      </c>
      <c r="D668" s="218">
        <v>107702.0</v>
      </c>
      <c r="E668" s="218" t="s">
        <v>8715</v>
      </c>
      <c r="F668" s="218" t="s">
        <v>8716</v>
      </c>
      <c r="G668" s="218">
        <v>77.0</v>
      </c>
      <c r="H668" s="218" t="s">
        <v>8815</v>
      </c>
      <c r="I668" s="218">
        <v>339039.0</v>
      </c>
      <c r="J668" s="218" t="s">
        <v>8720</v>
      </c>
    </row>
    <row r="669">
      <c r="A669" s="218" t="s">
        <v>9076</v>
      </c>
      <c r="B669" s="218">
        <v>1174.0</v>
      </c>
      <c r="C669" s="218">
        <v>2018.0</v>
      </c>
      <c r="D669" s="218">
        <v>127285.0</v>
      </c>
      <c r="E669" s="432">
        <v>2.12205714256E19</v>
      </c>
      <c r="F669" s="218" t="s">
        <v>9077</v>
      </c>
      <c r="G669" s="218">
        <v>59.0</v>
      </c>
      <c r="H669" s="218" t="s">
        <v>9078</v>
      </c>
      <c r="I669" s="218">
        <v>339030.0</v>
      </c>
      <c r="J669" s="218" t="s">
        <v>249</v>
      </c>
    </row>
    <row r="670">
      <c r="A670" s="218" t="s">
        <v>9076</v>
      </c>
      <c r="B670" s="218">
        <v>1174.0</v>
      </c>
      <c r="C670" s="218">
        <v>2018.0</v>
      </c>
      <c r="D670" s="218">
        <v>127285.0</v>
      </c>
      <c r="E670" s="432">
        <v>2.12205714256E19</v>
      </c>
      <c r="F670" s="218" t="s">
        <v>9077</v>
      </c>
      <c r="G670" s="218">
        <v>59.0</v>
      </c>
      <c r="H670" s="218" t="s">
        <v>9078</v>
      </c>
      <c r="I670" s="218">
        <v>339030.0</v>
      </c>
      <c r="J670" s="218" t="s">
        <v>249</v>
      </c>
    </row>
    <row r="671">
      <c r="A671" s="218" t="s">
        <v>9076</v>
      </c>
      <c r="B671" s="218">
        <v>1174.0</v>
      </c>
      <c r="C671" s="218">
        <v>2018.0</v>
      </c>
      <c r="D671" s="218">
        <v>127285.0</v>
      </c>
      <c r="E671" s="432">
        <v>2.12205714256E19</v>
      </c>
      <c r="F671" s="218" t="s">
        <v>9077</v>
      </c>
      <c r="G671" s="218">
        <v>59.0</v>
      </c>
      <c r="H671" s="218" t="s">
        <v>9078</v>
      </c>
      <c r="I671" s="218">
        <v>339030.0</v>
      </c>
      <c r="J671" s="218" t="s">
        <v>249</v>
      </c>
    </row>
    <row r="672">
      <c r="A672" s="218" t="s">
        <v>9076</v>
      </c>
      <c r="B672" s="218">
        <v>837.0</v>
      </c>
      <c r="C672" s="218">
        <v>2018.0</v>
      </c>
      <c r="D672" s="218">
        <v>107702.0</v>
      </c>
      <c r="E672" s="218" t="s">
        <v>8715</v>
      </c>
      <c r="F672" s="218" t="s">
        <v>8716</v>
      </c>
      <c r="G672" s="218">
        <v>63.0</v>
      </c>
      <c r="H672" s="218" t="s">
        <v>9012</v>
      </c>
      <c r="I672" s="218">
        <v>339039.0</v>
      </c>
      <c r="J672" s="218" t="s">
        <v>8720</v>
      </c>
    </row>
    <row r="673">
      <c r="A673" s="218" t="s">
        <v>9076</v>
      </c>
      <c r="B673" s="218">
        <v>1174.0</v>
      </c>
      <c r="C673" s="218">
        <v>2018.0</v>
      </c>
      <c r="D673" s="218">
        <v>127285.0</v>
      </c>
      <c r="E673" s="432">
        <v>2.12205714256E19</v>
      </c>
      <c r="F673" s="218" t="s">
        <v>9077</v>
      </c>
      <c r="G673" s="218">
        <v>59.0</v>
      </c>
      <c r="H673" s="218" t="s">
        <v>9078</v>
      </c>
      <c r="I673" s="218">
        <v>339030.0</v>
      </c>
      <c r="J673" s="218" t="s">
        <v>249</v>
      </c>
    </row>
    <row r="674">
      <c r="A674" s="218" t="s">
        <v>9076</v>
      </c>
      <c r="B674" s="218">
        <v>1174.0</v>
      </c>
      <c r="C674" s="218">
        <v>2018.0</v>
      </c>
      <c r="D674" s="218">
        <v>127285.0</v>
      </c>
      <c r="E674" s="432">
        <v>2.12205714256E19</v>
      </c>
      <c r="F674" s="218" t="s">
        <v>9077</v>
      </c>
      <c r="G674" s="218">
        <v>59.0</v>
      </c>
      <c r="H674" s="218" t="s">
        <v>9078</v>
      </c>
      <c r="I674" s="218">
        <v>339030.0</v>
      </c>
      <c r="J674" s="218" t="s">
        <v>249</v>
      </c>
    </row>
    <row r="675">
      <c r="A675" s="218" t="s">
        <v>9076</v>
      </c>
      <c r="B675" s="218">
        <v>838.0</v>
      </c>
      <c r="C675" s="218">
        <v>2018.0</v>
      </c>
      <c r="D675" s="218">
        <v>107702.0</v>
      </c>
      <c r="E675" s="218" t="s">
        <v>8715</v>
      </c>
      <c r="F675" s="218" t="s">
        <v>8716</v>
      </c>
      <c r="G675" s="218">
        <v>63.0</v>
      </c>
      <c r="H675" s="218" t="s">
        <v>9012</v>
      </c>
      <c r="I675" s="218">
        <v>339039.0</v>
      </c>
      <c r="J675" s="218" t="s">
        <v>8720</v>
      </c>
    </row>
    <row r="676">
      <c r="A676" s="218" t="s">
        <v>9076</v>
      </c>
      <c r="B676" s="218">
        <v>1174.0</v>
      </c>
      <c r="C676" s="218">
        <v>2018.0</v>
      </c>
      <c r="D676" s="218">
        <v>127285.0</v>
      </c>
      <c r="E676" s="432">
        <v>2.12205714256E19</v>
      </c>
      <c r="F676" s="218" t="s">
        <v>9077</v>
      </c>
      <c r="G676" s="218">
        <v>59.0</v>
      </c>
      <c r="H676" s="218" t="s">
        <v>9078</v>
      </c>
      <c r="I676" s="218">
        <v>339030.0</v>
      </c>
      <c r="J676" s="218" t="s">
        <v>249</v>
      </c>
    </row>
    <row r="677">
      <c r="A677" s="218" t="s">
        <v>9079</v>
      </c>
      <c r="B677" s="218">
        <v>597.0</v>
      </c>
      <c r="C677" s="218">
        <v>2018.0</v>
      </c>
      <c r="D677" s="218">
        <v>107702.0</v>
      </c>
      <c r="E677" s="218" t="s">
        <v>8715</v>
      </c>
      <c r="F677" s="218" t="s">
        <v>8716</v>
      </c>
      <c r="G677" s="218">
        <v>4.0</v>
      </c>
      <c r="H677" s="218" t="s">
        <v>9080</v>
      </c>
      <c r="I677" s="218">
        <v>339033.0</v>
      </c>
      <c r="J677" s="218" t="s">
        <v>8788</v>
      </c>
    </row>
    <row r="678">
      <c r="A678" s="218" t="s">
        <v>9079</v>
      </c>
      <c r="B678" s="218">
        <v>596.0</v>
      </c>
      <c r="C678" s="218">
        <v>2018.0</v>
      </c>
      <c r="D678" s="218">
        <v>107702.0</v>
      </c>
      <c r="E678" s="218" t="s">
        <v>8715</v>
      </c>
      <c r="F678" s="218" t="s">
        <v>8716</v>
      </c>
      <c r="G678" s="218">
        <v>7.0</v>
      </c>
      <c r="H678" s="218" t="s">
        <v>8915</v>
      </c>
      <c r="I678" s="218">
        <v>339030.0</v>
      </c>
      <c r="J678" s="218" t="s">
        <v>249</v>
      </c>
    </row>
    <row r="679">
      <c r="A679" s="218" t="s">
        <v>9081</v>
      </c>
      <c r="B679" s="218">
        <v>604.0</v>
      </c>
      <c r="C679" s="218">
        <v>2018.0</v>
      </c>
      <c r="D679" s="218">
        <v>85048.0</v>
      </c>
      <c r="E679" s="218" t="s">
        <v>8968</v>
      </c>
      <c r="F679" s="218" t="s">
        <v>8969</v>
      </c>
      <c r="G679" s="218">
        <v>48.0</v>
      </c>
      <c r="H679" s="218" t="s">
        <v>8970</v>
      </c>
      <c r="I679" s="218">
        <v>339039.0</v>
      </c>
      <c r="J679" s="218" t="s">
        <v>8720</v>
      </c>
    </row>
    <row r="680">
      <c r="A680" s="218" t="s">
        <v>9082</v>
      </c>
      <c r="B680" s="218">
        <v>598.0</v>
      </c>
      <c r="C680" s="218">
        <v>2018.0</v>
      </c>
      <c r="D680" s="218">
        <v>85048.0</v>
      </c>
      <c r="E680" s="218" t="s">
        <v>8968</v>
      </c>
      <c r="F680" s="218" t="s">
        <v>8969</v>
      </c>
      <c r="G680" s="218">
        <v>48.0</v>
      </c>
      <c r="H680" s="218" t="s">
        <v>8970</v>
      </c>
      <c r="I680" s="218">
        <v>339039.0</v>
      </c>
      <c r="J680" s="218" t="s">
        <v>8720</v>
      </c>
    </row>
    <row r="681">
      <c r="A681" s="218" t="s">
        <v>9083</v>
      </c>
      <c r="B681" s="218">
        <v>608.0</v>
      </c>
      <c r="C681" s="218">
        <v>2018.0</v>
      </c>
      <c r="D681" s="218">
        <v>107702.0</v>
      </c>
      <c r="E681" s="218" t="s">
        <v>8715</v>
      </c>
      <c r="F681" s="218" t="s">
        <v>8716</v>
      </c>
      <c r="G681" s="218">
        <v>44.0</v>
      </c>
      <c r="H681" s="218" t="s">
        <v>8934</v>
      </c>
      <c r="I681" s="218">
        <v>339030.0</v>
      </c>
      <c r="J681" s="218" t="s">
        <v>249</v>
      </c>
    </row>
    <row r="682">
      <c r="A682" s="218" t="s">
        <v>9083</v>
      </c>
      <c r="B682" s="218">
        <v>608.0</v>
      </c>
      <c r="C682" s="218">
        <v>2018.0</v>
      </c>
      <c r="D682" s="218">
        <v>107702.0</v>
      </c>
      <c r="E682" s="218" t="s">
        <v>8715</v>
      </c>
      <c r="F682" s="218" t="s">
        <v>8716</v>
      </c>
      <c r="G682" s="218">
        <v>44.0</v>
      </c>
      <c r="H682" s="218" t="s">
        <v>8934</v>
      </c>
      <c r="I682" s="218">
        <v>339030.0</v>
      </c>
      <c r="J682" s="218" t="s">
        <v>249</v>
      </c>
    </row>
    <row r="683">
      <c r="A683" s="218" t="s">
        <v>9083</v>
      </c>
      <c r="B683" s="218">
        <v>608.0</v>
      </c>
      <c r="C683" s="218">
        <v>2018.0</v>
      </c>
      <c r="D683" s="218">
        <v>107702.0</v>
      </c>
      <c r="E683" s="218" t="s">
        <v>8715</v>
      </c>
      <c r="F683" s="218" t="s">
        <v>8716</v>
      </c>
      <c r="G683" s="218">
        <v>44.0</v>
      </c>
      <c r="H683" s="218" t="s">
        <v>8934</v>
      </c>
      <c r="I683" s="218">
        <v>339030.0</v>
      </c>
      <c r="J683" s="218" t="s">
        <v>249</v>
      </c>
    </row>
    <row r="684">
      <c r="A684" s="218" t="s">
        <v>9083</v>
      </c>
      <c r="B684" s="218">
        <v>608.0</v>
      </c>
      <c r="C684" s="218">
        <v>2018.0</v>
      </c>
      <c r="D684" s="218">
        <v>107702.0</v>
      </c>
      <c r="E684" s="218" t="s">
        <v>8715</v>
      </c>
      <c r="F684" s="218" t="s">
        <v>8716</v>
      </c>
      <c r="G684" s="218">
        <v>44.0</v>
      </c>
      <c r="H684" s="218" t="s">
        <v>8934</v>
      </c>
      <c r="I684" s="218">
        <v>339030.0</v>
      </c>
      <c r="J684" s="218" t="s">
        <v>249</v>
      </c>
    </row>
    <row r="685">
      <c r="A685" s="218" t="s">
        <v>9083</v>
      </c>
      <c r="B685" s="218">
        <v>608.0</v>
      </c>
      <c r="C685" s="218">
        <v>2018.0</v>
      </c>
      <c r="D685" s="218">
        <v>107702.0</v>
      </c>
      <c r="E685" s="218" t="s">
        <v>8715</v>
      </c>
      <c r="F685" s="218" t="s">
        <v>8716</v>
      </c>
      <c r="G685" s="218">
        <v>44.0</v>
      </c>
      <c r="H685" s="218" t="s">
        <v>8934</v>
      </c>
      <c r="I685" s="218">
        <v>339030.0</v>
      </c>
      <c r="J685" s="218" t="s">
        <v>249</v>
      </c>
    </row>
    <row r="686">
      <c r="A686" s="218" t="s">
        <v>9084</v>
      </c>
      <c r="B686" s="218">
        <v>605.0</v>
      </c>
      <c r="C686" s="218">
        <v>2018.0</v>
      </c>
      <c r="D686" s="218">
        <v>107702.0</v>
      </c>
      <c r="E686" s="218" t="s">
        <v>8715</v>
      </c>
      <c r="F686" s="218" t="s">
        <v>8716</v>
      </c>
      <c r="G686" s="218">
        <v>10.0</v>
      </c>
      <c r="H686" s="218" t="s">
        <v>8726</v>
      </c>
      <c r="I686" s="218">
        <v>339047.0</v>
      </c>
      <c r="J686" s="218" t="s">
        <v>8718</v>
      </c>
    </row>
    <row r="687">
      <c r="A687" s="218" t="s">
        <v>9084</v>
      </c>
      <c r="B687" s="218">
        <v>606.0</v>
      </c>
      <c r="C687" s="218">
        <v>2018.0</v>
      </c>
      <c r="D687" s="218">
        <v>107702.0</v>
      </c>
      <c r="E687" s="218" t="s">
        <v>8715</v>
      </c>
      <c r="F687" s="218" t="s">
        <v>8716</v>
      </c>
      <c r="G687" s="218">
        <v>10.0</v>
      </c>
      <c r="H687" s="218" t="s">
        <v>8726</v>
      </c>
      <c r="I687" s="218">
        <v>339047.0</v>
      </c>
      <c r="J687" s="218" t="s">
        <v>8718</v>
      </c>
    </row>
    <row r="688">
      <c r="A688" s="218" t="s">
        <v>9085</v>
      </c>
      <c r="B688" s="218">
        <v>1137.0</v>
      </c>
      <c r="C688" s="218">
        <v>2018.0</v>
      </c>
      <c r="D688" s="218">
        <v>107702.0</v>
      </c>
      <c r="E688" s="218" t="s">
        <v>8715</v>
      </c>
      <c r="F688" s="218" t="s">
        <v>8716</v>
      </c>
      <c r="G688" s="218">
        <v>46.0</v>
      </c>
      <c r="H688" s="218" t="s">
        <v>9086</v>
      </c>
      <c r="I688" s="218">
        <v>339030.0</v>
      </c>
      <c r="J688" s="218" t="s">
        <v>249</v>
      </c>
    </row>
    <row r="689">
      <c r="A689" s="218" t="s">
        <v>9085</v>
      </c>
      <c r="B689" s="218">
        <v>623.0</v>
      </c>
      <c r="C689" s="218">
        <v>2018.0</v>
      </c>
      <c r="D689" s="218">
        <v>107702.0</v>
      </c>
      <c r="E689" s="218" t="s">
        <v>8715</v>
      </c>
      <c r="F689" s="218" t="s">
        <v>8716</v>
      </c>
      <c r="G689" s="218">
        <v>46.0</v>
      </c>
      <c r="H689" s="218" t="s">
        <v>9086</v>
      </c>
      <c r="I689" s="218">
        <v>339030.0</v>
      </c>
      <c r="J689" s="218" t="s">
        <v>249</v>
      </c>
    </row>
    <row r="690">
      <c r="A690" s="218" t="s">
        <v>9087</v>
      </c>
      <c r="B690" s="218">
        <v>614.0</v>
      </c>
      <c r="C690" s="218">
        <v>2018.0</v>
      </c>
      <c r="D690" s="218">
        <v>85048.0</v>
      </c>
      <c r="E690" s="218" t="s">
        <v>8968</v>
      </c>
      <c r="F690" s="218" t="s">
        <v>8969</v>
      </c>
      <c r="G690" s="218">
        <v>48.0</v>
      </c>
      <c r="H690" s="218" t="s">
        <v>8970</v>
      </c>
      <c r="I690" s="218">
        <v>339039.0</v>
      </c>
      <c r="J690" s="218" t="s">
        <v>8720</v>
      </c>
    </row>
    <row r="691">
      <c r="A691" s="218" t="s">
        <v>9088</v>
      </c>
      <c r="B691" s="218">
        <v>619.0</v>
      </c>
      <c r="C691" s="218">
        <v>2018.0</v>
      </c>
      <c r="D691" s="218">
        <v>85048.0</v>
      </c>
      <c r="E691" s="218" t="s">
        <v>8968</v>
      </c>
      <c r="F691" s="218" t="s">
        <v>8969</v>
      </c>
      <c r="G691" s="218">
        <v>48.0</v>
      </c>
      <c r="H691" s="218" t="s">
        <v>8970</v>
      </c>
      <c r="I691" s="218">
        <v>339039.0</v>
      </c>
      <c r="J691" s="218" t="s">
        <v>8720</v>
      </c>
    </row>
    <row r="692">
      <c r="A692" s="218" t="s">
        <v>9089</v>
      </c>
      <c r="B692" s="218">
        <v>618.0</v>
      </c>
      <c r="C692" s="218">
        <v>2018.0</v>
      </c>
      <c r="D692" s="218">
        <v>107702.0</v>
      </c>
      <c r="E692" s="218" t="s">
        <v>8715</v>
      </c>
      <c r="F692" s="218" t="s">
        <v>8716</v>
      </c>
      <c r="G692" s="218">
        <v>17.0</v>
      </c>
      <c r="H692" s="218" t="s">
        <v>8903</v>
      </c>
      <c r="I692" s="218">
        <v>339030.0</v>
      </c>
      <c r="J692" s="218" t="s">
        <v>249</v>
      </c>
    </row>
    <row r="693">
      <c r="A693" s="218" t="s">
        <v>9090</v>
      </c>
      <c r="B693" s="218">
        <v>637.0</v>
      </c>
      <c r="C693" s="218">
        <v>2018.0</v>
      </c>
      <c r="D693" s="218">
        <v>107702.0</v>
      </c>
      <c r="E693" s="218" t="s">
        <v>8715</v>
      </c>
      <c r="F693" s="218" t="s">
        <v>8716</v>
      </c>
      <c r="G693" s="218">
        <v>44.0</v>
      </c>
      <c r="H693" s="218" t="s">
        <v>8934</v>
      </c>
      <c r="I693" s="218">
        <v>339030.0</v>
      </c>
      <c r="J693" s="218" t="s">
        <v>249</v>
      </c>
    </row>
    <row r="694">
      <c r="A694" s="218" t="s">
        <v>9090</v>
      </c>
      <c r="B694" s="218">
        <v>644.0</v>
      </c>
      <c r="C694" s="218">
        <v>2018.0</v>
      </c>
      <c r="D694" s="218">
        <v>85048.0</v>
      </c>
      <c r="E694" s="218" t="s">
        <v>8968</v>
      </c>
      <c r="F694" s="218" t="s">
        <v>8969</v>
      </c>
      <c r="G694" s="218">
        <v>48.0</v>
      </c>
      <c r="H694" s="218" t="s">
        <v>8970</v>
      </c>
      <c r="I694" s="218">
        <v>339039.0</v>
      </c>
      <c r="J694" s="218" t="s">
        <v>8720</v>
      </c>
    </row>
    <row r="695">
      <c r="A695" s="218" t="s">
        <v>9090</v>
      </c>
      <c r="B695" s="218">
        <v>644.0</v>
      </c>
      <c r="C695" s="218">
        <v>2018.0</v>
      </c>
      <c r="D695" s="218">
        <v>85048.0</v>
      </c>
      <c r="E695" s="218" t="s">
        <v>8968</v>
      </c>
      <c r="F695" s="218" t="s">
        <v>8969</v>
      </c>
      <c r="G695" s="218">
        <v>48.0</v>
      </c>
      <c r="H695" s="218" t="s">
        <v>8970</v>
      </c>
      <c r="I695" s="218">
        <v>339039.0</v>
      </c>
      <c r="J695" s="218" t="s">
        <v>8720</v>
      </c>
    </row>
    <row r="696">
      <c r="A696" s="218" t="s">
        <v>9090</v>
      </c>
      <c r="B696" s="218">
        <v>644.0</v>
      </c>
      <c r="C696" s="218">
        <v>2018.0</v>
      </c>
      <c r="D696" s="218">
        <v>85048.0</v>
      </c>
      <c r="E696" s="218" t="s">
        <v>8968</v>
      </c>
      <c r="F696" s="218" t="s">
        <v>8969</v>
      </c>
      <c r="G696" s="218">
        <v>48.0</v>
      </c>
      <c r="H696" s="218" t="s">
        <v>8970</v>
      </c>
      <c r="I696" s="218">
        <v>339039.0</v>
      </c>
      <c r="J696" s="218" t="s">
        <v>8720</v>
      </c>
    </row>
    <row r="697">
      <c r="A697" s="218" t="s">
        <v>9090</v>
      </c>
      <c r="B697" s="218">
        <v>637.0</v>
      </c>
      <c r="C697" s="218">
        <v>2018.0</v>
      </c>
      <c r="D697" s="218">
        <v>107702.0</v>
      </c>
      <c r="E697" s="218" t="s">
        <v>8715</v>
      </c>
      <c r="F697" s="218" t="s">
        <v>8716</v>
      </c>
      <c r="G697" s="218">
        <v>1.0</v>
      </c>
      <c r="H697" s="218" t="s">
        <v>8917</v>
      </c>
      <c r="I697" s="218">
        <v>339030.0</v>
      </c>
      <c r="J697" s="218" t="s">
        <v>249</v>
      </c>
    </row>
    <row r="698">
      <c r="A698" s="218" t="s">
        <v>9090</v>
      </c>
      <c r="B698" s="218">
        <v>638.0</v>
      </c>
      <c r="C698" s="218">
        <v>2018.0</v>
      </c>
      <c r="D698" s="218">
        <v>107702.0</v>
      </c>
      <c r="E698" s="218" t="s">
        <v>8715</v>
      </c>
      <c r="F698" s="218" t="s">
        <v>8716</v>
      </c>
      <c r="G698" s="218">
        <v>3.0</v>
      </c>
      <c r="H698" s="218" t="s">
        <v>9028</v>
      </c>
      <c r="I698" s="218">
        <v>339033.0</v>
      </c>
      <c r="J698" s="218" t="s">
        <v>8788</v>
      </c>
    </row>
    <row r="699">
      <c r="A699" s="218" t="s">
        <v>9091</v>
      </c>
      <c r="B699" s="218">
        <v>652.0</v>
      </c>
      <c r="C699" s="218">
        <v>2018.0</v>
      </c>
      <c r="D699" s="218">
        <v>107702.0</v>
      </c>
      <c r="E699" s="218" t="s">
        <v>8715</v>
      </c>
      <c r="F699" s="218" t="s">
        <v>8716</v>
      </c>
      <c r="G699" s="218">
        <v>36.0</v>
      </c>
      <c r="H699" s="218" t="s">
        <v>9050</v>
      </c>
      <c r="I699" s="218">
        <v>339030.0</v>
      </c>
      <c r="J699" s="218" t="s">
        <v>249</v>
      </c>
    </row>
    <row r="700">
      <c r="A700" s="218" t="s">
        <v>9091</v>
      </c>
      <c r="B700" s="218">
        <v>622.0</v>
      </c>
      <c r="C700" s="218">
        <v>2018.0</v>
      </c>
      <c r="D700" s="218">
        <v>107702.0</v>
      </c>
      <c r="E700" s="218" t="s">
        <v>8715</v>
      </c>
      <c r="F700" s="218" t="s">
        <v>8716</v>
      </c>
      <c r="G700" s="218">
        <v>8.0</v>
      </c>
      <c r="H700" s="218" t="s">
        <v>9092</v>
      </c>
      <c r="I700" s="218">
        <v>449052.0</v>
      </c>
      <c r="J700" s="218" t="s">
        <v>362</v>
      </c>
    </row>
    <row r="701">
      <c r="A701" s="218" t="s">
        <v>9091</v>
      </c>
      <c r="B701" s="218">
        <v>622.0</v>
      </c>
      <c r="C701" s="218">
        <v>2018.0</v>
      </c>
      <c r="D701" s="218">
        <v>107702.0</v>
      </c>
      <c r="E701" s="218" t="s">
        <v>8715</v>
      </c>
      <c r="F701" s="218" t="s">
        <v>8716</v>
      </c>
      <c r="G701" s="218">
        <v>8.0</v>
      </c>
      <c r="H701" s="218" t="s">
        <v>9092</v>
      </c>
      <c r="I701" s="218">
        <v>449052.0</v>
      </c>
      <c r="J701" s="218" t="s">
        <v>362</v>
      </c>
    </row>
    <row r="702">
      <c r="A702" s="218" t="s">
        <v>9093</v>
      </c>
      <c r="B702" s="218">
        <v>860.0</v>
      </c>
      <c r="C702" s="218">
        <v>2018.0</v>
      </c>
      <c r="D702" s="218">
        <v>107702.0</v>
      </c>
      <c r="E702" s="218" t="s">
        <v>8715</v>
      </c>
      <c r="F702" s="218" t="s">
        <v>8716</v>
      </c>
      <c r="G702" s="218">
        <v>16.0</v>
      </c>
      <c r="H702" s="218" t="s">
        <v>8775</v>
      </c>
      <c r="I702" s="218">
        <v>339039.0</v>
      </c>
      <c r="J702" s="218" t="s">
        <v>8720</v>
      </c>
    </row>
    <row r="703">
      <c r="A703" s="218" t="s">
        <v>9094</v>
      </c>
      <c r="B703" s="218">
        <v>635.0</v>
      </c>
      <c r="C703" s="218">
        <v>2018.0</v>
      </c>
      <c r="D703" s="218">
        <v>107702.0</v>
      </c>
      <c r="E703" s="218" t="s">
        <v>8715</v>
      </c>
      <c r="F703" s="218" t="s">
        <v>8716</v>
      </c>
      <c r="G703" s="218">
        <v>22.0</v>
      </c>
      <c r="H703" s="218" t="s">
        <v>8895</v>
      </c>
      <c r="I703" s="218">
        <v>339030.0</v>
      </c>
      <c r="J703" s="218" t="s">
        <v>249</v>
      </c>
    </row>
    <row r="704">
      <c r="A704" s="218" t="s">
        <v>9094</v>
      </c>
      <c r="B704" s="218">
        <v>635.0</v>
      </c>
      <c r="C704" s="218">
        <v>2018.0</v>
      </c>
      <c r="D704" s="218">
        <v>107702.0</v>
      </c>
      <c r="E704" s="218" t="s">
        <v>8715</v>
      </c>
      <c r="F704" s="218" t="s">
        <v>8716</v>
      </c>
      <c r="G704" s="218">
        <v>22.0</v>
      </c>
      <c r="H704" s="218" t="s">
        <v>8895</v>
      </c>
      <c r="I704" s="218">
        <v>339030.0</v>
      </c>
      <c r="J704" s="218" t="s">
        <v>249</v>
      </c>
    </row>
    <row r="705">
      <c r="A705" s="218" t="s">
        <v>9094</v>
      </c>
      <c r="B705" s="218">
        <v>635.0</v>
      </c>
      <c r="C705" s="218">
        <v>2018.0</v>
      </c>
      <c r="D705" s="218">
        <v>107702.0</v>
      </c>
      <c r="E705" s="218" t="s">
        <v>8715</v>
      </c>
      <c r="F705" s="218" t="s">
        <v>8716</v>
      </c>
      <c r="G705" s="218">
        <v>22.0</v>
      </c>
      <c r="H705" s="218" t="s">
        <v>8895</v>
      </c>
      <c r="I705" s="218">
        <v>339030.0</v>
      </c>
      <c r="J705" s="218" t="s">
        <v>249</v>
      </c>
    </row>
    <row r="706">
      <c r="A706" s="218" t="s">
        <v>9094</v>
      </c>
      <c r="B706" s="218">
        <v>635.0</v>
      </c>
      <c r="C706" s="218">
        <v>2018.0</v>
      </c>
      <c r="D706" s="218">
        <v>107702.0</v>
      </c>
      <c r="E706" s="218" t="s">
        <v>8715</v>
      </c>
      <c r="F706" s="218" t="s">
        <v>8716</v>
      </c>
      <c r="G706" s="218">
        <v>22.0</v>
      </c>
      <c r="H706" s="218" t="s">
        <v>8895</v>
      </c>
      <c r="I706" s="218">
        <v>339030.0</v>
      </c>
      <c r="J706" s="218" t="s">
        <v>249</v>
      </c>
    </row>
    <row r="707">
      <c r="A707" s="218" t="s">
        <v>9094</v>
      </c>
      <c r="B707" s="218">
        <v>635.0</v>
      </c>
      <c r="C707" s="218">
        <v>2018.0</v>
      </c>
      <c r="D707" s="218">
        <v>107702.0</v>
      </c>
      <c r="E707" s="218" t="s">
        <v>8715</v>
      </c>
      <c r="F707" s="218" t="s">
        <v>8716</v>
      </c>
      <c r="G707" s="218">
        <v>22.0</v>
      </c>
      <c r="H707" s="218" t="s">
        <v>8895</v>
      </c>
      <c r="I707" s="218">
        <v>339030.0</v>
      </c>
      <c r="J707" s="218" t="s">
        <v>249</v>
      </c>
    </row>
    <row r="708">
      <c r="A708" s="218" t="s">
        <v>9094</v>
      </c>
      <c r="B708" s="218">
        <v>635.0</v>
      </c>
      <c r="C708" s="218">
        <v>2018.0</v>
      </c>
      <c r="D708" s="218">
        <v>107702.0</v>
      </c>
      <c r="E708" s="218" t="s">
        <v>8715</v>
      </c>
      <c r="F708" s="218" t="s">
        <v>8716</v>
      </c>
      <c r="G708" s="218">
        <v>22.0</v>
      </c>
      <c r="H708" s="218" t="s">
        <v>8895</v>
      </c>
      <c r="I708" s="218">
        <v>339030.0</v>
      </c>
      <c r="J708" s="218" t="s">
        <v>249</v>
      </c>
    </row>
    <row r="709">
      <c r="A709" s="218" t="s">
        <v>9095</v>
      </c>
      <c r="B709" s="218">
        <v>662.0</v>
      </c>
      <c r="C709" s="218">
        <v>2018.0</v>
      </c>
      <c r="D709" s="218">
        <v>107702.0</v>
      </c>
      <c r="E709" s="218" t="s">
        <v>8715</v>
      </c>
      <c r="F709" s="218" t="s">
        <v>8716</v>
      </c>
      <c r="G709" s="218">
        <v>24.0</v>
      </c>
      <c r="H709" s="218" t="s">
        <v>8774</v>
      </c>
      <c r="I709" s="218">
        <v>339030.0</v>
      </c>
      <c r="J709" s="218" t="s">
        <v>249</v>
      </c>
    </row>
    <row r="710">
      <c r="A710" s="218" t="s">
        <v>9096</v>
      </c>
      <c r="B710" s="218">
        <v>636.0</v>
      </c>
      <c r="C710" s="218">
        <v>2018.0</v>
      </c>
      <c r="D710" s="218">
        <v>85048.0</v>
      </c>
      <c r="E710" s="218" t="s">
        <v>8968</v>
      </c>
      <c r="F710" s="218" t="s">
        <v>8969</v>
      </c>
      <c r="G710" s="218">
        <v>48.0</v>
      </c>
      <c r="H710" s="218" t="s">
        <v>8970</v>
      </c>
      <c r="I710" s="218">
        <v>339039.0</v>
      </c>
      <c r="J710" s="218" t="s">
        <v>8720</v>
      </c>
    </row>
    <row r="711">
      <c r="A711" s="218" t="s">
        <v>9097</v>
      </c>
      <c r="B711" s="218">
        <v>640.0</v>
      </c>
      <c r="C711" s="218">
        <v>2018.0</v>
      </c>
      <c r="D711" s="218">
        <v>107702.0</v>
      </c>
      <c r="E711" s="218" t="s">
        <v>8715</v>
      </c>
      <c r="F711" s="218" t="s">
        <v>8716</v>
      </c>
      <c r="G711" s="218">
        <v>3.0</v>
      </c>
      <c r="H711" s="218" t="s">
        <v>8772</v>
      </c>
      <c r="I711" s="218">
        <v>339037.0</v>
      </c>
      <c r="J711" s="218" t="s">
        <v>8770</v>
      </c>
    </row>
    <row r="712">
      <c r="A712" s="218" t="s">
        <v>9098</v>
      </c>
      <c r="B712" s="218">
        <v>784.0</v>
      </c>
      <c r="C712" s="218">
        <v>2018.0</v>
      </c>
      <c r="D712" s="218">
        <v>85042.0</v>
      </c>
      <c r="E712" s="218" t="s">
        <v>8948</v>
      </c>
      <c r="F712" s="218" t="s">
        <v>8949</v>
      </c>
      <c r="G712" s="218">
        <v>36.0</v>
      </c>
      <c r="H712" s="218" t="s">
        <v>9050</v>
      </c>
      <c r="I712" s="218">
        <v>339030.0</v>
      </c>
      <c r="J712" s="218" t="s">
        <v>249</v>
      </c>
    </row>
    <row r="713">
      <c r="A713" s="218" t="s">
        <v>9098</v>
      </c>
      <c r="B713" s="218">
        <v>784.0</v>
      </c>
      <c r="C713" s="218">
        <v>2018.0</v>
      </c>
      <c r="D713" s="218">
        <v>85042.0</v>
      </c>
      <c r="E713" s="218" t="s">
        <v>8948</v>
      </c>
      <c r="F713" s="218" t="s">
        <v>8949</v>
      </c>
      <c r="G713" s="218">
        <v>36.0</v>
      </c>
      <c r="H713" s="218" t="s">
        <v>9050</v>
      </c>
      <c r="I713" s="218">
        <v>339030.0</v>
      </c>
      <c r="J713" s="218" t="s">
        <v>249</v>
      </c>
    </row>
    <row r="714">
      <c r="A714" s="218" t="s">
        <v>9098</v>
      </c>
      <c r="B714" s="218">
        <v>784.0</v>
      </c>
      <c r="C714" s="218">
        <v>2018.0</v>
      </c>
      <c r="D714" s="218">
        <v>85042.0</v>
      </c>
      <c r="E714" s="218" t="s">
        <v>8948</v>
      </c>
      <c r="F714" s="218" t="s">
        <v>8949</v>
      </c>
      <c r="G714" s="218">
        <v>36.0</v>
      </c>
      <c r="H714" s="218" t="s">
        <v>9050</v>
      </c>
      <c r="I714" s="218">
        <v>339030.0</v>
      </c>
      <c r="J714" s="218" t="s">
        <v>249</v>
      </c>
    </row>
    <row r="715">
      <c r="A715" s="218" t="s">
        <v>9098</v>
      </c>
      <c r="B715" s="218">
        <v>783.0</v>
      </c>
      <c r="C715" s="218">
        <v>2018.0</v>
      </c>
      <c r="D715" s="218">
        <v>85042.0</v>
      </c>
      <c r="E715" s="218" t="s">
        <v>8948</v>
      </c>
      <c r="F715" s="218" t="s">
        <v>8949</v>
      </c>
      <c r="G715" s="218">
        <v>36.0</v>
      </c>
      <c r="H715" s="218" t="s">
        <v>9050</v>
      </c>
      <c r="I715" s="218">
        <v>339030.0</v>
      </c>
      <c r="J715" s="218" t="s">
        <v>249</v>
      </c>
    </row>
    <row r="716">
      <c r="A716" s="218" t="s">
        <v>9098</v>
      </c>
      <c r="B716" s="218">
        <v>783.0</v>
      </c>
      <c r="C716" s="218">
        <v>2018.0</v>
      </c>
      <c r="D716" s="218">
        <v>85042.0</v>
      </c>
      <c r="E716" s="218" t="s">
        <v>8948</v>
      </c>
      <c r="F716" s="218" t="s">
        <v>8949</v>
      </c>
      <c r="G716" s="218">
        <v>36.0</v>
      </c>
      <c r="H716" s="218" t="s">
        <v>9050</v>
      </c>
      <c r="I716" s="218">
        <v>339030.0</v>
      </c>
      <c r="J716" s="218" t="s">
        <v>249</v>
      </c>
    </row>
    <row r="717">
      <c r="A717" s="218" t="s">
        <v>9098</v>
      </c>
      <c r="B717" s="218">
        <v>784.0</v>
      </c>
      <c r="C717" s="218">
        <v>2018.0</v>
      </c>
      <c r="D717" s="218">
        <v>85042.0</v>
      </c>
      <c r="E717" s="218" t="s">
        <v>8948</v>
      </c>
      <c r="F717" s="218" t="s">
        <v>8949</v>
      </c>
      <c r="G717" s="218">
        <v>36.0</v>
      </c>
      <c r="H717" s="218" t="s">
        <v>9050</v>
      </c>
      <c r="I717" s="218">
        <v>339030.0</v>
      </c>
      <c r="J717" s="218" t="s">
        <v>249</v>
      </c>
    </row>
    <row r="718">
      <c r="A718" s="218" t="s">
        <v>9098</v>
      </c>
      <c r="B718" s="218">
        <v>784.0</v>
      </c>
      <c r="C718" s="218">
        <v>2018.0</v>
      </c>
      <c r="D718" s="218">
        <v>85042.0</v>
      </c>
      <c r="E718" s="218" t="s">
        <v>8948</v>
      </c>
      <c r="F718" s="218" t="s">
        <v>8949</v>
      </c>
      <c r="G718" s="218">
        <v>36.0</v>
      </c>
      <c r="H718" s="218" t="s">
        <v>9050</v>
      </c>
      <c r="I718" s="218">
        <v>339030.0</v>
      </c>
      <c r="J718" s="218" t="s">
        <v>249</v>
      </c>
    </row>
    <row r="719">
      <c r="A719" s="218" t="s">
        <v>9098</v>
      </c>
      <c r="B719" s="218">
        <v>784.0</v>
      </c>
      <c r="C719" s="218">
        <v>2018.0</v>
      </c>
      <c r="D719" s="218">
        <v>85042.0</v>
      </c>
      <c r="E719" s="218" t="s">
        <v>8948</v>
      </c>
      <c r="F719" s="218" t="s">
        <v>8949</v>
      </c>
      <c r="G719" s="218">
        <v>36.0</v>
      </c>
      <c r="H719" s="218" t="s">
        <v>9050</v>
      </c>
      <c r="I719" s="218">
        <v>339030.0</v>
      </c>
      <c r="J719" s="218" t="s">
        <v>249</v>
      </c>
    </row>
    <row r="720">
      <c r="A720" s="218" t="s">
        <v>9098</v>
      </c>
      <c r="B720" s="218">
        <v>784.0</v>
      </c>
      <c r="C720" s="218">
        <v>2018.0</v>
      </c>
      <c r="D720" s="218">
        <v>85042.0</v>
      </c>
      <c r="E720" s="218" t="s">
        <v>8948</v>
      </c>
      <c r="F720" s="218" t="s">
        <v>8949</v>
      </c>
      <c r="G720" s="218">
        <v>36.0</v>
      </c>
      <c r="H720" s="218" t="s">
        <v>9050</v>
      </c>
      <c r="I720" s="218">
        <v>339030.0</v>
      </c>
      <c r="J720" s="218" t="s">
        <v>249</v>
      </c>
    </row>
    <row r="721">
      <c r="A721" s="218" t="s">
        <v>9099</v>
      </c>
      <c r="B721" s="218">
        <v>649.0</v>
      </c>
      <c r="C721" s="218">
        <v>2018.0</v>
      </c>
      <c r="D721" s="218">
        <v>85048.0</v>
      </c>
      <c r="E721" s="218" t="s">
        <v>8968</v>
      </c>
      <c r="F721" s="218" t="s">
        <v>8969</v>
      </c>
      <c r="G721" s="218">
        <v>48.0</v>
      </c>
      <c r="H721" s="218" t="s">
        <v>8970</v>
      </c>
      <c r="I721" s="218">
        <v>339039.0</v>
      </c>
      <c r="J721" s="218" t="s">
        <v>8720</v>
      </c>
    </row>
    <row r="722">
      <c r="A722" s="218" t="s">
        <v>9100</v>
      </c>
      <c r="B722" s="218">
        <v>650.0</v>
      </c>
      <c r="C722" s="218">
        <v>2018.0</v>
      </c>
      <c r="D722" s="218">
        <v>85048.0</v>
      </c>
      <c r="E722" s="218" t="s">
        <v>8968</v>
      </c>
      <c r="F722" s="218" t="s">
        <v>8969</v>
      </c>
      <c r="G722" s="218">
        <v>48.0</v>
      </c>
      <c r="H722" s="218" t="s">
        <v>8970</v>
      </c>
      <c r="I722" s="218">
        <v>339039.0</v>
      </c>
      <c r="J722" s="218" t="s">
        <v>8720</v>
      </c>
    </row>
    <row r="723">
      <c r="A723" s="218" t="s">
        <v>9101</v>
      </c>
      <c r="B723" s="218">
        <v>661.0</v>
      </c>
      <c r="C723" s="218">
        <v>2018.0</v>
      </c>
      <c r="D723" s="218">
        <v>107702.0</v>
      </c>
      <c r="E723" s="218" t="s">
        <v>8715</v>
      </c>
      <c r="F723" s="218" t="s">
        <v>8716</v>
      </c>
      <c r="G723" s="218">
        <v>7.0</v>
      </c>
      <c r="H723" s="218" t="s">
        <v>8915</v>
      </c>
      <c r="I723" s="218">
        <v>339030.0</v>
      </c>
      <c r="J723" s="218" t="s">
        <v>249</v>
      </c>
    </row>
    <row r="724">
      <c r="A724" s="218" t="s">
        <v>9102</v>
      </c>
      <c r="B724" s="218">
        <v>1044.0</v>
      </c>
      <c r="C724" s="218">
        <v>2018.0</v>
      </c>
      <c r="D724" s="218">
        <v>107702.0</v>
      </c>
      <c r="E724" s="218" t="s">
        <v>8715</v>
      </c>
      <c r="F724" s="218" t="s">
        <v>8716</v>
      </c>
      <c r="G724" s="218">
        <v>35.0</v>
      </c>
      <c r="H724" s="218" t="s">
        <v>8913</v>
      </c>
      <c r="I724" s="218">
        <v>449052.0</v>
      </c>
      <c r="J724" s="218" t="s">
        <v>362</v>
      </c>
    </row>
    <row r="725">
      <c r="A725" s="218" t="s">
        <v>9103</v>
      </c>
      <c r="B725" s="218">
        <v>665.0</v>
      </c>
      <c r="C725" s="218">
        <v>2018.0</v>
      </c>
      <c r="D725" s="218">
        <v>85048.0</v>
      </c>
      <c r="E725" s="218" t="s">
        <v>8968</v>
      </c>
      <c r="F725" s="218" t="s">
        <v>8969</v>
      </c>
      <c r="G725" s="218">
        <v>48.0</v>
      </c>
      <c r="H725" s="218" t="s">
        <v>8970</v>
      </c>
      <c r="I725" s="218">
        <v>339039.0</v>
      </c>
      <c r="J725" s="218" t="s">
        <v>8720</v>
      </c>
    </row>
    <row r="726">
      <c r="A726" s="218" t="s">
        <v>9104</v>
      </c>
      <c r="B726" s="218">
        <v>1261.0</v>
      </c>
      <c r="C726" s="218">
        <v>2018.0</v>
      </c>
      <c r="D726" s="218">
        <v>1077020.0</v>
      </c>
      <c r="E726" s="218" t="s">
        <v>8767</v>
      </c>
      <c r="F726" s="218" t="s">
        <v>8768</v>
      </c>
      <c r="G726" s="218">
        <v>16.0</v>
      </c>
      <c r="H726" s="218" t="s">
        <v>8775</v>
      </c>
      <c r="I726" s="218">
        <v>339039.0</v>
      </c>
      <c r="J726" s="218" t="s">
        <v>8720</v>
      </c>
    </row>
    <row r="727">
      <c r="A727" s="218" t="s">
        <v>9104</v>
      </c>
      <c r="B727" s="218">
        <v>1262.0</v>
      </c>
      <c r="C727" s="218">
        <v>2018.0</v>
      </c>
      <c r="D727" s="218">
        <v>107702.0</v>
      </c>
      <c r="E727" s="218" t="s">
        <v>8715</v>
      </c>
      <c r="F727" s="218" t="s">
        <v>8716</v>
      </c>
      <c r="G727" s="218">
        <v>16.0</v>
      </c>
      <c r="H727" s="218" t="s">
        <v>8775</v>
      </c>
      <c r="I727" s="218">
        <v>339039.0</v>
      </c>
      <c r="J727" s="218" t="s">
        <v>8720</v>
      </c>
    </row>
    <row r="728">
      <c r="A728" s="218" t="s">
        <v>9105</v>
      </c>
      <c r="B728" s="218">
        <v>670.0</v>
      </c>
      <c r="C728" s="218">
        <v>2018.0</v>
      </c>
      <c r="D728" s="218">
        <v>107702.0</v>
      </c>
      <c r="E728" s="218" t="s">
        <v>8715</v>
      </c>
      <c r="F728" s="218" t="s">
        <v>8716</v>
      </c>
      <c r="G728" s="218">
        <v>10.0</v>
      </c>
      <c r="H728" s="218" t="s">
        <v>8726</v>
      </c>
      <c r="I728" s="218">
        <v>339047.0</v>
      </c>
      <c r="J728" s="218" t="s">
        <v>8718</v>
      </c>
    </row>
    <row r="729">
      <c r="A729" s="218" t="s">
        <v>9106</v>
      </c>
      <c r="B729" s="218">
        <v>671.0</v>
      </c>
      <c r="C729" s="218">
        <v>2018.0</v>
      </c>
      <c r="D729" s="218">
        <v>107702.0</v>
      </c>
      <c r="E729" s="218" t="s">
        <v>8715</v>
      </c>
      <c r="F729" s="218" t="s">
        <v>8716</v>
      </c>
      <c r="G729" s="218">
        <v>5.0</v>
      </c>
      <c r="H729" s="218" t="s">
        <v>9014</v>
      </c>
      <c r="I729" s="218">
        <v>339030.0</v>
      </c>
      <c r="J729" s="218" t="s">
        <v>249</v>
      </c>
    </row>
    <row r="730">
      <c r="A730" s="218" t="s">
        <v>9106</v>
      </c>
      <c r="B730" s="218">
        <v>671.0</v>
      </c>
      <c r="C730" s="218">
        <v>2018.0</v>
      </c>
      <c r="D730" s="218">
        <v>107702.0</v>
      </c>
      <c r="E730" s="218" t="s">
        <v>8715</v>
      </c>
      <c r="F730" s="218" t="s">
        <v>8716</v>
      </c>
      <c r="G730" s="218">
        <v>5.0</v>
      </c>
      <c r="H730" s="218" t="s">
        <v>9014</v>
      </c>
      <c r="I730" s="218">
        <v>339030.0</v>
      </c>
      <c r="J730" s="218" t="s">
        <v>249</v>
      </c>
    </row>
    <row r="731">
      <c r="A731" s="218" t="s">
        <v>9107</v>
      </c>
      <c r="B731" s="218">
        <v>673.0</v>
      </c>
      <c r="C731" s="218">
        <v>2018.0</v>
      </c>
      <c r="D731" s="218">
        <v>107702.0</v>
      </c>
      <c r="E731" s="218" t="s">
        <v>8715</v>
      </c>
      <c r="F731" s="218" t="s">
        <v>8716</v>
      </c>
      <c r="G731" s="218">
        <v>10.0</v>
      </c>
      <c r="H731" s="218" t="s">
        <v>8726</v>
      </c>
      <c r="I731" s="218">
        <v>339047.0</v>
      </c>
      <c r="J731" s="218" t="s">
        <v>8718</v>
      </c>
    </row>
    <row r="732">
      <c r="A732" s="218" t="s">
        <v>9107</v>
      </c>
      <c r="B732" s="218">
        <v>672.0</v>
      </c>
      <c r="C732" s="218">
        <v>2018.0</v>
      </c>
      <c r="D732" s="218">
        <v>107702.0</v>
      </c>
      <c r="E732" s="218" t="s">
        <v>8715</v>
      </c>
      <c r="F732" s="218" t="s">
        <v>8716</v>
      </c>
      <c r="G732" s="218">
        <v>10.0</v>
      </c>
      <c r="H732" s="218" t="s">
        <v>8726</v>
      </c>
      <c r="I732" s="218">
        <v>339047.0</v>
      </c>
      <c r="J732" s="218" t="s">
        <v>8718</v>
      </c>
    </row>
    <row r="733">
      <c r="A733" s="218" t="s">
        <v>9108</v>
      </c>
      <c r="B733" s="218">
        <v>1091.0</v>
      </c>
      <c r="C733" s="218">
        <v>2018.0</v>
      </c>
      <c r="D733" s="218">
        <v>107702.0</v>
      </c>
      <c r="E733" s="218" t="s">
        <v>8715</v>
      </c>
      <c r="F733" s="218" t="s">
        <v>8716</v>
      </c>
      <c r="G733" s="218">
        <v>16.0</v>
      </c>
      <c r="H733" s="218" t="s">
        <v>8775</v>
      </c>
      <c r="I733" s="218">
        <v>339039.0</v>
      </c>
      <c r="J733" s="218" t="s">
        <v>8720</v>
      </c>
    </row>
    <row r="734">
      <c r="A734" s="218" t="s">
        <v>9109</v>
      </c>
      <c r="B734" s="218">
        <v>686.0</v>
      </c>
      <c r="C734" s="218">
        <v>2018.0</v>
      </c>
      <c r="D734" s="218">
        <v>107702.0</v>
      </c>
      <c r="E734" s="218" t="s">
        <v>8715</v>
      </c>
      <c r="F734" s="218" t="s">
        <v>8716</v>
      </c>
      <c r="G734" s="218">
        <v>35.0</v>
      </c>
      <c r="H734" s="218" t="s">
        <v>8913</v>
      </c>
      <c r="I734" s="218">
        <v>449052.0</v>
      </c>
      <c r="J734" s="218" t="s">
        <v>362</v>
      </c>
    </row>
    <row r="735">
      <c r="A735" s="218" t="s">
        <v>9109</v>
      </c>
      <c r="B735" s="218">
        <v>932.0</v>
      </c>
      <c r="C735" s="218">
        <v>2018.0</v>
      </c>
      <c r="D735" s="218">
        <v>84847.0</v>
      </c>
      <c r="E735" s="218" t="s">
        <v>8911</v>
      </c>
      <c r="F735" s="218" t="s">
        <v>8912</v>
      </c>
      <c r="G735" s="218">
        <v>35.0</v>
      </c>
      <c r="H735" s="218" t="s">
        <v>8913</v>
      </c>
      <c r="I735" s="218">
        <v>449052.0</v>
      </c>
      <c r="J735" s="218" t="s">
        <v>362</v>
      </c>
    </row>
    <row r="736">
      <c r="A736" s="218" t="s">
        <v>9110</v>
      </c>
      <c r="B736" s="218">
        <v>681.0</v>
      </c>
      <c r="C736" s="218">
        <v>2018.0</v>
      </c>
      <c r="D736" s="218">
        <v>107702.0</v>
      </c>
      <c r="E736" s="218" t="s">
        <v>8715</v>
      </c>
      <c r="F736" s="218" t="s">
        <v>8716</v>
      </c>
      <c r="G736" s="218">
        <v>22.0</v>
      </c>
      <c r="H736" s="218" t="s">
        <v>8895</v>
      </c>
      <c r="I736" s="218">
        <v>339030.0</v>
      </c>
      <c r="J736" s="218" t="s">
        <v>249</v>
      </c>
    </row>
    <row r="737">
      <c r="A737" s="218" t="s">
        <v>9111</v>
      </c>
      <c r="B737" s="218">
        <v>682.0</v>
      </c>
      <c r="C737" s="218">
        <v>2018.0</v>
      </c>
      <c r="D737" s="218">
        <v>107702.0</v>
      </c>
      <c r="E737" s="218" t="s">
        <v>8715</v>
      </c>
      <c r="F737" s="218" t="s">
        <v>8716</v>
      </c>
      <c r="G737" s="218">
        <v>2.0</v>
      </c>
      <c r="H737" s="218" t="s">
        <v>8748</v>
      </c>
      <c r="I737" s="218">
        <v>339037.0</v>
      </c>
      <c r="J737" s="218" t="s">
        <v>8770</v>
      </c>
    </row>
    <row r="738">
      <c r="A738" s="218" t="s">
        <v>9112</v>
      </c>
      <c r="B738" s="218">
        <v>712.0</v>
      </c>
      <c r="C738" s="218">
        <v>2018.0</v>
      </c>
      <c r="D738" s="218">
        <v>107702.0</v>
      </c>
      <c r="E738" s="218" t="s">
        <v>8715</v>
      </c>
      <c r="F738" s="218" t="s">
        <v>8716</v>
      </c>
      <c r="G738" s="218">
        <v>28.0</v>
      </c>
      <c r="H738" s="218" t="s">
        <v>8906</v>
      </c>
      <c r="I738" s="218">
        <v>339030.0</v>
      </c>
      <c r="J738" s="218" t="s">
        <v>249</v>
      </c>
    </row>
    <row r="739">
      <c r="A739" s="218" t="s">
        <v>9112</v>
      </c>
      <c r="B739" s="218">
        <v>712.0</v>
      </c>
      <c r="C739" s="218">
        <v>2018.0</v>
      </c>
      <c r="D739" s="218">
        <v>107702.0</v>
      </c>
      <c r="E739" s="218" t="s">
        <v>8715</v>
      </c>
      <c r="F739" s="218" t="s">
        <v>8716</v>
      </c>
      <c r="G739" s="218">
        <v>28.0</v>
      </c>
      <c r="H739" s="218" t="s">
        <v>8906</v>
      </c>
      <c r="I739" s="218">
        <v>339030.0</v>
      </c>
      <c r="J739" s="218" t="s">
        <v>249</v>
      </c>
    </row>
    <row r="740">
      <c r="A740" s="218" t="s">
        <v>9113</v>
      </c>
      <c r="B740" s="218">
        <v>714.0</v>
      </c>
      <c r="C740" s="218">
        <v>2018.0</v>
      </c>
      <c r="D740" s="218">
        <v>107702.0</v>
      </c>
      <c r="E740" s="218" t="s">
        <v>8715</v>
      </c>
      <c r="F740" s="218" t="s">
        <v>8716</v>
      </c>
      <c r="G740" s="218">
        <v>21.0</v>
      </c>
      <c r="H740" s="218" t="s">
        <v>8896</v>
      </c>
      <c r="I740" s="218">
        <v>339030.0</v>
      </c>
      <c r="J740" s="218" t="s">
        <v>249</v>
      </c>
    </row>
    <row r="741">
      <c r="A741" s="218" t="s">
        <v>9113</v>
      </c>
      <c r="B741" s="218">
        <v>713.0</v>
      </c>
      <c r="C741" s="218">
        <v>2018.0</v>
      </c>
      <c r="D741" s="218">
        <v>107702.0</v>
      </c>
      <c r="E741" s="218" t="s">
        <v>8715</v>
      </c>
      <c r="F741" s="218" t="s">
        <v>8716</v>
      </c>
      <c r="G741" s="218">
        <v>21.0</v>
      </c>
      <c r="H741" s="218" t="s">
        <v>8896</v>
      </c>
      <c r="I741" s="218">
        <v>339030.0</v>
      </c>
      <c r="J741" s="218" t="s">
        <v>249</v>
      </c>
    </row>
    <row r="742">
      <c r="A742" s="218" t="s">
        <v>9114</v>
      </c>
      <c r="B742" s="218">
        <v>917.0</v>
      </c>
      <c r="C742" s="218">
        <v>2018.0</v>
      </c>
      <c r="D742" s="218">
        <v>84847.0</v>
      </c>
      <c r="E742" s="218" t="s">
        <v>8911</v>
      </c>
      <c r="F742" s="218" t="s">
        <v>8912</v>
      </c>
      <c r="G742" s="218">
        <v>35.0</v>
      </c>
      <c r="H742" s="218" t="s">
        <v>8913</v>
      </c>
      <c r="I742" s="218">
        <v>449052.0</v>
      </c>
      <c r="J742" s="218" t="s">
        <v>362</v>
      </c>
    </row>
    <row r="743">
      <c r="A743" s="218" t="s">
        <v>9114</v>
      </c>
      <c r="B743" s="218">
        <v>917.0</v>
      </c>
      <c r="C743" s="218">
        <v>2018.0</v>
      </c>
      <c r="D743" s="218">
        <v>84847.0</v>
      </c>
      <c r="E743" s="218" t="s">
        <v>8911</v>
      </c>
      <c r="F743" s="218" t="s">
        <v>8912</v>
      </c>
      <c r="G743" s="218">
        <v>35.0</v>
      </c>
      <c r="H743" s="218" t="s">
        <v>8913</v>
      </c>
      <c r="I743" s="218">
        <v>449052.0</v>
      </c>
      <c r="J743" s="218" t="s">
        <v>362</v>
      </c>
    </row>
    <row r="744">
      <c r="A744" s="218" t="s">
        <v>9114</v>
      </c>
      <c r="B744" s="218">
        <v>1058.0</v>
      </c>
      <c r="C744" s="218">
        <v>2018.0</v>
      </c>
      <c r="D744" s="218">
        <v>107702.0</v>
      </c>
      <c r="E744" s="218" t="s">
        <v>8715</v>
      </c>
      <c r="F744" s="218" t="s">
        <v>8716</v>
      </c>
      <c r="G744" s="218">
        <v>35.0</v>
      </c>
      <c r="H744" s="218" t="s">
        <v>8913</v>
      </c>
      <c r="I744" s="218">
        <v>449052.0</v>
      </c>
      <c r="J744" s="218" t="s">
        <v>362</v>
      </c>
    </row>
    <row r="745">
      <c r="A745" s="218" t="s">
        <v>9114</v>
      </c>
      <c r="B745" s="218">
        <v>721.0</v>
      </c>
      <c r="C745" s="218">
        <v>2018.0</v>
      </c>
      <c r="D745" s="218">
        <v>107702.0</v>
      </c>
      <c r="E745" s="218" t="s">
        <v>8715</v>
      </c>
      <c r="F745" s="218" t="s">
        <v>8716</v>
      </c>
      <c r="G745" s="218">
        <v>35.0</v>
      </c>
      <c r="H745" s="218" t="s">
        <v>8913</v>
      </c>
      <c r="I745" s="218">
        <v>449052.0</v>
      </c>
      <c r="J745" s="218" t="s">
        <v>362</v>
      </c>
    </row>
    <row r="746">
      <c r="A746" s="218" t="s">
        <v>9114</v>
      </c>
      <c r="B746" s="218">
        <v>720.0</v>
      </c>
      <c r="C746" s="218">
        <v>2018.0</v>
      </c>
      <c r="D746" s="218">
        <v>107702.0</v>
      </c>
      <c r="E746" s="218" t="s">
        <v>8715</v>
      </c>
      <c r="F746" s="218" t="s">
        <v>8716</v>
      </c>
      <c r="G746" s="218">
        <v>35.0</v>
      </c>
      <c r="H746" s="218" t="s">
        <v>8913</v>
      </c>
      <c r="I746" s="218">
        <v>449052.0</v>
      </c>
      <c r="J746" s="218" t="s">
        <v>362</v>
      </c>
    </row>
    <row r="747">
      <c r="A747" s="218" t="s">
        <v>9114</v>
      </c>
      <c r="B747" s="218">
        <v>918.0</v>
      </c>
      <c r="C747" s="218">
        <v>2018.0</v>
      </c>
      <c r="D747" s="218">
        <v>84847.0</v>
      </c>
      <c r="E747" s="218" t="s">
        <v>8911</v>
      </c>
      <c r="F747" s="218" t="s">
        <v>8912</v>
      </c>
      <c r="G747" s="218">
        <v>35.0</v>
      </c>
      <c r="H747" s="218" t="s">
        <v>8913</v>
      </c>
      <c r="I747" s="218">
        <v>449052.0</v>
      </c>
      <c r="J747" s="218" t="s">
        <v>362</v>
      </c>
    </row>
    <row r="748">
      <c r="A748" s="218" t="s">
        <v>9114</v>
      </c>
      <c r="B748" s="218">
        <v>720.0</v>
      </c>
      <c r="C748" s="218">
        <v>2018.0</v>
      </c>
      <c r="D748" s="218">
        <v>107702.0</v>
      </c>
      <c r="E748" s="218" t="s">
        <v>8715</v>
      </c>
      <c r="F748" s="218" t="s">
        <v>8716</v>
      </c>
      <c r="G748" s="218">
        <v>35.0</v>
      </c>
      <c r="H748" s="218" t="s">
        <v>8913</v>
      </c>
      <c r="I748" s="218">
        <v>449052.0</v>
      </c>
      <c r="J748" s="218" t="s">
        <v>362</v>
      </c>
    </row>
    <row r="749">
      <c r="A749" s="218" t="s">
        <v>9115</v>
      </c>
      <c r="B749" s="218">
        <v>711.0</v>
      </c>
      <c r="C749" s="218">
        <v>2018.0</v>
      </c>
      <c r="D749" s="218">
        <v>84847.0</v>
      </c>
      <c r="E749" s="218" t="s">
        <v>8911</v>
      </c>
      <c r="F749" s="218" t="s">
        <v>8912</v>
      </c>
      <c r="G749" s="218">
        <v>35.0</v>
      </c>
      <c r="H749" s="218" t="s">
        <v>8913</v>
      </c>
      <c r="I749" s="218">
        <v>449052.0</v>
      </c>
      <c r="J749" s="218" t="s">
        <v>362</v>
      </c>
    </row>
    <row r="750">
      <c r="A750" s="218" t="s">
        <v>9116</v>
      </c>
      <c r="B750" s="218">
        <v>687.0</v>
      </c>
      <c r="C750" s="218">
        <v>2018.0</v>
      </c>
      <c r="D750" s="218">
        <v>107702.0</v>
      </c>
      <c r="E750" s="218" t="s">
        <v>8715</v>
      </c>
      <c r="F750" s="218" t="s">
        <v>8716</v>
      </c>
      <c r="G750" s="218">
        <v>16.0</v>
      </c>
      <c r="H750" s="218" t="s">
        <v>8775</v>
      </c>
      <c r="I750" s="218">
        <v>339039.0</v>
      </c>
      <c r="J750" s="218" t="s">
        <v>8720</v>
      </c>
    </row>
    <row r="751">
      <c r="A751" s="218" t="s">
        <v>9117</v>
      </c>
      <c r="B751" s="218">
        <v>740.0</v>
      </c>
      <c r="C751" s="218">
        <v>2018.0</v>
      </c>
      <c r="D751" s="218">
        <v>107702.0</v>
      </c>
      <c r="E751" s="218" t="s">
        <v>8715</v>
      </c>
      <c r="F751" s="218" t="s">
        <v>8716</v>
      </c>
      <c r="G751" s="218">
        <v>23.0</v>
      </c>
      <c r="H751" s="218" t="s">
        <v>8869</v>
      </c>
      <c r="I751" s="218">
        <v>339040.0</v>
      </c>
      <c r="J751" s="218" t="s">
        <v>136</v>
      </c>
    </row>
    <row r="752">
      <c r="A752" s="218" t="s">
        <v>9117</v>
      </c>
      <c r="B752" s="218">
        <v>741.0</v>
      </c>
      <c r="C752" s="218">
        <v>2018.0</v>
      </c>
      <c r="D752" s="218">
        <v>107702.0</v>
      </c>
      <c r="E752" s="218" t="s">
        <v>8715</v>
      </c>
      <c r="F752" s="218" t="s">
        <v>8716</v>
      </c>
      <c r="G752" s="218">
        <v>17.0</v>
      </c>
      <c r="H752" s="218" t="s">
        <v>8903</v>
      </c>
      <c r="I752" s="218">
        <v>339030.0</v>
      </c>
      <c r="J752" s="218" t="s">
        <v>249</v>
      </c>
    </row>
    <row r="753">
      <c r="A753" s="218" t="s">
        <v>9117</v>
      </c>
      <c r="B753" s="218">
        <v>742.0</v>
      </c>
      <c r="C753" s="218">
        <v>2018.0</v>
      </c>
      <c r="D753" s="218">
        <v>107702.0</v>
      </c>
      <c r="E753" s="218" t="s">
        <v>8715</v>
      </c>
      <c r="F753" s="218" t="s">
        <v>8716</v>
      </c>
      <c r="G753" s="218">
        <v>23.0</v>
      </c>
      <c r="H753" s="218" t="s">
        <v>8869</v>
      </c>
      <c r="I753" s="218">
        <v>339040.0</v>
      </c>
      <c r="J753" s="218" t="s">
        <v>136</v>
      </c>
    </row>
    <row r="754">
      <c r="A754" s="218" t="s">
        <v>9117</v>
      </c>
      <c r="B754" s="218">
        <v>742.0</v>
      </c>
      <c r="C754" s="218">
        <v>2018.0</v>
      </c>
      <c r="D754" s="218">
        <v>107702.0</v>
      </c>
      <c r="E754" s="218" t="s">
        <v>8715</v>
      </c>
      <c r="F754" s="218" t="s">
        <v>8716</v>
      </c>
      <c r="G754" s="218">
        <v>23.0</v>
      </c>
      <c r="H754" s="218" t="s">
        <v>8869</v>
      </c>
      <c r="I754" s="218">
        <v>339040.0</v>
      </c>
      <c r="J754" s="218" t="s">
        <v>136</v>
      </c>
    </row>
    <row r="755">
      <c r="A755" s="218" t="s">
        <v>221</v>
      </c>
      <c r="B755" s="218">
        <v>967.0</v>
      </c>
      <c r="C755" s="218">
        <v>2018.0</v>
      </c>
      <c r="D755" s="218">
        <v>107702.0</v>
      </c>
      <c r="E755" s="218" t="s">
        <v>8715</v>
      </c>
      <c r="F755" s="218" t="s">
        <v>8716</v>
      </c>
      <c r="G755" s="218">
        <v>14.0</v>
      </c>
      <c r="H755" s="218" t="s">
        <v>853</v>
      </c>
      <c r="I755" s="218">
        <v>339040.0</v>
      </c>
      <c r="J755" s="218" t="s">
        <v>136</v>
      </c>
    </row>
    <row r="756">
      <c r="A756" s="218" t="s">
        <v>9118</v>
      </c>
      <c r="B756" s="218">
        <v>988.0</v>
      </c>
      <c r="C756" s="218">
        <v>2018.0</v>
      </c>
      <c r="D756" s="218">
        <v>107702.0</v>
      </c>
      <c r="E756" s="218" t="s">
        <v>8715</v>
      </c>
      <c r="F756" s="218" t="s">
        <v>8716</v>
      </c>
      <c r="G756" s="218">
        <v>16.0</v>
      </c>
      <c r="H756" s="218" t="s">
        <v>8775</v>
      </c>
      <c r="I756" s="218">
        <v>339039.0</v>
      </c>
      <c r="J756" s="218" t="s">
        <v>8720</v>
      </c>
    </row>
    <row r="757">
      <c r="A757" s="218" t="s">
        <v>9119</v>
      </c>
      <c r="B757" s="218">
        <v>746.0</v>
      </c>
      <c r="C757" s="218">
        <v>2018.0</v>
      </c>
      <c r="D757" s="218">
        <v>107702.0</v>
      </c>
      <c r="E757" s="218" t="s">
        <v>8715</v>
      </c>
      <c r="F757" s="218" t="s">
        <v>8716</v>
      </c>
      <c r="G757" s="218">
        <v>2.0</v>
      </c>
      <c r="H757" s="218" t="s">
        <v>8748</v>
      </c>
      <c r="I757" s="218">
        <v>339037.0</v>
      </c>
      <c r="J757" s="218" t="s">
        <v>8770</v>
      </c>
    </row>
    <row r="758">
      <c r="A758" s="218" t="s">
        <v>9119</v>
      </c>
      <c r="B758" s="218">
        <v>810.0</v>
      </c>
      <c r="C758" s="218">
        <v>2018.0</v>
      </c>
      <c r="D758" s="218">
        <v>107702.0</v>
      </c>
      <c r="E758" s="218" t="s">
        <v>8715</v>
      </c>
      <c r="F758" s="218" t="s">
        <v>8716</v>
      </c>
      <c r="G758" s="218">
        <v>2.0</v>
      </c>
      <c r="H758" s="218" t="s">
        <v>8748</v>
      </c>
      <c r="I758" s="218">
        <v>339037.0</v>
      </c>
      <c r="J758" s="218" t="s">
        <v>8770</v>
      </c>
    </row>
    <row r="759">
      <c r="A759" s="218" t="s">
        <v>9120</v>
      </c>
      <c r="B759" s="218">
        <v>954.0</v>
      </c>
      <c r="C759" s="218">
        <v>2018.0</v>
      </c>
      <c r="D759" s="218">
        <v>107702.0</v>
      </c>
      <c r="E759" s="218" t="s">
        <v>8715</v>
      </c>
      <c r="F759" s="218" t="s">
        <v>8716</v>
      </c>
      <c r="G759" s="218">
        <v>42.0</v>
      </c>
      <c r="H759" s="218" t="s">
        <v>8901</v>
      </c>
      <c r="I759" s="218">
        <v>449052.0</v>
      </c>
      <c r="J759" s="218" t="s">
        <v>362</v>
      </c>
    </row>
    <row r="760">
      <c r="A760" s="218" t="s">
        <v>9120</v>
      </c>
      <c r="B760" s="218">
        <v>954.0</v>
      </c>
      <c r="C760" s="218">
        <v>2018.0</v>
      </c>
      <c r="D760" s="218">
        <v>107702.0</v>
      </c>
      <c r="E760" s="218" t="s">
        <v>8715</v>
      </c>
      <c r="F760" s="218" t="s">
        <v>8716</v>
      </c>
      <c r="G760" s="218">
        <v>42.0</v>
      </c>
      <c r="H760" s="218" t="s">
        <v>8901</v>
      </c>
      <c r="I760" s="218">
        <v>449052.0</v>
      </c>
      <c r="J760" s="218" t="s">
        <v>362</v>
      </c>
    </row>
    <row r="761">
      <c r="A761" s="218" t="s">
        <v>9120</v>
      </c>
      <c r="B761" s="218">
        <v>954.0</v>
      </c>
      <c r="C761" s="218">
        <v>2018.0</v>
      </c>
      <c r="D761" s="218">
        <v>107702.0</v>
      </c>
      <c r="E761" s="218" t="s">
        <v>8715</v>
      </c>
      <c r="F761" s="218" t="s">
        <v>8716</v>
      </c>
      <c r="G761" s="218">
        <v>42.0</v>
      </c>
      <c r="H761" s="218" t="s">
        <v>8901</v>
      </c>
      <c r="I761" s="218">
        <v>449052.0</v>
      </c>
      <c r="J761" s="218" t="s">
        <v>362</v>
      </c>
    </row>
    <row r="762">
      <c r="A762" s="218" t="s">
        <v>9120</v>
      </c>
      <c r="B762" s="218">
        <v>954.0</v>
      </c>
      <c r="C762" s="218">
        <v>2018.0</v>
      </c>
      <c r="D762" s="218">
        <v>107702.0</v>
      </c>
      <c r="E762" s="218" t="s">
        <v>8715</v>
      </c>
      <c r="F762" s="218" t="s">
        <v>8716</v>
      </c>
      <c r="G762" s="218">
        <v>42.0</v>
      </c>
      <c r="H762" s="218" t="s">
        <v>8901</v>
      </c>
      <c r="I762" s="218">
        <v>449052.0</v>
      </c>
      <c r="J762" s="218" t="s">
        <v>362</v>
      </c>
    </row>
    <row r="763">
      <c r="A763" s="218" t="s">
        <v>9120</v>
      </c>
      <c r="B763" s="218">
        <v>954.0</v>
      </c>
      <c r="C763" s="218">
        <v>2018.0</v>
      </c>
      <c r="D763" s="218">
        <v>107702.0</v>
      </c>
      <c r="E763" s="218" t="s">
        <v>8715</v>
      </c>
      <c r="F763" s="218" t="s">
        <v>8716</v>
      </c>
      <c r="G763" s="218">
        <v>42.0</v>
      </c>
      <c r="H763" s="218" t="s">
        <v>8901</v>
      </c>
      <c r="I763" s="218">
        <v>449052.0</v>
      </c>
      <c r="J763" s="218" t="s">
        <v>362</v>
      </c>
    </row>
    <row r="764">
      <c r="A764" s="218" t="s">
        <v>9120</v>
      </c>
      <c r="B764" s="218">
        <v>954.0</v>
      </c>
      <c r="C764" s="218">
        <v>2018.0</v>
      </c>
      <c r="D764" s="218">
        <v>107702.0</v>
      </c>
      <c r="E764" s="218" t="s">
        <v>8715</v>
      </c>
      <c r="F764" s="218" t="s">
        <v>8716</v>
      </c>
      <c r="G764" s="218">
        <v>42.0</v>
      </c>
      <c r="H764" s="218" t="s">
        <v>8901</v>
      </c>
      <c r="I764" s="218">
        <v>449052.0</v>
      </c>
      <c r="J764" s="218" t="s">
        <v>362</v>
      </c>
    </row>
    <row r="765">
      <c r="A765" s="218" t="s">
        <v>9120</v>
      </c>
      <c r="B765" s="218">
        <v>954.0</v>
      </c>
      <c r="C765" s="218">
        <v>2018.0</v>
      </c>
      <c r="D765" s="218">
        <v>107702.0</v>
      </c>
      <c r="E765" s="218" t="s">
        <v>8715</v>
      </c>
      <c r="F765" s="218" t="s">
        <v>8716</v>
      </c>
      <c r="G765" s="218">
        <v>42.0</v>
      </c>
      <c r="H765" s="218" t="s">
        <v>8901</v>
      </c>
      <c r="I765" s="218">
        <v>449052.0</v>
      </c>
      <c r="J765" s="218" t="s">
        <v>362</v>
      </c>
    </row>
    <row r="766">
      <c r="A766" s="218" t="s">
        <v>9120</v>
      </c>
      <c r="B766" s="218">
        <v>954.0</v>
      </c>
      <c r="C766" s="218">
        <v>2018.0</v>
      </c>
      <c r="D766" s="218">
        <v>107702.0</v>
      </c>
      <c r="E766" s="218" t="s">
        <v>8715</v>
      </c>
      <c r="F766" s="218" t="s">
        <v>8716</v>
      </c>
      <c r="G766" s="218">
        <v>42.0</v>
      </c>
      <c r="H766" s="218" t="s">
        <v>8901</v>
      </c>
      <c r="I766" s="218">
        <v>449052.0</v>
      </c>
      <c r="J766" s="218" t="s">
        <v>362</v>
      </c>
    </row>
    <row r="767">
      <c r="A767" s="218" t="s">
        <v>9120</v>
      </c>
      <c r="B767" s="218">
        <v>954.0</v>
      </c>
      <c r="C767" s="218">
        <v>2018.0</v>
      </c>
      <c r="D767" s="218">
        <v>107702.0</v>
      </c>
      <c r="E767" s="218" t="s">
        <v>8715</v>
      </c>
      <c r="F767" s="218" t="s">
        <v>8716</v>
      </c>
      <c r="G767" s="218">
        <v>42.0</v>
      </c>
      <c r="H767" s="218" t="s">
        <v>8901</v>
      </c>
      <c r="I767" s="218">
        <v>449052.0</v>
      </c>
      <c r="J767" s="218" t="s">
        <v>362</v>
      </c>
    </row>
    <row r="768">
      <c r="A768" s="218" t="s">
        <v>9120</v>
      </c>
      <c r="B768" s="218">
        <v>954.0</v>
      </c>
      <c r="C768" s="218">
        <v>2018.0</v>
      </c>
      <c r="D768" s="218">
        <v>107702.0</v>
      </c>
      <c r="E768" s="218" t="s">
        <v>8715</v>
      </c>
      <c r="F768" s="218" t="s">
        <v>8716</v>
      </c>
      <c r="G768" s="218">
        <v>42.0</v>
      </c>
      <c r="H768" s="218" t="s">
        <v>8901</v>
      </c>
      <c r="I768" s="218">
        <v>449052.0</v>
      </c>
      <c r="J768" s="218" t="s">
        <v>362</v>
      </c>
    </row>
    <row r="769">
      <c r="A769" s="218" t="s">
        <v>9121</v>
      </c>
      <c r="B769" s="218">
        <v>727.0</v>
      </c>
      <c r="C769" s="218">
        <v>2018.0</v>
      </c>
      <c r="D769" s="218">
        <v>107702.0</v>
      </c>
      <c r="E769" s="218" t="s">
        <v>8715</v>
      </c>
      <c r="F769" s="218" t="s">
        <v>8716</v>
      </c>
      <c r="G769" s="218">
        <v>50.0</v>
      </c>
      <c r="H769" s="218" t="s">
        <v>8958</v>
      </c>
      <c r="I769" s="218">
        <v>339030.0</v>
      </c>
      <c r="J769" s="218" t="s">
        <v>249</v>
      </c>
    </row>
    <row r="770">
      <c r="A770" s="218" t="s">
        <v>9121</v>
      </c>
      <c r="B770" s="218">
        <v>727.0</v>
      </c>
      <c r="C770" s="218">
        <v>2018.0</v>
      </c>
      <c r="D770" s="218">
        <v>107702.0</v>
      </c>
      <c r="E770" s="218" t="s">
        <v>8715</v>
      </c>
      <c r="F770" s="218" t="s">
        <v>8716</v>
      </c>
      <c r="G770" s="218">
        <v>50.0</v>
      </c>
      <c r="H770" s="218" t="s">
        <v>8958</v>
      </c>
      <c r="I770" s="218">
        <v>339030.0</v>
      </c>
      <c r="J770" s="218" t="s">
        <v>249</v>
      </c>
    </row>
    <row r="771">
      <c r="A771" s="218" t="s">
        <v>9121</v>
      </c>
      <c r="B771" s="218">
        <v>727.0</v>
      </c>
      <c r="C771" s="218">
        <v>2018.0</v>
      </c>
      <c r="D771" s="218">
        <v>107702.0</v>
      </c>
      <c r="E771" s="218" t="s">
        <v>8715</v>
      </c>
      <c r="F771" s="218" t="s">
        <v>8716</v>
      </c>
      <c r="G771" s="218">
        <v>50.0</v>
      </c>
      <c r="H771" s="218" t="s">
        <v>8958</v>
      </c>
      <c r="I771" s="218">
        <v>339030.0</v>
      </c>
      <c r="J771" s="218" t="s">
        <v>249</v>
      </c>
    </row>
    <row r="772">
      <c r="A772" s="218" t="s">
        <v>9121</v>
      </c>
      <c r="B772" s="218">
        <v>727.0</v>
      </c>
      <c r="C772" s="218">
        <v>2018.0</v>
      </c>
      <c r="D772" s="218">
        <v>107702.0</v>
      </c>
      <c r="E772" s="218" t="s">
        <v>8715</v>
      </c>
      <c r="F772" s="218" t="s">
        <v>8716</v>
      </c>
      <c r="G772" s="218">
        <v>50.0</v>
      </c>
      <c r="H772" s="218" t="s">
        <v>8958</v>
      </c>
      <c r="I772" s="218">
        <v>339030.0</v>
      </c>
      <c r="J772" s="218" t="s">
        <v>249</v>
      </c>
    </row>
    <row r="773">
      <c r="A773" s="218" t="s">
        <v>9121</v>
      </c>
      <c r="B773" s="218">
        <v>727.0</v>
      </c>
      <c r="C773" s="218">
        <v>2018.0</v>
      </c>
      <c r="D773" s="218">
        <v>107702.0</v>
      </c>
      <c r="E773" s="218" t="s">
        <v>8715</v>
      </c>
      <c r="F773" s="218" t="s">
        <v>8716</v>
      </c>
      <c r="G773" s="218">
        <v>50.0</v>
      </c>
      <c r="H773" s="218" t="s">
        <v>8958</v>
      </c>
      <c r="I773" s="218">
        <v>339030.0</v>
      </c>
      <c r="J773" s="218" t="s">
        <v>249</v>
      </c>
    </row>
    <row r="774">
      <c r="A774" s="218" t="s">
        <v>9121</v>
      </c>
      <c r="B774" s="218">
        <v>727.0</v>
      </c>
      <c r="C774" s="218">
        <v>2018.0</v>
      </c>
      <c r="D774" s="218">
        <v>107702.0</v>
      </c>
      <c r="E774" s="218" t="s">
        <v>8715</v>
      </c>
      <c r="F774" s="218" t="s">
        <v>8716</v>
      </c>
      <c r="G774" s="218">
        <v>50.0</v>
      </c>
      <c r="H774" s="218" t="s">
        <v>8958</v>
      </c>
      <c r="I774" s="218">
        <v>339030.0</v>
      </c>
      <c r="J774" s="218" t="s">
        <v>249</v>
      </c>
    </row>
    <row r="775">
      <c r="A775" s="218" t="s">
        <v>9121</v>
      </c>
      <c r="B775" s="218">
        <v>727.0</v>
      </c>
      <c r="C775" s="218">
        <v>2018.0</v>
      </c>
      <c r="D775" s="218">
        <v>107702.0</v>
      </c>
      <c r="E775" s="218" t="s">
        <v>8715</v>
      </c>
      <c r="F775" s="218" t="s">
        <v>8716</v>
      </c>
      <c r="G775" s="218">
        <v>50.0</v>
      </c>
      <c r="H775" s="218" t="s">
        <v>8958</v>
      </c>
      <c r="I775" s="218">
        <v>339030.0</v>
      </c>
      <c r="J775" s="218" t="s">
        <v>249</v>
      </c>
    </row>
    <row r="776">
      <c r="A776" s="218" t="s">
        <v>9121</v>
      </c>
      <c r="B776" s="218">
        <v>727.0</v>
      </c>
      <c r="C776" s="218">
        <v>2018.0</v>
      </c>
      <c r="D776" s="218">
        <v>107702.0</v>
      </c>
      <c r="E776" s="218" t="s">
        <v>8715</v>
      </c>
      <c r="F776" s="218" t="s">
        <v>8716</v>
      </c>
      <c r="G776" s="218">
        <v>50.0</v>
      </c>
      <c r="H776" s="218" t="s">
        <v>8958</v>
      </c>
      <c r="I776" s="218">
        <v>339030.0</v>
      </c>
      <c r="J776" s="218" t="s">
        <v>249</v>
      </c>
    </row>
    <row r="777">
      <c r="A777" s="218" t="s">
        <v>9121</v>
      </c>
      <c r="B777" s="218">
        <v>727.0</v>
      </c>
      <c r="C777" s="218">
        <v>2018.0</v>
      </c>
      <c r="D777" s="218">
        <v>107702.0</v>
      </c>
      <c r="E777" s="218" t="s">
        <v>8715</v>
      </c>
      <c r="F777" s="218" t="s">
        <v>8716</v>
      </c>
      <c r="G777" s="218">
        <v>50.0</v>
      </c>
      <c r="H777" s="218" t="s">
        <v>8958</v>
      </c>
      <c r="I777" s="218">
        <v>339030.0</v>
      </c>
      <c r="J777" s="218" t="s">
        <v>249</v>
      </c>
    </row>
    <row r="778">
      <c r="A778" s="218" t="s">
        <v>9121</v>
      </c>
      <c r="B778" s="218">
        <v>727.0</v>
      </c>
      <c r="C778" s="218">
        <v>2018.0</v>
      </c>
      <c r="D778" s="218">
        <v>107702.0</v>
      </c>
      <c r="E778" s="218" t="s">
        <v>8715</v>
      </c>
      <c r="F778" s="218" t="s">
        <v>8716</v>
      </c>
      <c r="G778" s="218">
        <v>50.0</v>
      </c>
      <c r="H778" s="218" t="s">
        <v>8958</v>
      </c>
      <c r="I778" s="218">
        <v>339030.0</v>
      </c>
      <c r="J778" s="218" t="s">
        <v>249</v>
      </c>
    </row>
    <row r="779">
      <c r="A779" s="218" t="s">
        <v>9122</v>
      </c>
      <c r="B779" s="218">
        <v>729.0</v>
      </c>
      <c r="C779" s="218">
        <v>2018.0</v>
      </c>
      <c r="D779" s="218">
        <v>85048.0</v>
      </c>
      <c r="E779" s="218" t="s">
        <v>8968</v>
      </c>
      <c r="F779" s="218" t="s">
        <v>8969</v>
      </c>
      <c r="G779" s="218">
        <v>48.0</v>
      </c>
      <c r="H779" s="218" t="s">
        <v>8970</v>
      </c>
      <c r="I779" s="218">
        <v>339039.0</v>
      </c>
      <c r="J779" s="218" t="s">
        <v>8720</v>
      </c>
    </row>
    <row r="780">
      <c r="A780" s="218" t="s">
        <v>9123</v>
      </c>
      <c r="B780" s="218">
        <v>732.0</v>
      </c>
      <c r="C780" s="218">
        <v>2018.0</v>
      </c>
      <c r="D780" s="218">
        <v>85049.0</v>
      </c>
      <c r="E780" s="218" t="s">
        <v>8790</v>
      </c>
      <c r="F780" s="218" t="s">
        <v>8791</v>
      </c>
      <c r="G780" s="218">
        <v>63.0</v>
      </c>
      <c r="H780" s="218" t="s">
        <v>9012</v>
      </c>
      <c r="I780" s="218">
        <v>339039.0</v>
      </c>
      <c r="J780" s="218" t="s">
        <v>8720</v>
      </c>
    </row>
    <row r="781">
      <c r="A781" s="218" t="s">
        <v>9123</v>
      </c>
      <c r="B781" s="218">
        <v>732.0</v>
      </c>
      <c r="C781" s="218">
        <v>2018.0</v>
      </c>
      <c r="D781" s="218">
        <v>85049.0</v>
      </c>
      <c r="E781" s="218" t="s">
        <v>8790</v>
      </c>
      <c r="F781" s="218" t="s">
        <v>8791</v>
      </c>
      <c r="G781" s="218">
        <v>63.0</v>
      </c>
      <c r="H781" s="218" t="s">
        <v>9012</v>
      </c>
      <c r="I781" s="218">
        <v>339039.0</v>
      </c>
      <c r="J781" s="218" t="s">
        <v>8720</v>
      </c>
    </row>
    <row r="782">
      <c r="A782" s="218" t="s">
        <v>9124</v>
      </c>
      <c r="B782" s="218">
        <v>780.0</v>
      </c>
      <c r="C782" s="218">
        <v>2018.0</v>
      </c>
      <c r="D782" s="218">
        <v>107702.0</v>
      </c>
      <c r="E782" s="218" t="s">
        <v>8715</v>
      </c>
      <c r="F782" s="218" t="s">
        <v>8716</v>
      </c>
      <c r="G782" s="218">
        <v>33.0</v>
      </c>
      <c r="H782" s="218" t="s">
        <v>8889</v>
      </c>
      <c r="I782" s="218">
        <v>449052.0</v>
      </c>
      <c r="J782" s="218" t="s">
        <v>362</v>
      </c>
    </row>
    <row r="783">
      <c r="A783" s="218" t="s">
        <v>9124</v>
      </c>
      <c r="B783" s="218">
        <v>739.0</v>
      </c>
      <c r="C783" s="218">
        <v>2018.0</v>
      </c>
      <c r="D783" s="218">
        <v>107702.0</v>
      </c>
      <c r="E783" s="218" t="s">
        <v>8715</v>
      </c>
      <c r="F783" s="218" t="s">
        <v>8716</v>
      </c>
      <c r="G783" s="218">
        <v>33.0</v>
      </c>
      <c r="H783" s="218" t="s">
        <v>8889</v>
      </c>
      <c r="I783" s="218">
        <v>449052.0</v>
      </c>
      <c r="J783" s="218" t="s">
        <v>362</v>
      </c>
    </row>
    <row r="784">
      <c r="A784" s="218" t="s">
        <v>9124</v>
      </c>
      <c r="B784" s="218">
        <v>780.0</v>
      </c>
      <c r="C784" s="218">
        <v>2018.0</v>
      </c>
      <c r="D784" s="218">
        <v>107702.0</v>
      </c>
      <c r="E784" s="218" t="s">
        <v>8715</v>
      </c>
      <c r="F784" s="218" t="s">
        <v>8716</v>
      </c>
      <c r="G784" s="218">
        <v>33.0</v>
      </c>
      <c r="H784" s="218" t="s">
        <v>8889</v>
      </c>
      <c r="I784" s="218">
        <v>449052.0</v>
      </c>
      <c r="J784" s="218" t="s">
        <v>362</v>
      </c>
    </row>
    <row r="785">
      <c r="A785" s="218" t="s">
        <v>9124</v>
      </c>
      <c r="B785" s="218">
        <v>739.0</v>
      </c>
      <c r="C785" s="218">
        <v>2018.0</v>
      </c>
      <c r="D785" s="218">
        <v>107702.0</v>
      </c>
      <c r="E785" s="218" t="s">
        <v>8715</v>
      </c>
      <c r="F785" s="218" t="s">
        <v>8716</v>
      </c>
      <c r="G785" s="218">
        <v>33.0</v>
      </c>
      <c r="H785" s="218" t="s">
        <v>8889</v>
      </c>
      <c r="I785" s="218">
        <v>449052.0</v>
      </c>
      <c r="J785" s="218" t="s">
        <v>362</v>
      </c>
    </row>
    <row r="786">
      <c r="A786" s="218" t="s">
        <v>9125</v>
      </c>
      <c r="B786" s="218">
        <v>1099.0</v>
      </c>
      <c r="C786" s="218">
        <v>2018.0</v>
      </c>
      <c r="D786" s="218">
        <v>107702.0</v>
      </c>
      <c r="E786" s="218" t="s">
        <v>8715</v>
      </c>
      <c r="F786" s="218" t="s">
        <v>8716</v>
      </c>
      <c r="G786" s="218">
        <v>1.0</v>
      </c>
      <c r="H786" s="218" t="s">
        <v>8769</v>
      </c>
      <c r="I786" s="218">
        <v>339037.0</v>
      </c>
      <c r="J786" s="218" t="s">
        <v>8770</v>
      </c>
    </row>
    <row r="787">
      <c r="A787" s="218" t="s">
        <v>9126</v>
      </c>
      <c r="B787" s="218">
        <v>747.0</v>
      </c>
      <c r="C787" s="218">
        <v>2018.0</v>
      </c>
      <c r="D787" s="218">
        <v>85048.0</v>
      </c>
      <c r="E787" s="218" t="s">
        <v>8968</v>
      </c>
      <c r="F787" s="218" t="s">
        <v>8969</v>
      </c>
      <c r="G787" s="218">
        <v>48.0</v>
      </c>
      <c r="H787" s="218" t="s">
        <v>8970</v>
      </c>
      <c r="I787" s="218">
        <v>339039.0</v>
      </c>
      <c r="J787" s="218" t="s">
        <v>8720</v>
      </c>
    </row>
    <row r="788">
      <c r="A788" s="218" t="s">
        <v>9126</v>
      </c>
      <c r="B788" s="218">
        <v>747.0</v>
      </c>
      <c r="C788" s="218">
        <v>2018.0</v>
      </c>
      <c r="D788" s="218">
        <v>85048.0</v>
      </c>
      <c r="E788" s="218" t="s">
        <v>8968</v>
      </c>
      <c r="F788" s="218" t="s">
        <v>8969</v>
      </c>
      <c r="G788" s="218">
        <v>48.0</v>
      </c>
      <c r="H788" s="218" t="s">
        <v>8970</v>
      </c>
      <c r="I788" s="218">
        <v>339039.0</v>
      </c>
      <c r="J788" s="218" t="s">
        <v>8720</v>
      </c>
    </row>
    <row r="789">
      <c r="A789" s="218" t="s">
        <v>9127</v>
      </c>
      <c r="B789" s="218">
        <v>797.0</v>
      </c>
      <c r="C789" s="218">
        <v>2018.0</v>
      </c>
      <c r="D789" s="218">
        <v>85049.0</v>
      </c>
      <c r="E789" s="218" t="s">
        <v>8790</v>
      </c>
      <c r="F789" s="218" t="s">
        <v>8791</v>
      </c>
      <c r="G789" s="218">
        <v>33.0</v>
      </c>
      <c r="H789" s="218" t="s">
        <v>8889</v>
      </c>
      <c r="I789" s="218">
        <v>449052.0</v>
      </c>
      <c r="J789" s="218" t="s">
        <v>362</v>
      </c>
    </row>
    <row r="790">
      <c r="A790" s="218" t="s">
        <v>9127</v>
      </c>
      <c r="B790" s="218">
        <v>798.0</v>
      </c>
      <c r="C790" s="218">
        <v>2018.0</v>
      </c>
      <c r="D790" s="218">
        <v>85048.0</v>
      </c>
      <c r="E790" s="218" t="s">
        <v>8968</v>
      </c>
      <c r="F790" s="218" t="s">
        <v>8969</v>
      </c>
      <c r="G790" s="218">
        <v>33.0</v>
      </c>
      <c r="H790" s="218" t="s">
        <v>8889</v>
      </c>
      <c r="I790" s="218">
        <v>449052.0</v>
      </c>
      <c r="J790" s="218" t="s">
        <v>362</v>
      </c>
    </row>
    <row r="791">
      <c r="A791" s="218" t="s">
        <v>9127</v>
      </c>
      <c r="B791" s="218">
        <v>799.0</v>
      </c>
      <c r="C791" s="218">
        <v>2018.0</v>
      </c>
      <c r="D791" s="218">
        <v>85049.0</v>
      </c>
      <c r="E791" s="218" t="s">
        <v>8790</v>
      </c>
      <c r="F791" s="218" t="s">
        <v>8791</v>
      </c>
      <c r="G791" s="218">
        <v>33.0</v>
      </c>
      <c r="H791" s="218" t="s">
        <v>8889</v>
      </c>
      <c r="I791" s="218">
        <v>449052.0</v>
      </c>
      <c r="J791" s="218" t="s">
        <v>362</v>
      </c>
    </row>
    <row r="792">
      <c r="A792" s="218" t="s">
        <v>9128</v>
      </c>
      <c r="B792" s="218">
        <v>754.0</v>
      </c>
      <c r="C792" s="218">
        <v>2018.0</v>
      </c>
      <c r="D792" s="218">
        <v>127285.0</v>
      </c>
      <c r="E792" s="432">
        <v>2.12205714256E19</v>
      </c>
      <c r="F792" s="218" t="s">
        <v>9077</v>
      </c>
      <c r="G792" s="218">
        <v>63.0</v>
      </c>
      <c r="H792" s="218" t="s">
        <v>9012</v>
      </c>
      <c r="I792" s="218">
        <v>339039.0</v>
      </c>
      <c r="J792" s="218" t="s">
        <v>8720</v>
      </c>
    </row>
    <row r="793">
      <c r="A793" s="218" t="s">
        <v>9129</v>
      </c>
      <c r="B793" s="218">
        <v>766.0</v>
      </c>
      <c r="C793" s="218">
        <v>2018.0</v>
      </c>
      <c r="D793" s="218">
        <v>85042.0</v>
      </c>
      <c r="E793" s="218" t="s">
        <v>8948</v>
      </c>
      <c r="F793" s="218" t="s">
        <v>8949</v>
      </c>
      <c r="G793" s="218">
        <v>50.0</v>
      </c>
      <c r="H793" s="218" t="s">
        <v>9130</v>
      </c>
      <c r="I793" s="218">
        <v>339039.0</v>
      </c>
      <c r="J793" s="218" t="s">
        <v>8720</v>
      </c>
    </row>
    <row r="794">
      <c r="A794" s="218" t="s">
        <v>9129</v>
      </c>
      <c r="B794" s="218">
        <v>766.0</v>
      </c>
      <c r="C794" s="218">
        <v>2018.0</v>
      </c>
      <c r="D794" s="218">
        <v>85042.0</v>
      </c>
      <c r="E794" s="218" t="s">
        <v>8948</v>
      </c>
      <c r="F794" s="218" t="s">
        <v>8949</v>
      </c>
      <c r="G794" s="218">
        <v>50.0</v>
      </c>
      <c r="H794" s="218" t="s">
        <v>9130</v>
      </c>
      <c r="I794" s="218">
        <v>339039.0</v>
      </c>
      <c r="J794" s="218" t="s">
        <v>8720</v>
      </c>
    </row>
    <row r="795">
      <c r="A795" s="218" t="s">
        <v>9129</v>
      </c>
      <c r="B795" s="218">
        <v>766.0</v>
      </c>
      <c r="C795" s="218">
        <v>2018.0</v>
      </c>
      <c r="D795" s="218">
        <v>85042.0</v>
      </c>
      <c r="E795" s="218" t="s">
        <v>8948</v>
      </c>
      <c r="F795" s="218" t="s">
        <v>8949</v>
      </c>
      <c r="G795" s="218">
        <v>50.0</v>
      </c>
      <c r="H795" s="218" t="s">
        <v>9130</v>
      </c>
      <c r="I795" s="218">
        <v>339039.0</v>
      </c>
      <c r="J795" s="218" t="s">
        <v>8720</v>
      </c>
    </row>
    <row r="796">
      <c r="A796" s="218" t="s">
        <v>9129</v>
      </c>
      <c r="B796" s="218">
        <v>766.0</v>
      </c>
      <c r="C796" s="218">
        <v>2018.0</v>
      </c>
      <c r="D796" s="218">
        <v>85042.0</v>
      </c>
      <c r="E796" s="218" t="s">
        <v>8948</v>
      </c>
      <c r="F796" s="218" t="s">
        <v>8949</v>
      </c>
      <c r="G796" s="218">
        <v>50.0</v>
      </c>
      <c r="H796" s="218" t="s">
        <v>9130</v>
      </c>
      <c r="I796" s="218">
        <v>339039.0</v>
      </c>
      <c r="J796" s="218" t="s">
        <v>8720</v>
      </c>
    </row>
    <row r="797">
      <c r="A797" s="218" t="s">
        <v>9129</v>
      </c>
      <c r="B797" s="218">
        <v>766.0</v>
      </c>
      <c r="C797" s="218">
        <v>2018.0</v>
      </c>
      <c r="D797" s="218">
        <v>85042.0</v>
      </c>
      <c r="E797" s="218" t="s">
        <v>8948</v>
      </c>
      <c r="F797" s="218" t="s">
        <v>8949</v>
      </c>
      <c r="G797" s="218">
        <v>50.0</v>
      </c>
      <c r="H797" s="218" t="s">
        <v>9130</v>
      </c>
      <c r="I797" s="218">
        <v>339039.0</v>
      </c>
      <c r="J797" s="218" t="s">
        <v>8720</v>
      </c>
    </row>
    <row r="798">
      <c r="A798" s="218" t="s">
        <v>9131</v>
      </c>
      <c r="B798" s="218">
        <v>929.0</v>
      </c>
      <c r="C798" s="218">
        <v>2018.0</v>
      </c>
      <c r="D798" s="218">
        <v>107702.0</v>
      </c>
      <c r="E798" s="218" t="s">
        <v>8715</v>
      </c>
      <c r="F798" s="218" t="s">
        <v>8716</v>
      </c>
      <c r="G798" s="218">
        <v>17.0</v>
      </c>
      <c r="H798" s="218" t="s">
        <v>8825</v>
      </c>
      <c r="I798" s="218">
        <v>339039.0</v>
      </c>
      <c r="J798" s="218" t="s">
        <v>8720</v>
      </c>
    </row>
    <row r="799">
      <c r="A799" s="218" t="s">
        <v>9132</v>
      </c>
      <c r="B799" s="218">
        <v>762.0</v>
      </c>
      <c r="C799" s="218">
        <v>2018.0</v>
      </c>
      <c r="D799" s="218">
        <v>75090.0</v>
      </c>
      <c r="E799" s="432">
        <v>2.12205714256004E19</v>
      </c>
      <c r="F799" s="218" t="s">
        <v>8969</v>
      </c>
      <c r="G799" s="218">
        <v>28.0</v>
      </c>
      <c r="H799" s="218" t="s">
        <v>8970</v>
      </c>
      <c r="I799" s="218">
        <v>339036.0</v>
      </c>
      <c r="J799" s="218" t="s">
        <v>8729</v>
      </c>
    </row>
    <row r="800">
      <c r="A800" s="218" t="s">
        <v>9133</v>
      </c>
      <c r="B800" s="218">
        <v>755.0</v>
      </c>
      <c r="C800" s="218">
        <v>2018.0</v>
      </c>
      <c r="D800" s="218">
        <v>75090.0</v>
      </c>
      <c r="E800" s="432">
        <v>2.12205714256004E19</v>
      </c>
      <c r="F800" s="218" t="s">
        <v>8969</v>
      </c>
      <c r="G800" s="218">
        <v>48.0</v>
      </c>
      <c r="H800" s="218" t="s">
        <v>8970</v>
      </c>
      <c r="I800" s="218">
        <v>339039.0</v>
      </c>
      <c r="J800" s="218" t="s">
        <v>8720</v>
      </c>
    </row>
    <row r="801">
      <c r="A801" s="218" t="s">
        <v>9134</v>
      </c>
      <c r="B801" s="218">
        <v>757.0</v>
      </c>
      <c r="C801" s="218">
        <v>2018.0</v>
      </c>
      <c r="D801" s="218">
        <v>85048.0</v>
      </c>
      <c r="E801" s="218" t="s">
        <v>8968</v>
      </c>
      <c r="F801" s="218" t="s">
        <v>8969</v>
      </c>
      <c r="G801" s="218">
        <v>48.0</v>
      </c>
      <c r="H801" s="218" t="s">
        <v>8970</v>
      </c>
      <c r="I801" s="218">
        <v>339039.0</v>
      </c>
      <c r="J801" s="218" t="s">
        <v>8720</v>
      </c>
    </row>
    <row r="802">
      <c r="A802" s="218" t="s">
        <v>9135</v>
      </c>
      <c r="B802" s="218">
        <v>767.0</v>
      </c>
      <c r="C802" s="218">
        <v>2018.0</v>
      </c>
      <c r="D802" s="218">
        <v>85048.0</v>
      </c>
      <c r="E802" s="218" t="s">
        <v>8968</v>
      </c>
      <c r="F802" s="218" t="s">
        <v>8969</v>
      </c>
      <c r="G802" s="218">
        <v>48.0</v>
      </c>
      <c r="H802" s="218" t="s">
        <v>8970</v>
      </c>
      <c r="I802" s="218">
        <v>339039.0</v>
      </c>
      <c r="J802" s="218" t="s">
        <v>8720</v>
      </c>
    </row>
    <row r="803">
      <c r="A803" s="218" t="s">
        <v>9136</v>
      </c>
      <c r="B803" s="218">
        <v>989.0</v>
      </c>
      <c r="C803" s="218">
        <v>2018.0</v>
      </c>
      <c r="D803" s="218">
        <v>107702.0</v>
      </c>
      <c r="E803" s="218" t="s">
        <v>8715</v>
      </c>
      <c r="F803" s="218" t="s">
        <v>8716</v>
      </c>
      <c r="G803" s="218">
        <v>16.0</v>
      </c>
      <c r="H803" s="218" t="s">
        <v>8775</v>
      </c>
      <c r="I803" s="218">
        <v>339039.0</v>
      </c>
      <c r="J803" s="218" t="s">
        <v>8720</v>
      </c>
    </row>
    <row r="804">
      <c r="A804" s="218" t="s">
        <v>9137</v>
      </c>
      <c r="B804" s="218">
        <v>777.0</v>
      </c>
      <c r="C804" s="218">
        <v>2018.0</v>
      </c>
      <c r="D804" s="218">
        <v>85048.0</v>
      </c>
      <c r="E804" s="218" t="s">
        <v>8968</v>
      </c>
      <c r="F804" s="218" t="s">
        <v>8969</v>
      </c>
      <c r="G804" s="218">
        <v>48.0</v>
      </c>
      <c r="H804" s="218" t="s">
        <v>8970</v>
      </c>
      <c r="I804" s="218">
        <v>339039.0</v>
      </c>
      <c r="J804" s="218" t="s">
        <v>8720</v>
      </c>
    </row>
    <row r="805">
      <c r="A805" s="218" t="s">
        <v>9138</v>
      </c>
      <c r="B805" s="218">
        <v>993.0</v>
      </c>
      <c r="C805" s="218">
        <v>2018.0</v>
      </c>
      <c r="D805" s="218">
        <v>107702.0</v>
      </c>
      <c r="E805" s="218" t="s">
        <v>8715</v>
      </c>
      <c r="F805" s="218" t="s">
        <v>8716</v>
      </c>
      <c r="G805" s="218">
        <v>16.0</v>
      </c>
      <c r="H805" s="218" t="s">
        <v>8775</v>
      </c>
      <c r="I805" s="218">
        <v>339039.0</v>
      </c>
      <c r="J805" s="218" t="s">
        <v>8720</v>
      </c>
    </row>
    <row r="806">
      <c r="A806" s="218" t="s">
        <v>9139</v>
      </c>
      <c r="B806" s="218">
        <v>778.0</v>
      </c>
      <c r="C806" s="218">
        <v>2018.0</v>
      </c>
      <c r="D806" s="218">
        <v>127285.0</v>
      </c>
      <c r="E806" s="432">
        <v>2.12205714256E19</v>
      </c>
      <c r="F806" s="218" t="s">
        <v>9077</v>
      </c>
      <c r="G806" s="218">
        <v>23.0</v>
      </c>
      <c r="H806" s="218" t="s">
        <v>9069</v>
      </c>
      <c r="I806" s="218">
        <v>339030.0</v>
      </c>
      <c r="J806" s="218" t="s">
        <v>249</v>
      </c>
    </row>
    <row r="807">
      <c r="A807" s="218" t="s">
        <v>9140</v>
      </c>
      <c r="B807" s="218">
        <v>785.0</v>
      </c>
      <c r="C807" s="218">
        <v>2018.0</v>
      </c>
      <c r="D807" s="218">
        <v>85048.0</v>
      </c>
      <c r="E807" s="218" t="s">
        <v>8968</v>
      </c>
      <c r="F807" s="218" t="s">
        <v>8969</v>
      </c>
      <c r="G807" s="218">
        <v>48.0</v>
      </c>
      <c r="H807" s="218" t="s">
        <v>8970</v>
      </c>
      <c r="I807" s="218">
        <v>339039.0</v>
      </c>
      <c r="J807" s="218" t="s">
        <v>8720</v>
      </c>
    </row>
    <row r="808">
      <c r="A808" s="218" t="s">
        <v>9141</v>
      </c>
      <c r="B808" s="218">
        <v>805.0</v>
      </c>
      <c r="C808" s="218">
        <v>2018.0</v>
      </c>
      <c r="D808" s="218">
        <v>107702.0</v>
      </c>
      <c r="E808" s="218" t="s">
        <v>8715</v>
      </c>
      <c r="F808" s="218" t="s">
        <v>8716</v>
      </c>
      <c r="G808" s="218">
        <v>5.0</v>
      </c>
      <c r="H808" s="218" t="s">
        <v>8877</v>
      </c>
      <c r="I808" s="218">
        <v>449040.0</v>
      </c>
      <c r="J808" s="218" t="s">
        <v>8837</v>
      </c>
    </row>
    <row r="809">
      <c r="A809" s="218" t="s">
        <v>9142</v>
      </c>
      <c r="B809" s="218">
        <v>812.0</v>
      </c>
      <c r="C809" s="218">
        <v>2018.0</v>
      </c>
      <c r="D809" s="218">
        <v>107702.0</v>
      </c>
      <c r="E809" s="218" t="s">
        <v>8715</v>
      </c>
      <c r="F809" s="218" t="s">
        <v>8716</v>
      </c>
      <c r="G809" s="218">
        <v>24.0</v>
      </c>
      <c r="H809" s="218" t="s">
        <v>9023</v>
      </c>
      <c r="I809" s="218">
        <v>449052.0</v>
      </c>
      <c r="J809" s="218" t="s">
        <v>362</v>
      </c>
    </row>
    <row r="810">
      <c r="A810" s="218" t="s">
        <v>9143</v>
      </c>
      <c r="B810" s="218">
        <v>816.0</v>
      </c>
      <c r="C810" s="218">
        <v>2018.0</v>
      </c>
      <c r="D810" s="218">
        <v>85048.0</v>
      </c>
      <c r="E810" s="218" t="s">
        <v>8968</v>
      </c>
      <c r="F810" s="218" t="s">
        <v>8969</v>
      </c>
      <c r="G810" s="218">
        <v>48.0</v>
      </c>
      <c r="H810" s="218" t="s">
        <v>8970</v>
      </c>
      <c r="I810" s="218">
        <v>339039.0</v>
      </c>
      <c r="J810" s="218" t="s">
        <v>8720</v>
      </c>
    </row>
    <row r="811">
      <c r="A811" s="218" t="s">
        <v>9144</v>
      </c>
      <c r="B811" s="218">
        <v>1041.0</v>
      </c>
      <c r="C811" s="218">
        <v>2018.0</v>
      </c>
      <c r="D811" s="218">
        <v>107702.0</v>
      </c>
      <c r="E811" s="218" t="s">
        <v>8715</v>
      </c>
      <c r="F811" s="218" t="s">
        <v>8716</v>
      </c>
      <c r="G811" s="218">
        <v>16.0</v>
      </c>
      <c r="H811" s="218" t="s">
        <v>8775</v>
      </c>
      <c r="I811" s="218">
        <v>339039.0</v>
      </c>
      <c r="J811" s="218" t="s">
        <v>8720</v>
      </c>
    </row>
    <row r="812">
      <c r="A812" s="218" t="s">
        <v>9144</v>
      </c>
      <c r="B812" s="218">
        <v>1041.0</v>
      </c>
      <c r="C812" s="218">
        <v>2018.0</v>
      </c>
      <c r="D812" s="218">
        <v>107702.0</v>
      </c>
      <c r="E812" s="218" t="s">
        <v>8715</v>
      </c>
      <c r="F812" s="218" t="s">
        <v>8716</v>
      </c>
      <c r="G812" s="218">
        <v>16.0</v>
      </c>
      <c r="H812" s="218" t="s">
        <v>8775</v>
      </c>
      <c r="I812" s="218">
        <v>339039.0</v>
      </c>
      <c r="J812" s="218" t="s">
        <v>8720</v>
      </c>
    </row>
    <row r="813">
      <c r="A813" s="218" t="s">
        <v>9144</v>
      </c>
      <c r="B813" s="218">
        <v>1041.0</v>
      </c>
      <c r="C813" s="218">
        <v>2018.0</v>
      </c>
      <c r="D813" s="218">
        <v>107702.0</v>
      </c>
      <c r="E813" s="218" t="s">
        <v>8715</v>
      </c>
      <c r="F813" s="218" t="s">
        <v>8716</v>
      </c>
      <c r="G813" s="218">
        <v>16.0</v>
      </c>
      <c r="H813" s="218" t="s">
        <v>8775</v>
      </c>
      <c r="I813" s="218">
        <v>339039.0</v>
      </c>
      <c r="J813" s="218" t="s">
        <v>8720</v>
      </c>
    </row>
    <row r="814">
      <c r="A814" s="218" t="s">
        <v>9144</v>
      </c>
      <c r="B814" s="218">
        <v>1041.0</v>
      </c>
      <c r="C814" s="218">
        <v>2018.0</v>
      </c>
      <c r="D814" s="218">
        <v>107702.0</v>
      </c>
      <c r="E814" s="218" t="s">
        <v>8715</v>
      </c>
      <c r="F814" s="218" t="s">
        <v>8716</v>
      </c>
      <c r="G814" s="218">
        <v>16.0</v>
      </c>
      <c r="H814" s="218" t="s">
        <v>8775</v>
      </c>
      <c r="I814" s="218">
        <v>339039.0</v>
      </c>
      <c r="J814" s="218" t="s">
        <v>8720</v>
      </c>
    </row>
    <row r="815">
      <c r="A815" s="218" t="s">
        <v>9144</v>
      </c>
      <c r="B815" s="218">
        <v>1041.0</v>
      </c>
      <c r="C815" s="218">
        <v>2018.0</v>
      </c>
      <c r="D815" s="218">
        <v>107702.0</v>
      </c>
      <c r="E815" s="218" t="s">
        <v>8715</v>
      </c>
      <c r="F815" s="218" t="s">
        <v>8716</v>
      </c>
      <c r="G815" s="218">
        <v>16.0</v>
      </c>
      <c r="H815" s="218" t="s">
        <v>8775</v>
      </c>
      <c r="I815" s="218">
        <v>339039.0</v>
      </c>
      <c r="J815" s="218" t="s">
        <v>8720</v>
      </c>
    </row>
    <row r="816">
      <c r="A816" s="218" t="s">
        <v>9144</v>
      </c>
      <c r="B816" s="218">
        <v>1041.0</v>
      </c>
      <c r="C816" s="218">
        <v>2018.0</v>
      </c>
      <c r="D816" s="218">
        <v>107702.0</v>
      </c>
      <c r="E816" s="218" t="s">
        <v>8715</v>
      </c>
      <c r="F816" s="218" t="s">
        <v>8716</v>
      </c>
      <c r="G816" s="218">
        <v>16.0</v>
      </c>
      <c r="H816" s="218" t="s">
        <v>8775</v>
      </c>
      <c r="I816" s="218">
        <v>339039.0</v>
      </c>
      <c r="J816" s="218" t="s">
        <v>8720</v>
      </c>
    </row>
    <row r="817">
      <c r="A817" s="218" t="s">
        <v>9144</v>
      </c>
      <c r="B817" s="218">
        <v>1041.0</v>
      </c>
      <c r="C817" s="218">
        <v>2018.0</v>
      </c>
      <c r="D817" s="218">
        <v>107702.0</v>
      </c>
      <c r="E817" s="218" t="s">
        <v>8715</v>
      </c>
      <c r="F817" s="218" t="s">
        <v>8716</v>
      </c>
      <c r="G817" s="218">
        <v>16.0</v>
      </c>
      <c r="H817" s="218" t="s">
        <v>8775</v>
      </c>
      <c r="I817" s="218">
        <v>339039.0</v>
      </c>
      <c r="J817" s="218" t="s">
        <v>8720</v>
      </c>
    </row>
    <row r="818">
      <c r="A818" s="218" t="s">
        <v>9144</v>
      </c>
      <c r="B818" s="218">
        <v>1041.0</v>
      </c>
      <c r="C818" s="218">
        <v>2018.0</v>
      </c>
      <c r="D818" s="218">
        <v>107702.0</v>
      </c>
      <c r="E818" s="218" t="s">
        <v>8715</v>
      </c>
      <c r="F818" s="218" t="s">
        <v>8716</v>
      </c>
      <c r="G818" s="218">
        <v>16.0</v>
      </c>
      <c r="H818" s="218" t="s">
        <v>8775</v>
      </c>
      <c r="I818" s="218">
        <v>339039.0</v>
      </c>
      <c r="J818" s="218" t="s">
        <v>8720</v>
      </c>
    </row>
    <row r="819">
      <c r="A819" s="218" t="s">
        <v>9145</v>
      </c>
      <c r="B819" s="218">
        <v>801.0</v>
      </c>
      <c r="C819" s="218">
        <v>2018.0</v>
      </c>
      <c r="D819" s="218">
        <v>85048.0</v>
      </c>
      <c r="E819" s="218" t="s">
        <v>8968</v>
      </c>
      <c r="F819" s="218" t="s">
        <v>8969</v>
      </c>
      <c r="G819" s="218">
        <v>48.0</v>
      </c>
      <c r="H819" s="218" t="s">
        <v>8970</v>
      </c>
      <c r="I819" s="218">
        <v>339039.0</v>
      </c>
      <c r="J819" s="218" t="s">
        <v>8720</v>
      </c>
    </row>
    <row r="820">
      <c r="A820" s="218" t="s">
        <v>9146</v>
      </c>
      <c r="B820" s="218">
        <v>843.0</v>
      </c>
      <c r="C820" s="218">
        <v>2018.0</v>
      </c>
      <c r="D820" s="218">
        <v>85048.0</v>
      </c>
      <c r="E820" s="218" t="s">
        <v>8968</v>
      </c>
      <c r="F820" s="218" t="s">
        <v>8969</v>
      </c>
      <c r="G820" s="218">
        <v>20.0</v>
      </c>
      <c r="H820" s="218" t="s">
        <v>8926</v>
      </c>
      <c r="I820" s="218">
        <v>339040.0</v>
      </c>
      <c r="J820" s="218" t="s">
        <v>136</v>
      </c>
    </row>
    <row r="821">
      <c r="A821" s="218" t="s">
        <v>9147</v>
      </c>
      <c r="B821" s="218">
        <v>804.0</v>
      </c>
      <c r="C821" s="218">
        <v>2018.0</v>
      </c>
      <c r="D821" s="218">
        <v>85048.0</v>
      </c>
      <c r="E821" s="218" t="s">
        <v>8968</v>
      </c>
      <c r="F821" s="218" t="s">
        <v>8969</v>
      </c>
      <c r="G821" s="218">
        <v>48.0</v>
      </c>
      <c r="H821" s="218" t="s">
        <v>8970</v>
      </c>
      <c r="I821" s="218">
        <v>339039.0</v>
      </c>
      <c r="J821" s="218" t="s">
        <v>8720</v>
      </c>
    </row>
    <row r="822">
      <c r="A822" s="218" t="s">
        <v>9148</v>
      </c>
      <c r="B822" s="218">
        <v>814.0</v>
      </c>
      <c r="C822" s="218">
        <v>2018.0</v>
      </c>
      <c r="D822" s="218">
        <v>107702.0</v>
      </c>
      <c r="E822" s="218" t="s">
        <v>8715</v>
      </c>
      <c r="F822" s="218" t="s">
        <v>8716</v>
      </c>
      <c r="G822" s="218">
        <v>7.0</v>
      </c>
      <c r="H822" s="218" t="s">
        <v>9149</v>
      </c>
      <c r="I822" s="218">
        <v>339033.0</v>
      </c>
      <c r="J822" s="218" t="s">
        <v>8788</v>
      </c>
    </row>
    <row r="823">
      <c r="A823" s="218" t="s">
        <v>9148</v>
      </c>
      <c r="B823" s="218">
        <v>814.0</v>
      </c>
      <c r="C823" s="218">
        <v>2018.0</v>
      </c>
      <c r="D823" s="218">
        <v>107702.0</v>
      </c>
      <c r="E823" s="218" t="s">
        <v>8715</v>
      </c>
      <c r="F823" s="218" t="s">
        <v>8716</v>
      </c>
      <c r="G823" s="218">
        <v>1.0</v>
      </c>
      <c r="H823" s="218" t="s">
        <v>8787</v>
      </c>
      <c r="I823" s="218">
        <v>339033.0</v>
      </c>
      <c r="J823" s="218" t="s">
        <v>8788</v>
      </c>
    </row>
    <row r="824">
      <c r="A824" s="218" t="s">
        <v>9150</v>
      </c>
      <c r="B824" s="218">
        <v>811.0</v>
      </c>
      <c r="C824" s="218">
        <v>2018.0</v>
      </c>
      <c r="D824" s="218">
        <v>107702.0</v>
      </c>
      <c r="E824" s="218" t="s">
        <v>8715</v>
      </c>
      <c r="F824" s="218" t="s">
        <v>8716</v>
      </c>
      <c r="G824" s="218">
        <v>5.0</v>
      </c>
      <c r="H824" s="218" t="s">
        <v>8877</v>
      </c>
      <c r="I824" s="218">
        <v>449040.0</v>
      </c>
      <c r="J824" s="218" t="s">
        <v>8837</v>
      </c>
    </row>
    <row r="825">
      <c r="A825" s="218" t="s">
        <v>9151</v>
      </c>
      <c r="B825" s="218">
        <v>815.0</v>
      </c>
      <c r="C825" s="218">
        <v>2018.0</v>
      </c>
      <c r="D825" s="218">
        <v>85048.0</v>
      </c>
      <c r="E825" s="218" t="s">
        <v>8968</v>
      </c>
      <c r="F825" s="218" t="s">
        <v>8969</v>
      </c>
      <c r="G825" s="218">
        <v>48.0</v>
      </c>
      <c r="H825" s="218" t="s">
        <v>8970</v>
      </c>
      <c r="I825" s="218">
        <v>339039.0</v>
      </c>
      <c r="J825" s="218" t="s">
        <v>8720</v>
      </c>
    </row>
    <row r="826">
      <c r="A826" s="218" t="s">
        <v>9152</v>
      </c>
      <c r="B826" s="218">
        <v>813.0</v>
      </c>
      <c r="C826" s="218">
        <v>2018.0</v>
      </c>
      <c r="D826" s="218">
        <v>85048.0</v>
      </c>
      <c r="E826" s="218" t="s">
        <v>8968</v>
      </c>
      <c r="F826" s="218" t="s">
        <v>8969</v>
      </c>
      <c r="G826" s="218">
        <v>48.0</v>
      </c>
      <c r="H826" s="218" t="s">
        <v>8970</v>
      </c>
      <c r="I826" s="218">
        <v>339039.0</v>
      </c>
      <c r="J826" s="218" t="s">
        <v>8720</v>
      </c>
    </row>
    <row r="827">
      <c r="A827" s="218" t="s">
        <v>9153</v>
      </c>
      <c r="B827" s="218">
        <v>821.0</v>
      </c>
      <c r="C827" s="218">
        <v>2018.0</v>
      </c>
      <c r="D827" s="218">
        <v>107702.0</v>
      </c>
      <c r="E827" s="218" t="s">
        <v>8715</v>
      </c>
      <c r="F827" s="218" t="s">
        <v>8716</v>
      </c>
      <c r="G827" s="218">
        <v>17.0</v>
      </c>
      <c r="H827" s="218" t="s">
        <v>8825</v>
      </c>
      <c r="I827" s="218">
        <v>339039.0</v>
      </c>
      <c r="J827" s="218" t="s">
        <v>8720</v>
      </c>
    </row>
    <row r="828">
      <c r="A828" s="218" t="s">
        <v>9153</v>
      </c>
      <c r="B828" s="218">
        <v>822.0</v>
      </c>
      <c r="C828" s="218">
        <v>2018.0</v>
      </c>
      <c r="D828" s="218">
        <v>107702.0</v>
      </c>
      <c r="E828" s="218" t="s">
        <v>8715</v>
      </c>
      <c r="F828" s="218" t="s">
        <v>8716</v>
      </c>
      <c r="G828" s="218">
        <v>25.0</v>
      </c>
      <c r="H828" s="218" t="s">
        <v>8784</v>
      </c>
      <c r="I828" s="218">
        <v>339030.0</v>
      </c>
      <c r="J828" s="218" t="s">
        <v>249</v>
      </c>
    </row>
    <row r="829">
      <c r="A829" s="218" t="s">
        <v>9154</v>
      </c>
      <c r="B829" s="218">
        <v>834.0</v>
      </c>
      <c r="C829" s="218">
        <v>2018.0</v>
      </c>
      <c r="D829" s="218">
        <v>85048.0</v>
      </c>
      <c r="E829" s="218" t="s">
        <v>8968</v>
      </c>
      <c r="F829" s="218" t="s">
        <v>8969</v>
      </c>
      <c r="G829" s="218">
        <v>48.0</v>
      </c>
      <c r="H829" s="218" t="s">
        <v>8970</v>
      </c>
      <c r="I829" s="218">
        <v>339039.0</v>
      </c>
      <c r="J829" s="218" t="s">
        <v>8720</v>
      </c>
    </row>
    <row r="830">
      <c r="A830" s="218" t="s">
        <v>9155</v>
      </c>
      <c r="B830" s="218">
        <v>830.0</v>
      </c>
      <c r="C830" s="218">
        <v>2018.0</v>
      </c>
      <c r="D830" s="218">
        <v>84852.0</v>
      </c>
      <c r="E830" s="222">
        <v>2.12205714256004E15</v>
      </c>
      <c r="F830" s="218" t="s">
        <v>9156</v>
      </c>
      <c r="G830" s="218">
        <v>46.0</v>
      </c>
      <c r="H830" s="218" t="s">
        <v>9086</v>
      </c>
      <c r="I830" s="218">
        <v>339030.0</v>
      </c>
      <c r="J830" s="218" t="s">
        <v>249</v>
      </c>
    </row>
    <row r="831">
      <c r="A831" s="218" t="s">
        <v>9155</v>
      </c>
      <c r="B831" s="218">
        <v>1043.0</v>
      </c>
      <c r="C831" s="218">
        <v>2018.0</v>
      </c>
      <c r="D831" s="218">
        <v>84852.0</v>
      </c>
      <c r="E831" s="222">
        <v>2.12205714256004E15</v>
      </c>
      <c r="F831" s="218" t="s">
        <v>9156</v>
      </c>
      <c r="G831" s="218">
        <v>46.0</v>
      </c>
      <c r="H831" s="218" t="s">
        <v>9086</v>
      </c>
      <c r="I831" s="218">
        <v>339030.0</v>
      </c>
      <c r="J831" s="218" t="s">
        <v>249</v>
      </c>
    </row>
    <row r="832">
      <c r="A832" s="218" t="s">
        <v>9157</v>
      </c>
      <c r="B832" s="218">
        <v>836.0</v>
      </c>
      <c r="C832" s="218">
        <v>2018.0</v>
      </c>
      <c r="D832" s="218">
        <v>107702.0</v>
      </c>
      <c r="E832" s="218" t="s">
        <v>8715</v>
      </c>
      <c r="F832" s="218" t="s">
        <v>8716</v>
      </c>
      <c r="G832" s="218">
        <v>10.0</v>
      </c>
      <c r="H832" s="218" t="s">
        <v>8726</v>
      </c>
      <c r="I832" s="218">
        <v>339047.0</v>
      </c>
      <c r="J832" s="218" t="s">
        <v>8718</v>
      </c>
    </row>
    <row r="833">
      <c r="A833" s="218" t="s">
        <v>9158</v>
      </c>
      <c r="B833" s="218">
        <v>1011.0</v>
      </c>
      <c r="C833" s="218">
        <v>2018.0</v>
      </c>
      <c r="D833" s="218">
        <v>107702.0</v>
      </c>
      <c r="E833" s="218" t="s">
        <v>8715</v>
      </c>
      <c r="F833" s="218" t="s">
        <v>8716</v>
      </c>
      <c r="G833" s="218">
        <v>1.0</v>
      </c>
      <c r="H833" s="218" t="s">
        <v>9159</v>
      </c>
      <c r="I833" s="218">
        <v>339035.0</v>
      </c>
      <c r="J833" s="218" t="s">
        <v>372</v>
      </c>
    </row>
    <row r="834">
      <c r="A834" s="218" t="s">
        <v>9160</v>
      </c>
      <c r="B834" s="218">
        <v>841.0</v>
      </c>
      <c r="C834" s="218">
        <v>2018.0</v>
      </c>
      <c r="D834" s="218">
        <v>107702.0</v>
      </c>
      <c r="E834" s="218" t="s">
        <v>8715</v>
      </c>
      <c r="F834" s="218" t="s">
        <v>8716</v>
      </c>
      <c r="G834" s="218">
        <v>10.0</v>
      </c>
      <c r="H834" s="218" t="s">
        <v>8726</v>
      </c>
      <c r="I834" s="218">
        <v>339047.0</v>
      </c>
      <c r="J834" s="218" t="s">
        <v>8718</v>
      </c>
    </row>
    <row r="835">
      <c r="A835" s="218" t="s">
        <v>9161</v>
      </c>
      <c r="B835" s="218">
        <v>930.0</v>
      </c>
      <c r="C835" s="218">
        <v>2018.0</v>
      </c>
      <c r="D835" s="218">
        <v>75090.0</v>
      </c>
      <c r="E835" s="432">
        <v>2.12205714256004E19</v>
      </c>
      <c r="F835" s="218" t="s">
        <v>8969</v>
      </c>
      <c r="G835" s="218">
        <v>28.0</v>
      </c>
      <c r="H835" s="218" t="s">
        <v>8970</v>
      </c>
      <c r="I835" s="218">
        <v>339036.0</v>
      </c>
      <c r="J835" s="218" t="s">
        <v>8729</v>
      </c>
    </row>
    <row r="836">
      <c r="A836" s="218" t="s">
        <v>9162</v>
      </c>
      <c r="B836" s="218">
        <v>863.0</v>
      </c>
      <c r="C836" s="218">
        <v>2018.0</v>
      </c>
      <c r="D836" s="218">
        <v>107702.0</v>
      </c>
      <c r="E836" s="218" t="s">
        <v>8715</v>
      </c>
      <c r="F836" s="218" t="s">
        <v>8716</v>
      </c>
      <c r="G836" s="218">
        <v>23.0</v>
      </c>
      <c r="H836" s="218" t="s">
        <v>9069</v>
      </c>
      <c r="I836" s="218">
        <v>339030.0</v>
      </c>
      <c r="J836" s="218" t="s">
        <v>249</v>
      </c>
    </row>
    <row r="837">
      <c r="A837" s="218" t="s">
        <v>9162</v>
      </c>
      <c r="B837" s="218">
        <v>863.0</v>
      </c>
      <c r="C837" s="218">
        <v>2018.0</v>
      </c>
      <c r="D837" s="218">
        <v>107702.0</v>
      </c>
      <c r="E837" s="218" t="s">
        <v>8715</v>
      </c>
      <c r="F837" s="218" t="s">
        <v>8716</v>
      </c>
      <c r="G837" s="218">
        <v>23.0</v>
      </c>
      <c r="H837" s="218" t="s">
        <v>9069</v>
      </c>
      <c r="I837" s="218">
        <v>339030.0</v>
      </c>
      <c r="J837" s="218" t="s">
        <v>249</v>
      </c>
    </row>
    <row r="838">
      <c r="A838" s="218" t="s">
        <v>9163</v>
      </c>
      <c r="B838" s="218">
        <v>879.0</v>
      </c>
      <c r="C838" s="218">
        <v>2018.0</v>
      </c>
      <c r="D838" s="218">
        <v>85048.0</v>
      </c>
      <c r="E838" s="218" t="s">
        <v>8968</v>
      </c>
      <c r="F838" s="218" t="s">
        <v>8969</v>
      </c>
      <c r="G838" s="218">
        <v>48.0</v>
      </c>
      <c r="H838" s="218" t="s">
        <v>8970</v>
      </c>
      <c r="I838" s="218">
        <v>339039.0</v>
      </c>
      <c r="J838" s="218" t="s">
        <v>8720</v>
      </c>
    </row>
    <row r="839">
      <c r="A839" s="218" t="s">
        <v>9164</v>
      </c>
      <c r="B839" s="218">
        <v>893.0</v>
      </c>
      <c r="C839" s="218">
        <v>2018.0</v>
      </c>
      <c r="D839" s="218">
        <v>85049.0</v>
      </c>
      <c r="E839" s="218" t="s">
        <v>8790</v>
      </c>
      <c r="F839" s="218" t="s">
        <v>8791</v>
      </c>
      <c r="G839" s="218">
        <v>63.0</v>
      </c>
      <c r="H839" s="218" t="s">
        <v>9012</v>
      </c>
      <c r="I839" s="218">
        <v>339039.0</v>
      </c>
      <c r="J839" s="218" t="s">
        <v>8720</v>
      </c>
    </row>
    <row r="840">
      <c r="A840" s="218" t="s">
        <v>9165</v>
      </c>
      <c r="B840" s="218">
        <v>892.0</v>
      </c>
      <c r="C840" s="218">
        <v>2018.0</v>
      </c>
      <c r="D840" s="218">
        <v>107702.0</v>
      </c>
      <c r="E840" s="218" t="s">
        <v>8715</v>
      </c>
      <c r="F840" s="218" t="s">
        <v>8716</v>
      </c>
      <c r="G840" s="218">
        <v>1.0</v>
      </c>
      <c r="H840" s="218" t="s">
        <v>8787</v>
      </c>
      <c r="I840" s="218">
        <v>339033.0</v>
      </c>
      <c r="J840" s="218" t="s">
        <v>8788</v>
      </c>
    </row>
    <row r="841">
      <c r="A841" s="218" t="s">
        <v>9166</v>
      </c>
      <c r="B841" s="218">
        <v>920.0</v>
      </c>
      <c r="C841" s="218">
        <v>2018.0</v>
      </c>
      <c r="D841" s="218">
        <v>643.0</v>
      </c>
      <c r="E841" s="432">
        <v>2.06105714256E15</v>
      </c>
      <c r="F841" s="218" t="s">
        <v>8979</v>
      </c>
      <c r="G841" s="218">
        <v>17.0</v>
      </c>
      <c r="H841" s="218" t="s">
        <v>8903</v>
      </c>
      <c r="I841" s="218">
        <v>339030.0</v>
      </c>
      <c r="J841" s="218" t="s">
        <v>249</v>
      </c>
    </row>
    <row r="842">
      <c r="A842" s="218" t="s">
        <v>9166</v>
      </c>
      <c r="B842" s="218">
        <v>920.0</v>
      </c>
      <c r="C842" s="218">
        <v>2018.0</v>
      </c>
      <c r="D842" s="218">
        <v>643.0</v>
      </c>
      <c r="E842" s="432">
        <v>2.06105714256E15</v>
      </c>
      <c r="F842" s="218" t="s">
        <v>8979</v>
      </c>
      <c r="G842" s="218">
        <v>17.0</v>
      </c>
      <c r="H842" s="218" t="s">
        <v>8903</v>
      </c>
      <c r="I842" s="218">
        <v>339030.0</v>
      </c>
      <c r="J842" s="218" t="s">
        <v>249</v>
      </c>
    </row>
    <row r="843">
      <c r="A843" s="218" t="s">
        <v>9166</v>
      </c>
      <c r="B843" s="218">
        <v>920.0</v>
      </c>
      <c r="C843" s="218">
        <v>2018.0</v>
      </c>
      <c r="D843" s="218">
        <v>643.0</v>
      </c>
      <c r="E843" s="432">
        <v>2.06105714256E15</v>
      </c>
      <c r="F843" s="218" t="s">
        <v>8979</v>
      </c>
      <c r="G843" s="218">
        <v>17.0</v>
      </c>
      <c r="H843" s="218" t="s">
        <v>8903</v>
      </c>
      <c r="I843" s="218">
        <v>339030.0</v>
      </c>
      <c r="J843" s="218" t="s">
        <v>249</v>
      </c>
    </row>
    <row r="844">
      <c r="A844" s="218" t="s">
        <v>9166</v>
      </c>
      <c r="B844" s="218">
        <v>920.0</v>
      </c>
      <c r="C844" s="218">
        <v>2018.0</v>
      </c>
      <c r="D844" s="218">
        <v>643.0</v>
      </c>
      <c r="E844" s="432">
        <v>2.06105714256E15</v>
      </c>
      <c r="F844" s="218" t="s">
        <v>8979</v>
      </c>
      <c r="G844" s="218">
        <v>17.0</v>
      </c>
      <c r="H844" s="218" t="s">
        <v>8903</v>
      </c>
      <c r="I844" s="218">
        <v>339030.0</v>
      </c>
      <c r="J844" s="218" t="s">
        <v>249</v>
      </c>
    </row>
    <row r="845">
      <c r="A845" s="218" t="s">
        <v>9167</v>
      </c>
      <c r="B845" s="218">
        <v>950.0</v>
      </c>
      <c r="C845" s="218">
        <v>2018.0</v>
      </c>
      <c r="D845" s="218">
        <v>107702.0</v>
      </c>
      <c r="E845" s="218" t="s">
        <v>8715</v>
      </c>
      <c r="F845" s="218" t="s">
        <v>8716</v>
      </c>
      <c r="G845" s="218">
        <v>10.0</v>
      </c>
      <c r="H845" s="218" t="s">
        <v>8726</v>
      </c>
      <c r="I845" s="218">
        <v>339047.0</v>
      </c>
      <c r="J845" s="218" t="s">
        <v>8718</v>
      </c>
    </row>
    <row r="846">
      <c r="A846" s="218" t="s">
        <v>9167</v>
      </c>
      <c r="B846" s="218">
        <v>950.0</v>
      </c>
      <c r="C846" s="218">
        <v>2018.0</v>
      </c>
      <c r="D846" s="218">
        <v>107702.0</v>
      </c>
      <c r="E846" s="218" t="s">
        <v>8715</v>
      </c>
      <c r="F846" s="218" t="s">
        <v>8716</v>
      </c>
      <c r="G846" s="218">
        <v>10.0</v>
      </c>
      <c r="H846" s="218" t="s">
        <v>8726</v>
      </c>
      <c r="I846" s="218">
        <v>339047.0</v>
      </c>
      <c r="J846" s="218" t="s">
        <v>8718</v>
      </c>
    </row>
    <row r="847">
      <c r="A847" s="218" t="s">
        <v>9168</v>
      </c>
      <c r="B847" s="218">
        <v>939.0</v>
      </c>
      <c r="C847" s="218">
        <v>2018.0</v>
      </c>
      <c r="D847" s="218">
        <v>107702.0</v>
      </c>
      <c r="E847" s="218" t="s">
        <v>8715</v>
      </c>
      <c r="F847" s="218" t="s">
        <v>8716</v>
      </c>
      <c r="G847" s="218">
        <v>35.0</v>
      </c>
      <c r="H847" s="218" t="s">
        <v>8913</v>
      </c>
      <c r="I847" s="218">
        <v>449052.0</v>
      </c>
      <c r="J847" s="218" t="s">
        <v>362</v>
      </c>
    </row>
    <row r="848">
      <c r="A848" s="218" t="s">
        <v>9169</v>
      </c>
      <c r="B848" s="218">
        <v>940.0</v>
      </c>
      <c r="C848" s="218">
        <v>2018.0</v>
      </c>
      <c r="D848" s="218">
        <v>643.0</v>
      </c>
      <c r="E848" s="432">
        <v>2.06105714256E15</v>
      </c>
      <c r="F848" s="218" t="s">
        <v>8979</v>
      </c>
      <c r="G848" s="218">
        <v>28.0</v>
      </c>
      <c r="H848" s="218" t="s">
        <v>8906</v>
      </c>
      <c r="I848" s="218">
        <v>339030.0</v>
      </c>
      <c r="J848" s="218" t="s">
        <v>249</v>
      </c>
    </row>
    <row r="849">
      <c r="A849" s="218" t="s">
        <v>9170</v>
      </c>
      <c r="B849" s="218">
        <v>1349.0</v>
      </c>
      <c r="C849" s="218">
        <v>2018.0</v>
      </c>
      <c r="D849" s="218">
        <v>107702.0</v>
      </c>
      <c r="E849" s="218" t="s">
        <v>8715</v>
      </c>
      <c r="F849" s="218" t="s">
        <v>8716</v>
      </c>
      <c r="G849" s="218">
        <v>17.0</v>
      </c>
      <c r="H849" s="218" t="s">
        <v>8903</v>
      </c>
      <c r="I849" s="218">
        <v>339030.0</v>
      </c>
      <c r="J849" s="218" t="s">
        <v>249</v>
      </c>
    </row>
    <row r="850">
      <c r="A850" s="218" t="s">
        <v>9170</v>
      </c>
      <c r="B850" s="218">
        <v>1356.0</v>
      </c>
      <c r="C850" s="218">
        <v>2018.0</v>
      </c>
      <c r="D850" s="218">
        <v>107702.0</v>
      </c>
      <c r="E850" s="218" t="s">
        <v>8715</v>
      </c>
      <c r="F850" s="218" t="s">
        <v>8716</v>
      </c>
      <c r="G850" s="218">
        <v>17.0</v>
      </c>
      <c r="H850" s="218" t="s">
        <v>8903</v>
      </c>
      <c r="I850" s="218">
        <v>339030.0</v>
      </c>
      <c r="J850" s="218" t="s">
        <v>249</v>
      </c>
    </row>
    <row r="851">
      <c r="A851" s="218" t="s">
        <v>9170</v>
      </c>
      <c r="B851" s="218">
        <v>1355.0</v>
      </c>
      <c r="C851" s="218">
        <v>2018.0</v>
      </c>
      <c r="D851" s="218">
        <v>107702.0</v>
      </c>
      <c r="E851" s="218" t="s">
        <v>8715</v>
      </c>
      <c r="F851" s="218" t="s">
        <v>8716</v>
      </c>
      <c r="G851" s="218">
        <v>17.0</v>
      </c>
      <c r="H851" s="218" t="s">
        <v>8903</v>
      </c>
      <c r="I851" s="218">
        <v>339030.0</v>
      </c>
      <c r="J851" s="218" t="s">
        <v>249</v>
      </c>
    </row>
    <row r="852">
      <c r="A852" s="218" t="s">
        <v>9170</v>
      </c>
      <c r="B852" s="218">
        <v>1355.0</v>
      </c>
      <c r="C852" s="218">
        <v>2018.0</v>
      </c>
      <c r="D852" s="218">
        <v>107702.0</v>
      </c>
      <c r="E852" s="218" t="s">
        <v>8715</v>
      </c>
      <c r="F852" s="218" t="s">
        <v>8716</v>
      </c>
      <c r="G852" s="218">
        <v>17.0</v>
      </c>
      <c r="H852" s="218" t="s">
        <v>8903</v>
      </c>
      <c r="I852" s="218">
        <v>339030.0</v>
      </c>
      <c r="J852" s="218" t="s">
        <v>249</v>
      </c>
    </row>
    <row r="853">
      <c r="A853" s="218" t="s">
        <v>9170</v>
      </c>
      <c r="B853" s="218">
        <v>1349.0</v>
      </c>
      <c r="C853" s="218">
        <v>2018.0</v>
      </c>
      <c r="D853" s="218">
        <v>107702.0</v>
      </c>
      <c r="E853" s="218" t="s">
        <v>8715</v>
      </c>
      <c r="F853" s="218" t="s">
        <v>8716</v>
      </c>
      <c r="G853" s="218">
        <v>17.0</v>
      </c>
      <c r="H853" s="218" t="s">
        <v>8903</v>
      </c>
      <c r="I853" s="218">
        <v>339030.0</v>
      </c>
      <c r="J853" s="218" t="s">
        <v>249</v>
      </c>
    </row>
    <row r="854">
      <c r="A854" s="218" t="s">
        <v>9170</v>
      </c>
      <c r="B854" s="218">
        <v>1349.0</v>
      </c>
      <c r="C854" s="218">
        <v>2018.0</v>
      </c>
      <c r="D854" s="218">
        <v>107702.0</v>
      </c>
      <c r="E854" s="218" t="s">
        <v>8715</v>
      </c>
      <c r="F854" s="218" t="s">
        <v>8716</v>
      </c>
      <c r="G854" s="218">
        <v>17.0</v>
      </c>
      <c r="H854" s="218" t="s">
        <v>8903</v>
      </c>
      <c r="I854" s="218">
        <v>339030.0</v>
      </c>
      <c r="J854" s="218" t="s">
        <v>249</v>
      </c>
    </row>
    <row r="855">
      <c r="A855" s="218" t="s">
        <v>9170</v>
      </c>
      <c r="B855" s="218">
        <v>1349.0</v>
      </c>
      <c r="C855" s="218">
        <v>2018.0</v>
      </c>
      <c r="D855" s="218">
        <v>107702.0</v>
      </c>
      <c r="E855" s="218" t="s">
        <v>8715</v>
      </c>
      <c r="F855" s="218" t="s">
        <v>8716</v>
      </c>
      <c r="G855" s="218">
        <v>17.0</v>
      </c>
      <c r="H855" s="218" t="s">
        <v>8903</v>
      </c>
      <c r="I855" s="218">
        <v>339030.0</v>
      </c>
      <c r="J855" s="218" t="s">
        <v>249</v>
      </c>
    </row>
    <row r="856">
      <c r="A856" s="218" t="s">
        <v>9170</v>
      </c>
      <c r="B856" s="218">
        <v>1356.0</v>
      </c>
      <c r="C856" s="218">
        <v>2018.0</v>
      </c>
      <c r="D856" s="218">
        <v>107702.0</v>
      </c>
      <c r="E856" s="218" t="s">
        <v>8715</v>
      </c>
      <c r="F856" s="218" t="s">
        <v>8716</v>
      </c>
      <c r="G856" s="218">
        <v>17.0</v>
      </c>
      <c r="H856" s="218" t="s">
        <v>8903</v>
      </c>
      <c r="I856" s="218">
        <v>339030.0</v>
      </c>
      <c r="J856" s="218" t="s">
        <v>249</v>
      </c>
    </row>
    <row r="857">
      <c r="A857" s="218" t="s">
        <v>9170</v>
      </c>
      <c r="B857" s="218">
        <v>1350.0</v>
      </c>
      <c r="C857" s="218">
        <v>2018.0</v>
      </c>
      <c r="D857" s="218">
        <v>107702.0</v>
      </c>
      <c r="E857" s="218" t="s">
        <v>8715</v>
      </c>
      <c r="F857" s="218" t="s">
        <v>8716</v>
      </c>
      <c r="G857" s="218">
        <v>17.0</v>
      </c>
      <c r="H857" s="218" t="s">
        <v>8903</v>
      </c>
      <c r="I857" s="218">
        <v>339030.0</v>
      </c>
      <c r="J857" s="218" t="s">
        <v>249</v>
      </c>
    </row>
    <row r="858">
      <c r="A858" s="218" t="s">
        <v>9170</v>
      </c>
      <c r="B858" s="218">
        <v>1352.0</v>
      </c>
      <c r="C858" s="218">
        <v>2018.0</v>
      </c>
      <c r="D858" s="218">
        <v>107702.0</v>
      </c>
      <c r="E858" s="218" t="s">
        <v>8715</v>
      </c>
      <c r="F858" s="218" t="s">
        <v>8716</v>
      </c>
      <c r="G858" s="218">
        <v>17.0</v>
      </c>
      <c r="H858" s="218" t="s">
        <v>8903</v>
      </c>
      <c r="I858" s="218">
        <v>339030.0</v>
      </c>
      <c r="J858" s="218" t="s">
        <v>249</v>
      </c>
    </row>
    <row r="859">
      <c r="A859" s="218" t="s">
        <v>9170</v>
      </c>
      <c r="B859" s="218">
        <v>1353.0</v>
      </c>
      <c r="C859" s="218">
        <v>2018.0</v>
      </c>
      <c r="D859" s="218">
        <v>107702.0</v>
      </c>
      <c r="E859" s="218" t="s">
        <v>8715</v>
      </c>
      <c r="F859" s="218" t="s">
        <v>8716</v>
      </c>
      <c r="G859" s="218">
        <v>17.0</v>
      </c>
      <c r="H859" s="218" t="s">
        <v>8903</v>
      </c>
      <c r="I859" s="218">
        <v>339030.0</v>
      </c>
      <c r="J859" s="218" t="s">
        <v>249</v>
      </c>
    </row>
    <row r="860">
      <c r="A860" s="218" t="s">
        <v>9170</v>
      </c>
      <c r="B860" s="218">
        <v>1355.0</v>
      </c>
      <c r="C860" s="218">
        <v>2018.0</v>
      </c>
      <c r="D860" s="218">
        <v>107702.0</v>
      </c>
      <c r="E860" s="218" t="s">
        <v>8715</v>
      </c>
      <c r="F860" s="218" t="s">
        <v>8716</v>
      </c>
      <c r="G860" s="218">
        <v>17.0</v>
      </c>
      <c r="H860" s="218" t="s">
        <v>8903</v>
      </c>
      <c r="I860" s="218">
        <v>339030.0</v>
      </c>
      <c r="J860" s="218" t="s">
        <v>249</v>
      </c>
    </row>
    <row r="861">
      <c r="A861" s="218" t="s">
        <v>9171</v>
      </c>
      <c r="B861" s="218">
        <v>955.0</v>
      </c>
      <c r="C861" s="218">
        <v>2018.0</v>
      </c>
      <c r="D861" s="218">
        <v>85042.0</v>
      </c>
      <c r="E861" s="218" t="s">
        <v>8948</v>
      </c>
      <c r="F861" s="218" t="s">
        <v>8949</v>
      </c>
      <c r="G861" s="218">
        <v>50.0</v>
      </c>
      <c r="H861" s="218" t="s">
        <v>9130</v>
      </c>
      <c r="I861" s="218">
        <v>339039.0</v>
      </c>
      <c r="J861" s="218" t="s">
        <v>8720</v>
      </c>
    </row>
    <row r="862">
      <c r="A862" s="218" t="s">
        <v>9172</v>
      </c>
      <c r="B862" s="218">
        <v>1031.0</v>
      </c>
      <c r="C862" s="218">
        <v>2018.0</v>
      </c>
      <c r="D862" s="218">
        <v>107702.0</v>
      </c>
      <c r="E862" s="218" t="s">
        <v>8715</v>
      </c>
      <c r="F862" s="218" t="s">
        <v>8716</v>
      </c>
      <c r="G862" s="218">
        <v>44.0</v>
      </c>
      <c r="H862" s="218" t="s">
        <v>8727</v>
      </c>
      <c r="I862" s="218">
        <v>339039.0</v>
      </c>
      <c r="J862" s="218" t="s">
        <v>8720</v>
      </c>
    </row>
    <row r="863">
      <c r="A863" s="218" t="s">
        <v>9172</v>
      </c>
      <c r="B863" s="218">
        <v>996.0</v>
      </c>
      <c r="C863" s="218">
        <v>2018.0</v>
      </c>
      <c r="D863" s="218">
        <v>107702.0</v>
      </c>
      <c r="E863" s="218" t="s">
        <v>8715</v>
      </c>
      <c r="F863" s="218" t="s">
        <v>8716</v>
      </c>
      <c r="G863" s="218">
        <v>44.0</v>
      </c>
      <c r="H863" s="218" t="s">
        <v>8727</v>
      </c>
      <c r="I863" s="218">
        <v>339039.0</v>
      </c>
      <c r="J863" s="218" t="s">
        <v>8720</v>
      </c>
    </row>
    <row r="864">
      <c r="A864" s="218" t="s">
        <v>9173</v>
      </c>
      <c r="B864" s="218">
        <v>965.0</v>
      </c>
      <c r="C864" s="218">
        <v>2018.0</v>
      </c>
      <c r="D864" s="218">
        <v>85049.0</v>
      </c>
      <c r="E864" s="218" t="s">
        <v>8790</v>
      </c>
      <c r="F864" s="218" t="s">
        <v>8791</v>
      </c>
      <c r="G864" s="218">
        <v>28.0</v>
      </c>
      <c r="H864" s="218" t="s">
        <v>8970</v>
      </c>
      <c r="I864" s="218">
        <v>339036.0</v>
      </c>
      <c r="J864" s="218" t="s">
        <v>8729</v>
      </c>
    </row>
    <row r="865">
      <c r="A865" s="218" t="s">
        <v>9174</v>
      </c>
      <c r="B865" s="218">
        <v>1021.0</v>
      </c>
      <c r="C865" s="218">
        <v>2018.0</v>
      </c>
      <c r="D865" s="218">
        <v>85048.0</v>
      </c>
      <c r="E865" s="218" t="s">
        <v>8968</v>
      </c>
      <c r="F865" s="218" t="s">
        <v>8969</v>
      </c>
      <c r="G865" s="218">
        <v>48.0</v>
      </c>
      <c r="H865" s="218" t="s">
        <v>8970</v>
      </c>
      <c r="I865" s="218">
        <v>339039.0</v>
      </c>
      <c r="J865" s="218" t="s">
        <v>8720</v>
      </c>
    </row>
    <row r="866">
      <c r="A866" s="218" t="s">
        <v>9175</v>
      </c>
      <c r="B866" s="218">
        <v>976.0</v>
      </c>
      <c r="C866" s="218">
        <v>2018.0</v>
      </c>
      <c r="D866" s="218">
        <v>107702.0</v>
      </c>
      <c r="E866" s="218" t="s">
        <v>8715</v>
      </c>
      <c r="F866" s="218" t="s">
        <v>8716</v>
      </c>
      <c r="G866" s="218">
        <v>44.0</v>
      </c>
      <c r="H866" s="218" t="s">
        <v>8934</v>
      </c>
      <c r="I866" s="218">
        <v>339030.0</v>
      </c>
      <c r="J866" s="218" t="s">
        <v>249</v>
      </c>
    </row>
    <row r="867">
      <c r="A867" s="218" t="s">
        <v>9175</v>
      </c>
      <c r="B867" s="218">
        <v>976.0</v>
      </c>
      <c r="C867" s="218">
        <v>2018.0</v>
      </c>
      <c r="D867" s="218">
        <v>107702.0</v>
      </c>
      <c r="E867" s="218" t="s">
        <v>8715</v>
      </c>
      <c r="F867" s="218" t="s">
        <v>8716</v>
      </c>
      <c r="G867" s="218">
        <v>44.0</v>
      </c>
      <c r="H867" s="218" t="s">
        <v>8934</v>
      </c>
      <c r="I867" s="218">
        <v>339030.0</v>
      </c>
      <c r="J867" s="218" t="s">
        <v>249</v>
      </c>
    </row>
    <row r="868">
      <c r="A868" s="218" t="s">
        <v>9175</v>
      </c>
      <c r="B868" s="218">
        <v>976.0</v>
      </c>
      <c r="C868" s="218">
        <v>2018.0</v>
      </c>
      <c r="D868" s="218">
        <v>107702.0</v>
      </c>
      <c r="E868" s="218" t="s">
        <v>8715</v>
      </c>
      <c r="F868" s="218" t="s">
        <v>8716</v>
      </c>
      <c r="G868" s="218">
        <v>44.0</v>
      </c>
      <c r="H868" s="218" t="s">
        <v>8934</v>
      </c>
      <c r="I868" s="218">
        <v>339030.0</v>
      </c>
      <c r="J868" s="218" t="s">
        <v>249</v>
      </c>
    </row>
    <row r="869">
      <c r="A869" s="218" t="s">
        <v>9175</v>
      </c>
      <c r="B869" s="218">
        <v>976.0</v>
      </c>
      <c r="C869" s="218">
        <v>2018.0</v>
      </c>
      <c r="D869" s="218">
        <v>107702.0</v>
      </c>
      <c r="E869" s="218" t="s">
        <v>8715</v>
      </c>
      <c r="F869" s="218" t="s">
        <v>8716</v>
      </c>
      <c r="G869" s="218">
        <v>44.0</v>
      </c>
      <c r="H869" s="218" t="s">
        <v>8934</v>
      </c>
      <c r="I869" s="218">
        <v>339030.0</v>
      </c>
      <c r="J869" s="218" t="s">
        <v>249</v>
      </c>
    </row>
    <row r="870">
      <c r="A870" s="218" t="s">
        <v>9175</v>
      </c>
      <c r="B870" s="218">
        <v>976.0</v>
      </c>
      <c r="C870" s="218">
        <v>2018.0</v>
      </c>
      <c r="D870" s="218">
        <v>107702.0</v>
      </c>
      <c r="E870" s="218" t="s">
        <v>8715</v>
      </c>
      <c r="F870" s="218" t="s">
        <v>8716</v>
      </c>
      <c r="G870" s="218">
        <v>44.0</v>
      </c>
      <c r="H870" s="218" t="s">
        <v>8934</v>
      </c>
      <c r="I870" s="218">
        <v>339030.0</v>
      </c>
      <c r="J870" s="218" t="s">
        <v>249</v>
      </c>
    </row>
    <row r="871">
      <c r="A871" s="218" t="s">
        <v>9176</v>
      </c>
      <c r="B871" s="218">
        <v>970.0</v>
      </c>
      <c r="C871" s="218">
        <v>2018.0</v>
      </c>
      <c r="D871" s="218">
        <v>85048.0</v>
      </c>
      <c r="E871" s="218" t="s">
        <v>8968</v>
      </c>
      <c r="F871" s="218" t="s">
        <v>8969</v>
      </c>
      <c r="G871" s="218">
        <v>48.0</v>
      </c>
      <c r="H871" s="218" t="s">
        <v>8970</v>
      </c>
      <c r="I871" s="218">
        <v>339039.0</v>
      </c>
      <c r="J871" s="218" t="s">
        <v>8720</v>
      </c>
    </row>
    <row r="872">
      <c r="A872" s="218" t="s">
        <v>9177</v>
      </c>
      <c r="B872" s="218">
        <v>982.0</v>
      </c>
      <c r="C872" s="218">
        <v>2018.0</v>
      </c>
      <c r="D872" s="218">
        <v>85048.0</v>
      </c>
      <c r="E872" s="218" t="s">
        <v>8968</v>
      </c>
      <c r="F872" s="218" t="s">
        <v>8969</v>
      </c>
      <c r="G872" s="218">
        <v>48.0</v>
      </c>
      <c r="H872" s="218" t="s">
        <v>8970</v>
      </c>
      <c r="I872" s="218">
        <v>339039.0</v>
      </c>
      <c r="J872" s="218" t="s">
        <v>8720</v>
      </c>
    </row>
    <row r="873">
      <c r="A873" s="218" t="s">
        <v>9178</v>
      </c>
      <c r="B873" s="218">
        <v>981.0</v>
      </c>
      <c r="C873" s="218">
        <v>2018.0</v>
      </c>
      <c r="D873" s="218">
        <v>85048.0</v>
      </c>
      <c r="E873" s="218" t="s">
        <v>8968</v>
      </c>
      <c r="F873" s="218" t="s">
        <v>8969</v>
      </c>
      <c r="G873" s="218">
        <v>48.0</v>
      </c>
      <c r="H873" s="218" t="s">
        <v>8970</v>
      </c>
      <c r="I873" s="218">
        <v>339039.0</v>
      </c>
      <c r="J873" s="218" t="s">
        <v>8720</v>
      </c>
    </row>
    <row r="874">
      <c r="A874" s="218" t="s">
        <v>9179</v>
      </c>
      <c r="B874" s="218">
        <v>1006.0</v>
      </c>
      <c r="C874" s="218">
        <v>2018.0</v>
      </c>
      <c r="D874" s="218">
        <v>107702.0</v>
      </c>
      <c r="E874" s="218" t="s">
        <v>8715</v>
      </c>
      <c r="F874" s="218" t="s">
        <v>8716</v>
      </c>
      <c r="G874" s="218">
        <v>48.0</v>
      </c>
      <c r="H874" s="218" t="s">
        <v>8970</v>
      </c>
      <c r="I874" s="218">
        <v>339039.0</v>
      </c>
      <c r="J874" s="218" t="s">
        <v>8720</v>
      </c>
    </row>
    <row r="875">
      <c r="A875" s="218" t="s">
        <v>9179</v>
      </c>
      <c r="B875" s="218">
        <v>1006.0</v>
      </c>
      <c r="C875" s="218">
        <v>2018.0</v>
      </c>
      <c r="D875" s="218">
        <v>107702.0</v>
      </c>
      <c r="E875" s="218" t="s">
        <v>8715</v>
      </c>
      <c r="F875" s="218" t="s">
        <v>8716</v>
      </c>
      <c r="G875" s="218">
        <v>5.0</v>
      </c>
      <c r="H875" s="218" t="s">
        <v>8859</v>
      </c>
      <c r="I875" s="218">
        <v>339039.0</v>
      </c>
      <c r="J875" s="218" t="s">
        <v>8720</v>
      </c>
    </row>
    <row r="876">
      <c r="A876" s="218" t="s">
        <v>9180</v>
      </c>
      <c r="B876" s="218">
        <v>997.0</v>
      </c>
      <c r="C876" s="218">
        <v>2018.0</v>
      </c>
      <c r="D876" s="218">
        <v>107702.0</v>
      </c>
      <c r="E876" s="218" t="s">
        <v>8715</v>
      </c>
      <c r="F876" s="218" t="s">
        <v>8716</v>
      </c>
      <c r="G876" s="218">
        <v>10.0</v>
      </c>
      <c r="H876" s="218" t="s">
        <v>8726</v>
      </c>
      <c r="I876" s="218">
        <v>339047.0</v>
      </c>
      <c r="J876" s="218" t="s">
        <v>8718</v>
      </c>
    </row>
    <row r="877">
      <c r="A877" s="218" t="s">
        <v>9181</v>
      </c>
      <c r="B877" s="218">
        <v>1001.0</v>
      </c>
      <c r="C877" s="218">
        <v>2018.0</v>
      </c>
      <c r="D877" s="218">
        <v>107702.0</v>
      </c>
      <c r="E877" s="218" t="s">
        <v>8715</v>
      </c>
      <c r="F877" s="218" t="s">
        <v>8716</v>
      </c>
      <c r="G877" s="218">
        <v>31.0</v>
      </c>
      <c r="H877" s="218" t="s">
        <v>9182</v>
      </c>
      <c r="I877" s="218">
        <v>339030.0</v>
      </c>
      <c r="J877" s="218" t="s">
        <v>249</v>
      </c>
    </row>
    <row r="878">
      <c r="A878" s="218" t="s">
        <v>9181</v>
      </c>
      <c r="B878" s="218">
        <v>1001.0</v>
      </c>
      <c r="C878" s="218">
        <v>2018.0</v>
      </c>
      <c r="D878" s="218">
        <v>107702.0</v>
      </c>
      <c r="E878" s="218" t="s">
        <v>8715</v>
      </c>
      <c r="F878" s="218" t="s">
        <v>8716</v>
      </c>
      <c r="G878" s="218">
        <v>31.0</v>
      </c>
      <c r="H878" s="218" t="s">
        <v>9182</v>
      </c>
      <c r="I878" s="218">
        <v>339030.0</v>
      </c>
      <c r="J878" s="218" t="s">
        <v>249</v>
      </c>
    </row>
    <row r="879">
      <c r="A879" s="218" t="s">
        <v>9183</v>
      </c>
      <c r="B879" s="218">
        <v>1035.0</v>
      </c>
      <c r="C879" s="218">
        <v>2018.0</v>
      </c>
      <c r="D879" s="218">
        <v>84847.0</v>
      </c>
      <c r="E879" s="218" t="s">
        <v>8911</v>
      </c>
      <c r="F879" s="218" t="s">
        <v>8912</v>
      </c>
      <c r="G879" s="218">
        <v>35.0</v>
      </c>
      <c r="H879" s="218" t="s">
        <v>8913</v>
      </c>
      <c r="I879" s="218">
        <v>449052.0</v>
      </c>
      <c r="J879" s="218" t="s">
        <v>362</v>
      </c>
    </row>
    <row r="880">
      <c r="A880" s="218" t="s">
        <v>9183</v>
      </c>
      <c r="B880" s="218">
        <v>1035.0</v>
      </c>
      <c r="C880" s="218">
        <v>2018.0</v>
      </c>
      <c r="D880" s="218">
        <v>84847.0</v>
      </c>
      <c r="E880" s="218" t="s">
        <v>8911</v>
      </c>
      <c r="F880" s="218" t="s">
        <v>8912</v>
      </c>
      <c r="G880" s="218">
        <v>35.0</v>
      </c>
      <c r="H880" s="218" t="s">
        <v>8913</v>
      </c>
      <c r="I880" s="218">
        <v>449052.0</v>
      </c>
      <c r="J880" s="218" t="s">
        <v>362</v>
      </c>
    </row>
    <row r="881">
      <c r="A881" s="218" t="s">
        <v>9183</v>
      </c>
      <c r="B881" s="218">
        <v>1035.0</v>
      </c>
      <c r="C881" s="218">
        <v>2018.0</v>
      </c>
      <c r="D881" s="218">
        <v>84847.0</v>
      </c>
      <c r="E881" s="218" t="s">
        <v>8911</v>
      </c>
      <c r="F881" s="218" t="s">
        <v>8912</v>
      </c>
      <c r="G881" s="218">
        <v>35.0</v>
      </c>
      <c r="H881" s="218" t="s">
        <v>8913</v>
      </c>
      <c r="I881" s="218">
        <v>449052.0</v>
      </c>
      <c r="J881" s="218" t="s">
        <v>362</v>
      </c>
    </row>
    <row r="882">
      <c r="A882" s="218" t="s">
        <v>9183</v>
      </c>
      <c r="B882" s="218">
        <v>1035.0</v>
      </c>
      <c r="C882" s="218">
        <v>2018.0</v>
      </c>
      <c r="D882" s="218">
        <v>84847.0</v>
      </c>
      <c r="E882" s="218" t="s">
        <v>8911</v>
      </c>
      <c r="F882" s="218" t="s">
        <v>8912</v>
      </c>
      <c r="G882" s="218">
        <v>35.0</v>
      </c>
      <c r="H882" s="218" t="s">
        <v>8913</v>
      </c>
      <c r="I882" s="218">
        <v>449052.0</v>
      </c>
      <c r="J882" s="218" t="s">
        <v>362</v>
      </c>
    </row>
    <row r="883">
      <c r="A883" s="218" t="s">
        <v>9183</v>
      </c>
      <c r="B883" s="218">
        <v>1035.0</v>
      </c>
      <c r="C883" s="218">
        <v>2018.0</v>
      </c>
      <c r="D883" s="218">
        <v>84847.0</v>
      </c>
      <c r="E883" s="218" t="s">
        <v>8911</v>
      </c>
      <c r="F883" s="218" t="s">
        <v>8912</v>
      </c>
      <c r="G883" s="218">
        <v>35.0</v>
      </c>
      <c r="H883" s="218" t="s">
        <v>8913</v>
      </c>
      <c r="I883" s="218">
        <v>449052.0</v>
      </c>
      <c r="J883" s="218" t="s">
        <v>362</v>
      </c>
    </row>
    <row r="884">
      <c r="A884" s="218" t="s">
        <v>9183</v>
      </c>
      <c r="B884" s="218">
        <v>1035.0</v>
      </c>
      <c r="C884" s="218">
        <v>2018.0</v>
      </c>
      <c r="D884" s="218">
        <v>84847.0</v>
      </c>
      <c r="E884" s="218" t="s">
        <v>8911</v>
      </c>
      <c r="F884" s="218" t="s">
        <v>8912</v>
      </c>
      <c r="G884" s="218">
        <v>35.0</v>
      </c>
      <c r="H884" s="218" t="s">
        <v>8913</v>
      </c>
      <c r="I884" s="218">
        <v>449052.0</v>
      </c>
      <c r="J884" s="218" t="s">
        <v>362</v>
      </c>
    </row>
    <row r="885">
      <c r="A885" s="218" t="s">
        <v>9183</v>
      </c>
      <c r="B885" s="218">
        <v>1035.0</v>
      </c>
      <c r="C885" s="218">
        <v>2018.0</v>
      </c>
      <c r="D885" s="218">
        <v>84847.0</v>
      </c>
      <c r="E885" s="218" t="s">
        <v>8911</v>
      </c>
      <c r="F885" s="218" t="s">
        <v>8912</v>
      </c>
      <c r="G885" s="218">
        <v>35.0</v>
      </c>
      <c r="H885" s="218" t="s">
        <v>8913</v>
      </c>
      <c r="I885" s="218">
        <v>449052.0</v>
      </c>
      <c r="J885" s="218" t="s">
        <v>362</v>
      </c>
    </row>
    <row r="886">
      <c r="A886" s="218" t="s">
        <v>9183</v>
      </c>
      <c r="B886" s="218">
        <v>1114.0</v>
      </c>
      <c r="C886" s="218">
        <v>2018.0</v>
      </c>
      <c r="D886" s="218">
        <v>84847.0</v>
      </c>
      <c r="E886" s="218" t="s">
        <v>8911</v>
      </c>
      <c r="F886" s="218" t="s">
        <v>8912</v>
      </c>
      <c r="G886" s="218">
        <v>5.0</v>
      </c>
      <c r="H886" s="218" t="s">
        <v>8877</v>
      </c>
      <c r="I886" s="218">
        <v>449040.0</v>
      </c>
      <c r="J886" s="218" t="s">
        <v>8837</v>
      </c>
    </row>
    <row r="887">
      <c r="A887" s="218" t="s">
        <v>9183</v>
      </c>
      <c r="B887" s="218">
        <v>1036.0</v>
      </c>
      <c r="C887" s="218">
        <v>2018.0</v>
      </c>
      <c r="D887" s="218">
        <v>85046.0</v>
      </c>
      <c r="E887" s="218" t="s">
        <v>8756</v>
      </c>
      <c r="F887" s="218" t="s">
        <v>8716</v>
      </c>
      <c r="G887" s="218">
        <v>22.0</v>
      </c>
      <c r="H887" s="218" t="s">
        <v>9184</v>
      </c>
      <c r="I887" s="218">
        <v>339040.0</v>
      </c>
      <c r="J887" s="218" t="s">
        <v>136</v>
      </c>
    </row>
    <row r="888">
      <c r="A888" s="218" t="s">
        <v>9183</v>
      </c>
      <c r="B888" s="218">
        <v>1036.0</v>
      </c>
      <c r="C888" s="218">
        <v>2018.0</v>
      </c>
      <c r="D888" s="218">
        <v>85046.0</v>
      </c>
      <c r="E888" s="218" t="s">
        <v>8756</v>
      </c>
      <c r="F888" s="218" t="s">
        <v>8716</v>
      </c>
      <c r="G888" s="218">
        <v>20.0</v>
      </c>
      <c r="H888" s="218" t="s">
        <v>8926</v>
      </c>
      <c r="I888" s="218">
        <v>339040.0</v>
      </c>
      <c r="J888" s="218" t="s">
        <v>136</v>
      </c>
    </row>
    <row r="889">
      <c r="A889" s="218" t="s">
        <v>9183</v>
      </c>
      <c r="B889" s="218">
        <v>1035.0</v>
      </c>
      <c r="C889" s="218">
        <v>2018.0</v>
      </c>
      <c r="D889" s="218">
        <v>84847.0</v>
      </c>
      <c r="E889" s="218" t="s">
        <v>8911</v>
      </c>
      <c r="F889" s="218" t="s">
        <v>8912</v>
      </c>
      <c r="G889" s="218">
        <v>35.0</v>
      </c>
      <c r="H889" s="218" t="s">
        <v>8913</v>
      </c>
      <c r="I889" s="218">
        <v>449052.0</v>
      </c>
      <c r="J889" s="218" t="s">
        <v>362</v>
      </c>
    </row>
    <row r="890">
      <c r="A890" s="218" t="s">
        <v>9183</v>
      </c>
      <c r="B890" s="218">
        <v>1035.0</v>
      </c>
      <c r="C890" s="218">
        <v>2018.0</v>
      </c>
      <c r="D890" s="218">
        <v>84847.0</v>
      </c>
      <c r="E890" s="218" t="s">
        <v>8911</v>
      </c>
      <c r="F890" s="218" t="s">
        <v>8912</v>
      </c>
      <c r="G890" s="218">
        <v>35.0</v>
      </c>
      <c r="H890" s="218" t="s">
        <v>8913</v>
      </c>
      <c r="I890" s="218">
        <v>449052.0</v>
      </c>
      <c r="J890" s="218" t="s">
        <v>362</v>
      </c>
    </row>
    <row r="891">
      <c r="A891" s="218" t="s">
        <v>9183</v>
      </c>
      <c r="B891" s="218">
        <v>1035.0</v>
      </c>
      <c r="C891" s="218">
        <v>2018.0</v>
      </c>
      <c r="D891" s="218">
        <v>84847.0</v>
      </c>
      <c r="E891" s="218" t="s">
        <v>8911</v>
      </c>
      <c r="F891" s="218" t="s">
        <v>8912</v>
      </c>
      <c r="G891" s="218">
        <v>35.0</v>
      </c>
      <c r="H891" s="218" t="s">
        <v>8913</v>
      </c>
      <c r="I891" s="218">
        <v>449052.0</v>
      </c>
      <c r="J891" s="218" t="s">
        <v>362</v>
      </c>
    </row>
    <row r="892">
      <c r="A892" s="218" t="s">
        <v>9183</v>
      </c>
      <c r="B892" s="218">
        <v>1035.0</v>
      </c>
      <c r="C892" s="218">
        <v>2018.0</v>
      </c>
      <c r="D892" s="218">
        <v>84847.0</v>
      </c>
      <c r="E892" s="218" t="s">
        <v>8911</v>
      </c>
      <c r="F892" s="218" t="s">
        <v>8912</v>
      </c>
      <c r="G892" s="218">
        <v>35.0</v>
      </c>
      <c r="H892" s="218" t="s">
        <v>8913</v>
      </c>
      <c r="I892" s="218">
        <v>449052.0</v>
      </c>
      <c r="J892" s="218" t="s">
        <v>362</v>
      </c>
    </row>
    <row r="893">
      <c r="A893" s="218" t="s">
        <v>9183</v>
      </c>
      <c r="B893" s="218">
        <v>1035.0</v>
      </c>
      <c r="C893" s="218">
        <v>2018.0</v>
      </c>
      <c r="D893" s="218">
        <v>84847.0</v>
      </c>
      <c r="E893" s="218" t="s">
        <v>8911</v>
      </c>
      <c r="F893" s="218" t="s">
        <v>8912</v>
      </c>
      <c r="G893" s="218">
        <v>35.0</v>
      </c>
      <c r="H893" s="218" t="s">
        <v>8913</v>
      </c>
      <c r="I893" s="218">
        <v>449052.0</v>
      </c>
      <c r="J893" s="218" t="s">
        <v>362</v>
      </c>
    </row>
    <row r="894">
      <c r="A894" s="218" t="s">
        <v>9183</v>
      </c>
      <c r="B894" s="218">
        <v>1035.0</v>
      </c>
      <c r="C894" s="218">
        <v>2018.0</v>
      </c>
      <c r="D894" s="218">
        <v>84847.0</v>
      </c>
      <c r="E894" s="218" t="s">
        <v>8911</v>
      </c>
      <c r="F894" s="218" t="s">
        <v>8912</v>
      </c>
      <c r="G894" s="218">
        <v>35.0</v>
      </c>
      <c r="H894" s="218" t="s">
        <v>8913</v>
      </c>
      <c r="I894" s="218">
        <v>449052.0</v>
      </c>
      <c r="J894" s="218" t="s">
        <v>362</v>
      </c>
    </row>
    <row r="895">
      <c r="A895" s="218" t="s">
        <v>9183</v>
      </c>
      <c r="B895" s="218">
        <v>1035.0</v>
      </c>
      <c r="C895" s="218">
        <v>2018.0</v>
      </c>
      <c r="D895" s="218">
        <v>84847.0</v>
      </c>
      <c r="E895" s="218" t="s">
        <v>8911</v>
      </c>
      <c r="F895" s="218" t="s">
        <v>8912</v>
      </c>
      <c r="G895" s="218">
        <v>35.0</v>
      </c>
      <c r="H895" s="218" t="s">
        <v>8913</v>
      </c>
      <c r="I895" s="218">
        <v>449052.0</v>
      </c>
      <c r="J895" s="218" t="s">
        <v>362</v>
      </c>
    </row>
    <row r="896">
      <c r="A896" s="218" t="s">
        <v>9183</v>
      </c>
      <c r="B896" s="218">
        <v>1035.0</v>
      </c>
      <c r="C896" s="218">
        <v>2018.0</v>
      </c>
      <c r="D896" s="218">
        <v>84847.0</v>
      </c>
      <c r="E896" s="218" t="s">
        <v>8911</v>
      </c>
      <c r="F896" s="218" t="s">
        <v>8912</v>
      </c>
      <c r="G896" s="218">
        <v>35.0</v>
      </c>
      <c r="H896" s="218" t="s">
        <v>8913</v>
      </c>
      <c r="I896" s="218">
        <v>449052.0</v>
      </c>
      <c r="J896" s="218" t="s">
        <v>362</v>
      </c>
    </row>
    <row r="897">
      <c r="A897" s="218" t="s">
        <v>9183</v>
      </c>
      <c r="B897" s="218">
        <v>1035.0</v>
      </c>
      <c r="C897" s="218">
        <v>2018.0</v>
      </c>
      <c r="D897" s="218">
        <v>84847.0</v>
      </c>
      <c r="E897" s="218" t="s">
        <v>8911</v>
      </c>
      <c r="F897" s="218" t="s">
        <v>8912</v>
      </c>
      <c r="G897" s="218">
        <v>35.0</v>
      </c>
      <c r="H897" s="218" t="s">
        <v>8913</v>
      </c>
      <c r="I897" s="218">
        <v>449052.0</v>
      </c>
      <c r="J897" s="218" t="s">
        <v>362</v>
      </c>
    </row>
    <row r="898">
      <c r="A898" s="218" t="s">
        <v>9185</v>
      </c>
      <c r="B898" s="218">
        <v>1005.0</v>
      </c>
      <c r="C898" s="218">
        <v>2018.0</v>
      </c>
      <c r="D898" s="218">
        <v>85048.0</v>
      </c>
      <c r="E898" s="218" t="s">
        <v>8968</v>
      </c>
      <c r="F898" s="218" t="s">
        <v>8969</v>
      </c>
      <c r="G898" s="218">
        <v>48.0</v>
      </c>
      <c r="H898" s="218" t="s">
        <v>8970</v>
      </c>
      <c r="I898" s="218">
        <v>339039.0</v>
      </c>
      <c r="J898" s="218" t="s">
        <v>8720</v>
      </c>
    </row>
    <row r="899">
      <c r="A899" s="218" t="s">
        <v>9186</v>
      </c>
      <c r="B899" s="218">
        <v>1171.0</v>
      </c>
      <c r="C899" s="218">
        <v>2018.0</v>
      </c>
      <c r="D899" s="218">
        <v>107702.0</v>
      </c>
      <c r="E899" s="218" t="s">
        <v>8715</v>
      </c>
      <c r="F899" s="218" t="s">
        <v>8716</v>
      </c>
      <c r="G899" s="218">
        <v>69.0</v>
      </c>
      <c r="H899" s="218" t="s">
        <v>8874</v>
      </c>
      <c r="I899" s="218">
        <v>339039.0</v>
      </c>
      <c r="J899" s="218" t="s">
        <v>8720</v>
      </c>
    </row>
    <row r="900">
      <c r="A900" s="218" t="s">
        <v>9187</v>
      </c>
      <c r="B900" s="218">
        <v>1007.0</v>
      </c>
      <c r="C900" s="218">
        <v>2018.0</v>
      </c>
      <c r="D900" s="218">
        <v>85048.0</v>
      </c>
      <c r="E900" s="218" t="s">
        <v>8968</v>
      </c>
      <c r="F900" s="218" t="s">
        <v>8969</v>
      </c>
      <c r="G900" s="218">
        <v>48.0</v>
      </c>
      <c r="H900" s="218" t="s">
        <v>8970</v>
      </c>
      <c r="I900" s="218">
        <v>339039.0</v>
      </c>
      <c r="J900" s="218" t="s">
        <v>8720</v>
      </c>
    </row>
    <row r="901">
      <c r="A901" s="218" t="s">
        <v>9188</v>
      </c>
      <c r="B901" s="218">
        <v>1042.0</v>
      </c>
      <c r="C901" s="218">
        <v>2018.0</v>
      </c>
      <c r="D901" s="218">
        <v>107702.0</v>
      </c>
      <c r="E901" s="218" t="s">
        <v>8715</v>
      </c>
      <c r="F901" s="218" t="s">
        <v>8716</v>
      </c>
      <c r="G901" s="218">
        <v>5.0</v>
      </c>
      <c r="H901" s="218" t="s">
        <v>8877</v>
      </c>
      <c r="I901" s="218">
        <v>449040.0</v>
      </c>
      <c r="J901" s="218" t="s">
        <v>8837</v>
      </c>
    </row>
    <row r="902">
      <c r="A902" s="218" t="s">
        <v>9189</v>
      </c>
      <c r="B902" s="218">
        <v>1237.0</v>
      </c>
      <c r="C902" s="218">
        <v>2018.0</v>
      </c>
      <c r="D902" s="218">
        <v>107702.0</v>
      </c>
      <c r="E902" s="218" t="s">
        <v>8715</v>
      </c>
      <c r="F902" s="218" t="s">
        <v>8716</v>
      </c>
      <c r="G902" s="218">
        <v>24.0</v>
      </c>
      <c r="H902" s="218" t="s">
        <v>9023</v>
      </c>
      <c r="I902" s="218">
        <v>449052.0</v>
      </c>
      <c r="J902" s="218" t="s">
        <v>362</v>
      </c>
    </row>
    <row r="903">
      <c r="A903" s="218" t="s">
        <v>9190</v>
      </c>
      <c r="B903" s="218">
        <v>1071.0</v>
      </c>
      <c r="C903" s="218">
        <v>2018.0</v>
      </c>
      <c r="D903" s="218">
        <v>107702.0</v>
      </c>
      <c r="E903" s="218" t="s">
        <v>8715</v>
      </c>
      <c r="F903" s="218" t="s">
        <v>8716</v>
      </c>
      <c r="G903" s="218">
        <v>35.0</v>
      </c>
      <c r="H903" s="218" t="s">
        <v>8913</v>
      </c>
      <c r="I903" s="218">
        <v>449052.0</v>
      </c>
      <c r="J903" s="218" t="s">
        <v>362</v>
      </c>
    </row>
    <row r="904">
      <c r="A904" s="218" t="s">
        <v>9190</v>
      </c>
      <c r="B904" s="218">
        <v>1037.0</v>
      </c>
      <c r="C904" s="218">
        <v>2018.0</v>
      </c>
      <c r="D904" s="218">
        <v>84847.0</v>
      </c>
      <c r="E904" s="218" t="s">
        <v>8911</v>
      </c>
      <c r="F904" s="218" t="s">
        <v>8912</v>
      </c>
      <c r="G904" s="218">
        <v>35.0</v>
      </c>
      <c r="H904" s="218" t="s">
        <v>8913</v>
      </c>
      <c r="I904" s="218">
        <v>449052.0</v>
      </c>
      <c r="J904" s="218" t="s">
        <v>362</v>
      </c>
    </row>
    <row r="905">
      <c r="A905" s="218" t="s">
        <v>9190</v>
      </c>
      <c r="B905" s="218">
        <v>1037.0</v>
      </c>
      <c r="C905" s="218">
        <v>2018.0</v>
      </c>
      <c r="D905" s="218">
        <v>84847.0</v>
      </c>
      <c r="E905" s="218" t="s">
        <v>8911</v>
      </c>
      <c r="F905" s="218" t="s">
        <v>8912</v>
      </c>
      <c r="G905" s="218">
        <v>35.0</v>
      </c>
      <c r="H905" s="218" t="s">
        <v>8913</v>
      </c>
      <c r="I905" s="218">
        <v>449052.0</v>
      </c>
      <c r="J905" s="218" t="s">
        <v>362</v>
      </c>
    </row>
    <row r="906">
      <c r="A906" s="218" t="s">
        <v>9190</v>
      </c>
      <c r="B906" s="218">
        <v>1037.0</v>
      </c>
      <c r="C906" s="218">
        <v>2018.0</v>
      </c>
      <c r="D906" s="218">
        <v>84847.0</v>
      </c>
      <c r="E906" s="218" t="s">
        <v>8911</v>
      </c>
      <c r="F906" s="218" t="s">
        <v>8912</v>
      </c>
      <c r="G906" s="218">
        <v>35.0</v>
      </c>
      <c r="H906" s="218" t="s">
        <v>8913</v>
      </c>
      <c r="I906" s="218">
        <v>449052.0</v>
      </c>
      <c r="J906" s="218" t="s">
        <v>362</v>
      </c>
    </row>
    <row r="907">
      <c r="A907" s="218" t="s">
        <v>9190</v>
      </c>
      <c r="B907" s="218">
        <v>1037.0</v>
      </c>
      <c r="C907" s="218">
        <v>2018.0</v>
      </c>
      <c r="D907" s="218">
        <v>84847.0</v>
      </c>
      <c r="E907" s="218" t="s">
        <v>8911</v>
      </c>
      <c r="F907" s="218" t="s">
        <v>8912</v>
      </c>
      <c r="G907" s="218">
        <v>35.0</v>
      </c>
      <c r="H907" s="218" t="s">
        <v>8913</v>
      </c>
      <c r="I907" s="218">
        <v>449052.0</v>
      </c>
      <c r="J907" s="218" t="s">
        <v>362</v>
      </c>
    </row>
    <row r="908">
      <c r="A908" s="218" t="s">
        <v>9190</v>
      </c>
      <c r="B908" s="218">
        <v>1113.0</v>
      </c>
      <c r="C908" s="218">
        <v>2018.0</v>
      </c>
      <c r="D908" s="218">
        <v>84847.0</v>
      </c>
      <c r="E908" s="218" t="s">
        <v>8911</v>
      </c>
      <c r="F908" s="218" t="s">
        <v>8912</v>
      </c>
      <c r="G908" s="218">
        <v>5.0</v>
      </c>
      <c r="H908" s="218" t="s">
        <v>8877</v>
      </c>
      <c r="I908" s="218">
        <v>449040.0</v>
      </c>
      <c r="J908" s="218" t="s">
        <v>8837</v>
      </c>
    </row>
    <row r="909">
      <c r="A909" s="218" t="s">
        <v>9190</v>
      </c>
      <c r="B909" s="218">
        <v>1038.0</v>
      </c>
      <c r="C909" s="218">
        <v>2018.0</v>
      </c>
      <c r="D909" s="218">
        <v>85046.0</v>
      </c>
      <c r="E909" s="218" t="s">
        <v>8756</v>
      </c>
      <c r="F909" s="218" t="s">
        <v>8716</v>
      </c>
      <c r="G909" s="218">
        <v>20.0</v>
      </c>
      <c r="H909" s="218" t="s">
        <v>8926</v>
      </c>
      <c r="I909" s="218">
        <v>339040.0</v>
      </c>
      <c r="J909" s="218" t="s">
        <v>136</v>
      </c>
    </row>
    <row r="910">
      <c r="A910" s="218" t="s">
        <v>9190</v>
      </c>
      <c r="B910" s="218">
        <v>1229.0</v>
      </c>
      <c r="C910" s="218">
        <v>2018.0</v>
      </c>
      <c r="D910" s="218">
        <v>85046.0</v>
      </c>
      <c r="E910" s="218" t="s">
        <v>8756</v>
      </c>
      <c r="F910" s="218" t="s">
        <v>8716</v>
      </c>
      <c r="G910" s="218">
        <v>35.0</v>
      </c>
      <c r="H910" s="218" t="s">
        <v>8913</v>
      </c>
      <c r="I910" s="218">
        <v>449052.0</v>
      </c>
      <c r="J910" s="218" t="s">
        <v>362</v>
      </c>
    </row>
    <row r="911">
      <c r="A911" s="218" t="s">
        <v>9191</v>
      </c>
      <c r="B911" s="218">
        <v>1026.0</v>
      </c>
      <c r="C911" s="218">
        <v>2018.0</v>
      </c>
      <c r="D911" s="218">
        <v>85048.0</v>
      </c>
      <c r="E911" s="218" t="s">
        <v>8968</v>
      </c>
      <c r="F911" s="218" t="s">
        <v>8969</v>
      </c>
      <c r="G911" s="218">
        <v>48.0</v>
      </c>
      <c r="H911" s="218" t="s">
        <v>8970</v>
      </c>
      <c r="I911" s="218">
        <v>339039.0</v>
      </c>
      <c r="J911" s="218" t="s">
        <v>8720</v>
      </c>
    </row>
    <row r="912">
      <c r="A912" s="218" t="s">
        <v>9192</v>
      </c>
      <c r="B912" s="218">
        <v>1027.0</v>
      </c>
      <c r="C912" s="218">
        <v>2018.0</v>
      </c>
      <c r="D912" s="218">
        <v>107702.0</v>
      </c>
      <c r="E912" s="218" t="s">
        <v>8715</v>
      </c>
      <c r="F912" s="218" t="s">
        <v>8716</v>
      </c>
      <c r="G912" s="218">
        <v>10.0</v>
      </c>
      <c r="H912" s="218" t="s">
        <v>8726</v>
      </c>
      <c r="I912" s="218">
        <v>339047.0</v>
      </c>
      <c r="J912" s="218" t="s">
        <v>8718</v>
      </c>
    </row>
    <row r="913">
      <c r="A913" s="218" t="s">
        <v>9193</v>
      </c>
      <c r="B913" s="218">
        <v>1030.0</v>
      </c>
      <c r="C913" s="218">
        <v>2018.0</v>
      </c>
      <c r="D913" s="218">
        <v>85048.0</v>
      </c>
      <c r="E913" s="218" t="s">
        <v>8968</v>
      </c>
      <c r="F913" s="218" t="s">
        <v>8969</v>
      </c>
      <c r="G913" s="218">
        <v>48.0</v>
      </c>
      <c r="H913" s="218" t="s">
        <v>8970</v>
      </c>
      <c r="I913" s="218">
        <v>339039.0</v>
      </c>
      <c r="J913" s="218" t="s">
        <v>8720</v>
      </c>
    </row>
    <row r="914">
      <c r="A914" s="218" t="s">
        <v>9194</v>
      </c>
      <c r="B914" s="218">
        <v>1106.0</v>
      </c>
      <c r="C914" s="218">
        <v>2018.0</v>
      </c>
      <c r="D914" s="218">
        <v>85048.0</v>
      </c>
      <c r="E914" s="218" t="s">
        <v>8968</v>
      </c>
      <c r="F914" s="218" t="s">
        <v>8969</v>
      </c>
      <c r="G914" s="218">
        <v>48.0</v>
      </c>
      <c r="H914" s="218" t="s">
        <v>8970</v>
      </c>
      <c r="I914" s="218">
        <v>339039.0</v>
      </c>
      <c r="J914" s="218" t="s">
        <v>8720</v>
      </c>
    </row>
    <row r="915">
      <c r="A915" s="218" t="s">
        <v>9195</v>
      </c>
      <c r="B915" s="218">
        <v>1067.0</v>
      </c>
      <c r="C915" s="218">
        <v>2018.0</v>
      </c>
      <c r="D915" s="218">
        <v>107702.0</v>
      </c>
      <c r="E915" s="218" t="s">
        <v>8715</v>
      </c>
      <c r="F915" s="218" t="s">
        <v>8716</v>
      </c>
      <c r="G915" s="218">
        <v>17.0</v>
      </c>
      <c r="H915" s="218" t="s">
        <v>8903</v>
      </c>
      <c r="I915" s="218">
        <v>339030.0</v>
      </c>
      <c r="J915" s="218" t="s">
        <v>249</v>
      </c>
    </row>
    <row r="916">
      <c r="A916" s="218" t="s">
        <v>9195</v>
      </c>
      <c r="B916" s="218">
        <v>1068.0</v>
      </c>
      <c r="C916" s="218">
        <v>2018.0</v>
      </c>
      <c r="D916" s="218">
        <v>107702.0</v>
      </c>
      <c r="E916" s="218" t="s">
        <v>8715</v>
      </c>
      <c r="F916" s="218" t="s">
        <v>8716</v>
      </c>
      <c r="G916" s="218">
        <v>35.0</v>
      </c>
      <c r="H916" s="218" t="s">
        <v>8913</v>
      </c>
      <c r="I916" s="218">
        <v>449052.0</v>
      </c>
      <c r="J916" s="218" t="s">
        <v>362</v>
      </c>
    </row>
    <row r="917">
      <c r="A917" s="218" t="s">
        <v>9195</v>
      </c>
      <c r="B917" s="218">
        <v>1069.0</v>
      </c>
      <c r="C917" s="218">
        <v>2018.0</v>
      </c>
      <c r="D917" s="218">
        <v>107702.0</v>
      </c>
      <c r="E917" s="218" t="s">
        <v>8715</v>
      </c>
      <c r="F917" s="218" t="s">
        <v>8716</v>
      </c>
      <c r="G917" s="218">
        <v>35.0</v>
      </c>
      <c r="H917" s="218" t="s">
        <v>8913</v>
      </c>
      <c r="I917" s="218">
        <v>449052.0</v>
      </c>
      <c r="J917" s="218" t="s">
        <v>362</v>
      </c>
    </row>
    <row r="918">
      <c r="A918" s="218" t="s">
        <v>9196</v>
      </c>
      <c r="B918" s="218">
        <v>1039.0</v>
      </c>
      <c r="C918" s="218">
        <v>2018.0</v>
      </c>
      <c r="D918" s="218">
        <v>85048.0</v>
      </c>
      <c r="E918" s="218" t="s">
        <v>8968</v>
      </c>
      <c r="F918" s="218" t="s">
        <v>8969</v>
      </c>
      <c r="G918" s="218">
        <v>48.0</v>
      </c>
      <c r="H918" s="218" t="s">
        <v>8970</v>
      </c>
      <c r="I918" s="218">
        <v>339039.0</v>
      </c>
      <c r="J918" s="218" t="s">
        <v>8720</v>
      </c>
    </row>
    <row r="919">
      <c r="A919" s="218" t="s">
        <v>9197</v>
      </c>
      <c r="B919" s="218">
        <v>1040.0</v>
      </c>
      <c r="C919" s="218">
        <v>2018.0</v>
      </c>
      <c r="D919" s="218">
        <v>107702.0</v>
      </c>
      <c r="E919" s="218" t="s">
        <v>8715</v>
      </c>
      <c r="F919" s="218" t="s">
        <v>8716</v>
      </c>
      <c r="G919" s="218">
        <v>17.0</v>
      </c>
      <c r="H919" s="218" t="s">
        <v>8825</v>
      </c>
      <c r="I919" s="218">
        <v>339039.0</v>
      </c>
      <c r="J919" s="218" t="s">
        <v>8720</v>
      </c>
    </row>
    <row r="920">
      <c r="A920" s="218" t="s">
        <v>9198</v>
      </c>
      <c r="B920" s="218">
        <v>1045.0</v>
      </c>
      <c r="C920" s="218">
        <v>2018.0</v>
      </c>
      <c r="D920" s="218">
        <v>85048.0</v>
      </c>
      <c r="E920" s="218" t="s">
        <v>8968</v>
      </c>
      <c r="F920" s="218" t="s">
        <v>8969</v>
      </c>
      <c r="G920" s="218">
        <v>48.0</v>
      </c>
      <c r="H920" s="218" t="s">
        <v>8970</v>
      </c>
      <c r="I920" s="218">
        <v>339039.0</v>
      </c>
      <c r="J920" s="218" t="s">
        <v>8720</v>
      </c>
    </row>
    <row r="921">
      <c r="A921" s="218" t="s">
        <v>9199</v>
      </c>
      <c r="B921" s="218">
        <v>1064.0</v>
      </c>
      <c r="C921" s="218">
        <v>2018.0</v>
      </c>
      <c r="D921" s="218">
        <v>84852.0</v>
      </c>
      <c r="E921" s="432">
        <v>2.12205714256E19</v>
      </c>
      <c r="F921" s="218" t="s">
        <v>9156</v>
      </c>
      <c r="G921" s="218">
        <v>23.0</v>
      </c>
      <c r="H921" s="218" t="s">
        <v>9069</v>
      </c>
      <c r="I921" s="218">
        <v>339030.0</v>
      </c>
      <c r="J921" s="218" t="s">
        <v>249</v>
      </c>
    </row>
    <row r="922">
      <c r="A922" s="218" t="s">
        <v>9199</v>
      </c>
      <c r="B922" s="218">
        <v>1064.0</v>
      </c>
      <c r="C922" s="218">
        <v>2018.0</v>
      </c>
      <c r="D922" s="218">
        <v>84852.0</v>
      </c>
      <c r="E922" s="432">
        <v>2.12205714256E19</v>
      </c>
      <c r="F922" s="218" t="s">
        <v>9156</v>
      </c>
      <c r="G922" s="218">
        <v>23.0</v>
      </c>
      <c r="H922" s="218" t="s">
        <v>9069</v>
      </c>
      <c r="I922" s="218">
        <v>339030.0</v>
      </c>
      <c r="J922" s="218" t="s">
        <v>249</v>
      </c>
    </row>
    <row r="923">
      <c r="A923" s="218" t="s">
        <v>9200</v>
      </c>
      <c r="B923" s="218">
        <v>1055.0</v>
      </c>
      <c r="C923" s="218">
        <v>2018.0</v>
      </c>
      <c r="D923" s="218">
        <v>107702.0</v>
      </c>
      <c r="E923" s="218" t="s">
        <v>8715</v>
      </c>
      <c r="F923" s="218" t="s">
        <v>8716</v>
      </c>
      <c r="G923" s="218">
        <v>21.0</v>
      </c>
      <c r="H923" s="218" t="s">
        <v>8896</v>
      </c>
      <c r="I923" s="218">
        <v>339030.0</v>
      </c>
      <c r="J923" s="218" t="s">
        <v>249</v>
      </c>
    </row>
    <row r="924">
      <c r="A924" s="218" t="s">
        <v>9200</v>
      </c>
      <c r="B924" s="218">
        <v>1055.0</v>
      </c>
      <c r="C924" s="218">
        <v>2018.0</v>
      </c>
      <c r="D924" s="218">
        <v>107702.0</v>
      </c>
      <c r="E924" s="218" t="s">
        <v>8715</v>
      </c>
      <c r="F924" s="218" t="s">
        <v>8716</v>
      </c>
      <c r="G924" s="218">
        <v>7.0</v>
      </c>
      <c r="H924" s="218" t="s">
        <v>8915</v>
      </c>
      <c r="I924" s="218">
        <v>339030.0</v>
      </c>
      <c r="J924" s="218" t="s">
        <v>249</v>
      </c>
    </row>
    <row r="925">
      <c r="A925" s="218" t="s">
        <v>9201</v>
      </c>
      <c r="B925" s="218">
        <v>1049.0</v>
      </c>
      <c r="C925" s="218">
        <v>2018.0</v>
      </c>
      <c r="D925" s="218">
        <v>85048.0</v>
      </c>
      <c r="E925" s="218" t="s">
        <v>8968</v>
      </c>
      <c r="F925" s="218" t="s">
        <v>8969</v>
      </c>
      <c r="G925" s="218">
        <v>48.0</v>
      </c>
      <c r="H925" s="218" t="s">
        <v>8970</v>
      </c>
      <c r="I925" s="218">
        <v>339039.0</v>
      </c>
      <c r="J925" s="218" t="s">
        <v>8720</v>
      </c>
    </row>
    <row r="926">
      <c r="A926" s="218" t="s">
        <v>9202</v>
      </c>
      <c r="B926" s="218">
        <v>1121.0</v>
      </c>
      <c r="C926" s="218">
        <v>2018.0</v>
      </c>
      <c r="D926" s="218">
        <v>84847.0</v>
      </c>
      <c r="E926" s="218" t="s">
        <v>8911</v>
      </c>
      <c r="F926" s="218" t="s">
        <v>8912</v>
      </c>
      <c r="G926" s="218">
        <v>6.0</v>
      </c>
      <c r="H926" s="218" t="s">
        <v>9203</v>
      </c>
      <c r="I926" s="218">
        <v>449040.0</v>
      </c>
      <c r="J926" s="218" t="s">
        <v>8837</v>
      </c>
    </row>
    <row r="927">
      <c r="A927" s="218" t="s">
        <v>9204</v>
      </c>
      <c r="B927" s="218">
        <v>1057.0</v>
      </c>
      <c r="C927" s="218">
        <v>2018.0</v>
      </c>
      <c r="D927" s="218">
        <v>85048.0</v>
      </c>
      <c r="E927" s="218" t="s">
        <v>8968</v>
      </c>
      <c r="F927" s="218" t="s">
        <v>8969</v>
      </c>
      <c r="G927" s="218">
        <v>48.0</v>
      </c>
      <c r="H927" s="218" t="s">
        <v>8970</v>
      </c>
      <c r="I927" s="218">
        <v>339039.0</v>
      </c>
      <c r="J927" s="218" t="s">
        <v>8720</v>
      </c>
    </row>
    <row r="928">
      <c r="A928" s="218" t="s">
        <v>9205</v>
      </c>
      <c r="B928" s="218">
        <v>1056.0</v>
      </c>
      <c r="C928" s="218">
        <v>2018.0</v>
      </c>
      <c r="D928" s="218">
        <v>107702.0</v>
      </c>
      <c r="E928" s="218" t="s">
        <v>8715</v>
      </c>
      <c r="F928" s="218" t="s">
        <v>8716</v>
      </c>
      <c r="G928" s="218">
        <v>5.0</v>
      </c>
      <c r="H928" s="218" t="s">
        <v>8859</v>
      </c>
      <c r="I928" s="218">
        <v>339039.0</v>
      </c>
      <c r="J928" s="218" t="s">
        <v>8720</v>
      </c>
    </row>
    <row r="929">
      <c r="A929" s="218" t="s">
        <v>9206</v>
      </c>
      <c r="B929" s="218">
        <v>1065.0</v>
      </c>
      <c r="C929" s="218">
        <v>2018.0</v>
      </c>
      <c r="D929" s="218">
        <v>85048.0</v>
      </c>
      <c r="E929" s="218" t="s">
        <v>8968</v>
      </c>
      <c r="F929" s="218" t="s">
        <v>8969</v>
      </c>
      <c r="G929" s="218">
        <v>48.0</v>
      </c>
      <c r="H929" s="218" t="s">
        <v>8970</v>
      </c>
      <c r="I929" s="218">
        <v>339039.0</v>
      </c>
      <c r="J929" s="218" t="s">
        <v>8720</v>
      </c>
    </row>
    <row r="930">
      <c r="A930" s="218" t="s">
        <v>9207</v>
      </c>
      <c r="B930" s="218">
        <v>1066.0</v>
      </c>
      <c r="C930" s="218">
        <v>2018.0</v>
      </c>
      <c r="D930" s="218">
        <v>107702.0</v>
      </c>
      <c r="E930" s="218" t="s">
        <v>8715</v>
      </c>
      <c r="F930" s="218" t="s">
        <v>8716</v>
      </c>
      <c r="G930" s="218">
        <v>10.0</v>
      </c>
      <c r="H930" s="218" t="s">
        <v>8726</v>
      </c>
      <c r="I930" s="218">
        <v>339047.0</v>
      </c>
      <c r="J930" s="218" t="s">
        <v>8718</v>
      </c>
    </row>
    <row r="931">
      <c r="A931" s="218" t="s">
        <v>9208</v>
      </c>
      <c r="B931" s="218">
        <v>1086.0</v>
      </c>
      <c r="C931" s="218">
        <v>2018.0</v>
      </c>
      <c r="D931" s="218">
        <v>107702.0</v>
      </c>
      <c r="E931" s="218" t="s">
        <v>8715</v>
      </c>
      <c r="F931" s="218" t="s">
        <v>8716</v>
      </c>
      <c r="G931" s="218">
        <v>23.0</v>
      </c>
      <c r="H931" s="218" t="s">
        <v>8869</v>
      </c>
      <c r="I931" s="218">
        <v>339040.0</v>
      </c>
      <c r="J931" s="218" t="s">
        <v>136</v>
      </c>
    </row>
    <row r="932">
      <c r="A932" s="218" t="s">
        <v>9209</v>
      </c>
      <c r="B932" s="218">
        <v>1149.0</v>
      </c>
      <c r="C932" s="218">
        <v>2018.0</v>
      </c>
      <c r="D932" s="218">
        <v>107702.0</v>
      </c>
      <c r="E932" s="218" t="s">
        <v>8715</v>
      </c>
      <c r="F932" s="218" t="s">
        <v>8716</v>
      </c>
      <c r="G932" s="218">
        <v>46.0</v>
      </c>
      <c r="H932" s="218" t="s">
        <v>9086</v>
      </c>
      <c r="I932" s="218">
        <v>339030.0</v>
      </c>
      <c r="J932" s="218" t="s">
        <v>249</v>
      </c>
    </row>
    <row r="933">
      <c r="A933" s="218" t="s">
        <v>9209</v>
      </c>
      <c r="B933" s="218">
        <v>1159.0</v>
      </c>
      <c r="C933" s="218">
        <v>2018.0</v>
      </c>
      <c r="D933" s="218">
        <v>107702.0</v>
      </c>
      <c r="E933" s="218" t="s">
        <v>8715</v>
      </c>
      <c r="F933" s="218" t="s">
        <v>8716</v>
      </c>
      <c r="G933" s="218">
        <v>46.0</v>
      </c>
      <c r="H933" s="218" t="s">
        <v>9086</v>
      </c>
      <c r="I933" s="218">
        <v>339030.0</v>
      </c>
      <c r="J933" s="218" t="s">
        <v>249</v>
      </c>
    </row>
    <row r="934">
      <c r="A934" s="218" t="s">
        <v>9209</v>
      </c>
      <c r="B934" s="218">
        <v>1159.0</v>
      </c>
      <c r="C934" s="218">
        <v>2018.0</v>
      </c>
      <c r="D934" s="218">
        <v>107702.0</v>
      </c>
      <c r="E934" s="218" t="s">
        <v>8715</v>
      </c>
      <c r="F934" s="218" t="s">
        <v>8716</v>
      </c>
      <c r="G934" s="218">
        <v>46.0</v>
      </c>
      <c r="H934" s="218" t="s">
        <v>9086</v>
      </c>
      <c r="I934" s="218">
        <v>339030.0</v>
      </c>
      <c r="J934" s="218" t="s">
        <v>249</v>
      </c>
    </row>
    <row r="935">
      <c r="A935" s="218" t="s">
        <v>9209</v>
      </c>
      <c r="B935" s="218">
        <v>1148.0</v>
      </c>
      <c r="C935" s="218">
        <v>2018.0</v>
      </c>
      <c r="D935" s="218">
        <v>107702.0</v>
      </c>
      <c r="E935" s="218" t="s">
        <v>8715</v>
      </c>
      <c r="F935" s="218" t="s">
        <v>8716</v>
      </c>
      <c r="G935" s="218">
        <v>46.0</v>
      </c>
      <c r="H935" s="218" t="s">
        <v>9086</v>
      </c>
      <c r="I935" s="218">
        <v>339030.0</v>
      </c>
      <c r="J935" s="218" t="s">
        <v>249</v>
      </c>
    </row>
    <row r="936">
      <c r="A936" s="218" t="s">
        <v>9209</v>
      </c>
      <c r="B936" s="218">
        <v>1159.0</v>
      </c>
      <c r="C936" s="218">
        <v>2018.0</v>
      </c>
      <c r="D936" s="218">
        <v>107702.0</v>
      </c>
      <c r="E936" s="218" t="s">
        <v>8715</v>
      </c>
      <c r="F936" s="218" t="s">
        <v>8716</v>
      </c>
      <c r="G936" s="218">
        <v>46.0</v>
      </c>
      <c r="H936" s="218" t="s">
        <v>9086</v>
      </c>
      <c r="I936" s="218">
        <v>339030.0</v>
      </c>
      <c r="J936" s="218" t="s">
        <v>249</v>
      </c>
    </row>
    <row r="937">
      <c r="A937" s="218" t="s">
        <v>9210</v>
      </c>
      <c r="B937" s="218">
        <v>1100.0</v>
      </c>
      <c r="C937" s="218">
        <v>2018.0</v>
      </c>
      <c r="D937" s="218">
        <v>85048.0</v>
      </c>
      <c r="E937" s="218" t="s">
        <v>8968</v>
      </c>
      <c r="F937" s="218" t="s">
        <v>8969</v>
      </c>
      <c r="G937" s="218">
        <v>48.0</v>
      </c>
      <c r="H937" s="218" t="s">
        <v>8970</v>
      </c>
      <c r="I937" s="218">
        <v>339039.0</v>
      </c>
      <c r="J937" s="218" t="s">
        <v>8720</v>
      </c>
    </row>
    <row r="938">
      <c r="A938" s="218" t="s">
        <v>9211</v>
      </c>
      <c r="B938" s="218">
        <v>1252.0</v>
      </c>
      <c r="C938" s="218">
        <v>2018.0</v>
      </c>
      <c r="D938" s="218">
        <v>107703.0</v>
      </c>
      <c r="E938" s="218" t="s">
        <v>8999</v>
      </c>
      <c r="F938" s="218" t="s">
        <v>9000</v>
      </c>
      <c r="G938" s="218">
        <v>33.0</v>
      </c>
      <c r="H938" s="218" t="s">
        <v>8889</v>
      </c>
      <c r="I938" s="218">
        <v>449052.0</v>
      </c>
      <c r="J938" s="218" t="s">
        <v>362</v>
      </c>
    </row>
    <row r="939">
      <c r="A939" s="218" t="s">
        <v>9211</v>
      </c>
      <c r="B939" s="218">
        <v>1252.0</v>
      </c>
      <c r="C939" s="218">
        <v>2018.0</v>
      </c>
      <c r="D939" s="218">
        <v>107703.0</v>
      </c>
      <c r="E939" s="218" t="s">
        <v>8999</v>
      </c>
      <c r="F939" s="218" t="s">
        <v>9000</v>
      </c>
      <c r="G939" s="218">
        <v>33.0</v>
      </c>
      <c r="H939" s="218" t="s">
        <v>8889</v>
      </c>
      <c r="I939" s="218">
        <v>449052.0</v>
      </c>
      <c r="J939" s="218" t="s">
        <v>362</v>
      </c>
    </row>
    <row r="940">
      <c r="A940" s="218" t="s">
        <v>9211</v>
      </c>
      <c r="B940" s="218">
        <v>1253.0</v>
      </c>
      <c r="C940" s="218">
        <v>2018.0</v>
      </c>
      <c r="D940" s="218">
        <v>107703.0</v>
      </c>
      <c r="E940" s="218" t="s">
        <v>8999</v>
      </c>
      <c r="F940" s="218" t="s">
        <v>9000</v>
      </c>
      <c r="G940" s="218">
        <v>33.0</v>
      </c>
      <c r="H940" s="218" t="s">
        <v>8889</v>
      </c>
      <c r="I940" s="218">
        <v>449052.0</v>
      </c>
      <c r="J940" s="218" t="s">
        <v>362</v>
      </c>
    </row>
    <row r="941">
      <c r="A941" s="218" t="s">
        <v>9212</v>
      </c>
      <c r="B941" s="218">
        <v>1110.0</v>
      </c>
      <c r="C941" s="218">
        <v>2018.0</v>
      </c>
      <c r="D941" s="218">
        <v>85047.0</v>
      </c>
      <c r="E941" s="218" t="s">
        <v>9213</v>
      </c>
      <c r="F941" s="218" t="s">
        <v>9000</v>
      </c>
      <c r="G941" s="218">
        <v>1.0</v>
      </c>
      <c r="H941" s="218" t="s">
        <v>8946</v>
      </c>
      <c r="I941" s="218">
        <v>339039.0</v>
      </c>
      <c r="J941" s="218" t="s">
        <v>8720</v>
      </c>
    </row>
    <row r="942">
      <c r="A942" s="218" t="s">
        <v>9214</v>
      </c>
      <c r="B942" s="218">
        <v>1108.0</v>
      </c>
      <c r="C942" s="218">
        <v>2018.0</v>
      </c>
      <c r="D942" s="218">
        <v>85048.0</v>
      </c>
      <c r="E942" s="218" t="s">
        <v>8968</v>
      </c>
      <c r="F942" s="218" t="s">
        <v>8969</v>
      </c>
      <c r="G942" s="218">
        <v>48.0</v>
      </c>
      <c r="H942" s="218" t="s">
        <v>8970</v>
      </c>
      <c r="I942" s="218">
        <v>339039.0</v>
      </c>
      <c r="J942" s="218" t="s">
        <v>8720</v>
      </c>
    </row>
    <row r="943">
      <c r="A943" s="218" t="s">
        <v>9215</v>
      </c>
      <c r="B943" s="218">
        <v>1115.0</v>
      </c>
      <c r="C943" s="218">
        <v>2018.0</v>
      </c>
      <c r="D943" s="218">
        <v>107702.0</v>
      </c>
      <c r="E943" s="218" t="s">
        <v>8715</v>
      </c>
      <c r="F943" s="218" t="s">
        <v>8716</v>
      </c>
      <c r="G943" s="218">
        <v>25.0</v>
      </c>
      <c r="H943" s="218" t="s">
        <v>8784</v>
      </c>
      <c r="I943" s="218">
        <v>339030.0</v>
      </c>
      <c r="J943" s="218" t="s">
        <v>249</v>
      </c>
    </row>
    <row r="944">
      <c r="A944" s="218" t="s">
        <v>9215</v>
      </c>
      <c r="B944" s="218">
        <v>1115.0</v>
      </c>
      <c r="C944" s="218">
        <v>2018.0</v>
      </c>
      <c r="D944" s="218">
        <v>107702.0</v>
      </c>
      <c r="E944" s="218" t="s">
        <v>8715</v>
      </c>
      <c r="F944" s="218" t="s">
        <v>8716</v>
      </c>
      <c r="G944" s="218">
        <v>25.0</v>
      </c>
      <c r="H944" s="218" t="s">
        <v>8784</v>
      </c>
      <c r="I944" s="218">
        <v>339030.0</v>
      </c>
      <c r="J944" s="218" t="s">
        <v>249</v>
      </c>
    </row>
    <row r="945">
      <c r="A945" s="218" t="s">
        <v>9216</v>
      </c>
      <c r="B945" s="218">
        <v>1260.0</v>
      </c>
      <c r="C945" s="218">
        <v>2018.0</v>
      </c>
      <c r="D945" s="218">
        <v>85048.0</v>
      </c>
      <c r="E945" s="218" t="s">
        <v>8968</v>
      </c>
      <c r="F945" s="218" t="s">
        <v>8969</v>
      </c>
      <c r="G945" s="218">
        <v>48.0</v>
      </c>
      <c r="H945" s="218" t="s">
        <v>8970</v>
      </c>
      <c r="I945" s="218">
        <v>339039.0</v>
      </c>
      <c r="J945" s="218" t="s">
        <v>8720</v>
      </c>
    </row>
    <row r="946">
      <c r="A946" s="218" t="s">
        <v>9217</v>
      </c>
      <c r="B946" s="218">
        <v>1132.0</v>
      </c>
      <c r="C946" s="218">
        <v>2018.0</v>
      </c>
      <c r="D946" s="218">
        <v>85047.0</v>
      </c>
      <c r="E946" s="218" t="s">
        <v>9213</v>
      </c>
      <c r="F946" s="218" t="s">
        <v>9000</v>
      </c>
      <c r="G946" s="218">
        <v>1.0</v>
      </c>
      <c r="H946" s="218" t="s">
        <v>8946</v>
      </c>
      <c r="I946" s="218">
        <v>339039.0</v>
      </c>
      <c r="J946" s="218" t="s">
        <v>8720</v>
      </c>
    </row>
    <row r="947">
      <c r="A947" s="218" t="s">
        <v>9218</v>
      </c>
      <c r="B947" s="218">
        <v>1142.0</v>
      </c>
      <c r="C947" s="218">
        <v>2018.0</v>
      </c>
      <c r="D947" s="218">
        <v>107702.0</v>
      </c>
      <c r="E947" s="218" t="s">
        <v>8715</v>
      </c>
      <c r="F947" s="218" t="s">
        <v>8716</v>
      </c>
      <c r="G947" s="218">
        <v>1.0</v>
      </c>
      <c r="H947" s="218" t="s">
        <v>8917</v>
      </c>
      <c r="I947" s="218">
        <v>339030.0</v>
      </c>
      <c r="J947" s="218" t="s">
        <v>249</v>
      </c>
    </row>
    <row r="948">
      <c r="A948" s="218" t="s">
        <v>9219</v>
      </c>
      <c r="B948" s="218">
        <v>1139.0</v>
      </c>
      <c r="C948" s="218">
        <v>2018.0</v>
      </c>
      <c r="D948" s="218">
        <v>84852.0</v>
      </c>
      <c r="E948" s="222">
        <v>2.12205714256004E15</v>
      </c>
      <c r="F948" s="218" t="s">
        <v>9156</v>
      </c>
      <c r="G948" s="218">
        <v>19.0</v>
      </c>
      <c r="H948" s="218" t="s">
        <v>8892</v>
      </c>
      <c r="I948" s="218">
        <v>339030.0</v>
      </c>
      <c r="J948" s="218" t="s">
        <v>249</v>
      </c>
    </row>
    <row r="949">
      <c r="A949" s="218" t="s">
        <v>9220</v>
      </c>
      <c r="B949" s="218">
        <v>1183.0</v>
      </c>
      <c r="C949" s="218">
        <v>2018.0</v>
      </c>
      <c r="D949" s="218">
        <v>107702.0</v>
      </c>
      <c r="E949" s="218" t="s">
        <v>8715</v>
      </c>
      <c r="F949" s="218" t="s">
        <v>8716</v>
      </c>
      <c r="G949" s="218">
        <v>3.0</v>
      </c>
      <c r="H949" s="218" t="s">
        <v>8772</v>
      </c>
      <c r="I949" s="218">
        <v>339037.0</v>
      </c>
      <c r="J949" s="218" t="s">
        <v>8770</v>
      </c>
    </row>
    <row r="950">
      <c r="A950" s="218" t="s">
        <v>9221</v>
      </c>
      <c r="B950" s="218">
        <v>1138.0</v>
      </c>
      <c r="C950" s="218">
        <v>2018.0</v>
      </c>
      <c r="D950" s="218">
        <v>84852.0</v>
      </c>
      <c r="E950" s="222">
        <v>2.12205714256004E15</v>
      </c>
      <c r="F950" s="218" t="s">
        <v>9156</v>
      </c>
      <c r="G950" s="218">
        <v>23.0</v>
      </c>
      <c r="H950" s="218" t="s">
        <v>9069</v>
      </c>
      <c r="I950" s="218">
        <v>339030.0</v>
      </c>
      <c r="J950" s="218" t="s">
        <v>249</v>
      </c>
    </row>
    <row r="951">
      <c r="A951" s="218" t="s">
        <v>9222</v>
      </c>
      <c r="B951" s="218">
        <v>1155.0</v>
      </c>
      <c r="C951" s="218">
        <v>2018.0</v>
      </c>
      <c r="D951" s="218">
        <v>107702.0</v>
      </c>
      <c r="E951" s="218" t="s">
        <v>8715</v>
      </c>
      <c r="F951" s="218" t="s">
        <v>8716</v>
      </c>
      <c r="G951" s="218">
        <v>42.0</v>
      </c>
      <c r="H951" s="218" t="s">
        <v>8901</v>
      </c>
      <c r="I951" s="218">
        <v>449052.0</v>
      </c>
      <c r="J951" s="218" t="s">
        <v>362</v>
      </c>
    </row>
    <row r="952">
      <c r="A952" s="218" t="s">
        <v>9223</v>
      </c>
      <c r="B952" s="218">
        <v>1154.0</v>
      </c>
      <c r="C952" s="218">
        <v>2018.0</v>
      </c>
      <c r="D952" s="218">
        <v>107702.0</v>
      </c>
      <c r="E952" s="218" t="s">
        <v>8715</v>
      </c>
      <c r="F952" s="218" t="s">
        <v>8716</v>
      </c>
      <c r="G952" s="218">
        <v>22.0</v>
      </c>
      <c r="H952" s="218" t="s">
        <v>8895</v>
      </c>
      <c r="I952" s="218">
        <v>339030.0</v>
      </c>
      <c r="J952" s="218" t="s">
        <v>249</v>
      </c>
    </row>
    <row r="953">
      <c r="A953" s="218" t="s">
        <v>9223</v>
      </c>
      <c r="B953" s="218">
        <v>1154.0</v>
      </c>
      <c r="C953" s="218">
        <v>2018.0</v>
      </c>
      <c r="D953" s="218">
        <v>107702.0</v>
      </c>
      <c r="E953" s="218" t="s">
        <v>8715</v>
      </c>
      <c r="F953" s="218" t="s">
        <v>8716</v>
      </c>
      <c r="G953" s="218">
        <v>22.0</v>
      </c>
      <c r="H953" s="218" t="s">
        <v>8895</v>
      </c>
      <c r="I953" s="218">
        <v>339030.0</v>
      </c>
      <c r="J953" s="218" t="s">
        <v>249</v>
      </c>
    </row>
    <row r="954">
      <c r="A954" s="218" t="s">
        <v>9223</v>
      </c>
      <c r="B954" s="218">
        <v>1154.0</v>
      </c>
      <c r="C954" s="218">
        <v>2018.0</v>
      </c>
      <c r="D954" s="218">
        <v>107702.0</v>
      </c>
      <c r="E954" s="218" t="s">
        <v>8715</v>
      </c>
      <c r="F954" s="218" t="s">
        <v>8716</v>
      </c>
      <c r="G954" s="218">
        <v>22.0</v>
      </c>
      <c r="H954" s="218" t="s">
        <v>8895</v>
      </c>
      <c r="I954" s="218">
        <v>339030.0</v>
      </c>
      <c r="J954" s="218" t="s">
        <v>249</v>
      </c>
    </row>
    <row r="955">
      <c r="A955" s="218" t="s">
        <v>9223</v>
      </c>
      <c r="B955" s="218">
        <v>1154.0</v>
      </c>
      <c r="C955" s="218">
        <v>2018.0</v>
      </c>
      <c r="D955" s="218">
        <v>107702.0</v>
      </c>
      <c r="E955" s="218" t="s">
        <v>8715</v>
      </c>
      <c r="F955" s="218" t="s">
        <v>8716</v>
      </c>
      <c r="G955" s="218">
        <v>22.0</v>
      </c>
      <c r="H955" s="218" t="s">
        <v>8895</v>
      </c>
      <c r="I955" s="218">
        <v>339030.0</v>
      </c>
      <c r="J955" s="218" t="s">
        <v>249</v>
      </c>
    </row>
    <row r="956">
      <c r="A956" s="218" t="s">
        <v>9224</v>
      </c>
      <c r="B956" s="218">
        <v>1226.0</v>
      </c>
      <c r="C956" s="218">
        <v>2018.0</v>
      </c>
      <c r="D956" s="218">
        <v>107702.0</v>
      </c>
      <c r="E956" s="218" t="s">
        <v>8715</v>
      </c>
      <c r="F956" s="218" t="s">
        <v>8716</v>
      </c>
      <c r="G956" s="218">
        <v>42.0</v>
      </c>
      <c r="H956" s="218" t="s">
        <v>8901</v>
      </c>
      <c r="I956" s="218">
        <v>449052.0</v>
      </c>
      <c r="J956" s="218" t="s">
        <v>362</v>
      </c>
    </row>
    <row r="957">
      <c r="A957" s="218" t="s">
        <v>9224</v>
      </c>
      <c r="B957" s="218">
        <v>1226.0</v>
      </c>
      <c r="C957" s="218">
        <v>2018.0</v>
      </c>
      <c r="D957" s="218">
        <v>107702.0</v>
      </c>
      <c r="E957" s="218" t="s">
        <v>8715</v>
      </c>
      <c r="F957" s="218" t="s">
        <v>8716</v>
      </c>
      <c r="G957" s="218">
        <v>42.0</v>
      </c>
      <c r="H957" s="218" t="s">
        <v>8901</v>
      </c>
      <c r="I957" s="218">
        <v>449052.0</v>
      </c>
      <c r="J957" s="218" t="s">
        <v>362</v>
      </c>
    </row>
    <row r="958">
      <c r="A958" s="218" t="s">
        <v>9225</v>
      </c>
      <c r="B958" s="218">
        <v>1157.0</v>
      </c>
      <c r="C958" s="218">
        <v>2018.0</v>
      </c>
      <c r="D958" s="218">
        <v>85048.0</v>
      </c>
      <c r="E958" s="218" t="s">
        <v>8968</v>
      </c>
      <c r="F958" s="218" t="s">
        <v>8969</v>
      </c>
      <c r="G958" s="218">
        <v>48.0</v>
      </c>
      <c r="H958" s="218" t="s">
        <v>8970</v>
      </c>
      <c r="I958" s="218">
        <v>339039.0</v>
      </c>
      <c r="J958" s="218" t="s">
        <v>8720</v>
      </c>
    </row>
    <row r="959">
      <c r="A959" s="218" t="s">
        <v>9226</v>
      </c>
      <c r="B959" s="218">
        <v>1167.0</v>
      </c>
      <c r="C959" s="218">
        <v>2018.0</v>
      </c>
      <c r="D959" s="218">
        <v>107702.0</v>
      </c>
      <c r="E959" s="218" t="s">
        <v>8715</v>
      </c>
      <c r="F959" s="218" t="s">
        <v>8716</v>
      </c>
      <c r="G959" s="218">
        <v>5.0</v>
      </c>
      <c r="H959" s="218" t="s">
        <v>8877</v>
      </c>
      <c r="I959" s="218">
        <v>449040.0</v>
      </c>
      <c r="J959" s="218" t="s">
        <v>8837</v>
      </c>
    </row>
    <row r="960">
      <c r="A960" s="218" t="s">
        <v>9227</v>
      </c>
      <c r="B960" s="218">
        <v>1163.0</v>
      </c>
      <c r="C960" s="218">
        <v>2018.0</v>
      </c>
      <c r="D960" s="218">
        <v>85048.0</v>
      </c>
      <c r="E960" s="218" t="s">
        <v>8968</v>
      </c>
      <c r="F960" s="218" t="s">
        <v>8969</v>
      </c>
      <c r="G960" s="218">
        <v>48.0</v>
      </c>
      <c r="H960" s="218" t="s">
        <v>8970</v>
      </c>
      <c r="I960" s="218">
        <v>339039.0</v>
      </c>
      <c r="J960" s="218" t="s">
        <v>8720</v>
      </c>
    </row>
    <row r="961">
      <c r="A961" s="218" t="s">
        <v>9228</v>
      </c>
      <c r="B961" s="218">
        <v>1129.0</v>
      </c>
      <c r="C961" s="218">
        <v>2018.0</v>
      </c>
      <c r="D961" s="218">
        <v>107702.0</v>
      </c>
      <c r="E961" s="218" t="s">
        <v>8715</v>
      </c>
      <c r="F961" s="218" t="s">
        <v>8716</v>
      </c>
      <c r="G961" s="218">
        <v>2.0</v>
      </c>
      <c r="H961" s="218" t="s">
        <v>8748</v>
      </c>
      <c r="I961" s="218">
        <v>339037.0</v>
      </c>
      <c r="J961" s="218" t="s">
        <v>8770</v>
      </c>
    </row>
    <row r="962">
      <c r="A962" s="218" t="s">
        <v>9228</v>
      </c>
      <c r="B962" s="218">
        <v>1129.0</v>
      </c>
      <c r="C962" s="218">
        <v>2018.0</v>
      </c>
      <c r="D962" s="218">
        <v>107702.0</v>
      </c>
      <c r="E962" s="218" t="s">
        <v>8715</v>
      </c>
      <c r="F962" s="218" t="s">
        <v>8716</v>
      </c>
      <c r="G962" s="218">
        <v>5.0</v>
      </c>
      <c r="H962" s="218" t="s">
        <v>8800</v>
      </c>
      <c r="I962" s="218">
        <v>339037.0</v>
      </c>
      <c r="J962" s="218" t="s">
        <v>8770</v>
      </c>
    </row>
    <row r="963">
      <c r="A963" s="218" t="s">
        <v>9228</v>
      </c>
      <c r="B963" s="218">
        <v>1129.0</v>
      </c>
      <c r="C963" s="218">
        <v>2018.0</v>
      </c>
      <c r="D963" s="218">
        <v>107702.0</v>
      </c>
      <c r="E963" s="218" t="s">
        <v>8715</v>
      </c>
      <c r="F963" s="218" t="s">
        <v>8716</v>
      </c>
      <c r="G963" s="218">
        <v>1.0</v>
      </c>
      <c r="H963" s="218" t="s">
        <v>8769</v>
      </c>
      <c r="I963" s="218">
        <v>339037.0</v>
      </c>
      <c r="J963" s="218" t="s">
        <v>8770</v>
      </c>
    </row>
    <row r="964">
      <c r="A964" s="218" t="s">
        <v>9229</v>
      </c>
      <c r="B964" s="218">
        <v>1130.0</v>
      </c>
      <c r="C964" s="218">
        <v>2018.0</v>
      </c>
      <c r="D964" s="218">
        <v>107702.0</v>
      </c>
      <c r="E964" s="218" t="s">
        <v>8715</v>
      </c>
      <c r="F964" s="218" t="s">
        <v>8716</v>
      </c>
      <c r="G964" s="218">
        <v>1.0</v>
      </c>
      <c r="H964" s="218" t="s">
        <v>8769</v>
      </c>
      <c r="I964" s="218">
        <v>339037.0</v>
      </c>
      <c r="J964" s="218" t="s">
        <v>8770</v>
      </c>
    </row>
    <row r="965">
      <c r="A965" s="218" t="s">
        <v>9229</v>
      </c>
      <c r="B965" s="218">
        <v>1130.0</v>
      </c>
      <c r="C965" s="218">
        <v>2018.0</v>
      </c>
      <c r="D965" s="218">
        <v>107702.0</v>
      </c>
      <c r="E965" s="218" t="s">
        <v>8715</v>
      </c>
      <c r="F965" s="218" t="s">
        <v>8716</v>
      </c>
      <c r="G965" s="218">
        <v>2.0</v>
      </c>
      <c r="H965" s="218" t="s">
        <v>8748</v>
      </c>
      <c r="I965" s="218">
        <v>339037.0</v>
      </c>
      <c r="J965" s="218" t="s">
        <v>8770</v>
      </c>
    </row>
    <row r="966">
      <c r="A966" s="218" t="s">
        <v>9230</v>
      </c>
      <c r="B966" s="218">
        <v>1131.0</v>
      </c>
      <c r="C966" s="218">
        <v>2018.0</v>
      </c>
      <c r="D966" s="218">
        <v>107702.0</v>
      </c>
      <c r="E966" s="218" t="s">
        <v>8715</v>
      </c>
      <c r="F966" s="218" t="s">
        <v>8716</v>
      </c>
      <c r="G966" s="218">
        <v>5.0</v>
      </c>
      <c r="H966" s="218" t="s">
        <v>8800</v>
      </c>
      <c r="I966" s="218">
        <v>339037.0</v>
      </c>
      <c r="J966" s="218" t="s">
        <v>8770</v>
      </c>
    </row>
    <row r="967">
      <c r="A967" s="218" t="s">
        <v>9230</v>
      </c>
      <c r="B967" s="218">
        <v>1131.0</v>
      </c>
      <c r="C967" s="218">
        <v>2018.0</v>
      </c>
      <c r="D967" s="218">
        <v>107702.0</v>
      </c>
      <c r="E967" s="218" t="s">
        <v>8715</v>
      </c>
      <c r="F967" s="218" t="s">
        <v>8716</v>
      </c>
      <c r="G967" s="218">
        <v>2.0</v>
      </c>
      <c r="H967" s="218" t="s">
        <v>8748</v>
      </c>
      <c r="I967" s="218">
        <v>339037.0</v>
      </c>
      <c r="J967" s="218" t="s">
        <v>8770</v>
      </c>
    </row>
    <row r="968">
      <c r="A968" s="218" t="s">
        <v>9230</v>
      </c>
      <c r="B968" s="218">
        <v>1131.0</v>
      </c>
      <c r="C968" s="218">
        <v>2018.0</v>
      </c>
      <c r="D968" s="218">
        <v>107702.0</v>
      </c>
      <c r="E968" s="218" t="s">
        <v>8715</v>
      </c>
      <c r="F968" s="218" t="s">
        <v>8716</v>
      </c>
      <c r="G968" s="218">
        <v>1.0</v>
      </c>
      <c r="H968" s="218" t="s">
        <v>8769</v>
      </c>
      <c r="I968" s="218">
        <v>339037.0</v>
      </c>
      <c r="J968" s="218" t="s">
        <v>8770</v>
      </c>
    </row>
    <row r="969">
      <c r="A969" s="218" t="s">
        <v>9231</v>
      </c>
      <c r="B969" s="218">
        <v>1207.0</v>
      </c>
      <c r="C969" s="218">
        <v>2018.0</v>
      </c>
      <c r="D969" s="218">
        <v>107702.0</v>
      </c>
      <c r="E969" s="218" t="s">
        <v>8715</v>
      </c>
      <c r="F969" s="218" t="s">
        <v>8716</v>
      </c>
      <c r="G969" s="218">
        <v>7.0</v>
      </c>
      <c r="H969" s="218" t="s">
        <v>8915</v>
      </c>
      <c r="I969" s="218">
        <v>339030.0</v>
      </c>
      <c r="J969" s="218" t="s">
        <v>249</v>
      </c>
    </row>
    <row r="970">
      <c r="A970" s="218" t="s">
        <v>9232</v>
      </c>
      <c r="B970" s="218">
        <v>1177.0</v>
      </c>
      <c r="C970" s="218">
        <v>2018.0</v>
      </c>
      <c r="D970" s="218">
        <v>107702.0</v>
      </c>
      <c r="E970" s="218" t="s">
        <v>8715</v>
      </c>
      <c r="F970" s="218" t="s">
        <v>8716</v>
      </c>
      <c r="G970" s="218">
        <v>1.0</v>
      </c>
      <c r="H970" s="218" t="s">
        <v>8946</v>
      </c>
      <c r="I970" s="218">
        <v>339039.0</v>
      </c>
      <c r="J970" s="218" t="s">
        <v>8720</v>
      </c>
    </row>
    <row r="971">
      <c r="A971" s="218" t="s">
        <v>9233</v>
      </c>
      <c r="B971" s="218">
        <v>1176.0</v>
      </c>
      <c r="C971" s="218">
        <v>2018.0</v>
      </c>
      <c r="D971" s="218">
        <v>107702.0</v>
      </c>
      <c r="E971" s="218" t="s">
        <v>8715</v>
      </c>
      <c r="F971" s="218" t="s">
        <v>8716</v>
      </c>
      <c r="G971" s="218">
        <v>50.0</v>
      </c>
      <c r="H971" s="218" t="s">
        <v>8958</v>
      </c>
      <c r="I971" s="218">
        <v>339030.0</v>
      </c>
      <c r="J971" s="218" t="s">
        <v>249</v>
      </c>
    </row>
    <row r="972">
      <c r="A972" s="218" t="s">
        <v>9233</v>
      </c>
      <c r="B972" s="218">
        <v>1176.0</v>
      </c>
      <c r="C972" s="218">
        <v>2018.0</v>
      </c>
      <c r="D972" s="218">
        <v>107702.0</v>
      </c>
      <c r="E972" s="218" t="s">
        <v>8715</v>
      </c>
      <c r="F972" s="218" t="s">
        <v>8716</v>
      </c>
      <c r="G972" s="218">
        <v>50.0</v>
      </c>
      <c r="H972" s="218" t="s">
        <v>8958</v>
      </c>
      <c r="I972" s="218">
        <v>339030.0</v>
      </c>
      <c r="J972" s="218" t="s">
        <v>249</v>
      </c>
    </row>
    <row r="973">
      <c r="A973" s="218" t="s">
        <v>9234</v>
      </c>
      <c r="B973" s="218">
        <v>1188.0</v>
      </c>
      <c r="C973" s="218">
        <v>2018.0</v>
      </c>
      <c r="D973" s="218">
        <v>107702.0</v>
      </c>
      <c r="E973" s="218" t="s">
        <v>8715</v>
      </c>
      <c r="F973" s="218" t="s">
        <v>8716</v>
      </c>
      <c r="G973" s="218">
        <v>21.0</v>
      </c>
      <c r="H973" s="218" t="s">
        <v>8896</v>
      </c>
      <c r="I973" s="218">
        <v>339030.0</v>
      </c>
      <c r="J973" s="218" t="s">
        <v>249</v>
      </c>
    </row>
    <row r="974">
      <c r="A974" s="218" t="s">
        <v>9234</v>
      </c>
      <c r="B974" s="218">
        <v>1188.0</v>
      </c>
      <c r="C974" s="218">
        <v>2018.0</v>
      </c>
      <c r="D974" s="218">
        <v>107702.0</v>
      </c>
      <c r="E974" s="218" t="s">
        <v>8715</v>
      </c>
      <c r="F974" s="218" t="s">
        <v>8716</v>
      </c>
      <c r="G974" s="218">
        <v>21.0</v>
      </c>
      <c r="H974" s="218" t="s">
        <v>8896</v>
      </c>
      <c r="I974" s="218">
        <v>339030.0</v>
      </c>
      <c r="J974" s="218" t="s">
        <v>249</v>
      </c>
    </row>
    <row r="975">
      <c r="A975" s="218" t="s">
        <v>9235</v>
      </c>
      <c r="B975" s="218">
        <v>1225.0</v>
      </c>
      <c r="C975" s="218">
        <v>2018.0</v>
      </c>
      <c r="D975" s="218">
        <v>107703.0</v>
      </c>
      <c r="E975" s="218" t="s">
        <v>8999</v>
      </c>
      <c r="F975" s="218" t="s">
        <v>9000</v>
      </c>
      <c r="G975" s="218">
        <v>59.0</v>
      </c>
      <c r="H975" s="218" t="s">
        <v>9236</v>
      </c>
      <c r="I975" s="218">
        <v>339039.0</v>
      </c>
      <c r="J975" s="218" t="s">
        <v>8720</v>
      </c>
    </row>
    <row r="976">
      <c r="A976" s="218" t="s">
        <v>9237</v>
      </c>
      <c r="B976" s="218">
        <v>1187.0</v>
      </c>
      <c r="C976" s="218">
        <v>2018.0</v>
      </c>
      <c r="D976" s="218">
        <v>107702.0</v>
      </c>
      <c r="E976" s="218" t="s">
        <v>8715</v>
      </c>
      <c r="F976" s="218" t="s">
        <v>8716</v>
      </c>
      <c r="G976" s="218">
        <v>10.0</v>
      </c>
      <c r="H976" s="218" t="s">
        <v>8726</v>
      </c>
      <c r="I976" s="218">
        <v>339047.0</v>
      </c>
      <c r="J976" s="218" t="s">
        <v>8718</v>
      </c>
    </row>
    <row r="977">
      <c r="A977" s="218" t="s">
        <v>9238</v>
      </c>
      <c r="B977" s="218">
        <v>1196.0</v>
      </c>
      <c r="C977" s="218">
        <v>2018.0</v>
      </c>
      <c r="D977" s="218">
        <v>85048.0</v>
      </c>
      <c r="E977" s="218" t="s">
        <v>8968</v>
      </c>
      <c r="F977" s="218" t="s">
        <v>8969</v>
      </c>
      <c r="G977" s="218">
        <v>42.0</v>
      </c>
      <c r="H977" s="218" t="s">
        <v>8901</v>
      </c>
      <c r="I977" s="218">
        <v>449052.0</v>
      </c>
      <c r="J977" s="218" t="s">
        <v>362</v>
      </c>
    </row>
    <row r="978">
      <c r="A978" s="218" t="s">
        <v>288</v>
      </c>
      <c r="B978" s="218">
        <v>1292.0</v>
      </c>
      <c r="C978" s="218">
        <v>2018.0</v>
      </c>
      <c r="D978" s="218">
        <v>107702.0</v>
      </c>
      <c r="E978" s="218" t="s">
        <v>8715</v>
      </c>
      <c r="F978" s="218" t="s">
        <v>8716</v>
      </c>
      <c r="G978" s="218">
        <v>13.0</v>
      </c>
      <c r="H978" s="218" t="s">
        <v>8762</v>
      </c>
      <c r="I978" s="218">
        <v>339040.0</v>
      </c>
      <c r="J978" s="218" t="s">
        <v>136</v>
      </c>
    </row>
    <row r="979">
      <c r="A979" s="218" t="s">
        <v>9239</v>
      </c>
      <c r="B979" s="218">
        <v>1216.0</v>
      </c>
      <c r="C979" s="218">
        <v>2018.0</v>
      </c>
      <c r="D979" s="218">
        <v>85048.0</v>
      </c>
      <c r="E979" s="218" t="s">
        <v>8968</v>
      </c>
      <c r="F979" s="218" t="s">
        <v>8969</v>
      </c>
      <c r="G979" s="218">
        <v>48.0</v>
      </c>
      <c r="H979" s="218" t="s">
        <v>8970</v>
      </c>
      <c r="I979" s="218">
        <v>339039.0</v>
      </c>
      <c r="J979" s="218" t="s">
        <v>8720</v>
      </c>
    </row>
    <row r="980">
      <c r="A980" s="218" t="s">
        <v>9240</v>
      </c>
      <c r="B980" s="218">
        <v>1238.0</v>
      </c>
      <c r="C980" s="218">
        <v>2018.0</v>
      </c>
      <c r="D980" s="218">
        <v>107702.0</v>
      </c>
      <c r="E980" s="218" t="s">
        <v>8715</v>
      </c>
      <c r="F980" s="218" t="s">
        <v>8716</v>
      </c>
      <c r="G980" s="218">
        <v>17.0</v>
      </c>
      <c r="H980" s="218" t="s">
        <v>8825</v>
      </c>
      <c r="I980" s="218">
        <v>339039.0</v>
      </c>
      <c r="J980" s="218" t="s">
        <v>8720</v>
      </c>
    </row>
    <row r="981">
      <c r="A981" s="218" t="s">
        <v>9241</v>
      </c>
      <c r="B981" s="218">
        <v>1242.0</v>
      </c>
      <c r="C981" s="218">
        <v>2018.0</v>
      </c>
      <c r="D981" s="218">
        <v>107702.0</v>
      </c>
      <c r="E981" s="218" t="s">
        <v>8715</v>
      </c>
      <c r="F981" s="218" t="s">
        <v>8716</v>
      </c>
      <c r="G981" s="218">
        <v>35.0</v>
      </c>
      <c r="H981" s="218" t="s">
        <v>8913</v>
      </c>
      <c r="I981" s="218">
        <v>449052.0</v>
      </c>
      <c r="J981" s="218" t="s">
        <v>362</v>
      </c>
    </row>
    <row r="982">
      <c r="A982" s="218" t="s">
        <v>9241</v>
      </c>
      <c r="B982" s="218">
        <v>1264.0</v>
      </c>
      <c r="C982" s="218">
        <v>2018.0</v>
      </c>
      <c r="D982" s="218">
        <v>107702.0</v>
      </c>
      <c r="E982" s="218" t="s">
        <v>8715</v>
      </c>
      <c r="F982" s="218" t="s">
        <v>8716</v>
      </c>
      <c r="G982" s="218">
        <v>35.0</v>
      </c>
      <c r="H982" s="218" t="s">
        <v>8913</v>
      </c>
      <c r="I982" s="218">
        <v>449052.0</v>
      </c>
      <c r="J982" s="218" t="s">
        <v>362</v>
      </c>
    </row>
    <row r="983">
      <c r="A983" s="218" t="s">
        <v>9242</v>
      </c>
      <c r="B983" s="218">
        <v>1254.0</v>
      </c>
      <c r="C983" s="218">
        <v>2018.0</v>
      </c>
      <c r="D983" s="218">
        <v>107702.0</v>
      </c>
      <c r="E983" s="218" t="s">
        <v>8715</v>
      </c>
      <c r="F983" s="218" t="s">
        <v>8716</v>
      </c>
      <c r="G983" s="218">
        <v>28.0</v>
      </c>
      <c r="H983" s="218" t="s">
        <v>8906</v>
      </c>
      <c r="I983" s="218">
        <v>339030.0</v>
      </c>
      <c r="J983" s="218" t="s">
        <v>249</v>
      </c>
    </row>
    <row r="984">
      <c r="A984" s="218" t="s">
        <v>9242</v>
      </c>
      <c r="B984" s="218">
        <v>1254.0</v>
      </c>
      <c r="C984" s="218">
        <v>2018.0</v>
      </c>
      <c r="D984" s="218">
        <v>107702.0</v>
      </c>
      <c r="E984" s="218" t="s">
        <v>8715</v>
      </c>
      <c r="F984" s="218" t="s">
        <v>8716</v>
      </c>
      <c r="G984" s="218">
        <v>28.0</v>
      </c>
      <c r="H984" s="218" t="s">
        <v>8906</v>
      </c>
      <c r="I984" s="218">
        <v>339030.0</v>
      </c>
      <c r="J984" s="218" t="s">
        <v>249</v>
      </c>
    </row>
    <row r="985">
      <c r="A985" s="218" t="s">
        <v>9242</v>
      </c>
      <c r="B985" s="218">
        <v>1255.0</v>
      </c>
      <c r="C985" s="218">
        <v>2018.0</v>
      </c>
      <c r="D985" s="218">
        <v>107702.0</v>
      </c>
      <c r="E985" s="218" t="s">
        <v>8715</v>
      </c>
      <c r="F985" s="218" t="s">
        <v>8716</v>
      </c>
      <c r="G985" s="218">
        <v>28.0</v>
      </c>
      <c r="H985" s="218" t="s">
        <v>8906</v>
      </c>
      <c r="I985" s="218">
        <v>339030.0</v>
      </c>
      <c r="J985" s="218" t="s">
        <v>249</v>
      </c>
    </row>
    <row r="986">
      <c r="A986" s="218" t="s">
        <v>9242</v>
      </c>
      <c r="B986" s="218">
        <v>1255.0</v>
      </c>
      <c r="C986" s="218">
        <v>2018.0</v>
      </c>
      <c r="D986" s="218">
        <v>107702.0</v>
      </c>
      <c r="E986" s="218" t="s">
        <v>8715</v>
      </c>
      <c r="F986" s="218" t="s">
        <v>8716</v>
      </c>
      <c r="G986" s="218">
        <v>28.0</v>
      </c>
      <c r="H986" s="218" t="s">
        <v>8906</v>
      </c>
      <c r="I986" s="218">
        <v>339030.0</v>
      </c>
      <c r="J986" s="218" t="s">
        <v>249</v>
      </c>
    </row>
    <row r="987">
      <c r="A987" s="218" t="s">
        <v>9243</v>
      </c>
      <c r="B987" s="218">
        <v>1251.0</v>
      </c>
      <c r="C987" s="218">
        <v>2018.0</v>
      </c>
      <c r="D987" s="218">
        <v>85048.0</v>
      </c>
      <c r="E987" s="218" t="s">
        <v>8968</v>
      </c>
      <c r="F987" s="218" t="s">
        <v>8969</v>
      </c>
      <c r="G987" s="218">
        <v>48.0</v>
      </c>
      <c r="H987" s="218" t="s">
        <v>8970</v>
      </c>
      <c r="I987" s="218">
        <v>339039.0</v>
      </c>
      <c r="J987" s="218" t="s">
        <v>8720</v>
      </c>
    </row>
    <row r="988">
      <c r="A988" s="218" t="s">
        <v>9244</v>
      </c>
      <c r="B988" s="218">
        <v>1343.0</v>
      </c>
      <c r="C988" s="218">
        <v>2018.0</v>
      </c>
      <c r="D988" s="218">
        <v>107702.0</v>
      </c>
      <c r="E988" s="218" t="s">
        <v>8715</v>
      </c>
      <c r="F988" s="218" t="s">
        <v>8716</v>
      </c>
      <c r="G988" s="218">
        <v>50.0</v>
      </c>
      <c r="H988" s="218" t="s">
        <v>9130</v>
      </c>
      <c r="I988" s="218">
        <v>339039.0</v>
      </c>
      <c r="J988" s="218" t="s">
        <v>8720</v>
      </c>
    </row>
    <row r="989">
      <c r="A989" s="218" t="s">
        <v>9245</v>
      </c>
      <c r="B989" s="218">
        <v>1286.0</v>
      </c>
      <c r="C989" s="218">
        <v>2018.0</v>
      </c>
      <c r="D989" s="218">
        <v>107702.0</v>
      </c>
      <c r="E989" s="218" t="s">
        <v>8715</v>
      </c>
      <c r="F989" s="218" t="s">
        <v>8716</v>
      </c>
      <c r="G989" s="218">
        <v>37.0</v>
      </c>
      <c r="H989" s="218" t="s">
        <v>9246</v>
      </c>
      <c r="I989" s="218">
        <v>449052.0</v>
      </c>
      <c r="J989" s="218" t="s">
        <v>362</v>
      </c>
    </row>
    <row r="990">
      <c r="A990" s="218" t="s">
        <v>9245</v>
      </c>
      <c r="B990" s="218">
        <v>1286.0</v>
      </c>
      <c r="C990" s="218">
        <v>2018.0</v>
      </c>
      <c r="D990" s="218">
        <v>107702.0</v>
      </c>
      <c r="E990" s="218" t="s">
        <v>8715</v>
      </c>
      <c r="F990" s="218" t="s">
        <v>8716</v>
      </c>
      <c r="G990" s="218">
        <v>37.0</v>
      </c>
      <c r="H990" s="218" t="s">
        <v>9246</v>
      </c>
      <c r="I990" s="218">
        <v>449052.0</v>
      </c>
      <c r="J990" s="218" t="s">
        <v>362</v>
      </c>
    </row>
    <row r="991">
      <c r="A991" s="218" t="s">
        <v>9245</v>
      </c>
      <c r="B991" s="218">
        <v>1287.0</v>
      </c>
      <c r="C991" s="218">
        <v>2018.0</v>
      </c>
      <c r="D991" s="218">
        <v>107702.0</v>
      </c>
      <c r="E991" s="218" t="s">
        <v>8715</v>
      </c>
      <c r="F991" s="218" t="s">
        <v>8716</v>
      </c>
      <c r="G991" s="218">
        <v>5.0</v>
      </c>
      <c r="H991" s="218" t="s">
        <v>8877</v>
      </c>
      <c r="I991" s="218">
        <v>449040.0</v>
      </c>
      <c r="J991" s="218" t="s">
        <v>8837</v>
      </c>
    </row>
    <row r="992">
      <c r="A992" s="218" t="s">
        <v>9245</v>
      </c>
      <c r="B992" s="218">
        <v>1288.0</v>
      </c>
      <c r="C992" s="218">
        <v>2018.0</v>
      </c>
      <c r="D992" s="218">
        <v>107702.0</v>
      </c>
      <c r="E992" s="218" t="s">
        <v>8715</v>
      </c>
      <c r="F992" s="218" t="s">
        <v>8716</v>
      </c>
      <c r="G992" s="218">
        <v>20.0</v>
      </c>
      <c r="H992" s="218" t="s">
        <v>8926</v>
      </c>
      <c r="I992" s="218">
        <v>339040.0</v>
      </c>
      <c r="J992" s="218" t="s">
        <v>136</v>
      </c>
    </row>
    <row r="993">
      <c r="A993" s="218" t="s">
        <v>9245</v>
      </c>
      <c r="B993" s="218">
        <v>1287.0</v>
      </c>
      <c r="C993" s="218">
        <v>2018.0</v>
      </c>
      <c r="D993" s="218">
        <v>107702.0</v>
      </c>
      <c r="E993" s="218" t="s">
        <v>8715</v>
      </c>
      <c r="F993" s="218" t="s">
        <v>8716</v>
      </c>
      <c r="G993" s="218">
        <v>5.0</v>
      </c>
      <c r="H993" s="218" t="s">
        <v>8877</v>
      </c>
      <c r="I993" s="218">
        <v>449040.0</v>
      </c>
      <c r="J993" s="218" t="s">
        <v>8837</v>
      </c>
    </row>
    <row r="994">
      <c r="A994" s="218" t="s">
        <v>9245</v>
      </c>
      <c r="B994" s="218">
        <v>1288.0</v>
      </c>
      <c r="C994" s="218">
        <v>2018.0</v>
      </c>
      <c r="D994" s="218">
        <v>107702.0</v>
      </c>
      <c r="E994" s="218" t="s">
        <v>8715</v>
      </c>
      <c r="F994" s="218" t="s">
        <v>8716</v>
      </c>
      <c r="G994" s="218">
        <v>22.0</v>
      </c>
      <c r="H994" s="218" t="s">
        <v>9184</v>
      </c>
      <c r="I994" s="218">
        <v>339040.0</v>
      </c>
      <c r="J994" s="218" t="s">
        <v>136</v>
      </c>
    </row>
    <row r="995">
      <c r="A995" s="218" t="s">
        <v>9245</v>
      </c>
      <c r="B995" s="218">
        <v>1287.0</v>
      </c>
      <c r="C995" s="218">
        <v>2018.0</v>
      </c>
      <c r="D995" s="218">
        <v>107702.0</v>
      </c>
      <c r="E995" s="218" t="s">
        <v>8715</v>
      </c>
      <c r="F995" s="218" t="s">
        <v>8716</v>
      </c>
      <c r="G995" s="218">
        <v>5.0</v>
      </c>
      <c r="H995" s="218" t="s">
        <v>8877</v>
      </c>
      <c r="I995" s="218">
        <v>449040.0</v>
      </c>
      <c r="J995" s="218" t="s">
        <v>8837</v>
      </c>
    </row>
    <row r="996">
      <c r="A996" s="218" t="s">
        <v>9247</v>
      </c>
      <c r="B996" s="218">
        <v>1342.0</v>
      </c>
      <c r="C996" s="218">
        <v>2018.0</v>
      </c>
      <c r="D996" s="218">
        <v>107702.0</v>
      </c>
      <c r="E996" s="218" t="s">
        <v>8715</v>
      </c>
      <c r="F996" s="218" t="s">
        <v>8716</v>
      </c>
      <c r="G996" s="218">
        <v>5.0</v>
      </c>
      <c r="H996" s="218" t="s">
        <v>8859</v>
      </c>
      <c r="I996" s="218">
        <v>339039.0</v>
      </c>
      <c r="J996" s="218" t="s">
        <v>8720</v>
      </c>
    </row>
  </sheetData>
  <autoFilter ref="$A$1:$S$5850">
    <sortState ref="A1:S5850">
      <sortCondition ref="A1:A5850"/>
    </sortState>
  </autoFil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2" max="2" width="53.88"/>
    <col customWidth="1" min="3" max="3" width="25.0"/>
    <col customWidth="1" min="4" max="4" width="35.63"/>
  </cols>
  <sheetData>
    <row r="1">
      <c r="A1" s="218">
        <v>168105.0</v>
      </c>
      <c r="B1" s="218" t="s">
        <v>134</v>
      </c>
      <c r="C1" s="218" t="s">
        <v>9248</v>
      </c>
    </row>
    <row r="2">
      <c r="A2" s="218">
        <v>168107.0</v>
      </c>
      <c r="B2" s="218" t="s">
        <v>159</v>
      </c>
      <c r="C2" s="218" t="s">
        <v>9249</v>
      </c>
    </row>
    <row r="395">
      <c r="D395" s="432"/>
    </row>
    <row r="396">
      <c r="D396" s="432"/>
    </row>
    <row r="397">
      <c r="D397" s="432"/>
    </row>
    <row r="518">
      <c r="D518" s="432"/>
    </row>
    <row r="523">
      <c r="D523" s="432"/>
    </row>
    <row r="669">
      <c r="D669" s="432"/>
    </row>
    <row r="670">
      <c r="D670" s="432"/>
    </row>
    <row r="671">
      <c r="D671" s="432"/>
    </row>
    <row r="673">
      <c r="D673" s="432"/>
    </row>
    <row r="674">
      <c r="D674" s="432"/>
    </row>
    <row r="676">
      <c r="D676" s="432"/>
    </row>
    <row r="792">
      <c r="D792" s="432"/>
    </row>
    <row r="799">
      <c r="D799" s="432"/>
    </row>
    <row r="800">
      <c r="D800" s="432"/>
    </row>
    <row r="806">
      <c r="D806" s="432"/>
    </row>
    <row r="830">
      <c r="D830" s="222"/>
    </row>
    <row r="831">
      <c r="D831" s="222"/>
    </row>
    <row r="835">
      <c r="D835" s="432"/>
    </row>
    <row r="841">
      <c r="D841" s="432"/>
    </row>
    <row r="842">
      <c r="D842" s="432"/>
    </row>
    <row r="843">
      <c r="D843" s="432"/>
    </row>
    <row r="844">
      <c r="D844" s="432"/>
    </row>
    <row r="848">
      <c r="D848" s="432"/>
    </row>
    <row r="921">
      <c r="D921" s="432"/>
    </row>
    <row r="922">
      <c r="D922" s="432"/>
    </row>
    <row r="948">
      <c r="D948" s="222"/>
    </row>
    <row r="950">
      <c r="D950" s="222"/>
    </row>
  </sheetData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2" max="2" width="53.88"/>
    <col customWidth="1" min="3" max="3" width="25.0"/>
    <col customWidth="1" min="4" max="4" width="35.63"/>
  </cols>
  <sheetData>
    <row r="1">
      <c r="A1" s="218" t="s">
        <v>9250</v>
      </c>
    </row>
    <row r="2">
      <c r="A2" s="218" t="s">
        <v>9251</v>
      </c>
    </row>
    <row r="3">
      <c r="A3" s="218" t="s">
        <v>9252</v>
      </c>
    </row>
    <row r="4">
      <c r="A4" s="218" t="s">
        <v>880</v>
      </c>
    </row>
    <row r="5">
      <c r="A5" s="218" t="s">
        <v>885</v>
      </c>
    </row>
    <row r="395">
      <c r="D395" s="432"/>
    </row>
    <row r="396">
      <c r="D396" s="432"/>
    </row>
    <row r="397">
      <c r="D397" s="432"/>
    </row>
    <row r="518">
      <c r="D518" s="432"/>
    </row>
    <row r="523">
      <c r="D523" s="432"/>
    </row>
    <row r="669">
      <c r="D669" s="432"/>
    </row>
    <row r="670">
      <c r="D670" s="432"/>
    </row>
    <row r="671">
      <c r="D671" s="432"/>
    </row>
    <row r="673">
      <c r="D673" s="432"/>
    </row>
    <row r="674">
      <c r="D674" s="432"/>
    </row>
    <row r="676">
      <c r="D676" s="432"/>
    </row>
    <row r="792">
      <c r="D792" s="432"/>
    </row>
    <row r="799">
      <c r="D799" s="432"/>
    </row>
    <row r="800">
      <c r="D800" s="432"/>
    </row>
    <row r="806">
      <c r="D806" s="432"/>
    </row>
    <row r="830">
      <c r="D830" s="222"/>
    </row>
    <row r="831">
      <c r="D831" s="222"/>
    </row>
    <row r="835">
      <c r="D835" s="432"/>
    </row>
    <row r="841">
      <c r="D841" s="432"/>
    </row>
    <row r="842">
      <c r="D842" s="432"/>
    </row>
    <row r="843">
      <c r="D843" s="432"/>
    </row>
    <row r="844">
      <c r="D844" s="432"/>
    </row>
    <row r="848">
      <c r="D848" s="432"/>
    </row>
    <row r="921">
      <c r="D921" s="432"/>
    </row>
    <row r="922">
      <c r="D922" s="432"/>
    </row>
    <row r="948">
      <c r="D948" s="222"/>
    </row>
    <row r="950">
      <c r="D950" s="222"/>
    </row>
  </sheetData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4.25"/>
    <col customWidth="1" min="3" max="3" width="73.75"/>
  </cols>
  <sheetData>
    <row r="1">
      <c r="C1" s="235"/>
    </row>
    <row r="2">
      <c r="B2" s="433" t="s">
        <v>9253</v>
      </c>
      <c r="C2" s="390" t="s">
        <v>9254</v>
      </c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</row>
    <row r="3">
      <c r="B3" s="434" t="s">
        <v>8861</v>
      </c>
      <c r="C3" s="435" t="s">
        <v>9255</v>
      </c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</row>
    <row r="4">
      <c r="B4" s="434" t="s">
        <v>8876</v>
      </c>
      <c r="C4" s="435" t="s">
        <v>9256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</row>
    <row r="5">
      <c r="B5" s="434" t="s">
        <v>8853</v>
      </c>
      <c r="C5" s="435" t="s">
        <v>9257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</row>
    <row r="6">
      <c r="B6" s="434" t="s">
        <v>8884</v>
      </c>
      <c r="C6" s="435" t="s">
        <v>9258</v>
      </c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</row>
    <row r="7">
      <c r="B7" s="434" t="s">
        <v>8974</v>
      </c>
      <c r="C7" s="435" t="s">
        <v>9259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</row>
    <row r="8">
      <c r="B8" s="434" t="s">
        <v>184</v>
      </c>
      <c r="C8" s="435" t="s">
        <v>9260</v>
      </c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</row>
    <row r="9">
      <c r="B9" s="434" t="s">
        <v>440</v>
      </c>
      <c r="C9" s="435" t="s">
        <v>9261</v>
      </c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</row>
    <row r="10">
      <c r="B10" s="434" t="s">
        <v>8828</v>
      </c>
      <c r="C10" s="435" t="s">
        <v>9262</v>
      </c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</row>
    <row r="11">
      <c r="B11" s="434" t="s">
        <v>229</v>
      </c>
      <c r="C11" s="435" t="s">
        <v>9263</v>
      </c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</row>
    <row r="12">
      <c r="B12" s="434" t="s">
        <v>8836</v>
      </c>
      <c r="C12" s="435" t="s">
        <v>9264</v>
      </c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</row>
    <row r="13">
      <c r="B13" s="434" t="s">
        <v>260</v>
      </c>
      <c r="C13" s="435" t="s">
        <v>9265</v>
      </c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</row>
    <row r="14">
      <c r="B14" s="292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</row>
    <row r="15">
      <c r="B15" s="292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</row>
    <row r="16">
      <c r="B16" s="292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</row>
    <row r="17">
      <c r="B17" s="292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</row>
    <row r="18">
      <c r="B18" s="292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</row>
    <row r="19">
      <c r="B19" s="292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</row>
    <row r="20">
      <c r="B20" s="292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</row>
    <row r="21">
      <c r="B21" s="292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</row>
    <row r="22">
      <c r="B22" s="292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</row>
    <row r="23">
      <c r="B23" s="292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</row>
    <row r="24">
      <c r="B24" s="292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</row>
    <row r="25">
      <c r="B25" s="292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</row>
    <row r="26">
      <c r="B26" s="292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</row>
    <row r="27">
      <c r="B27" s="292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</row>
    <row r="28">
      <c r="B28" s="292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</row>
    <row r="29">
      <c r="B29" s="292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</row>
    <row r="30">
      <c r="B30" s="292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</row>
    <row r="31">
      <c r="B31" s="292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</row>
    <row r="32">
      <c r="B32" s="292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</row>
    <row r="33">
      <c r="B33" s="292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</row>
    <row r="34">
      <c r="B34" s="292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</row>
    <row r="35">
      <c r="B35" s="292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</row>
    <row r="36">
      <c r="B36" s="292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</row>
    <row r="37">
      <c r="B37" s="292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</row>
    <row r="38">
      <c r="B38" s="292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</row>
    <row r="39">
      <c r="B39" s="292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</row>
    <row r="40">
      <c r="B40" s="292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</row>
    <row r="41">
      <c r="B41" s="292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</row>
    <row r="42">
      <c r="B42" s="292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</row>
    <row r="43">
      <c r="B43" s="292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</row>
    <row r="44">
      <c r="B44" s="292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</row>
    <row r="45">
      <c r="B45" s="292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</row>
    <row r="46">
      <c r="B46" s="292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</row>
    <row r="47">
      <c r="B47" s="292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</row>
    <row r="48">
      <c r="B48" s="292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</row>
    <row r="49">
      <c r="B49" s="292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</row>
    <row r="50">
      <c r="B50" s="292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</row>
    <row r="51">
      <c r="B51" s="292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</row>
    <row r="52">
      <c r="B52" s="292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</row>
    <row r="53">
      <c r="B53" s="292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</row>
    <row r="54">
      <c r="B54" s="292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</row>
    <row r="55">
      <c r="B55" s="292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</row>
    <row r="56">
      <c r="B56" s="292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</row>
    <row r="57">
      <c r="B57" s="292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</row>
    <row r="58">
      <c r="B58" s="292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</row>
    <row r="59">
      <c r="B59" s="292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</row>
    <row r="60">
      <c r="B60" s="292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</row>
    <row r="61">
      <c r="B61" s="292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</row>
    <row r="62">
      <c r="B62" s="292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</row>
    <row r="63">
      <c r="B63" s="292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</row>
    <row r="64">
      <c r="B64" s="292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</row>
    <row r="65">
      <c r="B65" s="292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</row>
    <row r="66">
      <c r="B66" s="292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</row>
    <row r="67">
      <c r="B67" s="292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</row>
    <row r="68">
      <c r="B68" s="292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</row>
    <row r="69">
      <c r="B69" s="292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</row>
    <row r="70">
      <c r="B70" s="292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</row>
    <row r="71">
      <c r="B71" s="292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</row>
    <row r="72">
      <c r="B72" s="292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</row>
    <row r="73">
      <c r="B73" s="292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</row>
    <row r="74">
      <c r="B74" s="292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</row>
    <row r="75">
      <c r="B75" s="292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</row>
    <row r="76">
      <c r="B76" s="292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</row>
    <row r="77">
      <c r="B77" s="292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</row>
    <row r="78">
      <c r="B78" s="292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</row>
    <row r="79">
      <c r="B79" s="292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</row>
    <row r="80">
      <c r="B80" s="292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</row>
    <row r="81">
      <c r="B81" s="292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</row>
    <row r="82">
      <c r="B82" s="292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</row>
    <row r="83">
      <c r="B83" s="292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</row>
    <row r="84">
      <c r="B84" s="292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</row>
    <row r="85">
      <c r="B85" s="292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</row>
    <row r="86">
      <c r="B86" s="292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</row>
    <row r="87">
      <c r="B87" s="292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</row>
    <row r="88">
      <c r="B88" s="292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</row>
    <row r="89">
      <c r="B89" s="292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</row>
    <row r="90">
      <c r="B90" s="292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</row>
    <row r="91">
      <c r="B91" s="292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</row>
    <row r="92">
      <c r="B92" s="292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</row>
    <row r="93">
      <c r="B93" s="292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</row>
    <row r="94">
      <c r="B94" s="292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</row>
    <row r="95">
      <c r="B95" s="292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</row>
    <row r="96">
      <c r="B96" s="292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</row>
    <row r="97">
      <c r="B97" s="292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</row>
    <row r="98">
      <c r="B98" s="292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</row>
    <row r="99">
      <c r="B99" s="292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</row>
    <row r="100">
      <c r="B100" s="292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</row>
    <row r="101">
      <c r="B101" s="292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</row>
    <row r="102">
      <c r="B102" s="292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</row>
    <row r="103">
      <c r="B103" s="292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</row>
    <row r="104">
      <c r="B104" s="292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</row>
    <row r="105">
      <c r="B105" s="292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</row>
    <row r="106">
      <c r="B106" s="292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</row>
    <row r="107">
      <c r="B107" s="292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</row>
    <row r="108">
      <c r="B108" s="292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</row>
    <row r="109">
      <c r="B109" s="292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</row>
    <row r="110">
      <c r="B110" s="292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</row>
    <row r="111">
      <c r="B111" s="292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</row>
    <row r="112">
      <c r="B112" s="292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</row>
    <row r="113">
      <c r="B113" s="292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</row>
    <row r="114">
      <c r="B114" s="292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</row>
    <row r="115">
      <c r="B115" s="292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</row>
    <row r="116">
      <c r="B116" s="292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</row>
    <row r="117">
      <c r="B117" s="292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</row>
    <row r="118">
      <c r="B118" s="292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</row>
    <row r="119">
      <c r="B119" s="292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</row>
    <row r="120">
      <c r="B120" s="292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</row>
    <row r="121">
      <c r="B121" s="292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</row>
    <row r="122">
      <c r="B122" s="292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</row>
    <row r="123">
      <c r="B123" s="292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</row>
    <row r="124">
      <c r="B124" s="292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</row>
    <row r="125">
      <c r="B125" s="292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</row>
    <row r="126">
      <c r="B126" s="292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</row>
    <row r="127">
      <c r="B127" s="292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</row>
    <row r="128">
      <c r="B128" s="292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</row>
    <row r="129">
      <c r="B129" s="292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</row>
    <row r="130">
      <c r="B130" s="292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</row>
    <row r="131">
      <c r="B131" s="292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</row>
    <row r="132">
      <c r="B132" s="292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</row>
    <row r="133">
      <c r="B133" s="292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</row>
    <row r="134">
      <c r="B134" s="292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</row>
    <row r="135">
      <c r="B135" s="292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</row>
    <row r="136">
      <c r="B136" s="292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</row>
    <row r="137">
      <c r="B137" s="292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</row>
    <row r="138">
      <c r="B138" s="292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</row>
    <row r="139">
      <c r="B139" s="292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</row>
    <row r="140">
      <c r="B140" s="292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</row>
    <row r="141">
      <c r="B141" s="292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</row>
    <row r="142">
      <c r="B142" s="292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</row>
    <row r="143">
      <c r="B143" s="292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</row>
    <row r="144">
      <c r="B144" s="292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</row>
    <row r="145">
      <c r="B145" s="292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</row>
    <row r="146">
      <c r="B146" s="292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</row>
    <row r="147">
      <c r="B147" s="292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</row>
    <row r="148">
      <c r="B148" s="292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</row>
    <row r="149">
      <c r="B149" s="292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</row>
    <row r="150">
      <c r="B150" s="292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</row>
    <row r="151">
      <c r="B151" s="292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</row>
    <row r="152">
      <c r="B152" s="292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</row>
    <row r="153">
      <c r="B153" s="292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</row>
    <row r="154">
      <c r="B154" s="292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</row>
    <row r="155">
      <c r="B155" s="292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</row>
    <row r="156">
      <c r="B156" s="292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</row>
    <row r="157">
      <c r="B157" s="292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</row>
    <row r="158">
      <c r="B158" s="292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</row>
    <row r="159">
      <c r="B159" s="292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</row>
    <row r="160">
      <c r="B160" s="292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</row>
    <row r="161">
      <c r="B161" s="292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</row>
    <row r="162">
      <c r="B162" s="292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</row>
    <row r="163">
      <c r="B163" s="292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</row>
    <row r="164">
      <c r="B164" s="292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</row>
    <row r="165">
      <c r="B165" s="292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</row>
    <row r="166">
      <c r="B166" s="292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</row>
    <row r="167">
      <c r="B167" s="292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</row>
    <row r="168">
      <c r="B168" s="292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</row>
    <row r="169">
      <c r="B169" s="292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</row>
    <row r="170">
      <c r="B170" s="292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</row>
    <row r="171">
      <c r="B171" s="292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</row>
    <row r="172">
      <c r="B172" s="292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</row>
    <row r="173">
      <c r="B173" s="292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</row>
    <row r="174">
      <c r="B174" s="292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</row>
    <row r="175">
      <c r="B175" s="292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</row>
    <row r="176">
      <c r="B176" s="292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</row>
    <row r="177">
      <c r="B177" s="292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</row>
    <row r="178">
      <c r="B178" s="292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</row>
    <row r="179">
      <c r="B179" s="292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</row>
    <row r="180">
      <c r="B180" s="292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</row>
    <row r="181">
      <c r="B181" s="292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</row>
    <row r="182">
      <c r="B182" s="292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</row>
    <row r="183">
      <c r="B183" s="292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</row>
    <row r="184">
      <c r="B184" s="292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</row>
    <row r="185">
      <c r="B185" s="292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</row>
    <row r="186">
      <c r="B186" s="292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</row>
    <row r="187">
      <c r="B187" s="292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</row>
    <row r="188">
      <c r="B188" s="292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</row>
    <row r="189">
      <c r="B189" s="292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</row>
    <row r="190">
      <c r="B190" s="292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</row>
    <row r="191">
      <c r="B191" s="292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</row>
    <row r="192">
      <c r="B192" s="292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</row>
    <row r="193">
      <c r="B193" s="292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</row>
    <row r="194">
      <c r="B194" s="292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</row>
    <row r="195">
      <c r="B195" s="292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</row>
    <row r="196">
      <c r="B196" s="292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</row>
    <row r="197">
      <c r="B197" s="292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</row>
    <row r="198">
      <c r="B198" s="292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</row>
    <row r="199">
      <c r="B199" s="292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</row>
    <row r="200">
      <c r="B200" s="292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</row>
    <row r="201">
      <c r="B201" s="292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</row>
    <row r="202">
      <c r="B202" s="292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</row>
    <row r="203">
      <c r="B203" s="292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</row>
    <row r="204">
      <c r="B204" s="292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</row>
    <row r="205">
      <c r="B205" s="292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</row>
    <row r="206">
      <c r="B206" s="292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</row>
    <row r="207">
      <c r="B207" s="292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</row>
    <row r="208">
      <c r="B208" s="292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</row>
    <row r="209">
      <c r="B209" s="292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</row>
    <row r="210">
      <c r="B210" s="292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</row>
    <row r="211">
      <c r="B211" s="292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</row>
    <row r="212">
      <c r="B212" s="292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</row>
    <row r="213">
      <c r="B213" s="292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</row>
    <row r="214">
      <c r="B214" s="292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</row>
    <row r="215">
      <c r="B215" s="292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</row>
    <row r="216">
      <c r="B216" s="292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</row>
    <row r="217">
      <c r="B217" s="292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</row>
    <row r="218">
      <c r="B218" s="292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</row>
    <row r="219">
      <c r="B219" s="292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</row>
    <row r="220">
      <c r="B220" s="292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</row>
    <row r="221">
      <c r="B221" s="292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</row>
    <row r="222">
      <c r="B222" s="292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</row>
    <row r="223">
      <c r="B223" s="292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</row>
    <row r="224">
      <c r="B224" s="292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</row>
    <row r="225">
      <c r="B225" s="292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</row>
    <row r="226">
      <c r="B226" s="292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</row>
    <row r="227">
      <c r="B227" s="292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</row>
    <row r="228">
      <c r="B228" s="292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</row>
    <row r="229">
      <c r="B229" s="292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</row>
    <row r="230">
      <c r="B230" s="292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</row>
    <row r="231">
      <c r="B231" s="292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</row>
    <row r="232">
      <c r="B232" s="292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</row>
    <row r="233">
      <c r="B233" s="292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</row>
    <row r="234">
      <c r="B234" s="292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</row>
    <row r="235">
      <c r="B235" s="292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</row>
    <row r="236">
      <c r="B236" s="292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</row>
    <row r="237">
      <c r="B237" s="292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</row>
    <row r="238">
      <c r="B238" s="292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</row>
    <row r="239">
      <c r="B239" s="292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</row>
    <row r="240">
      <c r="B240" s="292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</row>
    <row r="241">
      <c r="B241" s="292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</row>
    <row r="242">
      <c r="B242" s="292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</row>
    <row r="243">
      <c r="B243" s="292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</row>
    <row r="244">
      <c r="B244" s="292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</row>
    <row r="245">
      <c r="B245" s="292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</row>
    <row r="246">
      <c r="B246" s="292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</row>
    <row r="247">
      <c r="B247" s="292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</row>
    <row r="248">
      <c r="B248" s="292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</row>
    <row r="249">
      <c r="B249" s="292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</row>
    <row r="250">
      <c r="B250" s="292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</row>
    <row r="251">
      <c r="B251" s="292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</row>
    <row r="252">
      <c r="B252" s="292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</row>
    <row r="253">
      <c r="B253" s="292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</row>
    <row r="254">
      <c r="B254" s="292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</row>
    <row r="255">
      <c r="B255" s="292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</row>
    <row r="256">
      <c r="B256" s="292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</row>
    <row r="257">
      <c r="B257" s="292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</row>
    <row r="258">
      <c r="B258" s="292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</row>
    <row r="259">
      <c r="B259" s="292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</row>
    <row r="260">
      <c r="B260" s="292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</row>
    <row r="261">
      <c r="B261" s="292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</row>
    <row r="262">
      <c r="B262" s="292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</row>
    <row r="263">
      <c r="B263" s="292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</row>
    <row r="264">
      <c r="B264" s="292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</row>
    <row r="265">
      <c r="B265" s="292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</row>
    <row r="266">
      <c r="B266" s="292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</row>
    <row r="267">
      <c r="B267" s="292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</row>
    <row r="268">
      <c r="B268" s="292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81"/>
      <c r="P268" s="181"/>
    </row>
    <row r="269">
      <c r="B269" s="292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81"/>
      <c r="P269" s="181"/>
    </row>
    <row r="270">
      <c r="B270" s="292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</row>
    <row r="271">
      <c r="B271" s="292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</row>
    <row r="272">
      <c r="B272" s="292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</row>
    <row r="273">
      <c r="B273" s="292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</row>
    <row r="274">
      <c r="B274" s="292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81"/>
      <c r="P274" s="181"/>
    </row>
    <row r="275">
      <c r="B275" s="292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</row>
    <row r="276">
      <c r="B276" s="292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81"/>
      <c r="P276" s="181"/>
    </row>
    <row r="277">
      <c r="B277" s="292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</row>
    <row r="278">
      <c r="B278" s="292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</row>
    <row r="279">
      <c r="B279" s="292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</row>
    <row r="280">
      <c r="B280" s="292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81"/>
      <c r="P280" s="181"/>
    </row>
    <row r="281">
      <c r="B281" s="292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</row>
    <row r="282">
      <c r="B282" s="292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81"/>
      <c r="P282" s="181"/>
    </row>
    <row r="283">
      <c r="B283" s="292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</row>
    <row r="284">
      <c r="B284" s="292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1"/>
      <c r="P284" s="181"/>
    </row>
    <row r="285">
      <c r="B285" s="292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1"/>
      <c r="P285" s="181"/>
    </row>
    <row r="286">
      <c r="B286" s="292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1"/>
      <c r="P286" s="181"/>
    </row>
    <row r="287">
      <c r="B287" s="292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</row>
    <row r="288">
      <c r="B288" s="292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</row>
    <row r="289">
      <c r="B289" s="292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1"/>
      <c r="P289" s="181"/>
    </row>
    <row r="290">
      <c r="B290" s="292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1"/>
      <c r="P290" s="181"/>
    </row>
    <row r="291">
      <c r="B291" s="292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1"/>
      <c r="P291" s="181"/>
    </row>
    <row r="292">
      <c r="B292" s="292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1"/>
      <c r="P292" s="181"/>
    </row>
    <row r="293">
      <c r="B293" s="292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1"/>
      <c r="P293" s="181"/>
    </row>
    <row r="294">
      <c r="B294" s="292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</row>
    <row r="295">
      <c r="B295" s="292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</row>
    <row r="296">
      <c r="B296" s="292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</row>
    <row r="297">
      <c r="B297" s="292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</row>
    <row r="298">
      <c r="B298" s="292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81"/>
      <c r="P298" s="181"/>
    </row>
    <row r="299">
      <c r="B299" s="292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81"/>
      <c r="P299" s="181"/>
    </row>
    <row r="300">
      <c r="B300" s="292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</row>
    <row r="301">
      <c r="B301" s="292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</row>
    <row r="302">
      <c r="B302" s="292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81"/>
      <c r="P302" s="181"/>
    </row>
    <row r="303">
      <c r="B303" s="292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</row>
    <row r="304">
      <c r="B304" s="292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81"/>
      <c r="P304" s="181"/>
    </row>
    <row r="305">
      <c r="B305" s="292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81"/>
      <c r="P305" s="181"/>
    </row>
    <row r="306">
      <c r="B306" s="292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81"/>
      <c r="P306" s="181"/>
    </row>
    <row r="307">
      <c r="B307" s="292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</row>
    <row r="308">
      <c r="B308" s="292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81"/>
      <c r="P308" s="181"/>
    </row>
    <row r="309">
      <c r="B309" s="292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81"/>
      <c r="P309" s="181"/>
    </row>
    <row r="310">
      <c r="B310" s="292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</row>
    <row r="311">
      <c r="B311" s="292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</row>
    <row r="312">
      <c r="B312" s="292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1"/>
      <c r="P312" s="181"/>
    </row>
    <row r="313">
      <c r="B313" s="292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</row>
    <row r="314">
      <c r="B314" s="292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1"/>
      <c r="P314" s="181"/>
    </row>
    <row r="315">
      <c r="B315" s="292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1"/>
      <c r="P315" s="181"/>
    </row>
    <row r="316">
      <c r="B316" s="292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1"/>
      <c r="P316" s="181"/>
    </row>
    <row r="317">
      <c r="B317" s="292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1"/>
      <c r="P317" s="181"/>
    </row>
    <row r="318">
      <c r="B318" s="292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1"/>
      <c r="P318" s="181"/>
    </row>
    <row r="319">
      <c r="B319" s="292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1"/>
      <c r="P319" s="181"/>
    </row>
    <row r="320">
      <c r="B320" s="292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</row>
    <row r="321">
      <c r="B321" s="292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1"/>
      <c r="P321" s="181"/>
    </row>
    <row r="322">
      <c r="B322" s="292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</row>
    <row r="323">
      <c r="B323" s="292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</row>
    <row r="324">
      <c r="B324" s="292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/>
    </row>
    <row r="325">
      <c r="B325" s="292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/>
    </row>
    <row r="326">
      <c r="B326" s="292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</row>
    <row r="327">
      <c r="B327" s="292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O327" s="181"/>
      <c r="P327" s="181"/>
    </row>
    <row r="328">
      <c r="B328" s="292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O328" s="181"/>
      <c r="P328" s="181"/>
    </row>
    <row r="329">
      <c r="B329" s="292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O329" s="181"/>
      <c r="P329" s="181"/>
    </row>
    <row r="330">
      <c r="B330" s="292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O330" s="181"/>
      <c r="P330" s="181"/>
    </row>
    <row r="331">
      <c r="B331" s="292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O331" s="181"/>
      <c r="P331" s="181"/>
    </row>
    <row r="332">
      <c r="B332" s="292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O332" s="181"/>
      <c r="P332" s="181"/>
    </row>
    <row r="333">
      <c r="B333" s="292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O333" s="181"/>
      <c r="P333" s="181"/>
    </row>
    <row r="334">
      <c r="B334" s="292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</row>
    <row r="335">
      <c r="B335" s="292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/>
    </row>
    <row r="336">
      <c r="B336" s="292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</row>
    <row r="337">
      <c r="B337" s="292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</row>
    <row r="338">
      <c r="B338" s="292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</row>
    <row r="339">
      <c r="B339" s="292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O339" s="181"/>
      <c r="P339" s="181"/>
    </row>
    <row r="340">
      <c r="B340" s="292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O340" s="181"/>
      <c r="P340" s="181"/>
    </row>
    <row r="341">
      <c r="B341" s="292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O341" s="181"/>
      <c r="P341" s="181"/>
    </row>
    <row r="342">
      <c r="B342" s="292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O342" s="181"/>
      <c r="P342" s="181"/>
    </row>
    <row r="343">
      <c r="B343" s="292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O343" s="181"/>
      <c r="P343" s="181"/>
    </row>
    <row r="344">
      <c r="B344" s="292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</row>
    <row r="345">
      <c r="B345" s="292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</row>
    <row r="346">
      <c r="B346" s="292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</row>
    <row r="347">
      <c r="B347" s="292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</row>
    <row r="348">
      <c r="B348" s="292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</row>
    <row r="349">
      <c r="B349" s="292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</row>
    <row r="350">
      <c r="B350" s="292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</row>
    <row r="351">
      <c r="B351" s="292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</row>
    <row r="352">
      <c r="B352" s="292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</row>
    <row r="353">
      <c r="B353" s="292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</row>
    <row r="354">
      <c r="B354" s="292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</row>
    <row r="355">
      <c r="B355" s="292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</row>
    <row r="356">
      <c r="B356" s="292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</row>
    <row r="357">
      <c r="B357" s="292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</row>
    <row r="358">
      <c r="B358" s="292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</row>
    <row r="359">
      <c r="B359" s="292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</row>
    <row r="360">
      <c r="B360" s="292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</row>
    <row r="361">
      <c r="B361" s="292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</row>
    <row r="362">
      <c r="B362" s="292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</row>
    <row r="363">
      <c r="B363" s="292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</row>
    <row r="364">
      <c r="B364" s="292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</row>
    <row r="365">
      <c r="B365" s="292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</row>
    <row r="366">
      <c r="B366" s="292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</row>
    <row r="367">
      <c r="B367" s="292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</row>
    <row r="368">
      <c r="B368" s="292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</row>
    <row r="369">
      <c r="B369" s="292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</row>
    <row r="370">
      <c r="B370" s="292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</row>
    <row r="371">
      <c r="B371" s="292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</row>
    <row r="372">
      <c r="B372" s="292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</row>
    <row r="373">
      <c r="B373" s="292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</row>
    <row r="374">
      <c r="B374" s="292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</row>
    <row r="375">
      <c r="B375" s="292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</row>
    <row r="376">
      <c r="B376" s="292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</row>
    <row r="377">
      <c r="B377" s="292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</row>
    <row r="378">
      <c r="B378" s="292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</row>
    <row r="379">
      <c r="B379" s="292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</row>
    <row r="380">
      <c r="B380" s="292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</row>
    <row r="381">
      <c r="B381" s="292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</row>
    <row r="382">
      <c r="B382" s="292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</row>
    <row r="383">
      <c r="B383" s="292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</row>
    <row r="384">
      <c r="B384" s="292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</row>
    <row r="385">
      <c r="B385" s="292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</row>
    <row r="386">
      <c r="B386" s="292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</row>
    <row r="387">
      <c r="B387" s="292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</row>
    <row r="388">
      <c r="B388" s="292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</row>
    <row r="389">
      <c r="B389" s="292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</row>
    <row r="390">
      <c r="B390" s="292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</row>
    <row r="391">
      <c r="B391" s="292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</row>
    <row r="392">
      <c r="B392" s="292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</row>
    <row r="393">
      <c r="B393" s="292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</row>
    <row r="394">
      <c r="B394" s="292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</row>
    <row r="395">
      <c r="B395" s="292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</row>
    <row r="396">
      <c r="B396" s="292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</row>
    <row r="397">
      <c r="B397" s="292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</row>
    <row r="398">
      <c r="B398" s="292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</row>
    <row r="399">
      <c r="B399" s="292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</row>
    <row r="400">
      <c r="B400" s="292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</row>
    <row r="401">
      <c r="B401" s="292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</row>
    <row r="402">
      <c r="B402" s="292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</row>
    <row r="403">
      <c r="B403" s="292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</row>
    <row r="404">
      <c r="B404" s="292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</row>
    <row r="405">
      <c r="B405" s="292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</row>
    <row r="406">
      <c r="B406" s="292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</row>
    <row r="407">
      <c r="B407" s="292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</row>
    <row r="408">
      <c r="B408" s="292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</row>
    <row r="409">
      <c r="B409" s="292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</row>
    <row r="410">
      <c r="B410" s="292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</row>
    <row r="411">
      <c r="B411" s="292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</row>
    <row r="412">
      <c r="B412" s="292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</row>
    <row r="413">
      <c r="B413" s="292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</row>
    <row r="414">
      <c r="B414" s="292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</row>
    <row r="415">
      <c r="B415" s="292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</row>
    <row r="416">
      <c r="B416" s="292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</row>
    <row r="417">
      <c r="B417" s="292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</row>
    <row r="418">
      <c r="B418" s="292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</row>
    <row r="419">
      <c r="B419" s="292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</row>
    <row r="420">
      <c r="B420" s="292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</row>
    <row r="421">
      <c r="B421" s="292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</row>
    <row r="422">
      <c r="B422" s="292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</row>
    <row r="423">
      <c r="B423" s="292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</row>
    <row r="424">
      <c r="B424" s="292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</row>
    <row r="425">
      <c r="B425" s="292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</row>
    <row r="426">
      <c r="B426" s="292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</row>
    <row r="427">
      <c r="B427" s="292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</row>
    <row r="428">
      <c r="B428" s="292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</row>
    <row r="429">
      <c r="B429" s="292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</row>
    <row r="430">
      <c r="B430" s="292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</row>
    <row r="431">
      <c r="B431" s="292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</row>
    <row r="432">
      <c r="B432" s="292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</row>
    <row r="433">
      <c r="B433" s="292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</row>
    <row r="434">
      <c r="B434" s="292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</row>
    <row r="435">
      <c r="B435" s="292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</row>
    <row r="436">
      <c r="B436" s="292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</row>
    <row r="437">
      <c r="B437" s="292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</row>
    <row r="438">
      <c r="B438" s="292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</row>
    <row r="439">
      <c r="B439" s="292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</row>
    <row r="440">
      <c r="B440" s="292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</row>
    <row r="441">
      <c r="B441" s="292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</row>
    <row r="442">
      <c r="B442" s="292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</row>
    <row r="443">
      <c r="B443" s="292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</row>
    <row r="444">
      <c r="B444" s="292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</row>
    <row r="445">
      <c r="B445" s="292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</row>
    <row r="446">
      <c r="B446" s="292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</row>
    <row r="447">
      <c r="B447" s="292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</row>
    <row r="448">
      <c r="B448" s="292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</row>
    <row r="449">
      <c r="B449" s="292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</row>
    <row r="450">
      <c r="B450" s="292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</row>
    <row r="451">
      <c r="B451" s="292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</row>
    <row r="452">
      <c r="B452" s="292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</row>
    <row r="453">
      <c r="B453" s="292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</row>
    <row r="454">
      <c r="B454" s="292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</row>
    <row r="455">
      <c r="B455" s="292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</row>
    <row r="456">
      <c r="B456" s="292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</row>
    <row r="457">
      <c r="B457" s="292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</row>
    <row r="458">
      <c r="B458" s="292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</row>
    <row r="459">
      <c r="B459" s="292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</row>
    <row r="460">
      <c r="B460" s="292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</row>
    <row r="461">
      <c r="B461" s="292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</row>
    <row r="462">
      <c r="B462" s="292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</row>
    <row r="463">
      <c r="B463" s="292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</row>
    <row r="464">
      <c r="B464" s="292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</row>
    <row r="465">
      <c r="B465" s="292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</row>
    <row r="466">
      <c r="B466" s="292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</row>
    <row r="467">
      <c r="B467" s="292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</row>
    <row r="468">
      <c r="B468" s="292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</row>
    <row r="469">
      <c r="B469" s="292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</row>
    <row r="470">
      <c r="B470" s="292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</row>
    <row r="471">
      <c r="B471" s="292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</row>
    <row r="472">
      <c r="B472" s="292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</row>
    <row r="473">
      <c r="B473" s="292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</row>
    <row r="474">
      <c r="B474" s="292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</row>
    <row r="475">
      <c r="B475" s="292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</row>
    <row r="476">
      <c r="B476" s="292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</row>
    <row r="477">
      <c r="B477" s="292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</row>
    <row r="478">
      <c r="B478" s="292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</row>
    <row r="479">
      <c r="B479" s="292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</row>
    <row r="480">
      <c r="B480" s="292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</row>
    <row r="481">
      <c r="B481" s="292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</row>
    <row r="482">
      <c r="B482" s="292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</row>
    <row r="483">
      <c r="B483" s="292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</row>
    <row r="484">
      <c r="B484" s="292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</row>
    <row r="485">
      <c r="B485" s="292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</row>
    <row r="486">
      <c r="B486" s="292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</row>
    <row r="487">
      <c r="B487" s="292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</row>
    <row r="488">
      <c r="B488" s="292"/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181"/>
      <c r="N488" s="181"/>
      <c r="O488" s="181"/>
      <c r="P488" s="181"/>
    </row>
    <row r="489">
      <c r="B489" s="292"/>
      <c r="C489" s="181"/>
      <c r="D489" s="181"/>
      <c r="E489" s="181"/>
      <c r="F489" s="181"/>
      <c r="G489" s="181"/>
      <c r="H489" s="181"/>
      <c r="I489" s="181"/>
      <c r="J489" s="181"/>
      <c r="K489" s="181"/>
      <c r="L489" s="181"/>
      <c r="M489" s="181"/>
      <c r="N489" s="181"/>
      <c r="O489" s="181"/>
      <c r="P489" s="181"/>
    </row>
    <row r="490">
      <c r="B490" s="292"/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</row>
    <row r="491">
      <c r="B491" s="292"/>
      <c r="C491" s="181"/>
      <c r="D491" s="181"/>
      <c r="E491" s="181"/>
      <c r="F491" s="181"/>
      <c r="G491" s="181"/>
      <c r="H491" s="181"/>
      <c r="I491" s="181"/>
      <c r="J491" s="181"/>
      <c r="K491" s="181"/>
      <c r="L491" s="181"/>
      <c r="M491" s="181"/>
      <c r="N491" s="181"/>
      <c r="O491" s="181"/>
      <c r="P491" s="181"/>
    </row>
    <row r="492">
      <c r="B492" s="292"/>
      <c r="C492" s="181"/>
      <c r="D492" s="181"/>
      <c r="E492" s="181"/>
      <c r="F492" s="181"/>
      <c r="G492" s="181"/>
      <c r="H492" s="181"/>
      <c r="I492" s="181"/>
      <c r="J492" s="181"/>
      <c r="K492" s="181"/>
      <c r="L492" s="181"/>
      <c r="M492" s="181"/>
      <c r="N492" s="181"/>
      <c r="O492" s="181"/>
      <c r="P492" s="181"/>
    </row>
    <row r="493">
      <c r="B493" s="292"/>
      <c r="C493" s="181"/>
      <c r="D493" s="181"/>
      <c r="E493" s="181"/>
      <c r="F493" s="181"/>
      <c r="G493" s="181"/>
      <c r="H493" s="181"/>
      <c r="I493" s="181"/>
      <c r="J493" s="181"/>
      <c r="K493" s="181"/>
      <c r="L493" s="181"/>
      <c r="M493" s="181"/>
      <c r="N493" s="181"/>
      <c r="O493" s="181"/>
      <c r="P493" s="181"/>
    </row>
    <row r="494">
      <c r="B494" s="292"/>
      <c r="C494" s="181"/>
      <c r="D494" s="181"/>
      <c r="E494" s="181"/>
      <c r="F494" s="181"/>
      <c r="G494" s="181"/>
      <c r="H494" s="181"/>
      <c r="I494" s="181"/>
      <c r="J494" s="181"/>
      <c r="K494" s="181"/>
      <c r="L494" s="181"/>
      <c r="M494" s="181"/>
      <c r="N494" s="181"/>
      <c r="O494" s="181"/>
      <c r="P494" s="181"/>
    </row>
    <row r="495">
      <c r="B495" s="292"/>
      <c r="C495" s="181"/>
      <c r="D495" s="181"/>
      <c r="E495" s="181"/>
      <c r="F495" s="181"/>
      <c r="G495" s="181"/>
      <c r="H495" s="181"/>
      <c r="I495" s="181"/>
      <c r="J495" s="181"/>
      <c r="K495" s="181"/>
      <c r="L495" s="181"/>
      <c r="M495" s="181"/>
      <c r="N495" s="181"/>
      <c r="O495" s="181"/>
      <c r="P495" s="181"/>
    </row>
    <row r="496">
      <c r="B496" s="292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</row>
    <row r="497">
      <c r="B497" s="292"/>
      <c r="C497" s="181"/>
      <c r="D497" s="181"/>
      <c r="E497" s="181"/>
      <c r="F497" s="181"/>
      <c r="G497" s="181"/>
      <c r="H497" s="181"/>
      <c r="I497" s="181"/>
      <c r="J497" s="181"/>
      <c r="K497" s="181"/>
      <c r="L497" s="181"/>
      <c r="M497" s="181"/>
      <c r="N497" s="181"/>
      <c r="O497" s="181"/>
      <c r="P497" s="181"/>
    </row>
    <row r="498">
      <c r="B498" s="292"/>
      <c r="C498" s="181"/>
      <c r="D498" s="181"/>
      <c r="E498" s="181"/>
      <c r="F498" s="181"/>
      <c r="G498" s="181"/>
      <c r="H498" s="181"/>
      <c r="I498" s="181"/>
      <c r="J498" s="181"/>
      <c r="K498" s="181"/>
      <c r="L498" s="181"/>
      <c r="M498" s="181"/>
      <c r="N498" s="181"/>
      <c r="O498" s="181"/>
      <c r="P498" s="181"/>
    </row>
    <row r="499">
      <c r="B499" s="292"/>
      <c r="C499" s="181"/>
      <c r="D499" s="181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</row>
    <row r="500">
      <c r="B500" s="292"/>
      <c r="C500" s="181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181"/>
      <c r="O500" s="181"/>
      <c r="P500" s="181"/>
    </row>
    <row r="501">
      <c r="B501" s="292"/>
      <c r="C501" s="181"/>
      <c r="D501" s="181"/>
      <c r="E501" s="181"/>
      <c r="F501" s="181"/>
      <c r="G501" s="181"/>
      <c r="H501" s="181"/>
      <c r="I501" s="181"/>
      <c r="J501" s="181"/>
      <c r="K501" s="181"/>
      <c r="L501" s="181"/>
      <c r="M501" s="181"/>
      <c r="N501" s="181"/>
      <c r="O501" s="181"/>
      <c r="P501" s="181"/>
    </row>
    <row r="502">
      <c r="B502" s="292"/>
      <c r="C502" s="181"/>
      <c r="D502" s="181"/>
      <c r="E502" s="181"/>
      <c r="F502" s="181"/>
      <c r="G502" s="181"/>
      <c r="H502" s="181"/>
      <c r="I502" s="181"/>
      <c r="J502" s="181"/>
      <c r="K502" s="181"/>
      <c r="L502" s="181"/>
      <c r="M502" s="181"/>
      <c r="N502" s="181"/>
      <c r="O502" s="181"/>
      <c r="P502" s="181"/>
    </row>
    <row r="503">
      <c r="B503" s="292"/>
      <c r="C503" s="181"/>
      <c r="D503" s="181"/>
      <c r="E503" s="181"/>
      <c r="F503" s="181"/>
      <c r="G503" s="181"/>
      <c r="H503" s="181"/>
      <c r="I503" s="181"/>
      <c r="J503" s="181"/>
      <c r="K503" s="181"/>
      <c r="L503" s="181"/>
      <c r="M503" s="181"/>
      <c r="N503" s="181"/>
      <c r="O503" s="181"/>
      <c r="P503" s="181"/>
    </row>
    <row r="504">
      <c r="B504" s="292"/>
      <c r="C504" s="181"/>
      <c r="D504" s="181"/>
      <c r="E504" s="181"/>
      <c r="F504" s="181"/>
      <c r="G504" s="181"/>
      <c r="H504" s="181"/>
      <c r="I504" s="181"/>
      <c r="J504" s="181"/>
      <c r="K504" s="181"/>
      <c r="L504" s="181"/>
      <c r="M504" s="181"/>
      <c r="N504" s="181"/>
      <c r="O504" s="181"/>
      <c r="P504" s="181"/>
    </row>
    <row r="505">
      <c r="B505" s="292"/>
      <c r="C505" s="181"/>
      <c r="D505" s="181"/>
      <c r="E505" s="181"/>
      <c r="F505" s="181"/>
      <c r="G505" s="181"/>
      <c r="H505" s="181"/>
      <c r="I505" s="181"/>
      <c r="J505" s="181"/>
      <c r="K505" s="181"/>
      <c r="L505" s="181"/>
      <c r="M505" s="181"/>
      <c r="N505" s="181"/>
      <c r="O505" s="181"/>
      <c r="P505" s="181"/>
    </row>
    <row r="506">
      <c r="B506" s="292"/>
      <c r="C506" s="181"/>
      <c r="D506" s="181"/>
      <c r="E506" s="181"/>
      <c r="F506" s="181"/>
      <c r="G506" s="181"/>
      <c r="H506" s="181"/>
      <c r="I506" s="181"/>
      <c r="J506" s="181"/>
      <c r="K506" s="181"/>
      <c r="L506" s="181"/>
      <c r="M506" s="181"/>
      <c r="N506" s="181"/>
      <c r="O506" s="181"/>
      <c r="P506" s="181"/>
    </row>
    <row r="507">
      <c r="B507" s="292"/>
      <c r="C507" s="181"/>
      <c r="D507" s="181"/>
      <c r="E507" s="181"/>
      <c r="F507" s="181"/>
      <c r="G507" s="181"/>
      <c r="H507" s="181"/>
      <c r="I507" s="181"/>
      <c r="J507" s="181"/>
      <c r="K507" s="181"/>
      <c r="L507" s="181"/>
      <c r="M507" s="181"/>
      <c r="N507" s="181"/>
      <c r="O507" s="181"/>
      <c r="P507" s="181"/>
    </row>
    <row r="508">
      <c r="B508" s="292"/>
      <c r="C508" s="181"/>
      <c r="D508" s="181"/>
      <c r="E508" s="181"/>
      <c r="F508" s="181"/>
      <c r="G508" s="181"/>
      <c r="H508" s="181"/>
      <c r="I508" s="181"/>
      <c r="J508" s="181"/>
      <c r="K508" s="181"/>
      <c r="L508" s="181"/>
      <c r="M508" s="181"/>
      <c r="N508" s="181"/>
      <c r="O508" s="181"/>
      <c r="P508" s="181"/>
    </row>
    <row r="509">
      <c r="B509" s="292"/>
      <c r="C509" s="181"/>
      <c r="D509" s="181"/>
      <c r="E509" s="181"/>
      <c r="F509" s="181"/>
      <c r="G509" s="181"/>
      <c r="H509" s="181"/>
      <c r="I509" s="181"/>
      <c r="J509" s="181"/>
      <c r="K509" s="181"/>
      <c r="L509" s="181"/>
      <c r="M509" s="181"/>
      <c r="N509" s="181"/>
      <c r="O509" s="181"/>
      <c r="P509" s="181"/>
    </row>
    <row r="510">
      <c r="B510" s="292"/>
      <c r="C510" s="181"/>
      <c r="D510" s="181"/>
      <c r="E510" s="181"/>
      <c r="F510" s="181"/>
      <c r="G510" s="181"/>
      <c r="H510" s="181"/>
      <c r="I510" s="181"/>
      <c r="J510" s="181"/>
      <c r="K510" s="181"/>
      <c r="L510" s="181"/>
      <c r="M510" s="181"/>
      <c r="N510" s="181"/>
      <c r="O510" s="181"/>
      <c r="P510" s="181"/>
    </row>
    <row r="511">
      <c r="B511" s="292"/>
      <c r="C511" s="181"/>
      <c r="D511" s="181"/>
      <c r="E511" s="181"/>
      <c r="F511" s="181"/>
      <c r="G511" s="181"/>
      <c r="H511" s="181"/>
      <c r="I511" s="181"/>
      <c r="J511" s="181"/>
      <c r="K511" s="181"/>
      <c r="L511" s="181"/>
      <c r="M511" s="181"/>
      <c r="N511" s="181"/>
      <c r="O511" s="181"/>
      <c r="P511" s="181"/>
    </row>
    <row r="512">
      <c r="B512" s="292"/>
      <c r="C512" s="181"/>
      <c r="D512" s="181"/>
      <c r="E512" s="181"/>
      <c r="F512" s="181"/>
      <c r="G512" s="181"/>
      <c r="H512" s="181"/>
      <c r="I512" s="181"/>
      <c r="J512" s="181"/>
      <c r="K512" s="181"/>
      <c r="L512" s="181"/>
      <c r="M512" s="181"/>
      <c r="N512" s="181"/>
      <c r="O512" s="181"/>
      <c r="P512" s="181"/>
    </row>
    <row r="513">
      <c r="B513" s="292"/>
      <c r="C513" s="181"/>
      <c r="D513" s="181"/>
      <c r="E513" s="181"/>
      <c r="F513" s="181"/>
      <c r="G513" s="181"/>
      <c r="H513" s="181"/>
      <c r="I513" s="181"/>
      <c r="J513" s="181"/>
      <c r="K513" s="181"/>
      <c r="L513" s="181"/>
      <c r="M513" s="181"/>
      <c r="N513" s="181"/>
      <c r="O513" s="181"/>
      <c r="P513" s="181"/>
    </row>
    <row r="514">
      <c r="B514" s="292"/>
      <c r="C514" s="181"/>
      <c r="D514" s="181"/>
      <c r="E514" s="181"/>
      <c r="F514" s="181"/>
      <c r="G514" s="181"/>
      <c r="H514" s="181"/>
      <c r="I514" s="181"/>
      <c r="J514" s="181"/>
      <c r="K514" s="181"/>
      <c r="L514" s="181"/>
      <c r="M514" s="181"/>
      <c r="N514" s="181"/>
      <c r="O514" s="181"/>
      <c r="P514" s="181"/>
    </row>
    <row r="515">
      <c r="B515" s="292"/>
      <c r="C515" s="181"/>
      <c r="D515" s="181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</row>
    <row r="516">
      <c r="B516" s="292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</row>
    <row r="517">
      <c r="B517" s="292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</row>
    <row r="518">
      <c r="B518" s="292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</row>
    <row r="519">
      <c r="B519" s="292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</row>
    <row r="520">
      <c r="B520" s="292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</row>
    <row r="521">
      <c r="B521" s="292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</row>
    <row r="522">
      <c r="B522" s="292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</row>
    <row r="523">
      <c r="B523" s="292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</row>
    <row r="524">
      <c r="B524" s="292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</row>
    <row r="525">
      <c r="B525" s="292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</row>
    <row r="526">
      <c r="B526" s="292"/>
      <c r="C526" s="181"/>
      <c r="D526" s="181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</row>
    <row r="527">
      <c r="B527" s="292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</row>
    <row r="528">
      <c r="B528" s="292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</row>
    <row r="529">
      <c r="B529" s="292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</row>
    <row r="530">
      <c r="B530" s="292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</row>
    <row r="531">
      <c r="B531" s="292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</row>
    <row r="532">
      <c r="B532" s="292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</row>
    <row r="533">
      <c r="B533" s="292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</row>
    <row r="534">
      <c r="B534" s="292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</row>
    <row r="535">
      <c r="B535" s="292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</row>
    <row r="536">
      <c r="B536" s="292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</row>
    <row r="537">
      <c r="B537" s="292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</row>
    <row r="538">
      <c r="B538" s="292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</row>
    <row r="539">
      <c r="B539" s="292"/>
      <c r="C539" s="181"/>
      <c r="D539" s="181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</row>
    <row r="540">
      <c r="B540" s="292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</row>
    <row r="541">
      <c r="B541" s="292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</row>
    <row r="542">
      <c r="B542" s="292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</row>
    <row r="543">
      <c r="B543" s="292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</row>
    <row r="544">
      <c r="B544" s="292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</row>
    <row r="545">
      <c r="B545" s="292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</row>
    <row r="546">
      <c r="B546" s="292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</row>
    <row r="547">
      <c r="B547" s="292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</row>
    <row r="548">
      <c r="B548" s="292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</row>
    <row r="549">
      <c r="B549" s="292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</row>
    <row r="550">
      <c r="B550" s="292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</row>
    <row r="551">
      <c r="B551" s="292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</row>
    <row r="552">
      <c r="B552" s="292"/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</row>
    <row r="553">
      <c r="B553" s="292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</row>
    <row r="554">
      <c r="B554" s="292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</row>
    <row r="555">
      <c r="B555" s="292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</row>
    <row r="556">
      <c r="B556" s="292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</row>
    <row r="557">
      <c r="B557" s="292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</row>
    <row r="558">
      <c r="B558" s="292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</row>
    <row r="559">
      <c r="B559" s="292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</row>
    <row r="560">
      <c r="B560" s="292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</row>
    <row r="561">
      <c r="B561" s="292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</row>
    <row r="562">
      <c r="B562" s="292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</row>
    <row r="563">
      <c r="B563" s="292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</row>
    <row r="564">
      <c r="B564" s="292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</row>
    <row r="565">
      <c r="B565" s="292"/>
      <c r="C565" s="181"/>
      <c r="D565" s="181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</row>
    <row r="566">
      <c r="B566" s="292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</row>
    <row r="567">
      <c r="B567" s="292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</row>
    <row r="568">
      <c r="B568" s="292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</row>
    <row r="569">
      <c r="B569" s="292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</row>
    <row r="570">
      <c r="B570" s="292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</row>
    <row r="571">
      <c r="B571" s="292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</row>
    <row r="572">
      <c r="B572" s="292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</row>
    <row r="573">
      <c r="B573" s="292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</row>
    <row r="574">
      <c r="B574" s="292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</row>
    <row r="575">
      <c r="B575" s="292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</row>
    <row r="576">
      <c r="B576" s="292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</row>
    <row r="577">
      <c r="B577" s="292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</row>
    <row r="578">
      <c r="B578" s="292"/>
      <c r="C578" s="181"/>
      <c r="D578" s="181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</row>
    <row r="579">
      <c r="B579" s="292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</row>
    <row r="580">
      <c r="B580" s="292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</row>
    <row r="581">
      <c r="B581" s="292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</row>
    <row r="582">
      <c r="B582" s="292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</row>
    <row r="583">
      <c r="B583" s="292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</row>
    <row r="584">
      <c r="B584" s="292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</row>
    <row r="585">
      <c r="B585" s="292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</row>
    <row r="586">
      <c r="B586" s="292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</row>
    <row r="587">
      <c r="B587" s="292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</row>
    <row r="588">
      <c r="B588" s="292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</row>
    <row r="589">
      <c r="B589" s="292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</row>
    <row r="590">
      <c r="B590" s="292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</row>
    <row r="591">
      <c r="B591" s="292"/>
      <c r="C591" s="181"/>
      <c r="D591" s="181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</row>
    <row r="592">
      <c r="B592" s="292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</row>
    <row r="593">
      <c r="B593" s="292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</row>
    <row r="594">
      <c r="B594" s="292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</row>
    <row r="595">
      <c r="B595" s="292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</row>
    <row r="596">
      <c r="B596" s="292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</row>
    <row r="597">
      <c r="B597" s="292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</row>
    <row r="598">
      <c r="B598" s="292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</row>
    <row r="599">
      <c r="B599" s="292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</row>
    <row r="600">
      <c r="B600" s="292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</row>
    <row r="601">
      <c r="B601" s="292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</row>
    <row r="602">
      <c r="B602" s="292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</row>
    <row r="603">
      <c r="B603" s="292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</row>
    <row r="604">
      <c r="B604" s="292"/>
      <c r="C604" s="181"/>
      <c r="D604" s="181"/>
      <c r="E604" s="181"/>
      <c r="F604" s="181"/>
      <c r="G604" s="181"/>
      <c r="H604" s="181"/>
      <c r="I604" s="181"/>
      <c r="J604" s="181"/>
      <c r="K604" s="181"/>
      <c r="L604" s="181"/>
      <c r="M604" s="181"/>
      <c r="N604" s="181"/>
      <c r="O604" s="181"/>
      <c r="P604" s="181"/>
    </row>
    <row r="605">
      <c r="B605" s="292"/>
      <c r="C605" s="181"/>
      <c r="D605" s="181"/>
      <c r="E605" s="181"/>
      <c r="F605" s="181"/>
      <c r="G605" s="181"/>
      <c r="H605" s="181"/>
      <c r="I605" s="181"/>
      <c r="J605" s="181"/>
      <c r="K605" s="181"/>
      <c r="L605" s="181"/>
      <c r="M605" s="181"/>
      <c r="N605" s="181"/>
      <c r="O605" s="181"/>
      <c r="P605" s="181"/>
    </row>
    <row r="606">
      <c r="B606" s="292"/>
      <c r="C606" s="181"/>
      <c r="D606" s="181"/>
      <c r="E606" s="181"/>
      <c r="F606" s="181"/>
      <c r="G606" s="181"/>
      <c r="H606" s="181"/>
      <c r="I606" s="181"/>
      <c r="J606" s="181"/>
      <c r="K606" s="181"/>
      <c r="L606" s="181"/>
      <c r="M606" s="181"/>
      <c r="N606" s="181"/>
      <c r="O606" s="181"/>
      <c r="P606" s="181"/>
    </row>
    <row r="607">
      <c r="B607" s="292"/>
      <c r="C607" s="181"/>
      <c r="D607" s="181"/>
      <c r="E607" s="181"/>
      <c r="F607" s="181"/>
      <c r="G607" s="181"/>
      <c r="H607" s="181"/>
      <c r="I607" s="181"/>
      <c r="J607" s="181"/>
      <c r="K607" s="181"/>
      <c r="L607" s="181"/>
      <c r="M607" s="181"/>
      <c r="N607" s="181"/>
      <c r="O607" s="181"/>
      <c r="P607" s="181"/>
    </row>
    <row r="608">
      <c r="B608" s="292"/>
      <c r="C608" s="181"/>
      <c r="D608" s="181"/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</row>
    <row r="609">
      <c r="B609" s="292"/>
      <c r="C609" s="181"/>
      <c r="D609" s="181"/>
      <c r="E609" s="181"/>
      <c r="F609" s="181"/>
      <c r="G609" s="181"/>
      <c r="H609" s="181"/>
      <c r="I609" s="181"/>
      <c r="J609" s="181"/>
      <c r="K609" s="181"/>
      <c r="L609" s="181"/>
      <c r="M609" s="181"/>
      <c r="N609" s="181"/>
      <c r="O609" s="181"/>
      <c r="P609" s="181"/>
    </row>
    <row r="610">
      <c r="B610" s="292"/>
      <c r="C610" s="181"/>
      <c r="D610" s="181"/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</row>
    <row r="611">
      <c r="B611" s="292"/>
      <c r="C611" s="181"/>
      <c r="D611" s="181"/>
      <c r="E611" s="181"/>
      <c r="F611" s="181"/>
      <c r="G611" s="181"/>
      <c r="H611" s="181"/>
      <c r="I611" s="181"/>
      <c r="J611" s="181"/>
      <c r="K611" s="181"/>
      <c r="L611" s="181"/>
      <c r="M611" s="181"/>
      <c r="N611" s="181"/>
      <c r="O611" s="181"/>
      <c r="P611" s="181"/>
    </row>
    <row r="612">
      <c r="B612" s="292"/>
      <c r="C612" s="181"/>
      <c r="D612" s="181"/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</row>
    <row r="613">
      <c r="B613" s="292"/>
      <c r="C613" s="181"/>
      <c r="D613" s="181"/>
      <c r="E613" s="181"/>
      <c r="F613" s="181"/>
      <c r="G613" s="181"/>
      <c r="H613" s="181"/>
      <c r="I613" s="181"/>
      <c r="J613" s="181"/>
      <c r="K613" s="181"/>
      <c r="L613" s="181"/>
      <c r="M613" s="181"/>
      <c r="N613" s="181"/>
      <c r="O613" s="181"/>
      <c r="P613" s="181"/>
    </row>
    <row r="614">
      <c r="B614" s="292"/>
      <c r="C614" s="181"/>
      <c r="D614" s="181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</row>
    <row r="615">
      <c r="B615" s="292"/>
      <c r="C615" s="181"/>
      <c r="D615" s="181"/>
      <c r="E615" s="181"/>
      <c r="F615" s="181"/>
      <c r="G615" s="181"/>
      <c r="H615" s="181"/>
      <c r="I615" s="181"/>
      <c r="J615" s="181"/>
      <c r="K615" s="181"/>
      <c r="L615" s="181"/>
      <c r="M615" s="181"/>
      <c r="N615" s="181"/>
      <c r="O615" s="181"/>
      <c r="P615" s="181"/>
    </row>
    <row r="616">
      <c r="B616" s="292"/>
      <c r="C616" s="181"/>
      <c r="D616" s="181"/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</row>
    <row r="617">
      <c r="B617" s="292"/>
      <c r="C617" s="181"/>
      <c r="D617" s="181"/>
      <c r="E617" s="181"/>
      <c r="F617" s="181"/>
      <c r="G617" s="181"/>
      <c r="H617" s="181"/>
      <c r="I617" s="181"/>
      <c r="J617" s="181"/>
      <c r="K617" s="181"/>
      <c r="L617" s="181"/>
      <c r="M617" s="181"/>
      <c r="N617" s="181"/>
      <c r="O617" s="181"/>
      <c r="P617" s="181"/>
    </row>
    <row r="618">
      <c r="B618" s="292"/>
      <c r="C618" s="181"/>
      <c r="D618" s="181"/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</row>
    <row r="619">
      <c r="B619" s="292"/>
      <c r="C619" s="181"/>
      <c r="D619" s="181"/>
      <c r="E619" s="181"/>
      <c r="F619" s="181"/>
      <c r="G619" s="181"/>
      <c r="H619" s="181"/>
      <c r="I619" s="181"/>
      <c r="J619" s="181"/>
      <c r="K619" s="181"/>
      <c r="L619" s="181"/>
      <c r="M619" s="181"/>
      <c r="N619" s="181"/>
      <c r="O619" s="181"/>
      <c r="P619" s="181"/>
    </row>
    <row r="620">
      <c r="B620" s="292"/>
      <c r="C620" s="181"/>
      <c r="D620" s="181"/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</row>
    <row r="621">
      <c r="B621" s="292"/>
      <c r="C621" s="181"/>
      <c r="D621" s="181"/>
      <c r="E621" s="181"/>
      <c r="F621" s="181"/>
      <c r="G621" s="181"/>
      <c r="H621" s="181"/>
      <c r="I621" s="181"/>
      <c r="J621" s="181"/>
      <c r="K621" s="181"/>
      <c r="L621" s="181"/>
      <c r="M621" s="181"/>
      <c r="N621" s="181"/>
      <c r="O621" s="181"/>
      <c r="P621" s="181"/>
    </row>
    <row r="622">
      <c r="B622" s="292"/>
      <c r="C622" s="181"/>
      <c r="D622" s="181"/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</row>
    <row r="623">
      <c r="B623" s="292"/>
      <c r="C623" s="181"/>
      <c r="D623" s="181"/>
      <c r="E623" s="181"/>
      <c r="F623" s="181"/>
      <c r="G623" s="181"/>
      <c r="H623" s="181"/>
      <c r="I623" s="181"/>
      <c r="J623" s="181"/>
      <c r="K623" s="181"/>
      <c r="L623" s="181"/>
      <c r="M623" s="181"/>
      <c r="N623" s="181"/>
      <c r="O623" s="181"/>
      <c r="P623" s="181"/>
    </row>
    <row r="624">
      <c r="B624" s="292"/>
      <c r="C624" s="181"/>
      <c r="D624" s="181"/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</row>
    <row r="625">
      <c r="B625" s="292"/>
      <c r="C625" s="181"/>
      <c r="D625" s="181"/>
      <c r="E625" s="181"/>
      <c r="F625" s="181"/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</row>
    <row r="626">
      <c r="B626" s="292"/>
      <c r="C626" s="181"/>
      <c r="D626" s="181"/>
      <c r="E626" s="181"/>
      <c r="F626" s="181"/>
      <c r="G626" s="181"/>
      <c r="H626" s="181"/>
      <c r="I626" s="181"/>
      <c r="J626" s="181"/>
      <c r="K626" s="181"/>
      <c r="L626" s="181"/>
      <c r="M626" s="181"/>
      <c r="N626" s="181"/>
      <c r="O626" s="181"/>
      <c r="P626" s="181"/>
    </row>
    <row r="627">
      <c r="B627" s="292"/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</row>
    <row r="628">
      <c r="B628" s="292"/>
      <c r="C628" s="181"/>
      <c r="D628" s="181"/>
      <c r="E628" s="181"/>
      <c r="F628" s="181"/>
      <c r="G628" s="181"/>
      <c r="H628" s="181"/>
      <c r="I628" s="181"/>
      <c r="J628" s="181"/>
      <c r="K628" s="181"/>
      <c r="L628" s="181"/>
      <c r="M628" s="181"/>
      <c r="N628" s="181"/>
      <c r="O628" s="181"/>
      <c r="P628" s="181"/>
    </row>
    <row r="629">
      <c r="B629" s="292"/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</row>
    <row r="630">
      <c r="B630" s="292"/>
      <c r="C630" s="181"/>
      <c r="D630" s="181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</row>
    <row r="631">
      <c r="B631" s="292"/>
      <c r="C631" s="181"/>
      <c r="D631" s="181"/>
      <c r="E631" s="181"/>
      <c r="F631" s="181"/>
      <c r="G631" s="181"/>
      <c r="H631" s="181"/>
      <c r="I631" s="181"/>
      <c r="J631" s="181"/>
      <c r="K631" s="181"/>
      <c r="L631" s="181"/>
      <c r="M631" s="181"/>
      <c r="N631" s="181"/>
      <c r="O631" s="181"/>
      <c r="P631" s="181"/>
    </row>
    <row r="632">
      <c r="B632" s="292"/>
      <c r="C632" s="181"/>
      <c r="D632" s="181"/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</row>
    <row r="633">
      <c r="B633" s="292"/>
      <c r="C633" s="181"/>
      <c r="D633" s="181"/>
      <c r="E633" s="181"/>
      <c r="F633" s="181"/>
      <c r="G633" s="181"/>
      <c r="H633" s="181"/>
      <c r="I633" s="181"/>
      <c r="J633" s="181"/>
      <c r="K633" s="181"/>
      <c r="L633" s="181"/>
      <c r="M633" s="181"/>
      <c r="N633" s="181"/>
      <c r="O633" s="181"/>
      <c r="P633" s="181"/>
    </row>
    <row r="634">
      <c r="B634" s="292"/>
      <c r="C634" s="181"/>
      <c r="D634" s="181"/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</row>
    <row r="635">
      <c r="B635" s="292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</row>
    <row r="636">
      <c r="B636" s="292"/>
      <c r="C636" s="181"/>
      <c r="D636" s="181"/>
      <c r="E636" s="181"/>
      <c r="F636" s="181"/>
      <c r="G636" s="181"/>
      <c r="H636" s="181"/>
      <c r="I636" s="181"/>
      <c r="J636" s="181"/>
      <c r="K636" s="181"/>
      <c r="L636" s="181"/>
      <c r="M636" s="181"/>
      <c r="N636" s="181"/>
      <c r="O636" s="181"/>
      <c r="P636" s="181"/>
    </row>
    <row r="637">
      <c r="B637" s="292"/>
      <c r="C637" s="181"/>
      <c r="D637" s="181"/>
      <c r="E637" s="181"/>
      <c r="F637" s="181"/>
      <c r="G637" s="181"/>
      <c r="H637" s="181"/>
      <c r="I637" s="181"/>
      <c r="J637" s="181"/>
      <c r="K637" s="181"/>
      <c r="L637" s="181"/>
      <c r="M637" s="181"/>
      <c r="N637" s="181"/>
      <c r="O637" s="181"/>
      <c r="P637" s="181"/>
    </row>
    <row r="638">
      <c r="B638" s="292"/>
      <c r="C638" s="181"/>
      <c r="D638" s="181"/>
      <c r="E638" s="181"/>
      <c r="F638" s="181"/>
      <c r="G638" s="181"/>
      <c r="H638" s="181"/>
      <c r="I638" s="181"/>
      <c r="J638" s="181"/>
      <c r="K638" s="181"/>
      <c r="L638" s="181"/>
      <c r="M638" s="181"/>
      <c r="N638" s="181"/>
      <c r="O638" s="181"/>
      <c r="P638" s="181"/>
    </row>
    <row r="639">
      <c r="B639" s="292"/>
      <c r="C639" s="181"/>
      <c r="D639" s="181"/>
      <c r="E639" s="181"/>
      <c r="F639" s="181"/>
      <c r="G639" s="181"/>
      <c r="H639" s="181"/>
      <c r="I639" s="181"/>
      <c r="J639" s="181"/>
      <c r="K639" s="181"/>
      <c r="L639" s="181"/>
      <c r="M639" s="181"/>
      <c r="N639" s="181"/>
      <c r="O639" s="181"/>
      <c r="P639" s="181"/>
    </row>
    <row r="640">
      <c r="B640" s="292"/>
      <c r="C640" s="181"/>
      <c r="D640" s="181"/>
      <c r="E640" s="181"/>
      <c r="F640" s="181"/>
      <c r="G640" s="181"/>
      <c r="H640" s="181"/>
      <c r="I640" s="181"/>
      <c r="J640" s="181"/>
      <c r="K640" s="181"/>
      <c r="L640" s="181"/>
      <c r="M640" s="181"/>
      <c r="N640" s="181"/>
      <c r="O640" s="181"/>
      <c r="P640" s="181"/>
    </row>
    <row r="641">
      <c r="B641" s="292"/>
      <c r="C641" s="181"/>
      <c r="D641" s="181"/>
      <c r="E641" s="181"/>
      <c r="F641" s="181"/>
      <c r="G641" s="181"/>
      <c r="H641" s="181"/>
      <c r="I641" s="181"/>
      <c r="J641" s="181"/>
      <c r="K641" s="181"/>
      <c r="L641" s="181"/>
      <c r="M641" s="181"/>
      <c r="N641" s="181"/>
      <c r="O641" s="181"/>
      <c r="P641" s="181"/>
    </row>
    <row r="642">
      <c r="B642" s="292"/>
      <c r="C642" s="181"/>
      <c r="D642" s="181"/>
      <c r="E642" s="181"/>
      <c r="F642" s="181"/>
      <c r="G642" s="181"/>
      <c r="H642" s="181"/>
      <c r="I642" s="181"/>
      <c r="J642" s="181"/>
      <c r="K642" s="181"/>
      <c r="L642" s="181"/>
      <c r="M642" s="181"/>
      <c r="N642" s="181"/>
      <c r="O642" s="181"/>
      <c r="P642" s="181"/>
    </row>
    <row r="643">
      <c r="B643" s="292"/>
      <c r="C643" s="181"/>
      <c r="D643" s="181"/>
      <c r="E643" s="181"/>
      <c r="F643" s="181"/>
      <c r="G643" s="181"/>
      <c r="H643" s="181"/>
      <c r="I643" s="181"/>
      <c r="J643" s="181"/>
      <c r="K643" s="181"/>
      <c r="L643" s="181"/>
      <c r="M643" s="181"/>
      <c r="N643" s="181"/>
      <c r="O643" s="181"/>
      <c r="P643" s="181"/>
    </row>
    <row r="644">
      <c r="B644" s="292"/>
      <c r="C644" s="181"/>
      <c r="D644" s="181"/>
      <c r="E644" s="181"/>
      <c r="F644" s="181"/>
      <c r="G644" s="181"/>
      <c r="H644" s="181"/>
      <c r="I644" s="181"/>
      <c r="J644" s="181"/>
      <c r="K644" s="181"/>
      <c r="L644" s="181"/>
      <c r="M644" s="181"/>
      <c r="N644" s="181"/>
      <c r="O644" s="181"/>
      <c r="P644" s="181"/>
    </row>
    <row r="645">
      <c r="B645" s="292"/>
      <c r="C645" s="181"/>
      <c r="D645" s="181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81"/>
      <c r="P645" s="181"/>
    </row>
    <row r="646">
      <c r="B646" s="292"/>
      <c r="C646" s="181"/>
      <c r="D646" s="181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</row>
    <row r="647">
      <c r="B647" s="292"/>
      <c r="C647" s="181"/>
      <c r="D647" s="181"/>
      <c r="E647" s="181"/>
      <c r="F647" s="181"/>
      <c r="G647" s="181"/>
      <c r="H647" s="181"/>
      <c r="I647" s="181"/>
      <c r="J647" s="181"/>
      <c r="K647" s="181"/>
      <c r="L647" s="181"/>
      <c r="M647" s="181"/>
      <c r="N647" s="181"/>
      <c r="O647" s="181"/>
      <c r="P647" s="181"/>
    </row>
    <row r="648">
      <c r="B648" s="292"/>
      <c r="C648" s="181"/>
      <c r="D648" s="181"/>
      <c r="E648" s="181"/>
      <c r="F648" s="181"/>
      <c r="G648" s="181"/>
      <c r="H648" s="181"/>
      <c r="I648" s="181"/>
      <c r="J648" s="181"/>
      <c r="K648" s="181"/>
      <c r="L648" s="181"/>
      <c r="M648" s="181"/>
      <c r="N648" s="181"/>
      <c r="O648" s="181"/>
      <c r="P648" s="181"/>
    </row>
    <row r="649">
      <c r="B649" s="292"/>
      <c r="C649" s="181"/>
      <c r="D649" s="181"/>
      <c r="E649" s="181"/>
      <c r="F649" s="181"/>
      <c r="G649" s="181"/>
      <c r="H649" s="181"/>
      <c r="I649" s="181"/>
      <c r="J649" s="181"/>
      <c r="K649" s="181"/>
      <c r="L649" s="181"/>
      <c r="M649" s="181"/>
      <c r="N649" s="181"/>
      <c r="O649" s="181"/>
      <c r="P649" s="181"/>
    </row>
    <row r="650">
      <c r="B650" s="292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81"/>
    </row>
    <row r="651">
      <c r="B651" s="292"/>
      <c r="C651" s="181"/>
      <c r="D651" s="181"/>
      <c r="E651" s="181"/>
      <c r="F651" s="181"/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</row>
    <row r="652">
      <c r="B652" s="292"/>
      <c r="C652" s="181"/>
      <c r="D652" s="181"/>
      <c r="E652" s="181"/>
      <c r="F652" s="181"/>
      <c r="G652" s="181"/>
      <c r="H652" s="181"/>
      <c r="I652" s="181"/>
      <c r="J652" s="181"/>
      <c r="K652" s="181"/>
      <c r="L652" s="181"/>
      <c r="M652" s="181"/>
      <c r="N652" s="181"/>
      <c r="O652" s="181"/>
      <c r="P652" s="181"/>
    </row>
    <row r="653">
      <c r="B653" s="292"/>
      <c r="C653" s="181"/>
      <c r="D653" s="181"/>
      <c r="E653" s="181"/>
      <c r="F653" s="181"/>
      <c r="G653" s="181"/>
      <c r="H653" s="181"/>
      <c r="I653" s="181"/>
      <c r="J653" s="181"/>
      <c r="K653" s="181"/>
      <c r="L653" s="181"/>
      <c r="M653" s="181"/>
      <c r="N653" s="181"/>
      <c r="O653" s="181"/>
      <c r="P653" s="181"/>
    </row>
    <row r="654">
      <c r="B654" s="292"/>
      <c r="C654" s="181"/>
      <c r="D654" s="181"/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</row>
    <row r="655">
      <c r="B655" s="292"/>
      <c r="C655" s="181"/>
      <c r="D655" s="181"/>
      <c r="E655" s="181"/>
      <c r="F655" s="181"/>
      <c r="G655" s="181"/>
      <c r="H655" s="181"/>
      <c r="I655" s="181"/>
      <c r="J655" s="181"/>
      <c r="K655" s="181"/>
      <c r="L655" s="181"/>
      <c r="M655" s="181"/>
      <c r="N655" s="181"/>
      <c r="O655" s="181"/>
      <c r="P655" s="181"/>
    </row>
    <row r="656">
      <c r="B656" s="292"/>
      <c r="C656" s="181"/>
      <c r="D656" s="181"/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</row>
    <row r="657">
      <c r="B657" s="292"/>
      <c r="C657" s="181"/>
      <c r="D657" s="181"/>
      <c r="E657" s="181"/>
      <c r="F657" s="181"/>
      <c r="G657" s="181"/>
      <c r="H657" s="181"/>
      <c r="I657" s="181"/>
      <c r="J657" s="181"/>
      <c r="K657" s="181"/>
      <c r="L657" s="181"/>
      <c r="M657" s="181"/>
      <c r="N657" s="181"/>
      <c r="O657" s="181"/>
      <c r="P657" s="181"/>
    </row>
    <row r="658">
      <c r="B658" s="292"/>
      <c r="C658" s="181"/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</row>
    <row r="659">
      <c r="B659" s="292"/>
      <c r="C659" s="181"/>
      <c r="D659" s="181"/>
      <c r="E659" s="181"/>
      <c r="F659" s="181"/>
      <c r="G659" s="181"/>
      <c r="H659" s="181"/>
      <c r="I659" s="181"/>
      <c r="J659" s="181"/>
      <c r="K659" s="181"/>
      <c r="L659" s="181"/>
      <c r="M659" s="181"/>
      <c r="N659" s="181"/>
      <c r="O659" s="181"/>
      <c r="P659" s="181"/>
    </row>
    <row r="660">
      <c r="B660" s="292"/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</row>
    <row r="661">
      <c r="B661" s="292"/>
      <c r="C661" s="181"/>
      <c r="D661" s="181"/>
      <c r="E661" s="181"/>
      <c r="F661" s="181"/>
      <c r="G661" s="181"/>
      <c r="H661" s="181"/>
      <c r="I661" s="181"/>
      <c r="J661" s="181"/>
      <c r="K661" s="181"/>
      <c r="L661" s="181"/>
      <c r="M661" s="181"/>
      <c r="N661" s="181"/>
      <c r="O661" s="181"/>
      <c r="P661" s="181"/>
    </row>
    <row r="662">
      <c r="B662" s="292"/>
      <c r="C662" s="181"/>
      <c r="D662" s="181"/>
      <c r="E662" s="181"/>
      <c r="F662" s="181"/>
      <c r="G662" s="181"/>
      <c r="H662" s="181"/>
      <c r="I662" s="181"/>
      <c r="J662" s="181"/>
      <c r="K662" s="181"/>
      <c r="L662" s="181"/>
      <c r="M662" s="181"/>
      <c r="N662" s="181"/>
      <c r="O662" s="181"/>
      <c r="P662" s="181"/>
    </row>
    <row r="663">
      <c r="B663" s="292"/>
      <c r="C663" s="181"/>
      <c r="D663" s="181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</row>
    <row r="664">
      <c r="B664" s="292"/>
      <c r="C664" s="181"/>
      <c r="D664" s="181"/>
      <c r="E664" s="181"/>
      <c r="F664" s="181"/>
      <c r="G664" s="181"/>
      <c r="H664" s="181"/>
      <c r="I664" s="181"/>
      <c r="J664" s="181"/>
      <c r="K664" s="181"/>
      <c r="L664" s="181"/>
      <c r="M664" s="181"/>
      <c r="N664" s="181"/>
      <c r="O664" s="181"/>
      <c r="P664" s="181"/>
    </row>
    <row r="665">
      <c r="B665" s="292"/>
      <c r="C665" s="181"/>
      <c r="D665" s="181"/>
      <c r="E665" s="181"/>
      <c r="F665" s="181"/>
      <c r="G665" s="181"/>
      <c r="H665" s="181"/>
      <c r="I665" s="181"/>
      <c r="J665" s="181"/>
      <c r="K665" s="181"/>
      <c r="L665" s="181"/>
      <c r="M665" s="181"/>
      <c r="N665" s="181"/>
      <c r="O665" s="181"/>
      <c r="P665" s="181"/>
    </row>
    <row r="666">
      <c r="B666" s="292"/>
      <c r="C666" s="181"/>
      <c r="D666" s="181"/>
      <c r="E666" s="181"/>
      <c r="F666" s="181"/>
      <c r="G666" s="181"/>
      <c r="H666" s="181"/>
      <c r="I666" s="181"/>
      <c r="J666" s="181"/>
      <c r="K666" s="181"/>
      <c r="L666" s="181"/>
      <c r="M666" s="181"/>
      <c r="N666" s="181"/>
      <c r="O666" s="181"/>
      <c r="P666" s="181"/>
    </row>
    <row r="667">
      <c r="B667" s="292"/>
      <c r="C667" s="181"/>
      <c r="D667" s="181"/>
      <c r="E667" s="181"/>
      <c r="F667" s="181"/>
      <c r="G667" s="181"/>
      <c r="H667" s="181"/>
      <c r="I667" s="181"/>
      <c r="J667" s="181"/>
      <c r="K667" s="181"/>
      <c r="L667" s="181"/>
      <c r="M667" s="181"/>
      <c r="N667" s="181"/>
      <c r="O667" s="181"/>
      <c r="P667" s="181"/>
    </row>
    <row r="668">
      <c r="B668" s="292"/>
      <c r="C668" s="181"/>
      <c r="D668" s="181"/>
      <c r="E668" s="181"/>
      <c r="F668" s="181"/>
      <c r="G668" s="181"/>
      <c r="H668" s="181"/>
      <c r="I668" s="181"/>
      <c r="J668" s="181"/>
      <c r="K668" s="181"/>
      <c r="L668" s="181"/>
      <c r="M668" s="181"/>
      <c r="N668" s="181"/>
      <c r="O668" s="181"/>
      <c r="P668" s="181"/>
    </row>
    <row r="669">
      <c r="B669" s="292"/>
      <c r="C669" s="181"/>
      <c r="D669" s="181"/>
      <c r="E669" s="181"/>
      <c r="F669" s="181"/>
      <c r="G669" s="181"/>
      <c r="H669" s="181"/>
      <c r="I669" s="181"/>
      <c r="J669" s="181"/>
      <c r="K669" s="181"/>
      <c r="L669" s="181"/>
      <c r="M669" s="181"/>
      <c r="N669" s="181"/>
      <c r="O669" s="181"/>
      <c r="P669" s="181"/>
    </row>
    <row r="670">
      <c r="B670" s="292"/>
      <c r="C670" s="181"/>
      <c r="D670" s="181"/>
      <c r="E670" s="181"/>
      <c r="F670" s="181"/>
      <c r="G670" s="181"/>
      <c r="H670" s="181"/>
      <c r="I670" s="181"/>
      <c r="J670" s="181"/>
      <c r="K670" s="181"/>
      <c r="L670" s="181"/>
      <c r="M670" s="181"/>
      <c r="N670" s="181"/>
      <c r="O670" s="181"/>
      <c r="P670" s="181"/>
    </row>
    <row r="671">
      <c r="B671" s="292"/>
      <c r="C671" s="181"/>
      <c r="D671" s="181"/>
      <c r="E671" s="181"/>
      <c r="F671" s="181"/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</row>
    <row r="672">
      <c r="B672" s="292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</row>
    <row r="673">
      <c r="B673" s="292"/>
      <c r="C673" s="181"/>
      <c r="D673" s="181"/>
      <c r="E673" s="181"/>
      <c r="F673" s="181"/>
      <c r="G673" s="181"/>
      <c r="H673" s="181"/>
      <c r="I673" s="181"/>
      <c r="J673" s="181"/>
      <c r="K673" s="181"/>
      <c r="L673" s="181"/>
      <c r="M673" s="181"/>
      <c r="N673" s="181"/>
      <c r="O673" s="181"/>
      <c r="P673" s="181"/>
    </row>
    <row r="674">
      <c r="B674" s="292"/>
      <c r="C674" s="181"/>
      <c r="D674" s="181"/>
      <c r="E674" s="181"/>
      <c r="F674" s="181"/>
      <c r="G674" s="181"/>
      <c r="H674" s="181"/>
      <c r="I674" s="181"/>
      <c r="J674" s="181"/>
      <c r="K674" s="181"/>
      <c r="L674" s="181"/>
      <c r="M674" s="181"/>
      <c r="N674" s="181"/>
      <c r="O674" s="181"/>
      <c r="P674" s="181"/>
    </row>
    <row r="675">
      <c r="B675" s="292"/>
      <c r="C675" s="181"/>
      <c r="D675" s="181"/>
      <c r="E675" s="181"/>
      <c r="F675" s="181"/>
      <c r="G675" s="181"/>
      <c r="H675" s="181"/>
      <c r="I675" s="181"/>
      <c r="J675" s="181"/>
      <c r="K675" s="181"/>
      <c r="L675" s="181"/>
      <c r="M675" s="181"/>
      <c r="N675" s="181"/>
      <c r="O675" s="181"/>
      <c r="P675" s="181"/>
    </row>
    <row r="676">
      <c r="B676" s="292"/>
      <c r="C676" s="181"/>
      <c r="D676" s="181"/>
      <c r="E676" s="181"/>
      <c r="F676" s="181"/>
      <c r="G676" s="181"/>
      <c r="H676" s="181"/>
      <c r="I676" s="181"/>
      <c r="J676" s="181"/>
      <c r="K676" s="181"/>
      <c r="L676" s="181"/>
      <c r="M676" s="181"/>
      <c r="N676" s="181"/>
      <c r="O676" s="181"/>
      <c r="P676" s="181"/>
    </row>
    <row r="677">
      <c r="B677" s="292"/>
      <c r="C677" s="181"/>
      <c r="D677" s="181"/>
      <c r="E677" s="181"/>
      <c r="F677" s="181"/>
      <c r="G677" s="181"/>
      <c r="H677" s="181"/>
      <c r="I677" s="181"/>
      <c r="J677" s="181"/>
      <c r="K677" s="181"/>
      <c r="L677" s="181"/>
      <c r="M677" s="181"/>
      <c r="N677" s="181"/>
      <c r="O677" s="181"/>
      <c r="P677" s="181"/>
    </row>
    <row r="678">
      <c r="B678" s="292"/>
      <c r="C678" s="181"/>
      <c r="D678" s="181"/>
      <c r="E678" s="181"/>
      <c r="F678" s="181"/>
      <c r="G678" s="181"/>
      <c r="H678" s="181"/>
      <c r="I678" s="181"/>
      <c r="J678" s="181"/>
      <c r="K678" s="181"/>
      <c r="L678" s="181"/>
      <c r="M678" s="181"/>
      <c r="N678" s="181"/>
      <c r="O678" s="181"/>
      <c r="P678" s="181"/>
    </row>
    <row r="679">
      <c r="B679" s="292"/>
      <c r="C679" s="181"/>
      <c r="D679" s="181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</row>
    <row r="680">
      <c r="B680" s="292"/>
      <c r="C680" s="181"/>
      <c r="D680" s="181"/>
      <c r="E680" s="181"/>
      <c r="F680" s="181"/>
      <c r="G680" s="181"/>
      <c r="H680" s="181"/>
      <c r="I680" s="181"/>
      <c r="J680" s="181"/>
      <c r="K680" s="181"/>
      <c r="L680" s="181"/>
      <c r="M680" s="181"/>
      <c r="N680" s="181"/>
      <c r="O680" s="181"/>
      <c r="P680" s="181"/>
    </row>
    <row r="681">
      <c r="B681" s="292"/>
      <c r="C681" s="181"/>
      <c r="D681" s="181"/>
      <c r="E681" s="181"/>
      <c r="F681" s="181"/>
      <c r="G681" s="181"/>
      <c r="H681" s="181"/>
      <c r="I681" s="181"/>
      <c r="J681" s="181"/>
      <c r="K681" s="181"/>
      <c r="L681" s="181"/>
      <c r="M681" s="181"/>
      <c r="N681" s="181"/>
      <c r="O681" s="181"/>
      <c r="P681" s="181"/>
    </row>
    <row r="682">
      <c r="B682" s="292"/>
      <c r="C682" s="181"/>
      <c r="D682" s="181"/>
      <c r="E682" s="181"/>
      <c r="F682" s="181"/>
      <c r="G682" s="181"/>
      <c r="H682" s="181"/>
      <c r="I682" s="181"/>
      <c r="J682" s="181"/>
      <c r="K682" s="181"/>
      <c r="L682" s="181"/>
      <c r="M682" s="181"/>
      <c r="N682" s="181"/>
      <c r="O682" s="181"/>
      <c r="P682" s="181"/>
    </row>
    <row r="683">
      <c r="B683" s="292"/>
      <c r="C683" s="181"/>
      <c r="D683" s="181"/>
      <c r="E683" s="181"/>
      <c r="F683" s="181"/>
      <c r="G683" s="181"/>
      <c r="H683" s="181"/>
      <c r="I683" s="181"/>
      <c r="J683" s="181"/>
      <c r="K683" s="181"/>
      <c r="L683" s="181"/>
      <c r="M683" s="181"/>
      <c r="N683" s="181"/>
      <c r="O683" s="181"/>
      <c r="P683" s="181"/>
    </row>
    <row r="684">
      <c r="B684" s="292"/>
      <c r="C684" s="181"/>
      <c r="D684" s="181"/>
      <c r="E684" s="181"/>
      <c r="F684" s="181"/>
      <c r="G684" s="181"/>
      <c r="H684" s="181"/>
      <c r="I684" s="181"/>
      <c r="J684" s="181"/>
      <c r="K684" s="181"/>
      <c r="L684" s="181"/>
      <c r="M684" s="181"/>
      <c r="N684" s="181"/>
      <c r="O684" s="181"/>
      <c r="P684" s="181"/>
    </row>
    <row r="685">
      <c r="B685" s="292"/>
      <c r="C685" s="181"/>
      <c r="D685" s="181"/>
      <c r="E685" s="181"/>
      <c r="F685" s="181"/>
      <c r="G685" s="181"/>
      <c r="H685" s="181"/>
      <c r="I685" s="181"/>
      <c r="J685" s="181"/>
      <c r="K685" s="181"/>
      <c r="L685" s="181"/>
      <c r="M685" s="181"/>
      <c r="N685" s="181"/>
      <c r="O685" s="181"/>
      <c r="P685" s="181"/>
    </row>
    <row r="686">
      <c r="B686" s="292"/>
      <c r="C686" s="181"/>
      <c r="D686" s="181"/>
      <c r="E686" s="181"/>
      <c r="F686" s="181"/>
      <c r="G686" s="181"/>
      <c r="H686" s="181"/>
      <c r="I686" s="181"/>
      <c r="J686" s="181"/>
      <c r="K686" s="181"/>
      <c r="L686" s="181"/>
      <c r="M686" s="181"/>
      <c r="N686" s="181"/>
      <c r="O686" s="181"/>
      <c r="P686" s="181"/>
    </row>
    <row r="687">
      <c r="B687" s="292"/>
      <c r="C687" s="181"/>
      <c r="D687" s="181"/>
      <c r="E687" s="181"/>
      <c r="F687" s="181"/>
      <c r="G687" s="181"/>
      <c r="H687" s="181"/>
      <c r="I687" s="181"/>
      <c r="J687" s="181"/>
      <c r="K687" s="181"/>
      <c r="L687" s="181"/>
      <c r="M687" s="181"/>
      <c r="N687" s="181"/>
      <c r="O687" s="181"/>
      <c r="P687" s="181"/>
    </row>
    <row r="688">
      <c r="B688" s="292"/>
      <c r="C688" s="181"/>
      <c r="D688" s="181"/>
      <c r="E688" s="181"/>
      <c r="F688" s="181"/>
      <c r="G688" s="181"/>
      <c r="H688" s="181"/>
      <c r="I688" s="181"/>
      <c r="J688" s="181"/>
      <c r="K688" s="181"/>
      <c r="L688" s="181"/>
      <c r="M688" s="181"/>
      <c r="N688" s="181"/>
      <c r="O688" s="181"/>
      <c r="P688" s="181"/>
    </row>
    <row r="689">
      <c r="B689" s="292"/>
      <c r="C689" s="181"/>
      <c r="D689" s="181"/>
      <c r="E689" s="181"/>
      <c r="F689" s="181"/>
      <c r="G689" s="181"/>
      <c r="H689" s="181"/>
      <c r="I689" s="181"/>
      <c r="J689" s="181"/>
      <c r="K689" s="181"/>
      <c r="L689" s="181"/>
      <c r="M689" s="181"/>
      <c r="N689" s="181"/>
      <c r="O689" s="181"/>
      <c r="P689" s="181"/>
    </row>
    <row r="690">
      <c r="B690" s="292"/>
      <c r="C690" s="181"/>
      <c r="D690" s="181"/>
      <c r="E690" s="181"/>
      <c r="F690" s="181"/>
      <c r="G690" s="181"/>
      <c r="H690" s="181"/>
      <c r="I690" s="181"/>
      <c r="J690" s="181"/>
      <c r="K690" s="181"/>
      <c r="L690" s="181"/>
      <c r="M690" s="181"/>
      <c r="N690" s="181"/>
      <c r="O690" s="181"/>
      <c r="P690" s="181"/>
    </row>
    <row r="691">
      <c r="B691" s="292"/>
      <c r="C691" s="181"/>
      <c r="D691" s="181"/>
      <c r="E691" s="181"/>
      <c r="F691" s="181"/>
      <c r="G691" s="181"/>
      <c r="H691" s="181"/>
      <c r="I691" s="181"/>
      <c r="J691" s="181"/>
      <c r="K691" s="181"/>
      <c r="L691" s="181"/>
      <c r="M691" s="181"/>
      <c r="N691" s="181"/>
      <c r="O691" s="181"/>
      <c r="P691" s="181"/>
    </row>
    <row r="692">
      <c r="B692" s="292"/>
      <c r="C692" s="181"/>
      <c r="D692" s="181"/>
      <c r="E692" s="181"/>
      <c r="F692" s="181"/>
      <c r="G692" s="181"/>
      <c r="H692" s="181"/>
      <c r="I692" s="181"/>
      <c r="J692" s="181"/>
      <c r="K692" s="181"/>
      <c r="L692" s="181"/>
      <c r="M692" s="181"/>
      <c r="N692" s="181"/>
      <c r="O692" s="181"/>
      <c r="P692" s="181"/>
    </row>
    <row r="693">
      <c r="B693" s="292"/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</row>
    <row r="694">
      <c r="B694" s="292"/>
      <c r="C694" s="181"/>
      <c r="D694" s="181"/>
      <c r="E694" s="181"/>
      <c r="F694" s="181"/>
      <c r="G694" s="181"/>
      <c r="H694" s="181"/>
      <c r="I694" s="181"/>
      <c r="J694" s="181"/>
      <c r="K694" s="181"/>
      <c r="L694" s="181"/>
      <c r="M694" s="181"/>
      <c r="N694" s="181"/>
      <c r="O694" s="181"/>
      <c r="P694" s="181"/>
    </row>
    <row r="695">
      <c r="B695" s="292"/>
      <c r="C695" s="181"/>
      <c r="D695" s="181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</row>
    <row r="696">
      <c r="B696" s="292"/>
      <c r="C696" s="181"/>
      <c r="D696" s="181"/>
      <c r="E696" s="181"/>
      <c r="F696" s="181"/>
      <c r="G696" s="181"/>
      <c r="H696" s="181"/>
      <c r="I696" s="181"/>
      <c r="J696" s="181"/>
      <c r="K696" s="181"/>
      <c r="L696" s="181"/>
      <c r="M696" s="181"/>
      <c r="N696" s="181"/>
      <c r="O696" s="181"/>
      <c r="P696" s="181"/>
    </row>
    <row r="697">
      <c r="B697" s="292"/>
      <c r="C697" s="181"/>
      <c r="D697" s="181"/>
      <c r="E697" s="181"/>
      <c r="F697" s="181"/>
      <c r="G697" s="181"/>
      <c r="H697" s="181"/>
      <c r="I697" s="181"/>
      <c r="J697" s="181"/>
      <c r="K697" s="181"/>
      <c r="L697" s="181"/>
      <c r="M697" s="181"/>
      <c r="N697" s="181"/>
      <c r="O697" s="181"/>
      <c r="P697" s="181"/>
    </row>
    <row r="698">
      <c r="B698" s="292"/>
      <c r="C698" s="181"/>
      <c r="D698" s="181"/>
      <c r="E698" s="181"/>
      <c r="F698" s="181"/>
      <c r="G698" s="181"/>
      <c r="H698" s="181"/>
      <c r="I698" s="181"/>
      <c r="J698" s="181"/>
      <c r="K698" s="181"/>
      <c r="L698" s="181"/>
      <c r="M698" s="181"/>
      <c r="N698" s="181"/>
      <c r="O698" s="181"/>
      <c r="P698" s="181"/>
    </row>
    <row r="699">
      <c r="B699" s="292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</row>
    <row r="700">
      <c r="B700" s="292"/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181"/>
      <c r="N700" s="181"/>
      <c r="O700" s="181"/>
      <c r="P700" s="181"/>
    </row>
    <row r="701">
      <c r="B701" s="292"/>
      <c r="C701" s="181"/>
      <c r="D701" s="181"/>
      <c r="E701" s="181"/>
      <c r="F701" s="181"/>
      <c r="G701" s="181"/>
      <c r="H701" s="181"/>
      <c r="I701" s="181"/>
      <c r="J701" s="181"/>
      <c r="K701" s="181"/>
      <c r="L701" s="181"/>
      <c r="M701" s="181"/>
      <c r="N701" s="181"/>
      <c r="O701" s="181"/>
      <c r="P701" s="181"/>
    </row>
    <row r="702">
      <c r="B702" s="292"/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</row>
    <row r="703">
      <c r="B703" s="292"/>
      <c r="C703" s="181"/>
      <c r="D703" s="181"/>
      <c r="E703" s="181"/>
      <c r="F703" s="181"/>
      <c r="G703" s="181"/>
      <c r="H703" s="181"/>
      <c r="I703" s="181"/>
      <c r="J703" s="181"/>
      <c r="K703" s="181"/>
      <c r="L703" s="181"/>
      <c r="M703" s="181"/>
      <c r="N703" s="181"/>
      <c r="O703" s="181"/>
      <c r="P703" s="181"/>
    </row>
    <row r="704">
      <c r="B704" s="292"/>
      <c r="C704" s="181"/>
      <c r="D704" s="181"/>
      <c r="E704" s="181"/>
      <c r="F704" s="181"/>
      <c r="G704" s="181"/>
      <c r="H704" s="181"/>
      <c r="I704" s="181"/>
      <c r="J704" s="181"/>
      <c r="K704" s="181"/>
      <c r="L704" s="181"/>
      <c r="M704" s="181"/>
      <c r="N704" s="181"/>
      <c r="O704" s="181"/>
      <c r="P704" s="181"/>
    </row>
    <row r="705">
      <c r="B705" s="292"/>
      <c r="C705" s="181"/>
      <c r="D705" s="181"/>
      <c r="E705" s="181"/>
      <c r="F705" s="181"/>
      <c r="G705" s="181"/>
      <c r="H705" s="181"/>
      <c r="I705" s="181"/>
      <c r="J705" s="181"/>
      <c r="K705" s="181"/>
      <c r="L705" s="181"/>
      <c r="M705" s="181"/>
      <c r="N705" s="181"/>
      <c r="O705" s="181"/>
      <c r="P705" s="181"/>
    </row>
    <row r="706">
      <c r="B706" s="292"/>
      <c r="C706" s="181"/>
      <c r="D706" s="181"/>
      <c r="E706" s="181"/>
      <c r="F706" s="181"/>
      <c r="G706" s="181"/>
      <c r="H706" s="181"/>
      <c r="I706" s="181"/>
      <c r="J706" s="181"/>
      <c r="K706" s="181"/>
      <c r="L706" s="181"/>
      <c r="M706" s="181"/>
      <c r="N706" s="181"/>
      <c r="O706" s="181"/>
      <c r="P706" s="181"/>
    </row>
    <row r="707">
      <c r="B707" s="292"/>
      <c r="C707" s="181"/>
      <c r="D707" s="181"/>
      <c r="E707" s="181"/>
      <c r="F707" s="181"/>
      <c r="G707" s="181"/>
      <c r="H707" s="181"/>
      <c r="I707" s="181"/>
      <c r="J707" s="181"/>
      <c r="K707" s="181"/>
      <c r="L707" s="181"/>
      <c r="M707" s="181"/>
      <c r="N707" s="181"/>
      <c r="O707" s="181"/>
      <c r="P707" s="181"/>
    </row>
    <row r="708">
      <c r="B708" s="292"/>
      <c r="C708" s="181"/>
      <c r="D708" s="181"/>
      <c r="E708" s="181"/>
      <c r="F708" s="181"/>
      <c r="G708" s="181"/>
      <c r="H708" s="181"/>
      <c r="I708" s="181"/>
      <c r="J708" s="181"/>
      <c r="K708" s="181"/>
      <c r="L708" s="181"/>
      <c r="M708" s="181"/>
      <c r="N708" s="181"/>
      <c r="O708" s="181"/>
      <c r="P708" s="181"/>
    </row>
    <row r="709">
      <c r="B709" s="292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</row>
    <row r="710">
      <c r="B710" s="292"/>
      <c r="C710" s="181"/>
      <c r="D710" s="181"/>
      <c r="E710" s="181"/>
      <c r="F710" s="181"/>
      <c r="G710" s="181"/>
      <c r="H710" s="181"/>
      <c r="I710" s="181"/>
      <c r="J710" s="181"/>
      <c r="K710" s="181"/>
      <c r="L710" s="181"/>
      <c r="M710" s="181"/>
      <c r="N710" s="181"/>
      <c r="O710" s="181"/>
      <c r="P710" s="181"/>
    </row>
    <row r="711">
      <c r="B711" s="292"/>
      <c r="C711" s="181"/>
      <c r="D711" s="181"/>
      <c r="E711" s="181"/>
      <c r="F711" s="181"/>
      <c r="G711" s="181"/>
      <c r="H711" s="181"/>
      <c r="I711" s="181"/>
      <c r="J711" s="181"/>
      <c r="K711" s="181"/>
      <c r="L711" s="181"/>
      <c r="M711" s="181"/>
      <c r="N711" s="181"/>
      <c r="O711" s="181"/>
      <c r="P711" s="181"/>
    </row>
    <row r="712">
      <c r="B712" s="292"/>
      <c r="C712" s="181"/>
      <c r="D712" s="181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</row>
    <row r="713">
      <c r="B713" s="292"/>
      <c r="C713" s="181"/>
      <c r="D713" s="181"/>
      <c r="E713" s="181"/>
      <c r="F713" s="181"/>
      <c r="G713" s="181"/>
      <c r="H713" s="181"/>
      <c r="I713" s="181"/>
      <c r="J713" s="181"/>
      <c r="K713" s="181"/>
      <c r="L713" s="181"/>
      <c r="M713" s="181"/>
      <c r="N713" s="181"/>
      <c r="O713" s="181"/>
      <c r="P713" s="181"/>
    </row>
    <row r="714">
      <c r="B714" s="292"/>
      <c r="C714" s="181"/>
      <c r="D714" s="181"/>
      <c r="E714" s="181"/>
      <c r="F714" s="181"/>
      <c r="G714" s="181"/>
      <c r="H714" s="181"/>
      <c r="I714" s="181"/>
      <c r="J714" s="181"/>
      <c r="K714" s="181"/>
      <c r="L714" s="181"/>
      <c r="M714" s="181"/>
      <c r="N714" s="181"/>
      <c r="O714" s="181"/>
      <c r="P714" s="181"/>
    </row>
    <row r="715">
      <c r="B715" s="292"/>
      <c r="C715" s="181"/>
      <c r="D715" s="181"/>
      <c r="E715" s="181"/>
      <c r="F715" s="181"/>
      <c r="G715" s="181"/>
      <c r="H715" s="181"/>
      <c r="I715" s="181"/>
      <c r="J715" s="181"/>
      <c r="K715" s="181"/>
      <c r="L715" s="181"/>
      <c r="M715" s="181"/>
      <c r="N715" s="181"/>
      <c r="O715" s="181"/>
      <c r="P715" s="181"/>
    </row>
    <row r="716">
      <c r="B716" s="292"/>
      <c r="C716" s="181"/>
      <c r="D716" s="181"/>
      <c r="E716" s="181"/>
      <c r="F716" s="181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</row>
    <row r="717">
      <c r="B717" s="292"/>
      <c r="C717" s="181"/>
      <c r="D717" s="181"/>
      <c r="E717" s="181"/>
      <c r="F717" s="181"/>
      <c r="G717" s="181"/>
      <c r="H717" s="181"/>
      <c r="I717" s="181"/>
      <c r="J717" s="181"/>
      <c r="K717" s="181"/>
      <c r="L717" s="181"/>
      <c r="M717" s="181"/>
      <c r="N717" s="181"/>
      <c r="O717" s="181"/>
      <c r="P717" s="181"/>
    </row>
    <row r="718">
      <c r="B718" s="292"/>
      <c r="C718" s="181"/>
      <c r="D718" s="181"/>
      <c r="E718" s="181"/>
      <c r="F718" s="181"/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</row>
    <row r="719">
      <c r="B719" s="292"/>
      <c r="C719" s="181"/>
      <c r="D719" s="181"/>
      <c r="E719" s="181"/>
      <c r="F719" s="181"/>
      <c r="G719" s="181"/>
      <c r="H719" s="181"/>
      <c r="I719" s="181"/>
      <c r="J719" s="181"/>
      <c r="K719" s="181"/>
      <c r="L719" s="181"/>
      <c r="M719" s="181"/>
      <c r="N719" s="181"/>
      <c r="O719" s="181"/>
      <c r="P719" s="181"/>
    </row>
    <row r="720">
      <c r="B720" s="292"/>
      <c r="C720" s="181"/>
      <c r="D720" s="181"/>
      <c r="E720" s="181"/>
      <c r="F720" s="181"/>
      <c r="G720" s="181"/>
      <c r="H720" s="181"/>
      <c r="I720" s="181"/>
      <c r="J720" s="181"/>
      <c r="K720" s="181"/>
      <c r="L720" s="181"/>
      <c r="M720" s="181"/>
      <c r="N720" s="181"/>
      <c r="O720" s="181"/>
      <c r="P720" s="181"/>
    </row>
    <row r="721">
      <c r="B721" s="292"/>
      <c r="C721" s="181"/>
      <c r="D721" s="181"/>
      <c r="E721" s="181"/>
      <c r="F721" s="181"/>
      <c r="G721" s="181"/>
      <c r="H721" s="181"/>
      <c r="I721" s="181"/>
      <c r="J721" s="181"/>
      <c r="K721" s="181"/>
      <c r="L721" s="181"/>
      <c r="M721" s="181"/>
      <c r="N721" s="181"/>
      <c r="O721" s="181"/>
      <c r="P721" s="181"/>
    </row>
    <row r="722">
      <c r="B722" s="292"/>
      <c r="C722" s="181"/>
      <c r="D722" s="181"/>
      <c r="E722" s="181"/>
      <c r="F722" s="181"/>
      <c r="G722" s="181"/>
      <c r="H722" s="181"/>
      <c r="I722" s="181"/>
      <c r="J722" s="181"/>
      <c r="K722" s="181"/>
      <c r="L722" s="181"/>
      <c r="M722" s="181"/>
      <c r="N722" s="181"/>
      <c r="O722" s="181"/>
      <c r="P722" s="181"/>
    </row>
    <row r="723">
      <c r="B723" s="292"/>
      <c r="C723" s="181"/>
      <c r="D723" s="181"/>
      <c r="E723" s="181"/>
      <c r="F723" s="181"/>
      <c r="G723" s="181"/>
      <c r="H723" s="181"/>
      <c r="I723" s="181"/>
      <c r="J723" s="181"/>
      <c r="K723" s="181"/>
      <c r="L723" s="181"/>
      <c r="M723" s="181"/>
      <c r="N723" s="181"/>
      <c r="O723" s="181"/>
      <c r="P723" s="181"/>
    </row>
    <row r="724">
      <c r="B724" s="292"/>
      <c r="C724" s="181"/>
      <c r="D724" s="181"/>
      <c r="E724" s="181"/>
      <c r="F724" s="181"/>
      <c r="G724" s="181"/>
      <c r="H724" s="181"/>
      <c r="I724" s="181"/>
      <c r="J724" s="181"/>
      <c r="K724" s="181"/>
      <c r="L724" s="181"/>
      <c r="M724" s="181"/>
      <c r="N724" s="181"/>
      <c r="O724" s="181"/>
      <c r="P724" s="181"/>
    </row>
    <row r="725">
      <c r="B725" s="292"/>
      <c r="C725" s="181"/>
      <c r="D725" s="181"/>
      <c r="E725" s="181"/>
      <c r="F725" s="181"/>
      <c r="G725" s="181"/>
      <c r="H725" s="181"/>
      <c r="I725" s="181"/>
      <c r="J725" s="181"/>
      <c r="K725" s="181"/>
      <c r="L725" s="181"/>
      <c r="M725" s="181"/>
      <c r="N725" s="181"/>
      <c r="O725" s="181"/>
      <c r="P725" s="181"/>
    </row>
    <row r="726">
      <c r="B726" s="292"/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</row>
    <row r="727">
      <c r="B727" s="292"/>
      <c r="C727" s="181"/>
      <c r="D727" s="181"/>
      <c r="E727" s="181"/>
      <c r="F727" s="181"/>
      <c r="G727" s="181"/>
      <c r="H727" s="181"/>
      <c r="I727" s="181"/>
      <c r="J727" s="181"/>
      <c r="K727" s="181"/>
      <c r="L727" s="181"/>
      <c r="M727" s="181"/>
      <c r="N727" s="181"/>
      <c r="O727" s="181"/>
      <c r="P727" s="181"/>
    </row>
    <row r="728">
      <c r="B728" s="292"/>
      <c r="C728" s="181"/>
      <c r="D728" s="181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</row>
    <row r="729">
      <c r="B729" s="292"/>
      <c r="C729" s="181"/>
      <c r="D729" s="181"/>
      <c r="E729" s="181"/>
      <c r="F729" s="181"/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</row>
    <row r="730">
      <c r="B730" s="292"/>
      <c r="C730" s="181"/>
      <c r="D730" s="181"/>
      <c r="E730" s="181"/>
      <c r="F730" s="181"/>
      <c r="G730" s="181"/>
      <c r="H730" s="181"/>
      <c r="I730" s="181"/>
      <c r="J730" s="181"/>
      <c r="K730" s="181"/>
      <c r="L730" s="181"/>
      <c r="M730" s="181"/>
      <c r="N730" s="181"/>
      <c r="O730" s="181"/>
      <c r="P730" s="181"/>
    </row>
    <row r="731">
      <c r="B731" s="292"/>
      <c r="C731" s="181"/>
      <c r="D731" s="181"/>
      <c r="E731" s="181"/>
      <c r="F731" s="181"/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</row>
    <row r="732">
      <c r="B732" s="292"/>
      <c r="C732" s="181"/>
      <c r="D732" s="181"/>
      <c r="E732" s="181"/>
      <c r="F732" s="181"/>
      <c r="G732" s="181"/>
      <c r="H732" s="181"/>
      <c r="I732" s="181"/>
      <c r="J732" s="181"/>
      <c r="K732" s="181"/>
      <c r="L732" s="181"/>
      <c r="M732" s="181"/>
      <c r="N732" s="181"/>
      <c r="O732" s="181"/>
      <c r="P732" s="181"/>
    </row>
    <row r="733">
      <c r="B733" s="292"/>
      <c r="C733" s="181"/>
      <c r="D733" s="181"/>
      <c r="E733" s="181"/>
      <c r="F733" s="181"/>
      <c r="G733" s="181"/>
      <c r="H733" s="181"/>
      <c r="I733" s="181"/>
      <c r="J733" s="181"/>
      <c r="K733" s="181"/>
      <c r="L733" s="181"/>
      <c r="M733" s="181"/>
      <c r="N733" s="181"/>
      <c r="O733" s="181"/>
      <c r="P733" s="181"/>
    </row>
    <row r="734">
      <c r="B734" s="292"/>
      <c r="C734" s="181"/>
      <c r="D734" s="181"/>
      <c r="E734" s="181"/>
      <c r="F734" s="181"/>
      <c r="G734" s="181"/>
      <c r="H734" s="181"/>
      <c r="I734" s="181"/>
      <c r="J734" s="181"/>
      <c r="K734" s="181"/>
      <c r="L734" s="181"/>
      <c r="M734" s="181"/>
      <c r="N734" s="181"/>
      <c r="O734" s="181"/>
      <c r="P734" s="181"/>
    </row>
    <row r="735">
      <c r="B735" s="292"/>
      <c r="C735" s="181"/>
      <c r="D735" s="181"/>
      <c r="E735" s="181"/>
      <c r="F735" s="181"/>
      <c r="G735" s="181"/>
      <c r="H735" s="181"/>
      <c r="I735" s="181"/>
      <c r="J735" s="181"/>
      <c r="K735" s="181"/>
      <c r="L735" s="181"/>
      <c r="M735" s="181"/>
      <c r="N735" s="181"/>
      <c r="O735" s="181"/>
      <c r="P735" s="181"/>
    </row>
    <row r="736">
      <c r="B736" s="292"/>
      <c r="C736" s="181"/>
      <c r="D736" s="181"/>
      <c r="E736" s="181"/>
      <c r="F736" s="181"/>
      <c r="G736" s="181"/>
      <c r="H736" s="181"/>
      <c r="I736" s="181"/>
      <c r="J736" s="181"/>
      <c r="K736" s="181"/>
      <c r="L736" s="181"/>
      <c r="M736" s="181"/>
      <c r="N736" s="181"/>
      <c r="O736" s="181"/>
      <c r="P736" s="181"/>
    </row>
    <row r="737">
      <c r="B737" s="292"/>
      <c r="C737" s="181"/>
      <c r="D737" s="181"/>
      <c r="E737" s="181"/>
      <c r="F737" s="181"/>
      <c r="G737" s="181"/>
      <c r="H737" s="181"/>
      <c r="I737" s="181"/>
      <c r="J737" s="181"/>
      <c r="K737" s="181"/>
      <c r="L737" s="181"/>
      <c r="M737" s="181"/>
      <c r="N737" s="181"/>
      <c r="O737" s="181"/>
      <c r="P737" s="181"/>
    </row>
    <row r="738">
      <c r="B738" s="292"/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181"/>
      <c r="N738" s="181"/>
      <c r="O738" s="181"/>
      <c r="P738" s="181"/>
    </row>
    <row r="739">
      <c r="B739" s="292"/>
      <c r="C739" s="181"/>
      <c r="D739" s="181"/>
      <c r="E739" s="181"/>
      <c r="F739" s="181"/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</row>
    <row r="740">
      <c r="B740" s="292"/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</row>
    <row r="741">
      <c r="B741" s="292"/>
      <c r="C741" s="181"/>
      <c r="D741" s="181"/>
      <c r="E741" s="181"/>
      <c r="F741" s="181"/>
      <c r="G741" s="181"/>
      <c r="H741" s="181"/>
      <c r="I741" s="181"/>
      <c r="J741" s="181"/>
      <c r="K741" s="181"/>
      <c r="L741" s="181"/>
      <c r="M741" s="181"/>
      <c r="N741" s="181"/>
      <c r="O741" s="181"/>
      <c r="P741" s="181"/>
    </row>
    <row r="742">
      <c r="B742" s="292"/>
      <c r="C742" s="181"/>
      <c r="D742" s="181"/>
      <c r="E742" s="181"/>
      <c r="F742" s="181"/>
      <c r="G742" s="181"/>
      <c r="H742" s="181"/>
      <c r="I742" s="181"/>
      <c r="J742" s="181"/>
      <c r="K742" s="181"/>
      <c r="L742" s="181"/>
      <c r="M742" s="181"/>
      <c r="N742" s="181"/>
      <c r="O742" s="181"/>
      <c r="P742" s="181"/>
    </row>
    <row r="743">
      <c r="B743" s="292"/>
      <c r="C743" s="181"/>
      <c r="D743" s="181"/>
      <c r="E743" s="181"/>
      <c r="F743" s="181"/>
      <c r="G743" s="181"/>
      <c r="H743" s="181"/>
      <c r="I743" s="181"/>
      <c r="J743" s="181"/>
      <c r="K743" s="181"/>
      <c r="L743" s="181"/>
      <c r="M743" s="181"/>
      <c r="N743" s="181"/>
      <c r="O743" s="181"/>
      <c r="P743" s="181"/>
    </row>
    <row r="744">
      <c r="B744" s="292"/>
      <c r="C744" s="181"/>
      <c r="D744" s="181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</row>
    <row r="745">
      <c r="B745" s="292"/>
      <c r="C745" s="181"/>
      <c r="D745" s="181"/>
      <c r="E745" s="181"/>
      <c r="F745" s="181"/>
      <c r="G745" s="181"/>
      <c r="H745" s="181"/>
      <c r="I745" s="181"/>
      <c r="J745" s="181"/>
      <c r="K745" s="181"/>
      <c r="L745" s="181"/>
      <c r="M745" s="181"/>
      <c r="N745" s="181"/>
      <c r="O745" s="181"/>
      <c r="P745" s="181"/>
    </row>
    <row r="746">
      <c r="B746" s="292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</row>
    <row r="747">
      <c r="B747" s="292"/>
      <c r="C747" s="181"/>
      <c r="D747" s="181"/>
      <c r="E747" s="181"/>
      <c r="F747" s="181"/>
      <c r="G747" s="181"/>
      <c r="H747" s="181"/>
      <c r="I747" s="181"/>
      <c r="J747" s="181"/>
      <c r="K747" s="181"/>
      <c r="L747" s="181"/>
      <c r="M747" s="181"/>
      <c r="N747" s="181"/>
      <c r="O747" s="181"/>
      <c r="P747" s="181"/>
    </row>
    <row r="748">
      <c r="B748" s="292"/>
      <c r="C748" s="181"/>
      <c r="D748" s="181"/>
      <c r="E748" s="181"/>
      <c r="F748" s="181"/>
      <c r="G748" s="181"/>
      <c r="H748" s="181"/>
      <c r="I748" s="181"/>
      <c r="J748" s="181"/>
      <c r="K748" s="181"/>
      <c r="L748" s="181"/>
      <c r="M748" s="181"/>
      <c r="N748" s="181"/>
      <c r="O748" s="181"/>
      <c r="P748" s="181"/>
    </row>
    <row r="749">
      <c r="B749" s="292"/>
      <c r="C749" s="181"/>
      <c r="D749" s="181"/>
      <c r="E749" s="181"/>
      <c r="F749" s="181"/>
      <c r="G749" s="181"/>
      <c r="H749" s="181"/>
      <c r="I749" s="181"/>
      <c r="J749" s="181"/>
      <c r="K749" s="181"/>
      <c r="L749" s="181"/>
      <c r="M749" s="181"/>
      <c r="N749" s="181"/>
      <c r="O749" s="181"/>
      <c r="P749" s="181"/>
    </row>
    <row r="750">
      <c r="B750" s="292"/>
      <c r="C750" s="181"/>
      <c r="D750" s="181"/>
      <c r="E750" s="181"/>
      <c r="F750" s="181"/>
      <c r="G750" s="181"/>
      <c r="H750" s="181"/>
      <c r="I750" s="181"/>
      <c r="J750" s="181"/>
      <c r="K750" s="181"/>
      <c r="L750" s="181"/>
      <c r="M750" s="181"/>
      <c r="N750" s="181"/>
      <c r="O750" s="181"/>
      <c r="P750" s="181"/>
    </row>
    <row r="751">
      <c r="B751" s="292"/>
      <c r="C751" s="181"/>
      <c r="D751" s="181"/>
      <c r="E751" s="181"/>
      <c r="F751" s="181"/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</row>
    <row r="752">
      <c r="B752" s="292"/>
      <c r="C752" s="181"/>
      <c r="D752" s="181"/>
      <c r="E752" s="181"/>
      <c r="F752" s="181"/>
      <c r="G752" s="181"/>
      <c r="H752" s="181"/>
      <c r="I752" s="181"/>
      <c r="J752" s="181"/>
      <c r="K752" s="181"/>
      <c r="L752" s="181"/>
      <c r="M752" s="181"/>
      <c r="N752" s="181"/>
      <c r="O752" s="181"/>
      <c r="P752" s="181"/>
    </row>
    <row r="753">
      <c r="B753" s="292"/>
      <c r="C753" s="181"/>
      <c r="D753" s="181"/>
      <c r="E753" s="181"/>
      <c r="F753" s="181"/>
      <c r="G753" s="181"/>
      <c r="H753" s="181"/>
      <c r="I753" s="181"/>
      <c r="J753" s="181"/>
      <c r="K753" s="181"/>
      <c r="L753" s="181"/>
      <c r="M753" s="181"/>
      <c r="N753" s="181"/>
      <c r="O753" s="181"/>
      <c r="P753" s="181"/>
    </row>
    <row r="754">
      <c r="B754" s="292"/>
      <c r="C754" s="181"/>
      <c r="D754" s="181"/>
      <c r="E754" s="181"/>
      <c r="F754" s="181"/>
      <c r="G754" s="181"/>
      <c r="H754" s="181"/>
      <c r="I754" s="181"/>
      <c r="J754" s="181"/>
      <c r="K754" s="181"/>
      <c r="L754" s="181"/>
      <c r="M754" s="181"/>
      <c r="N754" s="181"/>
      <c r="O754" s="181"/>
      <c r="P754" s="181"/>
    </row>
    <row r="755">
      <c r="B755" s="292"/>
      <c r="C755" s="181"/>
      <c r="D755" s="181"/>
      <c r="E755" s="181"/>
      <c r="F755" s="181"/>
      <c r="G755" s="181"/>
      <c r="H755" s="181"/>
      <c r="I755" s="181"/>
      <c r="J755" s="181"/>
      <c r="K755" s="181"/>
      <c r="L755" s="181"/>
      <c r="M755" s="181"/>
      <c r="N755" s="181"/>
      <c r="O755" s="181"/>
      <c r="P755" s="181"/>
    </row>
    <row r="756">
      <c r="B756" s="292"/>
      <c r="C756" s="181"/>
      <c r="D756" s="181"/>
      <c r="E756" s="181"/>
      <c r="F756" s="181"/>
      <c r="G756" s="181"/>
      <c r="H756" s="181"/>
      <c r="I756" s="181"/>
      <c r="J756" s="181"/>
      <c r="K756" s="181"/>
      <c r="L756" s="181"/>
      <c r="M756" s="181"/>
      <c r="N756" s="181"/>
      <c r="O756" s="181"/>
      <c r="P756" s="181"/>
    </row>
    <row r="757">
      <c r="B757" s="292"/>
      <c r="C757" s="181"/>
      <c r="D757" s="181"/>
      <c r="E757" s="181"/>
      <c r="F757" s="181"/>
      <c r="G757" s="181"/>
      <c r="H757" s="181"/>
      <c r="I757" s="181"/>
      <c r="J757" s="181"/>
      <c r="K757" s="181"/>
      <c r="L757" s="181"/>
      <c r="M757" s="181"/>
      <c r="N757" s="181"/>
      <c r="O757" s="181"/>
      <c r="P757" s="181"/>
    </row>
    <row r="758">
      <c r="B758" s="292"/>
      <c r="C758" s="181"/>
      <c r="D758" s="181"/>
      <c r="E758" s="181"/>
      <c r="F758" s="181"/>
      <c r="G758" s="181"/>
      <c r="H758" s="181"/>
      <c r="I758" s="181"/>
      <c r="J758" s="181"/>
      <c r="K758" s="181"/>
      <c r="L758" s="181"/>
      <c r="M758" s="181"/>
      <c r="N758" s="181"/>
      <c r="O758" s="181"/>
      <c r="P758" s="181"/>
    </row>
    <row r="759">
      <c r="B759" s="292"/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</row>
    <row r="760">
      <c r="B760" s="292"/>
      <c r="C760" s="181"/>
      <c r="D760" s="181"/>
      <c r="E760" s="181"/>
      <c r="F760" s="181"/>
      <c r="G760" s="181"/>
      <c r="H760" s="181"/>
      <c r="I760" s="181"/>
      <c r="J760" s="181"/>
      <c r="K760" s="181"/>
      <c r="L760" s="181"/>
      <c r="M760" s="181"/>
      <c r="N760" s="181"/>
      <c r="O760" s="181"/>
      <c r="P760" s="181"/>
    </row>
    <row r="761">
      <c r="B761" s="292"/>
      <c r="C761" s="181"/>
      <c r="D761" s="181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</row>
    <row r="762">
      <c r="B762" s="292"/>
      <c r="C762" s="181"/>
      <c r="D762" s="181"/>
      <c r="E762" s="181"/>
      <c r="F762" s="181"/>
      <c r="G762" s="181"/>
      <c r="H762" s="181"/>
      <c r="I762" s="181"/>
      <c r="J762" s="181"/>
      <c r="K762" s="181"/>
      <c r="L762" s="181"/>
      <c r="M762" s="181"/>
      <c r="N762" s="181"/>
      <c r="O762" s="181"/>
      <c r="P762" s="181"/>
    </row>
    <row r="763">
      <c r="B763" s="292"/>
      <c r="C763" s="181"/>
      <c r="D763" s="181"/>
      <c r="E763" s="181"/>
      <c r="F763" s="181"/>
      <c r="G763" s="181"/>
      <c r="H763" s="181"/>
      <c r="I763" s="181"/>
      <c r="J763" s="181"/>
      <c r="K763" s="181"/>
      <c r="L763" s="181"/>
      <c r="M763" s="181"/>
      <c r="N763" s="181"/>
      <c r="O763" s="181"/>
      <c r="P763" s="181"/>
    </row>
    <row r="764">
      <c r="B764" s="292"/>
      <c r="C764" s="181"/>
      <c r="D764" s="181"/>
      <c r="E764" s="181"/>
      <c r="F764" s="181"/>
      <c r="G764" s="181"/>
      <c r="H764" s="181"/>
      <c r="I764" s="181"/>
      <c r="J764" s="181"/>
      <c r="K764" s="181"/>
      <c r="L764" s="181"/>
      <c r="M764" s="181"/>
      <c r="N764" s="181"/>
      <c r="O764" s="181"/>
      <c r="P764" s="181"/>
    </row>
    <row r="765">
      <c r="B765" s="292"/>
      <c r="C765" s="181"/>
      <c r="D765" s="181"/>
      <c r="E765" s="181"/>
      <c r="F765" s="181"/>
      <c r="G765" s="181"/>
      <c r="H765" s="181"/>
      <c r="I765" s="181"/>
      <c r="J765" s="181"/>
      <c r="K765" s="181"/>
      <c r="L765" s="181"/>
      <c r="M765" s="181"/>
      <c r="N765" s="181"/>
      <c r="O765" s="181"/>
      <c r="P765" s="181"/>
    </row>
    <row r="766">
      <c r="B766" s="292"/>
      <c r="C766" s="181"/>
      <c r="D766" s="181"/>
      <c r="E766" s="181"/>
      <c r="F766" s="181"/>
      <c r="G766" s="181"/>
      <c r="H766" s="181"/>
      <c r="I766" s="181"/>
      <c r="J766" s="181"/>
      <c r="K766" s="181"/>
      <c r="L766" s="181"/>
      <c r="M766" s="181"/>
      <c r="N766" s="181"/>
      <c r="O766" s="181"/>
      <c r="P766" s="181"/>
    </row>
    <row r="767">
      <c r="B767" s="292"/>
      <c r="C767" s="181"/>
      <c r="D767" s="181"/>
      <c r="E767" s="181"/>
      <c r="F767" s="181"/>
      <c r="G767" s="181"/>
      <c r="H767" s="181"/>
      <c r="I767" s="181"/>
      <c r="J767" s="181"/>
      <c r="K767" s="181"/>
      <c r="L767" s="181"/>
      <c r="M767" s="181"/>
      <c r="N767" s="181"/>
      <c r="O767" s="181"/>
      <c r="P767" s="181"/>
    </row>
    <row r="768">
      <c r="B768" s="292"/>
      <c r="C768" s="181"/>
      <c r="D768" s="181"/>
      <c r="E768" s="181"/>
      <c r="F768" s="181"/>
      <c r="G768" s="181"/>
      <c r="H768" s="181"/>
      <c r="I768" s="181"/>
      <c r="J768" s="181"/>
      <c r="K768" s="181"/>
      <c r="L768" s="181"/>
      <c r="M768" s="181"/>
      <c r="N768" s="181"/>
      <c r="O768" s="181"/>
      <c r="P768" s="181"/>
    </row>
    <row r="769">
      <c r="B769" s="292"/>
      <c r="C769" s="181"/>
      <c r="D769" s="181"/>
      <c r="E769" s="181"/>
      <c r="F769" s="181"/>
      <c r="G769" s="181"/>
      <c r="H769" s="181"/>
      <c r="I769" s="181"/>
      <c r="J769" s="181"/>
      <c r="K769" s="181"/>
      <c r="L769" s="181"/>
      <c r="M769" s="181"/>
      <c r="N769" s="181"/>
      <c r="O769" s="181"/>
      <c r="P769" s="181"/>
    </row>
    <row r="770">
      <c r="B770" s="292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</row>
    <row r="771">
      <c r="B771" s="292"/>
      <c r="C771" s="181"/>
      <c r="D771" s="181"/>
      <c r="E771" s="181"/>
      <c r="F771" s="181"/>
      <c r="G771" s="181"/>
      <c r="H771" s="181"/>
      <c r="I771" s="181"/>
      <c r="J771" s="181"/>
      <c r="K771" s="181"/>
      <c r="L771" s="181"/>
      <c r="M771" s="181"/>
      <c r="N771" s="181"/>
      <c r="O771" s="181"/>
      <c r="P771" s="181"/>
    </row>
    <row r="772">
      <c r="B772" s="292"/>
      <c r="C772" s="181"/>
      <c r="D772" s="181"/>
      <c r="E772" s="181"/>
      <c r="F772" s="181"/>
      <c r="G772" s="181"/>
      <c r="H772" s="181"/>
      <c r="I772" s="181"/>
      <c r="J772" s="181"/>
      <c r="K772" s="181"/>
      <c r="L772" s="181"/>
      <c r="M772" s="181"/>
      <c r="N772" s="181"/>
      <c r="O772" s="181"/>
      <c r="P772" s="181"/>
    </row>
    <row r="773">
      <c r="B773" s="292"/>
      <c r="C773" s="181"/>
      <c r="D773" s="181"/>
      <c r="E773" s="181"/>
      <c r="F773" s="181"/>
      <c r="G773" s="181"/>
      <c r="H773" s="181"/>
      <c r="I773" s="181"/>
      <c r="J773" s="181"/>
      <c r="K773" s="181"/>
      <c r="L773" s="181"/>
      <c r="M773" s="181"/>
      <c r="N773" s="181"/>
      <c r="O773" s="181"/>
      <c r="P773" s="181"/>
    </row>
    <row r="774">
      <c r="B774" s="292"/>
      <c r="C774" s="181"/>
      <c r="D774" s="181"/>
      <c r="E774" s="181"/>
      <c r="F774" s="181"/>
      <c r="G774" s="181"/>
      <c r="H774" s="181"/>
      <c r="I774" s="181"/>
      <c r="J774" s="181"/>
      <c r="K774" s="181"/>
      <c r="L774" s="181"/>
      <c r="M774" s="181"/>
      <c r="N774" s="181"/>
      <c r="O774" s="181"/>
      <c r="P774" s="181"/>
    </row>
    <row r="775">
      <c r="B775" s="292"/>
      <c r="C775" s="181"/>
      <c r="D775" s="181"/>
      <c r="E775" s="181"/>
      <c r="F775" s="181"/>
      <c r="G775" s="181"/>
      <c r="H775" s="181"/>
      <c r="I775" s="181"/>
      <c r="J775" s="181"/>
      <c r="K775" s="181"/>
      <c r="L775" s="181"/>
      <c r="M775" s="181"/>
      <c r="N775" s="181"/>
      <c r="O775" s="181"/>
      <c r="P775" s="181"/>
    </row>
    <row r="776">
      <c r="B776" s="292"/>
      <c r="C776" s="181"/>
      <c r="D776" s="181"/>
      <c r="E776" s="181"/>
      <c r="F776" s="181"/>
      <c r="G776" s="181"/>
      <c r="H776" s="181"/>
      <c r="I776" s="181"/>
      <c r="J776" s="181"/>
      <c r="K776" s="181"/>
      <c r="L776" s="181"/>
      <c r="M776" s="181"/>
      <c r="N776" s="181"/>
      <c r="O776" s="181"/>
      <c r="P776" s="181"/>
    </row>
    <row r="777">
      <c r="B777" s="292"/>
      <c r="C777" s="181"/>
      <c r="D777" s="181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</row>
    <row r="778">
      <c r="B778" s="292"/>
      <c r="C778" s="181"/>
      <c r="D778" s="181"/>
      <c r="E778" s="181"/>
      <c r="F778" s="181"/>
      <c r="G778" s="181"/>
      <c r="H778" s="181"/>
      <c r="I778" s="181"/>
      <c r="J778" s="181"/>
      <c r="K778" s="181"/>
      <c r="L778" s="181"/>
      <c r="M778" s="181"/>
      <c r="N778" s="181"/>
      <c r="O778" s="181"/>
      <c r="P778" s="181"/>
    </row>
    <row r="779">
      <c r="B779" s="292"/>
      <c r="C779" s="181"/>
      <c r="D779" s="181"/>
      <c r="E779" s="181"/>
      <c r="F779" s="181"/>
      <c r="G779" s="181"/>
      <c r="H779" s="181"/>
      <c r="I779" s="181"/>
      <c r="J779" s="181"/>
      <c r="K779" s="181"/>
      <c r="L779" s="181"/>
      <c r="M779" s="181"/>
      <c r="N779" s="181"/>
      <c r="O779" s="181"/>
      <c r="P779" s="181"/>
    </row>
    <row r="780">
      <c r="B780" s="292"/>
      <c r="C780" s="181"/>
      <c r="D780" s="181"/>
      <c r="E780" s="181"/>
      <c r="F780" s="181"/>
      <c r="G780" s="181"/>
      <c r="H780" s="181"/>
      <c r="I780" s="181"/>
      <c r="J780" s="181"/>
      <c r="K780" s="181"/>
      <c r="L780" s="181"/>
      <c r="M780" s="181"/>
      <c r="N780" s="181"/>
      <c r="O780" s="181"/>
      <c r="P780" s="181"/>
    </row>
    <row r="781">
      <c r="B781" s="292"/>
      <c r="C781" s="181"/>
      <c r="D781" s="181"/>
      <c r="E781" s="181"/>
      <c r="F781" s="181"/>
      <c r="G781" s="181"/>
      <c r="H781" s="181"/>
      <c r="I781" s="181"/>
      <c r="J781" s="181"/>
      <c r="K781" s="181"/>
      <c r="L781" s="181"/>
      <c r="M781" s="181"/>
      <c r="N781" s="181"/>
      <c r="O781" s="181"/>
      <c r="P781" s="181"/>
    </row>
    <row r="782">
      <c r="B782" s="292"/>
      <c r="C782" s="181"/>
      <c r="D782" s="181"/>
      <c r="E782" s="181"/>
      <c r="F782" s="181"/>
      <c r="G782" s="181"/>
      <c r="H782" s="181"/>
      <c r="I782" s="181"/>
      <c r="J782" s="181"/>
      <c r="K782" s="181"/>
      <c r="L782" s="181"/>
      <c r="M782" s="181"/>
      <c r="N782" s="181"/>
      <c r="O782" s="181"/>
      <c r="P782" s="181"/>
    </row>
    <row r="783">
      <c r="B783" s="292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</row>
    <row r="784">
      <c r="B784" s="292"/>
      <c r="C784" s="181"/>
      <c r="D784" s="181"/>
      <c r="E784" s="181"/>
      <c r="F784" s="181"/>
      <c r="G784" s="181"/>
      <c r="H784" s="181"/>
      <c r="I784" s="181"/>
      <c r="J784" s="181"/>
      <c r="K784" s="181"/>
      <c r="L784" s="181"/>
      <c r="M784" s="181"/>
      <c r="N784" s="181"/>
      <c r="O784" s="181"/>
      <c r="P784" s="181"/>
    </row>
    <row r="785">
      <c r="B785" s="292"/>
      <c r="C785" s="181"/>
      <c r="D785" s="181"/>
      <c r="E785" s="181"/>
      <c r="F785" s="181"/>
      <c r="G785" s="181"/>
      <c r="H785" s="181"/>
      <c r="I785" s="181"/>
      <c r="J785" s="181"/>
      <c r="K785" s="181"/>
      <c r="L785" s="181"/>
      <c r="M785" s="181"/>
      <c r="N785" s="181"/>
      <c r="O785" s="181"/>
      <c r="P785" s="181"/>
    </row>
    <row r="786">
      <c r="B786" s="292"/>
      <c r="C786" s="181"/>
      <c r="D786" s="181"/>
      <c r="E786" s="181"/>
      <c r="F786" s="181"/>
      <c r="G786" s="181"/>
      <c r="H786" s="181"/>
      <c r="I786" s="181"/>
      <c r="J786" s="181"/>
      <c r="K786" s="181"/>
      <c r="L786" s="181"/>
      <c r="M786" s="181"/>
      <c r="N786" s="181"/>
      <c r="O786" s="181"/>
      <c r="P786" s="181"/>
    </row>
    <row r="787">
      <c r="B787" s="292"/>
      <c r="C787" s="181"/>
      <c r="D787" s="181"/>
      <c r="E787" s="181"/>
      <c r="F787" s="181"/>
      <c r="G787" s="181"/>
      <c r="H787" s="181"/>
      <c r="I787" s="181"/>
      <c r="J787" s="181"/>
      <c r="K787" s="181"/>
      <c r="L787" s="181"/>
      <c r="M787" s="181"/>
      <c r="N787" s="181"/>
      <c r="O787" s="181"/>
      <c r="P787" s="181"/>
    </row>
    <row r="788">
      <c r="B788" s="292"/>
      <c r="C788" s="181"/>
      <c r="D788" s="181"/>
      <c r="E788" s="181"/>
      <c r="F788" s="181"/>
      <c r="G788" s="181"/>
      <c r="H788" s="181"/>
      <c r="I788" s="181"/>
      <c r="J788" s="181"/>
      <c r="K788" s="181"/>
      <c r="L788" s="181"/>
      <c r="M788" s="181"/>
      <c r="N788" s="181"/>
      <c r="O788" s="181"/>
      <c r="P788" s="181"/>
    </row>
    <row r="789">
      <c r="B789" s="292"/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181"/>
      <c r="N789" s="181"/>
      <c r="O789" s="181"/>
      <c r="P789" s="181"/>
    </row>
    <row r="790">
      <c r="B790" s="292"/>
      <c r="C790" s="181"/>
      <c r="D790" s="181"/>
      <c r="E790" s="181"/>
      <c r="F790" s="181"/>
      <c r="G790" s="181"/>
      <c r="H790" s="181"/>
      <c r="I790" s="181"/>
      <c r="J790" s="181"/>
      <c r="K790" s="181"/>
      <c r="L790" s="181"/>
      <c r="M790" s="181"/>
      <c r="N790" s="181"/>
      <c r="O790" s="181"/>
      <c r="P790" s="181"/>
    </row>
    <row r="791">
      <c r="B791" s="292"/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</row>
    <row r="792">
      <c r="B792" s="292"/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</row>
    <row r="793">
      <c r="B793" s="292"/>
      <c r="C793" s="181"/>
      <c r="D793" s="181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</row>
    <row r="794">
      <c r="B794" s="292"/>
      <c r="C794" s="181"/>
      <c r="D794" s="181"/>
      <c r="E794" s="181"/>
      <c r="F794" s="181"/>
      <c r="G794" s="181"/>
      <c r="H794" s="181"/>
      <c r="I794" s="181"/>
      <c r="J794" s="181"/>
      <c r="K794" s="181"/>
      <c r="L794" s="181"/>
      <c r="M794" s="181"/>
      <c r="N794" s="181"/>
      <c r="O794" s="181"/>
      <c r="P794" s="181"/>
    </row>
    <row r="795">
      <c r="B795" s="292"/>
      <c r="C795" s="181"/>
      <c r="D795" s="181"/>
      <c r="E795" s="181"/>
      <c r="F795" s="181"/>
      <c r="G795" s="181"/>
      <c r="H795" s="181"/>
      <c r="I795" s="181"/>
      <c r="J795" s="181"/>
      <c r="K795" s="181"/>
      <c r="L795" s="181"/>
      <c r="M795" s="181"/>
      <c r="N795" s="181"/>
      <c r="O795" s="181"/>
      <c r="P795" s="181"/>
    </row>
    <row r="796">
      <c r="B796" s="292"/>
      <c r="C796" s="181"/>
      <c r="D796" s="181"/>
      <c r="E796" s="181"/>
      <c r="F796" s="181"/>
      <c r="G796" s="181"/>
      <c r="H796" s="181"/>
      <c r="I796" s="181"/>
      <c r="J796" s="181"/>
      <c r="K796" s="181"/>
      <c r="L796" s="181"/>
      <c r="M796" s="181"/>
      <c r="N796" s="181"/>
      <c r="O796" s="181"/>
      <c r="P796" s="181"/>
    </row>
    <row r="797">
      <c r="B797" s="292"/>
      <c r="C797" s="181"/>
      <c r="D797" s="181"/>
      <c r="E797" s="181"/>
      <c r="F797" s="181"/>
      <c r="G797" s="181"/>
      <c r="H797" s="181"/>
      <c r="I797" s="181"/>
      <c r="J797" s="181"/>
      <c r="K797" s="181"/>
      <c r="L797" s="181"/>
      <c r="M797" s="181"/>
      <c r="N797" s="181"/>
      <c r="O797" s="181"/>
      <c r="P797" s="181"/>
    </row>
    <row r="798">
      <c r="B798" s="292"/>
      <c r="C798" s="181"/>
      <c r="D798" s="181"/>
      <c r="E798" s="181"/>
      <c r="F798" s="181"/>
      <c r="G798" s="181"/>
      <c r="H798" s="181"/>
      <c r="I798" s="181"/>
      <c r="J798" s="181"/>
      <c r="K798" s="181"/>
      <c r="L798" s="181"/>
      <c r="M798" s="181"/>
      <c r="N798" s="181"/>
      <c r="O798" s="181"/>
      <c r="P798" s="181"/>
    </row>
    <row r="799">
      <c r="B799" s="292"/>
      <c r="C799" s="181"/>
      <c r="D799" s="181"/>
      <c r="E799" s="181"/>
      <c r="F799" s="181"/>
      <c r="G799" s="181"/>
      <c r="H799" s="181"/>
      <c r="I799" s="181"/>
      <c r="J799" s="181"/>
      <c r="K799" s="181"/>
      <c r="L799" s="181"/>
      <c r="M799" s="181"/>
      <c r="N799" s="181"/>
      <c r="O799" s="181"/>
      <c r="P799" s="181"/>
    </row>
    <row r="800">
      <c r="B800" s="292"/>
      <c r="C800" s="181"/>
      <c r="D800" s="181"/>
      <c r="E800" s="181"/>
      <c r="F800" s="181"/>
      <c r="G800" s="181"/>
      <c r="H800" s="181"/>
      <c r="I800" s="181"/>
      <c r="J800" s="181"/>
      <c r="K800" s="181"/>
      <c r="L800" s="181"/>
      <c r="M800" s="181"/>
      <c r="N800" s="181"/>
      <c r="O800" s="181"/>
      <c r="P800" s="181"/>
    </row>
    <row r="801">
      <c r="B801" s="292"/>
      <c r="C801" s="181"/>
      <c r="D801" s="181"/>
      <c r="E801" s="181"/>
      <c r="F801" s="181"/>
      <c r="G801" s="181"/>
      <c r="H801" s="181"/>
      <c r="I801" s="181"/>
      <c r="J801" s="181"/>
      <c r="K801" s="181"/>
      <c r="L801" s="181"/>
      <c r="M801" s="181"/>
      <c r="N801" s="181"/>
      <c r="O801" s="181"/>
      <c r="P801" s="181"/>
    </row>
    <row r="802">
      <c r="B802" s="292"/>
      <c r="C802" s="181"/>
      <c r="D802" s="181"/>
      <c r="E802" s="181"/>
      <c r="F802" s="181"/>
      <c r="G802" s="181"/>
      <c r="H802" s="181"/>
      <c r="I802" s="181"/>
      <c r="J802" s="181"/>
      <c r="K802" s="181"/>
      <c r="L802" s="181"/>
      <c r="M802" s="181"/>
      <c r="N802" s="181"/>
      <c r="O802" s="181"/>
      <c r="P802" s="181"/>
    </row>
    <row r="803">
      <c r="B803" s="292"/>
      <c r="C803" s="181"/>
      <c r="D803" s="181"/>
      <c r="E803" s="181"/>
      <c r="F803" s="181"/>
      <c r="G803" s="181"/>
      <c r="H803" s="181"/>
      <c r="I803" s="181"/>
      <c r="J803" s="181"/>
      <c r="K803" s="181"/>
      <c r="L803" s="181"/>
      <c r="M803" s="181"/>
      <c r="N803" s="181"/>
      <c r="O803" s="181"/>
      <c r="P803" s="181"/>
    </row>
    <row r="804">
      <c r="B804" s="292"/>
      <c r="C804" s="181"/>
      <c r="D804" s="181"/>
      <c r="E804" s="181"/>
      <c r="F804" s="181"/>
      <c r="G804" s="181"/>
      <c r="H804" s="181"/>
      <c r="I804" s="181"/>
      <c r="J804" s="181"/>
      <c r="K804" s="181"/>
      <c r="L804" s="181"/>
      <c r="M804" s="181"/>
      <c r="N804" s="181"/>
      <c r="O804" s="181"/>
      <c r="P804" s="181"/>
    </row>
    <row r="805">
      <c r="B805" s="292"/>
      <c r="C805" s="181"/>
      <c r="D805" s="181"/>
      <c r="E805" s="181"/>
      <c r="F805" s="181"/>
      <c r="G805" s="181"/>
      <c r="H805" s="181"/>
      <c r="I805" s="181"/>
      <c r="J805" s="181"/>
      <c r="K805" s="181"/>
      <c r="L805" s="181"/>
      <c r="M805" s="181"/>
      <c r="N805" s="181"/>
      <c r="O805" s="181"/>
      <c r="P805" s="181"/>
    </row>
    <row r="806">
      <c r="B806" s="292"/>
      <c r="C806" s="181"/>
      <c r="D806" s="181"/>
      <c r="E806" s="181"/>
      <c r="F806" s="181"/>
      <c r="G806" s="181"/>
      <c r="H806" s="181"/>
      <c r="I806" s="181"/>
      <c r="J806" s="181"/>
      <c r="K806" s="181"/>
      <c r="L806" s="181"/>
      <c r="M806" s="181"/>
      <c r="N806" s="181"/>
      <c r="O806" s="181"/>
      <c r="P806" s="181"/>
    </row>
    <row r="807">
      <c r="B807" s="292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181"/>
      <c r="N807" s="181"/>
      <c r="O807" s="181"/>
      <c r="P807" s="181"/>
    </row>
    <row r="808">
      <c r="B808" s="292"/>
      <c r="C808" s="181"/>
      <c r="D808" s="181"/>
      <c r="E808" s="181"/>
      <c r="F808" s="181"/>
      <c r="G808" s="181"/>
      <c r="H808" s="181"/>
      <c r="I808" s="181"/>
      <c r="J808" s="181"/>
      <c r="K808" s="181"/>
      <c r="L808" s="181"/>
      <c r="M808" s="181"/>
      <c r="N808" s="181"/>
      <c r="O808" s="181"/>
      <c r="P808" s="181"/>
    </row>
    <row r="809">
      <c r="B809" s="292"/>
      <c r="C809" s="181"/>
      <c r="D809" s="181"/>
      <c r="E809" s="181"/>
      <c r="F809" s="181"/>
      <c r="G809" s="181"/>
      <c r="H809" s="181"/>
      <c r="I809" s="181"/>
      <c r="J809" s="181"/>
      <c r="K809" s="181"/>
      <c r="L809" s="181"/>
      <c r="M809" s="181"/>
      <c r="N809" s="181"/>
      <c r="O809" s="181"/>
      <c r="P809" s="181"/>
    </row>
    <row r="810">
      <c r="B810" s="292"/>
      <c r="C810" s="181"/>
      <c r="D810" s="181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</row>
    <row r="811">
      <c r="B811" s="292"/>
      <c r="C811" s="181"/>
      <c r="D811" s="181"/>
      <c r="E811" s="181"/>
      <c r="F811" s="181"/>
      <c r="G811" s="181"/>
      <c r="H811" s="181"/>
      <c r="I811" s="181"/>
      <c r="J811" s="181"/>
      <c r="K811" s="181"/>
      <c r="L811" s="181"/>
      <c r="M811" s="181"/>
      <c r="N811" s="181"/>
      <c r="O811" s="181"/>
      <c r="P811" s="181"/>
    </row>
    <row r="812">
      <c r="B812" s="292"/>
      <c r="C812" s="181"/>
      <c r="D812" s="181"/>
      <c r="E812" s="181"/>
      <c r="F812" s="181"/>
      <c r="G812" s="181"/>
      <c r="H812" s="181"/>
      <c r="I812" s="181"/>
      <c r="J812" s="181"/>
      <c r="K812" s="181"/>
      <c r="L812" s="181"/>
      <c r="M812" s="181"/>
      <c r="N812" s="181"/>
      <c r="O812" s="181"/>
      <c r="P812" s="181"/>
    </row>
    <row r="813">
      <c r="B813" s="292"/>
      <c r="C813" s="181"/>
      <c r="D813" s="181"/>
      <c r="E813" s="181"/>
      <c r="F813" s="181"/>
      <c r="G813" s="181"/>
      <c r="H813" s="181"/>
      <c r="I813" s="181"/>
      <c r="J813" s="181"/>
      <c r="K813" s="181"/>
      <c r="L813" s="181"/>
      <c r="M813" s="181"/>
      <c r="N813" s="181"/>
      <c r="O813" s="181"/>
      <c r="P813" s="181"/>
    </row>
    <row r="814">
      <c r="B814" s="292"/>
      <c r="C814" s="181"/>
      <c r="D814" s="181"/>
      <c r="E814" s="181"/>
      <c r="F814" s="181"/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</row>
    <row r="815">
      <c r="B815" s="292"/>
      <c r="C815" s="181"/>
      <c r="D815" s="181"/>
      <c r="E815" s="181"/>
      <c r="F815" s="181"/>
      <c r="G815" s="181"/>
      <c r="H815" s="181"/>
      <c r="I815" s="181"/>
      <c r="J815" s="181"/>
      <c r="K815" s="181"/>
      <c r="L815" s="181"/>
      <c r="M815" s="181"/>
      <c r="N815" s="181"/>
      <c r="O815" s="181"/>
      <c r="P815" s="181"/>
    </row>
    <row r="816">
      <c r="B816" s="292"/>
      <c r="C816" s="181"/>
      <c r="D816" s="181"/>
      <c r="E816" s="181"/>
      <c r="F816" s="181"/>
      <c r="G816" s="181"/>
      <c r="H816" s="181"/>
      <c r="I816" s="181"/>
      <c r="J816" s="181"/>
      <c r="K816" s="181"/>
      <c r="L816" s="181"/>
      <c r="M816" s="181"/>
      <c r="N816" s="181"/>
      <c r="O816" s="181"/>
      <c r="P816" s="181"/>
    </row>
    <row r="817">
      <c r="B817" s="292"/>
      <c r="C817" s="181"/>
      <c r="D817" s="181"/>
      <c r="E817" s="181"/>
      <c r="F817" s="181"/>
      <c r="G817" s="181"/>
      <c r="H817" s="181"/>
      <c r="I817" s="181"/>
      <c r="J817" s="181"/>
      <c r="K817" s="181"/>
      <c r="L817" s="181"/>
      <c r="M817" s="181"/>
      <c r="N817" s="181"/>
      <c r="O817" s="181"/>
      <c r="P817" s="181"/>
    </row>
    <row r="818">
      <c r="B818" s="292"/>
      <c r="C818" s="181"/>
      <c r="D818" s="181"/>
      <c r="E818" s="181"/>
      <c r="F818" s="181"/>
      <c r="G818" s="181"/>
      <c r="H818" s="181"/>
      <c r="I818" s="181"/>
      <c r="J818" s="181"/>
      <c r="K818" s="181"/>
      <c r="L818" s="181"/>
      <c r="M818" s="181"/>
      <c r="N818" s="181"/>
      <c r="O818" s="181"/>
      <c r="P818" s="181"/>
    </row>
    <row r="819">
      <c r="B819" s="292"/>
      <c r="C819" s="181"/>
      <c r="D819" s="181"/>
      <c r="E819" s="181"/>
      <c r="F819" s="181"/>
      <c r="G819" s="181"/>
      <c r="H819" s="181"/>
      <c r="I819" s="181"/>
      <c r="J819" s="181"/>
      <c r="K819" s="181"/>
      <c r="L819" s="181"/>
      <c r="M819" s="181"/>
      <c r="N819" s="181"/>
      <c r="O819" s="181"/>
      <c r="P819" s="181"/>
    </row>
    <row r="820">
      <c r="B820" s="292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</row>
    <row r="821">
      <c r="B821" s="292"/>
      <c r="C821" s="181"/>
      <c r="D821" s="181"/>
      <c r="E821" s="181"/>
      <c r="F821" s="181"/>
      <c r="G821" s="181"/>
      <c r="H821" s="181"/>
      <c r="I821" s="181"/>
      <c r="J821" s="181"/>
      <c r="K821" s="181"/>
      <c r="L821" s="181"/>
      <c r="M821" s="181"/>
      <c r="N821" s="181"/>
      <c r="O821" s="181"/>
      <c r="P821" s="181"/>
    </row>
    <row r="822">
      <c r="B822" s="292"/>
      <c r="C822" s="181"/>
      <c r="D822" s="181"/>
      <c r="E822" s="181"/>
      <c r="F822" s="181"/>
      <c r="G822" s="181"/>
      <c r="H822" s="181"/>
      <c r="I822" s="181"/>
      <c r="J822" s="181"/>
      <c r="K822" s="181"/>
      <c r="L822" s="181"/>
      <c r="M822" s="181"/>
      <c r="N822" s="181"/>
      <c r="O822" s="181"/>
      <c r="P822" s="181"/>
    </row>
    <row r="823">
      <c r="B823" s="292"/>
      <c r="C823" s="181"/>
      <c r="D823" s="181"/>
      <c r="E823" s="181"/>
      <c r="F823" s="181"/>
      <c r="G823" s="181"/>
      <c r="H823" s="181"/>
      <c r="I823" s="181"/>
      <c r="J823" s="181"/>
      <c r="K823" s="181"/>
      <c r="L823" s="181"/>
      <c r="M823" s="181"/>
      <c r="N823" s="181"/>
      <c r="O823" s="181"/>
      <c r="P823" s="181"/>
    </row>
    <row r="824">
      <c r="B824" s="292"/>
      <c r="C824" s="181"/>
      <c r="D824" s="181"/>
      <c r="E824" s="181"/>
      <c r="F824" s="181"/>
      <c r="G824" s="181"/>
      <c r="H824" s="181"/>
      <c r="I824" s="181"/>
      <c r="J824" s="181"/>
      <c r="K824" s="181"/>
      <c r="L824" s="181"/>
      <c r="M824" s="181"/>
      <c r="N824" s="181"/>
      <c r="O824" s="181"/>
      <c r="P824" s="181"/>
    </row>
    <row r="825">
      <c r="B825" s="292"/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</row>
    <row r="826">
      <c r="B826" s="292"/>
      <c r="C826" s="181"/>
      <c r="D826" s="181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</row>
    <row r="827">
      <c r="B827" s="292"/>
      <c r="C827" s="181"/>
      <c r="D827" s="181"/>
      <c r="E827" s="181"/>
      <c r="F827" s="181"/>
      <c r="G827" s="181"/>
      <c r="H827" s="181"/>
      <c r="I827" s="181"/>
      <c r="J827" s="181"/>
      <c r="K827" s="181"/>
      <c r="L827" s="181"/>
      <c r="M827" s="181"/>
      <c r="N827" s="181"/>
      <c r="O827" s="181"/>
      <c r="P827" s="181"/>
    </row>
    <row r="828">
      <c r="B828" s="292"/>
      <c r="C828" s="181"/>
      <c r="D828" s="181"/>
      <c r="E828" s="181"/>
      <c r="F828" s="181"/>
      <c r="G828" s="181"/>
      <c r="H828" s="181"/>
      <c r="I828" s="181"/>
      <c r="J828" s="181"/>
      <c r="K828" s="181"/>
      <c r="L828" s="181"/>
      <c r="M828" s="181"/>
      <c r="N828" s="181"/>
      <c r="O828" s="181"/>
      <c r="P828" s="181"/>
    </row>
    <row r="829">
      <c r="B829" s="292"/>
      <c r="C829" s="181"/>
      <c r="D829" s="181"/>
      <c r="E829" s="181"/>
      <c r="F829" s="181"/>
      <c r="G829" s="181"/>
      <c r="H829" s="181"/>
      <c r="I829" s="181"/>
      <c r="J829" s="181"/>
      <c r="K829" s="181"/>
      <c r="L829" s="181"/>
      <c r="M829" s="181"/>
      <c r="N829" s="181"/>
      <c r="O829" s="181"/>
      <c r="P829" s="181"/>
    </row>
    <row r="830">
      <c r="B830" s="292"/>
      <c r="C830" s="181"/>
      <c r="D830" s="181"/>
      <c r="E830" s="181"/>
      <c r="F830" s="181"/>
      <c r="G830" s="181"/>
      <c r="H830" s="181"/>
      <c r="I830" s="181"/>
      <c r="J830" s="181"/>
      <c r="K830" s="181"/>
      <c r="L830" s="181"/>
      <c r="M830" s="181"/>
      <c r="N830" s="181"/>
      <c r="O830" s="181"/>
      <c r="P830" s="181"/>
    </row>
    <row r="831">
      <c r="B831" s="292"/>
      <c r="C831" s="181"/>
      <c r="D831" s="181"/>
      <c r="E831" s="181"/>
      <c r="F831" s="181"/>
      <c r="G831" s="181"/>
      <c r="H831" s="181"/>
      <c r="I831" s="181"/>
      <c r="J831" s="181"/>
      <c r="K831" s="181"/>
      <c r="L831" s="181"/>
      <c r="M831" s="181"/>
      <c r="N831" s="181"/>
      <c r="O831" s="181"/>
      <c r="P831" s="181"/>
    </row>
    <row r="832">
      <c r="B832" s="292"/>
      <c r="C832" s="181"/>
      <c r="D832" s="181"/>
      <c r="E832" s="181"/>
      <c r="F832" s="181"/>
      <c r="G832" s="181"/>
      <c r="H832" s="181"/>
      <c r="I832" s="181"/>
      <c r="J832" s="181"/>
      <c r="K832" s="181"/>
      <c r="L832" s="181"/>
      <c r="M832" s="181"/>
      <c r="N832" s="181"/>
      <c r="O832" s="181"/>
      <c r="P832" s="181"/>
    </row>
    <row r="833">
      <c r="B833" s="292"/>
      <c r="C833" s="181"/>
      <c r="D833" s="181"/>
      <c r="E833" s="181"/>
      <c r="F833" s="181"/>
      <c r="G833" s="181"/>
      <c r="H833" s="181"/>
      <c r="I833" s="181"/>
      <c r="J833" s="181"/>
      <c r="K833" s="181"/>
      <c r="L833" s="181"/>
      <c r="M833" s="181"/>
      <c r="N833" s="181"/>
      <c r="O833" s="181"/>
      <c r="P833" s="181"/>
    </row>
    <row r="834">
      <c r="B834" s="292"/>
      <c r="C834" s="181"/>
      <c r="D834" s="181"/>
      <c r="E834" s="181"/>
      <c r="F834" s="181"/>
      <c r="G834" s="181"/>
      <c r="H834" s="181"/>
      <c r="I834" s="181"/>
      <c r="J834" s="181"/>
      <c r="K834" s="181"/>
      <c r="L834" s="181"/>
      <c r="M834" s="181"/>
      <c r="N834" s="181"/>
      <c r="O834" s="181"/>
      <c r="P834" s="181"/>
    </row>
    <row r="835">
      <c r="B835" s="292"/>
      <c r="C835" s="181"/>
      <c r="D835" s="181"/>
      <c r="E835" s="181"/>
      <c r="F835" s="181"/>
      <c r="G835" s="181"/>
      <c r="H835" s="181"/>
      <c r="I835" s="181"/>
      <c r="J835" s="181"/>
      <c r="K835" s="181"/>
      <c r="L835" s="181"/>
      <c r="M835" s="181"/>
      <c r="N835" s="181"/>
      <c r="O835" s="181"/>
      <c r="P835" s="181"/>
    </row>
    <row r="836">
      <c r="B836" s="292"/>
      <c r="C836" s="181"/>
      <c r="D836" s="181"/>
      <c r="E836" s="181"/>
      <c r="F836" s="181"/>
      <c r="G836" s="181"/>
      <c r="H836" s="181"/>
      <c r="I836" s="181"/>
      <c r="J836" s="181"/>
      <c r="K836" s="181"/>
      <c r="L836" s="181"/>
      <c r="M836" s="181"/>
      <c r="N836" s="181"/>
      <c r="O836" s="181"/>
      <c r="P836" s="181"/>
    </row>
    <row r="837">
      <c r="B837" s="292"/>
      <c r="C837" s="181"/>
      <c r="D837" s="181"/>
      <c r="E837" s="181"/>
      <c r="F837" s="181"/>
      <c r="G837" s="181"/>
      <c r="H837" s="181"/>
      <c r="I837" s="181"/>
      <c r="J837" s="181"/>
      <c r="K837" s="181"/>
      <c r="L837" s="181"/>
      <c r="M837" s="181"/>
      <c r="N837" s="181"/>
      <c r="O837" s="181"/>
      <c r="P837" s="181"/>
    </row>
    <row r="838">
      <c r="B838" s="292"/>
      <c r="C838" s="181"/>
      <c r="D838" s="181"/>
      <c r="E838" s="181"/>
      <c r="F838" s="181"/>
      <c r="G838" s="181"/>
      <c r="H838" s="181"/>
      <c r="I838" s="181"/>
      <c r="J838" s="181"/>
      <c r="K838" s="181"/>
      <c r="L838" s="181"/>
      <c r="M838" s="181"/>
      <c r="N838" s="181"/>
      <c r="O838" s="181"/>
      <c r="P838" s="181"/>
    </row>
    <row r="839">
      <c r="B839" s="292"/>
      <c r="C839" s="181"/>
      <c r="D839" s="181"/>
      <c r="E839" s="181"/>
      <c r="F839" s="181"/>
      <c r="G839" s="181"/>
      <c r="H839" s="181"/>
      <c r="I839" s="181"/>
      <c r="J839" s="181"/>
      <c r="K839" s="181"/>
      <c r="L839" s="181"/>
      <c r="M839" s="181"/>
      <c r="N839" s="181"/>
      <c r="O839" s="181"/>
      <c r="P839" s="181"/>
    </row>
    <row r="840">
      <c r="B840" s="292"/>
      <c r="C840" s="181"/>
      <c r="D840" s="181"/>
      <c r="E840" s="181"/>
      <c r="F840" s="181"/>
      <c r="G840" s="181"/>
      <c r="H840" s="181"/>
      <c r="I840" s="181"/>
      <c r="J840" s="181"/>
      <c r="K840" s="181"/>
      <c r="L840" s="181"/>
      <c r="M840" s="181"/>
      <c r="N840" s="181"/>
      <c r="O840" s="181"/>
      <c r="P840" s="181"/>
    </row>
    <row r="841">
      <c r="B841" s="292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</row>
    <row r="842">
      <c r="B842" s="292"/>
      <c r="C842" s="181"/>
      <c r="D842" s="181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</row>
    <row r="843">
      <c r="B843" s="292"/>
      <c r="C843" s="181"/>
      <c r="D843" s="181"/>
      <c r="E843" s="181"/>
      <c r="F843" s="181"/>
      <c r="G843" s="181"/>
      <c r="H843" s="181"/>
      <c r="I843" s="181"/>
      <c r="J843" s="181"/>
      <c r="K843" s="181"/>
      <c r="L843" s="181"/>
      <c r="M843" s="181"/>
      <c r="N843" s="181"/>
      <c r="O843" s="181"/>
      <c r="P843" s="181"/>
    </row>
    <row r="844">
      <c r="B844" s="292"/>
      <c r="C844" s="181"/>
      <c r="D844" s="181"/>
      <c r="E844" s="181"/>
      <c r="F844" s="181"/>
      <c r="G844" s="181"/>
      <c r="H844" s="181"/>
      <c r="I844" s="181"/>
      <c r="J844" s="181"/>
      <c r="K844" s="181"/>
      <c r="L844" s="181"/>
      <c r="M844" s="181"/>
      <c r="N844" s="181"/>
      <c r="O844" s="181"/>
      <c r="P844" s="181"/>
    </row>
    <row r="845">
      <c r="B845" s="292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</row>
    <row r="846">
      <c r="B846" s="292"/>
      <c r="C846" s="181"/>
      <c r="D846" s="181"/>
      <c r="E846" s="181"/>
      <c r="F846" s="181"/>
      <c r="G846" s="181"/>
      <c r="H846" s="181"/>
      <c r="I846" s="181"/>
      <c r="J846" s="181"/>
      <c r="K846" s="181"/>
      <c r="L846" s="181"/>
      <c r="M846" s="181"/>
      <c r="N846" s="181"/>
      <c r="O846" s="181"/>
      <c r="P846" s="181"/>
    </row>
    <row r="847">
      <c r="B847" s="292"/>
      <c r="C847" s="181"/>
      <c r="D847" s="181"/>
      <c r="E847" s="181"/>
      <c r="F847" s="181"/>
      <c r="G847" s="181"/>
      <c r="H847" s="181"/>
      <c r="I847" s="181"/>
      <c r="J847" s="181"/>
      <c r="K847" s="181"/>
      <c r="L847" s="181"/>
      <c r="M847" s="181"/>
      <c r="N847" s="181"/>
      <c r="O847" s="181"/>
      <c r="P847" s="181"/>
    </row>
    <row r="848">
      <c r="B848" s="292"/>
      <c r="C848" s="181"/>
      <c r="D848" s="181"/>
      <c r="E848" s="181"/>
      <c r="F848" s="181"/>
      <c r="G848" s="181"/>
      <c r="H848" s="181"/>
      <c r="I848" s="181"/>
      <c r="J848" s="181"/>
      <c r="K848" s="181"/>
      <c r="L848" s="181"/>
      <c r="M848" s="181"/>
      <c r="N848" s="181"/>
      <c r="O848" s="181"/>
      <c r="P848" s="181"/>
    </row>
    <row r="849">
      <c r="B849" s="292"/>
      <c r="C849" s="181"/>
      <c r="D849" s="181"/>
      <c r="E849" s="181"/>
      <c r="F849" s="181"/>
      <c r="G849" s="181"/>
      <c r="H849" s="181"/>
      <c r="I849" s="181"/>
      <c r="J849" s="181"/>
      <c r="K849" s="181"/>
      <c r="L849" s="181"/>
      <c r="M849" s="181"/>
      <c r="N849" s="181"/>
      <c r="O849" s="181"/>
      <c r="P849" s="181"/>
    </row>
    <row r="850">
      <c r="B850" s="292"/>
      <c r="C850" s="181"/>
      <c r="D850" s="181"/>
      <c r="E850" s="181"/>
      <c r="F850" s="181"/>
      <c r="G850" s="181"/>
      <c r="H850" s="181"/>
      <c r="I850" s="181"/>
      <c r="J850" s="181"/>
      <c r="K850" s="181"/>
      <c r="L850" s="181"/>
      <c r="M850" s="181"/>
      <c r="N850" s="181"/>
      <c r="O850" s="181"/>
      <c r="P850" s="181"/>
    </row>
    <row r="851">
      <c r="B851" s="292"/>
      <c r="C851" s="181"/>
      <c r="D851" s="181"/>
      <c r="E851" s="181"/>
      <c r="F851" s="181"/>
      <c r="G851" s="181"/>
      <c r="H851" s="181"/>
      <c r="I851" s="181"/>
      <c r="J851" s="181"/>
      <c r="K851" s="181"/>
      <c r="L851" s="181"/>
      <c r="M851" s="181"/>
      <c r="N851" s="181"/>
      <c r="O851" s="181"/>
      <c r="P851" s="181"/>
    </row>
    <row r="852">
      <c r="B852" s="292"/>
      <c r="C852" s="181"/>
      <c r="D852" s="181"/>
      <c r="E852" s="181"/>
      <c r="F852" s="181"/>
      <c r="G852" s="181"/>
      <c r="H852" s="181"/>
      <c r="I852" s="181"/>
      <c r="J852" s="181"/>
      <c r="K852" s="181"/>
      <c r="L852" s="181"/>
      <c r="M852" s="181"/>
      <c r="N852" s="181"/>
      <c r="O852" s="181"/>
      <c r="P852" s="181"/>
    </row>
    <row r="853">
      <c r="B853" s="292"/>
      <c r="C853" s="181"/>
      <c r="D853" s="181"/>
      <c r="E853" s="181"/>
      <c r="F853" s="181"/>
      <c r="G853" s="181"/>
      <c r="H853" s="181"/>
      <c r="I853" s="181"/>
      <c r="J853" s="181"/>
      <c r="K853" s="181"/>
      <c r="L853" s="181"/>
      <c r="M853" s="181"/>
      <c r="N853" s="181"/>
      <c r="O853" s="181"/>
      <c r="P853" s="181"/>
    </row>
    <row r="854">
      <c r="B854" s="292"/>
      <c r="C854" s="181"/>
      <c r="D854" s="181"/>
      <c r="E854" s="181"/>
      <c r="F854" s="181"/>
      <c r="G854" s="181"/>
      <c r="H854" s="181"/>
      <c r="I854" s="181"/>
      <c r="J854" s="181"/>
      <c r="K854" s="181"/>
      <c r="L854" s="181"/>
      <c r="M854" s="181"/>
      <c r="N854" s="181"/>
      <c r="O854" s="181"/>
      <c r="P854" s="181"/>
    </row>
    <row r="855">
      <c r="B855" s="292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81"/>
    </row>
    <row r="856">
      <c r="B856" s="292"/>
      <c r="C856" s="181"/>
      <c r="D856" s="181"/>
      <c r="E856" s="181"/>
      <c r="F856" s="181"/>
      <c r="G856" s="181"/>
      <c r="H856" s="181"/>
      <c r="I856" s="181"/>
      <c r="J856" s="181"/>
      <c r="K856" s="181"/>
      <c r="L856" s="181"/>
      <c r="M856" s="181"/>
      <c r="N856" s="181"/>
      <c r="O856" s="181"/>
      <c r="P856" s="181"/>
    </row>
    <row r="857">
      <c r="B857" s="292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</row>
    <row r="858">
      <c r="B858" s="292"/>
      <c r="C858" s="181"/>
      <c r="D858" s="181"/>
      <c r="E858" s="181"/>
      <c r="F858" s="181"/>
      <c r="G858" s="181"/>
      <c r="H858" s="181"/>
      <c r="I858" s="181"/>
      <c r="J858" s="181"/>
      <c r="K858" s="181"/>
      <c r="L858" s="181"/>
      <c r="M858" s="181"/>
      <c r="N858" s="181"/>
      <c r="O858" s="181"/>
      <c r="P858" s="181"/>
    </row>
    <row r="859">
      <c r="B859" s="292"/>
      <c r="C859" s="181"/>
      <c r="D859" s="181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</row>
    <row r="860">
      <c r="B860" s="292"/>
      <c r="C860" s="181"/>
      <c r="D860" s="181"/>
      <c r="E860" s="181"/>
      <c r="F860" s="181"/>
      <c r="G860" s="181"/>
      <c r="H860" s="181"/>
      <c r="I860" s="181"/>
      <c r="J860" s="181"/>
      <c r="K860" s="181"/>
      <c r="L860" s="181"/>
      <c r="M860" s="181"/>
      <c r="N860" s="181"/>
      <c r="O860" s="181"/>
      <c r="P860" s="181"/>
    </row>
    <row r="861">
      <c r="B861" s="292"/>
      <c r="C861" s="181"/>
      <c r="D861" s="181"/>
      <c r="E861" s="181"/>
      <c r="F861" s="181"/>
      <c r="G861" s="181"/>
      <c r="H861" s="181"/>
      <c r="I861" s="181"/>
      <c r="J861" s="181"/>
      <c r="K861" s="181"/>
      <c r="L861" s="181"/>
      <c r="M861" s="181"/>
      <c r="N861" s="181"/>
      <c r="O861" s="181"/>
      <c r="P861" s="181"/>
    </row>
    <row r="862">
      <c r="B862" s="292"/>
      <c r="C862" s="181"/>
      <c r="D862" s="181"/>
      <c r="E862" s="181"/>
      <c r="F862" s="181"/>
      <c r="G862" s="181"/>
      <c r="H862" s="181"/>
      <c r="I862" s="181"/>
      <c r="J862" s="181"/>
      <c r="K862" s="181"/>
      <c r="L862" s="181"/>
      <c r="M862" s="181"/>
      <c r="N862" s="181"/>
      <c r="O862" s="181"/>
      <c r="P862" s="181"/>
    </row>
    <row r="863">
      <c r="B863" s="292"/>
      <c r="C863" s="181"/>
      <c r="D863" s="181"/>
      <c r="E863" s="181"/>
      <c r="F863" s="181"/>
      <c r="G863" s="181"/>
      <c r="H863" s="181"/>
      <c r="I863" s="181"/>
      <c r="J863" s="181"/>
      <c r="K863" s="181"/>
      <c r="L863" s="181"/>
      <c r="M863" s="181"/>
      <c r="N863" s="181"/>
      <c r="O863" s="181"/>
      <c r="P863" s="181"/>
    </row>
    <row r="864">
      <c r="B864" s="292"/>
      <c r="C864" s="181"/>
      <c r="D864" s="181"/>
      <c r="E864" s="181"/>
      <c r="F864" s="181"/>
      <c r="G864" s="181"/>
      <c r="H864" s="181"/>
      <c r="I864" s="181"/>
      <c r="J864" s="181"/>
      <c r="K864" s="181"/>
      <c r="L864" s="181"/>
      <c r="M864" s="181"/>
      <c r="N864" s="181"/>
      <c r="O864" s="181"/>
      <c r="P864" s="181"/>
    </row>
    <row r="865">
      <c r="B865" s="292"/>
      <c r="C865" s="181"/>
      <c r="D865" s="181"/>
      <c r="E865" s="181"/>
      <c r="F865" s="181"/>
      <c r="G865" s="181"/>
      <c r="H865" s="181"/>
      <c r="I865" s="181"/>
      <c r="J865" s="181"/>
      <c r="K865" s="181"/>
      <c r="L865" s="181"/>
      <c r="M865" s="181"/>
      <c r="N865" s="181"/>
      <c r="O865" s="181"/>
      <c r="P865" s="181"/>
    </row>
    <row r="866">
      <c r="B866" s="292"/>
      <c r="C866" s="181"/>
      <c r="D866" s="181"/>
      <c r="E866" s="181"/>
      <c r="F866" s="181"/>
      <c r="G866" s="181"/>
      <c r="H866" s="181"/>
      <c r="I866" s="181"/>
      <c r="J866" s="181"/>
      <c r="K866" s="181"/>
      <c r="L866" s="181"/>
      <c r="M866" s="181"/>
      <c r="N866" s="181"/>
      <c r="O866" s="181"/>
      <c r="P866" s="181"/>
    </row>
    <row r="867">
      <c r="B867" s="292"/>
      <c r="C867" s="181"/>
      <c r="D867" s="181"/>
      <c r="E867" s="181"/>
      <c r="F867" s="181"/>
      <c r="G867" s="181"/>
      <c r="H867" s="181"/>
      <c r="I867" s="181"/>
      <c r="J867" s="181"/>
      <c r="K867" s="181"/>
      <c r="L867" s="181"/>
      <c r="M867" s="181"/>
      <c r="N867" s="181"/>
      <c r="O867" s="181"/>
      <c r="P867" s="181"/>
    </row>
    <row r="868">
      <c r="B868" s="292"/>
      <c r="C868" s="181"/>
      <c r="D868" s="181"/>
      <c r="E868" s="181"/>
      <c r="F868" s="181"/>
      <c r="G868" s="181"/>
      <c r="H868" s="181"/>
      <c r="I868" s="181"/>
      <c r="J868" s="181"/>
      <c r="K868" s="181"/>
      <c r="L868" s="181"/>
      <c r="M868" s="181"/>
      <c r="N868" s="181"/>
      <c r="O868" s="181"/>
      <c r="P868" s="181"/>
    </row>
    <row r="869">
      <c r="B869" s="292"/>
      <c r="C869" s="181"/>
      <c r="D869" s="181"/>
      <c r="E869" s="181"/>
      <c r="F869" s="181"/>
      <c r="G869" s="181"/>
      <c r="H869" s="181"/>
      <c r="I869" s="181"/>
      <c r="J869" s="181"/>
      <c r="K869" s="181"/>
      <c r="L869" s="181"/>
      <c r="M869" s="181"/>
      <c r="N869" s="181"/>
      <c r="O869" s="181"/>
      <c r="P869" s="181"/>
    </row>
    <row r="870">
      <c r="B870" s="292"/>
      <c r="C870" s="181"/>
      <c r="D870" s="181"/>
      <c r="E870" s="181"/>
      <c r="F870" s="181"/>
      <c r="G870" s="181"/>
      <c r="H870" s="181"/>
      <c r="I870" s="181"/>
      <c r="J870" s="181"/>
      <c r="K870" s="181"/>
      <c r="L870" s="181"/>
      <c r="M870" s="181"/>
      <c r="N870" s="181"/>
      <c r="O870" s="181"/>
      <c r="P870" s="181"/>
    </row>
    <row r="871">
      <c r="B871" s="292"/>
      <c r="C871" s="181"/>
      <c r="D871" s="181"/>
      <c r="E871" s="181"/>
      <c r="F871" s="181"/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</row>
    <row r="872">
      <c r="B872" s="292"/>
      <c r="C872" s="181"/>
      <c r="D872" s="181"/>
      <c r="E872" s="181"/>
      <c r="F872" s="181"/>
      <c r="G872" s="181"/>
      <c r="H872" s="181"/>
      <c r="I872" s="181"/>
      <c r="J872" s="181"/>
      <c r="K872" s="181"/>
      <c r="L872" s="181"/>
      <c r="M872" s="181"/>
      <c r="N872" s="181"/>
      <c r="O872" s="181"/>
      <c r="P872" s="181"/>
    </row>
    <row r="873">
      <c r="B873" s="292"/>
      <c r="C873" s="181"/>
      <c r="D873" s="181"/>
      <c r="E873" s="181"/>
      <c r="F873" s="181"/>
      <c r="G873" s="181"/>
      <c r="H873" s="181"/>
      <c r="I873" s="181"/>
      <c r="J873" s="181"/>
      <c r="K873" s="181"/>
      <c r="L873" s="181"/>
      <c r="M873" s="181"/>
      <c r="N873" s="181"/>
      <c r="O873" s="181"/>
      <c r="P873" s="181"/>
    </row>
    <row r="874">
      <c r="B874" s="292"/>
      <c r="C874" s="181"/>
      <c r="D874" s="181"/>
      <c r="E874" s="181"/>
      <c r="F874" s="181"/>
      <c r="G874" s="181"/>
      <c r="H874" s="181"/>
      <c r="I874" s="181"/>
      <c r="J874" s="181"/>
      <c r="K874" s="181"/>
      <c r="L874" s="181"/>
      <c r="M874" s="181"/>
      <c r="N874" s="181"/>
      <c r="O874" s="181"/>
      <c r="P874" s="181"/>
    </row>
    <row r="875">
      <c r="B875" s="292"/>
      <c r="C875" s="181"/>
      <c r="D875" s="181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</row>
    <row r="876">
      <c r="B876" s="292"/>
      <c r="C876" s="181"/>
      <c r="D876" s="181"/>
      <c r="E876" s="181"/>
      <c r="F876" s="181"/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</row>
    <row r="877">
      <c r="B877" s="292"/>
      <c r="C877" s="181"/>
      <c r="D877" s="181"/>
      <c r="E877" s="181"/>
      <c r="F877" s="181"/>
      <c r="G877" s="181"/>
      <c r="H877" s="181"/>
      <c r="I877" s="181"/>
      <c r="J877" s="181"/>
      <c r="K877" s="181"/>
      <c r="L877" s="181"/>
      <c r="M877" s="181"/>
      <c r="N877" s="181"/>
      <c r="O877" s="181"/>
      <c r="P877" s="181"/>
    </row>
    <row r="878">
      <c r="B878" s="292"/>
      <c r="C878" s="181"/>
      <c r="D878" s="181"/>
      <c r="E878" s="181"/>
      <c r="F878" s="181"/>
      <c r="G878" s="181"/>
      <c r="H878" s="181"/>
      <c r="I878" s="181"/>
      <c r="J878" s="181"/>
      <c r="K878" s="181"/>
      <c r="L878" s="181"/>
      <c r="M878" s="181"/>
      <c r="N878" s="181"/>
      <c r="O878" s="181"/>
      <c r="P878" s="181"/>
    </row>
    <row r="879">
      <c r="B879" s="292"/>
      <c r="C879" s="181"/>
      <c r="D879" s="181"/>
      <c r="E879" s="181"/>
      <c r="F879" s="181"/>
      <c r="G879" s="181"/>
      <c r="H879" s="181"/>
      <c r="I879" s="181"/>
      <c r="J879" s="181"/>
      <c r="K879" s="181"/>
      <c r="L879" s="181"/>
      <c r="M879" s="181"/>
      <c r="N879" s="181"/>
      <c r="O879" s="181"/>
      <c r="P879" s="181"/>
    </row>
    <row r="880">
      <c r="B880" s="292"/>
      <c r="C880" s="181"/>
      <c r="D880" s="181"/>
      <c r="E880" s="181"/>
      <c r="F880" s="181"/>
      <c r="G880" s="181"/>
      <c r="H880" s="181"/>
      <c r="I880" s="181"/>
      <c r="J880" s="181"/>
      <c r="K880" s="181"/>
      <c r="L880" s="181"/>
      <c r="M880" s="181"/>
      <c r="N880" s="181"/>
      <c r="O880" s="181"/>
      <c r="P880" s="181"/>
    </row>
    <row r="881">
      <c r="B881" s="292"/>
      <c r="C881" s="181"/>
      <c r="D881" s="181"/>
      <c r="E881" s="181"/>
      <c r="F881" s="181"/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</row>
    <row r="882">
      <c r="B882" s="292"/>
      <c r="C882" s="181"/>
      <c r="D882" s="181"/>
      <c r="E882" s="181"/>
      <c r="F882" s="181"/>
      <c r="G882" s="181"/>
      <c r="H882" s="181"/>
      <c r="I882" s="181"/>
      <c r="J882" s="181"/>
      <c r="K882" s="181"/>
      <c r="L882" s="181"/>
      <c r="M882" s="181"/>
      <c r="N882" s="181"/>
      <c r="O882" s="181"/>
      <c r="P882" s="181"/>
    </row>
    <row r="883">
      <c r="B883" s="292"/>
      <c r="C883" s="181"/>
      <c r="D883" s="181"/>
      <c r="E883" s="181"/>
      <c r="F883" s="181"/>
      <c r="G883" s="181"/>
      <c r="H883" s="181"/>
      <c r="I883" s="181"/>
      <c r="J883" s="181"/>
      <c r="K883" s="181"/>
      <c r="L883" s="181"/>
      <c r="M883" s="181"/>
      <c r="N883" s="181"/>
      <c r="O883" s="181"/>
      <c r="P883" s="181"/>
    </row>
    <row r="884">
      <c r="B884" s="292"/>
      <c r="C884" s="181"/>
      <c r="D884" s="181"/>
      <c r="E884" s="181"/>
      <c r="F884" s="181"/>
      <c r="G884" s="181"/>
      <c r="H884" s="181"/>
      <c r="I884" s="181"/>
      <c r="J884" s="181"/>
      <c r="K884" s="181"/>
      <c r="L884" s="181"/>
      <c r="M884" s="181"/>
      <c r="N884" s="181"/>
      <c r="O884" s="181"/>
      <c r="P884" s="181"/>
    </row>
    <row r="885">
      <c r="B885" s="292"/>
      <c r="C885" s="181"/>
      <c r="D885" s="181"/>
      <c r="E885" s="181"/>
      <c r="F885" s="181"/>
      <c r="G885" s="181"/>
      <c r="H885" s="181"/>
      <c r="I885" s="181"/>
      <c r="J885" s="181"/>
      <c r="K885" s="181"/>
      <c r="L885" s="181"/>
      <c r="M885" s="181"/>
      <c r="N885" s="181"/>
      <c r="O885" s="181"/>
      <c r="P885" s="181"/>
    </row>
    <row r="886">
      <c r="B886" s="292"/>
      <c r="C886" s="181"/>
      <c r="D886" s="181"/>
      <c r="E886" s="181"/>
      <c r="F886" s="181"/>
      <c r="G886" s="181"/>
      <c r="H886" s="181"/>
      <c r="I886" s="181"/>
      <c r="J886" s="181"/>
      <c r="K886" s="181"/>
      <c r="L886" s="181"/>
      <c r="M886" s="181"/>
      <c r="N886" s="181"/>
      <c r="O886" s="181"/>
      <c r="P886" s="181"/>
    </row>
    <row r="887">
      <c r="B887" s="292"/>
      <c r="C887" s="181"/>
      <c r="D887" s="181"/>
      <c r="E887" s="181"/>
      <c r="F887" s="181"/>
      <c r="G887" s="181"/>
      <c r="H887" s="181"/>
      <c r="I887" s="181"/>
      <c r="J887" s="181"/>
      <c r="K887" s="181"/>
      <c r="L887" s="181"/>
      <c r="M887" s="181"/>
      <c r="N887" s="181"/>
      <c r="O887" s="181"/>
      <c r="P887" s="181"/>
    </row>
    <row r="888">
      <c r="B888" s="292"/>
      <c r="C888" s="181"/>
      <c r="D888" s="181"/>
      <c r="E888" s="181"/>
      <c r="F888" s="181"/>
      <c r="G888" s="181"/>
      <c r="H888" s="181"/>
      <c r="I888" s="181"/>
      <c r="J888" s="181"/>
      <c r="K888" s="181"/>
      <c r="L888" s="181"/>
      <c r="M888" s="181"/>
      <c r="N888" s="181"/>
      <c r="O888" s="181"/>
      <c r="P888" s="181"/>
    </row>
    <row r="889">
      <c r="B889" s="292"/>
      <c r="C889" s="181"/>
      <c r="D889" s="181"/>
      <c r="E889" s="181"/>
      <c r="F889" s="181"/>
      <c r="G889" s="181"/>
      <c r="H889" s="181"/>
      <c r="I889" s="181"/>
      <c r="J889" s="181"/>
      <c r="K889" s="181"/>
      <c r="L889" s="181"/>
      <c r="M889" s="181"/>
      <c r="N889" s="181"/>
      <c r="O889" s="181"/>
      <c r="P889" s="181"/>
    </row>
    <row r="890">
      <c r="B890" s="292"/>
      <c r="C890" s="181"/>
      <c r="D890" s="181"/>
      <c r="E890" s="181"/>
      <c r="F890" s="181"/>
      <c r="G890" s="181"/>
      <c r="H890" s="181"/>
      <c r="I890" s="181"/>
      <c r="J890" s="181"/>
      <c r="K890" s="181"/>
      <c r="L890" s="181"/>
      <c r="M890" s="181"/>
      <c r="N890" s="181"/>
      <c r="O890" s="181"/>
      <c r="P890" s="181"/>
    </row>
    <row r="891">
      <c r="B891" s="292"/>
      <c r="C891" s="181"/>
      <c r="D891" s="181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</row>
    <row r="892">
      <c r="B892" s="292"/>
      <c r="C892" s="181"/>
      <c r="D892" s="181"/>
      <c r="E892" s="181"/>
      <c r="F892" s="181"/>
      <c r="G892" s="181"/>
      <c r="H892" s="181"/>
      <c r="I892" s="181"/>
      <c r="J892" s="181"/>
      <c r="K892" s="181"/>
      <c r="L892" s="181"/>
      <c r="M892" s="181"/>
      <c r="N892" s="181"/>
      <c r="O892" s="181"/>
      <c r="P892" s="181"/>
    </row>
    <row r="893">
      <c r="B893" s="292"/>
      <c r="C893" s="181"/>
      <c r="D893" s="181"/>
      <c r="E893" s="181"/>
      <c r="F893" s="181"/>
      <c r="G893" s="181"/>
      <c r="H893" s="181"/>
      <c r="I893" s="181"/>
      <c r="J893" s="181"/>
      <c r="K893" s="181"/>
      <c r="L893" s="181"/>
      <c r="M893" s="181"/>
      <c r="N893" s="181"/>
      <c r="O893" s="181"/>
      <c r="P893" s="181"/>
    </row>
    <row r="894">
      <c r="B894" s="292"/>
      <c r="C894" s="181"/>
      <c r="D894" s="181"/>
      <c r="E894" s="181"/>
      <c r="F894" s="181"/>
      <c r="G894" s="181"/>
      <c r="H894" s="181"/>
      <c r="I894" s="181"/>
      <c r="J894" s="181"/>
      <c r="K894" s="181"/>
      <c r="L894" s="181"/>
      <c r="M894" s="181"/>
      <c r="N894" s="181"/>
      <c r="O894" s="181"/>
      <c r="P894" s="181"/>
    </row>
    <row r="895">
      <c r="B895" s="292"/>
      <c r="C895" s="181"/>
      <c r="D895" s="181"/>
      <c r="E895" s="181"/>
      <c r="F895" s="181"/>
      <c r="G895" s="181"/>
      <c r="H895" s="181"/>
      <c r="I895" s="181"/>
      <c r="J895" s="181"/>
      <c r="K895" s="181"/>
      <c r="L895" s="181"/>
      <c r="M895" s="181"/>
      <c r="N895" s="181"/>
      <c r="O895" s="181"/>
      <c r="P895" s="181"/>
    </row>
    <row r="896">
      <c r="B896" s="292"/>
      <c r="C896" s="181"/>
      <c r="D896" s="181"/>
      <c r="E896" s="181"/>
      <c r="F896" s="181"/>
      <c r="G896" s="181"/>
      <c r="H896" s="181"/>
      <c r="I896" s="181"/>
      <c r="J896" s="181"/>
      <c r="K896" s="181"/>
      <c r="L896" s="181"/>
      <c r="M896" s="181"/>
      <c r="N896" s="181"/>
      <c r="O896" s="181"/>
      <c r="P896" s="181"/>
    </row>
    <row r="897">
      <c r="B897" s="292"/>
      <c r="C897" s="181"/>
      <c r="D897" s="181"/>
      <c r="E897" s="181"/>
      <c r="F897" s="181"/>
      <c r="G897" s="181"/>
      <c r="H897" s="181"/>
      <c r="I897" s="181"/>
      <c r="J897" s="181"/>
      <c r="K897" s="181"/>
      <c r="L897" s="181"/>
      <c r="M897" s="181"/>
      <c r="N897" s="181"/>
      <c r="O897" s="181"/>
      <c r="P897" s="181"/>
    </row>
    <row r="898">
      <c r="B898" s="292"/>
      <c r="C898" s="181"/>
      <c r="D898" s="181"/>
      <c r="E898" s="181"/>
      <c r="F898" s="181"/>
      <c r="G898" s="181"/>
      <c r="H898" s="181"/>
      <c r="I898" s="181"/>
      <c r="J898" s="181"/>
      <c r="K898" s="181"/>
      <c r="L898" s="181"/>
      <c r="M898" s="181"/>
      <c r="N898" s="181"/>
      <c r="O898" s="181"/>
      <c r="P898" s="181"/>
    </row>
    <row r="899">
      <c r="B899" s="292"/>
      <c r="C899" s="181"/>
      <c r="D899" s="181"/>
      <c r="E899" s="181"/>
      <c r="F899" s="181"/>
      <c r="G899" s="181"/>
      <c r="H899" s="181"/>
      <c r="I899" s="181"/>
      <c r="J899" s="181"/>
      <c r="K899" s="181"/>
      <c r="L899" s="181"/>
      <c r="M899" s="181"/>
      <c r="N899" s="181"/>
      <c r="O899" s="181"/>
      <c r="P899" s="181"/>
    </row>
    <row r="900">
      <c r="B900" s="292"/>
      <c r="C900" s="181"/>
      <c r="D900" s="181"/>
      <c r="E900" s="181"/>
      <c r="F900" s="181"/>
      <c r="G900" s="181"/>
      <c r="H900" s="181"/>
      <c r="I900" s="181"/>
      <c r="J900" s="181"/>
      <c r="K900" s="181"/>
      <c r="L900" s="181"/>
      <c r="M900" s="181"/>
      <c r="N900" s="181"/>
      <c r="O900" s="181"/>
      <c r="P900" s="181"/>
    </row>
    <row r="901">
      <c r="B901" s="292"/>
      <c r="C901" s="181"/>
      <c r="D901" s="181"/>
      <c r="E901" s="181"/>
      <c r="F901" s="181"/>
      <c r="G901" s="181"/>
      <c r="H901" s="181"/>
      <c r="I901" s="181"/>
      <c r="J901" s="181"/>
      <c r="K901" s="181"/>
      <c r="L901" s="181"/>
      <c r="M901" s="181"/>
      <c r="N901" s="181"/>
      <c r="O901" s="181"/>
      <c r="P901" s="181"/>
    </row>
    <row r="902">
      <c r="B902" s="292"/>
      <c r="C902" s="181"/>
      <c r="D902" s="181"/>
      <c r="E902" s="181"/>
      <c r="F902" s="181"/>
      <c r="G902" s="181"/>
      <c r="H902" s="181"/>
      <c r="I902" s="181"/>
      <c r="J902" s="181"/>
      <c r="K902" s="181"/>
      <c r="L902" s="181"/>
      <c r="M902" s="181"/>
      <c r="N902" s="181"/>
      <c r="O902" s="181"/>
      <c r="P902" s="181"/>
    </row>
    <row r="903">
      <c r="B903" s="292"/>
      <c r="C903" s="181"/>
      <c r="D903" s="181"/>
      <c r="E903" s="181"/>
      <c r="F903" s="181"/>
      <c r="G903" s="181"/>
      <c r="H903" s="181"/>
      <c r="I903" s="181"/>
      <c r="J903" s="181"/>
      <c r="K903" s="181"/>
      <c r="L903" s="181"/>
      <c r="M903" s="181"/>
      <c r="N903" s="181"/>
      <c r="O903" s="181"/>
      <c r="P903" s="181"/>
    </row>
    <row r="904">
      <c r="B904" s="292"/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181"/>
      <c r="N904" s="181"/>
      <c r="O904" s="181"/>
      <c r="P904" s="181"/>
    </row>
    <row r="905">
      <c r="B905" s="292"/>
      <c r="C905" s="181"/>
      <c r="D905" s="181"/>
      <c r="E905" s="181"/>
      <c r="F905" s="181"/>
      <c r="G905" s="181"/>
      <c r="H905" s="181"/>
      <c r="I905" s="181"/>
      <c r="J905" s="181"/>
      <c r="K905" s="181"/>
      <c r="L905" s="181"/>
      <c r="M905" s="181"/>
      <c r="N905" s="181"/>
      <c r="O905" s="181"/>
      <c r="P905" s="181"/>
    </row>
    <row r="906">
      <c r="B906" s="292"/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</row>
    <row r="907">
      <c r="B907" s="292"/>
      <c r="C907" s="181"/>
      <c r="D907" s="181"/>
      <c r="E907" s="181"/>
      <c r="F907" s="181"/>
      <c r="G907" s="181"/>
      <c r="H907" s="181"/>
      <c r="I907" s="181"/>
      <c r="J907" s="181"/>
      <c r="K907" s="181"/>
      <c r="L907" s="181"/>
      <c r="M907" s="181"/>
      <c r="N907" s="181"/>
      <c r="O907" s="181"/>
      <c r="P907" s="181"/>
    </row>
    <row r="908">
      <c r="B908" s="292"/>
      <c r="C908" s="181"/>
      <c r="D908" s="181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</row>
    <row r="909">
      <c r="B909" s="292"/>
      <c r="C909" s="181"/>
      <c r="D909" s="181"/>
      <c r="E909" s="181"/>
      <c r="F909" s="181"/>
      <c r="G909" s="181"/>
      <c r="H909" s="181"/>
      <c r="I909" s="181"/>
      <c r="J909" s="181"/>
      <c r="K909" s="181"/>
      <c r="L909" s="181"/>
      <c r="M909" s="181"/>
      <c r="N909" s="181"/>
      <c r="O909" s="181"/>
      <c r="P909" s="181"/>
    </row>
    <row r="910">
      <c r="B910" s="292"/>
      <c r="C910" s="181"/>
      <c r="D910" s="181"/>
      <c r="E910" s="181"/>
      <c r="F910" s="181"/>
      <c r="G910" s="181"/>
      <c r="H910" s="181"/>
      <c r="I910" s="181"/>
      <c r="J910" s="181"/>
      <c r="K910" s="181"/>
      <c r="L910" s="181"/>
      <c r="M910" s="181"/>
      <c r="N910" s="181"/>
      <c r="O910" s="181"/>
      <c r="P910" s="181"/>
    </row>
    <row r="911">
      <c r="B911" s="292"/>
      <c r="C911" s="181"/>
      <c r="D911" s="181"/>
      <c r="E911" s="181"/>
      <c r="F911" s="181"/>
      <c r="G911" s="181"/>
      <c r="H911" s="181"/>
      <c r="I911" s="181"/>
      <c r="J911" s="181"/>
      <c r="K911" s="181"/>
      <c r="L911" s="181"/>
      <c r="M911" s="181"/>
      <c r="N911" s="181"/>
      <c r="O911" s="181"/>
      <c r="P911" s="181"/>
    </row>
    <row r="912">
      <c r="B912" s="292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</row>
    <row r="913">
      <c r="B913" s="292"/>
      <c r="C913" s="181"/>
      <c r="D913" s="181"/>
      <c r="E913" s="181"/>
      <c r="F913" s="181"/>
      <c r="G913" s="181"/>
      <c r="H913" s="181"/>
      <c r="I913" s="181"/>
      <c r="J913" s="181"/>
      <c r="K913" s="181"/>
      <c r="L913" s="181"/>
      <c r="M913" s="181"/>
      <c r="N913" s="181"/>
      <c r="O913" s="181"/>
      <c r="P913" s="181"/>
    </row>
    <row r="914">
      <c r="B914" s="292"/>
      <c r="C914" s="181"/>
      <c r="D914" s="181"/>
      <c r="E914" s="181"/>
      <c r="F914" s="181"/>
      <c r="G914" s="181"/>
      <c r="H914" s="181"/>
      <c r="I914" s="181"/>
      <c r="J914" s="181"/>
      <c r="K914" s="181"/>
      <c r="L914" s="181"/>
      <c r="M914" s="181"/>
      <c r="N914" s="181"/>
      <c r="O914" s="181"/>
      <c r="P914" s="181"/>
    </row>
    <row r="915">
      <c r="B915" s="292"/>
      <c r="C915" s="181"/>
      <c r="D915" s="181"/>
      <c r="E915" s="181"/>
      <c r="F915" s="181"/>
      <c r="G915" s="181"/>
      <c r="H915" s="181"/>
      <c r="I915" s="181"/>
      <c r="J915" s="181"/>
      <c r="K915" s="181"/>
      <c r="L915" s="181"/>
      <c r="M915" s="181"/>
      <c r="N915" s="181"/>
      <c r="O915" s="181"/>
      <c r="P915" s="181"/>
    </row>
    <row r="916">
      <c r="B916" s="292"/>
      <c r="C916" s="181"/>
      <c r="D916" s="181"/>
      <c r="E916" s="181"/>
      <c r="F916" s="181"/>
      <c r="G916" s="181"/>
      <c r="H916" s="181"/>
      <c r="I916" s="181"/>
      <c r="J916" s="181"/>
      <c r="K916" s="181"/>
      <c r="L916" s="181"/>
      <c r="M916" s="181"/>
      <c r="N916" s="181"/>
      <c r="O916" s="181"/>
      <c r="P916" s="181"/>
    </row>
    <row r="917">
      <c r="B917" s="292"/>
      <c r="C917" s="181"/>
      <c r="D917" s="181"/>
      <c r="E917" s="181"/>
      <c r="F917" s="181"/>
      <c r="G917" s="181"/>
      <c r="H917" s="181"/>
      <c r="I917" s="181"/>
      <c r="J917" s="181"/>
      <c r="K917" s="181"/>
      <c r="L917" s="181"/>
      <c r="M917" s="181"/>
      <c r="N917" s="181"/>
      <c r="O917" s="181"/>
      <c r="P917" s="181"/>
    </row>
    <row r="918">
      <c r="B918" s="292"/>
      <c r="C918" s="181"/>
      <c r="D918" s="181"/>
      <c r="E918" s="181"/>
      <c r="F918" s="181"/>
      <c r="G918" s="181"/>
      <c r="H918" s="181"/>
      <c r="I918" s="181"/>
      <c r="J918" s="181"/>
      <c r="K918" s="181"/>
      <c r="L918" s="181"/>
      <c r="M918" s="181"/>
      <c r="N918" s="181"/>
      <c r="O918" s="181"/>
      <c r="P918" s="181"/>
    </row>
    <row r="919">
      <c r="B919" s="292"/>
      <c r="C919" s="181"/>
      <c r="D919" s="181"/>
      <c r="E919" s="181"/>
      <c r="F919" s="181"/>
      <c r="G919" s="181"/>
      <c r="H919" s="181"/>
      <c r="I919" s="181"/>
      <c r="J919" s="181"/>
      <c r="K919" s="181"/>
      <c r="L919" s="181"/>
      <c r="M919" s="181"/>
      <c r="N919" s="181"/>
      <c r="O919" s="181"/>
      <c r="P919" s="181"/>
    </row>
    <row r="920">
      <c r="B920" s="292"/>
      <c r="C920" s="181"/>
      <c r="D920" s="181"/>
      <c r="E920" s="181"/>
      <c r="F920" s="181"/>
      <c r="G920" s="181"/>
      <c r="H920" s="181"/>
      <c r="I920" s="181"/>
      <c r="J920" s="181"/>
      <c r="K920" s="181"/>
      <c r="L920" s="181"/>
      <c r="M920" s="181"/>
      <c r="N920" s="181"/>
      <c r="O920" s="181"/>
      <c r="P920" s="181"/>
    </row>
    <row r="921">
      <c r="B921" s="292"/>
      <c r="C921" s="181"/>
      <c r="D921" s="181"/>
      <c r="E921" s="181"/>
      <c r="F921" s="181"/>
      <c r="G921" s="181"/>
      <c r="H921" s="181"/>
      <c r="I921" s="181"/>
      <c r="J921" s="181"/>
      <c r="K921" s="181"/>
      <c r="L921" s="181"/>
      <c r="M921" s="181"/>
      <c r="N921" s="181"/>
      <c r="O921" s="181"/>
      <c r="P921" s="181"/>
    </row>
    <row r="922">
      <c r="B922" s="292"/>
      <c r="C922" s="181"/>
      <c r="D922" s="181"/>
      <c r="E922" s="181"/>
      <c r="F922" s="181"/>
      <c r="G922" s="181"/>
      <c r="H922" s="181"/>
      <c r="I922" s="181"/>
      <c r="J922" s="181"/>
      <c r="K922" s="181"/>
      <c r="L922" s="181"/>
      <c r="M922" s="181"/>
      <c r="N922" s="181"/>
      <c r="O922" s="181"/>
      <c r="P922" s="181"/>
    </row>
    <row r="923">
      <c r="B923" s="292"/>
      <c r="C923" s="181"/>
      <c r="D923" s="181"/>
      <c r="E923" s="181"/>
      <c r="F923" s="181"/>
      <c r="G923" s="181"/>
      <c r="H923" s="181"/>
      <c r="I923" s="181"/>
      <c r="J923" s="181"/>
      <c r="K923" s="181"/>
      <c r="L923" s="181"/>
      <c r="M923" s="181"/>
      <c r="N923" s="181"/>
      <c r="O923" s="181"/>
      <c r="P923" s="181"/>
    </row>
    <row r="924">
      <c r="B924" s="292"/>
      <c r="C924" s="181"/>
      <c r="D924" s="181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</row>
    <row r="925">
      <c r="B925" s="292"/>
      <c r="C925" s="181"/>
      <c r="D925" s="181"/>
      <c r="E925" s="181"/>
      <c r="F925" s="181"/>
      <c r="G925" s="181"/>
      <c r="H925" s="181"/>
      <c r="I925" s="181"/>
      <c r="J925" s="181"/>
      <c r="K925" s="181"/>
      <c r="L925" s="181"/>
      <c r="M925" s="181"/>
      <c r="N925" s="181"/>
      <c r="O925" s="181"/>
      <c r="P925" s="181"/>
    </row>
    <row r="926">
      <c r="B926" s="292"/>
      <c r="C926" s="181"/>
      <c r="D926" s="181"/>
      <c r="E926" s="181"/>
      <c r="F926" s="181"/>
      <c r="G926" s="181"/>
      <c r="H926" s="181"/>
      <c r="I926" s="181"/>
      <c r="J926" s="181"/>
      <c r="K926" s="181"/>
      <c r="L926" s="181"/>
      <c r="M926" s="181"/>
      <c r="N926" s="181"/>
      <c r="O926" s="181"/>
      <c r="P926" s="181"/>
    </row>
    <row r="927">
      <c r="B927" s="292"/>
      <c r="C927" s="181"/>
      <c r="D927" s="181"/>
      <c r="E927" s="181"/>
      <c r="F927" s="181"/>
      <c r="G927" s="181"/>
      <c r="H927" s="181"/>
      <c r="I927" s="181"/>
      <c r="J927" s="181"/>
      <c r="K927" s="181"/>
      <c r="L927" s="181"/>
      <c r="M927" s="181"/>
      <c r="N927" s="181"/>
      <c r="O927" s="181"/>
      <c r="P927" s="181"/>
    </row>
    <row r="928">
      <c r="B928" s="292"/>
      <c r="C928" s="181"/>
      <c r="D928" s="181"/>
      <c r="E928" s="181"/>
      <c r="F928" s="181"/>
      <c r="G928" s="181"/>
      <c r="H928" s="181"/>
      <c r="I928" s="181"/>
      <c r="J928" s="181"/>
      <c r="K928" s="181"/>
      <c r="L928" s="181"/>
      <c r="M928" s="181"/>
      <c r="N928" s="181"/>
      <c r="O928" s="181"/>
      <c r="P928" s="181"/>
    </row>
    <row r="929">
      <c r="B929" s="292"/>
      <c r="C929" s="181"/>
      <c r="D929" s="181"/>
      <c r="E929" s="181"/>
      <c r="F929" s="181"/>
      <c r="G929" s="181"/>
      <c r="H929" s="181"/>
      <c r="I929" s="181"/>
      <c r="J929" s="181"/>
      <c r="K929" s="181"/>
      <c r="L929" s="181"/>
      <c r="M929" s="181"/>
      <c r="N929" s="181"/>
      <c r="O929" s="181"/>
      <c r="P929" s="181"/>
    </row>
    <row r="930">
      <c r="B930" s="292"/>
      <c r="C930" s="181"/>
      <c r="D930" s="181"/>
      <c r="E930" s="181"/>
      <c r="F930" s="181"/>
      <c r="G930" s="181"/>
      <c r="H930" s="181"/>
      <c r="I930" s="181"/>
      <c r="J930" s="181"/>
      <c r="K930" s="181"/>
      <c r="L930" s="181"/>
      <c r="M930" s="181"/>
      <c r="N930" s="181"/>
      <c r="O930" s="181"/>
      <c r="P930" s="181"/>
    </row>
    <row r="931">
      <c r="B931" s="292"/>
      <c r="C931" s="181"/>
      <c r="D931" s="181"/>
      <c r="E931" s="181"/>
      <c r="F931" s="181"/>
      <c r="G931" s="181"/>
      <c r="H931" s="181"/>
      <c r="I931" s="181"/>
      <c r="J931" s="181"/>
      <c r="K931" s="181"/>
      <c r="L931" s="181"/>
      <c r="M931" s="181"/>
      <c r="N931" s="181"/>
      <c r="O931" s="181"/>
      <c r="P931" s="181"/>
    </row>
    <row r="932">
      <c r="B932" s="292"/>
      <c r="C932" s="181"/>
      <c r="D932" s="181"/>
      <c r="E932" s="181"/>
      <c r="F932" s="181"/>
      <c r="G932" s="181"/>
      <c r="H932" s="181"/>
      <c r="I932" s="181"/>
      <c r="J932" s="181"/>
      <c r="K932" s="181"/>
      <c r="L932" s="181"/>
      <c r="M932" s="181"/>
      <c r="N932" s="181"/>
      <c r="O932" s="181"/>
      <c r="P932" s="181"/>
    </row>
    <row r="933">
      <c r="B933" s="292"/>
      <c r="C933" s="181"/>
      <c r="D933" s="181"/>
      <c r="E933" s="181"/>
      <c r="F933" s="181"/>
      <c r="G933" s="181"/>
      <c r="H933" s="181"/>
      <c r="I933" s="181"/>
      <c r="J933" s="181"/>
      <c r="K933" s="181"/>
      <c r="L933" s="181"/>
      <c r="M933" s="181"/>
      <c r="N933" s="181"/>
      <c r="O933" s="181"/>
      <c r="P933" s="181"/>
    </row>
    <row r="934">
      <c r="B934" s="292"/>
      <c r="C934" s="181"/>
      <c r="D934" s="181"/>
      <c r="E934" s="181"/>
      <c r="F934" s="181"/>
      <c r="G934" s="181"/>
      <c r="H934" s="181"/>
      <c r="I934" s="181"/>
      <c r="J934" s="181"/>
      <c r="K934" s="181"/>
      <c r="L934" s="181"/>
      <c r="M934" s="181"/>
      <c r="N934" s="181"/>
      <c r="O934" s="181"/>
      <c r="P934" s="181"/>
    </row>
    <row r="935">
      <c r="B935" s="292"/>
      <c r="C935" s="181"/>
      <c r="D935" s="181"/>
      <c r="E935" s="181"/>
      <c r="F935" s="181"/>
      <c r="G935" s="181"/>
      <c r="H935" s="181"/>
      <c r="I935" s="181"/>
      <c r="J935" s="181"/>
      <c r="K935" s="181"/>
      <c r="L935" s="181"/>
      <c r="M935" s="181"/>
      <c r="N935" s="181"/>
      <c r="O935" s="181"/>
      <c r="P935" s="181"/>
    </row>
    <row r="936">
      <c r="B936" s="292"/>
      <c r="C936" s="181"/>
      <c r="D936" s="181"/>
      <c r="E936" s="181"/>
      <c r="F936" s="181"/>
      <c r="G936" s="181"/>
      <c r="H936" s="181"/>
      <c r="I936" s="181"/>
      <c r="J936" s="181"/>
      <c r="K936" s="181"/>
      <c r="L936" s="181"/>
      <c r="M936" s="181"/>
      <c r="N936" s="181"/>
      <c r="O936" s="181"/>
      <c r="P936" s="181"/>
    </row>
    <row r="937">
      <c r="B937" s="292"/>
      <c r="C937" s="181"/>
      <c r="D937" s="181"/>
      <c r="E937" s="181"/>
      <c r="F937" s="181"/>
      <c r="G937" s="181"/>
      <c r="H937" s="181"/>
      <c r="I937" s="181"/>
      <c r="J937" s="181"/>
      <c r="K937" s="181"/>
      <c r="L937" s="181"/>
      <c r="M937" s="181"/>
      <c r="N937" s="181"/>
      <c r="O937" s="181"/>
      <c r="P937" s="181"/>
    </row>
    <row r="938">
      <c r="B938" s="292"/>
      <c r="C938" s="181"/>
      <c r="D938" s="181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</row>
    <row r="939">
      <c r="B939" s="292"/>
      <c r="C939" s="181"/>
      <c r="D939" s="181"/>
      <c r="E939" s="181"/>
      <c r="F939" s="181"/>
      <c r="G939" s="181"/>
      <c r="H939" s="181"/>
      <c r="I939" s="181"/>
      <c r="J939" s="181"/>
      <c r="K939" s="181"/>
      <c r="L939" s="181"/>
      <c r="M939" s="181"/>
      <c r="N939" s="181"/>
      <c r="O939" s="181"/>
      <c r="P939" s="181"/>
    </row>
    <row r="940">
      <c r="B940" s="292"/>
      <c r="C940" s="181"/>
      <c r="D940" s="181"/>
      <c r="E940" s="181"/>
      <c r="F940" s="181"/>
      <c r="G940" s="181"/>
      <c r="H940" s="181"/>
      <c r="I940" s="181"/>
      <c r="J940" s="181"/>
      <c r="K940" s="181"/>
      <c r="L940" s="181"/>
      <c r="M940" s="181"/>
      <c r="N940" s="181"/>
      <c r="O940" s="181"/>
      <c r="P940" s="181"/>
    </row>
    <row r="941">
      <c r="B941" s="292"/>
      <c r="C941" s="181"/>
      <c r="D941" s="181"/>
      <c r="E941" s="181"/>
      <c r="F941" s="181"/>
      <c r="G941" s="181"/>
      <c r="H941" s="181"/>
      <c r="I941" s="181"/>
      <c r="J941" s="181"/>
      <c r="K941" s="181"/>
      <c r="L941" s="181"/>
      <c r="M941" s="181"/>
      <c r="N941" s="181"/>
      <c r="O941" s="181"/>
      <c r="P941" s="181"/>
    </row>
    <row r="942">
      <c r="B942" s="292"/>
      <c r="C942" s="181"/>
      <c r="D942" s="181"/>
      <c r="E942" s="181"/>
      <c r="F942" s="181"/>
      <c r="G942" s="181"/>
      <c r="H942" s="181"/>
      <c r="I942" s="181"/>
      <c r="J942" s="181"/>
      <c r="K942" s="181"/>
      <c r="L942" s="181"/>
      <c r="M942" s="181"/>
      <c r="N942" s="181"/>
      <c r="O942" s="181"/>
      <c r="P942" s="181"/>
    </row>
    <row r="943">
      <c r="B943" s="292"/>
      <c r="C943" s="181"/>
      <c r="D943" s="181"/>
      <c r="E943" s="181"/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</row>
    <row r="944">
      <c r="B944" s="292"/>
      <c r="C944" s="181"/>
      <c r="D944" s="181"/>
      <c r="E944" s="181"/>
      <c r="F944" s="181"/>
      <c r="G944" s="181"/>
      <c r="H944" s="181"/>
      <c r="I944" s="181"/>
      <c r="J944" s="181"/>
      <c r="K944" s="181"/>
      <c r="L944" s="181"/>
      <c r="M944" s="181"/>
      <c r="N944" s="181"/>
      <c r="O944" s="181"/>
      <c r="P944" s="181"/>
    </row>
    <row r="945">
      <c r="B945" s="292"/>
      <c r="C945" s="181"/>
      <c r="D945" s="181"/>
      <c r="E945" s="181"/>
      <c r="F945" s="181"/>
      <c r="G945" s="181"/>
      <c r="H945" s="181"/>
      <c r="I945" s="181"/>
      <c r="J945" s="181"/>
      <c r="K945" s="181"/>
      <c r="L945" s="181"/>
      <c r="M945" s="181"/>
      <c r="N945" s="181"/>
      <c r="O945" s="181"/>
      <c r="P945" s="181"/>
    </row>
    <row r="946">
      <c r="B946" s="292"/>
      <c r="C946" s="181"/>
      <c r="D946" s="181"/>
      <c r="E946" s="181"/>
      <c r="F946" s="181"/>
      <c r="G946" s="181"/>
      <c r="H946" s="181"/>
      <c r="I946" s="181"/>
      <c r="J946" s="181"/>
      <c r="K946" s="181"/>
      <c r="L946" s="181"/>
      <c r="M946" s="181"/>
      <c r="N946" s="181"/>
      <c r="O946" s="181"/>
      <c r="P946" s="181"/>
    </row>
    <row r="947">
      <c r="B947" s="292"/>
      <c r="C947" s="181"/>
      <c r="D947" s="181"/>
      <c r="E947" s="181"/>
      <c r="F947" s="181"/>
      <c r="G947" s="181"/>
      <c r="H947" s="181"/>
      <c r="I947" s="181"/>
      <c r="J947" s="181"/>
      <c r="K947" s="181"/>
      <c r="L947" s="181"/>
      <c r="M947" s="181"/>
      <c r="N947" s="181"/>
      <c r="O947" s="181"/>
      <c r="P947" s="181"/>
    </row>
    <row r="948">
      <c r="B948" s="292"/>
      <c r="C948" s="181"/>
      <c r="D948" s="181"/>
      <c r="E948" s="181"/>
      <c r="F948" s="181"/>
      <c r="G948" s="181"/>
      <c r="H948" s="181"/>
      <c r="I948" s="181"/>
      <c r="J948" s="181"/>
      <c r="K948" s="181"/>
      <c r="L948" s="181"/>
      <c r="M948" s="181"/>
      <c r="N948" s="181"/>
      <c r="O948" s="181"/>
      <c r="P948" s="181"/>
    </row>
    <row r="949">
      <c r="B949" s="292"/>
      <c r="C949" s="181"/>
      <c r="D949" s="181"/>
      <c r="E949" s="181"/>
      <c r="F949" s="181"/>
      <c r="G949" s="181"/>
      <c r="H949" s="181"/>
      <c r="I949" s="181"/>
      <c r="J949" s="181"/>
      <c r="K949" s="181"/>
      <c r="L949" s="181"/>
      <c r="M949" s="181"/>
      <c r="N949" s="181"/>
      <c r="O949" s="181"/>
      <c r="P949" s="181"/>
    </row>
    <row r="950">
      <c r="B950" s="292"/>
      <c r="C950" s="181"/>
      <c r="D950" s="181"/>
      <c r="E950" s="181"/>
      <c r="F950" s="181"/>
      <c r="G950" s="181"/>
      <c r="H950" s="181"/>
      <c r="I950" s="181"/>
      <c r="J950" s="181"/>
      <c r="K950" s="181"/>
      <c r="L950" s="181"/>
      <c r="M950" s="181"/>
      <c r="N950" s="181"/>
      <c r="O950" s="181"/>
      <c r="P950" s="181"/>
    </row>
    <row r="951">
      <c r="B951" s="292"/>
      <c r="C951" s="181"/>
      <c r="D951" s="181"/>
      <c r="E951" s="181"/>
      <c r="F951" s="181"/>
      <c r="G951" s="181"/>
      <c r="H951" s="181"/>
      <c r="I951" s="181"/>
      <c r="J951" s="181"/>
      <c r="K951" s="181"/>
      <c r="L951" s="181"/>
      <c r="M951" s="181"/>
      <c r="N951" s="181"/>
      <c r="O951" s="181"/>
      <c r="P951" s="181"/>
    </row>
    <row r="952">
      <c r="B952" s="292"/>
      <c r="C952" s="181"/>
      <c r="D952" s="181"/>
      <c r="E952" s="181"/>
      <c r="F952" s="181"/>
      <c r="G952" s="181"/>
      <c r="H952" s="181"/>
      <c r="I952" s="181"/>
      <c r="J952" s="181"/>
      <c r="K952" s="181"/>
      <c r="L952" s="181"/>
      <c r="M952" s="181"/>
      <c r="N952" s="181"/>
      <c r="O952" s="181"/>
      <c r="P952" s="181"/>
    </row>
    <row r="953">
      <c r="B953" s="292"/>
      <c r="C953" s="181"/>
      <c r="D953" s="181"/>
      <c r="E953" s="181"/>
      <c r="F953" s="181"/>
      <c r="G953" s="181"/>
      <c r="H953" s="181"/>
      <c r="I953" s="181"/>
      <c r="J953" s="181"/>
      <c r="K953" s="181"/>
      <c r="L953" s="181"/>
      <c r="M953" s="181"/>
      <c r="N953" s="181"/>
      <c r="O953" s="181"/>
      <c r="P953" s="181"/>
    </row>
    <row r="954">
      <c r="B954" s="292"/>
      <c r="C954" s="181"/>
      <c r="D954" s="181"/>
      <c r="E954" s="181"/>
      <c r="F954" s="181"/>
      <c r="G954" s="181"/>
      <c r="H954" s="181"/>
      <c r="I954" s="181"/>
      <c r="J954" s="181"/>
      <c r="K954" s="181"/>
      <c r="L954" s="181"/>
      <c r="M954" s="181"/>
      <c r="N954" s="181"/>
      <c r="O954" s="181"/>
      <c r="P954" s="181"/>
    </row>
    <row r="955">
      <c r="B955" s="292"/>
      <c r="C955" s="181"/>
      <c r="D955" s="181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</row>
    <row r="956">
      <c r="B956" s="292"/>
      <c r="C956" s="181"/>
      <c r="D956" s="181"/>
      <c r="E956" s="181"/>
      <c r="F956" s="181"/>
      <c r="G956" s="181"/>
      <c r="H956" s="181"/>
      <c r="I956" s="181"/>
      <c r="J956" s="181"/>
      <c r="K956" s="181"/>
      <c r="L956" s="181"/>
      <c r="M956" s="181"/>
      <c r="N956" s="181"/>
      <c r="O956" s="181"/>
      <c r="P956" s="181"/>
    </row>
    <row r="957">
      <c r="B957" s="292"/>
      <c r="C957" s="181"/>
      <c r="D957" s="181"/>
      <c r="E957" s="181"/>
      <c r="F957" s="181"/>
      <c r="G957" s="181"/>
      <c r="H957" s="181"/>
      <c r="I957" s="181"/>
      <c r="J957" s="181"/>
      <c r="K957" s="181"/>
      <c r="L957" s="181"/>
      <c r="M957" s="181"/>
      <c r="N957" s="181"/>
      <c r="O957" s="181"/>
      <c r="P957" s="181"/>
    </row>
    <row r="958">
      <c r="B958" s="292"/>
      <c r="C958" s="181"/>
      <c r="D958" s="181"/>
      <c r="E958" s="181"/>
      <c r="F958" s="181"/>
      <c r="G958" s="181"/>
      <c r="H958" s="181"/>
      <c r="I958" s="181"/>
      <c r="J958" s="181"/>
      <c r="K958" s="181"/>
      <c r="L958" s="181"/>
      <c r="M958" s="181"/>
      <c r="N958" s="181"/>
      <c r="O958" s="181"/>
      <c r="P958" s="181"/>
    </row>
    <row r="959">
      <c r="B959" s="292"/>
      <c r="C959" s="181"/>
      <c r="D959" s="181"/>
      <c r="E959" s="181"/>
      <c r="F959" s="181"/>
      <c r="G959" s="181"/>
      <c r="H959" s="181"/>
      <c r="I959" s="181"/>
      <c r="J959" s="181"/>
      <c r="K959" s="181"/>
      <c r="L959" s="181"/>
      <c r="M959" s="181"/>
      <c r="N959" s="181"/>
      <c r="O959" s="181"/>
      <c r="P959" s="181"/>
    </row>
    <row r="960">
      <c r="B960" s="292"/>
      <c r="C960" s="181"/>
      <c r="D960" s="181"/>
      <c r="E960" s="181"/>
      <c r="F960" s="181"/>
      <c r="G960" s="181"/>
      <c r="H960" s="181"/>
      <c r="I960" s="181"/>
      <c r="J960" s="181"/>
      <c r="K960" s="181"/>
      <c r="L960" s="181"/>
      <c r="M960" s="181"/>
      <c r="N960" s="181"/>
      <c r="O960" s="181"/>
      <c r="P960" s="181"/>
    </row>
    <row r="961">
      <c r="B961" s="292"/>
      <c r="C961" s="181"/>
      <c r="D961" s="181"/>
      <c r="E961" s="181"/>
      <c r="F961" s="181"/>
      <c r="G961" s="181"/>
      <c r="H961" s="181"/>
      <c r="I961" s="181"/>
      <c r="J961" s="181"/>
      <c r="K961" s="181"/>
      <c r="L961" s="181"/>
      <c r="M961" s="181"/>
      <c r="N961" s="181"/>
      <c r="O961" s="181"/>
      <c r="P961" s="181"/>
    </row>
    <row r="962">
      <c r="B962" s="292"/>
      <c r="C962" s="181"/>
      <c r="D962" s="181"/>
      <c r="E962" s="181"/>
      <c r="F962" s="181"/>
      <c r="G962" s="181"/>
      <c r="H962" s="181"/>
      <c r="I962" s="181"/>
      <c r="J962" s="181"/>
      <c r="K962" s="181"/>
      <c r="L962" s="181"/>
      <c r="M962" s="181"/>
      <c r="N962" s="181"/>
      <c r="O962" s="181"/>
      <c r="P962" s="181"/>
    </row>
    <row r="963">
      <c r="B963" s="292"/>
      <c r="C963" s="181"/>
      <c r="D963" s="181"/>
      <c r="E963" s="181"/>
      <c r="F963" s="181"/>
      <c r="G963" s="181"/>
      <c r="H963" s="181"/>
      <c r="I963" s="181"/>
      <c r="J963" s="181"/>
      <c r="K963" s="181"/>
      <c r="L963" s="181"/>
      <c r="M963" s="181"/>
      <c r="N963" s="181"/>
      <c r="O963" s="181"/>
      <c r="P963" s="181"/>
    </row>
    <row r="964">
      <c r="B964" s="292"/>
      <c r="C964" s="181"/>
      <c r="D964" s="181"/>
      <c r="E964" s="181"/>
      <c r="F964" s="181"/>
      <c r="G964" s="181"/>
      <c r="H964" s="181"/>
      <c r="I964" s="181"/>
      <c r="J964" s="181"/>
      <c r="K964" s="181"/>
      <c r="L964" s="181"/>
      <c r="M964" s="181"/>
      <c r="N964" s="181"/>
      <c r="O964" s="181"/>
      <c r="P964" s="181"/>
    </row>
    <row r="965">
      <c r="B965" s="292"/>
      <c r="C965" s="181"/>
      <c r="D965" s="181"/>
      <c r="E965" s="181"/>
      <c r="F965" s="181"/>
      <c r="G965" s="181"/>
      <c r="H965" s="181"/>
      <c r="I965" s="181"/>
      <c r="J965" s="181"/>
      <c r="K965" s="181"/>
      <c r="L965" s="181"/>
      <c r="M965" s="181"/>
      <c r="N965" s="181"/>
      <c r="O965" s="181"/>
      <c r="P965" s="181"/>
    </row>
    <row r="966">
      <c r="B966" s="292"/>
      <c r="C966" s="181"/>
      <c r="D966" s="181"/>
      <c r="E966" s="181"/>
      <c r="F966" s="181"/>
      <c r="G966" s="181"/>
      <c r="H966" s="181"/>
      <c r="I966" s="181"/>
      <c r="J966" s="181"/>
      <c r="K966" s="181"/>
      <c r="L966" s="181"/>
      <c r="M966" s="181"/>
      <c r="N966" s="181"/>
      <c r="O966" s="181"/>
      <c r="P966" s="181"/>
    </row>
    <row r="967">
      <c r="B967" s="292"/>
      <c r="C967" s="181"/>
      <c r="D967" s="181"/>
      <c r="E967" s="181"/>
      <c r="F967" s="181"/>
      <c r="G967" s="181"/>
      <c r="H967" s="181"/>
      <c r="I967" s="181"/>
      <c r="J967" s="181"/>
      <c r="K967" s="181"/>
      <c r="L967" s="181"/>
      <c r="M967" s="181"/>
      <c r="N967" s="181"/>
      <c r="O967" s="181"/>
      <c r="P967" s="181"/>
    </row>
    <row r="968">
      <c r="B968" s="292"/>
      <c r="C968" s="181"/>
      <c r="D968" s="181"/>
      <c r="E968" s="181"/>
      <c r="F968" s="181"/>
      <c r="G968" s="181"/>
      <c r="H968" s="181"/>
      <c r="I968" s="181"/>
      <c r="J968" s="181"/>
      <c r="K968" s="181"/>
      <c r="L968" s="181"/>
      <c r="M968" s="181"/>
      <c r="N968" s="181"/>
      <c r="O968" s="181"/>
      <c r="P968" s="181"/>
    </row>
    <row r="969">
      <c r="B969" s="292"/>
      <c r="C969" s="181"/>
      <c r="D969" s="181"/>
      <c r="E969" s="181"/>
      <c r="F969" s="181"/>
      <c r="G969" s="181"/>
      <c r="H969" s="181"/>
      <c r="I969" s="181"/>
      <c r="J969" s="181"/>
      <c r="K969" s="181"/>
      <c r="L969" s="181"/>
      <c r="M969" s="181"/>
      <c r="N969" s="181"/>
      <c r="O969" s="181"/>
      <c r="P969" s="181"/>
    </row>
    <row r="970">
      <c r="B970" s="292"/>
      <c r="C970" s="181"/>
      <c r="D970" s="181"/>
      <c r="E970" s="181"/>
      <c r="F970" s="181"/>
      <c r="G970" s="181"/>
      <c r="H970" s="181"/>
      <c r="I970" s="181"/>
      <c r="J970" s="181"/>
      <c r="K970" s="181"/>
      <c r="L970" s="181"/>
      <c r="M970" s="181"/>
      <c r="N970" s="181"/>
      <c r="O970" s="181"/>
      <c r="P970" s="181"/>
    </row>
    <row r="971">
      <c r="B971" s="292"/>
      <c r="C971" s="181"/>
      <c r="D971" s="181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</row>
    <row r="972">
      <c r="B972" s="292"/>
      <c r="C972" s="181"/>
      <c r="D972" s="181"/>
      <c r="E972" s="181"/>
      <c r="F972" s="181"/>
      <c r="G972" s="181"/>
      <c r="H972" s="181"/>
      <c r="I972" s="181"/>
      <c r="J972" s="181"/>
      <c r="K972" s="181"/>
      <c r="L972" s="181"/>
      <c r="M972" s="181"/>
      <c r="N972" s="181"/>
      <c r="O972" s="181"/>
      <c r="P972" s="181"/>
    </row>
    <row r="973">
      <c r="B973" s="292"/>
      <c r="C973" s="181"/>
      <c r="D973" s="181"/>
      <c r="E973" s="181"/>
      <c r="F973" s="181"/>
      <c r="G973" s="181"/>
      <c r="H973" s="181"/>
      <c r="I973" s="181"/>
      <c r="J973" s="181"/>
      <c r="K973" s="181"/>
      <c r="L973" s="181"/>
      <c r="M973" s="181"/>
      <c r="N973" s="181"/>
      <c r="O973" s="181"/>
      <c r="P973" s="181"/>
    </row>
    <row r="974">
      <c r="B974" s="292"/>
      <c r="C974" s="181"/>
      <c r="D974" s="181"/>
      <c r="E974" s="181"/>
      <c r="F974" s="181"/>
      <c r="G974" s="181"/>
      <c r="H974" s="181"/>
      <c r="I974" s="181"/>
      <c r="J974" s="181"/>
      <c r="K974" s="181"/>
      <c r="L974" s="181"/>
      <c r="M974" s="181"/>
      <c r="N974" s="181"/>
      <c r="O974" s="181"/>
      <c r="P974" s="181"/>
    </row>
    <row r="975">
      <c r="B975" s="292"/>
      <c r="C975" s="181"/>
      <c r="D975" s="181"/>
      <c r="E975" s="181"/>
      <c r="F975" s="181"/>
      <c r="G975" s="181"/>
      <c r="H975" s="181"/>
      <c r="I975" s="181"/>
      <c r="J975" s="181"/>
      <c r="K975" s="181"/>
      <c r="L975" s="181"/>
      <c r="M975" s="181"/>
      <c r="N975" s="181"/>
      <c r="O975" s="181"/>
      <c r="P975" s="181"/>
    </row>
    <row r="976">
      <c r="B976" s="292"/>
      <c r="C976" s="181"/>
      <c r="D976" s="181"/>
      <c r="E976" s="181"/>
      <c r="F976" s="181"/>
      <c r="G976" s="181"/>
      <c r="H976" s="181"/>
      <c r="I976" s="181"/>
      <c r="J976" s="181"/>
      <c r="K976" s="181"/>
      <c r="L976" s="181"/>
      <c r="M976" s="181"/>
      <c r="N976" s="181"/>
      <c r="O976" s="181"/>
      <c r="P976" s="181"/>
    </row>
    <row r="977">
      <c r="B977" s="292"/>
      <c r="C977" s="181"/>
      <c r="D977" s="181"/>
      <c r="E977" s="181"/>
      <c r="F977" s="181"/>
      <c r="G977" s="181"/>
      <c r="H977" s="181"/>
      <c r="I977" s="181"/>
      <c r="J977" s="181"/>
      <c r="K977" s="181"/>
      <c r="L977" s="181"/>
      <c r="M977" s="181"/>
      <c r="N977" s="181"/>
      <c r="O977" s="181"/>
      <c r="P977" s="181"/>
    </row>
    <row r="978">
      <c r="B978" s="292"/>
      <c r="C978" s="181"/>
      <c r="D978" s="181"/>
      <c r="E978" s="181"/>
      <c r="F978" s="181"/>
      <c r="G978" s="181"/>
      <c r="H978" s="181"/>
      <c r="I978" s="181"/>
      <c r="J978" s="181"/>
      <c r="K978" s="181"/>
      <c r="L978" s="181"/>
      <c r="M978" s="181"/>
      <c r="N978" s="181"/>
      <c r="O978" s="181"/>
      <c r="P978" s="181"/>
    </row>
    <row r="979">
      <c r="B979" s="292"/>
      <c r="C979" s="181"/>
      <c r="D979" s="181"/>
      <c r="E979" s="181"/>
      <c r="F979" s="181"/>
      <c r="G979" s="181"/>
      <c r="H979" s="181"/>
      <c r="I979" s="181"/>
      <c r="J979" s="181"/>
      <c r="K979" s="181"/>
      <c r="L979" s="181"/>
      <c r="M979" s="181"/>
      <c r="N979" s="181"/>
      <c r="O979" s="181"/>
      <c r="P979" s="181"/>
    </row>
    <row r="980">
      <c r="B980" s="292"/>
      <c r="C980" s="181"/>
      <c r="D980" s="181"/>
      <c r="E980" s="181"/>
      <c r="F980" s="181"/>
      <c r="G980" s="181"/>
      <c r="H980" s="181"/>
      <c r="I980" s="181"/>
      <c r="J980" s="181"/>
      <c r="K980" s="181"/>
      <c r="L980" s="181"/>
      <c r="M980" s="181"/>
      <c r="N980" s="181"/>
      <c r="O980" s="181"/>
      <c r="P980" s="181"/>
    </row>
    <row r="981">
      <c r="B981" s="292"/>
      <c r="C981" s="181"/>
      <c r="D981" s="181"/>
      <c r="E981" s="181"/>
      <c r="F981" s="181"/>
      <c r="G981" s="181"/>
      <c r="H981" s="181"/>
      <c r="I981" s="181"/>
      <c r="J981" s="181"/>
      <c r="K981" s="181"/>
      <c r="L981" s="181"/>
      <c r="M981" s="181"/>
      <c r="N981" s="181"/>
      <c r="O981" s="181"/>
      <c r="P981" s="181"/>
    </row>
    <row r="982">
      <c r="B982" s="292"/>
      <c r="C982" s="181"/>
      <c r="D982" s="181"/>
      <c r="E982" s="181"/>
      <c r="F982" s="181"/>
      <c r="G982" s="181"/>
      <c r="H982" s="181"/>
      <c r="I982" s="181"/>
      <c r="J982" s="181"/>
      <c r="K982" s="181"/>
      <c r="L982" s="181"/>
      <c r="M982" s="181"/>
      <c r="N982" s="181"/>
      <c r="O982" s="181"/>
      <c r="P982" s="181"/>
    </row>
    <row r="983">
      <c r="B983" s="292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</row>
    <row r="984">
      <c r="B984" s="292"/>
      <c r="C984" s="181"/>
      <c r="D984" s="181"/>
      <c r="E984" s="181"/>
      <c r="F984" s="181"/>
      <c r="G984" s="181"/>
      <c r="H984" s="181"/>
      <c r="I984" s="181"/>
      <c r="J984" s="181"/>
      <c r="K984" s="181"/>
      <c r="L984" s="181"/>
      <c r="M984" s="181"/>
      <c r="N984" s="181"/>
      <c r="O984" s="181"/>
      <c r="P984" s="181"/>
    </row>
    <row r="985">
      <c r="B985" s="292"/>
      <c r="C985" s="181"/>
      <c r="D985" s="181"/>
      <c r="E985" s="181"/>
      <c r="F985" s="181"/>
      <c r="G985" s="181"/>
      <c r="H985" s="181"/>
      <c r="I985" s="181"/>
      <c r="J985" s="181"/>
      <c r="K985" s="181"/>
      <c r="L985" s="181"/>
      <c r="M985" s="181"/>
      <c r="N985" s="181"/>
      <c r="O985" s="181"/>
      <c r="P985" s="181"/>
    </row>
    <row r="986">
      <c r="B986" s="292"/>
      <c r="C986" s="181"/>
      <c r="D986" s="181"/>
      <c r="E986" s="181"/>
      <c r="F986" s="181"/>
      <c r="G986" s="181"/>
      <c r="H986" s="181"/>
      <c r="I986" s="181"/>
      <c r="J986" s="181"/>
      <c r="K986" s="181"/>
      <c r="L986" s="181"/>
      <c r="M986" s="181"/>
      <c r="N986" s="181"/>
      <c r="O986" s="181"/>
      <c r="P986" s="181"/>
    </row>
    <row r="987">
      <c r="B987" s="292"/>
      <c r="C987" s="181"/>
      <c r="D987" s="181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</row>
    <row r="988">
      <c r="B988" s="292"/>
      <c r="C988" s="181"/>
      <c r="D988" s="181"/>
      <c r="E988" s="181"/>
      <c r="F988" s="181"/>
      <c r="G988" s="181"/>
      <c r="H988" s="181"/>
      <c r="I988" s="181"/>
      <c r="J988" s="181"/>
      <c r="K988" s="181"/>
      <c r="L988" s="181"/>
      <c r="M988" s="181"/>
      <c r="N988" s="181"/>
      <c r="O988" s="181"/>
      <c r="P988" s="181"/>
    </row>
    <row r="989">
      <c r="B989" s="292"/>
      <c r="C989" s="181"/>
      <c r="D989" s="181"/>
      <c r="E989" s="181"/>
      <c r="F989" s="181"/>
      <c r="G989" s="181"/>
      <c r="H989" s="181"/>
      <c r="I989" s="181"/>
      <c r="J989" s="181"/>
      <c r="K989" s="181"/>
      <c r="L989" s="181"/>
      <c r="M989" s="181"/>
      <c r="N989" s="181"/>
      <c r="O989" s="181"/>
      <c r="P989" s="181"/>
    </row>
    <row r="990">
      <c r="B990" s="292"/>
      <c r="C990" s="181"/>
      <c r="D990" s="181"/>
      <c r="E990" s="181"/>
      <c r="F990" s="181"/>
      <c r="G990" s="181"/>
      <c r="H990" s="181"/>
      <c r="I990" s="181"/>
      <c r="J990" s="181"/>
      <c r="K990" s="181"/>
      <c r="L990" s="181"/>
      <c r="M990" s="181"/>
      <c r="N990" s="181"/>
      <c r="O990" s="181"/>
      <c r="P990" s="181"/>
    </row>
    <row r="991">
      <c r="B991" s="292"/>
      <c r="C991" s="181"/>
      <c r="D991" s="181"/>
      <c r="E991" s="181"/>
      <c r="F991" s="181"/>
      <c r="G991" s="181"/>
      <c r="H991" s="181"/>
      <c r="I991" s="181"/>
      <c r="J991" s="181"/>
      <c r="K991" s="181"/>
      <c r="L991" s="181"/>
      <c r="M991" s="181"/>
      <c r="N991" s="181"/>
      <c r="O991" s="181"/>
      <c r="P991" s="181"/>
    </row>
    <row r="992">
      <c r="B992" s="292"/>
      <c r="C992" s="181"/>
      <c r="D992" s="181"/>
      <c r="E992" s="181"/>
      <c r="F992" s="181"/>
      <c r="G992" s="181"/>
      <c r="H992" s="181"/>
      <c r="I992" s="181"/>
      <c r="J992" s="181"/>
      <c r="K992" s="181"/>
      <c r="L992" s="181"/>
      <c r="M992" s="181"/>
      <c r="N992" s="181"/>
      <c r="O992" s="181"/>
      <c r="P992" s="181"/>
    </row>
    <row r="993">
      <c r="B993" s="292"/>
      <c r="C993" s="181"/>
      <c r="D993" s="181"/>
      <c r="E993" s="181"/>
      <c r="F993" s="181"/>
      <c r="G993" s="181"/>
      <c r="H993" s="181"/>
      <c r="I993" s="181"/>
      <c r="J993" s="181"/>
      <c r="K993" s="181"/>
      <c r="L993" s="181"/>
      <c r="M993" s="181"/>
      <c r="N993" s="181"/>
      <c r="O993" s="181"/>
      <c r="P993" s="181"/>
    </row>
    <row r="994">
      <c r="B994" s="292"/>
      <c r="C994" s="181"/>
      <c r="D994" s="181"/>
      <c r="E994" s="181"/>
      <c r="F994" s="181"/>
      <c r="G994" s="181"/>
      <c r="H994" s="181"/>
      <c r="I994" s="181"/>
      <c r="J994" s="181"/>
      <c r="K994" s="181"/>
      <c r="L994" s="181"/>
      <c r="M994" s="181"/>
      <c r="N994" s="181"/>
      <c r="O994" s="181"/>
      <c r="P994" s="181"/>
    </row>
    <row r="995">
      <c r="B995" s="292"/>
      <c r="C995" s="181"/>
      <c r="D995" s="181"/>
      <c r="E995" s="181"/>
      <c r="F995" s="181"/>
      <c r="G995" s="181"/>
      <c r="H995" s="181"/>
      <c r="I995" s="181"/>
      <c r="J995" s="181"/>
      <c r="K995" s="181"/>
      <c r="L995" s="181"/>
      <c r="M995" s="181"/>
      <c r="N995" s="181"/>
      <c r="O995" s="181"/>
      <c r="P995" s="181"/>
    </row>
    <row r="996">
      <c r="B996" s="292"/>
      <c r="C996" s="181"/>
      <c r="D996" s="181"/>
      <c r="E996" s="181"/>
      <c r="F996" s="181"/>
      <c r="G996" s="181"/>
      <c r="H996" s="181"/>
      <c r="I996" s="181"/>
      <c r="J996" s="181"/>
      <c r="K996" s="181"/>
      <c r="L996" s="181"/>
      <c r="M996" s="181"/>
      <c r="N996" s="181"/>
      <c r="O996" s="181"/>
      <c r="P996" s="181"/>
    </row>
    <row r="997">
      <c r="B997" s="292"/>
      <c r="C997" s="181"/>
      <c r="D997" s="181"/>
      <c r="E997" s="181"/>
      <c r="F997" s="181"/>
      <c r="G997" s="181"/>
      <c r="H997" s="181"/>
      <c r="I997" s="181"/>
      <c r="J997" s="181"/>
      <c r="K997" s="181"/>
      <c r="L997" s="181"/>
      <c r="M997" s="181"/>
      <c r="N997" s="181"/>
      <c r="O997" s="181"/>
      <c r="P997" s="181"/>
    </row>
    <row r="998">
      <c r="B998" s="292"/>
      <c r="C998" s="181"/>
      <c r="D998" s="181"/>
      <c r="E998" s="181"/>
      <c r="F998" s="181"/>
      <c r="G998" s="181"/>
      <c r="H998" s="181"/>
      <c r="I998" s="181"/>
      <c r="J998" s="181"/>
      <c r="K998" s="181"/>
      <c r="L998" s="181"/>
      <c r="M998" s="181"/>
      <c r="N998" s="181"/>
      <c r="O998" s="181"/>
      <c r="P998" s="181"/>
    </row>
    <row r="999">
      <c r="B999" s="292"/>
      <c r="C999" s="181"/>
      <c r="D999" s="181"/>
      <c r="E999" s="181"/>
      <c r="F999" s="181"/>
      <c r="G999" s="181"/>
      <c r="H999" s="181"/>
      <c r="I999" s="181"/>
      <c r="J999" s="181"/>
      <c r="K999" s="181"/>
      <c r="L999" s="181"/>
      <c r="M999" s="181"/>
      <c r="N999" s="181"/>
      <c r="O999" s="181"/>
      <c r="P999" s="181"/>
    </row>
    <row r="1000">
      <c r="B1000" s="292"/>
      <c r="C1000" s="181"/>
      <c r="D1000" s="181"/>
      <c r="E1000" s="181"/>
      <c r="F1000" s="181"/>
      <c r="G1000" s="181"/>
      <c r="H1000" s="181"/>
      <c r="I1000" s="181"/>
      <c r="J1000" s="181"/>
      <c r="K1000" s="181"/>
      <c r="L1000" s="181"/>
      <c r="M1000" s="181"/>
      <c r="N1000" s="181"/>
      <c r="O1000" s="181"/>
      <c r="P1000" s="181"/>
    </row>
    <row r="1001">
      <c r="B1001" s="292"/>
      <c r="C1001" s="181"/>
      <c r="D1001" s="181"/>
      <c r="E1001" s="181"/>
      <c r="F1001" s="181"/>
      <c r="G1001" s="181"/>
      <c r="H1001" s="181"/>
      <c r="I1001" s="181"/>
      <c r="J1001" s="181"/>
      <c r="K1001" s="181"/>
      <c r="L1001" s="181"/>
      <c r="M1001" s="181"/>
      <c r="N1001" s="181"/>
      <c r="O1001" s="181"/>
      <c r="P1001" s="181"/>
    </row>
    <row r="1002">
      <c r="B1002" s="292"/>
      <c r="C1002" s="181"/>
      <c r="D1002" s="181"/>
      <c r="E1002" s="181"/>
      <c r="F1002" s="181"/>
      <c r="G1002" s="181"/>
      <c r="H1002" s="181"/>
      <c r="I1002" s="181"/>
      <c r="J1002" s="181"/>
      <c r="K1002" s="181"/>
      <c r="L1002" s="181"/>
      <c r="M1002" s="181"/>
      <c r="N1002" s="181"/>
      <c r="O1002" s="181"/>
      <c r="P1002" s="181"/>
    </row>
    <row r="1003">
      <c r="B1003" s="292"/>
      <c r="C1003" s="181"/>
      <c r="D1003" s="181"/>
      <c r="E1003" s="181"/>
      <c r="F1003" s="181"/>
      <c r="G1003" s="181"/>
      <c r="H1003" s="181"/>
      <c r="I1003" s="181"/>
      <c r="J1003" s="181"/>
      <c r="K1003" s="181"/>
      <c r="L1003" s="181"/>
      <c r="M1003" s="181"/>
      <c r="N1003" s="181"/>
      <c r="O1003" s="181"/>
      <c r="P1003" s="181"/>
    </row>
    <row r="1004">
      <c r="B1004" s="292"/>
      <c r="C1004" s="181"/>
      <c r="D1004" s="181"/>
      <c r="E1004" s="181"/>
      <c r="F1004" s="181"/>
      <c r="G1004" s="181"/>
      <c r="H1004" s="181"/>
      <c r="I1004" s="181"/>
      <c r="J1004" s="181"/>
      <c r="K1004" s="181"/>
      <c r="L1004" s="181"/>
      <c r="M1004" s="181"/>
      <c r="N1004" s="181"/>
      <c r="O1004" s="181"/>
      <c r="P1004" s="181"/>
    </row>
    <row r="1005">
      <c r="B1005" s="292"/>
      <c r="C1005" s="181"/>
      <c r="D1005" s="181"/>
      <c r="E1005" s="181"/>
      <c r="F1005" s="181"/>
      <c r="G1005" s="181"/>
      <c r="H1005" s="181"/>
      <c r="I1005" s="181"/>
      <c r="J1005" s="181"/>
      <c r="K1005" s="181"/>
      <c r="L1005" s="181"/>
      <c r="M1005" s="181"/>
      <c r="N1005" s="181"/>
      <c r="O1005" s="181"/>
      <c r="P1005" s="181"/>
    </row>
    <row r="1006">
      <c r="B1006" s="292"/>
      <c r="C1006" s="181"/>
      <c r="D1006" s="181"/>
      <c r="E1006" s="181"/>
      <c r="F1006" s="181"/>
      <c r="G1006" s="181"/>
      <c r="H1006" s="181"/>
      <c r="I1006" s="181"/>
      <c r="J1006" s="181"/>
      <c r="K1006" s="181"/>
      <c r="L1006" s="181"/>
      <c r="M1006" s="181"/>
      <c r="N1006" s="181"/>
      <c r="O1006" s="181"/>
      <c r="P1006" s="181"/>
    </row>
    <row r="1007">
      <c r="B1007" s="292"/>
      <c r="C1007" s="181"/>
      <c r="D1007" s="181"/>
      <c r="E1007" s="181"/>
      <c r="F1007" s="181"/>
      <c r="G1007" s="181"/>
      <c r="H1007" s="181"/>
      <c r="I1007" s="181"/>
      <c r="J1007" s="181"/>
      <c r="K1007" s="181"/>
      <c r="L1007" s="181"/>
      <c r="M1007" s="181"/>
      <c r="N1007" s="181"/>
      <c r="O1007" s="181"/>
      <c r="P1007" s="181"/>
    </row>
    <row r="1008">
      <c r="B1008" s="292"/>
      <c r="C1008" s="181"/>
      <c r="D1008" s="181"/>
      <c r="E1008" s="181"/>
      <c r="F1008" s="181"/>
      <c r="G1008" s="181"/>
      <c r="H1008" s="181"/>
      <c r="I1008" s="181"/>
      <c r="J1008" s="181"/>
      <c r="K1008" s="181"/>
      <c r="L1008" s="181"/>
      <c r="M1008" s="181"/>
      <c r="N1008" s="181"/>
      <c r="O1008" s="181"/>
      <c r="P1008" s="181"/>
    </row>
    <row r="1009">
      <c r="B1009" s="292"/>
      <c r="C1009" s="181"/>
      <c r="D1009" s="181"/>
      <c r="E1009" s="181"/>
      <c r="F1009" s="181"/>
      <c r="G1009" s="181"/>
      <c r="H1009" s="181"/>
      <c r="I1009" s="181"/>
      <c r="J1009" s="181"/>
      <c r="K1009" s="181"/>
      <c r="L1009" s="181"/>
      <c r="M1009" s="181"/>
      <c r="N1009" s="181"/>
      <c r="O1009" s="181"/>
      <c r="P1009" s="181"/>
    </row>
    <row r="1010">
      <c r="B1010" s="292"/>
      <c r="C1010" s="181"/>
      <c r="D1010" s="181"/>
      <c r="E1010" s="181"/>
      <c r="F1010" s="181"/>
      <c r="G1010" s="181"/>
      <c r="H1010" s="181"/>
      <c r="I1010" s="181"/>
      <c r="J1010" s="181"/>
      <c r="K1010" s="181"/>
      <c r="L1010" s="181"/>
      <c r="M1010" s="181"/>
      <c r="N1010" s="181"/>
      <c r="O1010" s="181"/>
      <c r="P1010" s="181"/>
    </row>
    <row r="1011">
      <c r="B1011" s="292"/>
      <c r="C1011" s="181"/>
      <c r="D1011" s="181"/>
      <c r="E1011" s="181"/>
      <c r="F1011" s="181"/>
      <c r="G1011" s="181"/>
      <c r="H1011" s="181"/>
      <c r="I1011" s="181"/>
      <c r="J1011" s="181"/>
      <c r="K1011" s="181"/>
      <c r="L1011" s="181"/>
      <c r="M1011" s="181"/>
      <c r="N1011" s="181"/>
      <c r="O1011" s="181"/>
      <c r="P1011" s="181"/>
    </row>
    <row r="1012">
      <c r="B1012" s="292"/>
      <c r="C1012" s="181"/>
      <c r="D1012" s="181"/>
      <c r="E1012" s="181"/>
      <c r="F1012" s="181"/>
      <c r="G1012" s="181"/>
      <c r="H1012" s="181"/>
      <c r="I1012" s="181"/>
      <c r="J1012" s="181"/>
      <c r="K1012" s="181"/>
      <c r="L1012" s="181"/>
      <c r="M1012" s="181"/>
      <c r="N1012" s="181"/>
      <c r="O1012" s="181"/>
      <c r="P1012" s="181"/>
    </row>
    <row r="1013">
      <c r="B1013" s="292"/>
      <c r="C1013" s="181"/>
      <c r="D1013" s="181"/>
      <c r="E1013" s="181"/>
      <c r="F1013" s="181"/>
      <c r="G1013" s="181"/>
      <c r="H1013" s="181"/>
      <c r="I1013" s="181"/>
      <c r="J1013" s="181"/>
      <c r="K1013" s="181"/>
      <c r="L1013" s="181"/>
      <c r="M1013" s="181"/>
      <c r="N1013" s="181"/>
      <c r="O1013" s="181"/>
      <c r="P1013" s="181"/>
    </row>
    <row r="1014">
      <c r="B1014" s="292"/>
      <c r="C1014" s="181"/>
      <c r="D1014" s="181"/>
      <c r="E1014" s="181"/>
      <c r="F1014" s="181"/>
      <c r="G1014" s="181"/>
      <c r="H1014" s="181"/>
      <c r="I1014" s="181"/>
      <c r="J1014" s="181"/>
      <c r="K1014" s="181"/>
      <c r="L1014" s="181"/>
      <c r="M1014" s="181"/>
      <c r="N1014" s="181"/>
      <c r="O1014" s="181"/>
      <c r="P1014" s="181"/>
    </row>
    <row r="1015">
      <c r="B1015" s="292"/>
      <c r="C1015" s="181"/>
      <c r="D1015" s="181"/>
      <c r="E1015" s="181"/>
      <c r="F1015" s="181"/>
      <c r="G1015" s="181"/>
      <c r="H1015" s="181"/>
      <c r="I1015" s="181"/>
      <c r="J1015" s="181"/>
      <c r="K1015" s="181"/>
      <c r="L1015" s="181"/>
      <c r="M1015" s="181"/>
      <c r="N1015" s="181"/>
      <c r="O1015" s="181"/>
      <c r="P1015" s="181"/>
    </row>
    <row r="1016">
      <c r="B1016" s="292"/>
      <c r="C1016" s="181"/>
      <c r="D1016" s="181"/>
      <c r="E1016" s="181"/>
      <c r="F1016" s="181"/>
      <c r="G1016" s="181"/>
      <c r="H1016" s="181"/>
      <c r="I1016" s="181"/>
      <c r="J1016" s="181"/>
      <c r="K1016" s="181"/>
      <c r="L1016" s="181"/>
      <c r="M1016" s="181"/>
      <c r="N1016" s="181"/>
      <c r="O1016" s="181"/>
      <c r="P1016" s="181"/>
    </row>
    <row r="1017">
      <c r="B1017" s="292"/>
      <c r="C1017" s="181"/>
      <c r="D1017" s="181"/>
      <c r="E1017" s="181"/>
      <c r="F1017" s="181"/>
      <c r="G1017" s="181"/>
      <c r="H1017" s="181"/>
      <c r="I1017" s="181"/>
      <c r="J1017" s="181"/>
      <c r="K1017" s="181"/>
      <c r="L1017" s="181"/>
      <c r="M1017" s="181"/>
      <c r="N1017" s="181"/>
      <c r="O1017" s="181"/>
      <c r="P1017" s="181"/>
    </row>
    <row r="1018">
      <c r="B1018" s="292"/>
      <c r="C1018" s="181"/>
      <c r="D1018" s="181"/>
      <c r="E1018" s="181"/>
      <c r="F1018" s="181"/>
      <c r="G1018" s="181"/>
      <c r="H1018" s="181"/>
      <c r="I1018" s="181"/>
      <c r="J1018" s="181"/>
      <c r="K1018" s="181"/>
      <c r="L1018" s="181"/>
      <c r="M1018" s="181"/>
      <c r="N1018" s="181"/>
      <c r="O1018" s="181"/>
      <c r="P1018" s="181"/>
    </row>
    <row r="1019">
      <c r="B1019" s="292"/>
      <c r="C1019" s="181"/>
      <c r="D1019" s="181"/>
      <c r="E1019" s="181"/>
      <c r="F1019" s="181"/>
      <c r="G1019" s="181"/>
      <c r="H1019" s="181"/>
      <c r="I1019" s="181"/>
      <c r="J1019" s="181"/>
      <c r="K1019" s="181"/>
      <c r="L1019" s="181"/>
      <c r="M1019" s="181"/>
      <c r="N1019" s="181"/>
      <c r="O1019" s="181"/>
      <c r="P1019" s="181"/>
    </row>
    <row r="1020">
      <c r="B1020" s="292"/>
      <c r="C1020" s="181"/>
      <c r="D1020" s="181"/>
      <c r="E1020" s="181"/>
      <c r="F1020" s="181"/>
      <c r="G1020" s="181"/>
      <c r="H1020" s="181"/>
      <c r="I1020" s="181"/>
      <c r="J1020" s="181"/>
      <c r="K1020" s="181"/>
      <c r="L1020" s="181"/>
      <c r="M1020" s="181"/>
      <c r="N1020" s="181"/>
      <c r="O1020" s="181"/>
      <c r="P1020" s="181"/>
    </row>
    <row r="1021">
      <c r="B1021" s="292"/>
      <c r="C1021" s="181"/>
      <c r="D1021" s="181"/>
      <c r="E1021" s="181"/>
      <c r="F1021" s="181"/>
      <c r="G1021" s="181"/>
      <c r="H1021" s="181"/>
      <c r="I1021" s="181"/>
      <c r="J1021" s="181"/>
      <c r="K1021" s="181"/>
      <c r="L1021" s="181"/>
      <c r="M1021" s="181"/>
      <c r="N1021" s="181"/>
      <c r="O1021" s="181"/>
      <c r="P1021" s="181"/>
    </row>
    <row r="1022">
      <c r="B1022" s="292"/>
      <c r="C1022" s="181"/>
      <c r="D1022" s="181"/>
      <c r="E1022" s="181"/>
      <c r="F1022" s="181"/>
      <c r="G1022" s="181"/>
      <c r="H1022" s="181"/>
      <c r="I1022" s="181"/>
      <c r="J1022" s="181"/>
      <c r="K1022" s="181"/>
      <c r="L1022" s="181"/>
      <c r="M1022" s="181"/>
      <c r="N1022" s="181"/>
      <c r="O1022" s="181"/>
      <c r="P1022" s="181"/>
    </row>
    <row r="1023">
      <c r="B1023" s="292"/>
      <c r="C1023" s="181"/>
      <c r="D1023" s="181"/>
      <c r="E1023" s="181"/>
      <c r="F1023" s="181"/>
      <c r="G1023" s="181"/>
      <c r="H1023" s="181"/>
      <c r="I1023" s="181"/>
      <c r="J1023" s="181"/>
      <c r="K1023" s="181"/>
      <c r="L1023" s="181"/>
      <c r="M1023" s="181"/>
      <c r="N1023" s="181"/>
      <c r="O1023" s="181"/>
      <c r="P1023" s="181"/>
    </row>
    <row r="1024">
      <c r="B1024" s="292"/>
      <c r="C1024" s="181"/>
      <c r="D1024" s="181"/>
      <c r="E1024" s="181"/>
      <c r="F1024" s="181"/>
      <c r="G1024" s="181"/>
      <c r="H1024" s="181"/>
      <c r="I1024" s="181"/>
      <c r="J1024" s="181"/>
      <c r="K1024" s="181"/>
      <c r="L1024" s="181"/>
      <c r="M1024" s="181"/>
      <c r="N1024" s="181"/>
      <c r="O1024" s="181"/>
      <c r="P1024" s="181"/>
    </row>
    <row r="1025">
      <c r="B1025" s="292"/>
      <c r="C1025" s="181"/>
      <c r="D1025" s="181"/>
      <c r="E1025" s="181"/>
      <c r="F1025" s="181"/>
      <c r="G1025" s="181"/>
      <c r="H1025" s="181"/>
      <c r="I1025" s="181"/>
      <c r="J1025" s="181"/>
      <c r="K1025" s="181"/>
      <c r="L1025" s="181"/>
      <c r="M1025" s="181"/>
      <c r="N1025" s="181"/>
      <c r="O1025" s="181"/>
      <c r="P1025" s="181"/>
    </row>
    <row r="1026">
      <c r="B1026" s="292"/>
      <c r="C1026" s="181"/>
      <c r="D1026" s="181"/>
      <c r="E1026" s="181"/>
      <c r="F1026" s="181"/>
      <c r="G1026" s="181"/>
      <c r="H1026" s="181"/>
      <c r="I1026" s="181"/>
      <c r="J1026" s="181"/>
      <c r="K1026" s="181"/>
      <c r="L1026" s="181"/>
      <c r="M1026" s="181"/>
      <c r="N1026" s="181"/>
      <c r="O1026" s="181"/>
      <c r="P1026" s="181"/>
    </row>
    <row r="1027">
      <c r="B1027" s="292"/>
      <c r="C1027" s="181"/>
      <c r="D1027" s="181"/>
      <c r="E1027" s="181"/>
      <c r="F1027" s="181"/>
      <c r="G1027" s="181"/>
      <c r="H1027" s="181"/>
      <c r="I1027" s="181"/>
      <c r="J1027" s="181"/>
      <c r="K1027" s="181"/>
      <c r="L1027" s="181"/>
      <c r="M1027" s="181"/>
      <c r="N1027" s="181"/>
      <c r="O1027" s="181"/>
      <c r="P1027" s="181"/>
    </row>
    <row r="1028">
      <c r="B1028" s="292"/>
      <c r="C1028" s="181"/>
      <c r="D1028" s="181"/>
      <c r="E1028" s="181"/>
      <c r="F1028" s="181"/>
      <c r="G1028" s="181"/>
      <c r="H1028" s="181"/>
      <c r="I1028" s="181"/>
      <c r="J1028" s="181"/>
      <c r="K1028" s="181"/>
      <c r="L1028" s="181"/>
      <c r="M1028" s="181"/>
      <c r="N1028" s="181"/>
      <c r="O1028" s="181"/>
      <c r="P1028" s="181"/>
    </row>
    <row r="1029">
      <c r="B1029" s="292"/>
      <c r="C1029" s="181"/>
      <c r="D1029" s="181"/>
      <c r="E1029" s="181"/>
      <c r="F1029" s="181"/>
      <c r="G1029" s="181"/>
      <c r="H1029" s="181"/>
      <c r="I1029" s="181"/>
      <c r="J1029" s="181"/>
      <c r="K1029" s="181"/>
      <c r="L1029" s="181"/>
      <c r="M1029" s="181"/>
      <c r="N1029" s="181"/>
      <c r="O1029" s="181"/>
      <c r="P1029" s="181"/>
    </row>
    <row r="1030">
      <c r="B1030" s="292"/>
      <c r="C1030" s="181"/>
      <c r="D1030" s="181"/>
      <c r="E1030" s="181"/>
      <c r="F1030" s="181"/>
      <c r="G1030" s="181"/>
      <c r="H1030" s="181"/>
      <c r="I1030" s="181"/>
      <c r="J1030" s="181"/>
      <c r="K1030" s="181"/>
      <c r="L1030" s="181"/>
      <c r="M1030" s="181"/>
      <c r="N1030" s="181"/>
      <c r="O1030" s="181"/>
      <c r="P1030" s="181"/>
    </row>
    <row r="1031">
      <c r="B1031" s="292"/>
      <c r="C1031" s="181"/>
      <c r="D1031" s="181"/>
      <c r="E1031" s="181"/>
      <c r="F1031" s="181"/>
      <c r="G1031" s="181"/>
      <c r="H1031" s="181"/>
      <c r="I1031" s="181"/>
      <c r="J1031" s="181"/>
      <c r="K1031" s="181"/>
      <c r="L1031" s="181"/>
      <c r="M1031" s="181"/>
      <c r="N1031" s="181"/>
      <c r="O1031" s="181"/>
      <c r="P1031" s="181"/>
    </row>
    <row r="1032">
      <c r="B1032" s="292"/>
      <c r="C1032" s="181"/>
      <c r="D1032" s="181"/>
      <c r="E1032" s="181"/>
      <c r="F1032" s="181"/>
      <c r="G1032" s="181"/>
      <c r="H1032" s="181"/>
      <c r="I1032" s="181"/>
      <c r="J1032" s="181"/>
      <c r="K1032" s="181"/>
      <c r="L1032" s="181"/>
      <c r="M1032" s="181"/>
      <c r="N1032" s="181"/>
      <c r="O1032" s="181"/>
      <c r="P1032" s="181"/>
    </row>
    <row r="1033">
      <c r="B1033" s="292"/>
      <c r="C1033" s="181"/>
      <c r="D1033" s="181"/>
      <c r="E1033" s="181"/>
      <c r="F1033" s="181"/>
      <c r="G1033" s="181"/>
      <c r="H1033" s="181"/>
      <c r="I1033" s="181"/>
      <c r="J1033" s="181"/>
      <c r="K1033" s="181"/>
      <c r="L1033" s="181"/>
      <c r="M1033" s="181"/>
      <c r="N1033" s="181"/>
      <c r="O1033" s="181"/>
      <c r="P1033" s="181"/>
    </row>
    <row r="1034">
      <c r="B1034" s="292"/>
      <c r="C1034" s="181"/>
      <c r="D1034" s="181"/>
      <c r="E1034" s="181"/>
      <c r="F1034" s="181"/>
      <c r="G1034" s="181"/>
      <c r="H1034" s="181"/>
      <c r="I1034" s="181"/>
      <c r="J1034" s="181"/>
      <c r="K1034" s="181"/>
      <c r="L1034" s="181"/>
      <c r="M1034" s="181"/>
      <c r="N1034" s="181"/>
      <c r="O1034" s="181"/>
      <c r="P1034" s="181"/>
    </row>
    <row r="1035">
      <c r="B1035" s="292"/>
      <c r="C1035" s="181"/>
      <c r="D1035" s="181"/>
      <c r="E1035" s="181"/>
      <c r="F1035" s="181"/>
      <c r="G1035" s="181"/>
      <c r="H1035" s="181"/>
      <c r="I1035" s="181"/>
      <c r="J1035" s="181"/>
      <c r="K1035" s="181"/>
      <c r="L1035" s="181"/>
      <c r="M1035" s="181"/>
      <c r="N1035" s="181"/>
      <c r="O1035" s="181"/>
      <c r="P1035" s="181"/>
    </row>
    <row r="1036">
      <c r="B1036" s="292"/>
      <c r="C1036" s="181"/>
      <c r="D1036" s="181"/>
      <c r="E1036" s="181"/>
      <c r="F1036" s="181"/>
      <c r="G1036" s="181"/>
      <c r="H1036" s="181"/>
      <c r="I1036" s="181"/>
      <c r="J1036" s="181"/>
      <c r="K1036" s="181"/>
      <c r="L1036" s="181"/>
      <c r="M1036" s="181"/>
      <c r="N1036" s="181"/>
      <c r="O1036" s="181"/>
      <c r="P1036" s="181"/>
    </row>
    <row r="1037">
      <c r="B1037" s="292"/>
      <c r="C1037" s="181"/>
      <c r="D1037" s="181"/>
      <c r="E1037" s="181"/>
      <c r="F1037" s="181"/>
      <c r="G1037" s="181"/>
      <c r="H1037" s="181"/>
      <c r="I1037" s="181"/>
      <c r="J1037" s="181"/>
      <c r="K1037" s="181"/>
      <c r="L1037" s="181"/>
      <c r="M1037" s="181"/>
      <c r="N1037" s="181"/>
      <c r="O1037" s="181"/>
      <c r="P1037" s="181"/>
    </row>
    <row r="1038">
      <c r="B1038" s="292"/>
      <c r="C1038" s="181"/>
      <c r="D1038" s="181"/>
      <c r="E1038" s="181"/>
      <c r="F1038" s="181"/>
      <c r="G1038" s="181"/>
      <c r="H1038" s="181"/>
      <c r="I1038" s="181"/>
      <c r="J1038" s="181"/>
      <c r="K1038" s="181"/>
      <c r="L1038" s="181"/>
      <c r="M1038" s="181"/>
      <c r="N1038" s="181"/>
      <c r="O1038" s="181"/>
      <c r="P1038" s="181"/>
    </row>
    <row r="1039">
      <c r="B1039" s="292"/>
      <c r="C1039" s="181"/>
      <c r="D1039" s="181"/>
      <c r="E1039" s="181"/>
      <c r="F1039" s="181"/>
      <c r="G1039" s="181"/>
      <c r="H1039" s="181"/>
      <c r="I1039" s="181"/>
      <c r="J1039" s="181"/>
      <c r="K1039" s="181"/>
      <c r="L1039" s="181"/>
      <c r="M1039" s="181"/>
      <c r="N1039" s="181"/>
      <c r="O1039" s="181"/>
      <c r="P1039" s="181"/>
    </row>
    <row r="1040">
      <c r="B1040" s="292"/>
      <c r="C1040" s="181"/>
      <c r="D1040" s="181"/>
      <c r="E1040" s="181"/>
      <c r="F1040" s="181"/>
      <c r="G1040" s="181"/>
      <c r="H1040" s="181"/>
      <c r="I1040" s="181"/>
      <c r="J1040" s="181"/>
      <c r="K1040" s="181"/>
      <c r="L1040" s="181"/>
      <c r="M1040" s="181"/>
      <c r="N1040" s="181"/>
      <c r="O1040" s="181"/>
      <c r="P1040" s="181"/>
    </row>
    <row r="1041">
      <c r="B1041" s="292"/>
      <c r="C1041" s="181"/>
      <c r="D1041" s="181"/>
      <c r="E1041" s="181"/>
      <c r="F1041" s="181"/>
      <c r="G1041" s="181"/>
      <c r="H1041" s="181"/>
      <c r="I1041" s="181"/>
      <c r="J1041" s="181"/>
      <c r="K1041" s="181"/>
      <c r="L1041" s="181"/>
      <c r="M1041" s="181"/>
      <c r="N1041" s="181"/>
      <c r="O1041" s="181"/>
      <c r="P1041" s="181"/>
    </row>
    <row r="1042">
      <c r="B1042" s="292"/>
      <c r="C1042" s="181"/>
      <c r="D1042" s="181"/>
      <c r="E1042" s="181"/>
      <c r="F1042" s="181"/>
      <c r="G1042" s="181"/>
      <c r="H1042" s="181"/>
      <c r="I1042" s="181"/>
      <c r="J1042" s="181"/>
      <c r="K1042" s="181"/>
      <c r="L1042" s="181"/>
      <c r="M1042" s="181"/>
      <c r="N1042" s="181"/>
      <c r="O1042" s="181"/>
      <c r="P1042" s="181"/>
    </row>
    <row r="1043">
      <c r="B1043" s="292"/>
      <c r="C1043" s="181"/>
      <c r="D1043" s="181"/>
      <c r="E1043" s="181"/>
      <c r="F1043" s="181"/>
      <c r="G1043" s="181"/>
      <c r="H1043" s="181"/>
      <c r="I1043" s="181"/>
      <c r="J1043" s="181"/>
      <c r="K1043" s="181"/>
      <c r="L1043" s="181"/>
      <c r="M1043" s="181"/>
      <c r="N1043" s="181"/>
      <c r="O1043" s="181"/>
      <c r="P1043" s="181"/>
    </row>
    <row r="1044">
      <c r="B1044" s="292"/>
      <c r="C1044" s="181"/>
      <c r="D1044" s="181"/>
      <c r="E1044" s="181"/>
      <c r="F1044" s="181"/>
      <c r="G1044" s="181"/>
      <c r="H1044" s="181"/>
      <c r="I1044" s="181"/>
      <c r="J1044" s="181"/>
      <c r="K1044" s="181"/>
      <c r="L1044" s="181"/>
      <c r="M1044" s="181"/>
      <c r="N1044" s="181"/>
      <c r="O1044" s="181"/>
      <c r="P1044" s="181"/>
    </row>
    <row r="1045">
      <c r="B1045" s="292"/>
      <c r="C1045" s="181"/>
      <c r="D1045" s="181"/>
      <c r="E1045" s="181"/>
      <c r="F1045" s="181"/>
      <c r="G1045" s="181"/>
      <c r="H1045" s="181"/>
      <c r="I1045" s="181"/>
      <c r="J1045" s="181"/>
      <c r="K1045" s="181"/>
      <c r="L1045" s="181"/>
      <c r="M1045" s="181"/>
      <c r="N1045" s="181"/>
      <c r="O1045" s="181"/>
      <c r="P1045" s="181"/>
    </row>
    <row r="1046">
      <c r="B1046" s="292"/>
      <c r="C1046" s="181"/>
      <c r="D1046" s="181"/>
      <c r="E1046" s="181"/>
      <c r="F1046" s="181"/>
      <c r="G1046" s="181"/>
      <c r="H1046" s="181"/>
      <c r="I1046" s="181"/>
      <c r="J1046" s="181"/>
      <c r="K1046" s="181"/>
      <c r="L1046" s="181"/>
      <c r="M1046" s="181"/>
      <c r="N1046" s="181"/>
      <c r="O1046" s="181"/>
      <c r="P1046" s="181"/>
    </row>
    <row r="1047">
      <c r="B1047" s="292"/>
      <c r="C1047" s="181"/>
      <c r="D1047" s="181"/>
      <c r="E1047" s="181"/>
      <c r="F1047" s="181"/>
      <c r="G1047" s="181"/>
      <c r="H1047" s="181"/>
      <c r="I1047" s="181"/>
      <c r="J1047" s="181"/>
      <c r="K1047" s="181"/>
      <c r="L1047" s="181"/>
      <c r="M1047" s="181"/>
      <c r="N1047" s="181"/>
      <c r="O1047" s="181"/>
      <c r="P1047" s="181"/>
    </row>
    <row r="1048">
      <c r="B1048" s="292"/>
      <c r="C1048" s="181"/>
      <c r="D1048" s="181"/>
      <c r="E1048" s="181"/>
      <c r="F1048" s="181"/>
      <c r="G1048" s="181"/>
      <c r="H1048" s="181"/>
      <c r="I1048" s="181"/>
      <c r="J1048" s="181"/>
      <c r="K1048" s="181"/>
      <c r="L1048" s="181"/>
      <c r="M1048" s="181"/>
      <c r="N1048" s="181"/>
      <c r="O1048" s="181"/>
      <c r="P1048" s="181"/>
    </row>
    <row r="1049">
      <c r="B1049" s="292"/>
      <c r="C1049" s="181"/>
      <c r="D1049" s="181"/>
      <c r="E1049" s="181"/>
      <c r="F1049" s="181"/>
      <c r="G1049" s="181"/>
      <c r="H1049" s="181"/>
      <c r="I1049" s="181"/>
      <c r="J1049" s="181"/>
      <c r="K1049" s="181"/>
      <c r="L1049" s="181"/>
      <c r="M1049" s="181"/>
      <c r="N1049" s="181"/>
      <c r="O1049" s="181"/>
      <c r="P1049" s="181"/>
    </row>
    <row r="1050">
      <c r="B1050" s="292"/>
      <c r="C1050" s="181"/>
      <c r="D1050" s="181"/>
      <c r="E1050" s="181"/>
      <c r="F1050" s="181"/>
      <c r="G1050" s="181"/>
      <c r="H1050" s="181"/>
      <c r="I1050" s="181"/>
      <c r="J1050" s="181"/>
      <c r="K1050" s="181"/>
      <c r="L1050" s="181"/>
      <c r="M1050" s="181"/>
      <c r="N1050" s="181"/>
      <c r="O1050" s="181"/>
      <c r="P1050" s="181"/>
    </row>
    <row r="1051">
      <c r="B1051" s="292"/>
      <c r="C1051" s="181"/>
      <c r="D1051" s="181"/>
      <c r="E1051" s="181"/>
      <c r="F1051" s="181"/>
      <c r="G1051" s="181"/>
      <c r="H1051" s="181"/>
      <c r="I1051" s="181"/>
      <c r="J1051" s="181"/>
      <c r="K1051" s="181"/>
      <c r="L1051" s="181"/>
      <c r="M1051" s="181"/>
      <c r="N1051" s="181"/>
      <c r="O1051" s="181"/>
      <c r="P1051" s="181"/>
    </row>
    <row r="1052">
      <c r="B1052" s="292"/>
      <c r="C1052" s="181"/>
      <c r="D1052" s="181"/>
      <c r="E1052" s="181"/>
      <c r="F1052" s="181"/>
      <c r="G1052" s="181"/>
      <c r="H1052" s="181"/>
      <c r="I1052" s="181"/>
      <c r="J1052" s="181"/>
      <c r="K1052" s="181"/>
      <c r="L1052" s="181"/>
      <c r="M1052" s="181"/>
      <c r="N1052" s="181"/>
      <c r="O1052" s="181"/>
      <c r="P1052" s="181"/>
    </row>
    <row r="1053">
      <c r="B1053" s="292"/>
      <c r="C1053" s="181"/>
      <c r="D1053" s="181"/>
      <c r="E1053" s="181"/>
      <c r="F1053" s="181"/>
      <c r="G1053" s="181"/>
      <c r="H1053" s="181"/>
      <c r="I1053" s="181"/>
      <c r="J1053" s="181"/>
      <c r="K1053" s="181"/>
      <c r="L1053" s="181"/>
      <c r="M1053" s="181"/>
      <c r="N1053" s="181"/>
      <c r="O1053" s="181"/>
      <c r="P1053" s="181"/>
    </row>
    <row r="1054">
      <c r="B1054" s="292"/>
      <c r="C1054" s="181"/>
      <c r="D1054" s="181"/>
      <c r="E1054" s="181"/>
      <c r="F1054" s="181"/>
      <c r="G1054" s="181"/>
      <c r="H1054" s="181"/>
      <c r="I1054" s="181"/>
      <c r="J1054" s="181"/>
      <c r="K1054" s="181"/>
      <c r="L1054" s="181"/>
      <c r="M1054" s="181"/>
      <c r="N1054" s="181"/>
      <c r="O1054" s="181"/>
      <c r="P1054" s="181"/>
    </row>
    <row r="1055">
      <c r="B1055" s="292"/>
      <c r="C1055" s="181"/>
      <c r="D1055" s="181"/>
      <c r="E1055" s="181"/>
      <c r="F1055" s="181"/>
      <c r="G1055" s="181"/>
      <c r="H1055" s="181"/>
      <c r="I1055" s="181"/>
      <c r="J1055" s="181"/>
      <c r="K1055" s="181"/>
      <c r="L1055" s="181"/>
      <c r="M1055" s="181"/>
      <c r="N1055" s="181"/>
      <c r="O1055" s="181"/>
      <c r="P1055" s="181"/>
    </row>
    <row r="1056">
      <c r="B1056" s="292"/>
      <c r="C1056" s="181"/>
      <c r="D1056" s="181"/>
      <c r="E1056" s="181"/>
      <c r="F1056" s="181"/>
      <c r="G1056" s="181"/>
      <c r="H1056" s="181"/>
      <c r="I1056" s="181"/>
      <c r="J1056" s="181"/>
      <c r="K1056" s="181"/>
      <c r="L1056" s="181"/>
      <c r="M1056" s="181"/>
      <c r="N1056" s="181"/>
      <c r="O1056" s="181"/>
      <c r="P1056" s="181"/>
    </row>
    <row r="1057">
      <c r="B1057" s="292"/>
      <c r="C1057" s="181"/>
      <c r="D1057" s="181"/>
      <c r="E1057" s="181"/>
      <c r="F1057" s="181"/>
      <c r="G1057" s="181"/>
      <c r="H1057" s="181"/>
      <c r="I1057" s="181"/>
      <c r="J1057" s="181"/>
      <c r="K1057" s="181"/>
      <c r="L1057" s="181"/>
      <c r="M1057" s="181"/>
      <c r="N1057" s="181"/>
      <c r="O1057" s="181"/>
      <c r="P1057" s="181"/>
    </row>
    <row r="1058">
      <c r="B1058" s="292"/>
      <c r="C1058" s="181"/>
      <c r="D1058" s="181"/>
      <c r="E1058" s="181"/>
      <c r="F1058" s="181"/>
      <c r="G1058" s="181"/>
      <c r="H1058" s="181"/>
      <c r="I1058" s="181"/>
      <c r="J1058" s="181"/>
      <c r="K1058" s="181"/>
      <c r="L1058" s="181"/>
      <c r="M1058" s="181"/>
      <c r="N1058" s="181"/>
      <c r="O1058" s="181"/>
      <c r="P1058" s="181"/>
    </row>
    <row r="1059">
      <c r="B1059" s="292"/>
      <c r="C1059" s="181"/>
      <c r="D1059" s="181"/>
      <c r="E1059" s="181"/>
      <c r="F1059" s="181"/>
      <c r="G1059" s="181"/>
      <c r="H1059" s="181"/>
      <c r="I1059" s="181"/>
      <c r="J1059" s="181"/>
      <c r="K1059" s="181"/>
      <c r="L1059" s="181"/>
      <c r="M1059" s="181"/>
      <c r="N1059" s="181"/>
      <c r="O1059" s="181"/>
      <c r="P1059" s="181"/>
    </row>
    <row r="1060">
      <c r="B1060" s="292"/>
      <c r="C1060" s="181"/>
      <c r="D1060" s="181"/>
      <c r="E1060" s="181"/>
      <c r="F1060" s="181"/>
      <c r="G1060" s="181"/>
      <c r="H1060" s="181"/>
      <c r="I1060" s="181"/>
      <c r="J1060" s="181"/>
      <c r="K1060" s="181"/>
      <c r="L1060" s="181"/>
      <c r="M1060" s="181"/>
      <c r="N1060" s="181"/>
      <c r="O1060" s="181"/>
      <c r="P1060" s="181"/>
    </row>
    <row r="1061">
      <c r="B1061" s="292"/>
      <c r="C1061" s="181"/>
      <c r="D1061" s="181"/>
      <c r="E1061" s="181"/>
      <c r="F1061" s="181"/>
      <c r="G1061" s="181"/>
      <c r="H1061" s="181"/>
      <c r="I1061" s="181"/>
      <c r="J1061" s="181"/>
      <c r="K1061" s="181"/>
      <c r="L1061" s="181"/>
      <c r="M1061" s="181"/>
      <c r="N1061" s="181"/>
      <c r="O1061" s="181"/>
      <c r="P1061" s="181"/>
    </row>
    <row r="1062">
      <c r="B1062" s="292"/>
      <c r="C1062" s="181"/>
      <c r="D1062" s="181"/>
      <c r="E1062" s="181"/>
      <c r="F1062" s="181"/>
      <c r="G1062" s="181"/>
      <c r="H1062" s="181"/>
      <c r="I1062" s="181"/>
      <c r="J1062" s="181"/>
      <c r="K1062" s="181"/>
      <c r="L1062" s="181"/>
      <c r="M1062" s="181"/>
      <c r="N1062" s="181"/>
      <c r="O1062" s="181"/>
      <c r="P1062" s="181"/>
    </row>
    <row r="1063">
      <c r="B1063" s="292"/>
      <c r="C1063" s="181"/>
      <c r="D1063" s="181"/>
      <c r="E1063" s="181"/>
      <c r="F1063" s="181"/>
      <c r="G1063" s="181"/>
      <c r="H1063" s="181"/>
      <c r="I1063" s="181"/>
      <c r="J1063" s="181"/>
      <c r="K1063" s="181"/>
      <c r="L1063" s="181"/>
      <c r="M1063" s="181"/>
      <c r="N1063" s="181"/>
      <c r="O1063" s="181"/>
      <c r="P1063" s="181"/>
    </row>
    <row r="1064">
      <c r="B1064" s="292"/>
      <c r="C1064" s="181"/>
      <c r="D1064" s="181"/>
      <c r="E1064" s="181"/>
      <c r="F1064" s="181"/>
      <c r="G1064" s="181"/>
      <c r="H1064" s="181"/>
      <c r="I1064" s="181"/>
      <c r="J1064" s="181"/>
      <c r="K1064" s="181"/>
      <c r="L1064" s="181"/>
      <c r="M1064" s="181"/>
      <c r="N1064" s="181"/>
      <c r="O1064" s="181"/>
      <c r="P1064" s="181"/>
    </row>
    <row r="1065">
      <c r="B1065" s="292"/>
      <c r="C1065" s="181"/>
      <c r="D1065" s="181"/>
      <c r="E1065" s="181"/>
      <c r="F1065" s="181"/>
      <c r="G1065" s="181"/>
      <c r="H1065" s="181"/>
      <c r="I1065" s="181"/>
      <c r="J1065" s="181"/>
      <c r="K1065" s="181"/>
      <c r="L1065" s="181"/>
      <c r="M1065" s="181"/>
      <c r="N1065" s="181"/>
      <c r="O1065" s="181"/>
      <c r="P1065" s="181"/>
    </row>
    <row r="1066">
      <c r="B1066" s="292"/>
      <c r="C1066" s="181"/>
      <c r="D1066" s="181"/>
      <c r="E1066" s="181"/>
      <c r="F1066" s="181"/>
      <c r="G1066" s="181"/>
      <c r="H1066" s="181"/>
      <c r="I1066" s="181"/>
      <c r="J1066" s="181"/>
      <c r="K1066" s="181"/>
      <c r="L1066" s="181"/>
      <c r="M1066" s="181"/>
      <c r="N1066" s="181"/>
      <c r="O1066" s="181"/>
      <c r="P1066" s="181"/>
    </row>
    <row r="1067">
      <c r="B1067" s="292"/>
      <c r="C1067" s="181"/>
      <c r="D1067" s="181"/>
      <c r="E1067" s="181"/>
      <c r="F1067" s="181"/>
      <c r="G1067" s="181"/>
      <c r="H1067" s="181"/>
      <c r="I1067" s="181"/>
      <c r="J1067" s="181"/>
      <c r="K1067" s="181"/>
      <c r="L1067" s="181"/>
      <c r="M1067" s="181"/>
      <c r="N1067" s="181"/>
      <c r="O1067" s="181"/>
      <c r="P1067" s="181"/>
    </row>
    <row r="1068">
      <c r="B1068" s="292"/>
      <c r="C1068" s="181"/>
      <c r="D1068" s="181"/>
      <c r="E1068" s="181"/>
      <c r="F1068" s="181"/>
      <c r="G1068" s="181"/>
      <c r="H1068" s="181"/>
      <c r="I1068" s="181"/>
      <c r="J1068" s="181"/>
      <c r="K1068" s="181"/>
      <c r="L1068" s="181"/>
      <c r="M1068" s="181"/>
      <c r="N1068" s="181"/>
      <c r="O1068" s="181"/>
      <c r="P1068" s="181"/>
    </row>
    <row r="1069">
      <c r="B1069" s="292"/>
      <c r="C1069" s="181"/>
      <c r="D1069" s="181"/>
      <c r="E1069" s="181"/>
      <c r="F1069" s="181"/>
      <c r="G1069" s="181"/>
      <c r="H1069" s="181"/>
      <c r="I1069" s="181"/>
      <c r="J1069" s="181"/>
      <c r="K1069" s="181"/>
      <c r="L1069" s="181"/>
      <c r="M1069" s="181"/>
      <c r="N1069" s="181"/>
      <c r="O1069" s="181"/>
      <c r="P1069" s="181"/>
    </row>
    <row r="1070">
      <c r="B1070" s="292"/>
      <c r="C1070" s="181"/>
      <c r="D1070" s="181"/>
      <c r="E1070" s="181"/>
      <c r="F1070" s="181"/>
      <c r="G1070" s="181"/>
      <c r="H1070" s="181"/>
      <c r="I1070" s="181"/>
      <c r="J1070" s="181"/>
      <c r="K1070" s="181"/>
      <c r="L1070" s="181"/>
      <c r="M1070" s="181"/>
      <c r="N1070" s="181"/>
      <c r="O1070" s="181"/>
      <c r="P1070" s="181"/>
    </row>
    <row r="1071">
      <c r="B1071" s="292"/>
      <c r="C1071" s="181"/>
      <c r="D1071" s="181"/>
      <c r="E1071" s="181"/>
      <c r="F1071" s="181"/>
      <c r="G1071" s="181"/>
      <c r="H1071" s="181"/>
      <c r="I1071" s="181"/>
      <c r="J1071" s="181"/>
      <c r="K1071" s="181"/>
      <c r="L1071" s="181"/>
      <c r="M1071" s="181"/>
      <c r="N1071" s="181"/>
      <c r="O1071" s="181"/>
      <c r="P1071" s="181"/>
    </row>
    <row r="1072">
      <c r="B1072" s="292"/>
      <c r="C1072" s="181"/>
      <c r="D1072" s="181"/>
      <c r="E1072" s="181"/>
      <c r="F1072" s="181"/>
      <c r="G1072" s="181"/>
      <c r="H1072" s="181"/>
      <c r="I1072" s="181"/>
      <c r="J1072" s="181"/>
      <c r="K1072" s="181"/>
      <c r="L1072" s="181"/>
      <c r="M1072" s="181"/>
      <c r="N1072" s="181"/>
      <c r="O1072" s="181"/>
      <c r="P1072" s="181"/>
    </row>
    <row r="1073">
      <c r="B1073" s="292"/>
      <c r="C1073" s="181"/>
      <c r="D1073" s="181"/>
      <c r="E1073" s="181"/>
      <c r="F1073" s="181"/>
      <c r="G1073" s="181"/>
      <c r="H1073" s="181"/>
      <c r="I1073" s="181"/>
      <c r="J1073" s="181"/>
      <c r="K1073" s="181"/>
      <c r="L1073" s="181"/>
      <c r="M1073" s="181"/>
      <c r="N1073" s="181"/>
      <c r="O1073" s="181"/>
      <c r="P1073" s="181"/>
    </row>
    <row r="1074">
      <c r="B1074" s="292"/>
      <c r="C1074" s="181"/>
      <c r="D1074" s="181"/>
      <c r="E1074" s="181"/>
      <c r="F1074" s="181"/>
      <c r="G1074" s="181"/>
      <c r="H1074" s="181"/>
      <c r="I1074" s="181"/>
      <c r="J1074" s="181"/>
      <c r="K1074" s="181"/>
      <c r="L1074" s="181"/>
      <c r="M1074" s="181"/>
      <c r="N1074" s="181"/>
      <c r="O1074" s="181"/>
      <c r="P1074" s="181"/>
    </row>
    <row r="1075">
      <c r="B1075" s="292"/>
      <c r="C1075" s="181"/>
      <c r="D1075" s="181"/>
      <c r="E1075" s="181"/>
      <c r="F1075" s="181"/>
      <c r="G1075" s="181"/>
      <c r="H1075" s="181"/>
      <c r="I1075" s="181"/>
      <c r="J1075" s="181"/>
      <c r="K1075" s="181"/>
      <c r="L1075" s="181"/>
      <c r="M1075" s="181"/>
      <c r="N1075" s="181"/>
      <c r="O1075" s="181"/>
      <c r="P1075" s="181"/>
    </row>
    <row r="1076">
      <c r="B1076" s="292"/>
      <c r="C1076" s="181"/>
      <c r="D1076" s="181"/>
      <c r="E1076" s="181"/>
      <c r="F1076" s="181"/>
      <c r="G1076" s="181"/>
      <c r="H1076" s="181"/>
      <c r="I1076" s="181"/>
      <c r="J1076" s="181"/>
      <c r="K1076" s="181"/>
      <c r="L1076" s="181"/>
      <c r="M1076" s="181"/>
      <c r="N1076" s="181"/>
      <c r="O1076" s="181"/>
      <c r="P1076" s="181"/>
    </row>
    <row r="1077">
      <c r="B1077" s="292"/>
      <c r="C1077" s="181"/>
      <c r="D1077" s="181"/>
      <c r="E1077" s="181"/>
      <c r="F1077" s="181"/>
      <c r="G1077" s="181"/>
      <c r="H1077" s="181"/>
      <c r="I1077" s="181"/>
      <c r="J1077" s="181"/>
      <c r="K1077" s="181"/>
      <c r="L1077" s="181"/>
      <c r="M1077" s="181"/>
      <c r="N1077" s="181"/>
      <c r="O1077" s="181"/>
      <c r="P1077" s="181"/>
    </row>
    <row r="1078">
      <c r="B1078" s="292"/>
      <c r="C1078" s="181"/>
      <c r="D1078" s="181"/>
      <c r="E1078" s="181"/>
      <c r="F1078" s="181"/>
      <c r="G1078" s="181"/>
      <c r="H1078" s="181"/>
      <c r="I1078" s="181"/>
      <c r="J1078" s="181"/>
      <c r="K1078" s="181"/>
      <c r="L1078" s="181"/>
      <c r="M1078" s="181"/>
      <c r="N1078" s="181"/>
      <c r="O1078" s="181"/>
      <c r="P1078" s="181"/>
    </row>
    <row r="1079">
      <c r="B1079" s="292"/>
      <c r="C1079" s="181"/>
      <c r="D1079" s="181"/>
      <c r="E1079" s="181"/>
      <c r="F1079" s="181"/>
      <c r="G1079" s="181"/>
      <c r="H1079" s="181"/>
      <c r="I1079" s="181"/>
      <c r="J1079" s="181"/>
      <c r="K1079" s="181"/>
      <c r="L1079" s="181"/>
      <c r="M1079" s="181"/>
      <c r="N1079" s="181"/>
      <c r="O1079" s="181"/>
      <c r="P1079" s="181"/>
    </row>
    <row r="1080">
      <c r="B1080" s="292"/>
      <c r="C1080" s="181"/>
      <c r="D1080" s="181"/>
      <c r="E1080" s="181"/>
      <c r="F1080" s="181"/>
      <c r="G1080" s="181"/>
      <c r="H1080" s="181"/>
      <c r="I1080" s="181"/>
      <c r="J1080" s="181"/>
      <c r="K1080" s="181"/>
      <c r="L1080" s="181"/>
      <c r="M1080" s="181"/>
      <c r="N1080" s="181"/>
      <c r="O1080" s="181"/>
      <c r="P1080" s="181"/>
    </row>
    <row r="1081">
      <c r="B1081" s="292"/>
      <c r="C1081" s="181"/>
      <c r="D1081" s="181"/>
      <c r="E1081" s="181"/>
      <c r="F1081" s="181"/>
      <c r="G1081" s="181"/>
      <c r="H1081" s="181"/>
      <c r="I1081" s="181"/>
      <c r="J1081" s="181"/>
      <c r="K1081" s="181"/>
      <c r="L1081" s="181"/>
      <c r="M1081" s="181"/>
      <c r="N1081" s="181"/>
      <c r="O1081" s="181"/>
      <c r="P1081" s="181"/>
    </row>
    <row r="1082">
      <c r="B1082" s="292"/>
      <c r="C1082" s="181"/>
      <c r="D1082" s="181"/>
      <c r="E1082" s="181"/>
      <c r="F1082" s="181"/>
      <c r="G1082" s="181"/>
      <c r="H1082" s="181"/>
      <c r="I1082" s="181"/>
      <c r="J1082" s="181"/>
      <c r="K1082" s="181"/>
      <c r="L1082" s="181"/>
      <c r="M1082" s="181"/>
      <c r="N1082" s="181"/>
      <c r="O1082" s="181"/>
      <c r="P1082" s="181"/>
    </row>
    <row r="1083">
      <c r="B1083" s="292"/>
      <c r="C1083" s="181"/>
      <c r="D1083" s="181"/>
      <c r="E1083" s="181"/>
      <c r="F1083" s="181"/>
      <c r="G1083" s="181"/>
      <c r="H1083" s="181"/>
      <c r="I1083" s="181"/>
      <c r="J1083" s="181"/>
      <c r="K1083" s="181"/>
      <c r="L1083" s="181"/>
      <c r="M1083" s="181"/>
      <c r="N1083" s="181"/>
      <c r="O1083" s="181"/>
      <c r="P1083" s="181"/>
    </row>
    <row r="1084">
      <c r="B1084" s="292"/>
      <c r="C1084" s="181"/>
      <c r="D1084" s="181"/>
      <c r="E1084" s="181"/>
      <c r="F1084" s="181"/>
      <c r="G1084" s="181"/>
      <c r="H1084" s="181"/>
      <c r="I1084" s="181"/>
      <c r="J1084" s="181"/>
      <c r="K1084" s="181"/>
      <c r="L1084" s="181"/>
      <c r="M1084" s="181"/>
      <c r="N1084" s="181"/>
      <c r="O1084" s="181"/>
      <c r="P1084" s="181"/>
    </row>
    <row r="1085">
      <c r="B1085" s="292"/>
      <c r="C1085" s="181"/>
      <c r="D1085" s="181"/>
      <c r="E1085" s="181"/>
      <c r="F1085" s="181"/>
      <c r="G1085" s="181"/>
      <c r="H1085" s="181"/>
      <c r="I1085" s="181"/>
      <c r="J1085" s="181"/>
      <c r="K1085" s="181"/>
      <c r="L1085" s="181"/>
      <c r="M1085" s="181"/>
      <c r="N1085" s="181"/>
      <c r="O1085" s="181"/>
      <c r="P1085" s="181"/>
    </row>
    <row r="1086">
      <c r="B1086" s="292"/>
      <c r="C1086" s="181"/>
      <c r="D1086" s="181"/>
      <c r="E1086" s="181"/>
      <c r="F1086" s="181"/>
      <c r="G1086" s="181"/>
      <c r="H1086" s="181"/>
      <c r="I1086" s="181"/>
      <c r="J1086" s="181"/>
      <c r="K1086" s="181"/>
      <c r="L1086" s="181"/>
      <c r="M1086" s="181"/>
      <c r="N1086" s="181"/>
      <c r="O1086" s="181"/>
      <c r="P1086" s="181"/>
    </row>
    <row r="1087">
      <c r="B1087" s="292"/>
      <c r="C1087" s="181"/>
      <c r="D1087" s="181"/>
      <c r="E1087" s="181"/>
      <c r="F1087" s="181"/>
      <c r="G1087" s="181"/>
      <c r="H1087" s="181"/>
      <c r="I1087" s="181"/>
      <c r="J1087" s="181"/>
      <c r="K1087" s="181"/>
      <c r="L1087" s="181"/>
      <c r="M1087" s="181"/>
      <c r="N1087" s="181"/>
      <c r="O1087" s="181"/>
      <c r="P1087" s="181"/>
    </row>
    <row r="1088">
      <c r="B1088" s="292"/>
      <c r="C1088" s="181"/>
      <c r="D1088" s="181"/>
      <c r="E1088" s="181"/>
      <c r="F1088" s="181"/>
      <c r="G1088" s="181"/>
      <c r="H1088" s="181"/>
      <c r="I1088" s="181"/>
      <c r="J1088" s="181"/>
      <c r="K1088" s="181"/>
      <c r="L1088" s="181"/>
      <c r="M1088" s="181"/>
      <c r="N1088" s="181"/>
      <c r="O1088" s="181"/>
      <c r="P1088" s="181"/>
    </row>
    <row r="1089">
      <c r="B1089" s="292"/>
      <c r="C1089" s="181"/>
      <c r="D1089" s="181"/>
      <c r="E1089" s="181"/>
      <c r="F1089" s="181"/>
      <c r="G1089" s="181"/>
      <c r="H1089" s="181"/>
      <c r="I1089" s="181"/>
      <c r="J1089" s="181"/>
      <c r="K1089" s="181"/>
      <c r="L1089" s="181"/>
      <c r="M1089" s="181"/>
      <c r="N1089" s="181"/>
      <c r="O1089" s="181"/>
      <c r="P1089" s="181"/>
    </row>
    <row r="1090">
      <c r="B1090" s="292"/>
      <c r="C1090" s="181"/>
      <c r="D1090" s="181"/>
      <c r="E1090" s="181"/>
      <c r="F1090" s="181"/>
      <c r="G1090" s="181"/>
      <c r="H1090" s="181"/>
      <c r="I1090" s="181"/>
      <c r="J1090" s="181"/>
      <c r="K1090" s="181"/>
      <c r="L1090" s="181"/>
      <c r="M1090" s="181"/>
      <c r="N1090" s="181"/>
      <c r="O1090" s="181"/>
      <c r="P1090" s="181"/>
    </row>
    <row r="1091">
      <c r="B1091" s="292"/>
      <c r="C1091" s="181"/>
      <c r="D1091" s="181"/>
      <c r="E1091" s="181"/>
      <c r="F1091" s="181"/>
      <c r="G1091" s="181"/>
      <c r="H1091" s="181"/>
      <c r="I1091" s="181"/>
      <c r="J1091" s="181"/>
      <c r="K1091" s="181"/>
      <c r="L1091" s="181"/>
      <c r="M1091" s="181"/>
      <c r="N1091" s="181"/>
      <c r="O1091" s="181"/>
      <c r="P1091" s="181"/>
    </row>
    <row r="1092">
      <c r="B1092" s="292"/>
      <c r="C1092" s="181"/>
      <c r="D1092" s="181"/>
      <c r="E1092" s="181"/>
      <c r="F1092" s="181"/>
      <c r="G1092" s="181"/>
      <c r="H1092" s="181"/>
      <c r="I1092" s="181"/>
      <c r="J1092" s="181"/>
      <c r="K1092" s="181"/>
      <c r="L1092" s="181"/>
      <c r="M1092" s="181"/>
      <c r="N1092" s="181"/>
      <c r="O1092" s="181"/>
      <c r="P1092" s="181"/>
    </row>
    <row r="1093">
      <c r="B1093" s="292"/>
      <c r="C1093" s="181"/>
      <c r="D1093" s="181"/>
      <c r="E1093" s="181"/>
      <c r="F1093" s="181"/>
      <c r="G1093" s="181"/>
      <c r="H1093" s="181"/>
      <c r="I1093" s="181"/>
      <c r="J1093" s="181"/>
      <c r="K1093" s="181"/>
      <c r="L1093" s="181"/>
      <c r="M1093" s="181"/>
      <c r="N1093" s="181"/>
      <c r="O1093" s="181"/>
      <c r="P1093" s="181"/>
    </row>
    <row r="1094">
      <c r="B1094" s="292"/>
      <c r="C1094" s="181"/>
      <c r="D1094" s="181"/>
      <c r="E1094" s="181"/>
      <c r="F1094" s="181"/>
      <c r="G1094" s="181"/>
      <c r="H1094" s="181"/>
      <c r="I1094" s="181"/>
      <c r="J1094" s="181"/>
      <c r="K1094" s="181"/>
      <c r="L1094" s="181"/>
      <c r="M1094" s="181"/>
      <c r="N1094" s="181"/>
      <c r="O1094" s="181"/>
      <c r="P1094" s="181"/>
    </row>
    <row r="1095">
      <c r="B1095" s="292"/>
      <c r="C1095" s="181"/>
      <c r="D1095" s="181"/>
      <c r="E1095" s="181"/>
      <c r="F1095" s="181"/>
      <c r="G1095" s="181"/>
      <c r="H1095" s="181"/>
      <c r="I1095" s="181"/>
      <c r="J1095" s="181"/>
      <c r="K1095" s="181"/>
      <c r="L1095" s="181"/>
      <c r="M1095" s="181"/>
      <c r="N1095" s="181"/>
      <c r="O1095" s="181"/>
      <c r="P1095" s="181"/>
    </row>
    <row r="1096">
      <c r="B1096" s="292"/>
      <c r="C1096" s="181"/>
      <c r="D1096" s="181"/>
      <c r="E1096" s="181"/>
      <c r="F1096" s="181"/>
      <c r="G1096" s="181"/>
      <c r="H1096" s="181"/>
      <c r="I1096" s="181"/>
      <c r="J1096" s="181"/>
      <c r="K1096" s="181"/>
      <c r="L1096" s="181"/>
      <c r="M1096" s="181"/>
      <c r="N1096" s="181"/>
      <c r="O1096" s="181"/>
      <c r="P1096" s="181"/>
    </row>
    <row r="1097">
      <c r="B1097" s="292"/>
      <c r="C1097" s="181"/>
      <c r="D1097" s="181"/>
      <c r="E1097" s="181"/>
      <c r="F1097" s="181"/>
      <c r="G1097" s="181"/>
      <c r="H1097" s="181"/>
      <c r="I1097" s="181"/>
      <c r="J1097" s="181"/>
      <c r="K1097" s="181"/>
      <c r="L1097" s="181"/>
      <c r="M1097" s="181"/>
      <c r="N1097" s="181"/>
      <c r="O1097" s="181"/>
      <c r="P1097" s="181"/>
    </row>
    <row r="1098">
      <c r="B1098" s="292"/>
      <c r="C1098" s="181"/>
      <c r="D1098" s="181"/>
      <c r="E1098" s="181"/>
      <c r="F1098" s="181"/>
      <c r="G1098" s="181"/>
      <c r="H1098" s="181"/>
      <c r="I1098" s="181"/>
      <c r="J1098" s="181"/>
      <c r="K1098" s="181"/>
      <c r="L1098" s="181"/>
      <c r="M1098" s="181"/>
      <c r="N1098" s="181"/>
      <c r="O1098" s="181"/>
      <c r="P1098" s="181"/>
    </row>
    <row r="1099">
      <c r="B1099" s="292"/>
      <c r="C1099" s="181"/>
      <c r="D1099" s="181"/>
      <c r="E1099" s="181"/>
      <c r="F1099" s="181"/>
      <c r="G1099" s="181"/>
      <c r="H1099" s="181"/>
      <c r="I1099" s="181"/>
      <c r="J1099" s="181"/>
      <c r="K1099" s="181"/>
      <c r="L1099" s="181"/>
      <c r="M1099" s="181"/>
      <c r="N1099" s="181"/>
      <c r="O1099" s="181"/>
      <c r="P1099" s="181"/>
    </row>
    <row r="1100">
      <c r="B1100" s="292"/>
      <c r="C1100" s="181"/>
      <c r="D1100" s="181"/>
      <c r="E1100" s="181"/>
      <c r="F1100" s="181"/>
      <c r="G1100" s="181"/>
      <c r="H1100" s="181"/>
      <c r="I1100" s="181"/>
      <c r="J1100" s="181"/>
      <c r="K1100" s="181"/>
      <c r="L1100" s="181"/>
      <c r="M1100" s="181"/>
      <c r="N1100" s="181"/>
      <c r="O1100" s="181"/>
      <c r="P1100" s="181"/>
    </row>
    <row r="1101">
      <c r="B1101" s="292"/>
      <c r="C1101" s="181"/>
      <c r="D1101" s="181"/>
      <c r="E1101" s="181"/>
      <c r="F1101" s="181"/>
      <c r="G1101" s="181"/>
      <c r="H1101" s="181"/>
      <c r="I1101" s="181"/>
      <c r="J1101" s="181"/>
      <c r="K1101" s="181"/>
      <c r="L1101" s="181"/>
      <c r="M1101" s="181"/>
      <c r="N1101" s="181"/>
      <c r="O1101" s="181"/>
      <c r="P1101" s="181"/>
    </row>
    <row r="1102">
      <c r="B1102" s="292"/>
      <c r="C1102" s="181"/>
      <c r="D1102" s="181"/>
      <c r="E1102" s="181"/>
      <c r="F1102" s="181"/>
      <c r="G1102" s="181"/>
      <c r="H1102" s="181"/>
      <c r="I1102" s="181"/>
      <c r="J1102" s="181"/>
      <c r="K1102" s="181"/>
      <c r="L1102" s="181"/>
      <c r="M1102" s="181"/>
      <c r="N1102" s="181"/>
      <c r="O1102" s="181"/>
      <c r="P1102" s="181"/>
    </row>
    <row r="1103">
      <c r="B1103" s="292"/>
      <c r="C1103" s="181"/>
      <c r="D1103" s="181"/>
      <c r="E1103" s="181"/>
      <c r="F1103" s="181"/>
      <c r="G1103" s="181"/>
      <c r="H1103" s="181"/>
      <c r="I1103" s="181"/>
      <c r="J1103" s="181"/>
      <c r="K1103" s="181"/>
      <c r="L1103" s="181"/>
      <c r="M1103" s="181"/>
      <c r="N1103" s="181"/>
      <c r="O1103" s="181"/>
      <c r="P1103" s="181"/>
    </row>
    <row r="1104">
      <c r="B1104" s="292"/>
      <c r="C1104" s="181"/>
      <c r="D1104" s="181"/>
      <c r="E1104" s="181"/>
      <c r="F1104" s="181"/>
      <c r="G1104" s="181"/>
      <c r="H1104" s="181"/>
      <c r="I1104" s="181"/>
      <c r="J1104" s="181"/>
      <c r="K1104" s="181"/>
      <c r="L1104" s="181"/>
      <c r="M1104" s="181"/>
      <c r="N1104" s="181"/>
      <c r="O1104" s="181"/>
      <c r="P1104" s="181"/>
    </row>
    <row r="1105">
      <c r="B1105" s="292"/>
      <c r="C1105" s="181"/>
      <c r="D1105" s="181"/>
      <c r="E1105" s="181"/>
      <c r="F1105" s="181"/>
      <c r="G1105" s="181"/>
      <c r="H1105" s="181"/>
      <c r="I1105" s="181"/>
      <c r="J1105" s="181"/>
      <c r="K1105" s="181"/>
      <c r="L1105" s="181"/>
      <c r="M1105" s="181"/>
      <c r="N1105" s="181"/>
      <c r="O1105" s="181"/>
      <c r="P1105" s="181"/>
    </row>
    <row r="1106">
      <c r="B1106" s="292"/>
      <c r="C1106" s="181"/>
      <c r="D1106" s="181"/>
      <c r="E1106" s="181"/>
      <c r="F1106" s="181"/>
      <c r="G1106" s="181"/>
      <c r="H1106" s="181"/>
      <c r="I1106" s="181"/>
      <c r="J1106" s="181"/>
      <c r="K1106" s="181"/>
      <c r="L1106" s="181"/>
      <c r="M1106" s="181"/>
      <c r="N1106" s="181"/>
      <c r="O1106" s="181"/>
      <c r="P1106" s="181"/>
    </row>
    <row r="1107">
      <c r="B1107" s="292"/>
      <c r="C1107" s="181"/>
      <c r="D1107" s="181"/>
      <c r="E1107" s="181"/>
      <c r="F1107" s="181"/>
      <c r="G1107" s="181"/>
      <c r="H1107" s="181"/>
      <c r="I1107" s="181"/>
      <c r="J1107" s="181"/>
      <c r="K1107" s="181"/>
      <c r="L1107" s="181"/>
      <c r="M1107" s="181"/>
      <c r="N1107" s="181"/>
      <c r="O1107" s="181"/>
      <c r="P1107" s="181"/>
    </row>
    <row r="1108">
      <c r="B1108" s="292"/>
      <c r="C1108" s="181"/>
      <c r="D1108" s="181"/>
      <c r="E1108" s="181"/>
      <c r="F1108" s="181"/>
      <c r="G1108" s="181"/>
      <c r="H1108" s="181"/>
      <c r="I1108" s="181"/>
      <c r="J1108" s="181"/>
      <c r="K1108" s="181"/>
      <c r="L1108" s="181"/>
      <c r="M1108" s="181"/>
      <c r="N1108" s="181"/>
      <c r="O1108" s="181"/>
      <c r="P1108" s="181"/>
    </row>
    <row r="1109">
      <c r="B1109" s="292"/>
      <c r="C1109" s="181"/>
      <c r="D1109" s="181"/>
      <c r="E1109" s="181"/>
      <c r="F1109" s="181"/>
      <c r="G1109" s="181"/>
      <c r="H1109" s="181"/>
      <c r="I1109" s="181"/>
      <c r="J1109" s="181"/>
      <c r="K1109" s="181"/>
      <c r="L1109" s="181"/>
      <c r="M1109" s="181"/>
      <c r="N1109" s="181"/>
      <c r="O1109" s="181"/>
      <c r="P1109" s="181"/>
    </row>
    <row r="1110">
      <c r="B1110" s="292"/>
      <c r="C1110" s="181"/>
      <c r="D1110" s="181"/>
      <c r="E1110" s="181"/>
      <c r="F1110" s="181"/>
      <c r="G1110" s="181"/>
      <c r="H1110" s="181"/>
      <c r="I1110" s="181"/>
      <c r="J1110" s="181"/>
      <c r="K1110" s="181"/>
      <c r="L1110" s="181"/>
      <c r="M1110" s="181"/>
      <c r="N1110" s="181"/>
      <c r="O1110" s="181"/>
      <c r="P1110" s="181"/>
    </row>
    <row r="1111">
      <c r="B1111" s="292"/>
      <c r="C1111" s="181"/>
      <c r="D1111" s="181"/>
      <c r="E1111" s="181"/>
      <c r="F1111" s="181"/>
      <c r="G1111" s="181"/>
      <c r="H1111" s="181"/>
      <c r="I1111" s="181"/>
      <c r="J1111" s="181"/>
      <c r="K1111" s="181"/>
      <c r="L1111" s="181"/>
      <c r="M1111" s="181"/>
      <c r="N1111" s="181"/>
      <c r="O1111" s="181"/>
      <c r="P1111" s="181"/>
    </row>
    <row r="1112">
      <c r="B1112" s="292"/>
      <c r="C1112" s="181"/>
      <c r="D1112" s="181"/>
      <c r="E1112" s="181"/>
      <c r="F1112" s="181"/>
      <c r="G1112" s="181"/>
      <c r="H1112" s="181"/>
      <c r="I1112" s="181"/>
      <c r="J1112" s="181"/>
      <c r="K1112" s="181"/>
      <c r="L1112" s="181"/>
      <c r="M1112" s="181"/>
      <c r="N1112" s="181"/>
      <c r="O1112" s="181"/>
      <c r="P1112" s="181"/>
    </row>
    <row r="1113">
      <c r="B1113" s="292"/>
      <c r="C1113" s="181"/>
      <c r="D1113" s="181"/>
      <c r="E1113" s="181"/>
      <c r="F1113" s="181"/>
      <c r="G1113" s="181"/>
      <c r="H1113" s="181"/>
      <c r="I1113" s="181"/>
      <c r="J1113" s="181"/>
      <c r="K1113" s="181"/>
      <c r="L1113" s="181"/>
      <c r="M1113" s="181"/>
      <c r="N1113" s="181"/>
      <c r="O1113" s="181"/>
      <c r="P1113" s="181"/>
    </row>
    <row r="1114">
      <c r="B1114" s="292"/>
      <c r="C1114" s="181"/>
      <c r="D1114" s="181"/>
      <c r="E1114" s="181"/>
      <c r="F1114" s="181"/>
      <c r="G1114" s="181"/>
      <c r="H1114" s="181"/>
      <c r="I1114" s="181"/>
      <c r="J1114" s="181"/>
      <c r="K1114" s="181"/>
      <c r="L1114" s="181"/>
      <c r="M1114" s="181"/>
      <c r="N1114" s="181"/>
      <c r="O1114" s="181"/>
      <c r="P1114" s="181"/>
    </row>
    <row r="1115">
      <c r="B1115" s="292"/>
      <c r="C1115" s="181"/>
      <c r="D1115" s="181"/>
      <c r="E1115" s="181"/>
      <c r="F1115" s="181"/>
      <c r="G1115" s="181"/>
      <c r="H1115" s="181"/>
      <c r="I1115" s="181"/>
      <c r="J1115" s="181"/>
      <c r="K1115" s="181"/>
      <c r="L1115" s="181"/>
      <c r="M1115" s="181"/>
      <c r="N1115" s="181"/>
      <c r="O1115" s="181"/>
      <c r="P1115" s="181"/>
    </row>
    <row r="1116">
      <c r="B1116" s="292"/>
      <c r="C1116" s="181"/>
      <c r="D1116" s="181"/>
      <c r="E1116" s="181"/>
      <c r="F1116" s="181"/>
      <c r="G1116" s="181"/>
      <c r="H1116" s="181"/>
      <c r="I1116" s="181"/>
      <c r="J1116" s="181"/>
      <c r="K1116" s="181"/>
      <c r="L1116" s="181"/>
      <c r="M1116" s="181"/>
      <c r="N1116" s="181"/>
      <c r="O1116" s="181"/>
      <c r="P1116" s="181"/>
    </row>
    <row r="1117">
      <c r="B1117" s="292"/>
      <c r="C1117" s="181"/>
      <c r="D1117" s="181"/>
      <c r="E1117" s="181"/>
      <c r="F1117" s="181"/>
      <c r="G1117" s="181"/>
      <c r="H1117" s="181"/>
      <c r="I1117" s="181"/>
      <c r="J1117" s="181"/>
      <c r="K1117" s="181"/>
      <c r="L1117" s="181"/>
      <c r="M1117" s="181"/>
      <c r="N1117" s="181"/>
      <c r="O1117" s="181"/>
      <c r="P1117" s="181"/>
    </row>
    <row r="1118">
      <c r="B1118" s="292"/>
      <c r="C1118" s="181"/>
      <c r="D1118" s="181"/>
      <c r="E1118" s="181"/>
      <c r="F1118" s="181"/>
      <c r="G1118" s="181"/>
      <c r="H1118" s="181"/>
      <c r="I1118" s="181"/>
      <c r="J1118" s="181"/>
      <c r="K1118" s="181"/>
      <c r="L1118" s="181"/>
      <c r="M1118" s="181"/>
      <c r="N1118" s="181"/>
      <c r="O1118" s="181"/>
      <c r="P1118" s="181"/>
    </row>
    <row r="1119">
      <c r="B1119" s="292"/>
      <c r="C1119" s="181"/>
      <c r="D1119" s="181"/>
      <c r="E1119" s="181"/>
      <c r="F1119" s="181"/>
      <c r="G1119" s="181"/>
      <c r="H1119" s="181"/>
      <c r="I1119" s="181"/>
      <c r="J1119" s="181"/>
      <c r="K1119" s="181"/>
      <c r="L1119" s="181"/>
      <c r="M1119" s="181"/>
      <c r="N1119" s="181"/>
      <c r="O1119" s="181"/>
      <c r="P1119" s="181"/>
    </row>
    <row r="1120">
      <c r="B1120" s="292"/>
      <c r="C1120" s="181"/>
      <c r="D1120" s="181"/>
      <c r="E1120" s="181"/>
      <c r="F1120" s="181"/>
      <c r="G1120" s="181"/>
      <c r="H1120" s="181"/>
      <c r="I1120" s="181"/>
      <c r="J1120" s="181"/>
      <c r="K1120" s="181"/>
      <c r="L1120" s="181"/>
      <c r="M1120" s="181"/>
      <c r="N1120" s="181"/>
      <c r="O1120" s="181"/>
      <c r="P1120" s="181"/>
    </row>
    <row r="1121">
      <c r="B1121" s="292"/>
      <c r="C1121" s="181"/>
      <c r="D1121" s="181"/>
      <c r="E1121" s="181"/>
      <c r="F1121" s="181"/>
      <c r="G1121" s="181"/>
      <c r="H1121" s="181"/>
      <c r="I1121" s="181"/>
      <c r="J1121" s="181"/>
      <c r="K1121" s="181"/>
      <c r="L1121" s="181"/>
      <c r="M1121" s="181"/>
      <c r="N1121" s="181"/>
      <c r="O1121" s="181"/>
      <c r="P1121" s="181"/>
    </row>
    <row r="1122">
      <c r="B1122" s="292"/>
      <c r="C1122" s="181"/>
      <c r="D1122" s="181"/>
      <c r="E1122" s="181"/>
      <c r="F1122" s="181"/>
      <c r="G1122" s="181"/>
      <c r="H1122" s="181"/>
      <c r="I1122" s="181"/>
      <c r="J1122" s="181"/>
      <c r="K1122" s="181"/>
      <c r="L1122" s="181"/>
      <c r="M1122" s="181"/>
      <c r="N1122" s="181"/>
      <c r="O1122" s="181"/>
      <c r="P1122" s="181"/>
    </row>
    <row r="1123">
      <c r="B1123" s="292"/>
      <c r="C1123" s="181"/>
      <c r="D1123" s="181"/>
      <c r="E1123" s="181"/>
      <c r="F1123" s="181"/>
      <c r="G1123" s="181"/>
      <c r="H1123" s="181"/>
      <c r="I1123" s="181"/>
      <c r="J1123" s="181"/>
      <c r="K1123" s="181"/>
      <c r="L1123" s="181"/>
      <c r="M1123" s="181"/>
      <c r="N1123" s="181"/>
      <c r="O1123" s="181"/>
      <c r="P1123" s="181"/>
    </row>
    <row r="1124">
      <c r="B1124" s="292"/>
      <c r="C1124" s="181"/>
      <c r="D1124" s="181"/>
      <c r="E1124" s="181"/>
      <c r="F1124" s="181"/>
      <c r="G1124" s="181"/>
      <c r="H1124" s="181"/>
      <c r="I1124" s="181"/>
      <c r="J1124" s="181"/>
      <c r="K1124" s="181"/>
      <c r="L1124" s="181"/>
      <c r="M1124" s="181"/>
      <c r="N1124" s="181"/>
      <c r="O1124" s="181"/>
      <c r="P1124" s="181"/>
    </row>
    <row r="1125">
      <c r="B1125" s="292"/>
      <c r="C1125" s="181"/>
      <c r="D1125" s="181"/>
      <c r="E1125" s="181"/>
      <c r="F1125" s="181"/>
      <c r="G1125" s="181"/>
      <c r="H1125" s="181"/>
      <c r="I1125" s="181"/>
      <c r="J1125" s="181"/>
      <c r="K1125" s="181"/>
      <c r="L1125" s="181"/>
      <c r="M1125" s="181"/>
      <c r="N1125" s="181"/>
      <c r="O1125" s="181"/>
      <c r="P1125" s="181"/>
    </row>
    <row r="1126">
      <c r="B1126" s="292"/>
      <c r="C1126" s="181"/>
      <c r="D1126" s="181"/>
      <c r="E1126" s="181"/>
      <c r="F1126" s="181"/>
      <c r="G1126" s="181"/>
      <c r="H1126" s="181"/>
      <c r="I1126" s="181"/>
      <c r="J1126" s="181"/>
      <c r="K1126" s="181"/>
      <c r="L1126" s="181"/>
      <c r="M1126" s="181"/>
      <c r="N1126" s="181"/>
      <c r="O1126" s="181"/>
      <c r="P1126" s="181"/>
    </row>
    <row r="1127">
      <c r="B1127" s="292"/>
      <c r="C1127" s="181"/>
      <c r="D1127" s="181"/>
      <c r="E1127" s="181"/>
      <c r="F1127" s="181"/>
      <c r="G1127" s="181"/>
      <c r="H1127" s="181"/>
      <c r="I1127" s="181"/>
      <c r="J1127" s="181"/>
      <c r="K1127" s="181"/>
      <c r="L1127" s="181"/>
      <c r="M1127" s="181"/>
      <c r="N1127" s="181"/>
      <c r="O1127" s="181"/>
      <c r="P1127" s="181"/>
    </row>
    <row r="1128">
      <c r="B1128" s="292"/>
      <c r="C1128" s="181"/>
      <c r="D1128" s="181"/>
      <c r="E1128" s="181"/>
      <c r="F1128" s="181"/>
      <c r="G1128" s="181"/>
      <c r="H1128" s="181"/>
      <c r="I1128" s="181"/>
      <c r="J1128" s="181"/>
      <c r="K1128" s="181"/>
      <c r="L1128" s="181"/>
      <c r="M1128" s="181"/>
      <c r="N1128" s="181"/>
      <c r="O1128" s="181"/>
      <c r="P1128" s="181"/>
    </row>
    <row r="1129">
      <c r="B1129" s="292"/>
      <c r="C1129" s="181"/>
      <c r="D1129" s="181"/>
      <c r="E1129" s="181"/>
      <c r="F1129" s="181"/>
      <c r="G1129" s="181"/>
      <c r="H1129" s="181"/>
      <c r="I1129" s="181"/>
      <c r="J1129" s="181"/>
      <c r="K1129" s="181"/>
      <c r="L1129" s="181"/>
      <c r="M1129" s="181"/>
      <c r="N1129" s="181"/>
      <c r="O1129" s="181"/>
      <c r="P1129" s="181"/>
    </row>
    <row r="1130">
      <c r="B1130" s="292"/>
      <c r="C1130" s="181"/>
      <c r="D1130" s="181"/>
      <c r="E1130" s="181"/>
      <c r="F1130" s="181"/>
      <c r="G1130" s="181"/>
      <c r="H1130" s="181"/>
      <c r="I1130" s="181"/>
      <c r="J1130" s="181"/>
      <c r="K1130" s="181"/>
      <c r="L1130" s="181"/>
      <c r="M1130" s="181"/>
      <c r="N1130" s="181"/>
      <c r="O1130" s="181"/>
      <c r="P1130" s="181"/>
    </row>
    <row r="1131">
      <c r="B1131" s="292"/>
      <c r="C1131" s="181"/>
      <c r="D1131" s="181"/>
      <c r="E1131" s="181"/>
      <c r="F1131" s="181"/>
      <c r="G1131" s="181"/>
      <c r="H1131" s="181"/>
      <c r="I1131" s="181"/>
      <c r="J1131" s="181"/>
      <c r="K1131" s="181"/>
      <c r="L1131" s="181"/>
      <c r="M1131" s="181"/>
      <c r="N1131" s="181"/>
      <c r="O1131" s="181"/>
      <c r="P1131" s="181"/>
    </row>
    <row r="1132">
      <c r="B1132" s="292"/>
      <c r="C1132" s="181"/>
      <c r="D1132" s="181"/>
      <c r="E1132" s="181"/>
      <c r="F1132" s="181"/>
      <c r="G1132" s="181"/>
      <c r="H1132" s="181"/>
      <c r="I1132" s="181"/>
      <c r="J1132" s="181"/>
      <c r="K1132" s="181"/>
      <c r="L1132" s="181"/>
      <c r="M1132" s="181"/>
      <c r="N1132" s="181"/>
      <c r="O1132" s="181"/>
      <c r="P1132" s="181"/>
    </row>
    <row r="1133">
      <c r="B1133" s="292"/>
      <c r="C1133" s="181"/>
      <c r="D1133" s="181"/>
      <c r="E1133" s="181"/>
      <c r="F1133" s="181"/>
      <c r="G1133" s="181"/>
      <c r="H1133" s="181"/>
      <c r="I1133" s="181"/>
      <c r="J1133" s="181"/>
      <c r="K1133" s="181"/>
      <c r="L1133" s="181"/>
      <c r="M1133" s="181"/>
      <c r="N1133" s="181"/>
      <c r="O1133" s="181"/>
      <c r="P1133" s="181"/>
    </row>
    <row r="1134">
      <c r="B1134" s="292"/>
      <c r="C1134" s="181"/>
      <c r="D1134" s="181"/>
      <c r="E1134" s="181"/>
      <c r="F1134" s="181"/>
      <c r="G1134" s="181"/>
      <c r="H1134" s="181"/>
      <c r="I1134" s="181"/>
      <c r="J1134" s="181"/>
      <c r="K1134" s="181"/>
      <c r="L1134" s="181"/>
      <c r="M1134" s="181"/>
      <c r="N1134" s="181"/>
      <c r="O1134" s="181"/>
      <c r="P1134" s="181"/>
    </row>
    <row r="1135">
      <c r="B1135" s="292"/>
      <c r="C1135" s="181"/>
      <c r="D1135" s="181"/>
      <c r="E1135" s="181"/>
      <c r="F1135" s="181"/>
      <c r="G1135" s="181"/>
      <c r="H1135" s="181"/>
      <c r="I1135" s="181"/>
      <c r="J1135" s="181"/>
      <c r="K1135" s="181"/>
      <c r="L1135" s="181"/>
      <c r="M1135" s="181"/>
      <c r="N1135" s="181"/>
      <c r="O1135" s="181"/>
      <c r="P1135" s="181"/>
    </row>
    <row r="1136">
      <c r="B1136" s="292"/>
      <c r="C1136" s="181"/>
      <c r="D1136" s="181"/>
      <c r="E1136" s="181"/>
      <c r="F1136" s="181"/>
      <c r="G1136" s="181"/>
      <c r="H1136" s="181"/>
      <c r="I1136" s="181"/>
      <c r="J1136" s="181"/>
      <c r="K1136" s="181"/>
      <c r="L1136" s="181"/>
      <c r="M1136" s="181"/>
      <c r="N1136" s="181"/>
      <c r="O1136" s="181"/>
      <c r="P1136" s="181"/>
    </row>
    <row r="1137">
      <c r="B1137" s="292"/>
      <c r="C1137" s="181"/>
      <c r="D1137" s="181"/>
      <c r="E1137" s="181"/>
      <c r="F1137" s="181"/>
      <c r="G1137" s="181"/>
      <c r="H1137" s="181"/>
      <c r="I1137" s="181"/>
      <c r="J1137" s="181"/>
      <c r="K1137" s="181"/>
      <c r="L1137" s="181"/>
      <c r="M1137" s="181"/>
      <c r="N1137" s="181"/>
      <c r="O1137" s="181"/>
      <c r="P1137" s="181"/>
    </row>
    <row r="1138">
      <c r="B1138" s="292"/>
      <c r="C1138" s="181"/>
      <c r="D1138" s="181"/>
      <c r="E1138" s="181"/>
      <c r="F1138" s="181"/>
      <c r="G1138" s="181"/>
      <c r="H1138" s="181"/>
      <c r="I1138" s="181"/>
      <c r="J1138" s="181"/>
      <c r="K1138" s="181"/>
      <c r="L1138" s="181"/>
      <c r="M1138" s="181"/>
      <c r="N1138" s="181"/>
      <c r="O1138" s="181"/>
      <c r="P1138" s="181"/>
    </row>
    <row r="1139">
      <c r="B1139" s="292"/>
      <c r="C1139" s="181"/>
      <c r="D1139" s="181"/>
      <c r="E1139" s="181"/>
      <c r="F1139" s="181"/>
      <c r="G1139" s="181"/>
      <c r="H1139" s="181"/>
      <c r="I1139" s="181"/>
      <c r="J1139" s="181"/>
      <c r="K1139" s="181"/>
      <c r="L1139" s="181"/>
      <c r="M1139" s="181"/>
      <c r="N1139" s="181"/>
      <c r="O1139" s="181"/>
      <c r="P1139" s="181"/>
    </row>
    <row r="1140">
      <c r="B1140" s="292"/>
      <c r="C1140" s="181"/>
      <c r="D1140" s="181"/>
      <c r="E1140" s="181"/>
      <c r="F1140" s="181"/>
      <c r="G1140" s="181"/>
      <c r="H1140" s="181"/>
      <c r="I1140" s="181"/>
      <c r="J1140" s="181"/>
      <c r="K1140" s="181"/>
      <c r="L1140" s="181"/>
      <c r="M1140" s="181"/>
      <c r="N1140" s="181"/>
      <c r="O1140" s="181"/>
      <c r="P1140" s="181"/>
    </row>
    <row r="1141">
      <c r="B1141" s="292"/>
      <c r="C1141" s="181"/>
      <c r="D1141" s="181"/>
      <c r="E1141" s="181"/>
      <c r="F1141" s="181"/>
      <c r="G1141" s="181"/>
      <c r="H1141" s="181"/>
      <c r="I1141" s="181"/>
      <c r="J1141" s="181"/>
      <c r="K1141" s="181"/>
      <c r="L1141" s="181"/>
      <c r="M1141" s="181"/>
      <c r="N1141" s="181"/>
      <c r="O1141" s="181"/>
      <c r="P1141" s="181"/>
    </row>
    <row r="1142">
      <c r="B1142" s="292"/>
      <c r="C1142" s="181"/>
      <c r="D1142" s="181"/>
      <c r="E1142" s="181"/>
      <c r="F1142" s="181"/>
      <c r="G1142" s="181"/>
      <c r="H1142" s="181"/>
      <c r="I1142" s="181"/>
      <c r="J1142" s="181"/>
      <c r="K1142" s="181"/>
      <c r="L1142" s="181"/>
      <c r="M1142" s="181"/>
      <c r="N1142" s="181"/>
      <c r="O1142" s="181"/>
      <c r="P1142" s="181"/>
    </row>
    <row r="1143">
      <c r="B1143" s="292"/>
      <c r="C1143" s="181"/>
      <c r="D1143" s="181"/>
      <c r="E1143" s="181"/>
      <c r="F1143" s="181"/>
      <c r="G1143" s="181"/>
      <c r="H1143" s="181"/>
      <c r="I1143" s="181"/>
      <c r="J1143" s="181"/>
      <c r="K1143" s="181"/>
      <c r="L1143" s="181"/>
      <c r="M1143" s="181"/>
      <c r="N1143" s="181"/>
      <c r="O1143" s="181"/>
      <c r="P1143" s="181"/>
    </row>
    <row r="1144">
      <c r="B1144" s="292"/>
      <c r="C1144" s="181"/>
      <c r="D1144" s="181"/>
      <c r="E1144" s="181"/>
      <c r="F1144" s="181"/>
      <c r="G1144" s="181"/>
      <c r="H1144" s="181"/>
      <c r="I1144" s="181"/>
      <c r="J1144" s="181"/>
      <c r="K1144" s="181"/>
      <c r="L1144" s="181"/>
      <c r="M1144" s="181"/>
      <c r="N1144" s="181"/>
      <c r="O1144" s="181"/>
      <c r="P1144" s="181"/>
    </row>
    <row r="1145">
      <c r="B1145" s="292"/>
      <c r="C1145" s="181"/>
      <c r="D1145" s="181"/>
      <c r="E1145" s="181"/>
      <c r="F1145" s="181"/>
      <c r="G1145" s="181"/>
      <c r="H1145" s="181"/>
      <c r="I1145" s="181"/>
      <c r="J1145" s="181"/>
      <c r="K1145" s="181"/>
      <c r="L1145" s="181"/>
      <c r="M1145" s="181"/>
      <c r="N1145" s="181"/>
      <c r="O1145" s="181"/>
      <c r="P1145" s="181"/>
    </row>
    <row r="1146">
      <c r="B1146" s="292"/>
      <c r="C1146" s="181"/>
      <c r="D1146" s="181"/>
      <c r="E1146" s="181"/>
      <c r="F1146" s="181"/>
      <c r="G1146" s="181"/>
      <c r="H1146" s="181"/>
      <c r="I1146" s="181"/>
      <c r="J1146" s="181"/>
      <c r="K1146" s="181"/>
      <c r="L1146" s="181"/>
      <c r="M1146" s="181"/>
      <c r="N1146" s="181"/>
      <c r="O1146" s="181"/>
      <c r="P1146" s="181"/>
    </row>
    <row r="1147">
      <c r="B1147" s="292"/>
      <c r="C1147" s="181"/>
      <c r="D1147" s="181"/>
      <c r="E1147" s="181"/>
      <c r="F1147" s="181"/>
      <c r="G1147" s="181"/>
      <c r="H1147" s="181"/>
      <c r="I1147" s="181"/>
      <c r="J1147" s="181"/>
      <c r="K1147" s="181"/>
      <c r="L1147" s="181"/>
      <c r="M1147" s="181"/>
      <c r="N1147" s="181"/>
      <c r="O1147" s="181"/>
      <c r="P1147" s="181"/>
    </row>
    <row r="1148">
      <c r="B1148" s="292"/>
      <c r="C1148" s="181"/>
      <c r="D1148" s="181"/>
      <c r="E1148" s="181"/>
      <c r="F1148" s="181"/>
      <c r="G1148" s="181"/>
      <c r="H1148" s="181"/>
      <c r="I1148" s="181"/>
      <c r="J1148" s="181"/>
      <c r="K1148" s="181"/>
      <c r="L1148" s="181"/>
      <c r="M1148" s="181"/>
      <c r="N1148" s="181"/>
      <c r="O1148" s="181"/>
      <c r="P1148" s="181"/>
    </row>
    <row r="1149">
      <c r="B1149" s="292"/>
      <c r="C1149" s="181"/>
      <c r="D1149" s="181"/>
      <c r="E1149" s="181"/>
      <c r="F1149" s="181"/>
      <c r="G1149" s="181"/>
      <c r="H1149" s="181"/>
      <c r="I1149" s="181"/>
      <c r="J1149" s="181"/>
      <c r="K1149" s="181"/>
      <c r="L1149" s="181"/>
      <c r="M1149" s="181"/>
      <c r="N1149" s="181"/>
      <c r="O1149" s="181"/>
      <c r="P1149" s="181"/>
    </row>
    <row r="1150">
      <c r="B1150" s="292"/>
      <c r="C1150" s="181"/>
      <c r="D1150" s="181"/>
      <c r="E1150" s="181"/>
      <c r="F1150" s="181"/>
      <c r="G1150" s="181"/>
      <c r="H1150" s="181"/>
      <c r="I1150" s="181"/>
      <c r="J1150" s="181"/>
      <c r="K1150" s="181"/>
      <c r="L1150" s="181"/>
      <c r="M1150" s="181"/>
      <c r="N1150" s="181"/>
      <c r="O1150" s="181"/>
      <c r="P1150" s="181"/>
    </row>
    <row r="1151">
      <c r="B1151" s="292"/>
      <c r="C1151" s="181"/>
      <c r="D1151" s="181"/>
      <c r="E1151" s="181"/>
      <c r="F1151" s="181"/>
      <c r="G1151" s="181"/>
      <c r="H1151" s="181"/>
      <c r="I1151" s="181"/>
      <c r="J1151" s="181"/>
      <c r="K1151" s="181"/>
      <c r="L1151" s="181"/>
      <c r="M1151" s="181"/>
      <c r="N1151" s="181"/>
      <c r="O1151" s="181"/>
      <c r="P1151" s="181"/>
    </row>
    <row r="1152">
      <c r="B1152" s="292"/>
      <c r="C1152" s="181"/>
      <c r="D1152" s="181"/>
      <c r="E1152" s="181"/>
      <c r="F1152" s="181"/>
      <c r="G1152" s="181"/>
      <c r="H1152" s="181"/>
      <c r="I1152" s="181"/>
      <c r="J1152" s="181"/>
      <c r="K1152" s="181"/>
      <c r="L1152" s="181"/>
      <c r="M1152" s="181"/>
      <c r="N1152" s="181"/>
      <c r="O1152" s="181"/>
      <c r="P1152" s="181"/>
    </row>
    <row r="1153">
      <c r="B1153" s="292"/>
      <c r="C1153" s="181"/>
      <c r="D1153" s="181"/>
      <c r="E1153" s="181"/>
      <c r="F1153" s="181"/>
      <c r="G1153" s="181"/>
      <c r="H1153" s="181"/>
      <c r="I1153" s="181"/>
      <c r="J1153" s="181"/>
      <c r="K1153" s="181"/>
      <c r="L1153" s="181"/>
      <c r="M1153" s="181"/>
      <c r="N1153" s="181"/>
      <c r="O1153" s="181"/>
      <c r="P1153" s="181"/>
    </row>
    <row r="1154">
      <c r="B1154" s="292"/>
      <c r="C1154" s="181"/>
      <c r="D1154" s="181"/>
      <c r="E1154" s="181"/>
      <c r="F1154" s="181"/>
      <c r="G1154" s="181"/>
      <c r="H1154" s="181"/>
      <c r="I1154" s="181"/>
      <c r="J1154" s="181"/>
      <c r="K1154" s="181"/>
      <c r="L1154" s="181"/>
      <c r="M1154" s="181"/>
      <c r="N1154" s="181"/>
      <c r="O1154" s="181"/>
      <c r="P1154" s="181"/>
    </row>
    <row r="1155">
      <c r="B1155" s="292"/>
      <c r="C1155" s="181"/>
      <c r="D1155" s="181"/>
      <c r="E1155" s="181"/>
      <c r="F1155" s="181"/>
      <c r="G1155" s="181"/>
      <c r="H1155" s="181"/>
      <c r="I1155" s="181"/>
      <c r="J1155" s="181"/>
      <c r="K1155" s="181"/>
      <c r="L1155" s="181"/>
      <c r="M1155" s="181"/>
      <c r="N1155" s="181"/>
      <c r="O1155" s="181"/>
      <c r="P1155" s="181"/>
    </row>
    <row r="1156">
      <c r="B1156" s="292"/>
      <c r="C1156" s="181"/>
      <c r="D1156" s="181"/>
      <c r="E1156" s="181"/>
      <c r="F1156" s="181"/>
      <c r="G1156" s="181"/>
      <c r="H1156" s="181"/>
      <c r="I1156" s="181"/>
      <c r="J1156" s="181"/>
      <c r="K1156" s="181"/>
      <c r="L1156" s="181"/>
      <c r="M1156" s="181"/>
      <c r="N1156" s="181"/>
      <c r="O1156" s="181"/>
      <c r="P1156" s="181"/>
    </row>
    <row r="1157">
      <c r="B1157" s="292"/>
      <c r="C1157" s="181"/>
      <c r="D1157" s="181"/>
      <c r="E1157" s="181"/>
      <c r="F1157" s="181"/>
      <c r="G1157" s="181"/>
      <c r="H1157" s="181"/>
      <c r="I1157" s="181"/>
      <c r="J1157" s="181"/>
      <c r="K1157" s="181"/>
      <c r="L1157" s="181"/>
      <c r="M1157" s="181"/>
      <c r="N1157" s="181"/>
      <c r="O1157" s="181"/>
      <c r="P1157" s="181"/>
    </row>
    <row r="1158">
      <c r="B1158" s="292"/>
      <c r="C1158" s="181"/>
      <c r="D1158" s="181"/>
      <c r="E1158" s="181"/>
      <c r="F1158" s="181"/>
      <c r="G1158" s="181"/>
      <c r="H1158" s="181"/>
      <c r="I1158" s="181"/>
      <c r="J1158" s="181"/>
      <c r="K1158" s="181"/>
      <c r="L1158" s="181"/>
      <c r="M1158" s="181"/>
      <c r="N1158" s="181"/>
      <c r="O1158" s="181"/>
      <c r="P1158" s="181"/>
    </row>
    <row r="1159">
      <c r="B1159" s="292"/>
      <c r="C1159" s="181"/>
      <c r="D1159" s="181"/>
      <c r="E1159" s="181"/>
      <c r="F1159" s="181"/>
      <c r="G1159" s="181"/>
      <c r="H1159" s="181"/>
      <c r="I1159" s="181"/>
      <c r="J1159" s="181"/>
      <c r="K1159" s="181"/>
      <c r="L1159" s="181"/>
      <c r="M1159" s="181"/>
      <c r="N1159" s="181"/>
      <c r="O1159" s="181"/>
      <c r="P1159" s="181"/>
    </row>
    <row r="1160">
      <c r="B1160" s="292"/>
      <c r="C1160" s="181"/>
      <c r="D1160" s="181"/>
      <c r="E1160" s="181"/>
      <c r="F1160" s="181"/>
      <c r="G1160" s="181"/>
      <c r="H1160" s="181"/>
      <c r="I1160" s="181"/>
      <c r="J1160" s="181"/>
      <c r="K1160" s="181"/>
      <c r="L1160" s="181"/>
      <c r="M1160" s="181"/>
      <c r="N1160" s="181"/>
      <c r="O1160" s="181"/>
      <c r="P1160" s="181"/>
    </row>
    <row r="1161">
      <c r="B1161" s="292"/>
      <c r="C1161" s="181"/>
      <c r="D1161" s="181"/>
      <c r="E1161" s="181"/>
      <c r="F1161" s="181"/>
      <c r="G1161" s="181"/>
      <c r="H1161" s="181"/>
      <c r="I1161" s="181"/>
      <c r="J1161" s="181"/>
      <c r="K1161" s="181"/>
      <c r="L1161" s="181"/>
      <c r="M1161" s="181"/>
      <c r="N1161" s="181"/>
      <c r="O1161" s="181"/>
      <c r="P1161" s="181"/>
    </row>
    <row r="1162">
      <c r="B1162" s="292"/>
      <c r="C1162" s="181"/>
      <c r="D1162" s="181"/>
      <c r="E1162" s="181"/>
      <c r="F1162" s="181"/>
      <c r="G1162" s="181"/>
      <c r="H1162" s="181"/>
      <c r="I1162" s="181"/>
      <c r="J1162" s="181"/>
      <c r="K1162" s="181"/>
      <c r="L1162" s="181"/>
      <c r="M1162" s="181"/>
      <c r="N1162" s="181"/>
      <c r="O1162" s="181"/>
      <c r="P1162" s="181"/>
    </row>
    <row r="1163">
      <c r="B1163" s="292"/>
      <c r="C1163" s="181"/>
      <c r="D1163" s="181"/>
      <c r="E1163" s="181"/>
      <c r="F1163" s="181"/>
      <c r="G1163" s="181"/>
      <c r="H1163" s="181"/>
      <c r="I1163" s="181"/>
      <c r="J1163" s="181"/>
      <c r="K1163" s="181"/>
      <c r="L1163" s="181"/>
      <c r="M1163" s="181"/>
      <c r="N1163" s="181"/>
      <c r="O1163" s="181"/>
      <c r="P1163" s="181"/>
    </row>
    <row r="1164">
      <c r="B1164" s="292"/>
      <c r="C1164" s="181"/>
      <c r="D1164" s="181"/>
      <c r="E1164" s="181"/>
      <c r="F1164" s="181"/>
      <c r="G1164" s="181"/>
      <c r="H1164" s="181"/>
      <c r="I1164" s="181"/>
      <c r="J1164" s="181"/>
      <c r="K1164" s="181"/>
      <c r="L1164" s="181"/>
      <c r="M1164" s="181"/>
      <c r="N1164" s="181"/>
      <c r="O1164" s="181"/>
      <c r="P1164" s="181"/>
    </row>
    <row r="1165">
      <c r="B1165" s="292"/>
      <c r="C1165" s="181"/>
      <c r="D1165" s="181"/>
      <c r="E1165" s="181"/>
      <c r="F1165" s="181"/>
      <c r="G1165" s="181"/>
      <c r="H1165" s="181"/>
      <c r="I1165" s="181"/>
      <c r="J1165" s="181"/>
      <c r="K1165" s="181"/>
      <c r="L1165" s="181"/>
      <c r="M1165" s="181"/>
      <c r="N1165" s="181"/>
      <c r="O1165" s="181"/>
      <c r="P1165" s="181"/>
    </row>
    <row r="1166">
      <c r="B1166" s="292"/>
      <c r="C1166" s="181"/>
      <c r="D1166" s="181"/>
      <c r="E1166" s="181"/>
      <c r="F1166" s="181"/>
      <c r="G1166" s="181"/>
      <c r="H1166" s="181"/>
      <c r="I1166" s="181"/>
      <c r="J1166" s="181"/>
      <c r="K1166" s="181"/>
      <c r="L1166" s="181"/>
      <c r="M1166" s="181"/>
      <c r="N1166" s="181"/>
      <c r="O1166" s="181"/>
      <c r="P1166" s="181"/>
    </row>
    <row r="1167">
      <c r="B1167" s="292"/>
      <c r="C1167" s="181"/>
      <c r="D1167" s="181"/>
      <c r="E1167" s="181"/>
      <c r="F1167" s="181"/>
      <c r="G1167" s="181"/>
      <c r="H1167" s="181"/>
      <c r="I1167" s="181"/>
      <c r="J1167" s="181"/>
      <c r="K1167" s="181"/>
      <c r="L1167" s="181"/>
      <c r="M1167" s="181"/>
      <c r="N1167" s="181"/>
      <c r="O1167" s="181"/>
      <c r="P1167" s="181"/>
    </row>
    <row r="1168">
      <c r="B1168" s="292"/>
      <c r="C1168" s="181"/>
      <c r="D1168" s="181"/>
      <c r="E1168" s="181"/>
      <c r="F1168" s="181"/>
      <c r="G1168" s="181"/>
      <c r="H1168" s="181"/>
      <c r="I1168" s="181"/>
      <c r="J1168" s="181"/>
      <c r="K1168" s="181"/>
      <c r="L1168" s="181"/>
      <c r="M1168" s="181"/>
      <c r="N1168" s="181"/>
      <c r="O1168" s="181"/>
      <c r="P1168" s="181"/>
    </row>
    <row r="1169">
      <c r="B1169" s="292"/>
      <c r="C1169" s="181"/>
      <c r="D1169" s="181"/>
      <c r="E1169" s="181"/>
      <c r="F1169" s="181"/>
      <c r="G1169" s="181"/>
      <c r="H1169" s="181"/>
      <c r="I1169" s="181"/>
      <c r="J1169" s="181"/>
      <c r="K1169" s="181"/>
      <c r="L1169" s="181"/>
      <c r="M1169" s="181"/>
      <c r="N1169" s="181"/>
      <c r="O1169" s="181"/>
      <c r="P1169" s="181"/>
    </row>
    <row r="1170">
      <c r="B1170" s="292"/>
      <c r="C1170" s="181"/>
      <c r="D1170" s="181"/>
      <c r="E1170" s="181"/>
      <c r="F1170" s="181"/>
      <c r="G1170" s="181"/>
      <c r="H1170" s="181"/>
      <c r="I1170" s="181"/>
      <c r="J1170" s="181"/>
      <c r="K1170" s="181"/>
      <c r="L1170" s="181"/>
      <c r="M1170" s="181"/>
      <c r="N1170" s="181"/>
      <c r="O1170" s="181"/>
      <c r="P1170" s="181"/>
    </row>
    <row r="1171">
      <c r="B1171" s="292"/>
      <c r="C1171" s="181"/>
      <c r="D1171" s="181"/>
      <c r="E1171" s="181"/>
      <c r="F1171" s="181"/>
      <c r="G1171" s="181"/>
      <c r="H1171" s="181"/>
      <c r="I1171" s="181"/>
      <c r="J1171" s="181"/>
      <c r="K1171" s="181"/>
      <c r="L1171" s="181"/>
      <c r="M1171" s="181"/>
      <c r="N1171" s="181"/>
      <c r="O1171" s="181"/>
      <c r="P1171" s="181"/>
    </row>
    <row r="1172">
      <c r="B1172" s="292"/>
      <c r="C1172" s="181"/>
      <c r="D1172" s="181"/>
      <c r="E1172" s="181"/>
      <c r="F1172" s="181"/>
      <c r="G1172" s="181"/>
      <c r="H1172" s="181"/>
      <c r="I1172" s="181"/>
      <c r="J1172" s="181"/>
      <c r="K1172" s="181"/>
      <c r="L1172" s="181"/>
      <c r="M1172" s="181"/>
      <c r="N1172" s="181"/>
      <c r="O1172" s="181"/>
      <c r="P1172" s="181"/>
    </row>
    <row r="1173">
      <c r="B1173" s="292"/>
      <c r="C1173" s="181"/>
      <c r="D1173" s="181"/>
      <c r="E1173" s="181"/>
      <c r="F1173" s="181"/>
      <c r="G1173" s="181"/>
      <c r="H1173" s="181"/>
      <c r="I1173" s="181"/>
      <c r="J1173" s="181"/>
      <c r="K1173" s="181"/>
      <c r="L1173" s="181"/>
      <c r="M1173" s="181"/>
      <c r="N1173" s="181"/>
      <c r="O1173" s="181"/>
      <c r="P1173" s="181"/>
    </row>
    <row r="1174">
      <c r="B1174" s="292"/>
      <c r="C1174" s="181"/>
      <c r="D1174" s="181"/>
      <c r="E1174" s="181"/>
      <c r="F1174" s="181"/>
      <c r="G1174" s="181"/>
      <c r="H1174" s="181"/>
      <c r="I1174" s="181"/>
      <c r="J1174" s="181"/>
      <c r="K1174" s="181"/>
      <c r="L1174" s="181"/>
      <c r="M1174" s="181"/>
      <c r="N1174" s="181"/>
      <c r="O1174" s="181"/>
      <c r="P1174" s="181"/>
    </row>
    <row r="1175">
      <c r="B1175" s="292"/>
      <c r="C1175" s="181"/>
      <c r="D1175" s="181"/>
      <c r="E1175" s="181"/>
      <c r="F1175" s="181"/>
      <c r="G1175" s="181"/>
      <c r="H1175" s="181"/>
      <c r="I1175" s="181"/>
      <c r="J1175" s="181"/>
      <c r="K1175" s="181"/>
      <c r="L1175" s="181"/>
      <c r="M1175" s="181"/>
      <c r="N1175" s="181"/>
      <c r="O1175" s="181"/>
      <c r="P1175" s="181"/>
    </row>
    <row r="1176">
      <c r="B1176" s="292"/>
      <c r="C1176" s="181"/>
      <c r="D1176" s="181"/>
      <c r="E1176" s="181"/>
      <c r="F1176" s="181"/>
      <c r="G1176" s="181"/>
      <c r="H1176" s="181"/>
      <c r="I1176" s="181"/>
      <c r="J1176" s="181"/>
      <c r="K1176" s="181"/>
      <c r="L1176" s="181"/>
      <c r="M1176" s="181"/>
      <c r="N1176" s="181"/>
      <c r="O1176" s="181"/>
      <c r="P1176" s="181"/>
    </row>
    <row r="1177">
      <c r="B1177" s="292"/>
      <c r="C1177" s="181"/>
      <c r="D1177" s="181"/>
      <c r="E1177" s="181"/>
      <c r="F1177" s="181"/>
      <c r="G1177" s="181"/>
      <c r="H1177" s="181"/>
      <c r="I1177" s="181"/>
      <c r="J1177" s="181"/>
      <c r="K1177" s="181"/>
      <c r="L1177" s="181"/>
      <c r="M1177" s="181"/>
      <c r="N1177" s="181"/>
      <c r="O1177" s="181"/>
      <c r="P1177" s="181"/>
    </row>
    <row r="1178">
      <c r="B1178" s="292"/>
      <c r="C1178" s="181"/>
      <c r="D1178" s="181"/>
      <c r="E1178" s="181"/>
      <c r="F1178" s="181"/>
      <c r="G1178" s="181"/>
      <c r="H1178" s="181"/>
      <c r="I1178" s="181"/>
      <c r="J1178" s="181"/>
      <c r="K1178" s="181"/>
      <c r="L1178" s="181"/>
      <c r="M1178" s="181"/>
      <c r="N1178" s="181"/>
      <c r="O1178" s="181"/>
      <c r="P1178" s="181"/>
    </row>
    <row r="1179">
      <c r="B1179" s="292"/>
      <c r="C1179" s="181"/>
      <c r="D1179" s="181"/>
      <c r="E1179" s="181"/>
      <c r="F1179" s="181"/>
      <c r="G1179" s="181"/>
      <c r="H1179" s="181"/>
      <c r="I1179" s="181"/>
      <c r="J1179" s="181"/>
      <c r="K1179" s="181"/>
      <c r="L1179" s="181"/>
      <c r="M1179" s="181"/>
      <c r="N1179" s="181"/>
      <c r="O1179" s="181"/>
      <c r="P1179" s="181"/>
    </row>
    <row r="1180">
      <c r="B1180" s="292"/>
      <c r="C1180" s="181"/>
      <c r="D1180" s="181"/>
      <c r="E1180" s="181"/>
      <c r="F1180" s="181"/>
      <c r="G1180" s="181"/>
      <c r="H1180" s="181"/>
      <c r="I1180" s="181"/>
      <c r="J1180" s="181"/>
      <c r="K1180" s="181"/>
      <c r="L1180" s="181"/>
      <c r="M1180" s="181"/>
      <c r="N1180" s="181"/>
      <c r="O1180" s="181"/>
      <c r="P1180" s="181"/>
    </row>
    <row r="1181">
      <c r="B1181" s="292"/>
      <c r="C1181" s="181"/>
      <c r="D1181" s="181"/>
      <c r="E1181" s="181"/>
      <c r="F1181" s="181"/>
      <c r="G1181" s="181"/>
      <c r="H1181" s="181"/>
      <c r="I1181" s="181"/>
      <c r="J1181" s="181"/>
      <c r="K1181" s="181"/>
      <c r="L1181" s="181"/>
      <c r="M1181" s="181"/>
      <c r="N1181" s="181"/>
      <c r="O1181" s="181"/>
      <c r="P1181" s="181"/>
    </row>
    <row r="1182">
      <c r="B1182" s="292"/>
      <c r="C1182" s="181"/>
      <c r="D1182" s="181"/>
      <c r="E1182" s="181"/>
      <c r="F1182" s="181"/>
      <c r="G1182" s="181"/>
      <c r="H1182" s="181"/>
      <c r="I1182" s="181"/>
      <c r="J1182" s="181"/>
      <c r="K1182" s="181"/>
      <c r="L1182" s="181"/>
      <c r="M1182" s="181"/>
      <c r="N1182" s="181"/>
      <c r="O1182" s="181"/>
      <c r="P1182" s="181"/>
    </row>
    <row r="1183">
      <c r="B1183" s="292"/>
      <c r="C1183" s="181"/>
      <c r="D1183" s="181"/>
      <c r="E1183" s="181"/>
      <c r="F1183" s="181"/>
      <c r="G1183" s="181"/>
      <c r="H1183" s="181"/>
      <c r="I1183" s="181"/>
      <c r="J1183" s="181"/>
      <c r="K1183" s="181"/>
      <c r="L1183" s="181"/>
      <c r="M1183" s="181"/>
      <c r="N1183" s="181"/>
      <c r="O1183" s="181"/>
      <c r="P1183" s="181"/>
    </row>
    <row r="1184">
      <c r="B1184" s="292"/>
      <c r="C1184" s="181"/>
      <c r="D1184" s="181"/>
      <c r="E1184" s="181"/>
      <c r="F1184" s="181"/>
      <c r="G1184" s="181"/>
      <c r="H1184" s="181"/>
      <c r="I1184" s="181"/>
      <c r="J1184" s="181"/>
      <c r="K1184" s="181"/>
      <c r="L1184" s="181"/>
      <c r="M1184" s="181"/>
      <c r="N1184" s="181"/>
      <c r="O1184" s="181"/>
      <c r="P1184" s="181"/>
    </row>
    <row r="1185">
      <c r="B1185" s="292"/>
      <c r="C1185" s="181"/>
      <c r="D1185" s="181"/>
      <c r="E1185" s="181"/>
      <c r="F1185" s="181"/>
      <c r="G1185" s="181"/>
      <c r="H1185" s="181"/>
      <c r="I1185" s="181"/>
      <c r="J1185" s="181"/>
      <c r="K1185" s="181"/>
      <c r="L1185" s="181"/>
      <c r="M1185" s="181"/>
      <c r="N1185" s="181"/>
      <c r="O1185" s="181"/>
      <c r="P1185" s="181"/>
    </row>
    <row r="1186">
      <c r="B1186" s="292"/>
      <c r="C1186" s="181"/>
      <c r="D1186" s="181"/>
      <c r="E1186" s="181"/>
      <c r="F1186" s="181"/>
      <c r="G1186" s="181"/>
      <c r="H1186" s="181"/>
      <c r="I1186" s="181"/>
      <c r="J1186" s="181"/>
      <c r="K1186" s="181"/>
      <c r="L1186" s="181"/>
      <c r="M1186" s="181"/>
      <c r="N1186" s="181"/>
      <c r="O1186" s="181"/>
      <c r="P1186" s="181"/>
    </row>
    <row r="1187">
      <c r="B1187" s="292"/>
      <c r="C1187" s="181"/>
      <c r="D1187" s="181"/>
      <c r="E1187" s="181"/>
      <c r="F1187" s="181"/>
      <c r="G1187" s="181"/>
      <c r="H1187" s="181"/>
      <c r="I1187" s="181"/>
      <c r="J1187" s="181"/>
      <c r="K1187" s="181"/>
      <c r="L1187" s="181"/>
      <c r="M1187" s="181"/>
      <c r="N1187" s="181"/>
      <c r="O1187" s="181"/>
      <c r="P1187" s="181"/>
    </row>
    <row r="1188">
      <c r="B1188" s="292"/>
      <c r="C1188" s="181"/>
      <c r="D1188" s="181"/>
      <c r="E1188" s="181"/>
      <c r="F1188" s="181"/>
      <c r="G1188" s="181"/>
      <c r="H1188" s="181"/>
      <c r="I1188" s="181"/>
      <c r="J1188" s="181"/>
      <c r="K1188" s="181"/>
      <c r="L1188" s="181"/>
      <c r="M1188" s="181"/>
      <c r="N1188" s="181"/>
      <c r="O1188" s="181"/>
      <c r="P1188" s="181"/>
    </row>
    <row r="1189">
      <c r="B1189" s="292"/>
      <c r="C1189" s="181"/>
      <c r="D1189" s="181"/>
      <c r="E1189" s="181"/>
      <c r="F1189" s="181"/>
      <c r="G1189" s="181"/>
      <c r="H1189" s="181"/>
      <c r="I1189" s="181"/>
      <c r="J1189" s="181"/>
      <c r="K1189" s="181"/>
      <c r="L1189" s="181"/>
      <c r="M1189" s="181"/>
      <c r="N1189" s="181"/>
      <c r="O1189" s="181"/>
      <c r="P1189" s="181"/>
    </row>
    <row r="1190">
      <c r="B1190" s="292"/>
      <c r="C1190" s="181"/>
      <c r="D1190" s="181"/>
      <c r="E1190" s="181"/>
      <c r="F1190" s="181"/>
      <c r="G1190" s="181"/>
      <c r="H1190" s="181"/>
      <c r="I1190" s="181"/>
      <c r="J1190" s="181"/>
      <c r="K1190" s="181"/>
      <c r="L1190" s="181"/>
      <c r="M1190" s="181"/>
      <c r="N1190" s="181"/>
      <c r="O1190" s="181"/>
      <c r="P1190" s="181"/>
    </row>
    <row r="1191">
      <c r="B1191" s="292"/>
      <c r="C1191" s="181"/>
      <c r="D1191" s="181"/>
      <c r="E1191" s="181"/>
      <c r="F1191" s="181"/>
      <c r="G1191" s="181"/>
      <c r="H1191" s="181"/>
      <c r="I1191" s="181"/>
      <c r="J1191" s="181"/>
      <c r="K1191" s="181"/>
      <c r="L1191" s="181"/>
      <c r="M1191" s="181"/>
      <c r="N1191" s="181"/>
      <c r="O1191" s="181"/>
      <c r="P1191" s="181"/>
    </row>
    <row r="1192">
      <c r="B1192" s="292"/>
      <c r="C1192" s="181"/>
      <c r="D1192" s="181"/>
      <c r="E1192" s="181"/>
      <c r="F1192" s="181"/>
      <c r="G1192" s="181"/>
      <c r="H1192" s="181"/>
      <c r="I1192" s="181"/>
      <c r="J1192" s="181"/>
      <c r="K1192" s="181"/>
      <c r="L1192" s="181"/>
      <c r="M1192" s="181"/>
      <c r="N1192" s="181"/>
      <c r="O1192" s="181"/>
      <c r="P1192" s="181"/>
    </row>
    <row r="1193">
      <c r="B1193" s="292"/>
      <c r="C1193" s="181"/>
      <c r="D1193" s="181"/>
      <c r="E1193" s="181"/>
      <c r="F1193" s="181"/>
      <c r="G1193" s="181"/>
      <c r="H1193" s="181"/>
      <c r="I1193" s="181"/>
      <c r="J1193" s="181"/>
      <c r="K1193" s="181"/>
      <c r="L1193" s="181"/>
      <c r="M1193" s="181"/>
      <c r="N1193" s="181"/>
      <c r="O1193" s="181"/>
      <c r="P1193" s="181"/>
    </row>
    <row r="1194">
      <c r="B1194" s="292"/>
      <c r="C1194" s="181"/>
      <c r="D1194" s="181"/>
      <c r="E1194" s="181"/>
      <c r="F1194" s="181"/>
      <c r="G1194" s="181"/>
      <c r="H1194" s="181"/>
      <c r="I1194" s="181"/>
      <c r="J1194" s="181"/>
      <c r="K1194" s="181"/>
      <c r="L1194" s="181"/>
      <c r="M1194" s="181"/>
      <c r="N1194" s="181"/>
      <c r="O1194" s="181"/>
      <c r="P1194" s="181"/>
    </row>
    <row r="1195">
      <c r="B1195" s="292"/>
      <c r="C1195" s="181"/>
      <c r="D1195" s="181"/>
      <c r="E1195" s="181"/>
      <c r="F1195" s="181"/>
      <c r="G1195" s="181"/>
      <c r="H1195" s="181"/>
      <c r="I1195" s="181"/>
      <c r="J1195" s="181"/>
      <c r="K1195" s="181"/>
      <c r="L1195" s="181"/>
      <c r="M1195" s="181"/>
      <c r="N1195" s="181"/>
      <c r="O1195" s="181"/>
      <c r="P1195" s="181"/>
    </row>
    <row r="1196">
      <c r="B1196" s="292"/>
      <c r="C1196" s="181"/>
      <c r="D1196" s="181"/>
      <c r="E1196" s="181"/>
      <c r="F1196" s="181"/>
      <c r="G1196" s="181"/>
      <c r="H1196" s="181"/>
      <c r="I1196" s="181"/>
      <c r="J1196" s="181"/>
      <c r="K1196" s="181"/>
      <c r="L1196" s="181"/>
      <c r="M1196" s="181"/>
      <c r="N1196" s="181"/>
      <c r="O1196" s="181"/>
      <c r="P1196" s="181"/>
    </row>
    <row r="1197">
      <c r="B1197" s="292"/>
      <c r="C1197" s="181"/>
      <c r="D1197" s="181"/>
      <c r="E1197" s="181"/>
      <c r="F1197" s="181"/>
      <c r="G1197" s="181"/>
      <c r="H1197" s="181"/>
      <c r="I1197" s="181"/>
      <c r="J1197" s="181"/>
      <c r="K1197" s="181"/>
      <c r="L1197" s="181"/>
      <c r="M1197" s="181"/>
      <c r="N1197" s="181"/>
      <c r="O1197" s="181"/>
      <c r="P1197" s="181"/>
    </row>
    <row r="1198">
      <c r="B1198" s="292"/>
      <c r="C1198" s="181"/>
      <c r="D1198" s="181"/>
      <c r="E1198" s="181"/>
      <c r="F1198" s="181"/>
      <c r="G1198" s="181"/>
      <c r="H1198" s="181"/>
      <c r="I1198" s="181"/>
      <c r="J1198" s="181"/>
      <c r="K1198" s="181"/>
      <c r="L1198" s="181"/>
      <c r="M1198" s="181"/>
      <c r="N1198" s="181"/>
      <c r="O1198" s="181"/>
      <c r="P1198" s="181"/>
    </row>
    <row r="1199">
      <c r="B1199" s="292"/>
      <c r="C1199" s="181"/>
      <c r="D1199" s="181"/>
      <c r="E1199" s="181"/>
      <c r="F1199" s="181"/>
      <c r="G1199" s="181"/>
      <c r="H1199" s="181"/>
      <c r="I1199" s="181"/>
      <c r="J1199" s="181"/>
      <c r="K1199" s="181"/>
      <c r="L1199" s="181"/>
      <c r="M1199" s="181"/>
      <c r="N1199" s="181"/>
      <c r="O1199" s="181"/>
      <c r="P1199" s="181"/>
    </row>
    <row r="1200">
      <c r="B1200" s="292"/>
      <c r="C1200" s="181"/>
      <c r="D1200" s="181"/>
      <c r="E1200" s="181"/>
      <c r="F1200" s="181"/>
      <c r="G1200" s="181"/>
      <c r="H1200" s="181"/>
      <c r="I1200" s="181"/>
      <c r="J1200" s="181"/>
      <c r="K1200" s="181"/>
      <c r="L1200" s="181"/>
      <c r="M1200" s="181"/>
      <c r="N1200" s="181"/>
      <c r="O1200" s="181"/>
      <c r="P1200" s="181"/>
    </row>
    <row r="1201">
      <c r="B1201" s="292"/>
      <c r="C1201" s="181"/>
      <c r="D1201" s="181"/>
      <c r="E1201" s="181"/>
      <c r="F1201" s="181"/>
      <c r="G1201" s="181"/>
      <c r="H1201" s="181"/>
      <c r="I1201" s="181"/>
      <c r="J1201" s="181"/>
      <c r="K1201" s="181"/>
      <c r="L1201" s="181"/>
      <c r="M1201" s="181"/>
      <c r="N1201" s="181"/>
      <c r="O1201" s="181"/>
      <c r="P1201" s="181"/>
    </row>
    <row r="1202">
      <c r="B1202" s="292"/>
      <c r="C1202" s="181"/>
      <c r="D1202" s="181"/>
      <c r="E1202" s="181"/>
      <c r="F1202" s="181"/>
      <c r="G1202" s="181"/>
      <c r="H1202" s="181"/>
      <c r="I1202" s="181"/>
      <c r="J1202" s="181"/>
      <c r="K1202" s="181"/>
      <c r="L1202" s="181"/>
      <c r="M1202" s="181"/>
      <c r="N1202" s="181"/>
      <c r="O1202" s="181"/>
      <c r="P1202" s="181"/>
    </row>
    <row r="1203">
      <c r="B1203" s="292"/>
      <c r="C1203" s="181"/>
      <c r="D1203" s="181"/>
      <c r="E1203" s="181"/>
      <c r="F1203" s="181"/>
      <c r="G1203" s="181"/>
      <c r="H1203" s="181"/>
      <c r="I1203" s="181"/>
      <c r="J1203" s="181"/>
      <c r="K1203" s="181"/>
      <c r="L1203" s="181"/>
      <c r="M1203" s="181"/>
      <c r="N1203" s="181"/>
      <c r="O1203" s="181"/>
      <c r="P1203" s="181"/>
    </row>
    <row r="1204">
      <c r="B1204" s="292"/>
      <c r="C1204" s="181"/>
      <c r="D1204" s="181"/>
      <c r="E1204" s="181"/>
      <c r="F1204" s="181"/>
      <c r="G1204" s="181"/>
      <c r="H1204" s="181"/>
      <c r="I1204" s="181"/>
      <c r="J1204" s="181"/>
      <c r="K1204" s="181"/>
      <c r="L1204" s="181"/>
      <c r="M1204" s="181"/>
      <c r="N1204" s="181"/>
      <c r="O1204" s="181"/>
      <c r="P1204" s="181"/>
    </row>
    <row r="1205">
      <c r="B1205" s="292"/>
      <c r="C1205" s="181"/>
      <c r="D1205" s="181"/>
      <c r="E1205" s="181"/>
      <c r="F1205" s="181"/>
      <c r="G1205" s="181"/>
      <c r="H1205" s="181"/>
      <c r="I1205" s="181"/>
      <c r="J1205" s="181"/>
      <c r="K1205" s="181"/>
      <c r="L1205" s="181"/>
      <c r="M1205" s="181"/>
      <c r="N1205" s="181"/>
      <c r="O1205" s="181"/>
      <c r="P1205" s="181"/>
    </row>
    <row r="1206">
      <c r="B1206" s="292"/>
      <c r="C1206" s="181"/>
      <c r="D1206" s="181"/>
      <c r="E1206" s="181"/>
      <c r="F1206" s="181"/>
      <c r="G1206" s="181"/>
      <c r="H1206" s="181"/>
      <c r="I1206" s="181"/>
      <c r="J1206" s="181"/>
      <c r="K1206" s="181"/>
      <c r="L1206" s="181"/>
      <c r="M1206" s="181"/>
      <c r="N1206" s="181"/>
      <c r="O1206" s="181"/>
      <c r="P1206" s="181"/>
    </row>
    <row r="1207">
      <c r="B1207" s="292"/>
      <c r="C1207" s="181"/>
      <c r="D1207" s="181"/>
      <c r="E1207" s="181"/>
      <c r="F1207" s="181"/>
      <c r="G1207" s="181"/>
      <c r="H1207" s="181"/>
      <c r="I1207" s="181"/>
      <c r="J1207" s="181"/>
      <c r="K1207" s="181"/>
      <c r="L1207" s="181"/>
      <c r="M1207" s="181"/>
      <c r="N1207" s="181"/>
      <c r="O1207" s="181"/>
      <c r="P1207" s="181"/>
    </row>
    <row r="1208">
      <c r="B1208" s="292"/>
      <c r="C1208" s="181"/>
      <c r="D1208" s="181"/>
      <c r="E1208" s="181"/>
      <c r="F1208" s="181"/>
      <c r="G1208" s="181"/>
      <c r="H1208" s="181"/>
      <c r="I1208" s="181"/>
      <c r="J1208" s="181"/>
      <c r="K1208" s="181"/>
      <c r="L1208" s="181"/>
      <c r="M1208" s="181"/>
      <c r="N1208" s="181"/>
      <c r="O1208" s="181"/>
      <c r="P1208" s="181"/>
    </row>
    <row r="1209">
      <c r="B1209" s="292"/>
      <c r="C1209" s="181"/>
      <c r="D1209" s="181"/>
      <c r="E1209" s="181"/>
      <c r="F1209" s="181"/>
      <c r="G1209" s="181"/>
      <c r="H1209" s="181"/>
      <c r="I1209" s="181"/>
      <c r="J1209" s="181"/>
      <c r="K1209" s="181"/>
      <c r="L1209" s="181"/>
      <c r="M1209" s="181"/>
      <c r="N1209" s="181"/>
      <c r="O1209" s="181"/>
      <c r="P1209" s="181"/>
    </row>
    <row r="1210">
      <c r="B1210" s="292"/>
      <c r="C1210" s="181"/>
      <c r="D1210" s="181"/>
      <c r="E1210" s="181"/>
      <c r="F1210" s="181"/>
      <c r="G1210" s="181"/>
      <c r="H1210" s="181"/>
      <c r="I1210" s="181"/>
      <c r="J1210" s="181"/>
      <c r="K1210" s="181"/>
      <c r="L1210" s="181"/>
      <c r="M1210" s="181"/>
      <c r="N1210" s="181"/>
      <c r="O1210" s="181"/>
      <c r="P1210" s="181"/>
    </row>
    <row r="1211">
      <c r="B1211" s="292"/>
      <c r="C1211" s="181"/>
      <c r="D1211" s="181"/>
      <c r="E1211" s="181"/>
      <c r="F1211" s="181"/>
      <c r="G1211" s="181"/>
      <c r="H1211" s="181"/>
      <c r="I1211" s="181"/>
      <c r="J1211" s="181"/>
      <c r="K1211" s="181"/>
      <c r="L1211" s="181"/>
      <c r="M1211" s="181"/>
      <c r="N1211" s="181"/>
      <c r="O1211" s="181"/>
      <c r="P1211" s="181"/>
    </row>
    <row r="1212">
      <c r="B1212" s="292"/>
      <c r="C1212" s="181"/>
      <c r="D1212" s="181"/>
      <c r="E1212" s="181"/>
      <c r="F1212" s="181"/>
      <c r="G1212" s="181"/>
      <c r="H1212" s="181"/>
      <c r="I1212" s="181"/>
      <c r="J1212" s="181"/>
      <c r="K1212" s="181"/>
      <c r="L1212" s="181"/>
      <c r="M1212" s="181"/>
      <c r="N1212" s="181"/>
      <c r="O1212" s="181"/>
      <c r="P1212" s="181"/>
    </row>
    <row r="1213">
      <c r="B1213" s="292"/>
      <c r="C1213" s="181"/>
      <c r="D1213" s="181"/>
      <c r="E1213" s="181"/>
      <c r="F1213" s="181"/>
      <c r="G1213" s="181"/>
      <c r="H1213" s="181"/>
      <c r="I1213" s="181"/>
      <c r="J1213" s="181"/>
      <c r="K1213" s="181"/>
      <c r="L1213" s="181"/>
      <c r="M1213" s="181"/>
      <c r="N1213" s="181"/>
      <c r="O1213" s="181"/>
      <c r="P1213" s="181"/>
    </row>
    <row r="1214">
      <c r="B1214" s="292"/>
      <c r="C1214" s="181"/>
      <c r="D1214" s="181"/>
      <c r="E1214" s="181"/>
      <c r="F1214" s="181"/>
      <c r="G1214" s="181"/>
      <c r="H1214" s="181"/>
      <c r="I1214" s="181"/>
      <c r="J1214" s="181"/>
      <c r="K1214" s="181"/>
      <c r="L1214" s="181"/>
      <c r="M1214" s="181"/>
      <c r="N1214" s="181"/>
      <c r="O1214" s="181"/>
      <c r="P1214" s="181"/>
    </row>
    <row r="1215">
      <c r="B1215" s="292"/>
      <c r="C1215" s="181"/>
      <c r="D1215" s="181"/>
      <c r="E1215" s="181"/>
      <c r="F1215" s="181"/>
      <c r="G1215" s="181"/>
      <c r="H1215" s="181"/>
      <c r="I1215" s="181"/>
      <c r="J1215" s="181"/>
      <c r="K1215" s="181"/>
      <c r="L1215" s="181"/>
      <c r="M1215" s="181"/>
      <c r="N1215" s="181"/>
      <c r="O1215" s="181"/>
      <c r="P1215" s="181"/>
    </row>
    <row r="1216">
      <c r="B1216" s="292"/>
      <c r="C1216" s="181"/>
      <c r="D1216" s="181"/>
      <c r="E1216" s="181"/>
      <c r="F1216" s="181"/>
      <c r="G1216" s="181"/>
      <c r="H1216" s="181"/>
      <c r="I1216" s="181"/>
      <c r="J1216" s="181"/>
      <c r="K1216" s="181"/>
      <c r="L1216" s="181"/>
      <c r="M1216" s="181"/>
      <c r="N1216" s="181"/>
      <c r="O1216" s="181"/>
      <c r="P1216" s="181"/>
    </row>
    <row r="1217">
      <c r="B1217" s="292"/>
      <c r="C1217" s="181"/>
      <c r="D1217" s="181"/>
      <c r="E1217" s="181"/>
      <c r="F1217" s="181"/>
      <c r="G1217" s="181"/>
      <c r="H1217" s="181"/>
      <c r="I1217" s="181"/>
      <c r="J1217" s="181"/>
      <c r="K1217" s="181"/>
      <c r="L1217" s="181"/>
      <c r="M1217" s="181"/>
      <c r="N1217" s="181"/>
      <c r="O1217" s="181"/>
      <c r="P1217" s="181"/>
    </row>
    <row r="1218">
      <c r="B1218" s="292"/>
      <c r="C1218" s="181"/>
      <c r="D1218" s="181"/>
      <c r="E1218" s="181"/>
      <c r="F1218" s="181"/>
      <c r="G1218" s="181"/>
      <c r="H1218" s="181"/>
      <c r="I1218" s="181"/>
      <c r="J1218" s="181"/>
      <c r="K1218" s="181"/>
      <c r="L1218" s="181"/>
      <c r="M1218" s="181"/>
      <c r="N1218" s="181"/>
      <c r="O1218" s="181"/>
      <c r="P1218" s="181"/>
    </row>
    <row r="1219">
      <c r="B1219" s="292"/>
      <c r="C1219" s="181"/>
      <c r="D1219" s="181"/>
      <c r="E1219" s="181"/>
      <c r="F1219" s="181"/>
      <c r="G1219" s="181"/>
      <c r="H1219" s="181"/>
      <c r="I1219" s="181"/>
      <c r="J1219" s="181"/>
      <c r="K1219" s="181"/>
      <c r="L1219" s="181"/>
      <c r="M1219" s="181"/>
      <c r="N1219" s="181"/>
      <c r="O1219" s="181"/>
      <c r="P1219" s="181"/>
    </row>
    <row r="1220">
      <c r="B1220" s="292"/>
      <c r="C1220" s="181"/>
      <c r="D1220" s="181"/>
      <c r="E1220" s="181"/>
      <c r="F1220" s="181"/>
      <c r="G1220" s="181"/>
      <c r="H1220" s="181"/>
      <c r="I1220" s="181"/>
      <c r="J1220" s="181"/>
      <c r="K1220" s="181"/>
      <c r="L1220" s="181"/>
      <c r="M1220" s="181"/>
      <c r="N1220" s="181"/>
      <c r="O1220" s="181"/>
      <c r="P1220" s="181"/>
    </row>
    <row r="1221">
      <c r="B1221" s="292"/>
      <c r="C1221" s="181"/>
      <c r="D1221" s="181"/>
      <c r="E1221" s="181"/>
      <c r="F1221" s="181"/>
      <c r="G1221" s="181"/>
      <c r="H1221" s="181"/>
      <c r="I1221" s="181"/>
      <c r="J1221" s="181"/>
      <c r="K1221" s="181"/>
      <c r="L1221" s="181"/>
      <c r="M1221" s="181"/>
      <c r="N1221" s="181"/>
      <c r="O1221" s="181"/>
      <c r="P1221" s="181"/>
    </row>
    <row r="1222">
      <c r="B1222" s="292"/>
      <c r="C1222" s="181"/>
      <c r="D1222" s="181"/>
      <c r="E1222" s="181"/>
      <c r="F1222" s="181"/>
      <c r="G1222" s="181"/>
      <c r="H1222" s="181"/>
      <c r="I1222" s="181"/>
      <c r="J1222" s="181"/>
      <c r="K1222" s="181"/>
      <c r="L1222" s="181"/>
      <c r="M1222" s="181"/>
      <c r="N1222" s="181"/>
      <c r="O1222" s="181"/>
      <c r="P1222" s="181"/>
    </row>
    <row r="1223">
      <c r="B1223" s="292"/>
      <c r="C1223" s="181"/>
      <c r="D1223" s="181"/>
      <c r="E1223" s="181"/>
      <c r="F1223" s="181"/>
      <c r="G1223" s="181"/>
      <c r="H1223" s="181"/>
      <c r="I1223" s="181"/>
      <c r="J1223" s="181"/>
      <c r="K1223" s="181"/>
      <c r="L1223" s="181"/>
      <c r="M1223" s="181"/>
      <c r="N1223" s="181"/>
      <c r="O1223" s="181"/>
      <c r="P1223" s="181"/>
    </row>
    <row r="1224">
      <c r="B1224" s="292"/>
      <c r="C1224" s="181"/>
      <c r="D1224" s="181"/>
      <c r="E1224" s="181"/>
      <c r="F1224" s="181"/>
      <c r="G1224" s="181"/>
      <c r="H1224" s="181"/>
      <c r="I1224" s="181"/>
      <c r="J1224" s="181"/>
      <c r="K1224" s="181"/>
      <c r="L1224" s="181"/>
      <c r="M1224" s="181"/>
      <c r="N1224" s="181"/>
      <c r="O1224" s="181"/>
      <c r="P1224" s="181"/>
    </row>
    <row r="1225">
      <c r="B1225" s="292"/>
      <c r="C1225" s="181"/>
      <c r="D1225" s="181"/>
      <c r="E1225" s="181"/>
      <c r="F1225" s="181"/>
      <c r="G1225" s="181"/>
      <c r="H1225" s="181"/>
      <c r="I1225" s="181"/>
      <c r="J1225" s="181"/>
      <c r="K1225" s="181"/>
      <c r="L1225" s="181"/>
      <c r="M1225" s="181"/>
      <c r="N1225" s="181"/>
      <c r="O1225" s="181"/>
      <c r="P1225" s="181"/>
    </row>
    <row r="1226">
      <c r="B1226" s="292"/>
      <c r="C1226" s="181"/>
      <c r="D1226" s="181"/>
      <c r="E1226" s="181"/>
      <c r="F1226" s="181"/>
      <c r="G1226" s="181"/>
      <c r="H1226" s="181"/>
      <c r="I1226" s="181"/>
      <c r="J1226" s="181"/>
      <c r="K1226" s="181"/>
      <c r="L1226" s="181"/>
      <c r="M1226" s="181"/>
      <c r="N1226" s="181"/>
      <c r="O1226" s="181"/>
      <c r="P1226" s="181"/>
    </row>
    <row r="1227">
      <c r="B1227" s="292"/>
      <c r="C1227" s="181"/>
      <c r="D1227" s="181"/>
      <c r="E1227" s="181"/>
      <c r="F1227" s="181"/>
      <c r="G1227" s="181"/>
      <c r="H1227" s="181"/>
      <c r="I1227" s="181"/>
      <c r="J1227" s="181"/>
      <c r="K1227" s="181"/>
      <c r="L1227" s="181"/>
      <c r="M1227" s="181"/>
      <c r="N1227" s="181"/>
      <c r="O1227" s="181"/>
      <c r="P1227" s="181"/>
    </row>
    <row r="1228">
      <c r="B1228" s="292"/>
      <c r="C1228" s="181"/>
      <c r="D1228" s="181"/>
      <c r="E1228" s="181"/>
      <c r="F1228" s="181"/>
      <c r="G1228" s="181"/>
      <c r="H1228" s="181"/>
      <c r="I1228" s="181"/>
      <c r="J1228" s="181"/>
      <c r="K1228" s="181"/>
      <c r="L1228" s="181"/>
      <c r="M1228" s="181"/>
      <c r="N1228" s="181"/>
      <c r="O1228" s="181"/>
      <c r="P1228" s="181"/>
    </row>
    <row r="1229">
      <c r="B1229" s="292"/>
      <c r="C1229" s="181"/>
      <c r="D1229" s="181"/>
      <c r="E1229" s="181"/>
      <c r="F1229" s="181"/>
      <c r="G1229" s="181"/>
      <c r="H1229" s="181"/>
      <c r="I1229" s="181"/>
      <c r="J1229" s="181"/>
      <c r="K1229" s="181"/>
      <c r="L1229" s="181"/>
      <c r="M1229" s="181"/>
      <c r="N1229" s="181"/>
      <c r="O1229" s="181"/>
      <c r="P1229" s="181"/>
    </row>
    <row r="1230">
      <c r="B1230" s="292"/>
      <c r="C1230" s="181"/>
      <c r="D1230" s="181"/>
      <c r="E1230" s="181"/>
      <c r="F1230" s="181"/>
      <c r="G1230" s="181"/>
      <c r="H1230" s="181"/>
      <c r="I1230" s="181"/>
      <c r="J1230" s="181"/>
      <c r="K1230" s="181"/>
      <c r="L1230" s="181"/>
      <c r="M1230" s="181"/>
      <c r="N1230" s="181"/>
      <c r="O1230" s="181"/>
      <c r="P1230" s="181"/>
    </row>
    <row r="1231">
      <c r="B1231" s="292"/>
      <c r="C1231" s="181"/>
      <c r="D1231" s="181"/>
      <c r="E1231" s="181"/>
      <c r="F1231" s="181"/>
      <c r="G1231" s="181"/>
      <c r="H1231" s="181"/>
      <c r="I1231" s="181"/>
      <c r="J1231" s="181"/>
      <c r="K1231" s="181"/>
      <c r="L1231" s="181"/>
      <c r="M1231" s="181"/>
      <c r="N1231" s="181"/>
      <c r="O1231" s="181"/>
      <c r="P1231" s="181"/>
    </row>
    <row r="1232">
      <c r="B1232" s="292"/>
      <c r="C1232" s="181"/>
      <c r="D1232" s="181"/>
      <c r="E1232" s="181"/>
      <c r="F1232" s="181"/>
      <c r="G1232" s="181"/>
      <c r="H1232" s="181"/>
      <c r="I1232" s="181"/>
      <c r="J1232" s="181"/>
      <c r="K1232" s="181"/>
      <c r="L1232" s="181"/>
      <c r="M1232" s="181"/>
      <c r="N1232" s="181"/>
      <c r="O1232" s="181"/>
      <c r="P1232" s="181"/>
    </row>
    <row r="1233">
      <c r="B1233" s="292"/>
      <c r="C1233" s="181"/>
      <c r="D1233" s="181"/>
      <c r="E1233" s="181"/>
      <c r="F1233" s="181"/>
      <c r="G1233" s="181"/>
      <c r="H1233" s="181"/>
      <c r="I1233" s="181"/>
      <c r="J1233" s="181"/>
      <c r="K1233" s="181"/>
      <c r="L1233" s="181"/>
      <c r="M1233" s="181"/>
      <c r="N1233" s="181"/>
      <c r="O1233" s="181"/>
      <c r="P1233" s="181"/>
    </row>
    <row r="1234">
      <c r="B1234" s="292"/>
      <c r="C1234" s="181"/>
      <c r="D1234" s="181"/>
      <c r="E1234" s="181"/>
      <c r="F1234" s="181"/>
      <c r="G1234" s="181"/>
      <c r="H1234" s="181"/>
      <c r="I1234" s="181"/>
      <c r="J1234" s="181"/>
      <c r="K1234" s="181"/>
      <c r="L1234" s="181"/>
      <c r="M1234" s="181"/>
      <c r="N1234" s="181"/>
      <c r="O1234" s="181"/>
      <c r="P1234" s="181"/>
    </row>
    <row r="1235">
      <c r="B1235" s="292"/>
      <c r="C1235" s="181"/>
      <c r="D1235" s="181"/>
      <c r="E1235" s="181"/>
      <c r="F1235" s="181"/>
      <c r="G1235" s="181"/>
      <c r="H1235" s="181"/>
      <c r="I1235" s="181"/>
      <c r="J1235" s="181"/>
      <c r="K1235" s="181"/>
      <c r="L1235" s="181"/>
      <c r="M1235" s="181"/>
      <c r="N1235" s="181"/>
      <c r="O1235" s="181"/>
      <c r="P1235" s="181"/>
    </row>
    <row r="1236">
      <c r="B1236" s="292"/>
      <c r="C1236" s="181"/>
      <c r="D1236" s="181"/>
      <c r="E1236" s="181"/>
      <c r="F1236" s="181"/>
      <c r="G1236" s="181"/>
      <c r="H1236" s="181"/>
      <c r="I1236" s="181"/>
      <c r="J1236" s="181"/>
      <c r="K1236" s="181"/>
      <c r="L1236" s="181"/>
      <c r="M1236" s="181"/>
      <c r="N1236" s="181"/>
      <c r="O1236" s="181"/>
      <c r="P1236" s="181"/>
    </row>
    <row r="1237">
      <c r="B1237" s="292"/>
      <c r="C1237" s="181"/>
      <c r="D1237" s="181"/>
      <c r="E1237" s="181"/>
      <c r="F1237" s="181"/>
      <c r="G1237" s="181"/>
      <c r="H1237" s="181"/>
      <c r="I1237" s="181"/>
      <c r="J1237" s="181"/>
      <c r="K1237" s="181"/>
      <c r="L1237" s="181"/>
      <c r="M1237" s="181"/>
      <c r="N1237" s="181"/>
      <c r="O1237" s="181"/>
      <c r="P1237" s="181"/>
    </row>
    <row r="1238">
      <c r="B1238" s="292"/>
      <c r="C1238" s="181"/>
      <c r="D1238" s="181"/>
      <c r="E1238" s="181"/>
      <c r="F1238" s="181"/>
      <c r="G1238" s="181"/>
      <c r="H1238" s="181"/>
      <c r="I1238" s="181"/>
      <c r="J1238" s="181"/>
      <c r="K1238" s="181"/>
      <c r="L1238" s="181"/>
      <c r="M1238" s="181"/>
      <c r="N1238" s="181"/>
      <c r="O1238" s="181"/>
      <c r="P1238" s="181"/>
    </row>
    <row r="1239">
      <c r="B1239" s="292"/>
      <c r="C1239" s="181"/>
      <c r="D1239" s="181"/>
      <c r="E1239" s="181"/>
      <c r="F1239" s="181"/>
      <c r="G1239" s="181"/>
      <c r="H1239" s="181"/>
      <c r="I1239" s="181"/>
      <c r="J1239" s="181"/>
      <c r="K1239" s="181"/>
      <c r="L1239" s="181"/>
      <c r="M1239" s="181"/>
      <c r="N1239" s="181"/>
      <c r="O1239" s="181"/>
      <c r="P1239" s="181"/>
    </row>
    <row r="1240">
      <c r="B1240" s="292"/>
      <c r="C1240" s="181"/>
      <c r="D1240" s="181"/>
      <c r="E1240" s="181"/>
      <c r="F1240" s="181"/>
      <c r="G1240" s="181"/>
      <c r="H1240" s="181"/>
      <c r="I1240" s="181"/>
      <c r="J1240" s="181"/>
      <c r="K1240" s="181"/>
      <c r="L1240" s="181"/>
      <c r="M1240" s="181"/>
      <c r="N1240" s="181"/>
      <c r="O1240" s="181"/>
      <c r="P1240" s="181"/>
    </row>
    <row r="1241">
      <c r="B1241" s="292"/>
      <c r="C1241" s="181"/>
      <c r="D1241" s="181"/>
      <c r="E1241" s="181"/>
      <c r="F1241" s="181"/>
      <c r="G1241" s="181"/>
      <c r="H1241" s="181"/>
      <c r="I1241" s="181"/>
      <c r="J1241" s="181"/>
      <c r="K1241" s="181"/>
      <c r="L1241" s="181"/>
      <c r="M1241" s="181"/>
      <c r="N1241" s="181"/>
      <c r="O1241" s="181"/>
      <c r="P1241" s="181"/>
    </row>
    <row r="1242">
      <c r="B1242" s="292"/>
      <c r="C1242" s="181"/>
      <c r="D1242" s="181"/>
      <c r="E1242" s="181"/>
      <c r="F1242" s="181"/>
      <c r="G1242" s="181"/>
      <c r="H1242" s="181"/>
      <c r="I1242" s="181"/>
      <c r="J1242" s="181"/>
      <c r="K1242" s="181"/>
      <c r="L1242" s="181"/>
      <c r="M1242" s="181"/>
      <c r="N1242" s="181"/>
      <c r="O1242" s="181"/>
      <c r="P1242" s="181"/>
    </row>
    <row r="1243">
      <c r="B1243" s="292"/>
      <c r="C1243" s="181"/>
      <c r="D1243" s="181"/>
      <c r="E1243" s="181"/>
      <c r="F1243" s="181"/>
      <c r="G1243" s="181"/>
      <c r="H1243" s="181"/>
      <c r="I1243" s="181"/>
      <c r="J1243" s="181"/>
      <c r="K1243" s="181"/>
      <c r="L1243" s="181"/>
      <c r="M1243" s="181"/>
      <c r="N1243" s="181"/>
      <c r="O1243" s="181"/>
      <c r="P1243" s="181"/>
    </row>
    <row r="1244">
      <c r="B1244" s="292"/>
      <c r="C1244" s="181"/>
      <c r="D1244" s="181"/>
      <c r="E1244" s="181"/>
      <c r="F1244" s="181"/>
      <c r="G1244" s="181"/>
      <c r="H1244" s="181"/>
      <c r="I1244" s="181"/>
      <c r="J1244" s="181"/>
      <c r="K1244" s="181"/>
      <c r="L1244" s="181"/>
      <c r="M1244" s="181"/>
      <c r="N1244" s="181"/>
      <c r="O1244" s="181"/>
      <c r="P1244" s="181"/>
    </row>
    <row r="1245">
      <c r="B1245" s="292"/>
      <c r="C1245" s="181"/>
      <c r="D1245" s="181"/>
      <c r="E1245" s="181"/>
      <c r="F1245" s="181"/>
      <c r="G1245" s="181"/>
      <c r="H1245" s="181"/>
      <c r="I1245" s="181"/>
      <c r="J1245" s="181"/>
      <c r="K1245" s="181"/>
      <c r="L1245" s="181"/>
      <c r="M1245" s="181"/>
      <c r="N1245" s="181"/>
      <c r="O1245" s="181"/>
      <c r="P1245" s="181"/>
    </row>
    <row r="1246">
      <c r="B1246" s="292"/>
      <c r="C1246" s="181"/>
      <c r="D1246" s="181"/>
      <c r="E1246" s="181"/>
      <c r="F1246" s="181"/>
      <c r="G1246" s="181"/>
      <c r="H1246" s="181"/>
      <c r="I1246" s="181"/>
      <c r="J1246" s="181"/>
      <c r="K1246" s="181"/>
      <c r="L1246" s="181"/>
      <c r="M1246" s="181"/>
      <c r="N1246" s="181"/>
      <c r="O1246" s="181"/>
      <c r="P1246" s="181"/>
    </row>
    <row r="1247">
      <c r="B1247" s="292"/>
      <c r="C1247" s="181"/>
      <c r="D1247" s="181"/>
      <c r="E1247" s="181"/>
      <c r="F1247" s="181"/>
      <c r="G1247" s="181"/>
      <c r="H1247" s="181"/>
      <c r="I1247" s="181"/>
      <c r="J1247" s="181"/>
      <c r="K1247" s="181"/>
      <c r="L1247" s="181"/>
      <c r="M1247" s="181"/>
      <c r="N1247" s="181"/>
      <c r="O1247" s="181"/>
      <c r="P1247" s="181"/>
    </row>
    <row r="1248">
      <c r="B1248" s="292"/>
      <c r="C1248" s="181"/>
      <c r="D1248" s="181"/>
      <c r="E1248" s="181"/>
      <c r="F1248" s="181"/>
      <c r="G1248" s="181"/>
      <c r="H1248" s="181"/>
      <c r="I1248" s="181"/>
      <c r="J1248" s="181"/>
      <c r="K1248" s="181"/>
      <c r="L1248" s="181"/>
      <c r="M1248" s="181"/>
      <c r="N1248" s="181"/>
      <c r="O1248" s="181"/>
      <c r="P1248" s="181"/>
    </row>
    <row r="1249">
      <c r="B1249" s="292"/>
      <c r="C1249" s="181"/>
      <c r="D1249" s="181"/>
      <c r="E1249" s="181"/>
      <c r="F1249" s="181"/>
      <c r="G1249" s="181"/>
      <c r="H1249" s="181"/>
      <c r="I1249" s="181"/>
      <c r="J1249" s="181"/>
      <c r="K1249" s="181"/>
      <c r="L1249" s="181"/>
      <c r="M1249" s="181"/>
      <c r="N1249" s="181"/>
      <c r="O1249" s="181"/>
      <c r="P1249" s="181"/>
    </row>
    <row r="1250">
      <c r="B1250" s="292"/>
      <c r="C1250" s="181"/>
      <c r="D1250" s="181"/>
      <c r="E1250" s="181"/>
      <c r="F1250" s="181"/>
      <c r="G1250" s="181"/>
      <c r="H1250" s="181"/>
      <c r="I1250" s="181"/>
      <c r="J1250" s="181"/>
      <c r="K1250" s="181"/>
      <c r="L1250" s="181"/>
      <c r="M1250" s="181"/>
      <c r="N1250" s="181"/>
      <c r="O1250" s="181"/>
      <c r="P1250" s="181"/>
    </row>
    <row r="1251">
      <c r="B1251" s="292"/>
      <c r="C1251" s="181"/>
      <c r="D1251" s="181"/>
      <c r="E1251" s="181"/>
      <c r="F1251" s="181"/>
      <c r="G1251" s="181"/>
      <c r="H1251" s="181"/>
      <c r="I1251" s="181"/>
      <c r="J1251" s="181"/>
      <c r="K1251" s="181"/>
      <c r="L1251" s="181"/>
      <c r="M1251" s="181"/>
      <c r="N1251" s="181"/>
      <c r="O1251" s="181"/>
      <c r="P1251" s="181"/>
    </row>
    <row r="1252">
      <c r="B1252" s="292"/>
      <c r="C1252" s="181"/>
      <c r="D1252" s="181"/>
      <c r="E1252" s="181"/>
      <c r="F1252" s="181"/>
      <c r="G1252" s="181"/>
      <c r="H1252" s="181"/>
      <c r="I1252" s="181"/>
      <c r="J1252" s="181"/>
      <c r="K1252" s="181"/>
      <c r="L1252" s="181"/>
      <c r="M1252" s="181"/>
      <c r="N1252" s="181"/>
      <c r="O1252" s="181"/>
      <c r="P1252" s="181"/>
    </row>
    <row r="1253">
      <c r="B1253" s="292"/>
      <c r="C1253" s="181"/>
      <c r="D1253" s="181"/>
      <c r="E1253" s="181"/>
      <c r="F1253" s="181"/>
      <c r="G1253" s="181"/>
      <c r="H1253" s="181"/>
      <c r="I1253" s="181"/>
      <c r="J1253" s="181"/>
      <c r="K1253" s="181"/>
      <c r="L1253" s="181"/>
      <c r="M1253" s="181"/>
      <c r="N1253" s="181"/>
      <c r="O1253" s="181"/>
      <c r="P1253" s="181"/>
    </row>
    <row r="1254">
      <c r="B1254" s="292"/>
      <c r="C1254" s="181"/>
      <c r="D1254" s="181"/>
      <c r="E1254" s="181"/>
      <c r="F1254" s="181"/>
      <c r="G1254" s="181"/>
      <c r="H1254" s="181"/>
      <c r="I1254" s="181"/>
      <c r="J1254" s="181"/>
      <c r="K1254" s="181"/>
      <c r="L1254" s="181"/>
      <c r="M1254" s="181"/>
      <c r="N1254" s="181"/>
      <c r="O1254" s="181"/>
      <c r="P1254" s="181"/>
    </row>
    <row r="1255">
      <c r="B1255" s="292"/>
      <c r="C1255" s="181"/>
      <c r="D1255" s="181"/>
      <c r="E1255" s="181"/>
      <c r="F1255" s="181"/>
      <c r="G1255" s="181"/>
      <c r="H1255" s="181"/>
      <c r="I1255" s="181"/>
      <c r="J1255" s="181"/>
      <c r="K1255" s="181"/>
      <c r="L1255" s="181"/>
      <c r="M1255" s="181"/>
      <c r="N1255" s="181"/>
      <c r="O1255" s="181"/>
      <c r="P1255" s="181"/>
    </row>
    <row r="1256">
      <c r="B1256" s="292"/>
      <c r="C1256" s="181"/>
      <c r="D1256" s="181"/>
      <c r="E1256" s="181"/>
      <c r="F1256" s="181"/>
      <c r="G1256" s="181"/>
      <c r="H1256" s="181"/>
      <c r="I1256" s="181"/>
      <c r="J1256" s="181"/>
      <c r="K1256" s="181"/>
      <c r="L1256" s="181"/>
      <c r="M1256" s="181"/>
      <c r="N1256" s="181"/>
      <c r="O1256" s="181"/>
      <c r="P1256" s="181"/>
    </row>
    <row r="1257">
      <c r="B1257" s="292"/>
      <c r="C1257" s="181"/>
      <c r="D1257" s="181"/>
      <c r="E1257" s="181"/>
      <c r="F1257" s="181"/>
      <c r="G1257" s="181"/>
      <c r="H1257" s="181"/>
      <c r="I1257" s="181"/>
      <c r="J1257" s="181"/>
      <c r="K1257" s="181"/>
      <c r="L1257" s="181"/>
      <c r="M1257" s="181"/>
      <c r="N1257" s="181"/>
      <c r="O1257" s="181"/>
      <c r="P1257" s="181"/>
    </row>
    <row r="1258">
      <c r="B1258" s="292"/>
      <c r="C1258" s="181"/>
      <c r="D1258" s="181"/>
      <c r="E1258" s="181"/>
      <c r="F1258" s="181"/>
      <c r="G1258" s="181"/>
      <c r="H1258" s="181"/>
      <c r="I1258" s="181"/>
      <c r="J1258" s="181"/>
      <c r="K1258" s="181"/>
      <c r="L1258" s="181"/>
      <c r="M1258" s="181"/>
      <c r="N1258" s="181"/>
      <c r="O1258" s="181"/>
      <c r="P1258" s="181"/>
    </row>
    <row r="1259">
      <c r="B1259" s="292"/>
      <c r="C1259" s="181"/>
      <c r="D1259" s="181"/>
      <c r="E1259" s="181"/>
      <c r="F1259" s="181"/>
      <c r="G1259" s="181"/>
      <c r="H1259" s="181"/>
      <c r="I1259" s="181"/>
      <c r="J1259" s="181"/>
      <c r="K1259" s="181"/>
      <c r="L1259" s="181"/>
      <c r="M1259" s="181"/>
      <c r="N1259" s="181"/>
      <c r="O1259" s="181"/>
      <c r="P1259" s="181"/>
    </row>
    <row r="1260">
      <c r="B1260" s="292"/>
      <c r="C1260" s="181"/>
      <c r="D1260" s="181"/>
      <c r="E1260" s="181"/>
      <c r="F1260" s="181"/>
      <c r="G1260" s="181"/>
      <c r="H1260" s="181"/>
      <c r="I1260" s="181"/>
      <c r="J1260" s="181"/>
      <c r="K1260" s="181"/>
      <c r="L1260" s="181"/>
      <c r="M1260" s="181"/>
      <c r="N1260" s="181"/>
      <c r="O1260" s="181"/>
      <c r="P1260" s="181"/>
    </row>
    <row r="1261">
      <c r="B1261" s="292"/>
      <c r="C1261" s="181"/>
      <c r="D1261" s="181"/>
      <c r="E1261" s="181"/>
      <c r="F1261" s="181"/>
      <c r="G1261" s="181"/>
      <c r="H1261" s="181"/>
      <c r="I1261" s="181"/>
      <c r="J1261" s="181"/>
      <c r="K1261" s="181"/>
      <c r="L1261" s="181"/>
      <c r="M1261" s="181"/>
      <c r="N1261" s="181"/>
      <c r="O1261" s="181"/>
      <c r="P1261" s="181"/>
    </row>
    <row r="1262">
      <c r="B1262" s="292"/>
      <c r="C1262" s="181"/>
      <c r="D1262" s="181"/>
      <c r="E1262" s="181"/>
      <c r="F1262" s="181"/>
      <c r="G1262" s="181"/>
      <c r="H1262" s="181"/>
      <c r="I1262" s="181"/>
      <c r="J1262" s="181"/>
      <c r="K1262" s="181"/>
      <c r="L1262" s="181"/>
      <c r="M1262" s="181"/>
      <c r="N1262" s="181"/>
      <c r="O1262" s="181"/>
      <c r="P1262" s="181"/>
    </row>
    <row r="1263">
      <c r="B1263" s="292"/>
      <c r="C1263" s="181"/>
      <c r="D1263" s="181"/>
      <c r="E1263" s="181"/>
      <c r="F1263" s="181"/>
      <c r="G1263" s="181"/>
      <c r="H1263" s="181"/>
      <c r="I1263" s="181"/>
      <c r="J1263" s="181"/>
      <c r="K1263" s="181"/>
      <c r="L1263" s="181"/>
      <c r="M1263" s="181"/>
      <c r="N1263" s="181"/>
      <c r="O1263" s="181"/>
      <c r="P1263" s="181"/>
    </row>
    <row r="1264">
      <c r="B1264" s="292"/>
      <c r="C1264" s="181"/>
      <c r="D1264" s="181"/>
      <c r="E1264" s="181"/>
      <c r="F1264" s="181"/>
      <c r="G1264" s="181"/>
      <c r="H1264" s="181"/>
      <c r="I1264" s="181"/>
      <c r="J1264" s="181"/>
      <c r="K1264" s="181"/>
      <c r="L1264" s="181"/>
      <c r="M1264" s="181"/>
      <c r="N1264" s="181"/>
      <c r="O1264" s="181"/>
      <c r="P1264" s="181"/>
    </row>
    <row r="1265">
      <c r="B1265" s="292"/>
      <c r="C1265" s="181"/>
      <c r="D1265" s="181"/>
      <c r="E1265" s="181"/>
      <c r="F1265" s="181"/>
      <c r="G1265" s="181"/>
      <c r="H1265" s="181"/>
      <c r="I1265" s="181"/>
      <c r="J1265" s="181"/>
      <c r="K1265" s="181"/>
      <c r="L1265" s="181"/>
      <c r="M1265" s="181"/>
      <c r="N1265" s="181"/>
      <c r="O1265" s="181"/>
      <c r="P1265" s="181"/>
    </row>
    <row r="1266">
      <c r="B1266" s="292"/>
      <c r="C1266" s="181"/>
      <c r="D1266" s="181"/>
      <c r="E1266" s="181"/>
      <c r="F1266" s="181"/>
      <c r="G1266" s="181"/>
      <c r="H1266" s="181"/>
      <c r="I1266" s="181"/>
      <c r="J1266" s="181"/>
      <c r="K1266" s="181"/>
      <c r="L1266" s="181"/>
      <c r="M1266" s="181"/>
      <c r="N1266" s="181"/>
      <c r="O1266" s="181"/>
      <c r="P1266" s="181"/>
    </row>
    <row r="1267">
      <c r="B1267" s="292"/>
      <c r="C1267" s="181"/>
      <c r="D1267" s="181"/>
      <c r="E1267" s="181"/>
      <c r="F1267" s="181"/>
      <c r="G1267" s="181"/>
      <c r="H1267" s="181"/>
      <c r="I1267" s="181"/>
      <c r="J1267" s="181"/>
      <c r="K1267" s="181"/>
      <c r="L1267" s="181"/>
      <c r="M1267" s="181"/>
      <c r="N1267" s="181"/>
      <c r="O1267" s="181"/>
      <c r="P1267" s="181"/>
    </row>
    <row r="1268">
      <c r="B1268" s="292"/>
      <c r="C1268" s="181"/>
      <c r="D1268" s="181"/>
      <c r="E1268" s="181"/>
      <c r="F1268" s="181"/>
      <c r="G1268" s="181"/>
      <c r="H1268" s="181"/>
      <c r="I1268" s="181"/>
      <c r="J1268" s="181"/>
      <c r="K1268" s="181"/>
      <c r="L1268" s="181"/>
      <c r="M1268" s="181"/>
      <c r="N1268" s="181"/>
      <c r="O1268" s="181"/>
      <c r="P1268" s="181"/>
    </row>
    <row r="1269">
      <c r="B1269" s="292"/>
      <c r="C1269" s="181"/>
      <c r="D1269" s="181"/>
      <c r="E1269" s="181"/>
      <c r="F1269" s="181"/>
      <c r="G1269" s="181"/>
      <c r="H1269" s="181"/>
      <c r="I1269" s="181"/>
      <c r="J1269" s="181"/>
      <c r="K1269" s="181"/>
      <c r="L1269" s="181"/>
      <c r="M1269" s="181"/>
      <c r="N1269" s="181"/>
      <c r="O1269" s="181"/>
      <c r="P1269" s="181"/>
    </row>
    <row r="1270">
      <c r="B1270" s="292"/>
      <c r="C1270" s="181"/>
      <c r="D1270" s="181"/>
      <c r="E1270" s="181"/>
      <c r="F1270" s="181"/>
      <c r="G1270" s="181"/>
      <c r="H1270" s="181"/>
      <c r="I1270" s="181"/>
      <c r="J1270" s="181"/>
      <c r="K1270" s="181"/>
      <c r="L1270" s="181"/>
      <c r="M1270" s="181"/>
      <c r="N1270" s="181"/>
      <c r="O1270" s="181"/>
      <c r="P1270" s="181"/>
    </row>
    <row r="1271">
      <c r="B1271" s="292"/>
      <c r="C1271" s="181"/>
      <c r="D1271" s="181"/>
      <c r="E1271" s="181"/>
      <c r="F1271" s="181"/>
      <c r="G1271" s="181"/>
      <c r="H1271" s="181"/>
      <c r="I1271" s="181"/>
      <c r="J1271" s="181"/>
      <c r="K1271" s="181"/>
      <c r="L1271" s="181"/>
      <c r="M1271" s="181"/>
      <c r="N1271" s="181"/>
      <c r="O1271" s="181"/>
      <c r="P1271" s="181"/>
    </row>
    <row r="1272">
      <c r="B1272" s="292"/>
      <c r="C1272" s="181"/>
      <c r="D1272" s="181"/>
      <c r="E1272" s="181"/>
      <c r="F1272" s="181"/>
      <c r="G1272" s="181"/>
      <c r="H1272" s="181"/>
      <c r="I1272" s="181"/>
      <c r="J1272" s="181"/>
      <c r="K1272" s="181"/>
      <c r="L1272" s="181"/>
      <c r="M1272" s="181"/>
      <c r="N1272" s="181"/>
      <c r="O1272" s="181"/>
      <c r="P1272" s="181"/>
    </row>
    <row r="1273">
      <c r="B1273" s="292"/>
      <c r="C1273" s="181"/>
      <c r="D1273" s="181"/>
      <c r="E1273" s="181"/>
      <c r="F1273" s="181"/>
      <c r="G1273" s="181"/>
      <c r="H1273" s="181"/>
      <c r="I1273" s="181"/>
      <c r="J1273" s="181"/>
      <c r="K1273" s="181"/>
      <c r="L1273" s="181"/>
      <c r="M1273" s="181"/>
      <c r="N1273" s="181"/>
      <c r="O1273" s="181"/>
      <c r="P1273" s="181"/>
    </row>
    <row r="1274">
      <c r="B1274" s="292"/>
      <c r="C1274" s="181"/>
      <c r="D1274" s="181"/>
      <c r="E1274" s="181"/>
      <c r="F1274" s="181"/>
      <c r="G1274" s="181"/>
      <c r="H1274" s="181"/>
      <c r="I1274" s="181"/>
      <c r="J1274" s="181"/>
      <c r="K1274" s="181"/>
      <c r="L1274" s="181"/>
      <c r="M1274" s="181"/>
      <c r="N1274" s="181"/>
      <c r="O1274" s="181"/>
      <c r="P1274" s="181"/>
    </row>
    <row r="1275">
      <c r="B1275" s="292"/>
      <c r="C1275" s="181"/>
      <c r="D1275" s="181"/>
      <c r="E1275" s="181"/>
      <c r="F1275" s="181"/>
      <c r="G1275" s="181"/>
      <c r="H1275" s="181"/>
      <c r="I1275" s="181"/>
      <c r="J1275" s="181"/>
      <c r="K1275" s="181"/>
      <c r="L1275" s="181"/>
      <c r="M1275" s="181"/>
      <c r="N1275" s="181"/>
      <c r="O1275" s="181"/>
      <c r="P1275" s="181"/>
    </row>
    <row r="1276">
      <c r="B1276" s="292"/>
      <c r="C1276" s="181"/>
      <c r="D1276" s="181"/>
      <c r="E1276" s="181"/>
      <c r="F1276" s="181"/>
      <c r="G1276" s="181"/>
      <c r="H1276" s="181"/>
      <c r="I1276" s="181"/>
      <c r="J1276" s="181"/>
      <c r="K1276" s="181"/>
      <c r="L1276" s="181"/>
      <c r="M1276" s="181"/>
      <c r="N1276" s="181"/>
      <c r="O1276" s="181"/>
      <c r="P1276" s="181"/>
    </row>
    <row r="1277">
      <c r="B1277" s="292"/>
      <c r="C1277" s="181"/>
      <c r="D1277" s="181"/>
      <c r="E1277" s="181"/>
      <c r="F1277" s="181"/>
      <c r="G1277" s="181"/>
      <c r="H1277" s="181"/>
      <c r="I1277" s="181"/>
      <c r="J1277" s="181"/>
      <c r="K1277" s="181"/>
      <c r="L1277" s="181"/>
      <c r="M1277" s="181"/>
      <c r="N1277" s="181"/>
      <c r="O1277" s="181"/>
      <c r="P1277" s="181"/>
    </row>
    <row r="1278">
      <c r="B1278" s="292"/>
      <c r="C1278" s="181"/>
      <c r="D1278" s="181"/>
      <c r="E1278" s="181"/>
      <c r="F1278" s="181"/>
      <c r="G1278" s="181"/>
      <c r="H1278" s="181"/>
      <c r="I1278" s="181"/>
      <c r="J1278" s="181"/>
      <c r="K1278" s="181"/>
      <c r="L1278" s="181"/>
      <c r="M1278" s="181"/>
      <c r="N1278" s="181"/>
      <c r="O1278" s="181"/>
      <c r="P1278" s="181"/>
    </row>
    <row r="1279">
      <c r="B1279" s="292"/>
      <c r="C1279" s="181"/>
      <c r="D1279" s="181"/>
      <c r="E1279" s="181"/>
      <c r="F1279" s="181"/>
      <c r="G1279" s="181"/>
      <c r="H1279" s="181"/>
      <c r="I1279" s="181"/>
      <c r="J1279" s="181"/>
      <c r="K1279" s="181"/>
      <c r="L1279" s="181"/>
      <c r="M1279" s="181"/>
      <c r="N1279" s="181"/>
      <c r="O1279" s="181"/>
      <c r="P1279" s="181"/>
    </row>
    <row r="1280">
      <c r="B1280" s="292"/>
      <c r="C1280" s="181"/>
      <c r="D1280" s="181"/>
      <c r="E1280" s="181"/>
      <c r="F1280" s="181"/>
      <c r="G1280" s="181"/>
      <c r="H1280" s="181"/>
      <c r="I1280" s="181"/>
      <c r="J1280" s="181"/>
      <c r="K1280" s="181"/>
      <c r="L1280" s="181"/>
      <c r="M1280" s="181"/>
      <c r="N1280" s="181"/>
      <c r="O1280" s="181"/>
      <c r="P1280" s="181"/>
    </row>
    <row r="1281">
      <c r="B1281" s="292"/>
      <c r="C1281" s="181"/>
      <c r="D1281" s="181"/>
      <c r="E1281" s="181"/>
      <c r="F1281" s="181"/>
      <c r="G1281" s="181"/>
      <c r="H1281" s="181"/>
      <c r="I1281" s="181"/>
      <c r="J1281" s="181"/>
      <c r="K1281" s="181"/>
      <c r="L1281" s="181"/>
      <c r="M1281" s="181"/>
      <c r="N1281" s="181"/>
      <c r="O1281" s="181"/>
      <c r="P1281" s="181"/>
    </row>
    <row r="1282">
      <c r="B1282" s="292"/>
      <c r="C1282" s="181"/>
      <c r="D1282" s="181"/>
      <c r="E1282" s="181"/>
      <c r="F1282" s="181"/>
      <c r="G1282" s="181"/>
      <c r="H1282" s="181"/>
      <c r="I1282" s="181"/>
      <c r="J1282" s="181"/>
      <c r="K1282" s="181"/>
      <c r="L1282" s="181"/>
      <c r="M1282" s="181"/>
      <c r="N1282" s="181"/>
      <c r="O1282" s="181"/>
      <c r="P1282" s="181"/>
    </row>
    <row r="1283">
      <c r="B1283" s="292"/>
      <c r="C1283" s="181"/>
      <c r="D1283" s="181"/>
      <c r="E1283" s="181"/>
      <c r="F1283" s="181"/>
      <c r="G1283" s="181"/>
      <c r="H1283" s="181"/>
      <c r="I1283" s="181"/>
      <c r="J1283" s="181"/>
      <c r="K1283" s="181"/>
      <c r="L1283" s="181"/>
      <c r="M1283" s="181"/>
      <c r="N1283" s="181"/>
      <c r="O1283" s="181"/>
      <c r="P1283" s="181"/>
    </row>
    <row r="1284">
      <c r="B1284" s="292"/>
      <c r="C1284" s="181"/>
      <c r="D1284" s="181"/>
      <c r="E1284" s="181"/>
      <c r="F1284" s="181"/>
      <c r="G1284" s="181"/>
      <c r="H1284" s="181"/>
      <c r="I1284" s="181"/>
      <c r="J1284" s="181"/>
      <c r="K1284" s="181"/>
      <c r="L1284" s="181"/>
      <c r="M1284" s="181"/>
      <c r="N1284" s="181"/>
      <c r="O1284" s="181"/>
      <c r="P1284" s="181"/>
    </row>
    <row r="1285">
      <c r="B1285" s="292"/>
      <c r="C1285" s="181"/>
      <c r="D1285" s="181"/>
      <c r="E1285" s="181"/>
      <c r="F1285" s="181"/>
      <c r="G1285" s="181"/>
      <c r="H1285" s="181"/>
      <c r="I1285" s="181"/>
      <c r="J1285" s="181"/>
      <c r="K1285" s="181"/>
      <c r="L1285" s="181"/>
      <c r="M1285" s="181"/>
      <c r="N1285" s="181"/>
      <c r="O1285" s="181"/>
      <c r="P1285" s="181"/>
    </row>
    <row r="1286">
      <c r="B1286" s="292"/>
      <c r="C1286" s="181"/>
      <c r="D1286" s="181"/>
      <c r="E1286" s="181"/>
      <c r="F1286" s="181"/>
      <c r="G1286" s="181"/>
      <c r="H1286" s="181"/>
      <c r="I1286" s="181"/>
      <c r="J1286" s="181"/>
      <c r="K1286" s="181"/>
      <c r="L1286" s="181"/>
      <c r="M1286" s="181"/>
      <c r="N1286" s="181"/>
      <c r="O1286" s="181"/>
      <c r="P1286" s="181"/>
    </row>
    <row r="1287">
      <c r="B1287" s="292"/>
      <c r="C1287" s="181"/>
      <c r="D1287" s="181"/>
      <c r="E1287" s="181"/>
      <c r="F1287" s="181"/>
      <c r="G1287" s="181"/>
      <c r="H1287" s="181"/>
      <c r="I1287" s="181"/>
      <c r="J1287" s="181"/>
      <c r="K1287" s="181"/>
      <c r="L1287" s="181"/>
      <c r="M1287" s="181"/>
      <c r="N1287" s="181"/>
      <c r="O1287" s="181"/>
      <c r="P1287" s="181"/>
    </row>
    <row r="1288">
      <c r="B1288" s="292"/>
      <c r="C1288" s="181"/>
      <c r="D1288" s="181"/>
      <c r="E1288" s="181"/>
      <c r="F1288" s="181"/>
      <c r="G1288" s="181"/>
      <c r="H1288" s="181"/>
      <c r="I1288" s="181"/>
      <c r="J1288" s="181"/>
      <c r="K1288" s="181"/>
      <c r="L1288" s="181"/>
      <c r="M1288" s="181"/>
      <c r="N1288" s="181"/>
      <c r="O1288" s="181"/>
      <c r="P1288" s="181"/>
    </row>
    <row r="1289">
      <c r="B1289" s="292"/>
      <c r="C1289" s="181"/>
      <c r="D1289" s="181"/>
      <c r="E1289" s="181"/>
      <c r="F1289" s="181"/>
      <c r="G1289" s="181"/>
      <c r="H1289" s="181"/>
      <c r="I1289" s="181"/>
      <c r="J1289" s="181"/>
      <c r="K1289" s="181"/>
      <c r="L1289" s="181"/>
      <c r="M1289" s="181"/>
      <c r="N1289" s="181"/>
      <c r="O1289" s="181"/>
      <c r="P1289" s="181"/>
    </row>
    <row r="1290">
      <c r="B1290" s="292"/>
      <c r="C1290" s="181"/>
      <c r="D1290" s="181"/>
      <c r="E1290" s="181"/>
      <c r="F1290" s="181"/>
      <c r="G1290" s="181"/>
      <c r="H1290" s="181"/>
      <c r="I1290" s="181"/>
      <c r="J1290" s="181"/>
      <c r="K1290" s="181"/>
      <c r="L1290" s="181"/>
      <c r="M1290" s="181"/>
      <c r="N1290" s="181"/>
      <c r="O1290" s="181"/>
      <c r="P1290" s="181"/>
    </row>
    <row r="1291">
      <c r="B1291" s="292"/>
      <c r="C1291" s="181"/>
      <c r="D1291" s="181"/>
      <c r="E1291" s="181"/>
      <c r="F1291" s="181"/>
      <c r="G1291" s="181"/>
      <c r="H1291" s="181"/>
      <c r="I1291" s="181"/>
      <c r="J1291" s="181"/>
      <c r="K1291" s="181"/>
      <c r="L1291" s="181"/>
      <c r="M1291" s="181"/>
      <c r="N1291" s="181"/>
      <c r="O1291" s="181"/>
      <c r="P1291" s="181"/>
    </row>
    <row r="1292">
      <c r="B1292" s="292"/>
      <c r="C1292" s="181"/>
      <c r="D1292" s="181"/>
      <c r="E1292" s="181"/>
      <c r="F1292" s="181"/>
      <c r="G1292" s="181"/>
      <c r="H1292" s="181"/>
      <c r="I1292" s="181"/>
      <c r="J1292" s="181"/>
      <c r="K1292" s="181"/>
      <c r="L1292" s="181"/>
      <c r="M1292" s="181"/>
      <c r="N1292" s="181"/>
      <c r="O1292" s="181"/>
      <c r="P1292" s="181"/>
    </row>
    <row r="1293">
      <c r="B1293" s="292"/>
      <c r="C1293" s="181"/>
      <c r="D1293" s="181"/>
      <c r="E1293" s="181"/>
      <c r="F1293" s="181"/>
      <c r="G1293" s="181"/>
      <c r="H1293" s="181"/>
      <c r="I1293" s="181"/>
      <c r="J1293" s="181"/>
      <c r="K1293" s="181"/>
      <c r="L1293" s="181"/>
      <c r="M1293" s="181"/>
      <c r="N1293" s="181"/>
      <c r="O1293" s="181"/>
      <c r="P1293" s="181"/>
    </row>
    <row r="1294">
      <c r="B1294" s="292"/>
      <c r="C1294" s="181"/>
      <c r="D1294" s="181"/>
      <c r="E1294" s="181"/>
      <c r="F1294" s="181"/>
      <c r="G1294" s="181"/>
      <c r="H1294" s="181"/>
      <c r="I1294" s="181"/>
      <c r="J1294" s="181"/>
      <c r="K1294" s="181"/>
      <c r="L1294" s="181"/>
      <c r="M1294" s="181"/>
      <c r="N1294" s="181"/>
      <c r="O1294" s="181"/>
      <c r="P1294" s="181"/>
    </row>
    <row r="1295">
      <c r="B1295" s="292"/>
      <c r="C1295" s="181"/>
      <c r="D1295" s="181"/>
      <c r="E1295" s="181"/>
      <c r="F1295" s="181"/>
      <c r="G1295" s="181"/>
      <c r="H1295" s="181"/>
      <c r="I1295" s="181"/>
      <c r="J1295" s="181"/>
      <c r="K1295" s="181"/>
      <c r="L1295" s="181"/>
      <c r="M1295" s="181"/>
      <c r="N1295" s="181"/>
      <c r="O1295" s="181"/>
      <c r="P1295" s="181"/>
    </row>
    <row r="1296">
      <c r="B1296" s="292"/>
      <c r="C1296" s="181"/>
      <c r="D1296" s="181"/>
      <c r="E1296" s="181"/>
      <c r="F1296" s="181"/>
      <c r="G1296" s="181"/>
      <c r="H1296" s="181"/>
      <c r="I1296" s="181"/>
      <c r="J1296" s="181"/>
      <c r="K1296" s="181"/>
      <c r="L1296" s="181"/>
      <c r="M1296" s="181"/>
      <c r="N1296" s="181"/>
      <c r="O1296" s="181"/>
      <c r="P1296" s="181"/>
    </row>
    <row r="1297">
      <c r="B1297" s="292"/>
      <c r="C1297" s="181"/>
      <c r="D1297" s="181"/>
      <c r="E1297" s="181"/>
      <c r="F1297" s="181"/>
      <c r="G1297" s="181"/>
      <c r="H1297" s="181"/>
      <c r="I1297" s="181"/>
      <c r="J1297" s="181"/>
      <c r="K1297" s="181"/>
      <c r="L1297" s="181"/>
      <c r="M1297" s="181"/>
      <c r="N1297" s="181"/>
      <c r="O1297" s="181"/>
      <c r="P1297" s="181"/>
    </row>
    <row r="1298">
      <c r="B1298" s="292"/>
      <c r="C1298" s="181"/>
      <c r="D1298" s="181"/>
      <c r="E1298" s="181"/>
      <c r="F1298" s="181"/>
      <c r="G1298" s="181"/>
      <c r="H1298" s="181"/>
      <c r="I1298" s="181"/>
      <c r="J1298" s="181"/>
      <c r="K1298" s="181"/>
      <c r="L1298" s="181"/>
      <c r="M1298" s="181"/>
      <c r="N1298" s="181"/>
      <c r="O1298" s="181"/>
      <c r="P1298" s="181"/>
    </row>
    <row r="1299">
      <c r="B1299" s="292"/>
      <c r="C1299" s="181"/>
      <c r="D1299" s="181"/>
      <c r="E1299" s="181"/>
      <c r="F1299" s="181"/>
      <c r="G1299" s="181"/>
      <c r="H1299" s="181"/>
      <c r="I1299" s="181"/>
      <c r="J1299" s="181"/>
      <c r="K1299" s="181"/>
      <c r="L1299" s="181"/>
      <c r="M1299" s="181"/>
      <c r="N1299" s="181"/>
      <c r="O1299" s="181"/>
      <c r="P1299" s="181"/>
    </row>
    <row r="1300">
      <c r="B1300" s="292"/>
      <c r="C1300" s="181"/>
      <c r="D1300" s="181"/>
      <c r="E1300" s="181"/>
      <c r="F1300" s="181"/>
      <c r="G1300" s="181"/>
      <c r="H1300" s="181"/>
      <c r="I1300" s="181"/>
      <c r="J1300" s="181"/>
      <c r="K1300" s="181"/>
      <c r="L1300" s="181"/>
      <c r="M1300" s="181"/>
      <c r="N1300" s="181"/>
      <c r="O1300" s="181"/>
      <c r="P1300" s="181"/>
    </row>
    <row r="1301">
      <c r="B1301" s="292"/>
      <c r="C1301" s="181"/>
      <c r="D1301" s="181"/>
      <c r="E1301" s="181"/>
      <c r="F1301" s="181"/>
      <c r="G1301" s="181"/>
      <c r="H1301" s="181"/>
      <c r="I1301" s="181"/>
      <c r="J1301" s="181"/>
      <c r="K1301" s="181"/>
      <c r="L1301" s="181"/>
      <c r="M1301" s="181"/>
      <c r="N1301" s="181"/>
      <c r="O1301" s="181"/>
      <c r="P1301" s="181"/>
    </row>
    <row r="1302">
      <c r="B1302" s="292"/>
      <c r="C1302" s="181"/>
      <c r="D1302" s="181"/>
      <c r="E1302" s="181"/>
      <c r="F1302" s="181"/>
      <c r="G1302" s="181"/>
      <c r="H1302" s="181"/>
      <c r="I1302" s="181"/>
      <c r="J1302" s="181"/>
      <c r="K1302" s="181"/>
      <c r="L1302" s="181"/>
      <c r="M1302" s="181"/>
      <c r="N1302" s="181"/>
      <c r="O1302" s="181"/>
      <c r="P1302" s="181"/>
    </row>
    <row r="1303">
      <c r="B1303" s="292"/>
      <c r="C1303" s="181"/>
      <c r="D1303" s="181"/>
      <c r="E1303" s="181"/>
      <c r="F1303" s="181"/>
      <c r="G1303" s="181"/>
      <c r="H1303" s="181"/>
      <c r="I1303" s="181"/>
      <c r="J1303" s="181"/>
      <c r="K1303" s="181"/>
      <c r="L1303" s="181"/>
      <c r="M1303" s="181"/>
      <c r="N1303" s="181"/>
      <c r="O1303" s="181"/>
      <c r="P1303" s="181"/>
    </row>
    <row r="1304">
      <c r="B1304" s="292"/>
      <c r="C1304" s="181"/>
      <c r="D1304" s="181"/>
      <c r="E1304" s="181"/>
      <c r="F1304" s="181"/>
      <c r="G1304" s="181"/>
      <c r="H1304" s="181"/>
      <c r="I1304" s="181"/>
      <c r="J1304" s="181"/>
      <c r="K1304" s="181"/>
      <c r="L1304" s="181"/>
      <c r="M1304" s="181"/>
      <c r="N1304" s="181"/>
      <c r="O1304" s="181"/>
      <c r="P1304" s="181"/>
    </row>
    <row r="1305">
      <c r="B1305" s="292"/>
      <c r="C1305" s="181"/>
      <c r="D1305" s="181"/>
      <c r="E1305" s="181"/>
      <c r="F1305" s="181"/>
      <c r="G1305" s="181"/>
      <c r="H1305" s="181"/>
      <c r="I1305" s="181"/>
      <c r="J1305" s="181"/>
      <c r="K1305" s="181"/>
      <c r="L1305" s="181"/>
      <c r="M1305" s="181"/>
      <c r="N1305" s="181"/>
      <c r="O1305" s="181"/>
      <c r="P1305" s="181"/>
    </row>
    <row r="1306">
      <c r="B1306" s="292"/>
      <c r="C1306" s="181"/>
      <c r="D1306" s="181"/>
      <c r="E1306" s="181"/>
      <c r="F1306" s="181"/>
      <c r="G1306" s="181"/>
      <c r="H1306" s="181"/>
      <c r="I1306" s="181"/>
      <c r="J1306" s="181"/>
      <c r="K1306" s="181"/>
      <c r="L1306" s="181"/>
      <c r="M1306" s="181"/>
      <c r="N1306" s="181"/>
      <c r="O1306" s="181"/>
      <c r="P1306" s="181"/>
    </row>
    <row r="1307">
      <c r="B1307" s="292"/>
      <c r="C1307" s="181"/>
      <c r="D1307" s="181"/>
      <c r="E1307" s="181"/>
      <c r="F1307" s="181"/>
      <c r="G1307" s="181"/>
      <c r="H1307" s="181"/>
      <c r="I1307" s="181"/>
      <c r="J1307" s="181"/>
      <c r="K1307" s="181"/>
      <c r="L1307" s="181"/>
      <c r="M1307" s="181"/>
      <c r="N1307" s="181"/>
      <c r="O1307" s="181"/>
      <c r="P1307" s="181"/>
    </row>
    <row r="1308">
      <c r="B1308" s="292"/>
      <c r="C1308" s="181"/>
      <c r="D1308" s="181"/>
      <c r="E1308" s="181"/>
      <c r="F1308" s="181"/>
      <c r="G1308" s="181"/>
      <c r="H1308" s="181"/>
      <c r="I1308" s="181"/>
      <c r="J1308" s="181"/>
      <c r="K1308" s="181"/>
      <c r="L1308" s="181"/>
      <c r="M1308" s="181"/>
      <c r="N1308" s="181"/>
      <c r="O1308" s="181"/>
      <c r="P1308" s="181"/>
    </row>
    <row r="1309">
      <c r="B1309" s="292"/>
      <c r="C1309" s="181"/>
      <c r="D1309" s="181"/>
      <c r="E1309" s="181"/>
      <c r="F1309" s="181"/>
      <c r="G1309" s="181"/>
      <c r="H1309" s="181"/>
      <c r="I1309" s="181"/>
      <c r="J1309" s="181"/>
      <c r="K1309" s="181"/>
      <c r="L1309" s="181"/>
      <c r="M1309" s="181"/>
      <c r="N1309" s="181"/>
      <c r="O1309" s="181"/>
      <c r="P1309" s="181"/>
    </row>
    <row r="1310">
      <c r="B1310" s="292"/>
      <c r="C1310" s="181"/>
      <c r="D1310" s="181"/>
      <c r="E1310" s="181"/>
      <c r="F1310" s="181"/>
      <c r="G1310" s="181"/>
      <c r="H1310" s="181"/>
      <c r="I1310" s="181"/>
      <c r="J1310" s="181"/>
      <c r="K1310" s="181"/>
      <c r="L1310" s="181"/>
      <c r="M1310" s="181"/>
      <c r="N1310" s="181"/>
      <c r="O1310" s="181"/>
      <c r="P1310" s="181"/>
    </row>
    <row r="1311">
      <c r="B1311" s="292"/>
      <c r="C1311" s="181"/>
      <c r="D1311" s="181"/>
      <c r="E1311" s="181"/>
      <c r="F1311" s="181"/>
      <c r="G1311" s="181"/>
      <c r="H1311" s="181"/>
      <c r="I1311" s="181"/>
      <c r="J1311" s="181"/>
      <c r="K1311" s="181"/>
      <c r="L1311" s="181"/>
      <c r="M1311" s="181"/>
      <c r="N1311" s="181"/>
      <c r="O1311" s="181"/>
      <c r="P1311" s="181"/>
    </row>
    <row r="1312">
      <c r="B1312" s="292"/>
      <c r="C1312" s="181"/>
      <c r="D1312" s="181"/>
      <c r="E1312" s="181"/>
      <c r="F1312" s="181"/>
      <c r="G1312" s="181"/>
      <c r="H1312" s="181"/>
      <c r="I1312" s="181"/>
      <c r="J1312" s="181"/>
      <c r="K1312" s="181"/>
      <c r="L1312" s="181"/>
      <c r="M1312" s="181"/>
      <c r="N1312" s="181"/>
      <c r="O1312" s="181"/>
      <c r="P1312" s="181"/>
    </row>
    <row r="1313">
      <c r="B1313" s="292"/>
      <c r="C1313" s="181"/>
      <c r="D1313" s="181"/>
      <c r="E1313" s="181"/>
      <c r="F1313" s="181"/>
      <c r="G1313" s="181"/>
      <c r="H1313" s="181"/>
      <c r="I1313" s="181"/>
      <c r="J1313" s="181"/>
      <c r="K1313" s="181"/>
      <c r="L1313" s="181"/>
      <c r="M1313" s="181"/>
      <c r="N1313" s="181"/>
      <c r="O1313" s="181"/>
      <c r="P1313" s="181"/>
    </row>
    <row r="1314">
      <c r="B1314" s="292"/>
      <c r="C1314" s="181"/>
      <c r="D1314" s="181"/>
      <c r="E1314" s="181"/>
      <c r="F1314" s="181"/>
      <c r="G1314" s="181"/>
      <c r="H1314" s="181"/>
      <c r="I1314" s="181"/>
      <c r="J1314" s="181"/>
      <c r="K1314" s="181"/>
      <c r="L1314" s="181"/>
      <c r="M1314" s="181"/>
      <c r="N1314" s="181"/>
      <c r="O1314" s="181"/>
      <c r="P1314" s="181"/>
    </row>
    <row r="1315">
      <c r="B1315" s="292"/>
      <c r="C1315" s="181"/>
      <c r="D1315" s="181"/>
      <c r="E1315" s="181"/>
      <c r="F1315" s="181"/>
      <c r="G1315" s="181"/>
      <c r="H1315" s="181"/>
      <c r="I1315" s="181"/>
      <c r="J1315" s="181"/>
      <c r="K1315" s="181"/>
      <c r="L1315" s="181"/>
      <c r="M1315" s="181"/>
      <c r="N1315" s="181"/>
      <c r="O1315" s="181"/>
      <c r="P1315" s="181"/>
    </row>
    <row r="1316">
      <c r="B1316" s="292"/>
      <c r="C1316" s="181"/>
      <c r="D1316" s="181"/>
      <c r="E1316" s="181"/>
      <c r="F1316" s="181"/>
      <c r="G1316" s="181"/>
      <c r="H1316" s="181"/>
      <c r="I1316" s="181"/>
      <c r="J1316" s="181"/>
      <c r="K1316" s="181"/>
      <c r="L1316" s="181"/>
      <c r="M1316" s="181"/>
      <c r="N1316" s="181"/>
      <c r="O1316" s="181"/>
      <c r="P1316" s="181"/>
    </row>
    <row r="1317">
      <c r="B1317" s="292"/>
      <c r="C1317" s="181"/>
      <c r="D1317" s="181"/>
      <c r="E1317" s="181"/>
      <c r="F1317" s="181"/>
      <c r="G1317" s="181"/>
      <c r="H1317" s="181"/>
      <c r="I1317" s="181"/>
      <c r="J1317" s="181"/>
      <c r="K1317" s="181"/>
      <c r="L1317" s="181"/>
      <c r="M1317" s="181"/>
      <c r="N1317" s="181"/>
      <c r="O1317" s="181"/>
      <c r="P1317" s="181"/>
    </row>
    <row r="1318">
      <c r="B1318" s="292"/>
      <c r="C1318" s="181"/>
      <c r="D1318" s="181"/>
      <c r="E1318" s="181"/>
      <c r="F1318" s="181"/>
      <c r="G1318" s="181"/>
      <c r="H1318" s="181"/>
      <c r="I1318" s="181"/>
      <c r="J1318" s="181"/>
      <c r="K1318" s="181"/>
      <c r="L1318" s="181"/>
      <c r="M1318" s="181"/>
      <c r="N1318" s="181"/>
      <c r="O1318" s="181"/>
      <c r="P1318" s="181"/>
    </row>
    <row r="1319">
      <c r="B1319" s="292"/>
      <c r="C1319" s="181"/>
      <c r="D1319" s="181"/>
      <c r="E1319" s="181"/>
      <c r="F1319" s="181"/>
      <c r="G1319" s="181"/>
      <c r="H1319" s="181"/>
      <c r="I1319" s="181"/>
      <c r="J1319" s="181"/>
      <c r="K1319" s="181"/>
      <c r="L1319" s="181"/>
      <c r="M1319" s="181"/>
      <c r="N1319" s="181"/>
      <c r="O1319" s="181"/>
      <c r="P1319" s="181"/>
    </row>
    <row r="1320">
      <c r="B1320" s="292"/>
      <c r="C1320" s="181"/>
      <c r="D1320" s="181"/>
      <c r="E1320" s="181"/>
      <c r="F1320" s="181"/>
      <c r="G1320" s="181"/>
      <c r="H1320" s="181"/>
      <c r="I1320" s="181"/>
      <c r="J1320" s="181"/>
      <c r="K1320" s="181"/>
      <c r="L1320" s="181"/>
      <c r="M1320" s="181"/>
      <c r="N1320" s="181"/>
      <c r="O1320" s="181"/>
      <c r="P1320" s="181"/>
    </row>
    <row r="1321">
      <c r="B1321" s="292"/>
      <c r="C1321" s="181"/>
      <c r="D1321" s="181"/>
      <c r="E1321" s="181"/>
      <c r="F1321" s="181"/>
      <c r="G1321" s="181"/>
      <c r="H1321" s="181"/>
      <c r="I1321" s="181"/>
      <c r="J1321" s="181"/>
      <c r="K1321" s="181"/>
      <c r="L1321" s="181"/>
      <c r="M1321" s="181"/>
      <c r="N1321" s="181"/>
      <c r="O1321" s="181"/>
      <c r="P1321" s="181"/>
    </row>
    <row r="1322">
      <c r="B1322" s="292"/>
      <c r="C1322" s="181"/>
      <c r="D1322" s="181"/>
      <c r="E1322" s="181"/>
      <c r="F1322" s="181"/>
      <c r="G1322" s="181"/>
      <c r="H1322" s="181"/>
      <c r="I1322" s="181"/>
      <c r="J1322" s="181"/>
      <c r="K1322" s="181"/>
      <c r="L1322" s="181"/>
      <c r="M1322" s="181"/>
      <c r="N1322" s="181"/>
      <c r="O1322" s="181"/>
      <c r="P1322" s="181"/>
    </row>
    <row r="1323">
      <c r="B1323" s="292"/>
      <c r="C1323" s="181"/>
      <c r="D1323" s="181"/>
      <c r="E1323" s="181"/>
      <c r="F1323" s="181"/>
      <c r="G1323" s="181"/>
      <c r="H1323" s="181"/>
      <c r="I1323" s="181"/>
      <c r="J1323" s="181"/>
      <c r="K1323" s="181"/>
      <c r="L1323" s="181"/>
      <c r="M1323" s="181"/>
      <c r="N1323" s="181"/>
      <c r="O1323" s="181"/>
      <c r="P1323" s="181"/>
    </row>
    <row r="1324">
      <c r="B1324" s="292"/>
      <c r="C1324" s="181"/>
      <c r="D1324" s="181"/>
      <c r="E1324" s="181"/>
      <c r="F1324" s="181"/>
      <c r="G1324" s="181"/>
      <c r="H1324" s="181"/>
      <c r="I1324" s="181"/>
      <c r="J1324" s="181"/>
      <c r="K1324" s="181"/>
      <c r="L1324" s="181"/>
      <c r="M1324" s="181"/>
      <c r="N1324" s="181"/>
      <c r="O1324" s="181"/>
      <c r="P1324" s="181"/>
    </row>
    <row r="1325">
      <c r="B1325" s="292"/>
      <c r="C1325" s="181"/>
      <c r="D1325" s="181"/>
      <c r="E1325" s="181"/>
      <c r="F1325" s="181"/>
      <c r="G1325" s="181"/>
      <c r="H1325" s="181"/>
      <c r="I1325" s="181"/>
      <c r="J1325" s="181"/>
      <c r="K1325" s="181"/>
      <c r="L1325" s="181"/>
      <c r="M1325" s="181"/>
      <c r="N1325" s="181"/>
      <c r="O1325" s="181"/>
      <c r="P1325" s="181"/>
    </row>
    <row r="1326">
      <c r="B1326" s="292"/>
      <c r="C1326" s="181"/>
      <c r="D1326" s="181"/>
      <c r="E1326" s="181"/>
      <c r="F1326" s="181"/>
      <c r="G1326" s="181"/>
      <c r="H1326" s="181"/>
      <c r="I1326" s="181"/>
      <c r="J1326" s="181"/>
      <c r="K1326" s="181"/>
      <c r="L1326" s="181"/>
      <c r="M1326" s="181"/>
      <c r="N1326" s="181"/>
      <c r="O1326" s="181"/>
      <c r="P1326" s="181"/>
    </row>
    <row r="1327">
      <c r="B1327" s="292"/>
      <c r="C1327" s="181"/>
      <c r="D1327" s="181"/>
      <c r="E1327" s="181"/>
      <c r="F1327" s="181"/>
      <c r="G1327" s="181"/>
      <c r="H1327" s="181"/>
      <c r="I1327" s="181"/>
      <c r="J1327" s="181"/>
      <c r="K1327" s="181"/>
      <c r="L1327" s="181"/>
      <c r="M1327" s="181"/>
      <c r="N1327" s="181"/>
      <c r="O1327" s="181"/>
      <c r="P1327" s="181"/>
    </row>
    <row r="1328">
      <c r="B1328" s="292"/>
      <c r="C1328" s="181"/>
      <c r="D1328" s="181"/>
      <c r="E1328" s="181"/>
      <c r="F1328" s="181"/>
      <c r="G1328" s="181"/>
      <c r="H1328" s="181"/>
      <c r="I1328" s="181"/>
      <c r="J1328" s="181"/>
      <c r="K1328" s="181"/>
      <c r="L1328" s="181"/>
      <c r="M1328" s="181"/>
      <c r="N1328" s="181"/>
      <c r="O1328" s="181"/>
      <c r="P1328" s="181"/>
    </row>
    <row r="1329">
      <c r="B1329" s="292"/>
      <c r="C1329" s="181"/>
      <c r="D1329" s="181"/>
      <c r="E1329" s="181"/>
      <c r="F1329" s="181"/>
      <c r="G1329" s="181"/>
      <c r="H1329" s="181"/>
      <c r="I1329" s="181"/>
      <c r="J1329" s="181"/>
      <c r="K1329" s="181"/>
      <c r="L1329" s="181"/>
      <c r="M1329" s="181"/>
      <c r="N1329" s="181"/>
      <c r="O1329" s="181"/>
      <c r="P1329" s="181"/>
    </row>
    <row r="1330">
      <c r="B1330" s="292"/>
      <c r="C1330" s="181"/>
      <c r="D1330" s="181"/>
      <c r="E1330" s="181"/>
      <c r="F1330" s="181"/>
      <c r="G1330" s="181"/>
      <c r="H1330" s="181"/>
      <c r="I1330" s="181"/>
      <c r="J1330" s="181"/>
      <c r="K1330" s="181"/>
      <c r="L1330" s="181"/>
      <c r="M1330" s="181"/>
      <c r="N1330" s="181"/>
      <c r="O1330" s="181"/>
      <c r="P1330" s="181"/>
    </row>
    <row r="1331">
      <c r="B1331" s="292"/>
      <c r="C1331" s="181"/>
      <c r="D1331" s="181"/>
      <c r="E1331" s="181"/>
      <c r="F1331" s="181"/>
      <c r="G1331" s="181"/>
      <c r="H1331" s="181"/>
      <c r="I1331" s="181"/>
      <c r="J1331" s="181"/>
      <c r="K1331" s="181"/>
      <c r="L1331" s="181"/>
      <c r="M1331" s="181"/>
      <c r="N1331" s="181"/>
      <c r="O1331" s="181"/>
      <c r="P1331" s="181"/>
    </row>
    <row r="1332">
      <c r="B1332" s="292"/>
      <c r="C1332" s="181"/>
      <c r="D1332" s="181"/>
      <c r="E1332" s="181"/>
      <c r="F1332" s="181"/>
      <c r="G1332" s="181"/>
      <c r="H1332" s="181"/>
      <c r="I1332" s="181"/>
      <c r="J1332" s="181"/>
      <c r="K1332" s="181"/>
      <c r="L1332" s="181"/>
      <c r="M1332" s="181"/>
      <c r="N1332" s="181"/>
      <c r="O1332" s="181"/>
      <c r="P1332" s="181"/>
    </row>
    <row r="1333">
      <c r="B1333" s="292"/>
      <c r="C1333" s="181"/>
      <c r="D1333" s="181"/>
      <c r="E1333" s="181"/>
      <c r="F1333" s="181"/>
      <c r="G1333" s="181"/>
      <c r="H1333" s="181"/>
      <c r="I1333" s="181"/>
      <c r="J1333" s="181"/>
      <c r="K1333" s="181"/>
      <c r="L1333" s="181"/>
      <c r="M1333" s="181"/>
      <c r="N1333" s="181"/>
      <c r="O1333" s="181"/>
      <c r="P1333" s="181"/>
    </row>
    <row r="1334">
      <c r="B1334" s="292"/>
      <c r="C1334" s="181"/>
      <c r="D1334" s="181"/>
      <c r="E1334" s="181"/>
      <c r="F1334" s="181"/>
      <c r="G1334" s="181"/>
      <c r="H1334" s="181"/>
      <c r="I1334" s="181"/>
      <c r="J1334" s="181"/>
      <c r="K1334" s="181"/>
      <c r="L1334" s="181"/>
      <c r="M1334" s="181"/>
      <c r="N1334" s="181"/>
      <c r="O1334" s="181"/>
      <c r="P1334" s="181"/>
    </row>
    <row r="1335">
      <c r="B1335" s="292"/>
      <c r="C1335" s="181"/>
      <c r="D1335" s="181"/>
      <c r="E1335" s="181"/>
      <c r="F1335" s="181"/>
      <c r="G1335" s="181"/>
      <c r="H1335" s="181"/>
      <c r="I1335" s="181"/>
      <c r="J1335" s="181"/>
      <c r="K1335" s="181"/>
      <c r="L1335" s="181"/>
      <c r="M1335" s="181"/>
      <c r="N1335" s="181"/>
      <c r="O1335" s="181"/>
      <c r="P1335" s="181"/>
    </row>
    <row r="1336">
      <c r="B1336" s="292"/>
      <c r="C1336" s="181"/>
      <c r="D1336" s="181"/>
      <c r="E1336" s="181"/>
      <c r="F1336" s="181"/>
      <c r="G1336" s="181"/>
      <c r="H1336" s="181"/>
      <c r="I1336" s="181"/>
      <c r="J1336" s="181"/>
      <c r="K1336" s="181"/>
      <c r="L1336" s="181"/>
      <c r="M1336" s="181"/>
      <c r="N1336" s="181"/>
      <c r="O1336" s="181"/>
      <c r="P1336" s="181"/>
    </row>
    <row r="1337">
      <c r="B1337" s="292"/>
      <c r="C1337" s="181"/>
      <c r="D1337" s="181"/>
      <c r="E1337" s="181"/>
      <c r="F1337" s="181"/>
      <c r="G1337" s="181"/>
      <c r="H1337" s="181"/>
      <c r="I1337" s="181"/>
      <c r="J1337" s="181"/>
      <c r="K1337" s="181"/>
      <c r="L1337" s="181"/>
      <c r="M1337" s="181"/>
      <c r="N1337" s="181"/>
      <c r="O1337" s="181"/>
      <c r="P1337" s="181"/>
    </row>
    <row r="1338">
      <c r="B1338" s="292"/>
      <c r="C1338" s="181"/>
      <c r="D1338" s="181"/>
      <c r="E1338" s="181"/>
      <c r="F1338" s="181"/>
      <c r="G1338" s="181"/>
      <c r="H1338" s="181"/>
      <c r="I1338" s="181"/>
      <c r="J1338" s="181"/>
      <c r="K1338" s="181"/>
      <c r="L1338" s="181"/>
      <c r="M1338" s="181"/>
      <c r="N1338" s="181"/>
      <c r="O1338" s="181"/>
      <c r="P1338" s="181"/>
    </row>
    <row r="1339">
      <c r="B1339" s="292"/>
      <c r="C1339" s="181"/>
      <c r="D1339" s="181"/>
      <c r="E1339" s="181"/>
      <c r="F1339" s="181"/>
      <c r="G1339" s="181"/>
      <c r="H1339" s="181"/>
      <c r="I1339" s="181"/>
      <c r="J1339" s="181"/>
      <c r="K1339" s="181"/>
      <c r="L1339" s="181"/>
      <c r="M1339" s="181"/>
      <c r="N1339" s="181"/>
      <c r="O1339" s="181"/>
      <c r="P1339" s="181"/>
    </row>
    <row r="1340">
      <c r="B1340" s="292"/>
      <c r="C1340" s="181"/>
      <c r="D1340" s="181"/>
      <c r="E1340" s="181"/>
      <c r="F1340" s="181"/>
      <c r="G1340" s="181"/>
      <c r="H1340" s="181"/>
      <c r="I1340" s="181"/>
      <c r="J1340" s="181"/>
      <c r="K1340" s="181"/>
      <c r="L1340" s="181"/>
      <c r="M1340" s="181"/>
      <c r="N1340" s="181"/>
      <c r="O1340" s="181"/>
      <c r="P1340" s="181"/>
    </row>
    <row r="1341">
      <c r="B1341" s="292"/>
      <c r="C1341" s="181"/>
      <c r="D1341" s="181"/>
      <c r="E1341" s="181"/>
      <c r="F1341" s="181"/>
      <c r="G1341" s="181"/>
      <c r="H1341" s="181"/>
      <c r="I1341" s="181"/>
      <c r="J1341" s="181"/>
      <c r="K1341" s="181"/>
      <c r="L1341" s="181"/>
      <c r="M1341" s="181"/>
      <c r="N1341" s="181"/>
      <c r="O1341" s="181"/>
      <c r="P1341" s="181"/>
    </row>
    <row r="1342">
      <c r="B1342" s="292"/>
      <c r="C1342" s="181"/>
      <c r="D1342" s="181"/>
      <c r="E1342" s="181"/>
      <c r="F1342" s="181"/>
      <c r="G1342" s="181"/>
      <c r="H1342" s="181"/>
      <c r="I1342" s="181"/>
      <c r="J1342" s="181"/>
      <c r="K1342" s="181"/>
      <c r="L1342" s="181"/>
      <c r="M1342" s="181"/>
      <c r="N1342" s="181"/>
      <c r="O1342" s="181"/>
      <c r="P1342" s="181"/>
    </row>
    <row r="1343">
      <c r="B1343" s="292"/>
      <c r="C1343" s="181"/>
      <c r="D1343" s="181"/>
      <c r="E1343" s="181"/>
      <c r="F1343" s="181"/>
      <c r="G1343" s="181"/>
      <c r="H1343" s="181"/>
      <c r="I1343" s="181"/>
      <c r="J1343" s="181"/>
      <c r="K1343" s="181"/>
      <c r="L1343" s="181"/>
      <c r="M1343" s="181"/>
      <c r="N1343" s="181"/>
      <c r="O1343" s="181"/>
      <c r="P1343" s="181"/>
    </row>
    <row r="1344">
      <c r="B1344" s="292"/>
      <c r="C1344" s="181"/>
      <c r="D1344" s="181"/>
      <c r="E1344" s="181"/>
      <c r="F1344" s="181"/>
      <c r="G1344" s="181"/>
      <c r="H1344" s="181"/>
      <c r="I1344" s="181"/>
      <c r="J1344" s="181"/>
      <c r="K1344" s="181"/>
      <c r="L1344" s="181"/>
      <c r="M1344" s="181"/>
      <c r="N1344" s="181"/>
      <c r="O1344" s="181"/>
      <c r="P1344" s="181"/>
    </row>
    <row r="1345">
      <c r="B1345" s="292"/>
      <c r="C1345" s="181"/>
      <c r="D1345" s="181"/>
      <c r="E1345" s="181"/>
      <c r="F1345" s="181"/>
      <c r="G1345" s="181"/>
      <c r="H1345" s="181"/>
      <c r="I1345" s="181"/>
      <c r="J1345" s="181"/>
      <c r="K1345" s="181"/>
      <c r="L1345" s="181"/>
      <c r="M1345" s="181"/>
      <c r="N1345" s="181"/>
      <c r="O1345" s="181"/>
      <c r="P1345" s="181"/>
    </row>
    <row r="1346">
      <c r="B1346" s="292"/>
      <c r="C1346" s="181"/>
      <c r="D1346" s="181"/>
      <c r="E1346" s="181"/>
      <c r="F1346" s="181"/>
      <c r="G1346" s="181"/>
      <c r="H1346" s="181"/>
      <c r="I1346" s="181"/>
      <c r="J1346" s="181"/>
      <c r="K1346" s="181"/>
      <c r="L1346" s="181"/>
      <c r="M1346" s="181"/>
      <c r="N1346" s="181"/>
      <c r="O1346" s="181"/>
      <c r="P1346" s="181"/>
    </row>
    <row r="1347">
      <c r="B1347" s="292"/>
      <c r="C1347" s="181"/>
      <c r="D1347" s="181"/>
      <c r="E1347" s="181"/>
      <c r="F1347" s="181"/>
      <c r="G1347" s="181"/>
      <c r="H1347" s="181"/>
      <c r="I1347" s="181"/>
      <c r="J1347" s="181"/>
      <c r="K1347" s="181"/>
      <c r="L1347" s="181"/>
      <c r="M1347" s="181"/>
      <c r="N1347" s="181"/>
      <c r="O1347" s="181"/>
      <c r="P1347" s="181"/>
    </row>
    <row r="1348">
      <c r="B1348" s="292"/>
      <c r="C1348" s="181"/>
      <c r="D1348" s="181"/>
      <c r="E1348" s="181"/>
      <c r="F1348" s="181"/>
      <c r="G1348" s="181"/>
      <c r="H1348" s="181"/>
      <c r="I1348" s="181"/>
      <c r="J1348" s="181"/>
      <c r="K1348" s="181"/>
      <c r="L1348" s="181"/>
      <c r="M1348" s="181"/>
      <c r="N1348" s="181"/>
      <c r="O1348" s="181"/>
      <c r="P1348" s="181"/>
    </row>
    <row r="1349">
      <c r="B1349" s="292"/>
      <c r="C1349" s="181"/>
      <c r="D1349" s="181"/>
      <c r="E1349" s="181"/>
      <c r="F1349" s="181"/>
      <c r="G1349" s="181"/>
      <c r="H1349" s="181"/>
      <c r="I1349" s="181"/>
      <c r="J1349" s="181"/>
      <c r="K1349" s="181"/>
      <c r="L1349" s="181"/>
      <c r="M1349" s="181"/>
      <c r="N1349" s="181"/>
      <c r="O1349" s="181"/>
      <c r="P1349" s="181"/>
    </row>
    <row r="1350">
      <c r="B1350" s="292"/>
      <c r="C1350" s="181"/>
      <c r="D1350" s="181"/>
      <c r="E1350" s="181"/>
      <c r="F1350" s="181"/>
      <c r="G1350" s="181"/>
      <c r="H1350" s="181"/>
      <c r="I1350" s="181"/>
      <c r="J1350" s="181"/>
      <c r="K1350" s="181"/>
      <c r="L1350" s="181"/>
      <c r="M1350" s="181"/>
      <c r="N1350" s="181"/>
      <c r="O1350" s="181"/>
      <c r="P1350" s="181"/>
    </row>
    <row r="1351">
      <c r="B1351" s="292"/>
      <c r="C1351" s="181"/>
      <c r="D1351" s="181"/>
      <c r="E1351" s="181"/>
      <c r="F1351" s="181"/>
      <c r="G1351" s="181"/>
      <c r="H1351" s="181"/>
      <c r="I1351" s="181"/>
      <c r="J1351" s="181"/>
      <c r="K1351" s="181"/>
      <c r="L1351" s="181"/>
      <c r="M1351" s="181"/>
      <c r="N1351" s="181"/>
      <c r="O1351" s="181"/>
      <c r="P1351" s="181"/>
    </row>
    <row r="1352">
      <c r="B1352" s="292"/>
      <c r="C1352" s="181"/>
      <c r="D1352" s="181"/>
      <c r="E1352" s="181"/>
      <c r="F1352" s="181"/>
      <c r="G1352" s="181"/>
      <c r="H1352" s="181"/>
      <c r="I1352" s="181"/>
      <c r="J1352" s="181"/>
      <c r="K1352" s="181"/>
      <c r="L1352" s="181"/>
      <c r="M1352" s="181"/>
      <c r="N1352" s="181"/>
      <c r="O1352" s="181"/>
      <c r="P1352" s="181"/>
    </row>
    <row r="1353">
      <c r="B1353" s="292"/>
      <c r="C1353" s="181"/>
      <c r="D1353" s="181"/>
      <c r="E1353" s="181"/>
      <c r="F1353" s="181"/>
      <c r="G1353" s="181"/>
      <c r="H1353" s="181"/>
      <c r="I1353" s="181"/>
      <c r="J1353" s="181"/>
      <c r="K1353" s="181"/>
      <c r="L1353" s="181"/>
      <c r="M1353" s="181"/>
      <c r="N1353" s="181"/>
      <c r="O1353" s="181"/>
      <c r="P1353" s="181"/>
    </row>
    <row r="1354">
      <c r="B1354" s="292"/>
      <c r="C1354" s="181"/>
      <c r="D1354" s="181"/>
      <c r="E1354" s="181"/>
      <c r="F1354" s="181"/>
      <c r="G1354" s="181"/>
      <c r="H1354" s="181"/>
      <c r="I1354" s="181"/>
      <c r="J1354" s="181"/>
      <c r="K1354" s="181"/>
      <c r="L1354" s="181"/>
      <c r="M1354" s="181"/>
      <c r="N1354" s="181"/>
      <c r="O1354" s="181"/>
      <c r="P1354" s="181"/>
    </row>
    <row r="1355">
      <c r="B1355" s="292"/>
      <c r="C1355" s="181"/>
      <c r="D1355" s="181"/>
      <c r="E1355" s="181"/>
      <c r="F1355" s="181"/>
      <c r="G1355" s="181"/>
      <c r="H1355" s="181"/>
      <c r="I1355" s="181"/>
      <c r="J1355" s="181"/>
      <c r="K1355" s="181"/>
      <c r="L1355" s="181"/>
      <c r="M1355" s="181"/>
      <c r="N1355" s="181"/>
      <c r="O1355" s="181"/>
      <c r="P1355" s="181"/>
    </row>
    <row r="1356">
      <c r="B1356" s="292"/>
      <c r="C1356" s="181"/>
      <c r="D1356" s="181"/>
      <c r="E1356" s="181"/>
      <c r="F1356" s="181"/>
      <c r="G1356" s="181"/>
      <c r="H1356" s="181"/>
      <c r="I1356" s="181"/>
      <c r="J1356" s="181"/>
      <c r="K1356" s="181"/>
      <c r="L1356" s="181"/>
      <c r="M1356" s="181"/>
      <c r="N1356" s="181"/>
      <c r="O1356" s="181"/>
      <c r="P1356" s="181"/>
    </row>
    <row r="1357">
      <c r="B1357" s="292"/>
      <c r="C1357" s="181"/>
      <c r="D1357" s="181"/>
      <c r="E1357" s="181"/>
      <c r="F1357" s="181"/>
      <c r="G1357" s="181"/>
      <c r="H1357" s="181"/>
      <c r="I1357" s="181"/>
      <c r="J1357" s="181"/>
      <c r="K1357" s="181"/>
      <c r="L1357" s="181"/>
      <c r="M1357" s="181"/>
      <c r="N1357" s="181"/>
      <c r="O1357" s="181"/>
      <c r="P1357" s="181"/>
    </row>
    <row r="1358">
      <c r="B1358" s="292"/>
      <c r="C1358" s="181"/>
      <c r="D1358" s="181"/>
      <c r="E1358" s="181"/>
      <c r="F1358" s="181"/>
      <c r="G1358" s="181"/>
      <c r="H1358" s="181"/>
      <c r="I1358" s="181"/>
      <c r="J1358" s="181"/>
      <c r="K1358" s="181"/>
      <c r="L1358" s="181"/>
      <c r="M1358" s="181"/>
      <c r="N1358" s="181"/>
      <c r="O1358" s="181"/>
      <c r="P1358" s="181"/>
    </row>
    <row r="1359">
      <c r="B1359" s="292"/>
      <c r="C1359" s="181"/>
      <c r="D1359" s="181"/>
      <c r="E1359" s="181"/>
      <c r="F1359" s="181"/>
      <c r="G1359" s="181"/>
      <c r="H1359" s="181"/>
      <c r="I1359" s="181"/>
      <c r="J1359" s="181"/>
      <c r="K1359" s="181"/>
      <c r="L1359" s="181"/>
      <c r="M1359" s="181"/>
      <c r="N1359" s="181"/>
      <c r="O1359" s="181"/>
      <c r="P1359" s="181"/>
    </row>
    <row r="1360">
      <c r="B1360" s="292"/>
      <c r="C1360" s="181"/>
      <c r="D1360" s="181"/>
      <c r="E1360" s="181"/>
      <c r="F1360" s="181"/>
      <c r="G1360" s="181"/>
      <c r="H1360" s="181"/>
      <c r="I1360" s="181"/>
      <c r="J1360" s="181"/>
      <c r="K1360" s="181"/>
      <c r="L1360" s="181"/>
      <c r="M1360" s="181"/>
      <c r="N1360" s="181"/>
      <c r="O1360" s="181"/>
      <c r="P1360" s="181"/>
    </row>
    <row r="1361">
      <c r="B1361" s="292"/>
      <c r="C1361" s="181"/>
      <c r="D1361" s="181"/>
      <c r="E1361" s="181"/>
      <c r="F1361" s="181"/>
      <c r="G1361" s="181"/>
      <c r="H1361" s="181"/>
      <c r="I1361" s="181"/>
      <c r="J1361" s="181"/>
      <c r="K1361" s="181"/>
      <c r="L1361" s="181"/>
      <c r="M1361" s="181"/>
      <c r="N1361" s="181"/>
      <c r="O1361" s="181"/>
      <c r="P1361" s="181"/>
    </row>
    <row r="1362">
      <c r="B1362" s="292"/>
      <c r="C1362" s="181"/>
      <c r="D1362" s="181"/>
      <c r="E1362" s="181"/>
      <c r="F1362" s="181"/>
      <c r="G1362" s="181"/>
      <c r="H1362" s="181"/>
      <c r="I1362" s="181"/>
      <c r="J1362" s="181"/>
      <c r="K1362" s="181"/>
      <c r="L1362" s="181"/>
      <c r="M1362" s="181"/>
      <c r="N1362" s="181"/>
      <c r="O1362" s="181"/>
      <c r="P1362" s="181"/>
    </row>
    <row r="1363">
      <c r="B1363" s="292"/>
      <c r="C1363" s="181"/>
      <c r="D1363" s="181"/>
      <c r="E1363" s="181"/>
      <c r="F1363" s="181"/>
      <c r="G1363" s="181"/>
      <c r="H1363" s="181"/>
      <c r="I1363" s="181"/>
      <c r="J1363" s="181"/>
      <c r="K1363" s="181"/>
      <c r="L1363" s="181"/>
      <c r="M1363" s="181"/>
      <c r="N1363" s="181"/>
      <c r="O1363" s="181"/>
      <c r="P1363" s="181"/>
    </row>
    <row r="1364">
      <c r="B1364" s="292"/>
      <c r="C1364" s="181"/>
      <c r="D1364" s="181"/>
      <c r="E1364" s="181"/>
      <c r="F1364" s="181"/>
      <c r="G1364" s="181"/>
      <c r="H1364" s="181"/>
      <c r="I1364" s="181"/>
      <c r="J1364" s="181"/>
      <c r="K1364" s="181"/>
      <c r="L1364" s="181"/>
      <c r="M1364" s="181"/>
      <c r="N1364" s="181"/>
      <c r="O1364" s="181"/>
      <c r="P1364" s="181"/>
    </row>
    <row r="1365">
      <c r="B1365" s="292"/>
      <c r="C1365" s="181"/>
      <c r="D1365" s="181"/>
      <c r="E1365" s="181"/>
      <c r="F1365" s="181"/>
      <c r="G1365" s="181"/>
      <c r="H1365" s="181"/>
      <c r="I1365" s="181"/>
      <c r="J1365" s="181"/>
      <c r="K1365" s="181"/>
      <c r="L1365" s="181"/>
      <c r="M1365" s="181"/>
      <c r="N1365" s="181"/>
      <c r="O1365" s="181"/>
      <c r="P1365" s="181"/>
    </row>
    <row r="1366">
      <c r="B1366" s="292"/>
      <c r="C1366" s="181"/>
      <c r="D1366" s="181"/>
      <c r="E1366" s="181"/>
      <c r="F1366" s="181"/>
      <c r="G1366" s="181"/>
      <c r="H1366" s="181"/>
      <c r="I1366" s="181"/>
      <c r="J1366" s="181"/>
      <c r="K1366" s="181"/>
      <c r="L1366" s="181"/>
      <c r="M1366" s="181"/>
      <c r="N1366" s="181"/>
      <c r="O1366" s="181"/>
      <c r="P1366" s="181"/>
    </row>
    <row r="1367">
      <c r="B1367" s="292"/>
      <c r="C1367" s="181"/>
      <c r="D1367" s="181"/>
      <c r="E1367" s="181"/>
      <c r="F1367" s="181"/>
      <c r="G1367" s="181"/>
      <c r="H1367" s="181"/>
      <c r="I1367" s="181"/>
      <c r="J1367" s="181"/>
      <c r="K1367" s="181"/>
      <c r="L1367" s="181"/>
      <c r="M1367" s="181"/>
      <c r="N1367" s="181"/>
      <c r="O1367" s="181"/>
      <c r="P1367" s="181"/>
    </row>
    <row r="1368">
      <c r="B1368" s="292"/>
      <c r="C1368" s="181"/>
      <c r="D1368" s="181"/>
      <c r="E1368" s="181"/>
      <c r="F1368" s="181"/>
      <c r="G1368" s="181"/>
      <c r="H1368" s="181"/>
      <c r="I1368" s="181"/>
      <c r="J1368" s="181"/>
      <c r="K1368" s="181"/>
      <c r="L1368" s="181"/>
      <c r="M1368" s="181"/>
      <c r="N1368" s="181"/>
      <c r="O1368" s="181"/>
      <c r="P1368" s="181"/>
    </row>
    <row r="1369">
      <c r="B1369" s="292"/>
      <c r="C1369" s="181"/>
      <c r="D1369" s="181"/>
      <c r="E1369" s="181"/>
      <c r="F1369" s="181"/>
      <c r="G1369" s="181"/>
      <c r="H1369" s="181"/>
      <c r="I1369" s="181"/>
      <c r="J1369" s="181"/>
      <c r="K1369" s="181"/>
      <c r="L1369" s="181"/>
      <c r="M1369" s="181"/>
      <c r="N1369" s="181"/>
      <c r="O1369" s="181"/>
      <c r="P1369" s="181"/>
    </row>
    <row r="1370">
      <c r="B1370" s="292"/>
      <c r="C1370" s="181"/>
      <c r="D1370" s="181"/>
      <c r="E1370" s="181"/>
      <c r="F1370" s="181"/>
      <c r="G1370" s="181"/>
      <c r="H1370" s="181"/>
      <c r="I1370" s="181"/>
      <c r="J1370" s="181"/>
      <c r="K1370" s="181"/>
      <c r="L1370" s="181"/>
      <c r="M1370" s="181"/>
      <c r="N1370" s="181"/>
      <c r="O1370" s="181"/>
      <c r="P1370" s="181"/>
    </row>
    <row r="1371">
      <c r="B1371" s="292"/>
      <c r="C1371" s="181"/>
      <c r="D1371" s="181"/>
      <c r="E1371" s="181"/>
      <c r="F1371" s="181"/>
      <c r="G1371" s="181"/>
      <c r="H1371" s="181"/>
      <c r="I1371" s="181"/>
      <c r="J1371" s="181"/>
      <c r="K1371" s="181"/>
      <c r="L1371" s="181"/>
      <c r="M1371" s="181"/>
      <c r="N1371" s="181"/>
      <c r="O1371" s="181"/>
      <c r="P1371" s="181"/>
    </row>
    <row r="1372">
      <c r="B1372" s="292"/>
      <c r="C1372" s="181"/>
      <c r="D1372" s="181"/>
      <c r="E1372" s="181"/>
      <c r="F1372" s="181"/>
      <c r="G1372" s="181"/>
      <c r="H1372" s="181"/>
      <c r="I1372" s="181"/>
      <c r="J1372" s="181"/>
      <c r="K1372" s="181"/>
      <c r="L1372" s="181"/>
      <c r="M1372" s="181"/>
      <c r="N1372" s="181"/>
      <c r="O1372" s="181"/>
      <c r="P1372" s="181"/>
    </row>
    <row r="1373">
      <c r="B1373" s="292"/>
      <c r="C1373" s="181"/>
      <c r="D1373" s="181"/>
      <c r="E1373" s="181"/>
      <c r="F1373" s="181"/>
      <c r="G1373" s="181"/>
      <c r="H1373" s="181"/>
      <c r="I1373" s="181"/>
      <c r="J1373" s="181"/>
      <c r="K1373" s="181"/>
      <c r="L1373" s="181"/>
      <c r="M1373" s="181"/>
      <c r="N1373" s="181"/>
      <c r="O1373" s="181"/>
      <c r="P1373" s="181"/>
    </row>
    <row r="1374">
      <c r="B1374" s="292"/>
      <c r="C1374" s="181"/>
      <c r="D1374" s="181"/>
      <c r="E1374" s="181"/>
      <c r="F1374" s="181"/>
      <c r="G1374" s="181"/>
      <c r="H1374" s="181"/>
      <c r="I1374" s="181"/>
      <c r="J1374" s="181"/>
      <c r="K1374" s="181"/>
      <c r="L1374" s="181"/>
      <c r="M1374" s="181"/>
      <c r="N1374" s="181"/>
      <c r="O1374" s="181"/>
      <c r="P1374" s="181"/>
    </row>
    <row r="1375">
      <c r="B1375" s="292"/>
      <c r="C1375" s="181"/>
      <c r="D1375" s="181"/>
      <c r="E1375" s="181"/>
      <c r="F1375" s="181"/>
      <c r="G1375" s="181"/>
      <c r="H1375" s="181"/>
      <c r="I1375" s="181"/>
      <c r="J1375" s="181"/>
      <c r="K1375" s="181"/>
      <c r="L1375" s="181"/>
      <c r="M1375" s="181"/>
      <c r="N1375" s="181"/>
      <c r="O1375" s="181"/>
      <c r="P1375" s="181"/>
    </row>
    <row r="1376">
      <c r="B1376" s="292"/>
      <c r="C1376" s="181"/>
      <c r="D1376" s="181"/>
      <c r="E1376" s="181"/>
      <c r="F1376" s="181"/>
      <c r="G1376" s="181"/>
      <c r="H1376" s="181"/>
      <c r="I1376" s="181"/>
      <c r="J1376" s="181"/>
      <c r="K1376" s="181"/>
      <c r="L1376" s="181"/>
      <c r="M1376" s="181"/>
      <c r="N1376" s="181"/>
      <c r="O1376" s="181"/>
      <c r="P1376" s="181"/>
    </row>
    <row r="1377">
      <c r="B1377" s="292"/>
      <c r="C1377" s="181"/>
      <c r="D1377" s="181"/>
      <c r="E1377" s="181"/>
      <c r="F1377" s="181"/>
      <c r="G1377" s="181"/>
      <c r="H1377" s="181"/>
      <c r="I1377" s="181"/>
      <c r="J1377" s="181"/>
      <c r="K1377" s="181"/>
      <c r="L1377" s="181"/>
      <c r="M1377" s="181"/>
      <c r="N1377" s="181"/>
      <c r="O1377" s="181"/>
      <c r="P1377" s="181"/>
    </row>
    <row r="1378">
      <c r="B1378" s="292"/>
      <c r="C1378" s="181"/>
      <c r="D1378" s="181"/>
      <c r="E1378" s="181"/>
      <c r="F1378" s="181"/>
      <c r="G1378" s="181"/>
      <c r="H1378" s="181"/>
      <c r="I1378" s="181"/>
      <c r="J1378" s="181"/>
      <c r="K1378" s="181"/>
      <c r="L1378" s="181"/>
      <c r="M1378" s="181"/>
      <c r="N1378" s="181"/>
      <c r="O1378" s="181"/>
      <c r="P1378" s="181"/>
    </row>
    <row r="1379">
      <c r="B1379" s="292"/>
      <c r="C1379" s="181"/>
      <c r="D1379" s="181"/>
      <c r="E1379" s="181"/>
      <c r="F1379" s="181"/>
      <c r="G1379" s="181"/>
      <c r="H1379" s="181"/>
      <c r="I1379" s="181"/>
      <c r="J1379" s="181"/>
      <c r="K1379" s="181"/>
      <c r="L1379" s="181"/>
      <c r="M1379" s="181"/>
      <c r="N1379" s="181"/>
      <c r="O1379" s="181"/>
      <c r="P1379" s="181"/>
    </row>
    <row r="1380">
      <c r="B1380" s="292"/>
      <c r="C1380" s="181"/>
      <c r="D1380" s="181"/>
      <c r="E1380" s="181"/>
      <c r="F1380" s="181"/>
      <c r="G1380" s="181"/>
      <c r="H1380" s="181"/>
      <c r="I1380" s="181"/>
      <c r="J1380" s="181"/>
      <c r="K1380" s="181"/>
      <c r="L1380" s="181"/>
      <c r="M1380" s="181"/>
      <c r="N1380" s="181"/>
      <c r="O1380" s="181"/>
      <c r="P1380" s="181"/>
    </row>
    <row r="1381">
      <c r="B1381" s="292"/>
      <c r="C1381" s="181"/>
      <c r="D1381" s="181"/>
      <c r="E1381" s="181"/>
      <c r="F1381" s="181"/>
      <c r="G1381" s="181"/>
      <c r="H1381" s="181"/>
      <c r="I1381" s="181"/>
      <c r="J1381" s="181"/>
      <c r="K1381" s="181"/>
      <c r="L1381" s="181"/>
      <c r="M1381" s="181"/>
      <c r="N1381" s="181"/>
      <c r="O1381" s="181"/>
      <c r="P1381" s="181"/>
    </row>
    <row r="1382">
      <c r="B1382" s="292"/>
      <c r="C1382" s="181"/>
      <c r="D1382" s="181"/>
      <c r="E1382" s="181"/>
      <c r="F1382" s="181"/>
      <c r="G1382" s="181"/>
      <c r="H1382" s="181"/>
      <c r="I1382" s="181"/>
      <c r="J1382" s="181"/>
      <c r="K1382" s="181"/>
      <c r="L1382" s="181"/>
      <c r="M1382" s="181"/>
      <c r="N1382" s="181"/>
      <c r="O1382" s="181"/>
      <c r="P1382" s="181"/>
    </row>
    <row r="1383">
      <c r="B1383" s="292"/>
      <c r="C1383" s="181"/>
      <c r="D1383" s="181"/>
      <c r="E1383" s="181"/>
      <c r="F1383" s="181"/>
      <c r="G1383" s="181"/>
      <c r="H1383" s="181"/>
      <c r="I1383" s="181"/>
      <c r="J1383" s="181"/>
      <c r="K1383" s="181"/>
      <c r="L1383" s="181"/>
      <c r="M1383" s="181"/>
      <c r="N1383" s="181"/>
      <c r="O1383" s="181"/>
      <c r="P1383" s="181"/>
    </row>
    <row r="1384">
      <c r="B1384" s="292"/>
      <c r="C1384" s="181"/>
      <c r="D1384" s="181"/>
      <c r="E1384" s="181"/>
      <c r="F1384" s="181"/>
      <c r="G1384" s="181"/>
      <c r="H1384" s="181"/>
      <c r="I1384" s="181"/>
      <c r="J1384" s="181"/>
      <c r="K1384" s="181"/>
      <c r="L1384" s="181"/>
      <c r="M1384" s="181"/>
      <c r="N1384" s="181"/>
      <c r="O1384" s="181"/>
      <c r="P1384" s="181"/>
    </row>
    <row r="1385">
      <c r="B1385" s="292"/>
      <c r="C1385" s="181"/>
      <c r="D1385" s="181"/>
      <c r="E1385" s="181"/>
      <c r="F1385" s="181"/>
      <c r="G1385" s="181"/>
      <c r="H1385" s="181"/>
      <c r="I1385" s="181"/>
      <c r="J1385" s="181"/>
      <c r="K1385" s="181"/>
      <c r="L1385" s="181"/>
      <c r="M1385" s="181"/>
      <c r="N1385" s="181"/>
      <c r="O1385" s="181"/>
      <c r="P1385" s="181"/>
    </row>
    <row r="1386">
      <c r="B1386" s="292"/>
      <c r="C1386" s="181"/>
      <c r="D1386" s="181"/>
      <c r="E1386" s="181"/>
      <c r="F1386" s="181"/>
      <c r="G1386" s="181"/>
      <c r="H1386" s="181"/>
      <c r="I1386" s="181"/>
      <c r="J1386" s="181"/>
      <c r="K1386" s="181"/>
      <c r="L1386" s="181"/>
      <c r="M1386" s="181"/>
      <c r="N1386" s="181"/>
      <c r="O1386" s="181"/>
      <c r="P1386" s="181"/>
    </row>
    <row r="1387">
      <c r="B1387" s="292"/>
      <c r="C1387" s="181"/>
      <c r="D1387" s="181"/>
      <c r="E1387" s="181"/>
      <c r="F1387" s="181"/>
      <c r="G1387" s="181"/>
      <c r="H1387" s="181"/>
      <c r="I1387" s="181"/>
      <c r="J1387" s="181"/>
      <c r="K1387" s="181"/>
      <c r="L1387" s="181"/>
      <c r="M1387" s="181"/>
      <c r="N1387" s="181"/>
      <c r="O1387" s="181"/>
      <c r="P1387" s="181"/>
    </row>
    <row r="1388">
      <c r="B1388" s="292"/>
      <c r="C1388" s="181"/>
      <c r="D1388" s="181"/>
      <c r="E1388" s="181"/>
      <c r="F1388" s="181"/>
      <c r="G1388" s="181"/>
      <c r="H1388" s="181"/>
      <c r="I1388" s="181"/>
      <c r="J1388" s="181"/>
      <c r="K1388" s="181"/>
      <c r="L1388" s="181"/>
      <c r="M1388" s="181"/>
      <c r="N1388" s="181"/>
      <c r="O1388" s="181"/>
      <c r="P1388" s="181"/>
    </row>
    <row r="1389">
      <c r="B1389" s="292"/>
      <c r="C1389" s="181"/>
      <c r="D1389" s="181"/>
      <c r="E1389" s="181"/>
      <c r="F1389" s="181"/>
      <c r="G1389" s="181"/>
      <c r="H1389" s="181"/>
      <c r="I1389" s="181"/>
      <c r="J1389" s="181"/>
      <c r="K1389" s="181"/>
      <c r="L1389" s="181"/>
      <c r="M1389" s="181"/>
      <c r="N1389" s="181"/>
      <c r="O1389" s="181"/>
      <c r="P1389" s="181"/>
    </row>
    <row r="1390">
      <c r="B1390" s="292"/>
      <c r="C1390" s="181"/>
      <c r="D1390" s="181"/>
      <c r="E1390" s="181"/>
      <c r="F1390" s="181"/>
      <c r="G1390" s="181"/>
      <c r="H1390" s="181"/>
      <c r="I1390" s="181"/>
      <c r="J1390" s="181"/>
      <c r="K1390" s="181"/>
      <c r="L1390" s="181"/>
      <c r="M1390" s="181"/>
      <c r="N1390" s="181"/>
      <c r="O1390" s="181"/>
      <c r="P1390" s="181"/>
    </row>
    <row r="1391">
      <c r="B1391" s="292"/>
      <c r="C1391" s="181"/>
      <c r="D1391" s="181"/>
      <c r="E1391" s="181"/>
      <c r="F1391" s="181"/>
      <c r="G1391" s="181"/>
      <c r="H1391" s="181"/>
      <c r="I1391" s="181"/>
      <c r="J1391" s="181"/>
      <c r="K1391" s="181"/>
      <c r="L1391" s="181"/>
      <c r="M1391" s="181"/>
      <c r="N1391" s="181"/>
      <c r="O1391" s="181"/>
      <c r="P1391" s="181"/>
    </row>
    <row r="1392">
      <c r="B1392" s="292"/>
      <c r="C1392" s="181"/>
      <c r="D1392" s="181"/>
      <c r="E1392" s="181"/>
      <c r="F1392" s="181"/>
      <c r="G1392" s="181"/>
      <c r="H1392" s="181"/>
      <c r="I1392" s="181"/>
      <c r="J1392" s="181"/>
      <c r="K1392" s="181"/>
      <c r="L1392" s="181"/>
      <c r="M1392" s="181"/>
      <c r="N1392" s="181"/>
      <c r="O1392" s="181"/>
      <c r="P1392" s="181"/>
    </row>
    <row r="1393">
      <c r="B1393" s="292"/>
      <c r="C1393" s="181"/>
      <c r="D1393" s="181"/>
      <c r="E1393" s="181"/>
      <c r="F1393" s="181"/>
      <c r="G1393" s="181"/>
      <c r="H1393" s="181"/>
      <c r="I1393" s="181"/>
      <c r="J1393" s="181"/>
      <c r="K1393" s="181"/>
      <c r="L1393" s="181"/>
      <c r="M1393" s="181"/>
      <c r="N1393" s="181"/>
      <c r="O1393" s="181"/>
      <c r="P1393" s="181"/>
    </row>
    <row r="1394">
      <c r="B1394" s="292"/>
      <c r="C1394" s="181"/>
      <c r="D1394" s="181"/>
      <c r="E1394" s="181"/>
      <c r="F1394" s="181"/>
      <c r="G1394" s="181"/>
      <c r="H1394" s="181"/>
      <c r="I1394" s="181"/>
      <c r="J1394" s="181"/>
      <c r="K1394" s="181"/>
      <c r="L1394" s="181"/>
      <c r="M1394" s="181"/>
      <c r="N1394" s="181"/>
      <c r="O1394" s="181"/>
      <c r="P1394" s="181"/>
    </row>
    <row r="1395">
      <c r="B1395" s="292"/>
      <c r="C1395" s="181"/>
      <c r="D1395" s="181"/>
      <c r="E1395" s="181"/>
      <c r="F1395" s="181"/>
      <c r="G1395" s="181"/>
      <c r="H1395" s="181"/>
      <c r="I1395" s="181"/>
      <c r="J1395" s="181"/>
      <c r="K1395" s="181"/>
      <c r="L1395" s="181"/>
      <c r="M1395" s="181"/>
      <c r="N1395" s="181"/>
      <c r="O1395" s="181"/>
      <c r="P1395" s="181"/>
    </row>
    <row r="1396">
      <c r="B1396" s="292"/>
      <c r="C1396" s="181"/>
      <c r="D1396" s="181"/>
      <c r="E1396" s="181"/>
      <c r="F1396" s="181"/>
      <c r="G1396" s="181"/>
      <c r="H1396" s="181"/>
      <c r="I1396" s="181"/>
      <c r="J1396" s="181"/>
      <c r="K1396" s="181"/>
      <c r="L1396" s="181"/>
      <c r="M1396" s="181"/>
      <c r="N1396" s="181"/>
      <c r="O1396" s="181"/>
      <c r="P1396" s="181"/>
    </row>
    <row r="1397">
      <c r="B1397" s="292"/>
      <c r="C1397" s="181"/>
      <c r="D1397" s="181"/>
      <c r="E1397" s="181"/>
      <c r="F1397" s="181"/>
      <c r="G1397" s="181"/>
      <c r="H1397" s="181"/>
      <c r="I1397" s="181"/>
      <c r="J1397" s="181"/>
      <c r="K1397" s="181"/>
      <c r="L1397" s="181"/>
      <c r="M1397" s="181"/>
      <c r="N1397" s="181"/>
      <c r="O1397" s="181"/>
      <c r="P1397" s="181"/>
    </row>
    <row r="1398">
      <c r="B1398" s="292"/>
      <c r="C1398" s="181"/>
      <c r="D1398" s="181"/>
      <c r="E1398" s="181"/>
      <c r="F1398" s="181"/>
      <c r="G1398" s="181"/>
      <c r="H1398" s="181"/>
      <c r="I1398" s="181"/>
      <c r="J1398" s="181"/>
      <c r="K1398" s="181"/>
      <c r="L1398" s="181"/>
      <c r="M1398" s="181"/>
      <c r="N1398" s="181"/>
      <c r="O1398" s="181"/>
      <c r="P1398" s="181"/>
    </row>
    <row r="1399">
      <c r="B1399" s="292"/>
      <c r="C1399" s="181"/>
      <c r="D1399" s="181"/>
      <c r="E1399" s="181"/>
      <c r="F1399" s="181"/>
      <c r="G1399" s="181"/>
      <c r="H1399" s="181"/>
      <c r="I1399" s="181"/>
      <c r="J1399" s="181"/>
      <c r="K1399" s="181"/>
      <c r="L1399" s="181"/>
      <c r="M1399" s="181"/>
      <c r="N1399" s="181"/>
      <c r="O1399" s="181"/>
      <c r="P1399" s="181"/>
    </row>
    <row r="1400">
      <c r="B1400" s="292"/>
      <c r="C1400" s="181"/>
      <c r="D1400" s="181"/>
      <c r="E1400" s="181"/>
      <c r="F1400" s="181"/>
      <c r="G1400" s="181"/>
      <c r="H1400" s="181"/>
      <c r="I1400" s="181"/>
      <c r="J1400" s="181"/>
      <c r="K1400" s="181"/>
      <c r="L1400" s="181"/>
      <c r="M1400" s="181"/>
      <c r="N1400" s="181"/>
      <c r="O1400" s="181"/>
      <c r="P1400" s="181"/>
    </row>
    <row r="1401">
      <c r="B1401" s="292"/>
      <c r="C1401" s="181"/>
      <c r="D1401" s="181"/>
      <c r="E1401" s="181"/>
      <c r="F1401" s="181"/>
      <c r="G1401" s="181"/>
      <c r="H1401" s="181"/>
      <c r="I1401" s="181"/>
      <c r="J1401" s="181"/>
      <c r="K1401" s="181"/>
      <c r="L1401" s="181"/>
      <c r="M1401" s="181"/>
      <c r="N1401" s="181"/>
      <c r="O1401" s="181"/>
      <c r="P1401" s="181"/>
    </row>
    <row r="1402">
      <c r="B1402" s="292"/>
      <c r="C1402" s="181"/>
      <c r="D1402" s="181"/>
      <c r="E1402" s="181"/>
      <c r="F1402" s="181"/>
      <c r="G1402" s="181"/>
      <c r="H1402" s="181"/>
      <c r="I1402" s="181"/>
      <c r="J1402" s="181"/>
      <c r="K1402" s="181"/>
      <c r="L1402" s="181"/>
      <c r="M1402" s="181"/>
      <c r="N1402" s="181"/>
      <c r="O1402" s="181"/>
      <c r="P1402" s="181"/>
    </row>
    <row r="1403">
      <c r="B1403" s="292"/>
      <c r="C1403" s="181"/>
      <c r="D1403" s="181"/>
      <c r="E1403" s="181"/>
      <c r="F1403" s="181"/>
      <c r="G1403" s="181"/>
      <c r="H1403" s="181"/>
      <c r="I1403" s="181"/>
      <c r="J1403" s="181"/>
      <c r="K1403" s="181"/>
      <c r="L1403" s="181"/>
      <c r="M1403" s="181"/>
      <c r="N1403" s="181"/>
      <c r="O1403" s="181"/>
      <c r="P1403" s="181"/>
    </row>
    <row r="1404">
      <c r="B1404" s="292"/>
      <c r="C1404" s="181"/>
      <c r="D1404" s="181"/>
      <c r="E1404" s="181"/>
      <c r="F1404" s="181"/>
      <c r="G1404" s="181"/>
      <c r="H1404" s="181"/>
      <c r="I1404" s="181"/>
      <c r="J1404" s="181"/>
      <c r="K1404" s="181"/>
      <c r="L1404" s="181"/>
      <c r="M1404" s="181"/>
      <c r="N1404" s="181"/>
      <c r="O1404" s="181"/>
      <c r="P1404" s="181"/>
    </row>
    <row r="1405">
      <c r="B1405" s="292"/>
      <c r="C1405" s="181"/>
      <c r="D1405" s="181"/>
      <c r="E1405" s="181"/>
      <c r="F1405" s="181"/>
      <c r="G1405" s="181"/>
      <c r="H1405" s="181"/>
      <c r="I1405" s="181"/>
      <c r="J1405" s="181"/>
      <c r="K1405" s="181"/>
      <c r="L1405" s="181"/>
      <c r="M1405" s="181"/>
      <c r="N1405" s="181"/>
      <c r="O1405" s="181"/>
      <c r="P1405" s="181"/>
    </row>
    <row r="1406">
      <c r="B1406" s="292"/>
      <c r="C1406" s="181"/>
      <c r="D1406" s="181"/>
      <c r="E1406" s="181"/>
      <c r="F1406" s="181"/>
      <c r="G1406" s="181"/>
      <c r="H1406" s="181"/>
      <c r="I1406" s="181"/>
      <c r="J1406" s="181"/>
      <c r="K1406" s="181"/>
      <c r="L1406" s="181"/>
      <c r="M1406" s="181"/>
      <c r="N1406" s="181"/>
      <c r="O1406" s="181"/>
      <c r="P1406" s="181"/>
    </row>
    <row r="1407">
      <c r="B1407" s="292"/>
      <c r="C1407" s="181"/>
      <c r="D1407" s="181"/>
      <c r="E1407" s="181"/>
      <c r="F1407" s="181"/>
      <c r="G1407" s="181"/>
      <c r="H1407" s="181"/>
      <c r="I1407" s="181"/>
      <c r="J1407" s="181"/>
      <c r="K1407" s="181"/>
      <c r="L1407" s="181"/>
      <c r="M1407" s="181"/>
      <c r="N1407" s="181"/>
      <c r="O1407" s="181"/>
      <c r="P1407" s="181"/>
    </row>
    <row r="1408">
      <c r="B1408" s="292"/>
      <c r="C1408" s="181"/>
      <c r="D1408" s="181"/>
      <c r="E1408" s="181"/>
      <c r="F1408" s="181"/>
      <c r="G1408" s="181"/>
      <c r="H1408" s="181"/>
      <c r="I1408" s="181"/>
      <c r="J1408" s="181"/>
      <c r="K1408" s="181"/>
      <c r="L1408" s="181"/>
      <c r="M1408" s="181"/>
      <c r="N1408" s="181"/>
      <c r="O1408" s="181"/>
      <c r="P1408" s="181"/>
    </row>
    <row r="1409">
      <c r="B1409" s="292"/>
      <c r="C1409" s="181"/>
      <c r="D1409" s="181"/>
      <c r="E1409" s="181"/>
      <c r="F1409" s="181"/>
      <c r="G1409" s="181"/>
      <c r="H1409" s="181"/>
      <c r="I1409" s="181"/>
      <c r="J1409" s="181"/>
      <c r="K1409" s="181"/>
      <c r="L1409" s="181"/>
      <c r="M1409" s="181"/>
      <c r="N1409" s="181"/>
      <c r="O1409" s="181"/>
      <c r="P1409" s="181"/>
    </row>
    <row r="1410">
      <c r="B1410" s="292"/>
      <c r="C1410" s="181"/>
      <c r="D1410" s="181"/>
      <c r="E1410" s="181"/>
      <c r="F1410" s="181"/>
      <c r="G1410" s="181"/>
      <c r="H1410" s="181"/>
      <c r="I1410" s="181"/>
      <c r="J1410" s="181"/>
      <c r="K1410" s="181"/>
      <c r="L1410" s="181"/>
      <c r="M1410" s="181"/>
      <c r="N1410" s="181"/>
      <c r="O1410" s="181"/>
      <c r="P1410" s="181"/>
    </row>
    <row r="1411">
      <c r="B1411" s="292"/>
      <c r="C1411" s="181"/>
      <c r="D1411" s="181"/>
      <c r="E1411" s="181"/>
      <c r="F1411" s="181"/>
      <c r="G1411" s="181"/>
      <c r="H1411" s="181"/>
      <c r="I1411" s="181"/>
      <c r="J1411" s="181"/>
      <c r="K1411" s="181"/>
      <c r="L1411" s="181"/>
      <c r="M1411" s="181"/>
      <c r="N1411" s="181"/>
      <c r="O1411" s="181"/>
      <c r="P1411" s="181"/>
    </row>
    <row r="1412">
      <c r="B1412" s="292"/>
      <c r="C1412" s="181"/>
      <c r="D1412" s="181"/>
      <c r="E1412" s="181"/>
      <c r="F1412" s="181"/>
      <c r="G1412" s="181"/>
      <c r="H1412" s="181"/>
      <c r="I1412" s="181"/>
      <c r="J1412" s="181"/>
      <c r="K1412" s="181"/>
      <c r="L1412" s="181"/>
      <c r="M1412" s="181"/>
      <c r="N1412" s="181"/>
      <c r="O1412" s="181"/>
      <c r="P1412" s="181"/>
    </row>
    <row r="1413">
      <c r="B1413" s="292"/>
      <c r="C1413" s="181"/>
      <c r="D1413" s="181"/>
      <c r="E1413" s="181"/>
      <c r="F1413" s="181"/>
      <c r="G1413" s="181"/>
      <c r="H1413" s="181"/>
      <c r="I1413" s="181"/>
      <c r="J1413" s="181"/>
      <c r="K1413" s="181"/>
      <c r="L1413" s="181"/>
      <c r="M1413" s="181"/>
      <c r="N1413" s="181"/>
      <c r="O1413" s="181"/>
      <c r="P1413" s="181"/>
    </row>
    <row r="1414">
      <c r="B1414" s="292"/>
      <c r="C1414" s="181"/>
      <c r="D1414" s="181"/>
      <c r="E1414" s="181"/>
      <c r="F1414" s="181"/>
      <c r="G1414" s="181"/>
      <c r="H1414" s="181"/>
      <c r="I1414" s="181"/>
      <c r="J1414" s="181"/>
      <c r="K1414" s="181"/>
      <c r="L1414" s="181"/>
      <c r="M1414" s="181"/>
      <c r="N1414" s="181"/>
      <c r="O1414" s="181"/>
      <c r="P1414" s="181"/>
    </row>
    <row r="1415">
      <c r="B1415" s="292"/>
      <c r="C1415" s="181"/>
      <c r="D1415" s="181"/>
      <c r="E1415" s="181"/>
      <c r="F1415" s="181"/>
      <c r="G1415" s="181"/>
      <c r="H1415" s="181"/>
      <c r="I1415" s="181"/>
      <c r="J1415" s="181"/>
      <c r="K1415" s="181"/>
      <c r="L1415" s="181"/>
      <c r="M1415" s="181"/>
      <c r="N1415" s="181"/>
      <c r="O1415" s="181"/>
      <c r="P1415" s="181"/>
    </row>
    <row r="1416">
      <c r="B1416" s="292"/>
      <c r="C1416" s="181"/>
      <c r="D1416" s="181"/>
      <c r="E1416" s="181"/>
      <c r="F1416" s="181"/>
      <c r="G1416" s="181"/>
      <c r="H1416" s="181"/>
      <c r="I1416" s="181"/>
      <c r="J1416" s="181"/>
      <c r="K1416" s="181"/>
      <c r="L1416" s="181"/>
      <c r="M1416" s="181"/>
      <c r="N1416" s="181"/>
      <c r="O1416" s="181"/>
      <c r="P1416" s="181"/>
    </row>
    <row r="1417">
      <c r="B1417" s="292"/>
      <c r="C1417" s="181"/>
      <c r="D1417" s="181"/>
      <c r="E1417" s="181"/>
      <c r="F1417" s="181"/>
      <c r="G1417" s="181"/>
      <c r="H1417" s="181"/>
      <c r="I1417" s="181"/>
      <c r="J1417" s="181"/>
      <c r="K1417" s="181"/>
      <c r="L1417" s="181"/>
      <c r="M1417" s="181"/>
      <c r="N1417" s="181"/>
      <c r="O1417" s="181"/>
      <c r="P1417" s="181"/>
    </row>
    <row r="1418">
      <c r="B1418" s="292"/>
      <c r="C1418" s="181"/>
      <c r="D1418" s="181"/>
      <c r="E1418" s="181"/>
      <c r="F1418" s="181"/>
      <c r="G1418" s="181"/>
      <c r="H1418" s="181"/>
      <c r="I1418" s="181"/>
      <c r="J1418" s="181"/>
      <c r="K1418" s="181"/>
      <c r="L1418" s="181"/>
      <c r="M1418" s="181"/>
      <c r="N1418" s="181"/>
      <c r="O1418" s="181"/>
      <c r="P1418" s="181"/>
    </row>
    <row r="1419">
      <c r="B1419" s="292"/>
      <c r="C1419" s="181"/>
      <c r="D1419" s="181"/>
      <c r="E1419" s="181"/>
      <c r="F1419" s="181"/>
      <c r="G1419" s="181"/>
      <c r="H1419" s="181"/>
      <c r="I1419" s="181"/>
      <c r="J1419" s="181"/>
      <c r="K1419" s="181"/>
      <c r="L1419" s="181"/>
      <c r="M1419" s="181"/>
      <c r="N1419" s="181"/>
      <c r="O1419" s="181"/>
      <c r="P1419" s="181"/>
    </row>
    <row r="1420">
      <c r="B1420" s="292"/>
      <c r="C1420" s="181"/>
      <c r="D1420" s="181"/>
      <c r="E1420" s="181"/>
      <c r="F1420" s="181"/>
      <c r="G1420" s="181"/>
      <c r="H1420" s="181"/>
      <c r="I1420" s="181"/>
      <c r="J1420" s="181"/>
      <c r="K1420" s="181"/>
      <c r="L1420" s="181"/>
      <c r="M1420" s="181"/>
      <c r="N1420" s="181"/>
      <c r="O1420" s="181"/>
      <c r="P1420" s="181"/>
    </row>
    <row r="1421">
      <c r="B1421" s="292"/>
      <c r="C1421" s="181"/>
      <c r="D1421" s="181"/>
      <c r="E1421" s="181"/>
      <c r="F1421" s="181"/>
      <c r="G1421" s="181"/>
      <c r="H1421" s="181"/>
      <c r="I1421" s="181"/>
      <c r="J1421" s="181"/>
      <c r="K1421" s="181"/>
      <c r="L1421" s="181"/>
      <c r="M1421" s="181"/>
      <c r="N1421" s="181"/>
      <c r="O1421" s="181"/>
      <c r="P1421" s="181"/>
    </row>
    <row r="1422">
      <c r="B1422" s="292"/>
      <c r="C1422" s="181"/>
      <c r="D1422" s="181"/>
      <c r="E1422" s="181"/>
      <c r="F1422" s="181"/>
      <c r="G1422" s="181"/>
      <c r="H1422" s="181"/>
      <c r="I1422" s="181"/>
      <c r="J1422" s="181"/>
      <c r="K1422" s="181"/>
      <c r="L1422" s="181"/>
      <c r="M1422" s="181"/>
      <c r="N1422" s="181"/>
      <c r="O1422" s="181"/>
      <c r="P1422" s="181"/>
    </row>
    <row r="1423">
      <c r="B1423" s="292"/>
      <c r="C1423" s="181"/>
      <c r="D1423" s="181"/>
      <c r="E1423" s="181"/>
      <c r="F1423" s="181"/>
      <c r="G1423" s="181"/>
      <c r="H1423" s="181"/>
      <c r="I1423" s="181"/>
      <c r="J1423" s="181"/>
      <c r="K1423" s="181"/>
      <c r="L1423" s="181"/>
      <c r="M1423" s="181"/>
      <c r="N1423" s="181"/>
      <c r="O1423" s="181"/>
      <c r="P1423" s="181"/>
    </row>
    <row r="1424">
      <c r="B1424" s="292"/>
      <c r="C1424" s="181"/>
      <c r="D1424" s="181"/>
      <c r="E1424" s="181"/>
      <c r="F1424" s="181"/>
      <c r="G1424" s="181"/>
      <c r="H1424" s="181"/>
      <c r="I1424" s="181"/>
      <c r="J1424" s="181"/>
      <c r="K1424" s="181"/>
      <c r="L1424" s="181"/>
      <c r="M1424" s="181"/>
      <c r="N1424" s="181"/>
      <c r="O1424" s="181"/>
      <c r="P1424" s="181"/>
    </row>
    <row r="1425">
      <c r="B1425" s="292"/>
      <c r="C1425" s="181"/>
      <c r="D1425" s="181"/>
      <c r="E1425" s="181"/>
      <c r="F1425" s="181"/>
      <c r="G1425" s="181"/>
      <c r="H1425" s="181"/>
      <c r="I1425" s="181"/>
      <c r="J1425" s="181"/>
      <c r="K1425" s="181"/>
      <c r="L1425" s="181"/>
      <c r="M1425" s="181"/>
      <c r="N1425" s="181"/>
      <c r="O1425" s="181"/>
      <c r="P1425" s="181"/>
    </row>
    <row r="1426">
      <c r="B1426" s="292"/>
      <c r="C1426" s="181"/>
      <c r="D1426" s="181"/>
      <c r="E1426" s="181"/>
      <c r="F1426" s="181"/>
      <c r="G1426" s="181"/>
      <c r="H1426" s="181"/>
      <c r="I1426" s="181"/>
      <c r="J1426" s="181"/>
      <c r="K1426" s="181"/>
      <c r="L1426" s="181"/>
      <c r="M1426" s="181"/>
      <c r="N1426" s="181"/>
      <c r="O1426" s="181"/>
      <c r="P1426" s="181"/>
    </row>
    <row r="1427">
      <c r="B1427" s="292"/>
      <c r="C1427" s="181"/>
      <c r="D1427" s="181"/>
      <c r="E1427" s="181"/>
      <c r="F1427" s="181"/>
      <c r="G1427" s="181"/>
      <c r="H1427" s="181"/>
      <c r="I1427" s="181"/>
      <c r="J1427" s="181"/>
      <c r="K1427" s="181"/>
      <c r="L1427" s="181"/>
      <c r="M1427" s="181"/>
      <c r="N1427" s="181"/>
      <c r="O1427" s="181"/>
      <c r="P1427" s="181"/>
    </row>
    <row r="1428">
      <c r="B1428" s="292"/>
      <c r="C1428" s="181"/>
      <c r="D1428" s="181"/>
      <c r="E1428" s="181"/>
      <c r="F1428" s="181"/>
      <c r="G1428" s="181"/>
      <c r="H1428" s="181"/>
      <c r="I1428" s="181"/>
      <c r="J1428" s="181"/>
      <c r="K1428" s="181"/>
      <c r="L1428" s="181"/>
      <c r="M1428" s="181"/>
      <c r="N1428" s="181"/>
      <c r="O1428" s="181"/>
      <c r="P1428" s="181"/>
    </row>
    <row r="1429">
      <c r="B1429" s="292"/>
      <c r="C1429" s="181"/>
      <c r="D1429" s="181"/>
      <c r="E1429" s="181"/>
      <c r="F1429" s="181"/>
      <c r="G1429" s="181"/>
      <c r="H1429" s="181"/>
      <c r="I1429" s="181"/>
      <c r="J1429" s="181"/>
      <c r="K1429" s="181"/>
      <c r="L1429" s="181"/>
      <c r="M1429" s="181"/>
      <c r="N1429" s="181"/>
      <c r="O1429" s="181"/>
      <c r="P1429" s="181"/>
    </row>
    <row r="1430">
      <c r="B1430" s="292"/>
      <c r="C1430" s="181"/>
      <c r="D1430" s="181"/>
      <c r="E1430" s="181"/>
      <c r="F1430" s="181"/>
      <c r="G1430" s="181"/>
      <c r="H1430" s="181"/>
      <c r="I1430" s="181"/>
      <c r="J1430" s="181"/>
      <c r="K1430" s="181"/>
      <c r="L1430" s="181"/>
      <c r="M1430" s="181"/>
      <c r="N1430" s="181"/>
      <c r="O1430" s="181"/>
      <c r="P1430" s="181"/>
    </row>
    <row r="1431">
      <c r="B1431" s="292"/>
      <c r="C1431" s="181"/>
      <c r="D1431" s="181"/>
      <c r="E1431" s="181"/>
      <c r="F1431" s="181"/>
      <c r="G1431" s="181"/>
      <c r="H1431" s="181"/>
      <c r="I1431" s="181"/>
      <c r="J1431" s="181"/>
      <c r="K1431" s="181"/>
      <c r="L1431" s="181"/>
      <c r="M1431" s="181"/>
      <c r="N1431" s="181"/>
      <c r="O1431" s="181"/>
      <c r="P1431" s="181"/>
    </row>
    <row r="1432">
      <c r="B1432" s="292"/>
      <c r="C1432" s="181"/>
      <c r="D1432" s="181"/>
      <c r="E1432" s="181"/>
      <c r="F1432" s="181"/>
      <c r="G1432" s="181"/>
      <c r="H1432" s="181"/>
      <c r="I1432" s="181"/>
      <c r="J1432" s="181"/>
      <c r="K1432" s="181"/>
      <c r="L1432" s="181"/>
      <c r="M1432" s="181"/>
      <c r="N1432" s="181"/>
      <c r="O1432" s="181"/>
      <c r="P1432" s="181"/>
    </row>
    <row r="1433">
      <c r="B1433" s="292"/>
      <c r="C1433" s="181"/>
      <c r="D1433" s="181"/>
      <c r="E1433" s="181"/>
      <c r="F1433" s="181"/>
      <c r="G1433" s="181"/>
      <c r="H1433" s="181"/>
      <c r="I1433" s="181"/>
      <c r="J1433" s="181"/>
      <c r="K1433" s="181"/>
      <c r="L1433" s="181"/>
      <c r="M1433" s="181"/>
      <c r="N1433" s="181"/>
      <c r="O1433" s="181"/>
      <c r="P1433" s="181"/>
    </row>
    <row r="1434">
      <c r="B1434" s="292"/>
      <c r="C1434" s="181"/>
      <c r="D1434" s="181"/>
      <c r="E1434" s="181"/>
      <c r="F1434" s="181"/>
      <c r="G1434" s="181"/>
      <c r="H1434" s="181"/>
      <c r="I1434" s="181"/>
      <c r="J1434" s="181"/>
      <c r="K1434" s="181"/>
      <c r="L1434" s="181"/>
      <c r="M1434" s="181"/>
      <c r="N1434" s="181"/>
      <c r="O1434" s="181"/>
      <c r="P1434" s="181"/>
    </row>
    <row r="1435">
      <c r="B1435" s="292"/>
      <c r="C1435" s="181"/>
      <c r="D1435" s="181"/>
      <c r="E1435" s="181"/>
      <c r="F1435" s="181"/>
      <c r="G1435" s="181"/>
      <c r="H1435" s="181"/>
      <c r="I1435" s="181"/>
      <c r="J1435" s="181"/>
      <c r="K1435" s="181"/>
      <c r="L1435" s="181"/>
      <c r="M1435" s="181"/>
      <c r="N1435" s="181"/>
      <c r="O1435" s="181"/>
      <c r="P1435" s="181"/>
    </row>
    <row r="1436">
      <c r="B1436" s="292"/>
      <c r="C1436" s="181"/>
      <c r="D1436" s="181"/>
      <c r="E1436" s="181"/>
      <c r="F1436" s="181"/>
      <c r="G1436" s="181"/>
      <c r="H1436" s="181"/>
      <c r="I1436" s="181"/>
      <c r="J1436" s="181"/>
      <c r="K1436" s="181"/>
      <c r="L1436" s="181"/>
      <c r="M1436" s="181"/>
      <c r="N1436" s="181"/>
      <c r="O1436" s="181"/>
      <c r="P1436" s="181"/>
    </row>
    <row r="1437">
      <c r="B1437" s="292"/>
      <c r="C1437" s="181"/>
      <c r="D1437" s="181"/>
      <c r="E1437" s="181"/>
      <c r="F1437" s="181"/>
      <c r="G1437" s="181"/>
      <c r="H1437" s="181"/>
      <c r="I1437" s="181"/>
      <c r="J1437" s="181"/>
      <c r="K1437" s="181"/>
      <c r="L1437" s="181"/>
      <c r="M1437" s="181"/>
      <c r="N1437" s="181"/>
      <c r="O1437" s="181"/>
      <c r="P1437" s="181"/>
    </row>
    <row r="1438">
      <c r="B1438" s="292"/>
      <c r="C1438" s="181"/>
      <c r="D1438" s="181"/>
      <c r="E1438" s="181"/>
      <c r="F1438" s="181"/>
      <c r="G1438" s="181"/>
      <c r="H1438" s="181"/>
      <c r="I1438" s="181"/>
      <c r="J1438" s="181"/>
      <c r="K1438" s="181"/>
      <c r="L1438" s="181"/>
      <c r="M1438" s="181"/>
      <c r="N1438" s="181"/>
      <c r="O1438" s="181"/>
      <c r="P1438" s="181"/>
    </row>
    <row r="1439">
      <c r="B1439" s="292"/>
      <c r="C1439" s="181"/>
      <c r="D1439" s="181"/>
      <c r="E1439" s="181"/>
      <c r="F1439" s="181"/>
      <c r="G1439" s="181"/>
      <c r="H1439" s="181"/>
      <c r="I1439" s="181"/>
      <c r="J1439" s="181"/>
      <c r="K1439" s="181"/>
      <c r="L1439" s="181"/>
      <c r="M1439" s="181"/>
      <c r="N1439" s="181"/>
      <c r="O1439" s="181"/>
      <c r="P1439" s="181"/>
    </row>
    <row r="1440">
      <c r="B1440" s="292"/>
      <c r="C1440" s="181"/>
      <c r="D1440" s="181"/>
      <c r="E1440" s="181"/>
      <c r="F1440" s="181"/>
      <c r="G1440" s="181"/>
      <c r="H1440" s="181"/>
      <c r="I1440" s="181"/>
      <c r="J1440" s="181"/>
      <c r="K1440" s="181"/>
      <c r="L1440" s="181"/>
      <c r="M1440" s="181"/>
      <c r="N1440" s="181"/>
      <c r="O1440" s="181"/>
      <c r="P1440" s="181"/>
    </row>
    <row r="1441">
      <c r="B1441" s="292"/>
      <c r="C1441" s="181"/>
      <c r="D1441" s="181"/>
      <c r="E1441" s="181"/>
      <c r="F1441" s="181"/>
      <c r="G1441" s="181"/>
      <c r="H1441" s="181"/>
      <c r="I1441" s="181"/>
      <c r="J1441" s="181"/>
      <c r="K1441" s="181"/>
      <c r="L1441" s="181"/>
      <c r="M1441" s="181"/>
      <c r="N1441" s="181"/>
      <c r="O1441" s="181"/>
      <c r="P1441" s="181"/>
    </row>
    <row r="1442">
      <c r="B1442" s="292"/>
      <c r="C1442" s="181"/>
      <c r="D1442" s="181"/>
      <c r="E1442" s="181"/>
      <c r="F1442" s="181"/>
      <c r="G1442" s="181"/>
      <c r="H1442" s="181"/>
      <c r="I1442" s="181"/>
      <c r="J1442" s="181"/>
      <c r="K1442" s="181"/>
      <c r="L1442" s="181"/>
      <c r="M1442" s="181"/>
      <c r="N1442" s="181"/>
      <c r="O1442" s="181"/>
      <c r="P1442" s="181"/>
    </row>
    <row r="1443">
      <c r="B1443" s="292"/>
      <c r="C1443" s="181"/>
      <c r="D1443" s="181"/>
      <c r="E1443" s="181"/>
      <c r="F1443" s="181"/>
      <c r="G1443" s="181"/>
      <c r="H1443" s="181"/>
      <c r="I1443" s="181"/>
      <c r="J1443" s="181"/>
      <c r="K1443" s="181"/>
      <c r="L1443" s="181"/>
      <c r="M1443" s="181"/>
      <c r="N1443" s="181"/>
      <c r="O1443" s="181"/>
      <c r="P1443" s="181"/>
    </row>
    <row r="1444">
      <c r="B1444" s="292"/>
      <c r="C1444" s="181"/>
      <c r="D1444" s="181"/>
      <c r="E1444" s="181"/>
      <c r="F1444" s="181"/>
      <c r="G1444" s="181"/>
      <c r="H1444" s="181"/>
      <c r="I1444" s="181"/>
      <c r="J1444" s="181"/>
      <c r="K1444" s="181"/>
      <c r="L1444" s="181"/>
      <c r="M1444" s="181"/>
      <c r="N1444" s="181"/>
      <c r="O1444" s="181"/>
      <c r="P1444" s="181"/>
    </row>
    <row r="1445">
      <c r="B1445" s="292"/>
      <c r="C1445" s="181"/>
      <c r="D1445" s="181"/>
      <c r="E1445" s="181"/>
      <c r="F1445" s="181"/>
      <c r="G1445" s="181"/>
      <c r="H1445" s="181"/>
      <c r="I1445" s="181"/>
      <c r="J1445" s="181"/>
      <c r="K1445" s="181"/>
      <c r="L1445" s="181"/>
      <c r="M1445" s="181"/>
      <c r="N1445" s="181"/>
      <c r="O1445" s="181"/>
      <c r="P1445" s="181"/>
    </row>
    <row r="1446">
      <c r="B1446" s="292"/>
      <c r="C1446" s="181"/>
      <c r="D1446" s="181"/>
      <c r="E1446" s="181"/>
      <c r="F1446" s="181"/>
      <c r="G1446" s="181"/>
      <c r="H1446" s="181"/>
      <c r="I1446" s="181"/>
      <c r="J1446" s="181"/>
      <c r="K1446" s="181"/>
      <c r="L1446" s="181"/>
      <c r="M1446" s="181"/>
      <c r="N1446" s="181"/>
      <c r="O1446" s="181"/>
      <c r="P1446" s="181"/>
    </row>
    <row r="1447">
      <c r="B1447" s="292"/>
      <c r="C1447" s="181"/>
      <c r="D1447" s="181"/>
      <c r="E1447" s="181"/>
      <c r="F1447" s="181"/>
      <c r="G1447" s="181"/>
      <c r="H1447" s="181"/>
      <c r="I1447" s="181"/>
      <c r="J1447" s="181"/>
      <c r="K1447" s="181"/>
      <c r="L1447" s="181"/>
      <c r="M1447" s="181"/>
      <c r="N1447" s="181"/>
      <c r="O1447" s="181"/>
      <c r="P1447" s="181"/>
    </row>
    <row r="1448">
      <c r="B1448" s="292"/>
      <c r="C1448" s="181"/>
      <c r="D1448" s="181"/>
      <c r="E1448" s="181"/>
      <c r="F1448" s="181"/>
      <c r="G1448" s="181"/>
      <c r="H1448" s="181"/>
      <c r="I1448" s="181"/>
      <c r="J1448" s="181"/>
      <c r="K1448" s="181"/>
      <c r="L1448" s="181"/>
      <c r="M1448" s="181"/>
      <c r="N1448" s="181"/>
      <c r="O1448" s="181"/>
      <c r="P1448" s="181"/>
    </row>
    <row r="1449">
      <c r="B1449" s="292"/>
      <c r="C1449" s="181"/>
      <c r="D1449" s="181"/>
      <c r="E1449" s="181"/>
      <c r="F1449" s="181"/>
      <c r="G1449" s="181"/>
      <c r="H1449" s="181"/>
      <c r="I1449" s="181"/>
      <c r="J1449" s="181"/>
      <c r="K1449" s="181"/>
      <c r="L1449" s="181"/>
      <c r="M1449" s="181"/>
      <c r="N1449" s="181"/>
      <c r="O1449" s="181"/>
      <c r="P1449" s="181"/>
    </row>
    <row r="1450">
      <c r="B1450" s="292"/>
      <c r="C1450" s="181"/>
      <c r="D1450" s="181"/>
      <c r="E1450" s="181"/>
      <c r="F1450" s="181"/>
      <c r="G1450" s="181"/>
      <c r="H1450" s="181"/>
      <c r="I1450" s="181"/>
      <c r="J1450" s="181"/>
      <c r="K1450" s="181"/>
      <c r="L1450" s="181"/>
      <c r="M1450" s="181"/>
      <c r="N1450" s="181"/>
      <c r="O1450" s="181"/>
      <c r="P1450" s="181"/>
    </row>
    <row r="1451">
      <c r="B1451" s="292"/>
      <c r="C1451" s="181"/>
      <c r="D1451" s="181"/>
      <c r="E1451" s="181"/>
      <c r="F1451" s="181"/>
      <c r="G1451" s="181"/>
      <c r="H1451" s="181"/>
      <c r="I1451" s="181"/>
      <c r="J1451" s="181"/>
      <c r="K1451" s="181"/>
      <c r="L1451" s="181"/>
      <c r="M1451" s="181"/>
      <c r="N1451" s="181"/>
      <c r="O1451" s="181"/>
      <c r="P1451" s="181"/>
    </row>
    <row r="1452">
      <c r="B1452" s="292"/>
      <c r="C1452" s="181"/>
      <c r="D1452" s="181"/>
      <c r="E1452" s="181"/>
      <c r="F1452" s="181"/>
      <c r="G1452" s="181"/>
      <c r="H1452" s="181"/>
      <c r="I1452" s="181"/>
      <c r="J1452" s="181"/>
      <c r="K1452" s="181"/>
      <c r="L1452" s="181"/>
      <c r="M1452" s="181"/>
      <c r="N1452" s="181"/>
      <c r="O1452" s="181"/>
      <c r="P1452" s="181"/>
    </row>
    <row r="1453">
      <c r="B1453" s="292"/>
      <c r="C1453" s="181"/>
      <c r="D1453" s="181"/>
      <c r="E1453" s="181"/>
      <c r="F1453" s="181"/>
      <c r="G1453" s="181"/>
      <c r="H1453" s="181"/>
      <c r="I1453" s="181"/>
      <c r="J1453" s="181"/>
      <c r="K1453" s="181"/>
      <c r="L1453" s="181"/>
      <c r="M1453" s="181"/>
      <c r="N1453" s="181"/>
      <c r="O1453" s="181"/>
      <c r="P1453" s="181"/>
    </row>
    <row r="1454">
      <c r="B1454" s="292"/>
      <c r="C1454" s="181"/>
      <c r="D1454" s="181"/>
      <c r="E1454" s="181"/>
      <c r="F1454" s="181"/>
      <c r="G1454" s="181"/>
      <c r="H1454" s="181"/>
      <c r="I1454" s="181"/>
      <c r="J1454" s="181"/>
      <c r="K1454" s="181"/>
      <c r="L1454" s="181"/>
      <c r="M1454" s="181"/>
      <c r="N1454" s="181"/>
      <c r="O1454" s="181"/>
      <c r="P1454" s="181"/>
    </row>
    <row r="1455">
      <c r="B1455" s="292"/>
      <c r="C1455" s="181"/>
      <c r="D1455" s="181"/>
      <c r="E1455" s="181"/>
      <c r="F1455" s="181"/>
      <c r="G1455" s="181"/>
      <c r="H1455" s="181"/>
      <c r="I1455" s="181"/>
      <c r="J1455" s="181"/>
      <c r="K1455" s="181"/>
      <c r="L1455" s="181"/>
      <c r="M1455" s="181"/>
      <c r="N1455" s="181"/>
      <c r="O1455" s="181"/>
      <c r="P1455" s="181"/>
    </row>
    <row r="1456">
      <c r="B1456" s="292"/>
      <c r="C1456" s="181"/>
      <c r="D1456" s="181"/>
      <c r="E1456" s="181"/>
      <c r="F1456" s="181"/>
      <c r="G1456" s="181"/>
      <c r="H1456" s="181"/>
      <c r="I1456" s="181"/>
      <c r="J1456" s="181"/>
      <c r="K1456" s="181"/>
      <c r="L1456" s="181"/>
      <c r="M1456" s="181"/>
      <c r="N1456" s="181"/>
      <c r="O1456" s="181"/>
      <c r="P1456" s="181"/>
    </row>
    <row r="1457">
      <c r="B1457" s="292"/>
      <c r="C1457" s="181"/>
      <c r="D1457" s="181"/>
      <c r="E1457" s="181"/>
      <c r="F1457" s="181"/>
      <c r="G1457" s="181"/>
      <c r="H1457" s="181"/>
      <c r="I1457" s="181"/>
      <c r="J1457" s="181"/>
      <c r="K1457" s="181"/>
      <c r="L1457" s="181"/>
      <c r="M1457" s="181"/>
      <c r="N1457" s="181"/>
      <c r="O1457" s="181"/>
      <c r="P1457" s="181"/>
    </row>
    <row r="1458">
      <c r="B1458" s="292"/>
      <c r="C1458" s="181"/>
      <c r="D1458" s="181"/>
      <c r="E1458" s="181"/>
      <c r="F1458" s="181"/>
      <c r="G1458" s="181"/>
      <c r="H1458" s="181"/>
      <c r="I1458" s="181"/>
      <c r="J1458" s="181"/>
      <c r="K1458" s="181"/>
      <c r="L1458" s="181"/>
      <c r="M1458" s="181"/>
      <c r="N1458" s="181"/>
      <c r="O1458" s="181"/>
      <c r="P1458" s="181"/>
    </row>
    <row r="1459">
      <c r="B1459" s="292"/>
      <c r="C1459" s="181"/>
      <c r="D1459" s="181"/>
      <c r="E1459" s="181"/>
      <c r="F1459" s="181"/>
      <c r="G1459" s="181"/>
      <c r="H1459" s="181"/>
      <c r="I1459" s="181"/>
      <c r="J1459" s="181"/>
      <c r="K1459" s="181"/>
      <c r="L1459" s="181"/>
      <c r="M1459" s="181"/>
      <c r="N1459" s="181"/>
      <c r="O1459" s="181"/>
      <c r="P1459" s="181"/>
    </row>
    <row r="1460">
      <c r="B1460" s="292"/>
      <c r="C1460" s="181"/>
      <c r="D1460" s="181"/>
      <c r="E1460" s="181"/>
      <c r="F1460" s="181"/>
      <c r="G1460" s="181"/>
      <c r="H1460" s="181"/>
      <c r="I1460" s="181"/>
      <c r="J1460" s="181"/>
      <c r="K1460" s="181"/>
      <c r="L1460" s="181"/>
      <c r="M1460" s="181"/>
      <c r="N1460" s="181"/>
      <c r="O1460" s="181"/>
      <c r="P1460" s="181"/>
    </row>
    <row r="1461">
      <c r="B1461" s="292"/>
      <c r="C1461" s="181"/>
      <c r="D1461" s="181"/>
      <c r="E1461" s="181"/>
      <c r="F1461" s="181"/>
      <c r="G1461" s="181"/>
      <c r="H1461" s="181"/>
      <c r="I1461" s="181"/>
      <c r="J1461" s="181"/>
      <c r="K1461" s="181"/>
      <c r="L1461" s="181"/>
      <c r="M1461" s="181"/>
      <c r="N1461" s="181"/>
      <c r="O1461" s="181"/>
      <c r="P1461" s="181"/>
    </row>
    <row r="1462">
      <c r="B1462" s="292"/>
      <c r="C1462" s="181"/>
      <c r="D1462" s="181"/>
      <c r="E1462" s="181"/>
      <c r="F1462" s="181"/>
      <c r="G1462" s="181"/>
      <c r="H1462" s="181"/>
      <c r="I1462" s="181"/>
      <c r="J1462" s="181"/>
      <c r="K1462" s="181"/>
      <c r="L1462" s="181"/>
      <c r="M1462" s="181"/>
      <c r="N1462" s="181"/>
      <c r="O1462" s="181"/>
      <c r="P1462" s="181"/>
    </row>
    <row r="1463">
      <c r="B1463" s="292"/>
      <c r="C1463" s="181"/>
      <c r="D1463" s="181"/>
      <c r="E1463" s="181"/>
      <c r="F1463" s="181"/>
      <c r="G1463" s="181"/>
      <c r="H1463" s="181"/>
      <c r="I1463" s="181"/>
      <c r="J1463" s="181"/>
      <c r="K1463" s="181"/>
      <c r="L1463" s="181"/>
      <c r="M1463" s="181"/>
      <c r="N1463" s="181"/>
      <c r="O1463" s="181"/>
      <c r="P1463" s="181"/>
    </row>
    <row r="1464">
      <c r="B1464" s="292"/>
      <c r="C1464" s="181"/>
      <c r="D1464" s="181"/>
      <c r="E1464" s="181"/>
      <c r="F1464" s="181"/>
      <c r="G1464" s="181"/>
      <c r="H1464" s="181"/>
      <c r="I1464" s="181"/>
      <c r="J1464" s="181"/>
      <c r="K1464" s="181"/>
      <c r="L1464" s="181"/>
      <c r="M1464" s="181"/>
      <c r="N1464" s="181"/>
      <c r="O1464" s="181"/>
      <c r="P1464" s="181"/>
    </row>
    <row r="1465">
      <c r="B1465" s="292"/>
      <c r="C1465" s="181"/>
      <c r="D1465" s="181"/>
      <c r="E1465" s="181"/>
      <c r="F1465" s="181"/>
      <c r="G1465" s="181"/>
      <c r="H1465" s="181"/>
      <c r="I1465" s="181"/>
      <c r="J1465" s="181"/>
      <c r="K1465" s="181"/>
      <c r="L1465" s="181"/>
      <c r="M1465" s="181"/>
      <c r="N1465" s="181"/>
      <c r="O1465" s="181"/>
      <c r="P1465" s="181"/>
    </row>
    <row r="1466">
      <c r="B1466" s="292"/>
      <c r="C1466" s="181"/>
      <c r="D1466" s="181"/>
      <c r="E1466" s="181"/>
      <c r="F1466" s="181"/>
      <c r="G1466" s="181"/>
      <c r="H1466" s="181"/>
      <c r="I1466" s="181"/>
      <c r="J1466" s="181"/>
      <c r="K1466" s="181"/>
      <c r="L1466" s="181"/>
      <c r="M1466" s="181"/>
      <c r="N1466" s="181"/>
      <c r="O1466" s="181"/>
      <c r="P1466" s="181"/>
    </row>
    <row r="1467">
      <c r="B1467" s="292"/>
      <c r="C1467" s="181"/>
      <c r="D1467" s="181"/>
      <c r="E1467" s="181"/>
      <c r="F1467" s="181"/>
      <c r="G1467" s="181"/>
      <c r="H1467" s="181"/>
      <c r="I1467" s="181"/>
      <c r="J1467" s="181"/>
      <c r="K1467" s="181"/>
      <c r="L1467" s="181"/>
      <c r="M1467" s="181"/>
      <c r="N1467" s="181"/>
      <c r="O1467" s="181"/>
      <c r="P1467" s="181"/>
    </row>
    <row r="1468">
      <c r="B1468" s="292"/>
      <c r="C1468" s="181"/>
      <c r="D1468" s="181"/>
      <c r="E1468" s="181"/>
      <c r="F1468" s="181"/>
      <c r="G1468" s="181"/>
      <c r="H1468" s="181"/>
      <c r="I1468" s="181"/>
      <c r="J1468" s="181"/>
      <c r="K1468" s="181"/>
      <c r="L1468" s="181"/>
      <c r="M1468" s="181"/>
      <c r="N1468" s="181"/>
      <c r="O1468" s="181"/>
      <c r="P1468" s="181"/>
    </row>
    <row r="1469">
      <c r="B1469" s="292"/>
      <c r="C1469" s="181"/>
      <c r="D1469" s="181"/>
      <c r="E1469" s="181"/>
      <c r="F1469" s="181"/>
      <c r="G1469" s="181"/>
      <c r="H1469" s="181"/>
      <c r="I1469" s="181"/>
      <c r="J1469" s="181"/>
      <c r="K1469" s="181"/>
      <c r="L1469" s="181"/>
      <c r="M1469" s="181"/>
      <c r="N1469" s="181"/>
      <c r="O1469" s="181"/>
      <c r="P1469" s="181"/>
    </row>
    <row r="1470">
      <c r="B1470" s="292"/>
      <c r="C1470" s="181"/>
      <c r="D1470" s="181"/>
      <c r="E1470" s="181"/>
      <c r="F1470" s="181"/>
      <c r="G1470" s="181"/>
      <c r="H1470" s="181"/>
      <c r="I1470" s="181"/>
      <c r="J1470" s="181"/>
      <c r="K1470" s="181"/>
      <c r="L1470" s="181"/>
      <c r="M1470" s="181"/>
      <c r="N1470" s="181"/>
      <c r="O1470" s="181"/>
      <c r="P1470" s="181"/>
    </row>
    <row r="1471">
      <c r="B1471" s="292"/>
      <c r="C1471" s="181"/>
      <c r="D1471" s="181"/>
      <c r="E1471" s="181"/>
      <c r="F1471" s="181"/>
      <c r="G1471" s="181"/>
      <c r="H1471" s="181"/>
      <c r="I1471" s="181"/>
      <c r="J1471" s="181"/>
      <c r="K1471" s="181"/>
      <c r="L1471" s="181"/>
      <c r="M1471" s="181"/>
      <c r="N1471" s="181"/>
      <c r="O1471" s="181"/>
      <c r="P1471" s="181"/>
    </row>
    <row r="1472">
      <c r="B1472" s="292"/>
      <c r="C1472" s="181"/>
      <c r="D1472" s="181"/>
      <c r="E1472" s="181"/>
      <c r="F1472" s="181"/>
      <c r="G1472" s="181"/>
      <c r="H1472" s="181"/>
      <c r="I1472" s="181"/>
      <c r="J1472" s="181"/>
      <c r="K1472" s="181"/>
      <c r="L1472" s="181"/>
      <c r="M1472" s="181"/>
      <c r="N1472" s="181"/>
      <c r="O1472" s="181"/>
      <c r="P1472" s="181"/>
    </row>
    <row r="1473">
      <c r="B1473" s="292"/>
      <c r="C1473" s="181"/>
      <c r="D1473" s="181"/>
      <c r="E1473" s="181"/>
      <c r="F1473" s="181"/>
      <c r="G1473" s="181"/>
      <c r="H1473" s="181"/>
      <c r="I1473" s="181"/>
      <c r="J1473" s="181"/>
      <c r="K1473" s="181"/>
      <c r="L1473" s="181"/>
      <c r="M1473" s="181"/>
      <c r="N1473" s="181"/>
      <c r="O1473" s="181"/>
      <c r="P1473" s="181"/>
    </row>
    <row r="1474">
      <c r="B1474" s="292"/>
      <c r="C1474" s="181"/>
      <c r="D1474" s="181"/>
      <c r="E1474" s="181"/>
      <c r="F1474" s="181"/>
      <c r="G1474" s="181"/>
      <c r="H1474" s="181"/>
      <c r="I1474" s="181"/>
      <c r="J1474" s="181"/>
      <c r="K1474" s="181"/>
      <c r="L1474" s="181"/>
      <c r="M1474" s="181"/>
      <c r="N1474" s="181"/>
      <c r="O1474" s="181"/>
      <c r="P1474" s="181"/>
    </row>
    <row r="1475">
      <c r="B1475" s="292"/>
      <c r="C1475" s="181"/>
      <c r="D1475" s="181"/>
      <c r="E1475" s="181"/>
      <c r="F1475" s="181"/>
      <c r="G1475" s="181"/>
      <c r="H1475" s="181"/>
      <c r="I1475" s="181"/>
      <c r="J1475" s="181"/>
      <c r="K1475" s="181"/>
      <c r="L1475" s="181"/>
      <c r="M1475" s="181"/>
      <c r="N1475" s="181"/>
      <c r="O1475" s="181"/>
      <c r="P1475" s="181"/>
    </row>
    <row r="1476">
      <c r="B1476" s="292"/>
      <c r="C1476" s="181"/>
      <c r="D1476" s="181"/>
      <c r="E1476" s="181"/>
      <c r="F1476" s="181"/>
      <c r="G1476" s="181"/>
      <c r="H1476" s="181"/>
      <c r="I1476" s="181"/>
      <c r="J1476" s="181"/>
      <c r="K1476" s="181"/>
      <c r="L1476" s="181"/>
      <c r="M1476" s="181"/>
      <c r="N1476" s="181"/>
      <c r="O1476" s="181"/>
      <c r="P1476" s="181"/>
    </row>
    <row r="1477">
      <c r="B1477" s="292"/>
      <c r="C1477" s="181"/>
      <c r="D1477" s="181"/>
      <c r="E1477" s="181"/>
      <c r="F1477" s="181"/>
      <c r="G1477" s="181"/>
      <c r="H1477" s="181"/>
      <c r="I1477" s="181"/>
      <c r="J1477" s="181"/>
      <c r="K1477" s="181"/>
      <c r="L1477" s="181"/>
      <c r="M1477" s="181"/>
      <c r="N1477" s="181"/>
      <c r="O1477" s="181"/>
      <c r="P1477" s="181"/>
    </row>
    <row r="1478">
      <c r="B1478" s="292"/>
      <c r="C1478" s="181"/>
      <c r="D1478" s="181"/>
      <c r="E1478" s="181"/>
      <c r="F1478" s="181"/>
      <c r="G1478" s="181"/>
      <c r="H1478" s="181"/>
      <c r="I1478" s="181"/>
      <c r="J1478" s="181"/>
      <c r="K1478" s="181"/>
      <c r="L1478" s="181"/>
      <c r="M1478" s="181"/>
      <c r="N1478" s="181"/>
      <c r="O1478" s="181"/>
      <c r="P1478" s="181"/>
    </row>
    <row r="1479">
      <c r="B1479" s="292"/>
      <c r="C1479" s="181"/>
      <c r="D1479" s="181"/>
      <c r="E1479" s="181"/>
      <c r="F1479" s="181"/>
      <c r="G1479" s="181"/>
      <c r="H1479" s="181"/>
      <c r="I1479" s="181"/>
      <c r="J1479" s="181"/>
      <c r="K1479" s="181"/>
      <c r="L1479" s="181"/>
      <c r="M1479" s="181"/>
      <c r="N1479" s="181"/>
      <c r="O1479" s="181"/>
      <c r="P1479" s="181"/>
    </row>
    <row r="1480">
      <c r="B1480" s="292"/>
      <c r="C1480" s="181"/>
      <c r="D1480" s="181"/>
      <c r="E1480" s="181"/>
      <c r="F1480" s="181"/>
      <c r="G1480" s="181"/>
      <c r="H1480" s="181"/>
      <c r="I1480" s="181"/>
      <c r="J1480" s="181"/>
      <c r="K1480" s="181"/>
      <c r="L1480" s="181"/>
      <c r="M1480" s="181"/>
      <c r="N1480" s="181"/>
      <c r="O1480" s="181"/>
      <c r="P1480" s="181"/>
    </row>
    <row r="1481">
      <c r="B1481" s="292"/>
      <c r="C1481" s="181"/>
      <c r="D1481" s="181"/>
      <c r="E1481" s="181"/>
      <c r="F1481" s="181"/>
      <c r="G1481" s="181"/>
      <c r="H1481" s="181"/>
      <c r="I1481" s="181"/>
      <c r="J1481" s="181"/>
      <c r="K1481" s="181"/>
      <c r="L1481" s="181"/>
      <c r="M1481" s="181"/>
      <c r="N1481" s="181"/>
      <c r="O1481" s="181"/>
      <c r="P1481" s="181"/>
    </row>
    <row r="1482">
      <c r="B1482" s="292"/>
      <c r="C1482" s="181"/>
      <c r="D1482" s="181"/>
      <c r="E1482" s="181"/>
      <c r="F1482" s="181"/>
      <c r="G1482" s="181"/>
      <c r="H1482" s="181"/>
      <c r="I1482" s="181"/>
      <c r="J1482" s="181"/>
      <c r="K1482" s="181"/>
      <c r="L1482" s="181"/>
      <c r="M1482" s="181"/>
      <c r="N1482" s="181"/>
      <c r="O1482" s="181"/>
      <c r="P1482" s="181"/>
    </row>
    <row r="1483">
      <c r="B1483" s="292"/>
      <c r="C1483" s="181"/>
      <c r="D1483" s="181"/>
      <c r="E1483" s="181"/>
      <c r="F1483" s="181"/>
      <c r="G1483" s="181"/>
      <c r="H1483" s="181"/>
      <c r="I1483" s="181"/>
      <c r="J1483" s="181"/>
      <c r="K1483" s="181"/>
      <c r="L1483" s="181"/>
      <c r="M1483" s="181"/>
      <c r="N1483" s="181"/>
      <c r="O1483" s="181"/>
      <c r="P1483" s="181"/>
    </row>
    <row r="1484">
      <c r="B1484" s="292"/>
      <c r="C1484" s="181"/>
      <c r="D1484" s="181"/>
      <c r="E1484" s="181"/>
      <c r="F1484" s="181"/>
      <c r="G1484" s="181"/>
      <c r="H1484" s="181"/>
      <c r="I1484" s="181"/>
      <c r="J1484" s="181"/>
      <c r="K1484" s="181"/>
      <c r="L1484" s="181"/>
      <c r="M1484" s="181"/>
      <c r="N1484" s="181"/>
      <c r="O1484" s="181"/>
      <c r="P1484" s="181"/>
    </row>
    <row r="1485">
      <c r="B1485" s="292"/>
      <c r="C1485" s="181"/>
      <c r="D1485" s="181"/>
      <c r="E1485" s="181"/>
      <c r="F1485" s="181"/>
      <c r="G1485" s="181"/>
      <c r="H1485" s="181"/>
      <c r="I1485" s="181"/>
      <c r="J1485" s="181"/>
      <c r="K1485" s="181"/>
      <c r="L1485" s="181"/>
      <c r="M1485" s="181"/>
      <c r="N1485" s="181"/>
      <c r="O1485" s="181"/>
      <c r="P1485" s="181"/>
    </row>
    <row r="1486">
      <c r="B1486" s="292"/>
      <c r="C1486" s="181"/>
      <c r="D1486" s="181"/>
      <c r="E1486" s="181"/>
      <c r="F1486" s="181"/>
      <c r="G1486" s="181"/>
      <c r="H1486" s="181"/>
      <c r="I1486" s="181"/>
      <c r="J1486" s="181"/>
      <c r="K1486" s="181"/>
      <c r="L1486" s="181"/>
      <c r="M1486" s="181"/>
      <c r="N1486" s="181"/>
      <c r="O1486" s="181"/>
      <c r="P1486" s="181"/>
    </row>
    <row r="1487">
      <c r="B1487" s="292"/>
      <c r="C1487" s="181"/>
      <c r="D1487" s="181"/>
      <c r="E1487" s="181"/>
      <c r="F1487" s="181"/>
      <c r="G1487" s="181"/>
      <c r="H1487" s="181"/>
      <c r="I1487" s="181"/>
      <c r="J1487" s="181"/>
      <c r="K1487" s="181"/>
      <c r="L1487" s="181"/>
      <c r="M1487" s="181"/>
      <c r="N1487" s="181"/>
      <c r="O1487" s="181"/>
      <c r="P1487" s="181"/>
    </row>
    <row r="1488">
      <c r="B1488" s="292"/>
      <c r="C1488" s="181"/>
      <c r="D1488" s="181"/>
      <c r="E1488" s="181"/>
      <c r="F1488" s="181"/>
      <c r="G1488" s="181"/>
      <c r="H1488" s="181"/>
      <c r="I1488" s="181"/>
      <c r="J1488" s="181"/>
      <c r="K1488" s="181"/>
      <c r="L1488" s="181"/>
      <c r="M1488" s="181"/>
      <c r="N1488" s="181"/>
      <c r="O1488" s="181"/>
      <c r="P1488" s="181"/>
    </row>
    <row r="1489">
      <c r="B1489" s="292"/>
      <c r="C1489" s="181"/>
      <c r="D1489" s="181"/>
      <c r="E1489" s="181"/>
      <c r="F1489" s="181"/>
      <c r="G1489" s="181"/>
      <c r="H1489" s="181"/>
      <c r="I1489" s="181"/>
      <c r="J1489" s="181"/>
      <c r="K1489" s="181"/>
      <c r="L1489" s="181"/>
      <c r="M1489" s="181"/>
      <c r="N1489" s="181"/>
      <c r="O1489" s="181"/>
      <c r="P1489" s="181"/>
    </row>
    <row r="1490">
      <c r="B1490" s="292"/>
      <c r="C1490" s="181"/>
      <c r="D1490" s="181"/>
      <c r="E1490" s="181"/>
      <c r="F1490" s="181"/>
      <c r="G1490" s="181"/>
      <c r="H1490" s="181"/>
      <c r="I1490" s="181"/>
      <c r="J1490" s="181"/>
      <c r="K1490" s="181"/>
      <c r="L1490" s="181"/>
      <c r="M1490" s="181"/>
      <c r="N1490" s="181"/>
      <c r="O1490" s="181"/>
      <c r="P1490" s="181"/>
    </row>
    <row r="1491">
      <c r="B1491" s="292"/>
      <c r="C1491" s="181"/>
      <c r="D1491" s="181"/>
      <c r="E1491" s="181"/>
      <c r="F1491" s="181"/>
      <c r="G1491" s="181"/>
      <c r="H1491" s="181"/>
      <c r="I1491" s="181"/>
      <c r="J1491" s="181"/>
      <c r="K1491" s="181"/>
      <c r="L1491" s="181"/>
      <c r="M1491" s="181"/>
      <c r="N1491" s="181"/>
      <c r="O1491" s="181"/>
      <c r="P1491" s="181"/>
    </row>
    <row r="1492">
      <c r="B1492" s="292"/>
      <c r="C1492" s="181"/>
      <c r="D1492" s="181"/>
      <c r="E1492" s="181"/>
      <c r="F1492" s="181"/>
      <c r="G1492" s="181"/>
      <c r="H1492" s="181"/>
      <c r="I1492" s="181"/>
      <c r="J1492" s="181"/>
      <c r="K1492" s="181"/>
      <c r="L1492" s="181"/>
      <c r="M1492" s="181"/>
      <c r="N1492" s="181"/>
      <c r="O1492" s="181"/>
      <c r="P1492" s="181"/>
    </row>
    <row r="1493">
      <c r="B1493" s="292"/>
      <c r="C1493" s="181"/>
      <c r="D1493" s="181"/>
      <c r="E1493" s="181"/>
      <c r="F1493" s="181"/>
      <c r="G1493" s="181"/>
      <c r="H1493" s="181"/>
      <c r="I1493" s="181"/>
      <c r="J1493" s="181"/>
      <c r="K1493" s="181"/>
      <c r="L1493" s="181"/>
      <c r="M1493" s="181"/>
      <c r="N1493" s="181"/>
      <c r="O1493" s="181"/>
      <c r="P1493" s="181"/>
    </row>
    <row r="1494">
      <c r="B1494" s="292"/>
      <c r="C1494" s="181"/>
      <c r="D1494" s="181"/>
      <c r="E1494" s="181"/>
      <c r="F1494" s="181"/>
      <c r="G1494" s="181"/>
      <c r="H1494" s="181"/>
      <c r="I1494" s="181"/>
      <c r="J1494" s="181"/>
      <c r="K1494" s="181"/>
      <c r="L1494" s="181"/>
      <c r="M1494" s="181"/>
      <c r="N1494" s="181"/>
      <c r="O1494" s="181"/>
      <c r="P1494" s="181"/>
    </row>
    <row r="1495">
      <c r="B1495" s="292"/>
      <c r="C1495" s="181"/>
      <c r="D1495" s="181"/>
      <c r="E1495" s="181"/>
      <c r="F1495" s="181"/>
      <c r="G1495" s="181"/>
      <c r="H1495" s="181"/>
      <c r="I1495" s="181"/>
      <c r="J1495" s="181"/>
      <c r="K1495" s="181"/>
      <c r="L1495" s="181"/>
      <c r="M1495" s="181"/>
      <c r="N1495" s="181"/>
      <c r="O1495" s="181"/>
      <c r="P1495" s="181"/>
    </row>
    <row r="1496">
      <c r="B1496" s="292"/>
      <c r="C1496" s="181"/>
      <c r="D1496" s="181"/>
      <c r="E1496" s="181"/>
      <c r="F1496" s="181"/>
      <c r="G1496" s="181"/>
      <c r="H1496" s="181"/>
      <c r="I1496" s="181"/>
      <c r="J1496" s="181"/>
      <c r="K1496" s="181"/>
      <c r="L1496" s="181"/>
      <c r="M1496" s="181"/>
      <c r="N1496" s="181"/>
      <c r="O1496" s="181"/>
      <c r="P1496" s="181"/>
    </row>
    <row r="1497">
      <c r="B1497" s="292"/>
      <c r="C1497" s="181"/>
      <c r="D1497" s="181"/>
      <c r="E1497" s="181"/>
      <c r="F1497" s="181"/>
      <c r="G1497" s="181"/>
      <c r="H1497" s="181"/>
      <c r="I1497" s="181"/>
      <c r="J1497" s="181"/>
      <c r="K1497" s="181"/>
      <c r="L1497" s="181"/>
      <c r="M1497" s="181"/>
      <c r="N1497" s="181"/>
      <c r="O1497" s="181"/>
      <c r="P1497" s="181"/>
    </row>
    <row r="1498">
      <c r="B1498" s="292"/>
      <c r="C1498" s="181"/>
      <c r="D1498" s="181"/>
      <c r="E1498" s="181"/>
      <c r="F1498" s="181"/>
      <c r="G1498" s="181"/>
      <c r="H1498" s="181"/>
      <c r="I1498" s="181"/>
      <c r="J1498" s="181"/>
      <c r="K1498" s="181"/>
      <c r="L1498" s="181"/>
      <c r="M1498" s="181"/>
      <c r="N1498" s="181"/>
      <c r="O1498" s="181"/>
      <c r="P1498" s="181"/>
    </row>
    <row r="1499">
      <c r="B1499" s="292"/>
      <c r="C1499" s="181"/>
      <c r="D1499" s="181"/>
      <c r="E1499" s="181"/>
      <c r="F1499" s="181"/>
      <c r="G1499" s="181"/>
      <c r="H1499" s="181"/>
      <c r="I1499" s="181"/>
      <c r="J1499" s="181"/>
      <c r="K1499" s="181"/>
      <c r="L1499" s="181"/>
      <c r="M1499" s="181"/>
      <c r="N1499" s="181"/>
      <c r="O1499" s="181"/>
      <c r="P1499" s="181"/>
    </row>
    <row r="1500">
      <c r="B1500" s="292"/>
      <c r="C1500" s="181"/>
      <c r="D1500" s="181"/>
      <c r="E1500" s="181"/>
      <c r="F1500" s="181"/>
      <c r="G1500" s="181"/>
      <c r="H1500" s="181"/>
      <c r="I1500" s="181"/>
      <c r="J1500" s="181"/>
      <c r="K1500" s="181"/>
      <c r="L1500" s="181"/>
      <c r="M1500" s="181"/>
      <c r="N1500" s="181"/>
      <c r="O1500" s="181"/>
      <c r="P1500" s="181"/>
    </row>
    <row r="1501">
      <c r="B1501" s="292"/>
      <c r="C1501" s="181"/>
      <c r="D1501" s="181"/>
      <c r="E1501" s="181"/>
      <c r="F1501" s="181"/>
      <c r="G1501" s="181"/>
      <c r="H1501" s="181"/>
      <c r="I1501" s="181"/>
      <c r="J1501" s="181"/>
      <c r="K1501" s="181"/>
      <c r="L1501" s="181"/>
      <c r="M1501" s="181"/>
      <c r="N1501" s="181"/>
      <c r="O1501" s="181"/>
      <c r="P1501" s="181"/>
    </row>
    <row r="1502">
      <c r="B1502" s="292"/>
      <c r="C1502" s="181"/>
      <c r="D1502" s="181"/>
      <c r="E1502" s="181"/>
      <c r="F1502" s="181"/>
      <c r="G1502" s="181"/>
      <c r="H1502" s="181"/>
      <c r="I1502" s="181"/>
      <c r="J1502" s="181"/>
      <c r="K1502" s="181"/>
      <c r="L1502" s="181"/>
      <c r="M1502" s="181"/>
      <c r="N1502" s="181"/>
      <c r="O1502" s="181"/>
      <c r="P1502" s="181"/>
    </row>
    <row r="1503">
      <c r="B1503" s="292"/>
      <c r="C1503" s="181"/>
      <c r="D1503" s="181"/>
      <c r="E1503" s="181"/>
      <c r="F1503" s="181"/>
      <c r="G1503" s="181"/>
      <c r="H1503" s="181"/>
      <c r="I1503" s="181"/>
      <c r="J1503" s="181"/>
      <c r="K1503" s="181"/>
      <c r="L1503" s="181"/>
      <c r="M1503" s="181"/>
      <c r="N1503" s="181"/>
      <c r="O1503" s="181"/>
      <c r="P1503" s="181"/>
    </row>
    <row r="1504">
      <c r="B1504" s="292"/>
      <c r="C1504" s="181"/>
      <c r="D1504" s="181"/>
      <c r="E1504" s="181"/>
      <c r="F1504" s="181"/>
      <c r="G1504" s="181"/>
      <c r="H1504" s="181"/>
      <c r="I1504" s="181"/>
      <c r="J1504" s="181"/>
      <c r="K1504" s="181"/>
      <c r="L1504" s="181"/>
      <c r="M1504" s="181"/>
      <c r="N1504" s="181"/>
      <c r="O1504" s="181"/>
      <c r="P1504" s="181"/>
    </row>
    <row r="1505">
      <c r="B1505" s="292"/>
      <c r="C1505" s="181"/>
      <c r="D1505" s="181"/>
      <c r="E1505" s="181"/>
      <c r="F1505" s="181"/>
      <c r="G1505" s="181"/>
      <c r="H1505" s="181"/>
      <c r="I1505" s="181"/>
      <c r="J1505" s="181"/>
      <c r="K1505" s="181"/>
      <c r="L1505" s="181"/>
      <c r="M1505" s="181"/>
      <c r="N1505" s="181"/>
      <c r="O1505" s="181"/>
      <c r="P1505" s="181"/>
    </row>
    <row r="1506">
      <c r="B1506" s="292"/>
      <c r="C1506" s="181"/>
      <c r="D1506" s="181"/>
      <c r="E1506" s="181"/>
      <c r="F1506" s="181"/>
      <c r="G1506" s="181"/>
      <c r="H1506" s="181"/>
      <c r="I1506" s="181"/>
      <c r="J1506" s="181"/>
      <c r="K1506" s="181"/>
      <c r="L1506" s="181"/>
      <c r="M1506" s="181"/>
      <c r="N1506" s="181"/>
      <c r="O1506" s="181"/>
      <c r="P1506" s="181"/>
    </row>
    <row r="1507">
      <c r="B1507" s="292"/>
      <c r="C1507" s="181"/>
      <c r="D1507" s="181"/>
      <c r="E1507" s="181"/>
      <c r="F1507" s="181"/>
      <c r="G1507" s="181"/>
      <c r="H1507" s="181"/>
      <c r="I1507" s="181"/>
      <c r="J1507" s="181"/>
      <c r="K1507" s="181"/>
      <c r="L1507" s="181"/>
      <c r="M1507" s="181"/>
      <c r="N1507" s="181"/>
      <c r="O1507" s="181"/>
      <c r="P1507" s="181"/>
    </row>
    <row r="1508">
      <c r="B1508" s="292"/>
      <c r="C1508" s="181"/>
      <c r="D1508" s="181"/>
      <c r="E1508" s="181"/>
      <c r="F1508" s="181"/>
      <c r="G1508" s="181"/>
      <c r="H1508" s="181"/>
      <c r="I1508" s="181"/>
      <c r="J1508" s="181"/>
      <c r="K1508" s="181"/>
      <c r="L1508" s="181"/>
      <c r="M1508" s="181"/>
      <c r="N1508" s="181"/>
      <c r="O1508" s="181"/>
      <c r="P1508" s="181"/>
    </row>
    <row r="1509">
      <c r="B1509" s="292"/>
      <c r="C1509" s="181"/>
      <c r="D1509" s="181"/>
      <c r="E1509" s="181"/>
      <c r="F1509" s="181"/>
      <c r="G1509" s="181"/>
      <c r="H1509" s="181"/>
      <c r="I1509" s="181"/>
      <c r="J1509" s="181"/>
      <c r="K1509" s="181"/>
      <c r="L1509" s="181"/>
      <c r="M1509" s="181"/>
      <c r="N1509" s="181"/>
      <c r="O1509" s="181"/>
      <c r="P1509" s="181"/>
    </row>
    <row r="1510">
      <c r="B1510" s="292"/>
      <c r="C1510" s="181"/>
      <c r="D1510" s="181"/>
      <c r="E1510" s="181"/>
      <c r="F1510" s="181"/>
      <c r="G1510" s="181"/>
      <c r="H1510" s="181"/>
      <c r="I1510" s="181"/>
      <c r="J1510" s="181"/>
      <c r="K1510" s="181"/>
      <c r="L1510" s="181"/>
      <c r="M1510" s="181"/>
      <c r="N1510" s="181"/>
      <c r="O1510" s="181"/>
      <c r="P1510" s="181"/>
    </row>
    <row r="1511">
      <c r="B1511" s="292"/>
      <c r="C1511" s="181"/>
      <c r="D1511" s="181"/>
      <c r="E1511" s="181"/>
      <c r="F1511" s="181"/>
      <c r="G1511" s="181"/>
      <c r="H1511" s="181"/>
      <c r="I1511" s="181"/>
      <c r="J1511" s="181"/>
      <c r="K1511" s="181"/>
      <c r="L1511" s="181"/>
      <c r="M1511" s="181"/>
      <c r="N1511" s="181"/>
      <c r="O1511" s="181"/>
      <c r="P1511" s="181"/>
    </row>
    <row r="1512">
      <c r="B1512" s="292"/>
      <c r="C1512" s="181"/>
      <c r="D1512" s="181"/>
      <c r="E1512" s="181"/>
      <c r="F1512" s="181"/>
      <c r="G1512" s="181"/>
      <c r="H1512" s="181"/>
      <c r="I1512" s="181"/>
      <c r="J1512" s="181"/>
      <c r="K1512" s="181"/>
      <c r="L1512" s="181"/>
      <c r="M1512" s="181"/>
      <c r="N1512" s="181"/>
      <c r="O1512" s="181"/>
      <c r="P1512" s="181"/>
    </row>
    <row r="1513">
      <c r="B1513" s="292"/>
      <c r="C1513" s="181"/>
      <c r="D1513" s="181"/>
      <c r="E1513" s="181"/>
      <c r="F1513" s="181"/>
      <c r="G1513" s="181"/>
      <c r="H1513" s="181"/>
      <c r="I1513" s="181"/>
      <c r="J1513" s="181"/>
      <c r="K1513" s="181"/>
      <c r="L1513" s="181"/>
      <c r="M1513" s="181"/>
      <c r="N1513" s="181"/>
      <c r="O1513" s="181"/>
      <c r="P1513" s="181"/>
    </row>
    <row r="1514">
      <c r="B1514" s="292"/>
      <c r="C1514" s="181"/>
      <c r="D1514" s="181"/>
      <c r="E1514" s="181"/>
      <c r="F1514" s="181"/>
      <c r="G1514" s="181"/>
      <c r="H1514" s="181"/>
      <c r="I1514" s="181"/>
      <c r="J1514" s="181"/>
      <c r="K1514" s="181"/>
      <c r="L1514" s="181"/>
      <c r="M1514" s="181"/>
      <c r="N1514" s="181"/>
      <c r="O1514" s="181"/>
      <c r="P1514" s="181"/>
    </row>
    <row r="1515">
      <c r="B1515" s="292"/>
      <c r="C1515" s="181"/>
      <c r="D1515" s="181"/>
      <c r="E1515" s="181"/>
      <c r="F1515" s="181"/>
      <c r="G1515" s="181"/>
      <c r="H1515" s="181"/>
      <c r="I1515" s="181"/>
      <c r="J1515" s="181"/>
      <c r="K1515" s="181"/>
      <c r="L1515" s="181"/>
      <c r="M1515" s="181"/>
      <c r="N1515" s="181"/>
      <c r="O1515" s="181"/>
      <c r="P1515" s="181"/>
    </row>
    <row r="1516">
      <c r="B1516" s="292"/>
      <c r="C1516" s="181"/>
      <c r="D1516" s="181"/>
      <c r="E1516" s="181"/>
      <c r="F1516" s="181"/>
      <c r="G1516" s="181"/>
      <c r="H1516" s="181"/>
      <c r="I1516" s="181"/>
      <c r="J1516" s="181"/>
      <c r="K1516" s="181"/>
      <c r="L1516" s="181"/>
      <c r="M1516" s="181"/>
      <c r="N1516" s="181"/>
      <c r="O1516" s="181"/>
      <c r="P1516" s="181"/>
    </row>
    <row r="1517">
      <c r="B1517" s="292"/>
      <c r="C1517" s="181"/>
      <c r="D1517" s="181"/>
      <c r="E1517" s="181"/>
      <c r="F1517" s="181"/>
      <c r="G1517" s="181"/>
      <c r="H1517" s="181"/>
      <c r="I1517" s="181"/>
      <c r="J1517" s="181"/>
      <c r="K1517" s="181"/>
      <c r="L1517" s="181"/>
      <c r="M1517" s="181"/>
      <c r="N1517" s="181"/>
      <c r="O1517" s="181"/>
      <c r="P1517" s="181"/>
    </row>
    <row r="1518">
      <c r="B1518" s="292"/>
      <c r="C1518" s="181"/>
      <c r="D1518" s="181"/>
      <c r="E1518" s="181"/>
      <c r="F1518" s="181"/>
      <c r="G1518" s="181"/>
      <c r="H1518" s="181"/>
      <c r="I1518" s="181"/>
      <c r="J1518" s="181"/>
      <c r="K1518" s="181"/>
      <c r="L1518" s="181"/>
      <c r="M1518" s="181"/>
      <c r="N1518" s="181"/>
      <c r="O1518" s="181"/>
      <c r="P1518" s="181"/>
    </row>
    <row r="1519">
      <c r="B1519" s="292"/>
      <c r="C1519" s="181"/>
      <c r="D1519" s="181"/>
      <c r="E1519" s="181"/>
      <c r="F1519" s="181"/>
      <c r="G1519" s="181"/>
      <c r="H1519" s="181"/>
      <c r="I1519" s="181"/>
      <c r="J1519" s="181"/>
      <c r="K1519" s="181"/>
      <c r="L1519" s="181"/>
      <c r="M1519" s="181"/>
      <c r="N1519" s="181"/>
      <c r="O1519" s="181"/>
      <c r="P1519" s="181"/>
    </row>
    <row r="1520">
      <c r="B1520" s="292"/>
      <c r="C1520" s="181"/>
      <c r="D1520" s="181"/>
      <c r="E1520" s="181"/>
      <c r="F1520" s="181"/>
      <c r="G1520" s="181"/>
      <c r="H1520" s="181"/>
      <c r="I1520" s="181"/>
      <c r="J1520" s="181"/>
      <c r="K1520" s="181"/>
      <c r="L1520" s="181"/>
      <c r="M1520" s="181"/>
      <c r="N1520" s="181"/>
      <c r="O1520" s="181"/>
      <c r="P1520" s="181"/>
    </row>
    <row r="1521">
      <c r="B1521" s="292"/>
      <c r="C1521" s="181"/>
      <c r="D1521" s="181"/>
      <c r="E1521" s="181"/>
      <c r="F1521" s="181"/>
      <c r="G1521" s="181"/>
      <c r="H1521" s="181"/>
      <c r="I1521" s="181"/>
      <c r="J1521" s="181"/>
      <c r="K1521" s="181"/>
      <c r="L1521" s="181"/>
      <c r="M1521" s="181"/>
      <c r="N1521" s="181"/>
      <c r="O1521" s="181"/>
      <c r="P1521" s="181"/>
    </row>
    <row r="1522">
      <c r="B1522" s="292"/>
      <c r="C1522" s="181"/>
      <c r="D1522" s="181"/>
      <c r="E1522" s="181"/>
      <c r="F1522" s="181"/>
      <c r="G1522" s="181"/>
      <c r="H1522" s="181"/>
      <c r="I1522" s="181"/>
      <c r="J1522" s="181"/>
      <c r="K1522" s="181"/>
      <c r="L1522" s="181"/>
      <c r="M1522" s="181"/>
      <c r="N1522" s="181"/>
      <c r="O1522" s="181"/>
      <c r="P1522" s="181"/>
    </row>
    <row r="1523">
      <c r="B1523" s="292"/>
      <c r="C1523" s="181"/>
      <c r="D1523" s="181"/>
      <c r="E1523" s="181"/>
      <c r="F1523" s="181"/>
      <c r="G1523" s="181"/>
      <c r="H1523" s="181"/>
      <c r="I1523" s="181"/>
      <c r="J1523" s="181"/>
      <c r="K1523" s="181"/>
      <c r="L1523" s="181"/>
      <c r="M1523" s="181"/>
      <c r="N1523" s="181"/>
      <c r="O1523" s="181"/>
      <c r="P1523" s="181"/>
    </row>
    <row r="1524">
      <c r="B1524" s="292"/>
      <c r="C1524" s="181"/>
      <c r="D1524" s="181"/>
      <c r="E1524" s="181"/>
      <c r="F1524" s="181"/>
      <c r="G1524" s="181"/>
      <c r="H1524" s="181"/>
      <c r="I1524" s="181"/>
      <c r="J1524" s="181"/>
      <c r="K1524" s="181"/>
      <c r="L1524" s="181"/>
      <c r="M1524" s="181"/>
      <c r="N1524" s="181"/>
      <c r="O1524" s="181"/>
      <c r="P1524" s="181"/>
    </row>
    <row r="1525">
      <c r="B1525" s="292"/>
      <c r="C1525" s="181"/>
      <c r="D1525" s="181"/>
      <c r="E1525" s="181"/>
      <c r="F1525" s="181"/>
      <c r="G1525" s="181"/>
      <c r="H1525" s="181"/>
      <c r="I1525" s="181"/>
      <c r="J1525" s="181"/>
      <c r="K1525" s="181"/>
      <c r="L1525" s="181"/>
      <c r="M1525" s="181"/>
      <c r="N1525" s="181"/>
      <c r="O1525" s="181"/>
      <c r="P1525" s="181"/>
    </row>
    <row r="1526">
      <c r="B1526" s="292"/>
      <c r="C1526" s="181"/>
      <c r="D1526" s="181"/>
      <c r="E1526" s="181"/>
      <c r="F1526" s="181"/>
      <c r="G1526" s="181"/>
      <c r="H1526" s="181"/>
      <c r="I1526" s="181"/>
      <c r="J1526" s="181"/>
      <c r="K1526" s="181"/>
      <c r="L1526" s="181"/>
      <c r="M1526" s="181"/>
      <c r="N1526" s="181"/>
      <c r="O1526" s="181"/>
      <c r="P1526" s="181"/>
    </row>
    <row r="1527">
      <c r="B1527" s="292"/>
      <c r="C1527" s="181"/>
      <c r="D1527" s="181"/>
      <c r="E1527" s="181"/>
      <c r="F1527" s="181"/>
      <c r="G1527" s="181"/>
      <c r="H1527" s="181"/>
      <c r="I1527" s="181"/>
      <c r="J1527" s="181"/>
      <c r="K1527" s="181"/>
      <c r="L1527" s="181"/>
      <c r="M1527" s="181"/>
      <c r="N1527" s="181"/>
      <c r="O1527" s="181"/>
      <c r="P1527" s="181"/>
    </row>
    <row r="1528">
      <c r="B1528" s="292"/>
      <c r="C1528" s="181"/>
      <c r="D1528" s="181"/>
      <c r="E1528" s="181"/>
      <c r="F1528" s="181"/>
      <c r="G1528" s="181"/>
      <c r="H1528" s="181"/>
      <c r="I1528" s="181"/>
      <c r="J1528" s="181"/>
      <c r="K1528" s="181"/>
      <c r="L1528" s="181"/>
      <c r="M1528" s="181"/>
      <c r="N1528" s="181"/>
      <c r="O1528" s="181"/>
      <c r="P1528" s="181"/>
    </row>
    <row r="1529">
      <c r="B1529" s="292"/>
      <c r="C1529" s="181"/>
      <c r="D1529" s="181"/>
      <c r="E1529" s="181"/>
      <c r="F1529" s="181"/>
      <c r="G1529" s="181"/>
      <c r="H1529" s="181"/>
      <c r="I1529" s="181"/>
      <c r="J1529" s="181"/>
      <c r="K1529" s="181"/>
      <c r="L1529" s="181"/>
      <c r="M1529" s="181"/>
      <c r="N1529" s="181"/>
      <c r="O1529" s="181"/>
      <c r="P1529" s="181"/>
    </row>
    <row r="1530">
      <c r="B1530" s="292"/>
      <c r="C1530" s="181"/>
      <c r="D1530" s="181"/>
      <c r="E1530" s="181"/>
      <c r="F1530" s="181"/>
      <c r="G1530" s="181"/>
      <c r="H1530" s="181"/>
      <c r="I1530" s="181"/>
      <c r="J1530" s="181"/>
      <c r="K1530" s="181"/>
      <c r="L1530" s="181"/>
      <c r="M1530" s="181"/>
      <c r="N1530" s="181"/>
      <c r="O1530" s="181"/>
      <c r="P1530" s="181"/>
    </row>
    <row r="1531">
      <c r="B1531" s="292"/>
      <c r="C1531" s="181"/>
      <c r="D1531" s="181"/>
      <c r="E1531" s="181"/>
      <c r="F1531" s="181"/>
      <c r="G1531" s="181"/>
      <c r="H1531" s="181"/>
      <c r="I1531" s="181"/>
      <c r="J1531" s="181"/>
      <c r="K1531" s="181"/>
      <c r="L1531" s="181"/>
      <c r="M1531" s="181"/>
      <c r="N1531" s="181"/>
      <c r="O1531" s="181"/>
      <c r="P1531" s="181"/>
    </row>
    <row r="1532">
      <c r="B1532" s="292"/>
      <c r="C1532" s="181"/>
      <c r="D1532" s="181"/>
      <c r="E1532" s="181"/>
      <c r="F1532" s="181"/>
      <c r="G1532" s="181"/>
      <c r="H1532" s="181"/>
      <c r="I1532" s="181"/>
      <c r="J1532" s="181"/>
      <c r="K1532" s="181"/>
      <c r="L1532" s="181"/>
      <c r="M1532" s="181"/>
      <c r="N1532" s="181"/>
      <c r="O1532" s="181"/>
      <c r="P1532" s="181"/>
    </row>
    <row r="1533">
      <c r="B1533" s="292"/>
      <c r="C1533" s="181"/>
      <c r="D1533" s="181"/>
      <c r="E1533" s="181"/>
      <c r="F1533" s="181"/>
      <c r="G1533" s="181"/>
      <c r="H1533" s="181"/>
      <c r="I1533" s="181"/>
      <c r="J1533" s="181"/>
      <c r="K1533" s="181"/>
      <c r="L1533" s="181"/>
      <c r="M1533" s="181"/>
      <c r="N1533" s="181"/>
      <c r="O1533" s="181"/>
      <c r="P1533" s="181"/>
    </row>
    <row r="1534">
      <c r="B1534" s="292"/>
      <c r="C1534" s="181"/>
      <c r="D1534" s="181"/>
      <c r="E1534" s="181"/>
      <c r="F1534" s="181"/>
      <c r="G1534" s="181"/>
      <c r="H1534" s="181"/>
      <c r="I1534" s="181"/>
      <c r="J1534" s="181"/>
      <c r="K1534" s="181"/>
      <c r="L1534" s="181"/>
      <c r="M1534" s="181"/>
      <c r="N1534" s="181"/>
      <c r="O1534" s="181"/>
      <c r="P1534" s="181"/>
    </row>
    <row r="1535">
      <c r="B1535" s="292"/>
      <c r="C1535" s="181"/>
      <c r="D1535" s="181"/>
      <c r="E1535" s="181"/>
      <c r="F1535" s="181"/>
      <c r="G1535" s="181"/>
      <c r="H1535" s="181"/>
      <c r="I1535" s="181"/>
      <c r="J1535" s="181"/>
      <c r="K1535" s="181"/>
      <c r="L1535" s="181"/>
      <c r="M1535" s="181"/>
      <c r="N1535" s="181"/>
      <c r="O1535" s="181"/>
      <c r="P1535" s="181"/>
    </row>
    <row r="1536">
      <c r="B1536" s="292"/>
      <c r="C1536" s="181"/>
      <c r="D1536" s="181"/>
      <c r="E1536" s="181"/>
      <c r="F1536" s="181"/>
      <c r="G1536" s="181"/>
      <c r="H1536" s="181"/>
      <c r="I1536" s="181"/>
      <c r="J1536" s="181"/>
      <c r="K1536" s="181"/>
      <c r="L1536" s="181"/>
      <c r="M1536" s="181"/>
      <c r="N1536" s="181"/>
      <c r="O1536" s="181"/>
      <c r="P1536" s="181"/>
    </row>
    <row r="1537">
      <c r="B1537" s="292"/>
      <c r="C1537" s="181"/>
      <c r="D1537" s="181"/>
      <c r="E1537" s="181"/>
      <c r="F1537" s="181"/>
      <c r="G1537" s="181"/>
      <c r="H1537" s="181"/>
      <c r="I1537" s="181"/>
      <c r="J1537" s="181"/>
      <c r="K1537" s="181"/>
      <c r="L1537" s="181"/>
      <c r="M1537" s="181"/>
      <c r="N1537" s="181"/>
      <c r="O1537" s="181"/>
      <c r="P1537" s="181"/>
    </row>
    <row r="1538">
      <c r="B1538" s="292"/>
      <c r="C1538" s="181"/>
      <c r="D1538" s="181"/>
      <c r="E1538" s="181"/>
      <c r="F1538" s="181"/>
      <c r="G1538" s="181"/>
      <c r="H1538" s="181"/>
      <c r="I1538" s="181"/>
      <c r="J1538" s="181"/>
      <c r="K1538" s="181"/>
      <c r="L1538" s="181"/>
      <c r="M1538" s="181"/>
      <c r="N1538" s="181"/>
      <c r="O1538" s="181"/>
      <c r="P1538" s="181"/>
    </row>
    <row r="1539">
      <c r="B1539" s="292"/>
      <c r="C1539" s="181"/>
      <c r="D1539" s="181"/>
      <c r="E1539" s="181"/>
      <c r="F1539" s="181"/>
      <c r="G1539" s="181"/>
      <c r="H1539" s="181"/>
      <c r="I1539" s="181"/>
      <c r="J1539" s="181"/>
      <c r="K1539" s="181"/>
      <c r="L1539" s="181"/>
      <c r="M1539" s="181"/>
      <c r="N1539" s="181"/>
      <c r="O1539" s="181"/>
      <c r="P1539" s="181"/>
    </row>
    <row r="1540">
      <c r="B1540" s="292"/>
      <c r="C1540" s="181"/>
      <c r="D1540" s="181"/>
      <c r="E1540" s="181"/>
      <c r="F1540" s="181"/>
      <c r="G1540" s="181"/>
      <c r="H1540" s="181"/>
      <c r="I1540" s="181"/>
      <c r="J1540" s="181"/>
      <c r="K1540" s="181"/>
      <c r="L1540" s="181"/>
      <c r="M1540" s="181"/>
      <c r="N1540" s="181"/>
      <c r="O1540" s="181"/>
      <c r="P1540" s="181"/>
    </row>
    <row r="1541">
      <c r="B1541" s="292"/>
      <c r="C1541" s="181"/>
      <c r="D1541" s="181"/>
      <c r="E1541" s="181"/>
      <c r="F1541" s="181"/>
      <c r="G1541" s="181"/>
      <c r="H1541" s="181"/>
      <c r="I1541" s="181"/>
      <c r="J1541" s="181"/>
      <c r="K1541" s="181"/>
      <c r="L1541" s="181"/>
      <c r="M1541" s="181"/>
      <c r="N1541" s="181"/>
      <c r="O1541" s="181"/>
      <c r="P1541" s="181"/>
    </row>
    <row r="1542">
      <c r="B1542" s="292"/>
      <c r="C1542" s="181"/>
      <c r="D1542" s="181"/>
      <c r="E1542" s="181"/>
      <c r="F1542" s="181"/>
      <c r="G1542" s="181"/>
      <c r="H1542" s="181"/>
      <c r="I1542" s="181"/>
      <c r="J1542" s="181"/>
      <c r="K1542" s="181"/>
      <c r="L1542" s="181"/>
      <c r="M1542" s="181"/>
      <c r="N1542" s="181"/>
      <c r="O1542" s="181"/>
      <c r="P1542" s="181"/>
    </row>
    <row r="1543">
      <c r="B1543" s="292"/>
      <c r="C1543" s="181"/>
      <c r="D1543" s="181"/>
      <c r="E1543" s="181"/>
      <c r="F1543" s="181"/>
      <c r="G1543" s="181"/>
      <c r="H1543" s="181"/>
      <c r="I1543" s="181"/>
      <c r="J1543" s="181"/>
      <c r="K1543" s="181"/>
      <c r="L1543" s="181"/>
      <c r="M1543" s="181"/>
      <c r="N1543" s="181"/>
      <c r="O1543" s="181"/>
      <c r="P1543" s="181"/>
    </row>
    <row r="1544">
      <c r="B1544" s="292"/>
      <c r="C1544" s="181"/>
      <c r="D1544" s="181"/>
      <c r="E1544" s="181"/>
      <c r="F1544" s="181"/>
      <c r="G1544" s="181"/>
      <c r="H1544" s="181"/>
      <c r="I1544" s="181"/>
      <c r="J1544" s="181"/>
      <c r="K1544" s="181"/>
      <c r="L1544" s="181"/>
      <c r="M1544" s="181"/>
      <c r="N1544" s="181"/>
      <c r="O1544" s="181"/>
      <c r="P1544" s="181"/>
    </row>
    <row r="1545">
      <c r="B1545" s="292"/>
      <c r="C1545" s="181"/>
      <c r="D1545" s="181"/>
      <c r="E1545" s="181"/>
      <c r="F1545" s="181"/>
      <c r="G1545" s="181"/>
      <c r="H1545" s="181"/>
      <c r="I1545" s="181"/>
      <c r="J1545" s="181"/>
      <c r="K1545" s="181"/>
      <c r="L1545" s="181"/>
      <c r="M1545" s="181"/>
      <c r="N1545" s="181"/>
      <c r="O1545" s="181"/>
      <c r="P1545" s="181"/>
    </row>
    <row r="1546">
      <c r="B1546" s="292"/>
      <c r="C1546" s="181"/>
      <c r="D1546" s="181"/>
      <c r="E1546" s="181"/>
      <c r="F1546" s="181"/>
      <c r="G1546" s="181"/>
      <c r="H1546" s="181"/>
      <c r="I1546" s="181"/>
      <c r="J1546" s="181"/>
      <c r="K1546" s="181"/>
      <c r="L1546" s="181"/>
      <c r="M1546" s="181"/>
      <c r="N1546" s="181"/>
      <c r="O1546" s="181"/>
      <c r="P1546" s="181"/>
    </row>
    <row r="1547">
      <c r="B1547" s="292"/>
      <c r="C1547" s="181"/>
      <c r="D1547" s="181"/>
      <c r="E1547" s="181"/>
      <c r="F1547" s="181"/>
      <c r="G1547" s="181"/>
      <c r="H1547" s="181"/>
      <c r="I1547" s="181"/>
      <c r="J1547" s="181"/>
      <c r="K1547" s="181"/>
      <c r="L1547" s="181"/>
      <c r="M1547" s="181"/>
      <c r="N1547" s="181"/>
      <c r="O1547" s="181"/>
      <c r="P1547" s="181"/>
    </row>
    <row r="1548">
      <c r="B1548" s="292"/>
      <c r="C1548" s="181"/>
      <c r="D1548" s="181"/>
      <c r="E1548" s="181"/>
      <c r="F1548" s="181"/>
      <c r="G1548" s="181"/>
      <c r="H1548" s="181"/>
      <c r="I1548" s="181"/>
      <c r="J1548" s="181"/>
      <c r="K1548" s="181"/>
      <c r="L1548" s="181"/>
      <c r="M1548" s="181"/>
      <c r="N1548" s="181"/>
      <c r="O1548" s="181"/>
      <c r="P1548" s="181"/>
    </row>
    <row r="1549">
      <c r="B1549" s="292"/>
      <c r="C1549" s="181"/>
      <c r="D1549" s="181"/>
      <c r="E1549" s="181"/>
      <c r="F1549" s="181"/>
      <c r="G1549" s="181"/>
      <c r="H1549" s="181"/>
      <c r="I1549" s="181"/>
      <c r="J1549" s="181"/>
      <c r="K1549" s="181"/>
      <c r="L1549" s="181"/>
      <c r="M1549" s="181"/>
      <c r="N1549" s="181"/>
      <c r="O1549" s="181"/>
      <c r="P1549" s="181"/>
    </row>
    <row r="1550">
      <c r="B1550" s="292"/>
      <c r="C1550" s="181"/>
      <c r="D1550" s="181"/>
      <c r="E1550" s="181"/>
      <c r="F1550" s="181"/>
      <c r="G1550" s="181"/>
      <c r="H1550" s="181"/>
      <c r="I1550" s="181"/>
      <c r="J1550" s="181"/>
      <c r="K1550" s="181"/>
      <c r="L1550" s="181"/>
      <c r="M1550" s="181"/>
      <c r="N1550" s="181"/>
      <c r="O1550" s="181"/>
      <c r="P1550" s="181"/>
    </row>
    <row r="1551">
      <c r="B1551" s="292"/>
      <c r="C1551" s="181"/>
      <c r="D1551" s="181"/>
      <c r="E1551" s="181"/>
      <c r="F1551" s="181"/>
      <c r="G1551" s="181"/>
      <c r="H1551" s="181"/>
      <c r="I1551" s="181"/>
      <c r="J1551" s="181"/>
      <c r="K1551" s="181"/>
      <c r="L1551" s="181"/>
      <c r="M1551" s="181"/>
      <c r="N1551" s="181"/>
      <c r="O1551" s="181"/>
      <c r="P1551" s="181"/>
    </row>
    <row r="1552">
      <c r="B1552" s="292"/>
      <c r="C1552" s="181"/>
      <c r="D1552" s="181"/>
      <c r="E1552" s="181"/>
      <c r="F1552" s="181"/>
      <c r="G1552" s="181"/>
      <c r="H1552" s="181"/>
      <c r="I1552" s="181"/>
      <c r="J1552" s="181"/>
      <c r="K1552" s="181"/>
      <c r="L1552" s="181"/>
      <c r="M1552" s="181"/>
      <c r="N1552" s="181"/>
      <c r="O1552" s="181"/>
      <c r="P1552" s="181"/>
    </row>
    <row r="1553">
      <c r="B1553" s="292"/>
      <c r="C1553" s="181"/>
      <c r="D1553" s="181"/>
      <c r="E1553" s="181"/>
      <c r="F1553" s="181"/>
      <c r="G1553" s="181"/>
      <c r="H1553" s="181"/>
      <c r="I1553" s="181"/>
      <c r="J1553" s="181"/>
      <c r="K1553" s="181"/>
      <c r="L1553" s="181"/>
      <c r="M1553" s="181"/>
      <c r="N1553" s="181"/>
      <c r="O1553" s="181"/>
      <c r="P1553" s="181"/>
    </row>
    <row r="1554">
      <c r="B1554" s="292"/>
      <c r="C1554" s="181"/>
      <c r="D1554" s="181"/>
      <c r="E1554" s="181"/>
      <c r="F1554" s="181"/>
      <c r="G1554" s="181"/>
      <c r="H1554" s="181"/>
      <c r="I1554" s="181"/>
      <c r="J1554" s="181"/>
      <c r="K1554" s="181"/>
      <c r="L1554" s="181"/>
      <c r="M1554" s="181"/>
      <c r="N1554" s="181"/>
      <c r="O1554" s="181"/>
      <c r="P1554" s="181"/>
    </row>
    <row r="1555">
      <c r="B1555" s="292"/>
      <c r="C1555" s="181"/>
      <c r="D1555" s="181"/>
      <c r="E1555" s="181"/>
      <c r="F1555" s="181"/>
      <c r="G1555" s="181"/>
      <c r="H1555" s="181"/>
      <c r="I1555" s="181"/>
      <c r="J1555" s="181"/>
      <c r="K1555" s="181"/>
      <c r="L1555" s="181"/>
      <c r="M1555" s="181"/>
      <c r="N1555" s="181"/>
      <c r="O1555" s="181"/>
      <c r="P1555" s="181"/>
    </row>
    <row r="1556">
      <c r="B1556" s="292"/>
      <c r="C1556" s="181"/>
      <c r="D1556" s="181"/>
      <c r="E1556" s="181"/>
      <c r="F1556" s="181"/>
      <c r="G1556" s="181"/>
      <c r="H1556" s="181"/>
      <c r="I1556" s="181"/>
      <c r="J1556" s="181"/>
      <c r="K1556" s="181"/>
      <c r="L1556" s="181"/>
      <c r="M1556" s="181"/>
      <c r="N1556" s="181"/>
      <c r="O1556" s="181"/>
      <c r="P1556" s="181"/>
    </row>
    <row r="1557">
      <c r="B1557" s="292"/>
      <c r="C1557" s="181"/>
      <c r="D1557" s="181"/>
      <c r="E1557" s="181"/>
      <c r="F1557" s="181"/>
      <c r="G1557" s="181"/>
      <c r="H1557" s="181"/>
      <c r="I1557" s="181"/>
      <c r="J1557" s="181"/>
      <c r="K1557" s="181"/>
      <c r="L1557" s="181"/>
      <c r="M1557" s="181"/>
      <c r="N1557" s="181"/>
      <c r="O1557" s="181"/>
      <c r="P1557" s="181"/>
    </row>
    <row r="1558">
      <c r="B1558" s="292"/>
      <c r="C1558" s="181"/>
      <c r="D1558" s="181"/>
      <c r="E1558" s="181"/>
      <c r="F1558" s="181"/>
      <c r="G1558" s="181"/>
      <c r="H1558" s="181"/>
      <c r="I1558" s="181"/>
      <c r="J1558" s="181"/>
      <c r="K1558" s="181"/>
      <c r="L1558" s="181"/>
      <c r="M1558" s="181"/>
      <c r="N1558" s="181"/>
      <c r="O1558" s="181"/>
      <c r="P1558" s="181"/>
    </row>
    <row r="1559">
      <c r="B1559" s="292"/>
      <c r="C1559" s="181"/>
      <c r="D1559" s="181"/>
      <c r="E1559" s="181"/>
      <c r="F1559" s="181"/>
      <c r="G1559" s="181"/>
      <c r="H1559" s="181"/>
      <c r="I1559" s="181"/>
      <c r="J1559" s="181"/>
      <c r="K1559" s="181"/>
      <c r="L1559" s="181"/>
      <c r="M1559" s="181"/>
      <c r="N1559" s="181"/>
      <c r="O1559" s="181"/>
      <c r="P1559" s="181"/>
    </row>
    <row r="1560">
      <c r="B1560" s="292"/>
      <c r="C1560" s="181"/>
      <c r="D1560" s="181"/>
      <c r="E1560" s="181"/>
      <c r="F1560" s="181"/>
      <c r="G1560" s="181"/>
      <c r="H1560" s="181"/>
      <c r="I1560" s="181"/>
      <c r="J1560" s="181"/>
      <c r="K1560" s="181"/>
      <c r="L1560" s="181"/>
      <c r="M1560" s="181"/>
      <c r="N1560" s="181"/>
      <c r="O1560" s="181"/>
      <c r="P1560" s="181"/>
    </row>
    <row r="1561">
      <c r="B1561" s="292"/>
      <c r="C1561" s="181"/>
      <c r="D1561" s="181"/>
      <c r="E1561" s="181"/>
      <c r="F1561" s="181"/>
      <c r="G1561" s="181"/>
      <c r="H1561" s="181"/>
      <c r="I1561" s="181"/>
      <c r="J1561" s="181"/>
      <c r="K1561" s="181"/>
      <c r="L1561" s="181"/>
      <c r="M1561" s="181"/>
      <c r="N1561" s="181"/>
      <c r="O1561" s="181"/>
      <c r="P1561" s="181"/>
    </row>
    <row r="1562">
      <c r="B1562" s="292"/>
      <c r="C1562" s="181"/>
      <c r="D1562" s="181"/>
      <c r="E1562" s="181"/>
      <c r="F1562" s="181"/>
      <c r="G1562" s="181"/>
      <c r="H1562" s="181"/>
      <c r="I1562" s="181"/>
      <c r="J1562" s="181"/>
      <c r="K1562" s="181"/>
      <c r="L1562" s="181"/>
      <c r="M1562" s="181"/>
      <c r="N1562" s="181"/>
      <c r="O1562" s="181"/>
      <c r="P1562" s="181"/>
    </row>
    <row r="1563">
      <c r="B1563" s="292"/>
      <c r="C1563" s="181"/>
      <c r="D1563" s="181"/>
      <c r="E1563" s="181"/>
      <c r="F1563" s="181"/>
      <c r="G1563" s="181"/>
      <c r="H1563" s="181"/>
      <c r="I1563" s="181"/>
      <c r="J1563" s="181"/>
      <c r="K1563" s="181"/>
      <c r="L1563" s="181"/>
      <c r="M1563" s="181"/>
      <c r="N1563" s="181"/>
      <c r="O1563" s="181"/>
      <c r="P1563" s="181"/>
    </row>
    <row r="1564">
      <c r="B1564" s="292"/>
      <c r="C1564" s="181"/>
      <c r="D1564" s="181"/>
      <c r="E1564" s="181"/>
      <c r="F1564" s="181"/>
      <c r="G1564" s="181"/>
      <c r="H1564" s="181"/>
      <c r="I1564" s="181"/>
      <c r="J1564" s="181"/>
      <c r="K1564" s="181"/>
      <c r="L1564" s="181"/>
      <c r="M1564" s="181"/>
      <c r="N1564" s="181"/>
      <c r="O1564" s="181"/>
      <c r="P1564" s="181"/>
    </row>
    <row r="1565">
      <c r="B1565" s="292"/>
      <c r="C1565" s="181"/>
      <c r="D1565" s="181"/>
      <c r="E1565" s="181"/>
      <c r="F1565" s="181"/>
      <c r="G1565" s="181"/>
      <c r="H1565" s="181"/>
      <c r="I1565" s="181"/>
      <c r="J1565" s="181"/>
      <c r="K1565" s="181"/>
      <c r="L1565" s="181"/>
      <c r="M1565" s="181"/>
      <c r="N1565" s="181"/>
      <c r="O1565" s="181"/>
      <c r="P1565" s="181"/>
    </row>
    <row r="1566">
      <c r="B1566" s="292"/>
      <c r="C1566" s="181"/>
      <c r="D1566" s="181"/>
      <c r="E1566" s="181"/>
      <c r="F1566" s="181"/>
      <c r="G1566" s="181"/>
      <c r="H1566" s="181"/>
      <c r="I1566" s="181"/>
      <c r="J1566" s="181"/>
      <c r="K1566" s="181"/>
      <c r="L1566" s="181"/>
      <c r="M1566" s="181"/>
      <c r="N1566" s="181"/>
      <c r="O1566" s="181"/>
      <c r="P1566" s="181"/>
    </row>
    <row r="1567">
      <c r="B1567" s="292"/>
      <c r="C1567" s="181"/>
      <c r="D1567" s="181"/>
      <c r="E1567" s="181"/>
      <c r="F1567" s="181"/>
      <c r="G1567" s="181"/>
      <c r="H1567" s="181"/>
      <c r="I1567" s="181"/>
      <c r="J1567" s="181"/>
      <c r="K1567" s="181"/>
      <c r="L1567" s="181"/>
      <c r="M1567" s="181"/>
      <c r="N1567" s="181"/>
      <c r="O1567" s="181"/>
      <c r="P1567" s="181"/>
    </row>
    <row r="1568">
      <c r="B1568" s="292"/>
      <c r="C1568" s="181"/>
      <c r="D1568" s="181"/>
      <c r="E1568" s="181"/>
      <c r="F1568" s="181"/>
      <c r="G1568" s="181"/>
      <c r="H1568" s="181"/>
      <c r="I1568" s="181"/>
      <c r="J1568" s="181"/>
      <c r="K1568" s="181"/>
      <c r="L1568" s="181"/>
      <c r="M1568" s="181"/>
      <c r="N1568" s="181"/>
      <c r="O1568" s="181"/>
      <c r="P1568" s="181"/>
    </row>
    <row r="1569">
      <c r="B1569" s="292"/>
      <c r="C1569" s="181"/>
      <c r="D1569" s="181"/>
      <c r="E1569" s="181"/>
      <c r="F1569" s="181"/>
      <c r="G1569" s="181"/>
      <c r="H1569" s="181"/>
      <c r="I1569" s="181"/>
      <c r="J1569" s="181"/>
      <c r="K1569" s="181"/>
      <c r="L1569" s="181"/>
      <c r="M1569" s="181"/>
      <c r="N1569" s="181"/>
      <c r="O1569" s="181"/>
      <c r="P1569" s="181"/>
    </row>
    <row r="1570">
      <c r="B1570" s="292"/>
      <c r="C1570" s="181"/>
      <c r="D1570" s="181"/>
      <c r="E1570" s="181"/>
      <c r="F1570" s="181"/>
      <c r="G1570" s="181"/>
      <c r="H1570" s="181"/>
      <c r="I1570" s="181"/>
      <c r="J1570" s="181"/>
      <c r="K1570" s="181"/>
      <c r="L1570" s="181"/>
      <c r="M1570" s="181"/>
      <c r="N1570" s="181"/>
      <c r="O1570" s="181"/>
      <c r="P1570" s="181"/>
    </row>
    <row r="1571">
      <c r="B1571" s="292"/>
      <c r="C1571" s="181"/>
      <c r="D1571" s="181"/>
      <c r="E1571" s="181"/>
      <c r="F1571" s="181"/>
      <c r="G1571" s="181"/>
      <c r="H1571" s="181"/>
      <c r="I1571" s="181"/>
      <c r="J1571" s="181"/>
      <c r="K1571" s="181"/>
      <c r="L1571" s="181"/>
      <c r="M1571" s="181"/>
      <c r="N1571" s="181"/>
      <c r="O1571" s="181"/>
      <c r="P1571" s="181"/>
    </row>
    <row r="1572">
      <c r="B1572" s="292"/>
      <c r="C1572" s="181"/>
      <c r="D1572" s="181"/>
      <c r="E1572" s="181"/>
      <c r="F1572" s="181"/>
      <c r="G1572" s="181"/>
      <c r="H1572" s="181"/>
      <c r="I1572" s="181"/>
      <c r="J1572" s="181"/>
      <c r="K1572" s="181"/>
      <c r="L1572" s="181"/>
      <c r="M1572" s="181"/>
      <c r="N1572" s="181"/>
      <c r="O1572" s="181"/>
      <c r="P1572" s="181"/>
    </row>
    <row r="1573">
      <c r="B1573" s="292"/>
      <c r="C1573" s="181"/>
      <c r="D1573" s="181"/>
      <c r="E1573" s="181"/>
      <c r="F1573" s="181"/>
      <c r="G1573" s="181"/>
      <c r="H1573" s="181"/>
      <c r="I1573" s="181"/>
      <c r="J1573" s="181"/>
      <c r="K1573" s="181"/>
      <c r="L1573" s="181"/>
      <c r="M1573" s="181"/>
      <c r="N1573" s="181"/>
      <c r="O1573" s="181"/>
      <c r="P1573" s="181"/>
    </row>
    <row r="1574">
      <c r="B1574" s="292"/>
      <c r="C1574" s="181"/>
      <c r="D1574" s="181"/>
      <c r="E1574" s="181"/>
      <c r="F1574" s="181"/>
      <c r="G1574" s="181"/>
      <c r="H1574" s="181"/>
      <c r="I1574" s="181"/>
      <c r="J1574" s="181"/>
      <c r="K1574" s="181"/>
      <c r="L1574" s="181"/>
      <c r="M1574" s="181"/>
      <c r="N1574" s="181"/>
      <c r="O1574" s="181"/>
      <c r="P1574" s="181"/>
    </row>
    <row r="1575">
      <c r="B1575" s="292"/>
      <c r="C1575" s="181"/>
      <c r="D1575" s="181"/>
      <c r="E1575" s="181"/>
      <c r="F1575" s="181"/>
      <c r="G1575" s="181"/>
      <c r="H1575" s="181"/>
      <c r="I1575" s="181"/>
      <c r="J1575" s="181"/>
      <c r="K1575" s="181"/>
      <c r="L1575" s="181"/>
      <c r="M1575" s="181"/>
      <c r="N1575" s="181"/>
      <c r="O1575" s="181"/>
      <c r="P1575" s="181"/>
    </row>
    <row r="1576">
      <c r="B1576" s="292"/>
      <c r="C1576" s="181"/>
      <c r="D1576" s="181"/>
      <c r="E1576" s="181"/>
      <c r="F1576" s="181"/>
      <c r="G1576" s="181"/>
      <c r="H1576" s="181"/>
      <c r="I1576" s="181"/>
      <c r="J1576" s="181"/>
      <c r="K1576" s="181"/>
      <c r="L1576" s="181"/>
      <c r="M1576" s="181"/>
      <c r="N1576" s="181"/>
      <c r="O1576" s="181"/>
      <c r="P1576" s="181"/>
    </row>
    <row r="1577">
      <c r="B1577" s="292"/>
      <c r="C1577" s="181"/>
      <c r="D1577" s="181"/>
      <c r="E1577" s="181"/>
      <c r="F1577" s="181"/>
      <c r="G1577" s="181"/>
      <c r="H1577" s="181"/>
      <c r="I1577" s="181"/>
      <c r="J1577" s="181"/>
      <c r="K1577" s="181"/>
      <c r="L1577" s="181"/>
      <c r="M1577" s="181"/>
      <c r="N1577" s="181"/>
      <c r="O1577" s="181"/>
      <c r="P1577" s="181"/>
    </row>
    <row r="1578">
      <c r="B1578" s="292"/>
      <c r="C1578" s="181"/>
      <c r="D1578" s="181"/>
      <c r="E1578" s="181"/>
      <c r="F1578" s="181"/>
      <c r="G1578" s="181"/>
      <c r="H1578" s="181"/>
      <c r="I1578" s="181"/>
      <c r="J1578" s="181"/>
      <c r="K1578" s="181"/>
      <c r="L1578" s="181"/>
      <c r="M1578" s="181"/>
      <c r="N1578" s="181"/>
      <c r="O1578" s="181"/>
      <c r="P1578" s="181"/>
    </row>
    <row r="1579">
      <c r="B1579" s="292"/>
      <c r="C1579" s="181"/>
      <c r="D1579" s="181"/>
      <c r="E1579" s="181"/>
      <c r="F1579" s="181"/>
      <c r="G1579" s="181"/>
      <c r="H1579" s="181"/>
      <c r="I1579" s="181"/>
      <c r="J1579" s="181"/>
      <c r="K1579" s="181"/>
      <c r="L1579" s="181"/>
      <c r="M1579" s="181"/>
      <c r="N1579" s="181"/>
      <c r="O1579" s="181"/>
      <c r="P1579" s="181"/>
    </row>
    <row r="1580">
      <c r="B1580" s="292"/>
      <c r="C1580" s="181"/>
      <c r="D1580" s="181"/>
      <c r="E1580" s="181"/>
      <c r="F1580" s="181"/>
      <c r="G1580" s="181"/>
      <c r="H1580" s="181"/>
      <c r="I1580" s="181"/>
      <c r="J1580" s="181"/>
      <c r="K1580" s="181"/>
      <c r="L1580" s="181"/>
      <c r="M1580" s="181"/>
      <c r="N1580" s="181"/>
      <c r="O1580" s="181"/>
      <c r="P1580" s="181"/>
    </row>
    <row r="1581">
      <c r="B1581" s="292"/>
      <c r="C1581" s="181"/>
      <c r="D1581" s="181"/>
      <c r="E1581" s="181"/>
      <c r="F1581" s="181"/>
      <c r="G1581" s="181"/>
      <c r="H1581" s="181"/>
      <c r="I1581" s="181"/>
      <c r="J1581" s="181"/>
      <c r="K1581" s="181"/>
      <c r="L1581" s="181"/>
      <c r="M1581" s="181"/>
      <c r="N1581" s="181"/>
      <c r="O1581" s="181"/>
      <c r="P1581" s="181"/>
    </row>
    <row r="1582">
      <c r="B1582" s="292"/>
      <c r="C1582" s="181"/>
      <c r="D1582" s="181"/>
      <c r="E1582" s="181"/>
      <c r="F1582" s="181"/>
      <c r="G1582" s="181"/>
      <c r="H1582" s="181"/>
      <c r="I1582" s="181"/>
      <c r="J1582" s="181"/>
      <c r="K1582" s="181"/>
      <c r="L1582" s="181"/>
      <c r="M1582" s="181"/>
      <c r="N1582" s="181"/>
      <c r="O1582" s="181"/>
      <c r="P1582" s="181"/>
    </row>
    <row r="1583">
      <c r="B1583" s="292"/>
      <c r="C1583" s="181"/>
      <c r="D1583" s="181"/>
      <c r="E1583" s="181"/>
      <c r="F1583" s="181"/>
      <c r="G1583" s="181"/>
      <c r="H1583" s="181"/>
      <c r="I1583" s="181"/>
      <c r="J1583" s="181"/>
      <c r="K1583" s="181"/>
      <c r="L1583" s="181"/>
      <c r="M1583" s="181"/>
      <c r="N1583" s="181"/>
      <c r="O1583" s="181"/>
      <c r="P1583" s="181"/>
    </row>
    <row r="1584">
      <c r="B1584" s="292"/>
      <c r="C1584" s="181"/>
      <c r="D1584" s="181"/>
      <c r="E1584" s="181"/>
      <c r="F1584" s="181"/>
      <c r="G1584" s="181"/>
      <c r="H1584" s="181"/>
      <c r="I1584" s="181"/>
      <c r="J1584" s="181"/>
      <c r="K1584" s="181"/>
      <c r="L1584" s="181"/>
      <c r="M1584" s="181"/>
      <c r="N1584" s="181"/>
      <c r="O1584" s="181"/>
      <c r="P1584" s="181"/>
    </row>
    <row r="1585">
      <c r="B1585" s="292"/>
      <c r="C1585" s="181"/>
      <c r="D1585" s="181"/>
      <c r="E1585" s="181"/>
      <c r="F1585" s="181"/>
      <c r="G1585" s="181"/>
      <c r="H1585" s="181"/>
      <c r="I1585" s="181"/>
      <c r="J1585" s="181"/>
      <c r="K1585" s="181"/>
      <c r="L1585" s="181"/>
      <c r="M1585" s="181"/>
      <c r="N1585" s="181"/>
      <c r="O1585" s="181"/>
      <c r="P1585" s="181"/>
    </row>
    <row r="1586">
      <c r="B1586" s="292"/>
      <c r="C1586" s="181"/>
      <c r="D1586" s="181"/>
      <c r="E1586" s="181"/>
      <c r="F1586" s="181"/>
      <c r="G1586" s="181"/>
      <c r="H1586" s="181"/>
      <c r="I1586" s="181"/>
      <c r="J1586" s="181"/>
      <c r="K1586" s="181"/>
      <c r="L1586" s="181"/>
      <c r="M1586" s="181"/>
      <c r="N1586" s="181"/>
      <c r="O1586" s="181"/>
      <c r="P1586" s="181"/>
    </row>
    <row r="1587">
      <c r="B1587" s="292"/>
      <c r="C1587" s="181"/>
      <c r="D1587" s="181"/>
      <c r="E1587" s="181"/>
      <c r="F1587" s="181"/>
      <c r="G1587" s="181"/>
      <c r="H1587" s="181"/>
      <c r="I1587" s="181"/>
      <c r="J1587" s="181"/>
      <c r="K1587" s="181"/>
      <c r="L1587" s="181"/>
      <c r="M1587" s="181"/>
      <c r="N1587" s="181"/>
      <c r="O1587" s="181"/>
      <c r="P1587" s="181"/>
    </row>
    <row r="1588">
      <c r="B1588" s="292"/>
      <c r="C1588" s="181"/>
      <c r="D1588" s="181"/>
      <c r="E1588" s="181"/>
      <c r="F1588" s="181"/>
      <c r="G1588" s="181"/>
      <c r="H1588" s="181"/>
      <c r="I1588" s="181"/>
      <c r="J1588" s="181"/>
      <c r="K1588" s="181"/>
      <c r="L1588" s="181"/>
      <c r="M1588" s="181"/>
      <c r="N1588" s="181"/>
      <c r="O1588" s="181"/>
      <c r="P1588" s="181"/>
    </row>
    <row r="1589">
      <c r="B1589" s="292"/>
      <c r="C1589" s="181"/>
      <c r="D1589" s="181"/>
      <c r="E1589" s="181"/>
      <c r="F1589" s="181"/>
      <c r="G1589" s="181"/>
      <c r="H1589" s="181"/>
      <c r="I1589" s="181"/>
      <c r="J1589" s="181"/>
      <c r="K1589" s="181"/>
      <c r="L1589" s="181"/>
      <c r="M1589" s="181"/>
      <c r="N1589" s="181"/>
      <c r="O1589" s="181"/>
      <c r="P1589" s="181"/>
    </row>
    <row r="1590">
      <c r="B1590" s="292"/>
      <c r="C1590" s="181"/>
      <c r="D1590" s="181"/>
      <c r="E1590" s="181"/>
      <c r="F1590" s="181"/>
      <c r="G1590" s="181"/>
      <c r="H1590" s="181"/>
      <c r="I1590" s="181"/>
      <c r="J1590" s="181"/>
      <c r="K1590" s="181"/>
      <c r="L1590" s="181"/>
      <c r="M1590" s="181"/>
      <c r="N1590" s="181"/>
      <c r="O1590" s="181"/>
      <c r="P1590" s="181"/>
    </row>
    <row r="1591">
      <c r="B1591" s="292"/>
      <c r="C1591" s="181"/>
      <c r="D1591" s="181"/>
      <c r="E1591" s="181"/>
      <c r="F1591" s="181"/>
      <c r="G1591" s="181"/>
      <c r="H1591" s="181"/>
      <c r="I1591" s="181"/>
      <c r="J1591" s="181"/>
      <c r="K1591" s="181"/>
      <c r="L1591" s="181"/>
      <c r="M1591" s="181"/>
      <c r="N1591" s="181"/>
      <c r="O1591" s="181"/>
      <c r="P1591" s="181"/>
    </row>
    <row r="1592">
      <c r="B1592" s="292"/>
      <c r="C1592" s="181"/>
      <c r="D1592" s="181"/>
      <c r="E1592" s="181"/>
      <c r="F1592" s="181"/>
      <c r="G1592" s="181"/>
      <c r="H1592" s="181"/>
      <c r="I1592" s="181"/>
      <c r="J1592" s="181"/>
      <c r="K1592" s="181"/>
      <c r="L1592" s="181"/>
      <c r="M1592" s="181"/>
      <c r="N1592" s="181"/>
      <c r="O1592" s="181"/>
      <c r="P1592" s="181"/>
    </row>
    <row r="1593">
      <c r="B1593" s="292"/>
      <c r="C1593" s="181"/>
      <c r="D1593" s="181"/>
      <c r="E1593" s="181"/>
      <c r="F1593" s="181"/>
      <c r="G1593" s="181"/>
      <c r="H1593" s="181"/>
      <c r="I1593" s="181"/>
      <c r="J1593" s="181"/>
      <c r="K1593" s="181"/>
      <c r="L1593" s="181"/>
      <c r="M1593" s="181"/>
      <c r="N1593" s="181"/>
      <c r="O1593" s="181"/>
      <c r="P1593" s="181"/>
    </row>
    <row r="1594">
      <c r="B1594" s="292"/>
      <c r="C1594" s="181"/>
      <c r="D1594" s="181"/>
      <c r="E1594" s="181"/>
      <c r="F1594" s="181"/>
      <c r="G1594" s="181"/>
      <c r="H1594" s="181"/>
      <c r="I1594" s="181"/>
      <c r="J1594" s="181"/>
      <c r="K1594" s="181"/>
      <c r="L1594" s="181"/>
      <c r="M1594" s="181"/>
      <c r="N1594" s="181"/>
      <c r="O1594" s="181"/>
      <c r="P1594" s="181"/>
    </row>
    <row r="1595">
      <c r="B1595" s="292"/>
      <c r="C1595" s="181"/>
      <c r="D1595" s="181"/>
      <c r="E1595" s="181"/>
      <c r="F1595" s="181"/>
      <c r="G1595" s="181"/>
      <c r="H1595" s="181"/>
      <c r="I1595" s="181"/>
      <c r="J1595" s="181"/>
      <c r="K1595" s="181"/>
      <c r="L1595" s="181"/>
      <c r="M1595" s="181"/>
      <c r="N1595" s="181"/>
      <c r="O1595" s="181"/>
      <c r="P1595" s="181"/>
    </row>
    <row r="1596">
      <c r="B1596" s="292"/>
      <c r="C1596" s="181"/>
      <c r="D1596" s="181"/>
      <c r="E1596" s="181"/>
      <c r="F1596" s="181"/>
      <c r="G1596" s="181"/>
      <c r="H1596" s="181"/>
      <c r="I1596" s="181"/>
      <c r="J1596" s="181"/>
      <c r="K1596" s="181"/>
      <c r="L1596" s="181"/>
      <c r="M1596" s="181"/>
      <c r="N1596" s="181"/>
      <c r="O1596" s="181"/>
      <c r="P1596" s="181"/>
    </row>
    <row r="1597">
      <c r="B1597" s="292"/>
      <c r="C1597" s="181"/>
      <c r="D1597" s="181"/>
      <c r="E1597" s="181"/>
      <c r="F1597" s="181"/>
      <c r="G1597" s="181"/>
      <c r="H1597" s="181"/>
      <c r="I1597" s="181"/>
      <c r="J1597" s="181"/>
      <c r="K1597" s="181"/>
      <c r="L1597" s="181"/>
      <c r="M1597" s="181"/>
      <c r="N1597" s="181"/>
      <c r="O1597" s="181"/>
      <c r="P1597" s="181"/>
    </row>
    <row r="1598">
      <c r="B1598" s="292"/>
      <c r="C1598" s="181"/>
      <c r="D1598" s="181"/>
      <c r="E1598" s="181"/>
      <c r="F1598" s="181"/>
      <c r="G1598" s="181"/>
      <c r="H1598" s="181"/>
      <c r="I1598" s="181"/>
      <c r="J1598" s="181"/>
      <c r="K1598" s="181"/>
      <c r="L1598" s="181"/>
      <c r="M1598" s="181"/>
      <c r="N1598" s="181"/>
      <c r="O1598" s="181"/>
      <c r="P1598" s="181"/>
    </row>
    <row r="1599">
      <c r="B1599" s="292"/>
      <c r="C1599" s="181"/>
      <c r="D1599" s="181"/>
      <c r="E1599" s="181"/>
      <c r="F1599" s="181"/>
      <c r="G1599" s="181"/>
      <c r="H1599" s="181"/>
      <c r="I1599" s="181"/>
      <c r="J1599" s="181"/>
      <c r="K1599" s="181"/>
      <c r="L1599" s="181"/>
      <c r="M1599" s="181"/>
      <c r="N1599" s="181"/>
      <c r="O1599" s="181"/>
      <c r="P1599" s="181"/>
    </row>
    <row r="1600">
      <c r="B1600" s="292"/>
      <c r="C1600" s="181"/>
      <c r="D1600" s="181"/>
      <c r="E1600" s="181"/>
      <c r="F1600" s="181"/>
      <c r="G1600" s="181"/>
      <c r="H1600" s="181"/>
      <c r="I1600" s="181"/>
      <c r="J1600" s="181"/>
      <c r="K1600" s="181"/>
      <c r="L1600" s="181"/>
      <c r="M1600" s="181"/>
      <c r="N1600" s="181"/>
      <c r="O1600" s="181"/>
      <c r="P1600" s="181"/>
    </row>
    <row r="1601">
      <c r="B1601" s="292"/>
      <c r="C1601" s="181"/>
      <c r="D1601" s="181"/>
      <c r="E1601" s="181"/>
      <c r="F1601" s="181"/>
      <c r="G1601" s="181"/>
      <c r="H1601" s="181"/>
      <c r="I1601" s="181"/>
      <c r="J1601" s="181"/>
      <c r="K1601" s="181"/>
      <c r="L1601" s="181"/>
      <c r="M1601" s="181"/>
      <c r="N1601" s="181"/>
      <c r="O1601" s="181"/>
      <c r="P1601" s="181"/>
    </row>
    <row r="1602">
      <c r="B1602" s="292"/>
      <c r="C1602" s="181"/>
      <c r="D1602" s="181"/>
      <c r="E1602" s="181"/>
      <c r="F1602" s="181"/>
      <c r="G1602" s="181"/>
      <c r="H1602" s="181"/>
      <c r="I1602" s="181"/>
      <c r="J1602" s="181"/>
      <c r="K1602" s="181"/>
      <c r="L1602" s="181"/>
      <c r="M1602" s="181"/>
      <c r="N1602" s="181"/>
      <c r="O1602" s="181"/>
      <c r="P1602" s="181"/>
    </row>
    <row r="1603">
      <c r="B1603" s="292"/>
      <c r="C1603" s="181"/>
      <c r="D1603" s="181"/>
      <c r="E1603" s="181"/>
      <c r="F1603" s="181"/>
      <c r="G1603" s="181"/>
      <c r="H1603" s="181"/>
      <c r="I1603" s="181"/>
      <c r="J1603" s="181"/>
      <c r="K1603" s="181"/>
      <c r="L1603" s="181"/>
      <c r="M1603" s="181"/>
      <c r="N1603" s="181"/>
      <c r="O1603" s="181"/>
      <c r="P1603" s="181"/>
    </row>
    <row r="1604">
      <c r="B1604" s="292"/>
      <c r="C1604" s="181"/>
      <c r="D1604" s="181"/>
      <c r="E1604" s="181"/>
      <c r="F1604" s="181"/>
      <c r="G1604" s="181"/>
      <c r="H1604" s="181"/>
      <c r="I1604" s="181"/>
      <c r="J1604" s="181"/>
      <c r="K1604" s="181"/>
      <c r="L1604" s="181"/>
      <c r="M1604" s="181"/>
      <c r="N1604" s="181"/>
      <c r="O1604" s="181"/>
      <c r="P1604" s="181"/>
    </row>
    <row r="1605">
      <c r="B1605" s="292"/>
      <c r="C1605" s="181"/>
      <c r="D1605" s="181"/>
      <c r="E1605" s="181"/>
      <c r="F1605" s="181"/>
      <c r="G1605" s="181"/>
      <c r="H1605" s="181"/>
      <c r="I1605" s="181"/>
      <c r="J1605" s="181"/>
      <c r="K1605" s="181"/>
      <c r="L1605" s="181"/>
      <c r="M1605" s="181"/>
      <c r="N1605" s="181"/>
      <c r="O1605" s="181"/>
      <c r="P1605" s="181"/>
    </row>
    <row r="1606">
      <c r="B1606" s="292"/>
      <c r="C1606" s="181"/>
      <c r="D1606" s="181"/>
      <c r="E1606" s="181"/>
      <c r="F1606" s="181"/>
      <c r="G1606" s="181"/>
      <c r="H1606" s="181"/>
      <c r="I1606" s="181"/>
      <c r="J1606" s="181"/>
      <c r="K1606" s="181"/>
      <c r="L1606" s="181"/>
      <c r="M1606" s="181"/>
      <c r="N1606" s="181"/>
      <c r="O1606" s="181"/>
      <c r="P1606" s="181"/>
    </row>
    <row r="1607">
      <c r="B1607" s="292"/>
      <c r="C1607" s="181"/>
      <c r="D1607" s="181"/>
      <c r="E1607" s="181"/>
      <c r="F1607" s="181"/>
      <c r="G1607" s="181"/>
      <c r="H1607" s="181"/>
      <c r="I1607" s="181"/>
      <c r="J1607" s="181"/>
      <c r="K1607" s="181"/>
      <c r="L1607" s="181"/>
      <c r="M1607" s="181"/>
      <c r="N1607" s="181"/>
      <c r="O1607" s="181"/>
      <c r="P1607" s="181"/>
    </row>
    <row r="1608">
      <c r="B1608" s="292"/>
      <c r="C1608" s="181"/>
      <c r="D1608" s="181"/>
      <c r="E1608" s="181"/>
      <c r="F1608" s="181"/>
      <c r="G1608" s="181"/>
      <c r="H1608" s="181"/>
      <c r="I1608" s="181"/>
      <c r="J1608" s="181"/>
      <c r="K1608" s="181"/>
      <c r="L1608" s="181"/>
      <c r="M1608" s="181"/>
      <c r="N1608" s="181"/>
      <c r="O1608" s="181"/>
      <c r="P1608" s="181"/>
    </row>
    <row r="1609">
      <c r="B1609" s="292"/>
      <c r="C1609" s="181"/>
      <c r="D1609" s="181"/>
      <c r="E1609" s="181"/>
      <c r="F1609" s="181"/>
      <c r="G1609" s="181"/>
      <c r="H1609" s="181"/>
      <c r="I1609" s="181"/>
      <c r="J1609" s="181"/>
      <c r="K1609" s="181"/>
      <c r="L1609" s="181"/>
      <c r="M1609" s="181"/>
      <c r="N1609" s="181"/>
      <c r="O1609" s="181"/>
      <c r="P1609" s="181"/>
    </row>
    <row r="1610">
      <c r="B1610" s="292"/>
      <c r="C1610" s="181"/>
      <c r="D1610" s="181"/>
      <c r="E1610" s="181"/>
      <c r="F1610" s="181"/>
      <c r="G1610" s="181"/>
      <c r="H1610" s="181"/>
      <c r="I1610" s="181"/>
      <c r="J1610" s="181"/>
      <c r="K1610" s="181"/>
      <c r="L1610" s="181"/>
      <c r="M1610" s="181"/>
      <c r="N1610" s="181"/>
      <c r="O1610" s="181"/>
      <c r="P1610" s="181"/>
    </row>
    <row r="1611">
      <c r="B1611" s="292"/>
      <c r="C1611" s="181"/>
      <c r="D1611" s="181"/>
      <c r="E1611" s="181"/>
      <c r="F1611" s="181"/>
      <c r="G1611" s="181"/>
      <c r="H1611" s="181"/>
      <c r="I1611" s="181"/>
      <c r="J1611" s="181"/>
      <c r="K1611" s="181"/>
      <c r="L1611" s="181"/>
      <c r="M1611" s="181"/>
      <c r="N1611" s="181"/>
      <c r="O1611" s="181"/>
      <c r="P1611" s="181"/>
    </row>
    <row r="1612">
      <c r="B1612" s="292"/>
      <c r="C1612" s="181"/>
      <c r="D1612" s="181"/>
      <c r="E1612" s="181"/>
      <c r="F1612" s="181"/>
      <c r="G1612" s="181"/>
      <c r="H1612" s="181"/>
      <c r="I1612" s="181"/>
      <c r="J1612" s="181"/>
      <c r="K1612" s="181"/>
      <c r="L1612" s="181"/>
      <c r="M1612" s="181"/>
      <c r="N1612" s="181"/>
      <c r="O1612" s="181"/>
      <c r="P1612" s="181"/>
    </row>
    <row r="1613">
      <c r="B1613" s="292"/>
      <c r="C1613" s="181"/>
      <c r="D1613" s="181"/>
      <c r="E1613" s="181"/>
      <c r="F1613" s="181"/>
      <c r="G1613" s="181"/>
      <c r="H1613" s="181"/>
      <c r="I1613" s="181"/>
      <c r="J1613" s="181"/>
      <c r="K1613" s="181"/>
      <c r="L1613" s="181"/>
      <c r="M1613" s="181"/>
      <c r="N1613" s="181"/>
      <c r="O1613" s="181"/>
      <c r="P1613" s="181"/>
    </row>
    <row r="1614">
      <c r="B1614" s="292"/>
      <c r="C1614" s="181"/>
      <c r="D1614" s="181"/>
      <c r="E1614" s="181"/>
      <c r="F1614" s="181"/>
      <c r="G1614" s="181"/>
      <c r="H1614" s="181"/>
      <c r="I1614" s="181"/>
      <c r="J1614" s="181"/>
      <c r="K1614" s="181"/>
      <c r="L1614" s="181"/>
      <c r="M1614" s="181"/>
      <c r="N1614" s="181"/>
      <c r="O1614" s="181"/>
      <c r="P1614" s="181"/>
    </row>
    <row r="1615">
      <c r="B1615" s="292"/>
      <c r="C1615" s="181"/>
      <c r="D1615" s="181"/>
      <c r="E1615" s="181"/>
      <c r="F1615" s="181"/>
      <c r="G1615" s="181"/>
      <c r="H1615" s="181"/>
      <c r="I1615" s="181"/>
      <c r="J1615" s="181"/>
      <c r="K1615" s="181"/>
      <c r="L1615" s="181"/>
      <c r="M1615" s="181"/>
      <c r="N1615" s="181"/>
      <c r="O1615" s="181"/>
      <c r="P1615" s="181"/>
    </row>
    <row r="1616">
      <c r="B1616" s="292"/>
      <c r="C1616" s="181"/>
      <c r="D1616" s="181"/>
      <c r="E1616" s="181"/>
      <c r="F1616" s="181"/>
      <c r="G1616" s="181"/>
      <c r="H1616" s="181"/>
      <c r="I1616" s="181"/>
      <c r="J1616" s="181"/>
      <c r="K1616" s="181"/>
      <c r="L1616" s="181"/>
      <c r="M1616" s="181"/>
      <c r="N1616" s="181"/>
      <c r="O1616" s="181"/>
      <c r="P1616" s="181"/>
    </row>
    <row r="1617">
      <c r="B1617" s="292"/>
      <c r="C1617" s="181"/>
      <c r="D1617" s="181"/>
      <c r="E1617" s="181"/>
      <c r="F1617" s="181"/>
      <c r="G1617" s="181"/>
      <c r="H1617" s="181"/>
      <c r="I1617" s="181"/>
      <c r="J1617" s="181"/>
      <c r="K1617" s="181"/>
      <c r="L1617" s="181"/>
      <c r="M1617" s="181"/>
      <c r="N1617" s="181"/>
      <c r="O1617" s="181"/>
      <c r="P1617" s="181"/>
    </row>
    <row r="1618">
      <c r="B1618" s="292"/>
      <c r="C1618" s="181"/>
      <c r="D1618" s="181"/>
      <c r="E1618" s="181"/>
      <c r="F1618" s="181"/>
      <c r="G1618" s="181"/>
      <c r="H1618" s="181"/>
      <c r="I1618" s="181"/>
      <c r="J1618" s="181"/>
      <c r="K1618" s="181"/>
      <c r="L1618" s="181"/>
      <c r="M1618" s="181"/>
      <c r="N1618" s="181"/>
      <c r="O1618" s="181"/>
      <c r="P1618" s="181"/>
    </row>
    <row r="1619">
      <c r="B1619" s="292"/>
      <c r="C1619" s="181"/>
      <c r="D1619" s="181"/>
      <c r="E1619" s="181"/>
      <c r="F1619" s="181"/>
      <c r="G1619" s="181"/>
      <c r="H1619" s="181"/>
      <c r="I1619" s="181"/>
      <c r="J1619" s="181"/>
      <c r="K1619" s="181"/>
      <c r="L1619" s="181"/>
      <c r="M1619" s="181"/>
      <c r="N1619" s="181"/>
      <c r="O1619" s="181"/>
      <c r="P1619" s="181"/>
    </row>
    <row r="1620">
      <c r="B1620" s="292"/>
      <c r="C1620" s="181"/>
      <c r="D1620" s="181"/>
      <c r="E1620" s="181"/>
      <c r="F1620" s="181"/>
      <c r="G1620" s="181"/>
      <c r="H1620" s="181"/>
      <c r="I1620" s="181"/>
      <c r="J1620" s="181"/>
      <c r="K1620" s="181"/>
      <c r="L1620" s="181"/>
      <c r="M1620" s="181"/>
      <c r="N1620" s="181"/>
      <c r="O1620" s="181"/>
      <c r="P1620" s="181"/>
    </row>
    <row r="1621">
      <c r="B1621" s="292"/>
      <c r="C1621" s="181"/>
      <c r="D1621" s="181"/>
      <c r="E1621" s="181"/>
      <c r="F1621" s="181"/>
      <c r="G1621" s="181"/>
      <c r="H1621" s="181"/>
      <c r="I1621" s="181"/>
      <c r="J1621" s="181"/>
      <c r="K1621" s="181"/>
      <c r="L1621" s="181"/>
      <c r="M1621" s="181"/>
      <c r="N1621" s="181"/>
      <c r="O1621" s="181"/>
      <c r="P1621" s="181"/>
    </row>
    <row r="1622">
      <c r="B1622" s="292"/>
      <c r="C1622" s="181"/>
      <c r="D1622" s="181"/>
      <c r="E1622" s="181"/>
      <c r="F1622" s="181"/>
      <c r="G1622" s="181"/>
      <c r="H1622" s="181"/>
      <c r="I1622" s="181"/>
      <c r="J1622" s="181"/>
      <c r="K1622" s="181"/>
      <c r="L1622" s="181"/>
      <c r="M1622" s="181"/>
      <c r="N1622" s="181"/>
      <c r="O1622" s="181"/>
      <c r="P1622" s="181"/>
    </row>
    <row r="1623">
      <c r="B1623" s="292"/>
      <c r="C1623" s="181"/>
      <c r="D1623" s="181"/>
      <c r="E1623" s="181"/>
      <c r="F1623" s="181"/>
      <c r="G1623" s="181"/>
      <c r="H1623" s="181"/>
      <c r="I1623" s="181"/>
      <c r="J1623" s="181"/>
      <c r="K1623" s="181"/>
      <c r="L1623" s="181"/>
      <c r="M1623" s="181"/>
      <c r="N1623" s="181"/>
      <c r="O1623" s="181"/>
      <c r="P1623" s="181"/>
    </row>
    <row r="1624">
      <c r="B1624" s="292"/>
      <c r="C1624" s="181"/>
      <c r="D1624" s="181"/>
      <c r="E1624" s="181"/>
      <c r="F1624" s="181"/>
      <c r="G1624" s="181"/>
      <c r="H1624" s="181"/>
      <c r="I1624" s="181"/>
      <c r="J1624" s="181"/>
      <c r="K1624" s="181"/>
      <c r="L1624" s="181"/>
      <c r="M1624" s="181"/>
      <c r="N1624" s="181"/>
      <c r="O1624" s="181"/>
      <c r="P1624" s="181"/>
    </row>
    <row r="1625">
      <c r="B1625" s="292"/>
      <c r="C1625" s="181"/>
      <c r="D1625" s="181"/>
      <c r="E1625" s="181"/>
      <c r="F1625" s="181"/>
      <c r="G1625" s="181"/>
      <c r="H1625" s="181"/>
      <c r="I1625" s="181"/>
      <c r="J1625" s="181"/>
      <c r="K1625" s="181"/>
      <c r="L1625" s="181"/>
      <c r="M1625" s="181"/>
      <c r="N1625" s="181"/>
      <c r="O1625" s="181"/>
      <c r="P1625" s="181"/>
    </row>
    <row r="1626">
      <c r="B1626" s="292"/>
      <c r="C1626" s="181"/>
      <c r="D1626" s="181"/>
      <c r="E1626" s="181"/>
      <c r="F1626" s="181"/>
      <c r="G1626" s="181"/>
      <c r="H1626" s="181"/>
      <c r="I1626" s="181"/>
      <c r="J1626" s="181"/>
      <c r="K1626" s="181"/>
      <c r="L1626" s="181"/>
      <c r="M1626" s="181"/>
      <c r="N1626" s="181"/>
      <c r="O1626" s="181"/>
      <c r="P1626" s="181"/>
    </row>
    <row r="1627">
      <c r="B1627" s="292"/>
      <c r="C1627" s="181"/>
      <c r="D1627" s="181"/>
      <c r="E1627" s="181"/>
      <c r="F1627" s="181"/>
      <c r="G1627" s="181"/>
      <c r="H1627" s="181"/>
      <c r="I1627" s="181"/>
      <c r="J1627" s="181"/>
      <c r="K1627" s="181"/>
      <c r="L1627" s="181"/>
      <c r="M1627" s="181"/>
      <c r="N1627" s="181"/>
      <c r="O1627" s="181"/>
      <c r="P1627" s="181"/>
    </row>
    <row r="1628">
      <c r="B1628" s="292"/>
      <c r="C1628" s="181"/>
      <c r="D1628" s="181"/>
      <c r="E1628" s="181"/>
      <c r="F1628" s="181"/>
      <c r="G1628" s="181"/>
      <c r="H1628" s="181"/>
      <c r="I1628" s="181"/>
      <c r="J1628" s="181"/>
      <c r="K1628" s="181"/>
      <c r="L1628" s="181"/>
      <c r="M1628" s="181"/>
      <c r="N1628" s="181"/>
      <c r="O1628" s="181"/>
      <c r="P1628" s="181"/>
    </row>
    <row r="1629">
      <c r="B1629" s="292"/>
      <c r="C1629" s="181"/>
      <c r="D1629" s="181"/>
      <c r="E1629" s="181"/>
      <c r="F1629" s="181"/>
      <c r="G1629" s="181"/>
      <c r="H1629" s="181"/>
      <c r="I1629" s="181"/>
      <c r="J1629" s="181"/>
      <c r="K1629" s="181"/>
      <c r="L1629" s="181"/>
      <c r="M1629" s="181"/>
      <c r="N1629" s="181"/>
      <c r="O1629" s="181"/>
      <c r="P1629" s="181"/>
    </row>
    <row r="1630">
      <c r="B1630" s="292"/>
      <c r="C1630" s="181"/>
      <c r="D1630" s="181"/>
      <c r="E1630" s="181"/>
      <c r="F1630" s="181"/>
      <c r="G1630" s="181"/>
      <c r="H1630" s="181"/>
      <c r="I1630" s="181"/>
      <c r="J1630" s="181"/>
      <c r="K1630" s="181"/>
      <c r="L1630" s="181"/>
      <c r="M1630" s="181"/>
      <c r="N1630" s="181"/>
      <c r="O1630" s="181"/>
      <c r="P1630" s="181"/>
    </row>
    <row r="1631">
      <c r="B1631" s="292"/>
      <c r="C1631" s="181"/>
      <c r="D1631" s="181"/>
      <c r="E1631" s="181"/>
      <c r="F1631" s="181"/>
      <c r="G1631" s="181"/>
      <c r="H1631" s="181"/>
      <c r="I1631" s="181"/>
      <c r="J1631" s="181"/>
      <c r="K1631" s="181"/>
      <c r="L1631" s="181"/>
      <c r="M1631" s="181"/>
      <c r="N1631" s="181"/>
      <c r="O1631" s="181"/>
      <c r="P1631" s="181"/>
    </row>
    <row r="1632">
      <c r="B1632" s="292"/>
      <c r="C1632" s="181"/>
      <c r="D1632" s="181"/>
      <c r="E1632" s="181"/>
      <c r="F1632" s="181"/>
      <c r="G1632" s="181"/>
      <c r="H1632" s="181"/>
      <c r="I1632" s="181"/>
      <c r="J1632" s="181"/>
      <c r="K1632" s="181"/>
      <c r="L1632" s="181"/>
      <c r="M1632" s="181"/>
      <c r="N1632" s="181"/>
      <c r="O1632" s="181"/>
      <c r="P1632" s="181"/>
    </row>
    <row r="1633">
      <c r="B1633" s="292"/>
      <c r="C1633" s="181"/>
      <c r="D1633" s="181"/>
      <c r="E1633" s="181"/>
      <c r="F1633" s="181"/>
      <c r="G1633" s="181"/>
      <c r="H1633" s="181"/>
      <c r="I1633" s="181"/>
      <c r="J1633" s="181"/>
      <c r="K1633" s="181"/>
      <c r="L1633" s="181"/>
      <c r="M1633" s="181"/>
      <c r="N1633" s="181"/>
      <c r="O1633" s="181"/>
      <c r="P1633" s="181"/>
    </row>
    <row r="1634">
      <c r="B1634" s="292"/>
      <c r="C1634" s="181"/>
      <c r="D1634" s="181"/>
      <c r="E1634" s="181"/>
      <c r="F1634" s="181"/>
      <c r="G1634" s="181"/>
      <c r="H1634" s="181"/>
      <c r="I1634" s="181"/>
      <c r="J1634" s="181"/>
      <c r="K1634" s="181"/>
      <c r="L1634" s="181"/>
      <c r="M1634" s="181"/>
      <c r="N1634" s="181"/>
      <c r="O1634" s="181"/>
      <c r="P1634" s="181"/>
    </row>
    <row r="1635">
      <c r="B1635" s="292"/>
      <c r="C1635" s="181"/>
      <c r="D1635" s="181"/>
      <c r="E1635" s="181"/>
      <c r="F1635" s="181"/>
      <c r="G1635" s="181"/>
      <c r="H1635" s="181"/>
      <c r="I1635" s="181"/>
      <c r="J1635" s="181"/>
      <c r="K1635" s="181"/>
      <c r="L1635" s="181"/>
      <c r="M1635" s="181"/>
      <c r="N1635" s="181"/>
      <c r="O1635" s="181"/>
      <c r="P1635" s="181"/>
    </row>
    <row r="1636">
      <c r="B1636" s="292"/>
      <c r="C1636" s="181"/>
      <c r="D1636" s="181"/>
      <c r="E1636" s="181"/>
      <c r="F1636" s="181"/>
      <c r="G1636" s="181"/>
      <c r="H1636" s="181"/>
      <c r="I1636" s="181"/>
      <c r="J1636" s="181"/>
      <c r="K1636" s="181"/>
      <c r="L1636" s="181"/>
      <c r="M1636" s="181"/>
      <c r="N1636" s="181"/>
      <c r="O1636" s="181"/>
      <c r="P1636" s="181"/>
    </row>
    <row r="1637">
      <c r="B1637" s="292"/>
      <c r="C1637" s="181"/>
      <c r="D1637" s="181"/>
      <c r="E1637" s="181"/>
      <c r="F1637" s="181"/>
      <c r="G1637" s="181"/>
      <c r="H1637" s="181"/>
      <c r="I1637" s="181"/>
      <c r="J1637" s="181"/>
      <c r="K1637" s="181"/>
      <c r="L1637" s="181"/>
      <c r="M1637" s="181"/>
      <c r="N1637" s="181"/>
      <c r="O1637" s="181"/>
      <c r="P1637" s="181"/>
    </row>
    <row r="1638">
      <c r="B1638" s="292"/>
      <c r="C1638" s="181"/>
      <c r="D1638" s="181"/>
      <c r="E1638" s="181"/>
      <c r="F1638" s="181"/>
      <c r="G1638" s="181"/>
      <c r="H1638" s="181"/>
      <c r="I1638" s="181"/>
      <c r="J1638" s="181"/>
      <c r="K1638" s="181"/>
      <c r="L1638" s="181"/>
      <c r="M1638" s="181"/>
      <c r="N1638" s="181"/>
      <c r="O1638" s="181"/>
      <c r="P1638" s="181"/>
    </row>
    <row r="1639">
      <c r="B1639" s="292"/>
      <c r="C1639" s="181"/>
      <c r="D1639" s="181"/>
      <c r="E1639" s="181"/>
      <c r="F1639" s="181"/>
      <c r="G1639" s="181"/>
      <c r="H1639" s="181"/>
      <c r="I1639" s="181"/>
      <c r="J1639" s="181"/>
      <c r="K1639" s="181"/>
      <c r="L1639" s="181"/>
      <c r="M1639" s="181"/>
      <c r="N1639" s="181"/>
      <c r="O1639" s="181"/>
      <c r="P1639" s="181"/>
    </row>
    <row r="1640">
      <c r="B1640" s="292"/>
      <c r="C1640" s="181"/>
      <c r="D1640" s="181"/>
      <c r="E1640" s="181"/>
      <c r="F1640" s="181"/>
      <c r="G1640" s="181"/>
      <c r="H1640" s="181"/>
      <c r="I1640" s="181"/>
      <c r="J1640" s="181"/>
      <c r="K1640" s="181"/>
      <c r="L1640" s="181"/>
      <c r="M1640" s="181"/>
      <c r="N1640" s="181"/>
      <c r="O1640" s="181"/>
      <c r="P1640" s="181"/>
    </row>
    <row r="1641">
      <c r="B1641" s="292"/>
      <c r="C1641" s="181"/>
      <c r="D1641" s="181"/>
      <c r="E1641" s="181"/>
      <c r="F1641" s="181"/>
      <c r="G1641" s="181"/>
      <c r="H1641" s="181"/>
      <c r="I1641" s="181"/>
      <c r="J1641" s="181"/>
      <c r="K1641" s="181"/>
      <c r="L1641" s="181"/>
      <c r="M1641" s="181"/>
      <c r="N1641" s="181"/>
      <c r="O1641" s="181"/>
      <c r="P1641" s="181"/>
    </row>
    <row r="1642">
      <c r="B1642" s="292"/>
      <c r="C1642" s="181"/>
      <c r="D1642" s="181"/>
      <c r="E1642" s="181"/>
      <c r="F1642" s="181"/>
      <c r="G1642" s="181"/>
      <c r="H1642" s="181"/>
      <c r="I1642" s="181"/>
      <c r="J1642" s="181"/>
      <c r="K1642" s="181"/>
      <c r="L1642" s="181"/>
      <c r="M1642" s="181"/>
      <c r="N1642" s="181"/>
      <c r="O1642" s="181"/>
      <c r="P1642" s="181"/>
    </row>
    <row r="1643">
      <c r="B1643" s="292"/>
      <c r="C1643" s="181"/>
      <c r="D1643" s="181"/>
      <c r="E1643" s="181"/>
      <c r="F1643" s="181"/>
      <c r="G1643" s="181"/>
      <c r="H1643" s="181"/>
      <c r="I1643" s="181"/>
      <c r="J1643" s="181"/>
      <c r="K1643" s="181"/>
      <c r="L1643" s="181"/>
      <c r="M1643" s="181"/>
      <c r="N1643" s="181"/>
      <c r="O1643" s="181"/>
      <c r="P1643" s="181"/>
    </row>
    <row r="1644">
      <c r="B1644" s="292"/>
      <c r="C1644" s="181"/>
      <c r="D1644" s="181"/>
      <c r="E1644" s="181"/>
      <c r="F1644" s="181"/>
      <c r="G1644" s="181"/>
      <c r="H1644" s="181"/>
      <c r="I1644" s="181"/>
      <c r="J1644" s="181"/>
      <c r="K1644" s="181"/>
      <c r="L1644" s="181"/>
      <c r="M1644" s="181"/>
      <c r="N1644" s="181"/>
      <c r="O1644" s="181"/>
      <c r="P1644" s="181"/>
    </row>
    <row r="1645">
      <c r="B1645" s="292"/>
      <c r="C1645" s="181"/>
      <c r="D1645" s="181"/>
      <c r="E1645" s="181"/>
      <c r="F1645" s="181"/>
      <c r="G1645" s="181"/>
      <c r="H1645" s="181"/>
      <c r="I1645" s="181"/>
      <c r="J1645" s="181"/>
      <c r="K1645" s="181"/>
      <c r="L1645" s="181"/>
      <c r="M1645" s="181"/>
      <c r="N1645" s="181"/>
      <c r="O1645" s="181"/>
      <c r="P1645" s="181"/>
    </row>
    <row r="1646">
      <c r="B1646" s="292"/>
      <c r="C1646" s="181"/>
      <c r="D1646" s="181"/>
      <c r="E1646" s="181"/>
      <c r="F1646" s="181"/>
      <c r="G1646" s="181"/>
      <c r="H1646" s="181"/>
      <c r="I1646" s="181"/>
      <c r="J1646" s="181"/>
      <c r="K1646" s="181"/>
      <c r="L1646" s="181"/>
      <c r="M1646" s="181"/>
      <c r="N1646" s="181"/>
      <c r="O1646" s="181"/>
      <c r="P1646" s="181"/>
    </row>
    <row r="1647">
      <c r="B1647" s="292"/>
      <c r="C1647" s="181"/>
      <c r="D1647" s="181"/>
      <c r="E1647" s="181"/>
      <c r="F1647" s="181"/>
      <c r="G1647" s="181"/>
      <c r="H1647" s="181"/>
      <c r="I1647" s="181"/>
      <c r="J1647" s="181"/>
      <c r="K1647" s="181"/>
      <c r="L1647" s="181"/>
      <c r="M1647" s="181"/>
      <c r="N1647" s="181"/>
      <c r="O1647" s="181"/>
      <c r="P1647" s="181"/>
    </row>
    <row r="1648">
      <c r="B1648" s="292"/>
      <c r="C1648" s="181"/>
      <c r="D1648" s="181"/>
      <c r="E1648" s="181"/>
      <c r="F1648" s="181"/>
      <c r="G1648" s="181"/>
      <c r="H1648" s="181"/>
      <c r="I1648" s="181"/>
      <c r="J1648" s="181"/>
      <c r="K1648" s="181"/>
      <c r="L1648" s="181"/>
      <c r="M1648" s="181"/>
      <c r="N1648" s="181"/>
      <c r="O1648" s="181"/>
      <c r="P1648" s="181"/>
    </row>
    <row r="1649">
      <c r="B1649" s="292"/>
      <c r="C1649" s="181"/>
      <c r="D1649" s="181"/>
      <c r="E1649" s="181"/>
      <c r="F1649" s="181"/>
      <c r="G1649" s="181"/>
      <c r="H1649" s="181"/>
      <c r="I1649" s="181"/>
      <c r="J1649" s="181"/>
      <c r="K1649" s="181"/>
      <c r="L1649" s="181"/>
      <c r="M1649" s="181"/>
      <c r="N1649" s="181"/>
      <c r="O1649" s="181"/>
      <c r="P1649" s="181"/>
    </row>
    <row r="1650">
      <c r="B1650" s="292"/>
      <c r="C1650" s="181"/>
      <c r="D1650" s="181"/>
      <c r="E1650" s="181"/>
      <c r="F1650" s="181"/>
      <c r="G1650" s="181"/>
      <c r="H1650" s="181"/>
      <c r="I1650" s="181"/>
      <c r="J1650" s="181"/>
      <c r="K1650" s="181"/>
      <c r="L1650" s="181"/>
      <c r="M1650" s="181"/>
      <c r="N1650" s="181"/>
      <c r="O1650" s="181"/>
      <c r="P1650" s="181"/>
    </row>
    <row r="1651">
      <c r="B1651" s="292"/>
      <c r="C1651" s="181"/>
      <c r="D1651" s="181"/>
      <c r="E1651" s="181"/>
      <c r="F1651" s="181"/>
      <c r="G1651" s="181"/>
      <c r="H1651" s="181"/>
      <c r="I1651" s="181"/>
      <c r="J1651" s="181"/>
      <c r="K1651" s="181"/>
      <c r="L1651" s="181"/>
      <c r="M1651" s="181"/>
      <c r="N1651" s="181"/>
      <c r="O1651" s="181"/>
      <c r="P1651" s="181"/>
    </row>
    <row r="1652">
      <c r="B1652" s="292"/>
      <c r="C1652" s="181"/>
      <c r="D1652" s="181"/>
      <c r="E1652" s="181"/>
      <c r="F1652" s="181"/>
      <c r="G1652" s="181"/>
      <c r="H1652" s="181"/>
      <c r="I1652" s="181"/>
      <c r="J1652" s="181"/>
      <c r="K1652" s="181"/>
      <c r="L1652" s="181"/>
      <c r="M1652" s="181"/>
      <c r="N1652" s="181"/>
      <c r="O1652" s="181"/>
      <c r="P1652" s="181"/>
    </row>
    <row r="1653">
      <c r="B1653" s="292"/>
      <c r="C1653" s="181"/>
      <c r="D1653" s="181"/>
      <c r="E1653" s="181"/>
      <c r="F1653" s="181"/>
      <c r="G1653" s="181"/>
      <c r="H1653" s="181"/>
      <c r="I1653" s="181"/>
      <c r="J1653" s="181"/>
      <c r="K1653" s="181"/>
      <c r="L1653" s="181"/>
      <c r="M1653" s="181"/>
      <c r="N1653" s="181"/>
      <c r="O1653" s="181"/>
      <c r="P1653" s="181"/>
    </row>
    <row r="1654">
      <c r="B1654" s="292"/>
      <c r="C1654" s="181"/>
      <c r="D1654" s="181"/>
      <c r="E1654" s="181"/>
      <c r="F1654" s="181"/>
      <c r="G1654" s="181"/>
      <c r="H1654" s="181"/>
      <c r="I1654" s="181"/>
      <c r="J1654" s="181"/>
      <c r="K1654" s="181"/>
      <c r="L1654" s="181"/>
      <c r="M1654" s="181"/>
      <c r="N1654" s="181"/>
      <c r="O1654" s="181"/>
      <c r="P1654" s="181"/>
    </row>
    <row r="1655">
      <c r="B1655" s="292"/>
      <c r="C1655" s="181"/>
      <c r="D1655" s="181"/>
      <c r="E1655" s="181"/>
      <c r="F1655" s="181"/>
      <c r="G1655" s="181"/>
      <c r="H1655" s="181"/>
      <c r="I1655" s="181"/>
      <c r="J1655" s="181"/>
      <c r="K1655" s="181"/>
      <c r="L1655" s="181"/>
      <c r="M1655" s="181"/>
      <c r="N1655" s="181"/>
      <c r="O1655" s="181"/>
      <c r="P1655" s="181"/>
    </row>
    <row r="1656">
      <c r="B1656" s="292"/>
      <c r="C1656" s="181"/>
      <c r="D1656" s="181"/>
      <c r="E1656" s="181"/>
      <c r="F1656" s="181"/>
      <c r="G1656" s="181"/>
      <c r="H1656" s="181"/>
      <c r="I1656" s="181"/>
      <c r="J1656" s="181"/>
      <c r="K1656" s="181"/>
      <c r="L1656" s="181"/>
      <c r="M1656" s="181"/>
      <c r="N1656" s="181"/>
      <c r="O1656" s="181"/>
      <c r="P1656" s="181"/>
    </row>
    <row r="1657">
      <c r="B1657" s="292"/>
      <c r="C1657" s="181"/>
      <c r="D1657" s="181"/>
      <c r="E1657" s="181"/>
      <c r="F1657" s="181"/>
      <c r="G1657" s="181"/>
      <c r="H1657" s="181"/>
      <c r="I1657" s="181"/>
      <c r="J1657" s="181"/>
      <c r="K1657" s="181"/>
      <c r="L1657" s="181"/>
      <c r="M1657" s="181"/>
      <c r="N1657" s="181"/>
      <c r="O1657" s="181"/>
      <c r="P1657" s="181"/>
    </row>
    <row r="1658">
      <c r="B1658" s="292"/>
      <c r="C1658" s="181"/>
      <c r="D1658" s="181"/>
      <c r="E1658" s="181"/>
      <c r="F1658" s="181"/>
      <c r="G1658" s="181"/>
      <c r="H1658" s="181"/>
      <c r="I1658" s="181"/>
      <c r="J1658" s="181"/>
      <c r="K1658" s="181"/>
      <c r="L1658" s="181"/>
      <c r="M1658" s="181"/>
      <c r="N1658" s="181"/>
      <c r="O1658" s="181"/>
      <c r="P1658" s="181"/>
    </row>
    <row r="1659">
      <c r="B1659" s="292"/>
      <c r="C1659" s="181"/>
      <c r="D1659" s="181"/>
      <c r="E1659" s="181"/>
      <c r="F1659" s="181"/>
      <c r="G1659" s="181"/>
      <c r="H1659" s="181"/>
      <c r="I1659" s="181"/>
      <c r="J1659" s="181"/>
      <c r="K1659" s="181"/>
      <c r="L1659" s="181"/>
      <c r="M1659" s="181"/>
      <c r="N1659" s="181"/>
      <c r="O1659" s="181"/>
      <c r="P1659" s="181"/>
    </row>
    <row r="1660">
      <c r="B1660" s="292"/>
      <c r="C1660" s="181"/>
      <c r="D1660" s="181"/>
      <c r="E1660" s="181"/>
      <c r="F1660" s="181"/>
      <c r="G1660" s="181"/>
      <c r="H1660" s="181"/>
      <c r="I1660" s="181"/>
      <c r="J1660" s="181"/>
      <c r="K1660" s="181"/>
      <c r="L1660" s="181"/>
      <c r="M1660" s="181"/>
      <c r="N1660" s="181"/>
      <c r="O1660" s="181"/>
      <c r="P1660" s="181"/>
    </row>
    <row r="1661">
      <c r="B1661" s="292"/>
      <c r="C1661" s="181"/>
      <c r="D1661" s="181"/>
      <c r="E1661" s="181"/>
      <c r="F1661" s="181"/>
      <c r="G1661" s="181"/>
      <c r="H1661" s="181"/>
      <c r="I1661" s="181"/>
      <c r="J1661" s="181"/>
      <c r="K1661" s="181"/>
      <c r="L1661" s="181"/>
      <c r="M1661" s="181"/>
      <c r="N1661" s="181"/>
      <c r="O1661" s="181"/>
      <c r="P1661" s="181"/>
    </row>
    <row r="1662">
      <c r="B1662" s="292"/>
      <c r="C1662" s="181"/>
      <c r="D1662" s="181"/>
      <c r="E1662" s="181"/>
      <c r="F1662" s="181"/>
      <c r="G1662" s="181"/>
      <c r="H1662" s="181"/>
      <c r="I1662" s="181"/>
      <c r="J1662" s="181"/>
      <c r="K1662" s="181"/>
      <c r="L1662" s="181"/>
      <c r="M1662" s="181"/>
      <c r="N1662" s="181"/>
      <c r="O1662" s="181"/>
      <c r="P1662" s="181"/>
    </row>
    <row r="1663">
      <c r="B1663" s="292"/>
      <c r="C1663" s="181"/>
      <c r="D1663" s="181"/>
      <c r="E1663" s="181"/>
      <c r="F1663" s="181"/>
      <c r="G1663" s="181"/>
      <c r="H1663" s="181"/>
      <c r="I1663" s="181"/>
      <c r="J1663" s="181"/>
      <c r="K1663" s="181"/>
      <c r="L1663" s="181"/>
      <c r="M1663" s="181"/>
      <c r="N1663" s="181"/>
      <c r="O1663" s="181"/>
      <c r="P1663" s="181"/>
    </row>
    <row r="1664">
      <c r="B1664" s="292"/>
      <c r="C1664" s="181"/>
      <c r="D1664" s="181"/>
      <c r="E1664" s="181"/>
      <c r="F1664" s="181"/>
      <c r="G1664" s="181"/>
      <c r="H1664" s="181"/>
      <c r="I1664" s="181"/>
      <c r="J1664" s="181"/>
      <c r="K1664" s="181"/>
      <c r="L1664" s="181"/>
      <c r="M1664" s="181"/>
      <c r="N1664" s="181"/>
      <c r="O1664" s="181"/>
      <c r="P1664" s="181"/>
    </row>
    <row r="1665">
      <c r="B1665" s="292"/>
      <c r="C1665" s="181"/>
      <c r="D1665" s="181"/>
      <c r="E1665" s="181"/>
      <c r="F1665" s="181"/>
      <c r="G1665" s="181"/>
      <c r="H1665" s="181"/>
      <c r="I1665" s="181"/>
      <c r="J1665" s="181"/>
      <c r="K1665" s="181"/>
      <c r="L1665" s="181"/>
      <c r="M1665" s="181"/>
      <c r="N1665" s="181"/>
      <c r="O1665" s="181"/>
      <c r="P1665" s="181"/>
    </row>
    <row r="1666">
      <c r="B1666" s="292"/>
      <c r="C1666" s="181"/>
      <c r="D1666" s="181"/>
      <c r="E1666" s="181"/>
      <c r="F1666" s="181"/>
      <c r="G1666" s="181"/>
      <c r="H1666" s="181"/>
      <c r="I1666" s="181"/>
      <c r="J1666" s="181"/>
      <c r="K1666" s="181"/>
      <c r="L1666" s="181"/>
      <c r="M1666" s="181"/>
      <c r="N1666" s="181"/>
      <c r="O1666" s="181"/>
      <c r="P1666" s="181"/>
    </row>
    <row r="1667">
      <c r="B1667" s="292"/>
      <c r="C1667" s="181"/>
      <c r="D1667" s="181"/>
      <c r="E1667" s="181"/>
      <c r="F1667" s="181"/>
      <c r="G1667" s="181"/>
      <c r="H1667" s="181"/>
      <c r="I1667" s="181"/>
      <c r="J1667" s="181"/>
      <c r="K1667" s="181"/>
      <c r="L1667" s="181"/>
      <c r="M1667" s="181"/>
      <c r="N1667" s="181"/>
      <c r="O1667" s="181"/>
      <c r="P1667" s="181"/>
    </row>
    <row r="1668">
      <c r="B1668" s="292"/>
      <c r="C1668" s="181"/>
      <c r="D1668" s="181"/>
      <c r="E1668" s="181"/>
      <c r="F1668" s="181"/>
      <c r="G1668" s="181"/>
      <c r="H1668" s="181"/>
      <c r="I1668" s="181"/>
      <c r="J1668" s="181"/>
      <c r="K1668" s="181"/>
      <c r="L1668" s="181"/>
      <c r="M1668" s="181"/>
      <c r="N1668" s="181"/>
      <c r="O1668" s="181"/>
      <c r="P1668" s="181"/>
    </row>
    <row r="1669">
      <c r="B1669" s="292"/>
      <c r="C1669" s="181"/>
      <c r="D1669" s="181"/>
      <c r="E1669" s="181"/>
      <c r="F1669" s="181"/>
      <c r="G1669" s="181"/>
      <c r="H1669" s="181"/>
      <c r="I1669" s="181"/>
      <c r="J1669" s="181"/>
      <c r="K1669" s="181"/>
      <c r="L1669" s="181"/>
      <c r="M1669" s="181"/>
      <c r="N1669" s="181"/>
      <c r="O1669" s="181"/>
      <c r="P1669" s="181"/>
    </row>
    <row r="1670">
      <c r="B1670" s="292"/>
      <c r="C1670" s="181"/>
      <c r="D1670" s="181"/>
      <c r="E1670" s="181"/>
      <c r="F1670" s="181"/>
      <c r="G1670" s="181"/>
      <c r="H1670" s="181"/>
      <c r="I1670" s="181"/>
      <c r="J1670" s="181"/>
      <c r="K1670" s="181"/>
      <c r="L1670" s="181"/>
      <c r="M1670" s="181"/>
      <c r="N1670" s="181"/>
      <c r="O1670" s="181"/>
      <c r="P1670" s="181"/>
    </row>
    <row r="1671">
      <c r="B1671" s="292"/>
      <c r="C1671" s="181"/>
      <c r="D1671" s="181"/>
      <c r="E1671" s="181"/>
      <c r="F1671" s="181"/>
      <c r="G1671" s="181"/>
      <c r="H1671" s="181"/>
      <c r="I1671" s="181"/>
      <c r="J1671" s="181"/>
      <c r="K1671" s="181"/>
      <c r="L1671" s="181"/>
      <c r="M1671" s="181"/>
      <c r="N1671" s="181"/>
      <c r="O1671" s="181"/>
      <c r="P1671" s="181"/>
    </row>
    <row r="1672">
      <c r="B1672" s="292"/>
      <c r="C1672" s="181"/>
      <c r="D1672" s="181"/>
      <c r="E1672" s="181"/>
      <c r="F1672" s="181"/>
      <c r="G1672" s="181"/>
      <c r="H1672" s="181"/>
      <c r="I1672" s="181"/>
      <c r="J1672" s="181"/>
      <c r="K1672" s="181"/>
      <c r="L1672" s="181"/>
      <c r="M1672" s="181"/>
      <c r="N1672" s="181"/>
      <c r="O1672" s="181"/>
      <c r="P1672" s="181"/>
    </row>
    <row r="1673">
      <c r="B1673" s="292"/>
      <c r="C1673" s="181"/>
      <c r="D1673" s="181"/>
      <c r="E1673" s="181"/>
      <c r="F1673" s="181"/>
      <c r="G1673" s="181"/>
      <c r="H1673" s="181"/>
      <c r="I1673" s="181"/>
      <c r="J1673" s="181"/>
      <c r="K1673" s="181"/>
      <c r="L1673" s="181"/>
      <c r="M1673" s="181"/>
      <c r="N1673" s="181"/>
      <c r="O1673" s="181"/>
      <c r="P1673" s="181"/>
    </row>
    <row r="1674">
      <c r="B1674" s="292"/>
      <c r="C1674" s="181"/>
      <c r="D1674" s="181"/>
      <c r="E1674" s="181"/>
      <c r="F1674" s="181"/>
      <c r="G1674" s="181"/>
      <c r="H1674" s="181"/>
      <c r="I1674" s="181"/>
      <c r="J1674" s="181"/>
      <c r="K1674" s="181"/>
      <c r="L1674" s="181"/>
      <c r="M1674" s="181"/>
      <c r="N1674" s="181"/>
      <c r="O1674" s="181"/>
      <c r="P1674" s="181"/>
    </row>
    <row r="1675">
      <c r="B1675" s="292"/>
      <c r="C1675" s="181"/>
      <c r="D1675" s="181"/>
      <c r="E1675" s="181"/>
      <c r="F1675" s="181"/>
      <c r="G1675" s="181"/>
      <c r="H1675" s="181"/>
      <c r="I1675" s="181"/>
      <c r="J1675" s="181"/>
      <c r="K1675" s="181"/>
      <c r="L1675" s="181"/>
      <c r="M1675" s="181"/>
      <c r="N1675" s="181"/>
      <c r="O1675" s="181"/>
      <c r="P1675" s="181"/>
    </row>
    <row r="1676">
      <c r="B1676" s="292"/>
      <c r="C1676" s="181"/>
      <c r="D1676" s="181"/>
      <c r="E1676" s="181"/>
      <c r="F1676" s="181"/>
      <c r="G1676" s="181"/>
      <c r="H1676" s="181"/>
      <c r="I1676" s="181"/>
      <c r="J1676" s="181"/>
      <c r="K1676" s="181"/>
      <c r="L1676" s="181"/>
      <c r="M1676" s="181"/>
      <c r="N1676" s="181"/>
      <c r="O1676" s="181"/>
      <c r="P1676" s="181"/>
    </row>
    <row r="1677">
      <c r="B1677" s="292"/>
      <c r="C1677" s="181"/>
      <c r="D1677" s="181"/>
      <c r="E1677" s="181"/>
      <c r="F1677" s="181"/>
      <c r="G1677" s="181"/>
      <c r="H1677" s="181"/>
      <c r="I1677" s="181"/>
      <c r="J1677" s="181"/>
      <c r="K1677" s="181"/>
      <c r="L1677" s="181"/>
      <c r="M1677" s="181"/>
      <c r="N1677" s="181"/>
      <c r="O1677" s="181"/>
      <c r="P1677" s="181"/>
    </row>
    <row r="1678">
      <c r="B1678" s="292"/>
      <c r="C1678" s="181"/>
      <c r="D1678" s="181"/>
      <c r="E1678" s="181"/>
      <c r="F1678" s="181"/>
      <c r="G1678" s="181"/>
      <c r="H1678" s="181"/>
      <c r="I1678" s="181"/>
      <c r="J1678" s="181"/>
      <c r="K1678" s="181"/>
      <c r="L1678" s="181"/>
      <c r="M1678" s="181"/>
      <c r="N1678" s="181"/>
      <c r="O1678" s="181"/>
      <c r="P1678" s="181"/>
    </row>
    <row r="1679">
      <c r="B1679" s="292"/>
      <c r="C1679" s="181"/>
      <c r="D1679" s="181"/>
      <c r="E1679" s="181"/>
      <c r="F1679" s="181"/>
      <c r="G1679" s="181"/>
      <c r="H1679" s="181"/>
      <c r="I1679" s="181"/>
      <c r="J1679" s="181"/>
      <c r="K1679" s="181"/>
      <c r="L1679" s="181"/>
      <c r="M1679" s="181"/>
      <c r="N1679" s="181"/>
      <c r="O1679" s="181"/>
      <c r="P1679" s="181"/>
    </row>
    <row r="1680">
      <c r="B1680" s="292"/>
      <c r="C1680" s="181"/>
      <c r="D1680" s="181"/>
      <c r="E1680" s="181"/>
      <c r="F1680" s="181"/>
      <c r="G1680" s="181"/>
      <c r="H1680" s="181"/>
      <c r="I1680" s="181"/>
      <c r="J1680" s="181"/>
      <c r="K1680" s="181"/>
      <c r="L1680" s="181"/>
      <c r="M1680" s="181"/>
      <c r="N1680" s="181"/>
      <c r="O1680" s="181"/>
      <c r="P1680" s="181"/>
    </row>
    <row r="1681">
      <c r="B1681" s="292"/>
      <c r="C1681" s="181"/>
      <c r="D1681" s="181"/>
      <c r="E1681" s="181"/>
      <c r="F1681" s="181"/>
      <c r="G1681" s="181"/>
      <c r="H1681" s="181"/>
      <c r="I1681" s="181"/>
      <c r="J1681" s="181"/>
      <c r="K1681" s="181"/>
      <c r="L1681" s="181"/>
      <c r="M1681" s="181"/>
      <c r="N1681" s="181"/>
      <c r="O1681" s="181"/>
      <c r="P1681" s="181"/>
    </row>
    <row r="1682">
      <c r="B1682" s="292"/>
      <c r="C1682" s="181"/>
      <c r="D1682" s="181"/>
      <c r="E1682" s="181"/>
      <c r="F1682" s="181"/>
      <c r="G1682" s="181"/>
      <c r="H1682" s="181"/>
      <c r="I1682" s="181"/>
      <c r="J1682" s="181"/>
      <c r="K1682" s="181"/>
      <c r="L1682" s="181"/>
      <c r="M1682" s="181"/>
      <c r="N1682" s="181"/>
      <c r="O1682" s="181"/>
      <c r="P1682" s="181"/>
    </row>
    <row r="1683">
      <c r="B1683" s="292"/>
      <c r="C1683" s="181"/>
      <c r="D1683" s="181"/>
      <c r="E1683" s="181"/>
      <c r="F1683" s="181"/>
      <c r="G1683" s="181"/>
      <c r="H1683" s="181"/>
      <c r="I1683" s="181"/>
      <c r="J1683" s="181"/>
      <c r="K1683" s="181"/>
      <c r="L1683" s="181"/>
      <c r="M1683" s="181"/>
      <c r="N1683" s="181"/>
      <c r="O1683" s="181"/>
      <c r="P1683" s="181"/>
    </row>
    <row r="1684">
      <c r="B1684" s="292"/>
      <c r="C1684" s="181"/>
      <c r="D1684" s="181"/>
      <c r="E1684" s="181"/>
      <c r="F1684" s="181"/>
      <c r="G1684" s="181"/>
      <c r="H1684" s="181"/>
      <c r="I1684" s="181"/>
      <c r="J1684" s="181"/>
      <c r="K1684" s="181"/>
      <c r="L1684" s="181"/>
      <c r="M1684" s="181"/>
      <c r="N1684" s="181"/>
      <c r="O1684" s="181"/>
      <c r="P1684" s="181"/>
    </row>
    <row r="1685">
      <c r="B1685" s="292"/>
      <c r="C1685" s="181"/>
      <c r="D1685" s="181"/>
      <c r="E1685" s="181"/>
      <c r="F1685" s="181"/>
      <c r="G1685" s="181"/>
      <c r="H1685" s="181"/>
      <c r="I1685" s="181"/>
      <c r="J1685" s="181"/>
      <c r="K1685" s="181"/>
      <c r="L1685" s="181"/>
      <c r="M1685" s="181"/>
      <c r="N1685" s="181"/>
      <c r="O1685" s="181"/>
      <c r="P1685" s="181"/>
    </row>
    <row r="1686">
      <c r="B1686" s="292"/>
      <c r="C1686" s="181"/>
      <c r="D1686" s="181"/>
      <c r="E1686" s="181"/>
      <c r="F1686" s="181"/>
      <c r="G1686" s="181"/>
      <c r="H1686" s="181"/>
      <c r="I1686" s="181"/>
      <c r="J1686" s="181"/>
      <c r="K1686" s="181"/>
      <c r="L1686" s="181"/>
      <c r="M1686" s="181"/>
      <c r="N1686" s="181"/>
      <c r="O1686" s="181"/>
      <c r="P1686" s="181"/>
    </row>
    <row r="1687">
      <c r="B1687" s="292"/>
      <c r="C1687" s="181"/>
      <c r="D1687" s="181"/>
      <c r="E1687" s="181"/>
      <c r="F1687" s="181"/>
      <c r="G1687" s="181"/>
      <c r="H1687" s="181"/>
      <c r="I1687" s="181"/>
      <c r="J1687" s="181"/>
      <c r="K1687" s="181"/>
      <c r="L1687" s="181"/>
      <c r="M1687" s="181"/>
      <c r="N1687" s="181"/>
      <c r="O1687" s="181"/>
      <c r="P1687" s="181"/>
    </row>
    <row r="1688">
      <c r="B1688" s="292"/>
      <c r="C1688" s="181"/>
      <c r="D1688" s="181"/>
      <c r="E1688" s="181"/>
      <c r="F1688" s="181"/>
      <c r="G1688" s="181"/>
      <c r="H1688" s="181"/>
      <c r="I1688" s="181"/>
      <c r="J1688" s="181"/>
      <c r="K1688" s="181"/>
      <c r="L1688" s="181"/>
      <c r="M1688" s="181"/>
      <c r="N1688" s="181"/>
      <c r="O1688" s="181"/>
      <c r="P1688" s="181"/>
    </row>
    <row r="1689">
      <c r="B1689" s="292"/>
      <c r="C1689" s="181"/>
      <c r="D1689" s="181"/>
      <c r="E1689" s="181"/>
      <c r="F1689" s="181"/>
      <c r="G1689" s="181"/>
      <c r="H1689" s="181"/>
      <c r="I1689" s="181"/>
      <c r="J1689" s="181"/>
      <c r="K1689" s="181"/>
      <c r="L1689" s="181"/>
      <c r="M1689" s="181"/>
      <c r="N1689" s="181"/>
      <c r="O1689" s="181"/>
      <c r="P1689" s="181"/>
    </row>
    <row r="1690">
      <c r="B1690" s="292"/>
      <c r="C1690" s="181"/>
      <c r="D1690" s="181"/>
      <c r="E1690" s="181"/>
      <c r="F1690" s="181"/>
      <c r="G1690" s="181"/>
      <c r="H1690" s="181"/>
      <c r="I1690" s="181"/>
      <c r="J1690" s="181"/>
      <c r="K1690" s="181"/>
      <c r="L1690" s="181"/>
      <c r="M1690" s="181"/>
      <c r="N1690" s="181"/>
      <c r="O1690" s="181"/>
      <c r="P1690" s="181"/>
    </row>
    <row r="1691">
      <c r="B1691" s="292"/>
      <c r="C1691" s="181"/>
      <c r="D1691" s="181"/>
      <c r="E1691" s="181"/>
      <c r="F1691" s="181"/>
      <c r="G1691" s="181"/>
      <c r="H1691" s="181"/>
      <c r="I1691" s="181"/>
      <c r="J1691" s="181"/>
      <c r="K1691" s="181"/>
      <c r="L1691" s="181"/>
      <c r="M1691" s="181"/>
      <c r="N1691" s="181"/>
      <c r="O1691" s="181"/>
      <c r="P1691" s="181"/>
    </row>
    <row r="1692">
      <c r="B1692" s="292"/>
      <c r="C1692" s="181"/>
      <c r="D1692" s="181"/>
      <c r="E1692" s="181"/>
      <c r="F1692" s="181"/>
      <c r="G1692" s="181"/>
      <c r="H1692" s="181"/>
      <c r="I1692" s="181"/>
      <c r="J1692" s="181"/>
      <c r="K1692" s="181"/>
      <c r="L1692" s="181"/>
      <c r="M1692" s="181"/>
      <c r="N1692" s="181"/>
      <c r="O1692" s="181"/>
      <c r="P1692" s="181"/>
    </row>
    <row r="1693">
      <c r="B1693" s="292"/>
      <c r="C1693" s="181"/>
      <c r="D1693" s="181"/>
      <c r="E1693" s="181"/>
      <c r="F1693" s="181"/>
      <c r="G1693" s="181"/>
      <c r="H1693" s="181"/>
      <c r="I1693" s="181"/>
      <c r="J1693" s="181"/>
      <c r="K1693" s="181"/>
      <c r="L1693" s="181"/>
      <c r="M1693" s="181"/>
      <c r="N1693" s="181"/>
      <c r="O1693" s="181"/>
      <c r="P1693" s="181"/>
    </row>
    <row r="1694">
      <c r="B1694" s="292"/>
      <c r="C1694" s="181"/>
      <c r="D1694" s="181"/>
      <c r="E1694" s="181"/>
      <c r="F1694" s="181"/>
      <c r="G1694" s="181"/>
      <c r="H1694" s="181"/>
      <c r="I1694" s="181"/>
      <c r="J1694" s="181"/>
      <c r="K1694" s="181"/>
      <c r="L1694" s="181"/>
      <c r="M1694" s="181"/>
      <c r="N1694" s="181"/>
      <c r="O1694" s="181"/>
      <c r="P1694" s="181"/>
    </row>
    <row r="1695">
      <c r="B1695" s="292"/>
      <c r="C1695" s="181"/>
      <c r="D1695" s="181"/>
      <c r="E1695" s="181"/>
      <c r="F1695" s="181"/>
      <c r="G1695" s="181"/>
      <c r="H1695" s="181"/>
      <c r="I1695" s="181"/>
      <c r="J1695" s="181"/>
      <c r="K1695" s="181"/>
      <c r="L1695" s="181"/>
      <c r="M1695" s="181"/>
      <c r="N1695" s="181"/>
      <c r="O1695" s="181"/>
      <c r="P1695" s="181"/>
    </row>
    <row r="1696">
      <c r="B1696" s="292"/>
      <c r="C1696" s="181"/>
      <c r="D1696" s="181"/>
      <c r="E1696" s="181"/>
      <c r="F1696" s="181"/>
      <c r="G1696" s="181"/>
      <c r="H1696" s="181"/>
      <c r="I1696" s="181"/>
      <c r="J1696" s="181"/>
      <c r="K1696" s="181"/>
      <c r="L1696" s="181"/>
      <c r="M1696" s="181"/>
      <c r="N1696" s="181"/>
      <c r="O1696" s="181"/>
      <c r="P1696" s="181"/>
    </row>
    <row r="1697">
      <c r="B1697" s="292"/>
      <c r="C1697" s="181"/>
      <c r="D1697" s="181"/>
      <c r="E1697" s="181"/>
      <c r="F1697" s="181"/>
      <c r="G1697" s="181"/>
      <c r="H1697" s="181"/>
      <c r="I1697" s="181"/>
      <c r="J1697" s="181"/>
      <c r="K1697" s="181"/>
      <c r="L1697" s="181"/>
      <c r="M1697" s="181"/>
      <c r="N1697" s="181"/>
      <c r="O1697" s="181"/>
      <c r="P1697" s="181"/>
    </row>
    <row r="1698">
      <c r="B1698" s="292"/>
      <c r="C1698" s="181"/>
      <c r="D1698" s="181"/>
      <c r="E1698" s="181"/>
      <c r="F1698" s="181"/>
      <c r="G1698" s="181"/>
      <c r="H1698" s="181"/>
      <c r="I1698" s="181"/>
      <c r="J1698" s="181"/>
      <c r="K1698" s="181"/>
      <c r="L1698" s="181"/>
      <c r="M1698" s="181"/>
      <c r="N1698" s="181"/>
      <c r="O1698" s="181"/>
      <c r="P1698" s="181"/>
    </row>
    <row r="1699">
      <c r="B1699" s="292"/>
      <c r="C1699" s="181"/>
      <c r="D1699" s="181"/>
      <c r="E1699" s="181"/>
      <c r="F1699" s="181"/>
      <c r="G1699" s="181"/>
      <c r="H1699" s="181"/>
      <c r="I1699" s="181"/>
      <c r="J1699" s="181"/>
      <c r="K1699" s="181"/>
      <c r="L1699" s="181"/>
      <c r="M1699" s="181"/>
      <c r="N1699" s="181"/>
      <c r="O1699" s="181"/>
      <c r="P1699" s="181"/>
    </row>
    <row r="1700">
      <c r="B1700" s="292"/>
      <c r="C1700" s="181"/>
      <c r="D1700" s="181"/>
      <c r="E1700" s="181"/>
      <c r="F1700" s="181"/>
      <c r="G1700" s="181"/>
      <c r="H1700" s="181"/>
      <c r="I1700" s="181"/>
      <c r="J1700" s="181"/>
      <c r="K1700" s="181"/>
      <c r="L1700" s="181"/>
      <c r="M1700" s="181"/>
      <c r="N1700" s="181"/>
      <c r="O1700" s="181"/>
      <c r="P1700" s="181"/>
    </row>
    <row r="1701">
      <c r="B1701" s="292"/>
      <c r="C1701" s="181"/>
      <c r="D1701" s="181"/>
      <c r="E1701" s="181"/>
      <c r="F1701" s="181"/>
      <c r="G1701" s="181"/>
      <c r="H1701" s="181"/>
      <c r="I1701" s="181"/>
      <c r="J1701" s="181"/>
      <c r="K1701" s="181"/>
      <c r="L1701" s="181"/>
      <c r="M1701" s="181"/>
      <c r="N1701" s="181"/>
      <c r="O1701" s="181"/>
      <c r="P1701" s="181"/>
    </row>
    <row r="1702">
      <c r="B1702" s="292"/>
      <c r="C1702" s="181"/>
      <c r="D1702" s="181"/>
      <c r="E1702" s="181"/>
      <c r="F1702" s="181"/>
      <c r="G1702" s="181"/>
      <c r="H1702" s="181"/>
      <c r="I1702" s="181"/>
      <c r="J1702" s="181"/>
      <c r="K1702" s="181"/>
      <c r="L1702" s="181"/>
      <c r="M1702" s="181"/>
      <c r="N1702" s="181"/>
      <c r="O1702" s="181"/>
      <c r="P1702" s="181"/>
    </row>
    <row r="1703">
      <c r="B1703" s="292"/>
      <c r="C1703" s="181"/>
      <c r="D1703" s="181"/>
      <c r="E1703" s="181"/>
      <c r="F1703" s="181"/>
      <c r="G1703" s="181"/>
      <c r="H1703" s="181"/>
      <c r="I1703" s="181"/>
      <c r="J1703" s="181"/>
      <c r="K1703" s="181"/>
      <c r="L1703" s="181"/>
      <c r="M1703" s="181"/>
      <c r="N1703" s="181"/>
      <c r="O1703" s="181"/>
      <c r="P1703" s="181"/>
    </row>
    <row r="1704">
      <c r="B1704" s="292"/>
      <c r="C1704" s="181"/>
      <c r="D1704" s="181"/>
      <c r="E1704" s="181"/>
      <c r="F1704" s="181"/>
      <c r="G1704" s="181"/>
      <c r="H1704" s="181"/>
      <c r="I1704" s="181"/>
      <c r="J1704" s="181"/>
      <c r="K1704" s="181"/>
      <c r="L1704" s="181"/>
      <c r="M1704" s="181"/>
      <c r="N1704" s="181"/>
      <c r="O1704" s="181"/>
      <c r="P1704" s="181"/>
    </row>
    <row r="1705">
      <c r="B1705" s="292"/>
      <c r="C1705" s="181"/>
      <c r="D1705" s="181"/>
      <c r="E1705" s="181"/>
      <c r="F1705" s="181"/>
      <c r="G1705" s="181"/>
      <c r="H1705" s="181"/>
      <c r="I1705" s="181"/>
      <c r="J1705" s="181"/>
      <c r="K1705" s="181"/>
      <c r="L1705" s="181"/>
      <c r="M1705" s="181"/>
      <c r="N1705" s="181"/>
      <c r="O1705" s="181"/>
      <c r="P1705" s="181"/>
    </row>
    <row r="1706">
      <c r="B1706" s="292"/>
      <c r="C1706" s="181"/>
      <c r="D1706" s="181"/>
      <c r="E1706" s="181"/>
      <c r="F1706" s="181"/>
      <c r="G1706" s="181"/>
      <c r="H1706" s="181"/>
      <c r="I1706" s="181"/>
      <c r="J1706" s="181"/>
      <c r="K1706" s="181"/>
      <c r="L1706" s="181"/>
      <c r="M1706" s="181"/>
      <c r="N1706" s="181"/>
      <c r="O1706" s="181"/>
      <c r="P1706" s="181"/>
    </row>
    <row r="1707">
      <c r="B1707" s="292"/>
      <c r="C1707" s="181"/>
      <c r="D1707" s="181"/>
      <c r="E1707" s="181"/>
      <c r="F1707" s="181"/>
      <c r="G1707" s="181"/>
      <c r="H1707" s="181"/>
      <c r="I1707" s="181"/>
      <c r="J1707" s="181"/>
      <c r="K1707" s="181"/>
      <c r="L1707" s="181"/>
      <c r="M1707" s="181"/>
      <c r="N1707" s="181"/>
      <c r="O1707" s="181"/>
      <c r="P1707" s="181"/>
    </row>
    <row r="1708">
      <c r="B1708" s="292"/>
      <c r="C1708" s="181"/>
      <c r="D1708" s="181"/>
      <c r="E1708" s="181"/>
      <c r="F1708" s="181"/>
      <c r="G1708" s="181"/>
      <c r="H1708" s="181"/>
      <c r="I1708" s="181"/>
      <c r="J1708" s="181"/>
      <c r="K1708" s="181"/>
      <c r="L1708" s="181"/>
      <c r="M1708" s="181"/>
      <c r="N1708" s="181"/>
      <c r="O1708" s="181"/>
      <c r="P1708" s="181"/>
    </row>
    <row r="1709">
      <c r="B1709" s="292"/>
      <c r="C1709" s="181"/>
      <c r="D1709" s="181"/>
      <c r="E1709" s="181"/>
      <c r="F1709" s="181"/>
      <c r="G1709" s="181"/>
      <c r="H1709" s="181"/>
      <c r="I1709" s="181"/>
      <c r="J1709" s="181"/>
      <c r="K1709" s="181"/>
      <c r="L1709" s="181"/>
      <c r="M1709" s="181"/>
      <c r="N1709" s="181"/>
      <c r="O1709" s="181"/>
      <c r="P1709" s="181"/>
    </row>
    <row r="1710">
      <c r="B1710" s="292"/>
      <c r="C1710" s="181"/>
      <c r="D1710" s="181"/>
      <c r="E1710" s="181"/>
      <c r="F1710" s="181"/>
      <c r="G1710" s="181"/>
      <c r="H1710" s="181"/>
      <c r="I1710" s="181"/>
      <c r="J1710" s="181"/>
      <c r="K1710" s="181"/>
      <c r="L1710" s="181"/>
      <c r="M1710" s="181"/>
      <c r="N1710" s="181"/>
      <c r="O1710" s="181"/>
      <c r="P1710" s="181"/>
    </row>
    <row r="1711">
      <c r="B1711" s="292"/>
      <c r="C1711" s="181"/>
      <c r="D1711" s="181"/>
      <c r="E1711" s="181"/>
      <c r="F1711" s="181"/>
      <c r="G1711" s="181"/>
      <c r="H1711" s="181"/>
      <c r="I1711" s="181"/>
      <c r="J1711" s="181"/>
      <c r="K1711" s="181"/>
      <c r="L1711" s="181"/>
      <c r="M1711" s="181"/>
      <c r="N1711" s="181"/>
      <c r="O1711" s="181"/>
      <c r="P1711" s="181"/>
    </row>
    <row r="1712">
      <c r="B1712" s="292"/>
      <c r="C1712" s="181"/>
      <c r="D1712" s="181"/>
      <c r="E1712" s="181"/>
      <c r="F1712" s="181"/>
      <c r="G1712" s="181"/>
      <c r="H1712" s="181"/>
      <c r="I1712" s="181"/>
      <c r="J1712" s="181"/>
      <c r="K1712" s="181"/>
      <c r="L1712" s="181"/>
      <c r="M1712" s="181"/>
      <c r="N1712" s="181"/>
      <c r="O1712" s="181"/>
      <c r="P1712" s="181"/>
    </row>
    <row r="1713">
      <c r="B1713" s="292"/>
      <c r="C1713" s="181"/>
      <c r="D1713" s="181"/>
      <c r="E1713" s="181"/>
      <c r="F1713" s="181"/>
      <c r="G1713" s="181"/>
      <c r="H1713" s="181"/>
      <c r="I1713" s="181"/>
      <c r="J1713" s="181"/>
      <c r="K1713" s="181"/>
      <c r="L1713" s="181"/>
      <c r="M1713" s="181"/>
      <c r="N1713" s="181"/>
      <c r="O1713" s="181"/>
      <c r="P1713" s="181"/>
    </row>
    <row r="1714">
      <c r="B1714" s="292"/>
      <c r="C1714" s="181"/>
      <c r="D1714" s="181"/>
      <c r="E1714" s="181"/>
      <c r="F1714" s="181"/>
      <c r="G1714" s="181"/>
      <c r="H1714" s="181"/>
      <c r="I1714" s="181"/>
      <c r="J1714" s="181"/>
      <c r="K1714" s="181"/>
      <c r="L1714" s="181"/>
      <c r="M1714" s="181"/>
      <c r="N1714" s="181"/>
      <c r="O1714" s="181"/>
      <c r="P1714" s="181"/>
    </row>
    <row r="1715">
      <c r="B1715" s="292"/>
      <c r="C1715" s="181"/>
      <c r="D1715" s="181"/>
      <c r="E1715" s="181"/>
      <c r="F1715" s="181"/>
      <c r="G1715" s="181"/>
      <c r="H1715" s="181"/>
      <c r="I1715" s="181"/>
      <c r="J1715" s="181"/>
      <c r="K1715" s="181"/>
      <c r="L1715" s="181"/>
      <c r="M1715" s="181"/>
      <c r="N1715" s="181"/>
      <c r="O1715" s="181"/>
      <c r="P1715" s="181"/>
    </row>
    <row r="1716">
      <c r="B1716" s="292"/>
      <c r="C1716" s="181"/>
      <c r="D1716" s="181"/>
      <c r="E1716" s="181"/>
      <c r="F1716" s="181"/>
      <c r="G1716" s="181"/>
      <c r="H1716" s="181"/>
      <c r="I1716" s="181"/>
      <c r="J1716" s="181"/>
      <c r="K1716" s="181"/>
      <c r="L1716" s="181"/>
      <c r="M1716" s="181"/>
      <c r="N1716" s="181"/>
      <c r="O1716" s="181"/>
      <c r="P1716" s="181"/>
    </row>
    <row r="1717">
      <c r="B1717" s="292"/>
      <c r="C1717" s="181"/>
      <c r="D1717" s="181"/>
      <c r="E1717" s="181"/>
      <c r="F1717" s="181"/>
      <c r="G1717" s="181"/>
      <c r="H1717" s="181"/>
      <c r="I1717" s="181"/>
      <c r="J1717" s="181"/>
      <c r="K1717" s="181"/>
      <c r="L1717" s="181"/>
      <c r="M1717" s="181"/>
      <c r="N1717" s="181"/>
      <c r="O1717" s="181"/>
      <c r="P1717" s="181"/>
    </row>
    <row r="1718">
      <c r="B1718" s="292"/>
      <c r="C1718" s="181"/>
      <c r="D1718" s="181"/>
      <c r="E1718" s="181"/>
      <c r="F1718" s="181"/>
      <c r="G1718" s="181"/>
      <c r="H1718" s="181"/>
      <c r="I1718" s="181"/>
      <c r="J1718" s="181"/>
      <c r="K1718" s="181"/>
      <c r="L1718" s="181"/>
      <c r="M1718" s="181"/>
      <c r="N1718" s="181"/>
      <c r="O1718" s="181"/>
      <c r="P1718" s="181"/>
    </row>
    <row r="1719">
      <c r="B1719" s="292"/>
      <c r="C1719" s="181"/>
      <c r="D1719" s="181"/>
      <c r="E1719" s="181"/>
      <c r="F1719" s="181"/>
      <c r="G1719" s="181"/>
      <c r="H1719" s="181"/>
      <c r="I1719" s="181"/>
      <c r="J1719" s="181"/>
      <c r="K1719" s="181"/>
      <c r="L1719" s="181"/>
      <c r="M1719" s="181"/>
      <c r="N1719" s="181"/>
      <c r="O1719" s="181"/>
      <c r="P1719" s="181"/>
    </row>
    <row r="1720">
      <c r="B1720" s="292"/>
      <c r="C1720" s="181"/>
      <c r="D1720" s="181"/>
      <c r="E1720" s="181"/>
      <c r="F1720" s="181"/>
      <c r="G1720" s="181"/>
      <c r="H1720" s="181"/>
      <c r="I1720" s="181"/>
      <c r="J1720" s="181"/>
      <c r="K1720" s="181"/>
      <c r="L1720" s="181"/>
      <c r="M1720" s="181"/>
      <c r="N1720" s="181"/>
      <c r="O1720" s="181"/>
      <c r="P1720" s="181"/>
    </row>
    <row r="1721">
      <c r="B1721" s="292"/>
      <c r="C1721" s="181"/>
      <c r="D1721" s="181"/>
      <c r="E1721" s="181"/>
      <c r="F1721" s="181"/>
      <c r="G1721" s="181"/>
      <c r="H1721" s="181"/>
      <c r="I1721" s="181"/>
      <c r="J1721" s="181"/>
      <c r="K1721" s="181"/>
      <c r="L1721" s="181"/>
      <c r="M1721" s="181"/>
      <c r="N1721" s="181"/>
      <c r="O1721" s="181"/>
      <c r="P1721" s="181"/>
    </row>
    <row r="1722">
      <c r="B1722" s="292"/>
      <c r="C1722" s="181"/>
      <c r="D1722" s="181"/>
      <c r="E1722" s="181"/>
      <c r="F1722" s="181"/>
      <c r="G1722" s="181"/>
      <c r="H1722" s="181"/>
      <c r="I1722" s="181"/>
      <c r="J1722" s="181"/>
      <c r="K1722" s="181"/>
      <c r="L1722" s="181"/>
      <c r="M1722" s="181"/>
      <c r="N1722" s="181"/>
      <c r="O1722" s="181"/>
      <c r="P1722" s="181"/>
    </row>
    <row r="1723">
      <c r="B1723" s="292"/>
      <c r="C1723" s="181"/>
      <c r="D1723" s="181"/>
      <c r="E1723" s="181"/>
      <c r="F1723" s="181"/>
      <c r="G1723" s="181"/>
      <c r="H1723" s="181"/>
      <c r="I1723" s="181"/>
      <c r="J1723" s="181"/>
      <c r="K1723" s="181"/>
      <c r="L1723" s="181"/>
      <c r="M1723" s="181"/>
      <c r="N1723" s="181"/>
      <c r="O1723" s="181"/>
      <c r="P1723" s="181"/>
    </row>
    <row r="1724">
      <c r="B1724" s="292"/>
      <c r="C1724" s="181"/>
      <c r="D1724" s="181"/>
      <c r="E1724" s="181"/>
      <c r="F1724" s="181"/>
      <c r="G1724" s="181"/>
      <c r="H1724" s="181"/>
      <c r="I1724" s="181"/>
      <c r="J1724" s="181"/>
      <c r="K1724" s="181"/>
      <c r="L1724" s="181"/>
      <c r="M1724" s="181"/>
      <c r="N1724" s="181"/>
      <c r="O1724" s="181"/>
      <c r="P1724" s="181"/>
    </row>
    <row r="1725">
      <c r="B1725" s="292"/>
      <c r="C1725" s="181"/>
      <c r="D1725" s="181"/>
      <c r="E1725" s="181"/>
      <c r="F1725" s="181"/>
      <c r="G1725" s="181"/>
      <c r="H1725" s="181"/>
      <c r="I1725" s="181"/>
      <c r="J1725" s="181"/>
      <c r="K1725" s="181"/>
      <c r="L1725" s="181"/>
      <c r="M1725" s="181"/>
      <c r="N1725" s="181"/>
      <c r="O1725" s="181"/>
      <c r="P1725" s="181"/>
    </row>
    <row r="1726">
      <c r="B1726" s="292"/>
      <c r="C1726" s="181"/>
      <c r="D1726" s="181"/>
      <c r="E1726" s="181"/>
      <c r="F1726" s="181"/>
      <c r="G1726" s="181"/>
      <c r="H1726" s="181"/>
      <c r="I1726" s="181"/>
      <c r="J1726" s="181"/>
      <c r="K1726" s="181"/>
      <c r="L1726" s="181"/>
      <c r="M1726" s="181"/>
      <c r="N1726" s="181"/>
      <c r="O1726" s="181"/>
      <c r="P1726" s="181"/>
    </row>
    <row r="1727">
      <c r="B1727" s="292"/>
      <c r="C1727" s="181"/>
      <c r="D1727" s="181"/>
      <c r="E1727" s="181"/>
      <c r="F1727" s="181"/>
      <c r="G1727" s="181"/>
      <c r="H1727" s="181"/>
      <c r="I1727" s="181"/>
      <c r="J1727" s="181"/>
      <c r="K1727" s="181"/>
      <c r="L1727" s="181"/>
      <c r="M1727" s="181"/>
      <c r="N1727" s="181"/>
      <c r="O1727" s="181"/>
      <c r="P1727" s="181"/>
    </row>
    <row r="1728">
      <c r="B1728" s="292"/>
      <c r="C1728" s="181"/>
      <c r="D1728" s="181"/>
      <c r="E1728" s="181"/>
      <c r="F1728" s="181"/>
      <c r="G1728" s="181"/>
      <c r="H1728" s="181"/>
      <c r="I1728" s="181"/>
      <c r="J1728" s="181"/>
      <c r="K1728" s="181"/>
      <c r="L1728" s="181"/>
      <c r="M1728" s="181"/>
      <c r="N1728" s="181"/>
      <c r="O1728" s="181"/>
      <c r="P1728" s="181"/>
    </row>
    <row r="1729">
      <c r="B1729" s="292"/>
      <c r="C1729" s="181"/>
      <c r="D1729" s="181"/>
      <c r="E1729" s="181"/>
      <c r="F1729" s="181"/>
      <c r="G1729" s="181"/>
      <c r="H1729" s="181"/>
      <c r="I1729" s="181"/>
      <c r="J1729" s="181"/>
      <c r="K1729" s="181"/>
      <c r="L1729" s="181"/>
      <c r="M1729" s="181"/>
      <c r="N1729" s="181"/>
      <c r="O1729" s="181"/>
      <c r="P1729" s="181"/>
    </row>
    <row r="1730">
      <c r="B1730" s="292"/>
      <c r="C1730" s="181"/>
      <c r="D1730" s="181"/>
      <c r="E1730" s="181"/>
      <c r="F1730" s="181"/>
      <c r="G1730" s="181"/>
      <c r="H1730" s="181"/>
      <c r="I1730" s="181"/>
      <c r="J1730" s="181"/>
      <c r="K1730" s="181"/>
      <c r="L1730" s="181"/>
      <c r="M1730" s="181"/>
      <c r="N1730" s="181"/>
      <c r="O1730" s="181"/>
      <c r="P1730" s="181"/>
    </row>
    <row r="1731">
      <c r="B1731" s="292"/>
      <c r="C1731" s="181"/>
      <c r="D1731" s="181"/>
      <c r="E1731" s="181"/>
      <c r="F1731" s="181"/>
      <c r="G1731" s="181"/>
      <c r="H1731" s="181"/>
      <c r="I1731" s="181"/>
      <c r="J1731" s="181"/>
      <c r="K1731" s="181"/>
      <c r="L1731" s="181"/>
      <c r="M1731" s="181"/>
      <c r="N1731" s="181"/>
      <c r="O1731" s="181"/>
      <c r="P1731" s="181"/>
    </row>
    <row r="1732">
      <c r="B1732" s="292"/>
      <c r="C1732" s="181"/>
      <c r="D1732" s="181"/>
      <c r="E1732" s="181"/>
      <c r="F1732" s="181"/>
      <c r="G1732" s="181"/>
      <c r="H1732" s="181"/>
      <c r="I1732" s="181"/>
      <c r="J1732" s="181"/>
      <c r="K1732" s="181"/>
      <c r="L1732" s="181"/>
      <c r="M1732" s="181"/>
      <c r="N1732" s="181"/>
      <c r="O1732" s="181"/>
      <c r="P1732" s="181"/>
    </row>
    <row r="1733">
      <c r="B1733" s="292"/>
      <c r="C1733" s="181"/>
      <c r="D1733" s="181"/>
      <c r="E1733" s="181"/>
      <c r="F1733" s="181"/>
      <c r="G1733" s="181"/>
      <c r="H1733" s="181"/>
      <c r="I1733" s="181"/>
      <c r="J1733" s="181"/>
      <c r="K1733" s="181"/>
      <c r="L1733" s="181"/>
      <c r="M1733" s="181"/>
      <c r="N1733" s="181"/>
      <c r="O1733" s="181"/>
      <c r="P1733" s="181"/>
    </row>
    <row r="1734">
      <c r="B1734" s="292"/>
      <c r="C1734" s="181"/>
      <c r="D1734" s="181"/>
      <c r="E1734" s="181"/>
      <c r="F1734" s="181"/>
      <c r="G1734" s="181"/>
      <c r="H1734" s="181"/>
      <c r="I1734" s="181"/>
      <c r="J1734" s="181"/>
      <c r="K1734" s="181"/>
      <c r="L1734" s="181"/>
      <c r="M1734" s="181"/>
      <c r="N1734" s="181"/>
      <c r="O1734" s="181"/>
      <c r="P1734" s="181"/>
    </row>
    <row r="1735">
      <c r="B1735" s="292"/>
      <c r="C1735" s="181"/>
      <c r="D1735" s="181"/>
      <c r="E1735" s="181"/>
      <c r="F1735" s="181"/>
      <c r="G1735" s="181"/>
      <c r="H1735" s="181"/>
      <c r="I1735" s="181"/>
      <c r="J1735" s="181"/>
      <c r="K1735" s="181"/>
      <c r="L1735" s="181"/>
      <c r="M1735" s="181"/>
      <c r="N1735" s="181"/>
      <c r="O1735" s="181"/>
      <c r="P1735" s="181"/>
    </row>
    <row r="1736">
      <c r="B1736" s="292"/>
      <c r="C1736" s="181"/>
      <c r="D1736" s="181"/>
      <c r="E1736" s="181"/>
      <c r="F1736" s="181"/>
      <c r="G1736" s="181"/>
      <c r="H1736" s="181"/>
      <c r="I1736" s="181"/>
      <c r="J1736" s="181"/>
      <c r="K1736" s="181"/>
      <c r="L1736" s="181"/>
      <c r="M1736" s="181"/>
      <c r="N1736" s="181"/>
      <c r="O1736" s="181"/>
      <c r="P1736" s="181"/>
    </row>
    <row r="1737">
      <c r="B1737" s="292"/>
      <c r="C1737" s="181"/>
      <c r="D1737" s="181"/>
      <c r="E1737" s="181"/>
      <c r="F1737" s="181"/>
      <c r="G1737" s="181"/>
      <c r="H1737" s="181"/>
      <c r="I1737" s="181"/>
      <c r="J1737" s="181"/>
      <c r="K1737" s="181"/>
      <c r="L1737" s="181"/>
      <c r="M1737" s="181"/>
      <c r="N1737" s="181"/>
      <c r="O1737" s="181"/>
      <c r="P1737" s="181"/>
    </row>
    <row r="1738">
      <c r="B1738" s="292"/>
      <c r="C1738" s="181"/>
      <c r="D1738" s="181"/>
      <c r="E1738" s="181"/>
      <c r="F1738" s="181"/>
      <c r="G1738" s="181"/>
      <c r="H1738" s="181"/>
      <c r="I1738" s="181"/>
      <c r="J1738" s="181"/>
      <c r="K1738" s="181"/>
      <c r="L1738" s="181"/>
      <c r="M1738" s="181"/>
      <c r="N1738" s="181"/>
      <c r="O1738" s="181"/>
      <c r="P1738" s="181"/>
    </row>
    <row r="1739">
      <c r="B1739" s="292"/>
      <c r="C1739" s="181"/>
      <c r="D1739" s="181"/>
      <c r="E1739" s="181"/>
      <c r="F1739" s="181"/>
      <c r="G1739" s="181"/>
      <c r="H1739" s="181"/>
      <c r="I1739" s="181"/>
      <c r="J1739" s="181"/>
      <c r="K1739" s="181"/>
      <c r="L1739" s="181"/>
      <c r="M1739" s="181"/>
      <c r="N1739" s="181"/>
      <c r="O1739" s="181"/>
      <c r="P1739" s="181"/>
    </row>
    <row r="1740">
      <c r="B1740" s="292"/>
      <c r="C1740" s="181"/>
      <c r="D1740" s="181"/>
      <c r="E1740" s="181"/>
      <c r="F1740" s="181"/>
      <c r="G1740" s="181"/>
      <c r="H1740" s="181"/>
      <c r="I1740" s="181"/>
      <c r="J1740" s="181"/>
      <c r="K1740" s="181"/>
      <c r="L1740" s="181"/>
      <c r="M1740" s="181"/>
      <c r="N1740" s="181"/>
      <c r="O1740" s="181"/>
      <c r="P1740" s="181"/>
    </row>
    <row r="1741">
      <c r="B1741" s="292"/>
      <c r="C1741" s="181"/>
      <c r="D1741" s="181"/>
      <c r="E1741" s="181"/>
      <c r="F1741" s="181"/>
      <c r="G1741" s="181"/>
      <c r="H1741" s="181"/>
      <c r="I1741" s="181"/>
      <c r="J1741" s="181"/>
      <c r="K1741" s="181"/>
      <c r="L1741" s="181"/>
      <c r="M1741" s="181"/>
      <c r="N1741" s="181"/>
      <c r="O1741" s="181"/>
      <c r="P1741" s="181"/>
    </row>
    <row r="1742">
      <c r="B1742" s="292"/>
      <c r="C1742" s="181"/>
      <c r="D1742" s="181"/>
      <c r="E1742" s="181"/>
      <c r="F1742" s="181"/>
      <c r="G1742" s="181"/>
      <c r="H1742" s="181"/>
      <c r="I1742" s="181"/>
      <c r="J1742" s="181"/>
      <c r="K1742" s="181"/>
      <c r="L1742" s="181"/>
      <c r="M1742" s="181"/>
      <c r="N1742" s="181"/>
      <c r="O1742" s="181"/>
      <c r="P1742" s="181"/>
    </row>
    <row r="1743">
      <c r="B1743" s="292"/>
      <c r="C1743" s="181"/>
      <c r="D1743" s="181"/>
      <c r="E1743" s="181"/>
      <c r="F1743" s="181"/>
      <c r="G1743" s="181"/>
      <c r="H1743" s="181"/>
      <c r="I1743" s="181"/>
      <c r="J1743" s="181"/>
      <c r="K1743" s="181"/>
      <c r="L1743" s="181"/>
      <c r="M1743" s="181"/>
      <c r="N1743" s="181"/>
      <c r="O1743" s="181"/>
      <c r="P1743" s="181"/>
    </row>
    <row r="1744">
      <c r="B1744" s="292"/>
      <c r="C1744" s="181"/>
      <c r="D1744" s="181"/>
      <c r="E1744" s="181"/>
      <c r="F1744" s="181"/>
      <c r="G1744" s="181"/>
      <c r="H1744" s="181"/>
      <c r="I1744" s="181"/>
      <c r="J1744" s="181"/>
      <c r="K1744" s="181"/>
      <c r="L1744" s="181"/>
      <c r="M1744" s="181"/>
      <c r="N1744" s="181"/>
      <c r="O1744" s="181"/>
      <c r="P1744" s="181"/>
    </row>
    <row r="1745">
      <c r="B1745" s="292"/>
      <c r="C1745" s="181"/>
      <c r="D1745" s="181"/>
      <c r="E1745" s="181"/>
      <c r="F1745" s="181"/>
      <c r="G1745" s="181"/>
      <c r="H1745" s="181"/>
      <c r="I1745" s="181"/>
      <c r="J1745" s="181"/>
      <c r="K1745" s="181"/>
      <c r="L1745" s="181"/>
      <c r="M1745" s="181"/>
      <c r="N1745" s="181"/>
      <c r="O1745" s="181"/>
      <c r="P1745" s="181"/>
    </row>
    <row r="1746">
      <c r="B1746" s="292"/>
      <c r="C1746" s="181"/>
      <c r="D1746" s="181"/>
      <c r="E1746" s="181"/>
      <c r="F1746" s="181"/>
      <c r="G1746" s="181"/>
      <c r="H1746" s="181"/>
      <c r="I1746" s="181"/>
      <c r="J1746" s="181"/>
      <c r="K1746" s="181"/>
      <c r="L1746" s="181"/>
      <c r="M1746" s="181"/>
      <c r="N1746" s="181"/>
      <c r="O1746" s="181"/>
      <c r="P1746" s="181"/>
    </row>
    <row r="1747">
      <c r="B1747" s="292"/>
      <c r="C1747" s="181"/>
      <c r="D1747" s="181"/>
      <c r="E1747" s="181"/>
      <c r="F1747" s="181"/>
      <c r="G1747" s="181"/>
      <c r="H1747" s="181"/>
      <c r="I1747" s="181"/>
      <c r="J1747" s="181"/>
      <c r="K1747" s="181"/>
      <c r="L1747" s="181"/>
      <c r="M1747" s="181"/>
      <c r="N1747" s="181"/>
      <c r="O1747" s="181"/>
      <c r="P1747" s="181"/>
    </row>
    <row r="1748">
      <c r="B1748" s="292"/>
      <c r="C1748" s="181"/>
      <c r="D1748" s="181"/>
      <c r="E1748" s="181"/>
      <c r="F1748" s="181"/>
      <c r="G1748" s="181"/>
      <c r="H1748" s="181"/>
      <c r="I1748" s="181"/>
      <c r="J1748" s="181"/>
      <c r="K1748" s="181"/>
      <c r="L1748" s="181"/>
      <c r="M1748" s="181"/>
      <c r="N1748" s="181"/>
      <c r="O1748" s="181"/>
      <c r="P1748" s="181"/>
    </row>
    <row r="1749">
      <c r="B1749" s="292"/>
      <c r="C1749" s="181"/>
      <c r="D1749" s="181"/>
      <c r="E1749" s="181"/>
      <c r="F1749" s="181"/>
      <c r="G1749" s="181"/>
      <c r="H1749" s="181"/>
      <c r="I1749" s="181"/>
      <c r="J1749" s="181"/>
      <c r="K1749" s="181"/>
      <c r="L1749" s="181"/>
      <c r="M1749" s="181"/>
      <c r="N1749" s="181"/>
      <c r="O1749" s="181"/>
      <c r="P1749" s="181"/>
    </row>
    <row r="1750">
      <c r="B1750" s="292"/>
      <c r="C1750" s="181"/>
      <c r="D1750" s="181"/>
      <c r="E1750" s="181"/>
      <c r="F1750" s="181"/>
      <c r="G1750" s="181"/>
      <c r="H1750" s="181"/>
      <c r="I1750" s="181"/>
      <c r="J1750" s="181"/>
      <c r="K1750" s="181"/>
      <c r="L1750" s="181"/>
      <c r="M1750" s="181"/>
      <c r="N1750" s="181"/>
      <c r="O1750" s="181"/>
      <c r="P1750" s="181"/>
    </row>
    <row r="1751">
      <c r="B1751" s="292"/>
      <c r="C1751" s="181"/>
      <c r="D1751" s="181"/>
      <c r="E1751" s="181"/>
      <c r="F1751" s="181"/>
      <c r="G1751" s="181"/>
      <c r="H1751" s="181"/>
      <c r="I1751" s="181"/>
      <c r="J1751" s="181"/>
      <c r="K1751" s="181"/>
      <c r="L1751" s="181"/>
      <c r="M1751" s="181"/>
      <c r="N1751" s="181"/>
      <c r="O1751" s="181"/>
      <c r="P1751" s="181"/>
    </row>
    <row r="1752">
      <c r="B1752" s="292"/>
      <c r="C1752" s="181"/>
      <c r="D1752" s="181"/>
      <c r="E1752" s="181"/>
      <c r="F1752" s="181"/>
      <c r="G1752" s="181"/>
      <c r="H1752" s="181"/>
      <c r="I1752" s="181"/>
      <c r="J1752" s="181"/>
      <c r="K1752" s="181"/>
      <c r="L1752" s="181"/>
      <c r="M1752" s="181"/>
      <c r="N1752" s="181"/>
      <c r="O1752" s="181"/>
      <c r="P1752" s="181"/>
    </row>
    <row r="1753">
      <c r="B1753" s="292"/>
      <c r="C1753" s="181"/>
      <c r="D1753" s="181"/>
      <c r="E1753" s="181"/>
      <c r="F1753" s="181"/>
      <c r="G1753" s="181"/>
      <c r="H1753" s="181"/>
      <c r="I1753" s="181"/>
      <c r="J1753" s="181"/>
      <c r="K1753" s="181"/>
      <c r="L1753" s="181"/>
      <c r="M1753" s="181"/>
      <c r="N1753" s="181"/>
      <c r="O1753" s="181"/>
      <c r="P1753" s="181"/>
    </row>
    <row r="1754">
      <c r="B1754" s="292"/>
      <c r="C1754" s="181"/>
      <c r="D1754" s="181"/>
      <c r="E1754" s="181"/>
      <c r="F1754" s="181"/>
      <c r="G1754" s="181"/>
      <c r="H1754" s="181"/>
      <c r="I1754" s="181"/>
      <c r="J1754" s="181"/>
      <c r="K1754" s="181"/>
      <c r="L1754" s="181"/>
      <c r="M1754" s="181"/>
      <c r="N1754" s="181"/>
      <c r="O1754" s="181"/>
      <c r="P1754" s="181"/>
    </row>
    <row r="1755">
      <c r="B1755" s="292"/>
      <c r="C1755" s="181"/>
      <c r="D1755" s="181"/>
      <c r="E1755" s="181"/>
      <c r="F1755" s="181"/>
      <c r="G1755" s="181"/>
      <c r="H1755" s="181"/>
      <c r="I1755" s="181"/>
      <c r="J1755" s="181"/>
      <c r="K1755" s="181"/>
      <c r="L1755" s="181"/>
      <c r="M1755" s="181"/>
      <c r="N1755" s="181"/>
      <c r="O1755" s="181"/>
      <c r="P1755" s="181"/>
    </row>
    <row r="1756">
      <c r="B1756" s="292"/>
      <c r="C1756" s="181"/>
      <c r="D1756" s="181"/>
      <c r="E1756" s="181"/>
      <c r="F1756" s="181"/>
      <c r="G1756" s="181"/>
      <c r="H1756" s="181"/>
      <c r="I1756" s="181"/>
      <c r="J1756" s="181"/>
      <c r="K1756" s="181"/>
      <c r="L1756" s="181"/>
      <c r="M1756" s="181"/>
      <c r="N1756" s="181"/>
      <c r="O1756" s="181"/>
      <c r="P1756" s="181"/>
    </row>
    <row r="1757">
      <c r="B1757" s="292"/>
      <c r="C1757" s="181"/>
      <c r="D1757" s="181"/>
      <c r="E1757" s="181"/>
      <c r="F1757" s="181"/>
      <c r="G1757" s="181"/>
      <c r="H1757" s="181"/>
      <c r="I1757" s="181"/>
      <c r="J1757" s="181"/>
      <c r="K1757" s="181"/>
      <c r="L1757" s="181"/>
      <c r="M1757" s="181"/>
      <c r="N1757" s="181"/>
      <c r="O1757" s="181"/>
      <c r="P1757" s="181"/>
    </row>
    <row r="1758">
      <c r="B1758" s="292"/>
      <c r="C1758" s="181"/>
      <c r="D1758" s="181"/>
      <c r="E1758" s="181"/>
      <c r="F1758" s="181"/>
      <c r="G1758" s="181"/>
      <c r="H1758" s="181"/>
      <c r="I1758" s="181"/>
      <c r="J1758" s="181"/>
      <c r="K1758" s="181"/>
      <c r="L1758" s="181"/>
      <c r="M1758" s="181"/>
      <c r="N1758" s="181"/>
      <c r="O1758" s="181"/>
      <c r="P1758" s="181"/>
    </row>
    <row r="1759">
      <c r="B1759" s="292"/>
      <c r="C1759" s="181"/>
      <c r="D1759" s="181"/>
      <c r="E1759" s="181"/>
      <c r="F1759" s="181"/>
      <c r="G1759" s="181"/>
      <c r="H1759" s="181"/>
      <c r="I1759" s="181"/>
      <c r="J1759" s="181"/>
      <c r="K1759" s="181"/>
      <c r="L1759" s="181"/>
      <c r="M1759" s="181"/>
      <c r="N1759" s="181"/>
      <c r="O1759" s="181"/>
      <c r="P1759" s="181"/>
    </row>
    <row r="1760">
      <c r="B1760" s="292"/>
      <c r="C1760" s="181"/>
      <c r="D1760" s="181"/>
      <c r="E1760" s="181"/>
      <c r="F1760" s="181"/>
      <c r="G1760" s="181"/>
      <c r="H1760" s="181"/>
      <c r="I1760" s="181"/>
      <c r="J1760" s="181"/>
      <c r="K1760" s="181"/>
      <c r="L1760" s="181"/>
      <c r="M1760" s="181"/>
      <c r="N1760" s="181"/>
      <c r="O1760" s="181"/>
      <c r="P1760" s="181"/>
    </row>
    <row r="1761">
      <c r="B1761" s="292"/>
      <c r="C1761" s="181"/>
      <c r="D1761" s="181"/>
      <c r="E1761" s="181"/>
      <c r="F1761" s="181"/>
      <c r="G1761" s="181"/>
      <c r="H1761" s="181"/>
      <c r="I1761" s="181"/>
      <c r="J1761" s="181"/>
      <c r="K1761" s="181"/>
      <c r="L1761" s="181"/>
      <c r="M1761" s="181"/>
      <c r="N1761" s="181"/>
      <c r="O1761" s="181"/>
      <c r="P1761" s="181"/>
    </row>
    <row r="1762">
      <c r="B1762" s="292"/>
      <c r="C1762" s="181"/>
      <c r="D1762" s="181"/>
      <c r="E1762" s="181"/>
      <c r="F1762" s="181"/>
      <c r="G1762" s="181"/>
      <c r="H1762" s="181"/>
      <c r="I1762" s="181"/>
      <c r="J1762" s="181"/>
      <c r="K1762" s="181"/>
      <c r="L1762" s="181"/>
      <c r="M1762" s="181"/>
      <c r="N1762" s="181"/>
      <c r="O1762" s="181"/>
      <c r="P1762" s="181"/>
    </row>
    <row r="1763">
      <c r="B1763" s="292"/>
      <c r="C1763" s="181"/>
      <c r="D1763" s="181"/>
      <c r="E1763" s="181"/>
      <c r="F1763" s="181"/>
      <c r="G1763" s="181"/>
      <c r="H1763" s="181"/>
      <c r="I1763" s="181"/>
      <c r="J1763" s="181"/>
      <c r="K1763" s="181"/>
      <c r="L1763" s="181"/>
      <c r="M1763" s="181"/>
      <c r="N1763" s="181"/>
      <c r="O1763" s="181"/>
      <c r="P1763" s="181"/>
    </row>
    <row r="1764">
      <c r="B1764" s="292"/>
      <c r="C1764" s="181"/>
      <c r="D1764" s="181"/>
      <c r="E1764" s="181"/>
      <c r="F1764" s="181"/>
      <c r="G1764" s="181"/>
      <c r="H1764" s="181"/>
      <c r="I1764" s="181"/>
      <c r="J1764" s="181"/>
      <c r="K1764" s="181"/>
      <c r="L1764" s="181"/>
      <c r="M1764" s="181"/>
      <c r="N1764" s="181"/>
      <c r="O1764" s="181"/>
      <c r="P1764" s="181"/>
    </row>
    <row r="1765">
      <c r="B1765" s="292"/>
      <c r="C1765" s="181"/>
      <c r="D1765" s="181"/>
      <c r="E1765" s="181"/>
      <c r="F1765" s="181"/>
      <c r="G1765" s="181"/>
      <c r="H1765" s="181"/>
      <c r="I1765" s="181"/>
      <c r="J1765" s="181"/>
      <c r="K1765" s="181"/>
      <c r="L1765" s="181"/>
      <c r="M1765" s="181"/>
      <c r="N1765" s="181"/>
      <c r="O1765" s="181"/>
      <c r="P1765" s="181"/>
    </row>
    <row r="1766">
      <c r="B1766" s="292"/>
      <c r="C1766" s="181"/>
      <c r="D1766" s="181"/>
      <c r="E1766" s="181"/>
      <c r="F1766" s="181"/>
      <c r="G1766" s="181"/>
      <c r="H1766" s="181"/>
      <c r="I1766" s="181"/>
      <c r="J1766" s="181"/>
      <c r="K1766" s="181"/>
      <c r="L1766" s="181"/>
      <c r="M1766" s="181"/>
      <c r="N1766" s="181"/>
      <c r="O1766" s="181"/>
      <c r="P1766" s="181"/>
    </row>
    <row r="1767">
      <c r="B1767" s="292"/>
      <c r="C1767" s="181"/>
      <c r="D1767" s="181"/>
      <c r="E1767" s="181"/>
      <c r="F1767" s="181"/>
      <c r="G1767" s="181"/>
      <c r="H1767" s="181"/>
      <c r="I1767" s="181"/>
      <c r="J1767" s="181"/>
      <c r="K1767" s="181"/>
      <c r="L1767" s="181"/>
      <c r="M1767" s="181"/>
      <c r="N1767" s="181"/>
      <c r="O1767" s="181"/>
      <c r="P1767" s="181"/>
    </row>
    <row r="1768">
      <c r="B1768" s="292"/>
      <c r="C1768" s="181"/>
      <c r="D1768" s="181"/>
      <c r="E1768" s="181"/>
      <c r="F1768" s="181"/>
      <c r="G1768" s="181"/>
      <c r="H1768" s="181"/>
      <c r="I1768" s="181"/>
      <c r="J1768" s="181"/>
      <c r="K1768" s="181"/>
      <c r="L1768" s="181"/>
      <c r="M1768" s="181"/>
      <c r="N1768" s="181"/>
      <c r="O1768" s="181"/>
      <c r="P1768" s="181"/>
    </row>
    <row r="1769">
      <c r="B1769" s="292"/>
      <c r="C1769" s="181"/>
      <c r="D1769" s="181"/>
      <c r="E1769" s="181"/>
      <c r="F1769" s="181"/>
      <c r="G1769" s="181"/>
      <c r="H1769" s="181"/>
      <c r="I1769" s="181"/>
      <c r="J1769" s="181"/>
      <c r="K1769" s="181"/>
      <c r="L1769" s="181"/>
      <c r="M1769" s="181"/>
      <c r="N1769" s="181"/>
      <c r="O1769" s="181"/>
      <c r="P1769" s="181"/>
    </row>
    <row r="1770">
      <c r="B1770" s="292"/>
      <c r="C1770" s="181"/>
      <c r="D1770" s="181"/>
      <c r="E1770" s="181"/>
      <c r="F1770" s="181"/>
      <c r="G1770" s="181"/>
      <c r="H1770" s="181"/>
      <c r="I1770" s="181"/>
      <c r="J1770" s="181"/>
      <c r="K1770" s="181"/>
      <c r="L1770" s="181"/>
      <c r="M1770" s="181"/>
      <c r="N1770" s="181"/>
      <c r="O1770" s="181"/>
      <c r="P1770" s="181"/>
    </row>
    <row r="1771">
      <c r="B1771" s="292"/>
      <c r="C1771" s="181"/>
      <c r="D1771" s="181"/>
      <c r="E1771" s="181"/>
      <c r="F1771" s="181"/>
      <c r="G1771" s="181"/>
      <c r="H1771" s="181"/>
      <c r="I1771" s="181"/>
      <c r="J1771" s="181"/>
      <c r="K1771" s="181"/>
      <c r="L1771" s="181"/>
      <c r="M1771" s="181"/>
      <c r="N1771" s="181"/>
      <c r="O1771" s="181"/>
      <c r="P1771" s="181"/>
    </row>
    <row r="1772">
      <c r="B1772" s="292"/>
      <c r="C1772" s="181"/>
      <c r="D1772" s="181"/>
      <c r="E1772" s="181"/>
      <c r="F1772" s="181"/>
      <c r="G1772" s="181"/>
      <c r="H1772" s="181"/>
      <c r="I1772" s="181"/>
      <c r="J1772" s="181"/>
      <c r="K1772" s="181"/>
      <c r="L1772" s="181"/>
      <c r="M1772" s="181"/>
      <c r="N1772" s="181"/>
      <c r="O1772" s="181"/>
      <c r="P1772" s="181"/>
    </row>
    <row r="1773">
      <c r="B1773" s="292"/>
      <c r="C1773" s="181"/>
      <c r="D1773" s="181"/>
      <c r="E1773" s="181"/>
      <c r="F1773" s="181"/>
      <c r="G1773" s="181"/>
      <c r="H1773" s="181"/>
      <c r="I1773" s="181"/>
      <c r="J1773" s="181"/>
      <c r="K1773" s="181"/>
      <c r="L1773" s="181"/>
      <c r="M1773" s="181"/>
      <c r="N1773" s="181"/>
      <c r="O1773" s="181"/>
      <c r="P1773" s="181"/>
    </row>
    <row r="1774">
      <c r="B1774" s="292"/>
      <c r="C1774" s="181"/>
      <c r="D1774" s="181"/>
      <c r="E1774" s="181"/>
      <c r="F1774" s="181"/>
      <c r="G1774" s="181"/>
      <c r="H1774" s="181"/>
      <c r="I1774" s="181"/>
      <c r="J1774" s="181"/>
      <c r="K1774" s="181"/>
      <c r="L1774" s="181"/>
      <c r="M1774" s="181"/>
      <c r="N1774" s="181"/>
      <c r="O1774" s="181"/>
      <c r="P1774" s="181"/>
    </row>
    <row r="1775">
      <c r="B1775" s="292"/>
      <c r="C1775" s="181"/>
      <c r="D1775" s="181"/>
      <c r="E1775" s="181"/>
      <c r="F1775" s="181"/>
      <c r="G1775" s="181"/>
      <c r="H1775" s="181"/>
      <c r="I1775" s="181"/>
      <c r="J1775" s="181"/>
      <c r="K1775" s="181"/>
      <c r="L1775" s="181"/>
      <c r="M1775" s="181"/>
      <c r="N1775" s="181"/>
      <c r="O1775" s="181"/>
      <c r="P1775" s="181"/>
    </row>
    <row r="1776">
      <c r="B1776" s="292"/>
      <c r="C1776" s="181"/>
      <c r="D1776" s="181"/>
      <c r="E1776" s="181"/>
      <c r="F1776" s="181"/>
      <c r="G1776" s="181"/>
      <c r="H1776" s="181"/>
      <c r="I1776" s="181"/>
      <c r="J1776" s="181"/>
      <c r="K1776" s="181"/>
      <c r="L1776" s="181"/>
      <c r="M1776" s="181"/>
      <c r="N1776" s="181"/>
      <c r="O1776" s="181"/>
      <c r="P1776" s="181"/>
    </row>
    <row r="1777">
      <c r="B1777" s="292"/>
      <c r="C1777" s="181"/>
      <c r="D1777" s="181"/>
      <c r="E1777" s="181"/>
      <c r="F1777" s="181"/>
      <c r="G1777" s="181"/>
      <c r="H1777" s="181"/>
      <c r="I1777" s="181"/>
      <c r="J1777" s="181"/>
      <c r="K1777" s="181"/>
      <c r="L1777" s="181"/>
      <c r="M1777" s="181"/>
      <c r="N1777" s="181"/>
      <c r="O1777" s="181"/>
      <c r="P1777" s="181"/>
    </row>
    <row r="1778">
      <c r="B1778" s="292"/>
      <c r="C1778" s="181"/>
      <c r="D1778" s="181"/>
      <c r="E1778" s="181"/>
      <c r="F1778" s="181"/>
      <c r="G1778" s="181"/>
      <c r="H1778" s="181"/>
      <c r="I1778" s="181"/>
      <c r="J1778" s="181"/>
      <c r="K1778" s="181"/>
      <c r="L1778" s="181"/>
      <c r="M1778" s="181"/>
      <c r="N1778" s="181"/>
      <c r="O1778" s="181"/>
      <c r="P1778" s="181"/>
    </row>
    <row r="1779">
      <c r="B1779" s="292"/>
      <c r="C1779" s="181"/>
      <c r="D1779" s="181"/>
      <c r="E1779" s="181"/>
      <c r="F1779" s="181"/>
      <c r="G1779" s="181"/>
      <c r="H1779" s="181"/>
      <c r="I1779" s="181"/>
      <c r="J1779" s="181"/>
      <c r="K1779" s="181"/>
      <c r="L1779" s="181"/>
      <c r="M1779" s="181"/>
      <c r="N1779" s="181"/>
      <c r="O1779" s="181"/>
      <c r="P1779" s="181"/>
    </row>
    <row r="1780">
      <c r="B1780" s="292"/>
      <c r="C1780" s="181"/>
      <c r="D1780" s="181"/>
      <c r="E1780" s="181"/>
      <c r="F1780" s="181"/>
      <c r="G1780" s="181"/>
      <c r="H1780" s="181"/>
      <c r="I1780" s="181"/>
      <c r="J1780" s="181"/>
      <c r="K1780" s="181"/>
      <c r="L1780" s="181"/>
      <c r="M1780" s="181"/>
      <c r="N1780" s="181"/>
      <c r="O1780" s="181"/>
      <c r="P1780" s="181"/>
    </row>
    <row r="1781">
      <c r="B1781" s="292"/>
      <c r="C1781" s="181"/>
      <c r="D1781" s="181"/>
      <c r="E1781" s="181"/>
      <c r="F1781" s="181"/>
      <c r="G1781" s="181"/>
      <c r="H1781" s="181"/>
      <c r="I1781" s="181"/>
      <c r="J1781" s="181"/>
      <c r="K1781" s="181"/>
      <c r="L1781" s="181"/>
      <c r="M1781" s="181"/>
      <c r="N1781" s="181"/>
      <c r="O1781" s="181"/>
      <c r="P1781" s="181"/>
    </row>
    <row r="1782">
      <c r="B1782" s="292"/>
      <c r="C1782" s="181"/>
      <c r="D1782" s="181"/>
      <c r="E1782" s="181"/>
      <c r="F1782" s="181"/>
      <c r="G1782" s="181"/>
      <c r="H1782" s="181"/>
      <c r="I1782" s="181"/>
      <c r="J1782" s="181"/>
      <c r="K1782" s="181"/>
      <c r="L1782" s="181"/>
      <c r="M1782" s="181"/>
      <c r="N1782" s="181"/>
      <c r="O1782" s="181"/>
      <c r="P1782" s="181"/>
    </row>
    <row r="1783">
      <c r="B1783" s="292"/>
      <c r="C1783" s="181"/>
      <c r="D1783" s="181"/>
      <c r="E1783" s="181"/>
      <c r="F1783" s="181"/>
      <c r="G1783" s="181"/>
      <c r="H1783" s="181"/>
      <c r="I1783" s="181"/>
      <c r="J1783" s="181"/>
      <c r="K1783" s="181"/>
      <c r="L1783" s="181"/>
      <c r="M1783" s="181"/>
      <c r="N1783" s="181"/>
      <c r="O1783" s="181"/>
      <c r="P1783" s="181"/>
    </row>
    <row r="1784">
      <c r="B1784" s="292"/>
      <c r="C1784" s="181"/>
      <c r="D1784" s="181"/>
      <c r="E1784" s="181"/>
      <c r="F1784" s="181"/>
      <c r="G1784" s="181"/>
      <c r="H1784" s="181"/>
      <c r="I1784" s="181"/>
      <c r="J1784" s="181"/>
      <c r="K1784" s="181"/>
      <c r="L1784" s="181"/>
      <c r="M1784" s="181"/>
      <c r="N1784" s="181"/>
      <c r="O1784" s="181"/>
      <c r="P1784" s="181"/>
    </row>
    <row r="1785">
      <c r="B1785" s="292"/>
      <c r="C1785" s="181"/>
      <c r="D1785" s="181"/>
      <c r="E1785" s="181"/>
      <c r="F1785" s="181"/>
      <c r="G1785" s="181"/>
      <c r="H1785" s="181"/>
      <c r="I1785" s="181"/>
      <c r="J1785" s="181"/>
      <c r="K1785" s="181"/>
      <c r="L1785" s="181"/>
      <c r="M1785" s="181"/>
      <c r="N1785" s="181"/>
      <c r="O1785" s="181"/>
      <c r="P1785" s="181"/>
    </row>
    <row r="1786">
      <c r="B1786" s="292"/>
      <c r="C1786" s="181"/>
      <c r="D1786" s="181"/>
      <c r="E1786" s="181"/>
      <c r="F1786" s="181"/>
      <c r="G1786" s="181"/>
      <c r="H1786" s="181"/>
      <c r="I1786" s="181"/>
      <c r="J1786" s="181"/>
      <c r="K1786" s="181"/>
      <c r="L1786" s="181"/>
      <c r="M1786" s="181"/>
      <c r="N1786" s="181"/>
      <c r="O1786" s="181"/>
      <c r="P1786" s="181"/>
    </row>
    <row r="1787">
      <c r="B1787" s="292"/>
      <c r="C1787" s="181"/>
      <c r="D1787" s="181"/>
      <c r="E1787" s="181"/>
      <c r="F1787" s="181"/>
      <c r="G1787" s="181"/>
      <c r="H1787" s="181"/>
      <c r="I1787" s="181"/>
      <c r="J1787" s="181"/>
      <c r="K1787" s="181"/>
      <c r="L1787" s="181"/>
      <c r="M1787" s="181"/>
      <c r="N1787" s="181"/>
      <c r="O1787" s="181"/>
      <c r="P1787" s="181"/>
    </row>
    <row r="1788">
      <c r="B1788" s="292"/>
      <c r="C1788" s="181"/>
      <c r="D1788" s="181"/>
      <c r="E1788" s="181"/>
      <c r="F1788" s="181"/>
      <c r="G1788" s="181"/>
      <c r="H1788" s="181"/>
      <c r="I1788" s="181"/>
      <c r="J1788" s="181"/>
      <c r="K1788" s="181"/>
      <c r="L1788" s="181"/>
      <c r="M1788" s="181"/>
      <c r="N1788" s="181"/>
      <c r="O1788" s="181"/>
      <c r="P1788" s="181"/>
    </row>
    <row r="1789">
      <c r="B1789" s="292"/>
      <c r="C1789" s="181"/>
      <c r="D1789" s="181"/>
      <c r="E1789" s="181"/>
      <c r="F1789" s="181"/>
      <c r="G1789" s="181"/>
      <c r="H1789" s="181"/>
      <c r="I1789" s="181"/>
      <c r="J1789" s="181"/>
      <c r="K1789" s="181"/>
      <c r="L1789" s="181"/>
      <c r="M1789" s="181"/>
      <c r="N1789" s="181"/>
      <c r="O1789" s="181"/>
      <c r="P1789" s="181"/>
    </row>
    <row r="1790">
      <c r="B1790" s="292"/>
      <c r="C1790" s="181"/>
      <c r="D1790" s="181"/>
      <c r="E1790" s="181"/>
      <c r="F1790" s="181"/>
      <c r="G1790" s="181"/>
      <c r="H1790" s="181"/>
      <c r="I1790" s="181"/>
      <c r="J1790" s="181"/>
      <c r="K1790" s="181"/>
      <c r="L1790" s="181"/>
      <c r="M1790" s="181"/>
      <c r="N1790" s="181"/>
      <c r="O1790" s="181"/>
      <c r="P1790" s="181"/>
    </row>
    <row r="1791">
      <c r="B1791" s="292"/>
      <c r="C1791" s="181"/>
      <c r="D1791" s="181"/>
      <c r="E1791" s="181"/>
      <c r="F1791" s="181"/>
      <c r="G1791" s="181"/>
      <c r="H1791" s="181"/>
      <c r="I1791" s="181"/>
      <c r="J1791" s="181"/>
      <c r="K1791" s="181"/>
      <c r="L1791" s="181"/>
      <c r="M1791" s="181"/>
      <c r="N1791" s="181"/>
      <c r="O1791" s="181"/>
      <c r="P1791" s="181"/>
    </row>
    <row r="1792">
      <c r="B1792" s="292"/>
      <c r="C1792" s="181"/>
      <c r="D1792" s="181"/>
      <c r="E1792" s="181"/>
      <c r="F1792" s="181"/>
      <c r="G1792" s="181"/>
      <c r="H1792" s="181"/>
      <c r="I1792" s="181"/>
      <c r="J1792" s="181"/>
      <c r="K1792" s="181"/>
      <c r="L1792" s="181"/>
      <c r="M1792" s="181"/>
      <c r="N1792" s="181"/>
      <c r="O1792" s="181"/>
      <c r="P1792" s="181"/>
    </row>
    <row r="1793">
      <c r="B1793" s="292"/>
      <c r="C1793" s="181"/>
      <c r="D1793" s="181"/>
      <c r="E1793" s="181"/>
      <c r="F1793" s="181"/>
      <c r="G1793" s="181"/>
      <c r="H1793" s="181"/>
      <c r="I1793" s="181"/>
      <c r="J1793" s="181"/>
      <c r="K1793" s="181"/>
      <c r="L1793" s="181"/>
      <c r="M1793" s="181"/>
      <c r="N1793" s="181"/>
      <c r="O1793" s="181"/>
      <c r="P1793" s="181"/>
    </row>
    <row r="1794">
      <c r="B1794" s="292"/>
      <c r="C1794" s="181"/>
      <c r="D1794" s="181"/>
      <c r="E1794" s="181"/>
      <c r="F1794" s="181"/>
      <c r="G1794" s="181"/>
      <c r="H1794" s="181"/>
      <c r="I1794" s="181"/>
      <c r="J1794" s="181"/>
      <c r="K1794" s="181"/>
      <c r="L1794" s="181"/>
      <c r="M1794" s="181"/>
      <c r="N1794" s="181"/>
      <c r="O1794" s="181"/>
      <c r="P1794" s="181"/>
    </row>
    <row r="1795">
      <c r="B1795" s="292"/>
      <c r="C1795" s="181"/>
      <c r="D1795" s="181"/>
      <c r="E1795" s="181"/>
      <c r="F1795" s="181"/>
      <c r="G1795" s="181"/>
      <c r="H1795" s="181"/>
      <c r="I1795" s="181"/>
      <c r="J1795" s="181"/>
      <c r="K1795" s="181"/>
      <c r="L1795" s="181"/>
      <c r="M1795" s="181"/>
      <c r="N1795" s="181"/>
      <c r="O1795" s="181"/>
      <c r="P1795" s="181"/>
    </row>
    <row r="1796">
      <c r="B1796" s="292"/>
      <c r="C1796" s="181"/>
      <c r="D1796" s="181"/>
      <c r="E1796" s="181"/>
      <c r="F1796" s="181"/>
      <c r="G1796" s="181"/>
      <c r="H1796" s="181"/>
      <c r="I1796" s="181"/>
      <c r="J1796" s="181"/>
      <c r="K1796" s="181"/>
      <c r="L1796" s="181"/>
      <c r="M1796" s="181"/>
      <c r="N1796" s="181"/>
      <c r="O1796" s="181"/>
      <c r="P1796" s="181"/>
    </row>
    <row r="1797">
      <c r="B1797" s="292"/>
      <c r="C1797" s="181"/>
      <c r="D1797" s="181"/>
      <c r="E1797" s="181"/>
      <c r="F1797" s="181"/>
      <c r="G1797" s="181"/>
      <c r="H1797" s="181"/>
      <c r="I1797" s="181"/>
      <c r="J1797" s="181"/>
      <c r="K1797" s="181"/>
      <c r="L1797" s="181"/>
      <c r="M1797" s="181"/>
      <c r="N1797" s="181"/>
      <c r="O1797" s="181"/>
      <c r="P1797" s="181"/>
    </row>
    <row r="1798">
      <c r="B1798" s="292"/>
      <c r="C1798" s="181"/>
      <c r="D1798" s="181"/>
      <c r="E1798" s="181"/>
      <c r="F1798" s="181"/>
      <c r="G1798" s="181"/>
      <c r="H1798" s="181"/>
      <c r="I1798" s="181"/>
      <c r="J1798" s="181"/>
      <c r="K1798" s="181"/>
      <c r="L1798" s="181"/>
      <c r="M1798" s="181"/>
      <c r="N1798" s="181"/>
      <c r="O1798" s="181"/>
      <c r="P1798" s="181"/>
    </row>
    <row r="1799">
      <c r="B1799" s="292"/>
      <c r="C1799" s="181"/>
      <c r="D1799" s="181"/>
      <c r="E1799" s="181"/>
      <c r="F1799" s="181"/>
      <c r="G1799" s="181"/>
      <c r="H1799" s="181"/>
      <c r="I1799" s="181"/>
      <c r="J1799" s="181"/>
      <c r="K1799" s="181"/>
      <c r="L1799" s="181"/>
      <c r="M1799" s="181"/>
      <c r="N1799" s="181"/>
      <c r="O1799" s="181"/>
      <c r="P1799" s="181"/>
    </row>
    <row r="1800">
      <c r="B1800" s="292"/>
      <c r="C1800" s="181"/>
      <c r="D1800" s="181"/>
      <c r="E1800" s="181"/>
      <c r="F1800" s="181"/>
      <c r="G1800" s="181"/>
      <c r="H1800" s="181"/>
      <c r="I1800" s="181"/>
      <c r="J1800" s="181"/>
      <c r="K1800" s="181"/>
      <c r="L1800" s="181"/>
      <c r="M1800" s="181"/>
      <c r="N1800" s="181"/>
      <c r="O1800" s="181"/>
      <c r="P1800" s="181"/>
    </row>
    <row r="1801">
      <c r="B1801" s="292"/>
      <c r="C1801" s="181"/>
      <c r="D1801" s="181"/>
      <c r="E1801" s="181"/>
      <c r="F1801" s="181"/>
      <c r="G1801" s="181"/>
      <c r="H1801" s="181"/>
      <c r="I1801" s="181"/>
      <c r="J1801" s="181"/>
      <c r="K1801" s="181"/>
      <c r="L1801" s="181"/>
      <c r="M1801" s="181"/>
      <c r="N1801" s="181"/>
      <c r="O1801" s="181"/>
      <c r="P1801" s="181"/>
    </row>
    <row r="1802">
      <c r="B1802" s="292"/>
      <c r="C1802" s="181"/>
      <c r="D1802" s="181"/>
      <c r="E1802" s="181"/>
      <c r="F1802" s="181"/>
      <c r="G1802" s="181"/>
      <c r="H1802" s="181"/>
      <c r="I1802" s="181"/>
      <c r="J1802" s="181"/>
      <c r="K1802" s="181"/>
      <c r="L1802" s="181"/>
      <c r="M1802" s="181"/>
      <c r="N1802" s="181"/>
      <c r="O1802" s="181"/>
      <c r="P1802" s="181"/>
    </row>
    <row r="1803">
      <c r="B1803" s="292"/>
      <c r="C1803" s="181"/>
      <c r="D1803" s="181"/>
      <c r="E1803" s="181"/>
      <c r="F1803" s="181"/>
      <c r="G1803" s="181"/>
      <c r="H1803" s="181"/>
      <c r="I1803" s="181"/>
      <c r="J1803" s="181"/>
      <c r="K1803" s="181"/>
      <c r="L1803" s="181"/>
      <c r="M1803" s="181"/>
      <c r="N1803" s="181"/>
      <c r="O1803" s="181"/>
      <c r="P1803" s="181"/>
    </row>
    <row r="1804">
      <c r="B1804" s="292"/>
      <c r="C1804" s="181"/>
      <c r="D1804" s="181"/>
      <c r="E1804" s="181"/>
      <c r="F1804" s="181"/>
      <c r="G1804" s="181"/>
      <c r="H1804" s="181"/>
      <c r="I1804" s="181"/>
      <c r="J1804" s="181"/>
      <c r="K1804" s="181"/>
      <c r="L1804" s="181"/>
      <c r="M1804" s="181"/>
      <c r="N1804" s="181"/>
      <c r="O1804" s="181"/>
      <c r="P1804" s="181"/>
    </row>
    <row r="1805">
      <c r="B1805" s="292"/>
      <c r="C1805" s="181"/>
      <c r="D1805" s="181"/>
      <c r="E1805" s="181"/>
      <c r="F1805" s="181"/>
      <c r="G1805" s="181"/>
      <c r="H1805" s="181"/>
      <c r="I1805" s="181"/>
      <c r="J1805" s="181"/>
      <c r="K1805" s="181"/>
      <c r="L1805" s="181"/>
      <c r="M1805" s="181"/>
      <c r="N1805" s="181"/>
      <c r="O1805" s="181"/>
      <c r="P1805" s="181"/>
    </row>
    <row r="1806">
      <c r="B1806" s="292"/>
      <c r="C1806" s="181"/>
      <c r="D1806" s="181"/>
      <c r="E1806" s="181"/>
      <c r="F1806" s="181"/>
      <c r="G1806" s="181"/>
      <c r="H1806" s="181"/>
      <c r="I1806" s="181"/>
      <c r="J1806" s="181"/>
      <c r="K1806" s="181"/>
      <c r="L1806" s="181"/>
      <c r="M1806" s="181"/>
      <c r="N1806" s="181"/>
      <c r="O1806" s="181"/>
      <c r="P1806" s="181"/>
    </row>
    <row r="1807">
      <c r="B1807" s="292"/>
      <c r="C1807" s="181"/>
      <c r="D1807" s="181"/>
      <c r="E1807" s="181"/>
      <c r="F1807" s="181"/>
      <c r="G1807" s="181"/>
      <c r="H1807" s="181"/>
      <c r="I1807" s="181"/>
      <c r="J1807" s="181"/>
      <c r="K1807" s="181"/>
      <c r="L1807" s="181"/>
      <c r="M1807" s="181"/>
      <c r="N1807" s="181"/>
      <c r="O1807" s="181"/>
      <c r="P1807" s="181"/>
    </row>
    <row r="1808">
      <c r="B1808" s="292"/>
      <c r="C1808" s="181"/>
      <c r="D1808" s="181"/>
      <c r="E1808" s="181"/>
      <c r="F1808" s="181"/>
      <c r="G1808" s="181"/>
      <c r="H1808" s="181"/>
      <c r="I1808" s="181"/>
      <c r="J1808" s="181"/>
      <c r="K1808" s="181"/>
      <c r="L1808" s="181"/>
      <c r="M1808" s="181"/>
      <c r="N1808" s="181"/>
      <c r="O1808" s="181"/>
      <c r="P1808" s="181"/>
    </row>
    <row r="1809">
      <c r="B1809" s="292"/>
      <c r="C1809" s="181"/>
      <c r="D1809" s="181"/>
      <c r="E1809" s="181"/>
      <c r="F1809" s="181"/>
      <c r="G1809" s="181"/>
      <c r="H1809" s="181"/>
      <c r="I1809" s="181"/>
      <c r="J1809" s="181"/>
      <c r="K1809" s="181"/>
      <c r="L1809" s="181"/>
      <c r="M1809" s="181"/>
      <c r="N1809" s="181"/>
      <c r="O1809" s="181"/>
      <c r="P1809" s="181"/>
    </row>
    <row r="1810">
      <c r="B1810" s="292"/>
      <c r="C1810" s="181"/>
      <c r="D1810" s="181"/>
      <c r="E1810" s="181"/>
      <c r="F1810" s="181"/>
      <c r="G1810" s="181"/>
      <c r="H1810" s="181"/>
      <c r="I1810" s="181"/>
      <c r="J1810" s="181"/>
      <c r="K1810" s="181"/>
      <c r="L1810" s="181"/>
      <c r="M1810" s="181"/>
      <c r="N1810" s="181"/>
      <c r="O1810" s="181"/>
      <c r="P1810" s="181"/>
    </row>
    <row r="1811">
      <c r="B1811" s="292"/>
      <c r="C1811" s="181"/>
      <c r="D1811" s="181"/>
      <c r="E1811" s="181"/>
      <c r="F1811" s="181"/>
      <c r="G1811" s="181"/>
      <c r="H1811" s="181"/>
      <c r="I1811" s="181"/>
      <c r="J1811" s="181"/>
      <c r="K1811" s="181"/>
      <c r="L1811" s="181"/>
      <c r="M1811" s="181"/>
      <c r="N1811" s="181"/>
      <c r="O1811" s="181"/>
      <c r="P1811" s="181"/>
    </row>
    <row r="1812">
      <c r="B1812" s="292"/>
      <c r="C1812" s="181"/>
      <c r="D1812" s="181"/>
      <c r="E1812" s="181"/>
      <c r="F1812" s="181"/>
      <c r="G1812" s="181"/>
      <c r="H1812" s="181"/>
      <c r="I1812" s="181"/>
      <c r="J1812" s="181"/>
      <c r="K1812" s="181"/>
      <c r="L1812" s="181"/>
      <c r="M1812" s="181"/>
      <c r="N1812" s="181"/>
      <c r="O1812" s="181"/>
      <c r="P1812" s="181"/>
    </row>
    <row r="1813">
      <c r="B1813" s="292"/>
      <c r="C1813" s="181"/>
      <c r="D1813" s="181"/>
      <c r="E1813" s="181"/>
      <c r="F1813" s="181"/>
      <c r="G1813" s="181"/>
      <c r="H1813" s="181"/>
      <c r="I1813" s="181"/>
      <c r="J1813" s="181"/>
      <c r="K1813" s="181"/>
      <c r="L1813" s="181"/>
      <c r="M1813" s="181"/>
      <c r="N1813" s="181"/>
      <c r="O1813" s="181"/>
      <c r="P1813" s="181"/>
    </row>
    <row r="1814">
      <c r="B1814" s="292"/>
      <c r="C1814" s="181"/>
      <c r="D1814" s="181"/>
      <c r="E1814" s="181"/>
      <c r="F1814" s="181"/>
      <c r="G1814" s="181"/>
      <c r="H1814" s="181"/>
      <c r="I1814" s="181"/>
      <c r="J1814" s="181"/>
      <c r="K1814" s="181"/>
      <c r="L1814" s="181"/>
      <c r="M1814" s="181"/>
      <c r="N1814" s="181"/>
      <c r="O1814" s="181"/>
      <c r="P1814" s="181"/>
    </row>
    <row r="1815">
      <c r="B1815" s="292"/>
      <c r="C1815" s="181"/>
      <c r="D1815" s="181"/>
      <c r="E1815" s="181"/>
      <c r="F1815" s="181"/>
      <c r="G1815" s="181"/>
      <c r="H1815" s="181"/>
      <c r="I1815" s="181"/>
      <c r="J1815" s="181"/>
      <c r="K1815" s="181"/>
      <c r="L1815" s="181"/>
      <c r="M1815" s="181"/>
      <c r="N1815" s="181"/>
      <c r="O1815" s="181"/>
      <c r="P1815" s="181"/>
    </row>
    <row r="1816">
      <c r="B1816" s="292"/>
      <c r="C1816" s="181"/>
      <c r="D1816" s="181"/>
      <c r="E1816" s="181"/>
      <c r="F1816" s="181"/>
      <c r="G1816" s="181"/>
      <c r="H1816" s="181"/>
      <c r="I1816" s="181"/>
      <c r="J1816" s="181"/>
      <c r="K1816" s="181"/>
      <c r="L1816" s="181"/>
      <c r="M1816" s="181"/>
      <c r="N1816" s="181"/>
      <c r="O1816" s="181"/>
      <c r="P1816" s="181"/>
    </row>
    <row r="1817">
      <c r="B1817" s="292"/>
      <c r="C1817" s="181"/>
      <c r="D1817" s="181"/>
      <c r="E1817" s="181"/>
      <c r="F1817" s="181"/>
      <c r="G1817" s="181"/>
      <c r="H1817" s="181"/>
      <c r="I1817" s="181"/>
      <c r="J1817" s="181"/>
      <c r="K1817" s="181"/>
      <c r="L1817" s="181"/>
      <c r="M1817" s="181"/>
      <c r="N1817" s="181"/>
      <c r="O1817" s="181"/>
      <c r="P1817" s="181"/>
    </row>
    <row r="1818">
      <c r="B1818" s="292"/>
      <c r="C1818" s="181"/>
      <c r="D1818" s="181"/>
      <c r="E1818" s="181"/>
      <c r="F1818" s="181"/>
      <c r="G1818" s="181"/>
      <c r="H1818" s="181"/>
      <c r="I1818" s="181"/>
      <c r="J1818" s="181"/>
      <c r="K1818" s="181"/>
      <c r="L1818" s="181"/>
      <c r="M1818" s="181"/>
      <c r="N1818" s="181"/>
      <c r="O1818" s="181"/>
      <c r="P1818" s="181"/>
    </row>
    <row r="1819">
      <c r="B1819" s="292"/>
      <c r="C1819" s="181"/>
      <c r="D1819" s="181"/>
      <c r="E1819" s="181"/>
      <c r="F1819" s="181"/>
      <c r="G1819" s="181"/>
      <c r="H1819" s="181"/>
      <c r="I1819" s="181"/>
      <c r="J1819" s="181"/>
      <c r="K1819" s="181"/>
      <c r="L1819" s="181"/>
      <c r="M1819" s="181"/>
      <c r="N1819" s="181"/>
      <c r="O1819" s="181"/>
      <c r="P1819" s="181"/>
    </row>
    <row r="1820">
      <c r="B1820" s="292"/>
      <c r="C1820" s="181"/>
      <c r="D1820" s="181"/>
      <c r="E1820" s="181"/>
      <c r="F1820" s="181"/>
      <c r="G1820" s="181"/>
      <c r="H1820" s="181"/>
      <c r="I1820" s="181"/>
      <c r="J1820" s="181"/>
      <c r="K1820" s="181"/>
      <c r="L1820" s="181"/>
      <c r="M1820" s="181"/>
      <c r="N1820" s="181"/>
      <c r="O1820" s="181"/>
      <c r="P1820" s="181"/>
    </row>
    <row r="1821">
      <c r="B1821" s="292"/>
      <c r="C1821" s="181"/>
      <c r="D1821" s="181"/>
      <c r="E1821" s="181"/>
      <c r="F1821" s="181"/>
      <c r="G1821" s="181"/>
      <c r="H1821" s="181"/>
      <c r="I1821" s="181"/>
      <c r="J1821" s="181"/>
      <c r="K1821" s="181"/>
      <c r="L1821" s="181"/>
      <c r="M1821" s="181"/>
      <c r="N1821" s="181"/>
      <c r="O1821" s="181"/>
      <c r="P1821" s="181"/>
    </row>
    <row r="1822">
      <c r="B1822" s="292"/>
      <c r="C1822" s="181"/>
      <c r="D1822" s="181"/>
      <c r="E1822" s="181"/>
      <c r="F1822" s="181"/>
      <c r="G1822" s="181"/>
      <c r="H1822" s="181"/>
      <c r="I1822" s="181"/>
      <c r="J1822" s="181"/>
      <c r="K1822" s="181"/>
      <c r="L1822" s="181"/>
      <c r="M1822" s="181"/>
      <c r="N1822" s="181"/>
      <c r="O1822" s="181"/>
      <c r="P1822" s="181"/>
    </row>
    <row r="1823">
      <c r="B1823" s="292"/>
      <c r="C1823" s="181"/>
      <c r="D1823" s="181"/>
      <c r="E1823" s="181"/>
      <c r="F1823" s="181"/>
      <c r="G1823" s="181"/>
      <c r="H1823" s="181"/>
      <c r="I1823" s="181"/>
      <c r="J1823" s="181"/>
      <c r="K1823" s="181"/>
      <c r="L1823" s="181"/>
      <c r="M1823" s="181"/>
      <c r="N1823" s="181"/>
      <c r="O1823" s="181"/>
      <c r="P1823" s="181"/>
    </row>
    <row r="1824">
      <c r="B1824" s="292"/>
      <c r="C1824" s="181"/>
      <c r="D1824" s="181"/>
      <c r="E1824" s="181"/>
      <c r="F1824" s="181"/>
      <c r="G1824" s="181"/>
      <c r="H1824" s="181"/>
      <c r="I1824" s="181"/>
      <c r="J1824" s="181"/>
      <c r="K1824" s="181"/>
      <c r="L1824" s="181"/>
      <c r="M1824" s="181"/>
      <c r="N1824" s="181"/>
      <c r="O1824" s="181"/>
      <c r="P1824" s="181"/>
    </row>
    <row r="1825">
      <c r="B1825" s="292"/>
      <c r="C1825" s="181"/>
      <c r="D1825" s="181"/>
      <c r="E1825" s="181"/>
      <c r="F1825" s="181"/>
      <c r="G1825" s="181"/>
      <c r="H1825" s="181"/>
      <c r="I1825" s="181"/>
      <c r="J1825" s="181"/>
      <c r="K1825" s="181"/>
      <c r="L1825" s="181"/>
      <c r="M1825" s="181"/>
      <c r="N1825" s="181"/>
      <c r="O1825" s="181"/>
      <c r="P1825" s="181"/>
    </row>
    <row r="1826">
      <c r="B1826" s="292"/>
      <c r="C1826" s="181"/>
      <c r="D1826" s="181"/>
      <c r="E1826" s="181"/>
      <c r="F1826" s="181"/>
      <c r="G1826" s="181"/>
      <c r="H1826" s="181"/>
      <c r="I1826" s="181"/>
      <c r="J1826" s="181"/>
      <c r="K1826" s="181"/>
      <c r="L1826" s="181"/>
      <c r="M1826" s="181"/>
      <c r="N1826" s="181"/>
      <c r="O1826" s="181"/>
      <c r="P1826" s="181"/>
    </row>
    <row r="1827">
      <c r="B1827" s="292"/>
      <c r="C1827" s="181"/>
      <c r="D1827" s="181"/>
      <c r="E1827" s="181"/>
      <c r="F1827" s="181"/>
      <c r="G1827" s="181"/>
      <c r="H1827" s="181"/>
      <c r="I1827" s="181"/>
      <c r="J1827" s="181"/>
      <c r="K1827" s="181"/>
      <c r="L1827" s="181"/>
      <c r="M1827" s="181"/>
      <c r="N1827" s="181"/>
      <c r="O1827" s="181"/>
      <c r="P1827" s="181"/>
    </row>
    <row r="1828">
      <c r="B1828" s="292"/>
      <c r="C1828" s="181"/>
      <c r="D1828" s="181"/>
      <c r="E1828" s="181"/>
      <c r="F1828" s="181"/>
      <c r="G1828" s="181"/>
      <c r="H1828" s="181"/>
      <c r="I1828" s="181"/>
      <c r="J1828" s="181"/>
      <c r="K1828" s="181"/>
      <c r="L1828" s="181"/>
      <c r="M1828" s="181"/>
      <c r="N1828" s="181"/>
      <c r="O1828" s="181"/>
      <c r="P1828" s="181"/>
    </row>
    <row r="1829">
      <c r="B1829" s="292"/>
      <c r="C1829" s="181"/>
      <c r="D1829" s="181"/>
      <c r="E1829" s="181"/>
      <c r="F1829" s="181"/>
      <c r="G1829" s="181"/>
      <c r="H1829" s="181"/>
      <c r="I1829" s="181"/>
      <c r="J1829" s="181"/>
      <c r="K1829" s="181"/>
      <c r="L1829" s="181"/>
      <c r="M1829" s="181"/>
      <c r="N1829" s="181"/>
      <c r="O1829" s="181"/>
      <c r="P1829" s="181"/>
    </row>
    <row r="1830">
      <c r="B1830" s="292"/>
      <c r="C1830" s="181"/>
      <c r="D1830" s="181"/>
      <c r="E1830" s="181"/>
      <c r="F1830" s="181"/>
      <c r="G1830" s="181"/>
      <c r="H1830" s="181"/>
      <c r="I1830" s="181"/>
      <c r="J1830" s="181"/>
      <c r="K1830" s="181"/>
      <c r="L1830" s="181"/>
      <c r="M1830" s="181"/>
      <c r="N1830" s="181"/>
      <c r="O1830" s="181"/>
      <c r="P1830" s="181"/>
    </row>
    <row r="1831">
      <c r="B1831" s="292"/>
      <c r="C1831" s="181"/>
      <c r="D1831" s="181"/>
      <c r="E1831" s="181"/>
      <c r="F1831" s="181"/>
      <c r="G1831" s="181"/>
      <c r="H1831" s="181"/>
      <c r="I1831" s="181"/>
      <c r="J1831" s="181"/>
      <c r="K1831" s="181"/>
      <c r="L1831" s="181"/>
      <c r="M1831" s="181"/>
      <c r="N1831" s="181"/>
      <c r="O1831" s="181"/>
      <c r="P1831" s="181"/>
    </row>
    <row r="1832">
      <c r="B1832" s="292"/>
      <c r="C1832" s="181"/>
      <c r="D1832" s="181"/>
      <c r="E1832" s="181"/>
      <c r="F1832" s="181"/>
      <c r="G1832" s="181"/>
      <c r="H1832" s="181"/>
      <c r="I1832" s="181"/>
      <c r="J1832" s="181"/>
      <c r="K1832" s="181"/>
      <c r="L1832" s="181"/>
      <c r="M1832" s="181"/>
      <c r="N1832" s="181"/>
      <c r="O1832" s="181"/>
      <c r="P1832" s="181"/>
    </row>
    <row r="1833">
      <c r="B1833" s="292"/>
      <c r="C1833" s="181"/>
      <c r="D1833" s="181"/>
      <c r="E1833" s="181"/>
      <c r="F1833" s="181"/>
      <c r="G1833" s="181"/>
      <c r="H1833" s="181"/>
      <c r="I1833" s="181"/>
      <c r="J1833" s="181"/>
      <c r="K1833" s="181"/>
      <c r="L1833" s="181"/>
      <c r="M1833" s="181"/>
      <c r="N1833" s="181"/>
      <c r="O1833" s="181"/>
      <c r="P1833" s="181"/>
    </row>
    <row r="1834">
      <c r="B1834" s="292"/>
      <c r="C1834" s="181"/>
      <c r="D1834" s="181"/>
      <c r="E1834" s="181"/>
      <c r="F1834" s="181"/>
      <c r="G1834" s="181"/>
      <c r="H1834" s="181"/>
      <c r="I1834" s="181"/>
      <c r="J1834" s="181"/>
      <c r="K1834" s="181"/>
      <c r="L1834" s="181"/>
      <c r="M1834" s="181"/>
      <c r="N1834" s="181"/>
      <c r="O1834" s="181"/>
      <c r="P1834" s="181"/>
    </row>
    <row r="1835">
      <c r="B1835" s="292"/>
      <c r="C1835" s="181"/>
      <c r="D1835" s="181"/>
      <c r="E1835" s="181"/>
      <c r="F1835" s="181"/>
      <c r="G1835" s="181"/>
      <c r="H1835" s="181"/>
      <c r="I1835" s="181"/>
      <c r="J1835" s="181"/>
      <c r="K1835" s="181"/>
      <c r="L1835" s="181"/>
      <c r="M1835" s="181"/>
      <c r="N1835" s="181"/>
      <c r="O1835" s="181"/>
      <c r="P1835" s="181"/>
    </row>
    <row r="1836">
      <c r="B1836" s="292"/>
      <c r="C1836" s="181"/>
      <c r="D1836" s="181"/>
      <c r="E1836" s="181"/>
      <c r="F1836" s="181"/>
      <c r="G1836" s="181"/>
      <c r="H1836" s="181"/>
      <c r="I1836" s="181"/>
      <c r="J1836" s="181"/>
      <c r="K1836" s="181"/>
      <c r="L1836" s="181"/>
      <c r="M1836" s="181"/>
      <c r="N1836" s="181"/>
      <c r="O1836" s="181"/>
      <c r="P1836" s="181"/>
    </row>
    <row r="1837">
      <c r="B1837" s="292"/>
      <c r="C1837" s="181"/>
      <c r="D1837" s="181"/>
      <c r="E1837" s="181"/>
      <c r="F1837" s="181"/>
      <c r="G1837" s="181"/>
      <c r="H1837" s="181"/>
      <c r="I1837" s="181"/>
      <c r="J1837" s="181"/>
      <c r="K1837" s="181"/>
      <c r="L1837" s="181"/>
      <c r="M1837" s="181"/>
      <c r="N1837" s="181"/>
      <c r="O1837" s="181"/>
      <c r="P1837" s="181"/>
    </row>
    <row r="1838">
      <c r="B1838" s="292"/>
      <c r="C1838" s="181"/>
      <c r="D1838" s="181"/>
      <c r="E1838" s="181"/>
      <c r="F1838" s="181"/>
      <c r="G1838" s="181"/>
      <c r="H1838" s="181"/>
      <c r="I1838" s="181"/>
      <c r="J1838" s="181"/>
      <c r="K1838" s="181"/>
      <c r="L1838" s="181"/>
      <c r="M1838" s="181"/>
      <c r="N1838" s="181"/>
      <c r="O1838" s="181"/>
      <c r="P1838" s="181"/>
    </row>
    <row r="1839">
      <c r="B1839" s="292"/>
      <c r="C1839" s="181"/>
      <c r="D1839" s="181"/>
      <c r="E1839" s="181"/>
      <c r="F1839" s="181"/>
      <c r="G1839" s="181"/>
      <c r="H1839" s="181"/>
      <c r="I1839" s="181"/>
      <c r="J1839" s="181"/>
      <c r="K1839" s="181"/>
      <c r="L1839" s="181"/>
      <c r="M1839" s="181"/>
      <c r="N1839" s="181"/>
      <c r="O1839" s="181"/>
      <c r="P1839" s="181"/>
    </row>
    <row r="1840">
      <c r="B1840" s="292"/>
      <c r="C1840" s="181"/>
      <c r="D1840" s="181"/>
      <c r="E1840" s="181"/>
      <c r="F1840" s="181"/>
      <c r="G1840" s="181"/>
      <c r="H1840" s="181"/>
      <c r="I1840" s="181"/>
      <c r="J1840" s="181"/>
      <c r="K1840" s="181"/>
      <c r="L1840" s="181"/>
      <c r="M1840" s="181"/>
      <c r="N1840" s="181"/>
      <c r="O1840" s="181"/>
      <c r="P1840" s="181"/>
    </row>
    <row r="1841">
      <c r="B1841" s="292"/>
      <c r="C1841" s="181"/>
      <c r="D1841" s="181"/>
      <c r="E1841" s="181"/>
      <c r="F1841" s="181"/>
      <c r="G1841" s="181"/>
      <c r="H1841" s="181"/>
      <c r="I1841" s="181"/>
      <c r="J1841" s="181"/>
      <c r="K1841" s="181"/>
      <c r="L1841" s="181"/>
      <c r="M1841" s="181"/>
      <c r="N1841" s="181"/>
      <c r="O1841" s="181"/>
      <c r="P1841" s="181"/>
    </row>
    <row r="1842">
      <c r="B1842" s="292"/>
      <c r="C1842" s="181"/>
      <c r="D1842" s="181"/>
      <c r="E1842" s="181"/>
      <c r="F1842" s="181"/>
      <c r="G1842" s="181"/>
      <c r="H1842" s="181"/>
      <c r="I1842" s="181"/>
      <c r="J1842" s="181"/>
      <c r="K1842" s="181"/>
      <c r="L1842" s="181"/>
      <c r="M1842" s="181"/>
      <c r="N1842" s="181"/>
      <c r="O1842" s="181"/>
      <c r="P1842" s="181"/>
    </row>
    <row r="1843">
      <c r="B1843" s="292"/>
      <c r="C1843" s="181"/>
      <c r="D1843" s="181"/>
      <c r="E1843" s="181"/>
      <c r="F1843" s="181"/>
      <c r="G1843" s="181"/>
      <c r="H1843" s="181"/>
      <c r="I1843" s="181"/>
      <c r="J1843" s="181"/>
      <c r="K1843" s="181"/>
      <c r="L1843" s="181"/>
      <c r="M1843" s="181"/>
      <c r="N1843" s="181"/>
      <c r="O1843" s="181"/>
      <c r="P1843" s="181"/>
    </row>
    <row r="1844">
      <c r="B1844" s="292"/>
      <c r="C1844" s="181"/>
      <c r="D1844" s="181"/>
      <c r="E1844" s="181"/>
      <c r="F1844" s="181"/>
      <c r="G1844" s="181"/>
      <c r="H1844" s="181"/>
      <c r="I1844" s="181"/>
      <c r="J1844" s="181"/>
      <c r="K1844" s="181"/>
      <c r="L1844" s="181"/>
      <c r="M1844" s="181"/>
      <c r="N1844" s="181"/>
      <c r="O1844" s="181"/>
      <c r="P1844" s="181"/>
    </row>
    <row r="1845">
      <c r="B1845" s="292"/>
      <c r="C1845" s="181"/>
      <c r="D1845" s="181"/>
      <c r="E1845" s="181"/>
      <c r="F1845" s="181"/>
      <c r="G1845" s="181"/>
      <c r="H1845" s="181"/>
      <c r="I1845" s="181"/>
      <c r="J1845" s="181"/>
      <c r="K1845" s="181"/>
      <c r="L1845" s="181"/>
      <c r="M1845" s="181"/>
      <c r="N1845" s="181"/>
      <c r="O1845" s="181"/>
      <c r="P1845" s="181"/>
    </row>
    <row r="1846">
      <c r="B1846" s="292"/>
      <c r="C1846" s="181"/>
      <c r="D1846" s="181"/>
      <c r="E1846" s="181"/>
      <c r="F1846" s="181"/>
      <c r="G1846" s="181"/>
      <c r="H1846" s="181"/>
      <c r="I1846" s="181"/>
      <c r="J1846" s="181"/>
      <c r="K1846" s="181"/>
      <c r="L1846" s="181"/>
      <c r="M1846" s="181"/>
      <c r="N1846" s="181"/>
      <c r="O1846" s="181"/>
      <c r="P1846" s="181"/>
    </row>
    <row r="1847">
      <c r="B1847" s="292"/>
      <c r="C1847" s="181"/>
      <c r="D1847" s="181"/>
      <c r="E1847" s="181"/>
      <c r="F1847" s="181"/>
      <c r="G1847" s="181"/>
      <c r="H1847" s="181"/>
      <c r="I1847" s="181"/>
      <c r="J1847" s="181"/>
      <c r="K1847" s="181"/>
      <c r="L1847" s="181"/>
      <c r="M1847" s="181"/>
      <c r="N1847" s="181"/>
      <c r="O1847" s="181"/>
      <c r="P1847" s="181"/>
    </row>
    <row r="1848">
      <c r="B1848" s="292"/>
      <c r="C1848" s="181"/>
      <c r="D1848" s="181"/>
      <c r="E1848" s="181"/>
      <c r="F1848" s="181"/>
      <c r="G1848" s="181"/>
      <c r="H1848" s="181"/>
      <c r="I1848" s="181"/>
      <c r="J1848" s="181"/>
      <c r="K1848" s="181"/>
      <c r="L1848" s="181"/>
      <c r="M1848" s="181"/>
      <c r="N1848" s="181"/>
      <c r="O1848" s="181"/>
      <c r="P1848" s="181"/>
    </row>
    <row r="1849">
      <c r="B1849" s="292"/>
      <c r="C1849" s="181"/>
      <c r="D1849" s="181"/>
      <c r="E1849" s="181"/>
      <c r="F1849" s="181"/>
      <c r="G1849" s="181"/>
      <c r="H1849" s="181"/>
      <c r="I1849" s="181"/>
      <c r="J1849" s="181"/>
      <c r="K1849" s="181"/>
      <c r="L1849" s="181"/>
      <c r="M1849" s="181"/>
      <c r="N1849" s="181"/>
      <c r="O1849" s="181"/>
      <c r="P1849" s="181"/>
    </row>
    <row r="1850">
      <c r="B1850" s="292"/>
      <c r="C1850" s="181"/>
      <c r="D1850" s="181"/>
      <c r="E1850" s="181"/>
      <c r="F1850" s="181"/>
      <c r="G1850" s="181"/>
      <c r="H1850" s="181"/>
      <c r="I1850" s="181"/>
      <c r="J1850" s="181"/>
      <c r="K1850" s="181"/>
      <c r="L1850" s="181"/>
      <c r="M1850" s="181"/>
      <c r="N1850" s="181"/>
      <c r="O1850" s="181"/>
      <c r="P1850" s="181"/>
    </row>
    <row r="1851">
      <c r="B1851" s="292"/>
      <c r="C1851" s="181"/>
      <c r="D1851" s="181"/>
      <c r="E1851" s="181"/>
      <c r="F1851" s="181"/>
      <c r="G1851" s="181"/>
      <c r="H1851" s="181"/>
      <c r="I1851" s="181"/>
      <c r="J1851" s="181"/>
      <c r="K1851" s="181"/>
      <c r="L1851" s="181"/>
      <c r="M1851" s="181"/>
      <c r="N1851" s="181"/>
      <c r="O1851" s="181"/>
      <c r="P1851" s="181"/>
    </row>
    <row r="1852">
      <c r="B1852" s="292"/>
      <c r="C1852" s="181"/>
      <c r="D1852" s="181"/>
      <c r="E1852" s="181"/>
      <c r="F1852" s="181"/>
      <c r="G1852" s="181"/>
      <c r="H1852" s="181"/>
      <c r="I1852" s="181"/>
      <c r="J1852" s="181"/>
      <c r="K1852" s="181"/>
      <c r="L1852" s="181"/>
      <c r="M1852" s="181"/>
      <c r="N1852" s="181"/>
      <c r="O1852" s="181"/>
      <c r="P1852" s="181"/>
    </row>
    <row r="1853">
      <c r="B1853" s="292"/>
      <c r="C1853" s="181"/>
      <c r="D1853" s="181"/>
      <c r="E1853" s="181"/>
      <c r="F1853" s="181"/>
      <c r="G1853" s="181"/>
      <c r="H1853" s="181"/>
      <c r="I1853" s="181"/>
      <c r="J1853" s="181"/>
      <c r="K1853" s="181"/>
      <c r="L1853" s="181"/>
      <c r="M1853" s="181"/>
      <c r="N1853" s="181"/>
      <c r="O1853" s="181"/>
      <c r="P1853" s="181"/>
    </row>
    <row r="1854">
      <c r="B1854" s="292"/>
      <c r="C1854" s="181"/>
      <c r="D1854" s="181"/>
      <c r="E1854" s="181"/>
      <c r="F1854" s="181"/>
      <c r="G1854" s="181"/>
      <c r="H1854" s="181"/>
      <c r="I1854" s="181"/>
      <c r="J1854" s="181"/>
      <c r="K1854" s="181"/>
      <c r="L1854" s="181"/>
      <c r="M1854" s="181"/>
      <c r="N1854" s="181"/>
      <c r="O1854" s="181"/>
      <c r="P1854" s="181"/>
    </row>
    <row r="1855">
      <c r="B1855" s="292"/>
      <c r="C1855" s="181"/>
      <c r="D1855" s="181"/>
      <c r="E1855" s="181"/>
      <c r="F1855" s="181"/>
      <c r="G1855" s="181"/>
      <c r="H1855" s="181"/>
      <c r="I1855" s="181"/>
      <c r="J1855" s="181"/>
      <c r="K1855" s="181"/>
      <c r="L1855" s="181"/>
      <c r="M1855" s="181"/>
      <c r="N1855" s="181"/>
      <c r="O1855" s="181"/>
      <c r="P1855" s="181"/>
    </row>
    <row r="1856">
      <c r="B1856" s="292"/>
      <c r="C1856" s="181"/>
      <c r="D1856" s="181"/>
      <c r="E1856" s="181"/>
      <c r="F1856" s="181"/>
      <c r="G1856" s="181"/>
      <c r="H1856" s="181"/>
      <c r="I1856" s="181"/>
      <c r="J1856" s="181"/>
      <c r="K1856" s="181"/>
      <c r="L1856" s="181"/>
      <c r="M1856" s="181"/>
      <c r="N1856" s="181"/>
      <c r="O1856" s="181"/>
      <c r="P1856" s="181"/>
    </row>
    <row r="1857">
      <c r="B1857" s="292"/>
      <c r="C1857" s="181"/>
      <c r="D1857" s="181"/>
      <c r="E1857" s="181"/>
      <c r="F1857" s="181"/>
      <c r="G1857" s="181"/>
      <c r="H1857" s="181"/>
      <c r="I1857" s="181"/>
      <c r="J1857" s="181"/>
      <c r="K1857" s="181"/>
      <c r="L1857" s="181"/>
      <c r="M1857" s="181"/>
      <c r="N1857" s="181"/>
      <c r="O1857" s="181"/>
      <c r="P1857" s="181"/>
    </row>
    <row r="1858">
      <c r="B1858" s="292"/>
      <c r="C1858" s="181"/>
      <c r="D1858" s="181"/>
      <c r="E1858" s="181"/>
      <c r="F1858" s="181"/>
      <c r="G1858" s="181"/>
      <c r="H1858" s="181"/>
      <c r="I1858" s="181"/>
      <c r="J1858" s="181"/>
      <c r="K1858" s="181"/>
      <c r="L1858" s="181"/>
      <c r="M1858" s="181"/>
      <c r="N1858" s="181"/>
      <c r="O1858" s="181"/>
      <c r="P1858" s="181"/>
    </row>
    <row r="1859">
      <c r="B1859" s="292"/>
      <c r="C1859" s="181"/>
      <c r="D1859" s="181"/>
      <c r="E1859" s="181"/>
      <c r="F1859" s="181"/>
      <c r="G1859" s="181"/>
      <c r="H1859" s="181"/>
      <c r="I1859" s="181"/>
      <c r="J1859" s="181"/>
      <c r="K1859" s="181"/>
      <c r="L1859" s="181"/>
      <c r="M1859" s="181"/>
      <c r="N1859" s="181"/>
      <c r="O1859" s="181"/>
      <c r="P1859" s="181"/>
    </row>
    <row r="1860">
      <c r="B1860" s="292"/>
      <c r="C1860" s="181"/>
      <c r="D1860" s="181"/>
      <c r="E1860" s="181"/>
      <c r="F1860" s="181"/>
      <c r="G1860" s="181"/>
      <c r="H1860" s="181"/>
      <c r="I1860" s="181"/>
      <c r="J1860" s="181"/>
      <c r="K1860" s="181"/>
      <c r="L1860" s="181"/>
      <c r="M1860" s="181"/>
      <c r="N1860" s="181"/>
      <c r="O1860" s="181"/>
      <c r="P1860" s="181"/>
    </row>
    <row r="1861">
      <c r="B1861" s="292"/>
      <c r="C1861" s="181"/>
      <c r="D1861" s="181"/>
      <c r="E1861" s="181"/>
      <c r="F1861" s="181"/>
      <c r="G1861" s="181"/>
      <c r="H1861" s="181"/>
      <c r="I1861" s="181"/>
      <c r="J1861" s="181"/>
      <c r="K1861" s="181"/>
      <c r="L1861" s="181"/>
      <c r="M1861" s="181"/>
      <c r="N1861" s="181"/>
      <c r="O1861" s="181"/>
      <c r="P1861" s="181"/>
    </row>
    <row r="1862">
      <c r="B1862" s="292"/>
      <c r="C1862" s="181"/>
      <c r="D1862" s="181"/>
      <c r="E1862" s="181"/>
      <c r="F1862" s="181"/>
      <c r="G1862" s="181"/>
      <c r="H1862" s="181"/>
      <c r="I1862" s="181"/>
      <c r="J1862" s="181"/>
      <c r="K1862" s="181"/>
      <c r="L1862" s="181"/>
      <c r="M1862" s="181"/>
      <c r="N1862" s="181"/>
      <c r="O1862" s="181"/>
      <c r="P1862" s="181"/>
    </row>
    <row r="1863">
      <c r="B1863" s="292"/>
      <c r="C1863" s="181"/>
      <c r="D1863" s="181"/>
      <c r="E1863" s="181"/>
      <c r="F1863" s="181"/>
      <c r="G1863" s="181"/>
      <c r="H1863" s="181"/>
      <c r="I1863" s="181"/>
      <c r="J1863" s="181"/>
      <c r="K1863" s="181"/>
      <c r="L1863" s="181"/>
      <c r="M1863" s="181"/>
      <c r="N1863" s="181"/>
      <c r="O1863" s="181"/>
      <c r="P1863" s="181"/>
    </row>
    <row r="1864">
      <c r="B1864" s="292"/>
      <c r="C1864" s="181"/>
      <c r="D1864" s="181"/>
      <c r="E1864" s="181"/>
      <c r="F1864" s="181"/>
      <c r="G1864" s="181"/>
      <c r="H1864" s="181"/>
      <c r="I1864" s="181"/>
      <c r="J1864" s="181"/>
      <c r="K1864" s="181"/>
      <c r="L1864" s="181"/>
      <c r="M1864" s="181"/>
      <c r="N1864" s="181"/>
      <c r="O1864" s="181"/>
      <c r="P1864" s="181"/>
    </row>
    <row r="1865">
      <c r="B1865" s="292"/>
      <c r="C1865" s="181"/>
      <c r="D1865" s="181"/>
      <c r="E1865" s="181"/>
      <c r="F1865" s="181"/>
      <c r="G1865" s="181"/>
      <c r="H1865" s="181"/>
      <c r="I1865" s="181"/>
      <c r="J1865" s="181"/>
      <c r="K1865" s="181"/>
      <c r="L1865" s="181"/>
      <c r="M1865" s="181"/>
      <c r="N1865" s="181"/>
      <c r="O1865" s="181"/>
      <c r="P1865" s="181"/>
    </row>
    <row r="1866">
      <c r="B1866" s="292"/>
      <c r="C1866" s="181"/>
      <c r="D1866" s="181"/>
      <c r="E1866" s="181"/>
      <c r="F1866" s="181"/>
      <c r="G1866" s="181"/>
      <c r="H1866" s="181"/>
      <c r="I1866" s="181"/>
      <c r="J1866" s="181"/>
      <c r="K1866" s="181"/>
      <c r="L1866" s="181"/>
      <c r="M1866" s="181"/>
      <c r="N1866" s="181"/>
      <c r="O1866" s="181"/>
      <c r="P1866" s="181"/>
    </row>
    <row r="1867">
      <c r="B1867" s="292"/>
      <c r="C1867" s="181"/>
      <c r="D1867" s="181"/>
      <c r="E1867" s="181"/>
      <c r="F1867" s="181"/>
      <c r="G1867" s="181"/>
      <c r="H1867" s="181"/>
      <c r="I1867" s="181"/>
      <c r="J1867" s="181"/>
      <c r="K1867" s="181"/>
      <c r="L1867" s="181"/>
      <c r="M1867" s="181"/>
      <c r="N1867" s="181"/>
      <c r="O1867" s="181"/>
      <c r="P1867" s="181"/>
    </row>
    <row r="1868">
      <c r="B1868" s="292"/>
      <c r="C1868" s="181"/>
      <c r="D1868" s="181"/>
      <c r="E1868" s="181"/>
      <c r="F1868" s="181"/>
      <c r="G1868" s="181"/>
      <c r="H1868" s="181"/>
      <c r="I1868" s="181"/>
      <c r="J1868" s="181"/>
      <c r="K1868" s="181"/>
      <c r="L1868" s="181"/>
      <c r="M1868" s="181"/>
      <c r="N1868" s="181"/>
      <c r="O1868" s="181"/>
      <c r="P1868" s="181"/>
    </row>
    <row r="1869">
      <c r="B1869" s="292"/>
      <c r="C1869" s="181"/>
      <c r="D1869" s="181"/>
      <c r="E1869" s="181"/>
      <c r="F1869" s="181"/>
      <c r="G1869" s="181"/>
      <c r="H1869" s="181"/>
      <c r="I1869" s="181"/>
      <c r="J1869" s="181"/>
      <c r="K1869" s="181"/>
      <c r="L1869" s="181"/>
      <c r="M1869" s="181"/>
      <c r="N1869" s="181"/>
      <c r="O1869" s="181"/>
      <c r="P1869" s="181"/>
    </row>
    <row r="1870">
      <c r="B1870" s="292"/>
      <c r="C1870" s="181"/>
      <c r="D1870" s="181"/>
      <c r="E1870" s="181"/>
      <c r="F1870" s="181"/>
      <c r="G1870" s="181"/>
      <c r="H1870" s="181"/>
      <c r="I1870" s="181"/>
      <c r="J1870" s="181"/>
      <c r="K1870" s="181"/>
      <c r="L1870" s="181"/>
      <c r="M1870" s="181"/>
      <c r="N1870" s="181"/>
      <c r="O1870" s="181"/>
      <c r="P1870" s="181"/>
    </row>
    <row r="1871">
      <c r="B1871" s="292"/>
      <c r="C1871" s="181"/>
      <c r="D1871" s="181"/>
      <c r="E1871" s="181"/>
      <c r="F1871" s="181"/>
      <c r="G1871" s="181"/>
      <c r="H1871" s="181"/>
      <c r="I1871" s="181"/>
      <c r="J1871" s="181"/>
      <c r="K1871" s="181"/>
      <c r="L1871" s="181"/>
      <c r="M1871" s="181"/>
      <c r="N1871" s="181"/>
      <c r="O1871" s="181"/>
      <c r="P1871" s="181"/>
    </row>
    <row r="1872">
      <c r="B1872" s="292"/>
      <c r="C1872" s="181"/>
      <c r="D1872" s="181"/>
      <c r="E1872" s="181"/>
      <c r="F1872" s="181"/>
      <c r="G1872" s="181"/>
      <c r="H1872" s="181"/>
      <c r="I1872" s="181"/>
      <c r="J1872" s="181"/>
      <c r="K1872" s="181"/>
      <c r="L1872" s="181"/>
      <c r="M1872" s="181"/>
      <c r="N1872" s="181"/>
      <c r="O1872" s="181"/>
      <c r="P1872" s="181"/>
    </row>
    <row r="1873">
      <c r="B1873" s="292"/>
      <c r="C1873" s="181"/>
      <c r="D1873" s="181"/>
      <c r="E1873" s="181"/>
      <c r="F1873" s="181"/>
      <c r="G1873" s="181"/>
      <c r="H1873" s="181"/>
      <c r="I1873" s="181"/>
      <c r="J1873" s="181"/>
      <c r="K1873" s="181"/>
      <c r="L1873" s="181"/>
      <c r="M1873" s="181"/>
      <c r="N1873" s="181"/>
      <c r="O1873" s="181"/>
      <c r="P1873" s="181"/>
    </row>
    <row r="1874">
      <c r="B1874" s="292"/>
      <c r="C1874" s="181"/>
      <c r="D1874" s="181"/>
      <c r="E1874" s="181"/>
      <c r="F1874" s="181"/>
      <c r="G1874" s="181"/>
      <c r="H1874" s="181"/>
      <c r="I1874" s="181"/>
      <c r="J1874" s="181"/>
      <c r="K1874" s="181"/>
      <c r="L1874" s="181"/>
      <c r="M1874" s="181"/>
      <c r="N1874" s="181"/>
      <c r="O1874" s="181"/>
      <c r="P1874" s="181"/>
    </row>
    <row r="1875">
      <c r="B1875" s="292"/>
      <c r="C1875" s="181"/>
      <c r="D1875" s="181"/>
      <c r="E1875" s="181"/>
      <c r="F1875" s="181"/>
      <c r="G1875" s="181"/>
      <c r="H1875" s="181"/>
      <c r="I1875" s="181"/>
      <c r="J1875" s="181"/>
      <c r="K1875" s="181"/>
      <c r="L1875" s="181"/>
      <c r="M1875" s="181"/>
      <c r="N1875" s="181"/>
      <c r="O1875" s="181"/>
      <c r="P1875" s="181"/>
    </row>
    <row r="1876">
      <c r="B1876" s="292"/>
      <c r="C1876" s="181"/>
      <c r="D1876" s="181"/>
      <c r="E1876" s="181"/>
      <c r="F1876" s="181"/>
      <c r="G1876" s="181"/>
      <c r="H1876" s="181"/>
      <c r="I1876" s="181"/>
      <c r="J1876" s="181"/>
      <c r="K1876" s="181"/>
      <c r="L1876" s="181"/>
      <c r="M1876" s="181"/>
      <c r="N1876" s="181"/>
      <c r="O1876" s="181"/>
      <c r="P1876" s="181"/>
    </row>
    <row r="1877">
      <c r="B1877" s="292"/>
      <c r="C1877" s="181"/>
      <c r="D1877" s="181"/>
      <c r="E1877" s="181"/>
      <c r="F1877" s="181"/>
      <c r="G1877" s="181"/>
      <c r="H1877" s="181"/>
      <c r="I1877" s="181"/>
      <c r="J1877" s="181"/>
      <c r="K1877" s="181"/>
      <c r="L1877" s="181"/>
      <c r="M1877" s="181"/>
      <c r="N1877" s="181"/>
      <c r="O1877" s="181"/>
      <c r="P1877" s="181"/>
    </row>
    <row r="1878">
      <c r="B1878" s="292"/>
      <c r="C1878" s="181"/>
      <c r="D1878" s="181"/>
      <c r="E1878" s="181"/>
      <c r="F1878" s="181"/>
      <c r="G1878" s="181"/>
      <c r="H1878" s="181"/>
      <c r="I1878" s="181"/>
      <c r="J1878" s="181"/>
      <c r="K1878" s="181"/>
      <c r="L1878" s="181"/>
      <c r="M1878" s="181"/>
      <c r="N1878" s="181"/>
      <c r="O1878" s="181"/>
      <c r="P1878" s="181"/>
    </row>
    <row r="1879">
      <c r="B1879" s="292"/>
      <c r="C1879" s="181"/>
      <c r="D1879" s="181"/>
      <c r="E1879" s="181"/>
      <c r="F1879" s="181"/>
      <c r="G1879" s="181"/>
      <c r="H1879" s="181"/>
      <c r="I1879" s="181"/>
      <c r="J1879" s="181"/>
      <c r="K1879" s="181"/>
      <c r="L1879" s="181"/>
      <c r="M1879" s="181"/>
      <c r="N1879" s="181"/>
      <c r="O1879" s="181"/>
      <c r="P1879" s="181"/>
    </row>
    <row r="1880">
      <c r="B1880" s="292"/>
      <c r="C1880" s="181"/>
      <c r="D1880" s="181"/>
      <c r="E1880" s="181"/>
      <c r="F1880" s="181"/>
      <c r="G1880" s="181"/>
      <c r="H1880" s="181"/>
      <c r="I1880" s="181"/>
      <c r="J1880" s="181"/>
      <c r="K1880" s="181"/>
      <c r="L1880" s="181"/>
      <c r="M1880" s="181"/>
      <c r="N1880" s="181"/>
      <c r="O1880" s="181"/>
      <c r="P1880" s="181"/>
    </row>
    <row r="1881">
      <c r="B1881" s="292"/>
      <c r="C1881" s="181"/>
      <c r="D1881" s="181"/>
      <c r="E1881" s="181"/>
      <c r="F1881" s="181"/>
      <c r="G1881" s="181"/>
      <c r="H1881" s="181"/>
      <c r="I1881" s="181"/>
      <c r="J1881" s="181"/>
      <c r="K1881" s="181"/>
      <c r="L1881" s="181"/>
      <c r="M1881" s="181"/>
      <c r="N1881" s="181"/>
      <c r="O1881" s="181"/>
      <c r="P1881" s="181"/>
    </row>
    <row r="1882">
      <c r="B1882" s="292"/>
      <c r="C1882" s="181"/>
      <c r="D1882" s="181"/>
      <c r="E1882" s="181"/>
      <c r="F1882" s="181"/>
      <c r="G1882" s="181"/>
      <c r="H1882" s="181"/>
      <c r="I1882" s="181"/>
      <c r="J1882" s="181"/>
      <c r="K1882" s="181"/>
      <c r="L1882" s="181"/>
      <c r="M1882" s="181"/>
      <c r="N1882" s="181"/>
      <c r="O1882" s="181"/>
      <c r="P1882" s="181"/>
    </row>
    <row r="1883">
      <c r="B1883" s="292"/>
      <c r="C1883" s="181"/>
      <c r="D1883" s="181"/>
      <c r="E1883" s="181"/>
      <c r="F1883" s="181"/>
      <c r="G1883" s="181"/>
      <c r="H1883" s="181"/>
      <c r="I1883" s="181"/>
      <c r="J1883" s="181"/>
      <c r="K1883" s="181"/>
      <c r="L1883" s="181"/>
      <c r="M1883" s="181"/>
      <c r="N1883" s="181"/>
      <c r="O1883" s="181"/>
      <c r="P1883" s="181"/>
    </row>
    <row r="1884">
      <c r="B1884" s="292"/>
      <c r="C1884" s="181"/>
      <c r="D1884" s="181"/>
      <c r="E1884" s="181"/>
      <c r="F1884" s="181"/>
      <c r="G1884" s="181"/>
      <c r="H1884" s="181"/>
      <c r="I1884" s="181"/>
      <c r="J1884" s="181"/>
      <c r="K1884" s="181"/>
      <c r="L1884" s="181"/>
      <c r="M1884" s="181"/>
      <c r="N1884" s="181"/>
      <c r="O1884" s="181"/>
      <c r="P1884" s="181"/>
    </row>
    <row r="1885">
      <c r="B1885" s="292"/>
      <c r="C1885" s="181"/>
      <c r="D1885" s="181"/>
      <c r="E1885" s="181"/>
      <c r="F1885" s="181"/>
      <c r="G1885" s="181"/>
      <c r="H1885" s="181"/>
      <c r="I1885" s="181"/>
      <c r="J1885" s="181"/>
      <c r="K1885" s="181"/>
      <c r="L1885" s="181"/>
      <c r="M1885" s="181"/>
      <c r="N1885" s="181"/>
      <c r="O1885" s="181"/>
      <c r="P1885" s="181"/>
    </row>
    <row r="1886">
      <c r="B1886" s="292"/>
      <c r="C1886" s="181"/>
      <c r="D1886" s="181"/>
      <c r="E1886" s="181"/>
      <c r="F1886" s="181"/>
      <c r="G1886" s="181"/>
      <c r="H1886" s="181"/>
      <c r="I1886" s="181"/>
      <c r="J1886" s="181"/>
      <c r="K1886" s="181"/>
      <c r="L1886" s="181"/>
      <c r="M1886" s="181"/>
      <c r="N1886" s="181"/>
      <c r="O1886" s="181"/>
      <c r="P1886" s="181"/>
    </row>
    <row r="1887">
      <c r="B1887" s="292"/>
      <c r="C1887" s="181"/>
      <c r="D1887" s="181"/>
      <c r="E1887" s="181"/>
      <c r="F1887" s="181"/>
      <c r="G1887" s="181"/>
      <c r="H1887" s="181"/>
      <c r="I1887" s="181"/>
      <c r="J1887" s="181"/>
      <c r="K1887" s="181"/>
      <c r="L1887" s="181"/>
      <c r="M1887" s="181"/>
      <c r="N1887" s="181"/>
      <c r="O1887" s="181"/>
      <c r="P1887" s="181"/>
    </row>
    <row r="1888">
      <c r="B1888" s="292"/>
      <c r="C1888" s="181"/>
      <c r="D1888" s="181"/>
      <c r="E1888" s="181"/>
      <c r="F1888" s="181"/>
      <c r="G1888" s="181"/>
      <c r="H1888" s="181"/>
      <c r="I1888" s="181"/>
      <c r="J1888" s="181"/>
      <c r="K1888" s="181"/>
      <c r="L1888" s="181"/>
      <c r="M1888" s="181"/>
      <c r="N1888" s="181"/>
      <c r="O1888" s="181"/>
      <c r="P1888" s="181"/>
    </row>
    <row r="1889">
      <c r="B1889" s="292"/>
      <c r="C1889" s="181"/>
      <c r="D1889" s="181"/>
      <c r="E1889" s="181"/>
      <c r="F1889" s="181"/>
      <c r="G1889" s="181"/>
      <c r="H1889" s="181"/>
      <c r="I1889" s="181"/>
      <c r="J1889" s="181"/>
      <c r="K1889" s="181"/>
      <c r="L1889" s="181"/>
      <c r="M1889" s="181"/>
      <c r="N1889" s="181"/>
      <c r="O1889" s="181"/>
      <c r="P1889" s="181"/>
    </row>
    <row r="1890">
      <c r="B1890" s="292"/>
      <c r="C1890" s="181"/>
      <c r="D1890" s="181"/>
      <c r="E1890" s="181"/>
      <c r="F1890" s="181"/>
      <c r="G1890" s="181"/>
      <c r="H1890" s="181"/>
      <c r="I1890" s="181"/>
      <c r="J1890" s="181"/>
      <c r="K1890" s="181"/>
      <c r="L1890" s="181"/>
      <c r="M1890" s="181"/>
      <c r="N1890" s="181"/>
      <c r="O1890" s="181"/>
      <c r="P1890" s="181"/>
    </row>
    <row r="1891">
      <c r="B1891" s="292"/>
      <c r="C1891" s="181"/>
      <c r="D1891" s="181"/>
      <c r="E1891" s="181"/>
      <c r="F1891" s="181"/>
      <c r="G1891" s="181"/>
      <c r="H1891" s="181"/>
      <c r="I1891" s="181"/>
      <c r="J1891" s="181"/>
      <c r="K1891" s="181"/>
      <c r="L1891" s="181"/>
      <c r="M1891" s="181"/>
      <c r="N1891" s="181"/>
      <c r="O1891" s="181"/>
      <c r="P1891" s="181"/>
    </row>
    <row r="1892">
      <c r="B1892" s="292"/>
      <c r="C1892" s="181"/>
      <c r="D1892" s="181"/>
      <c r="E1892" s="181"/>
      <c r="F1892" s="181"/>
      <c r="G1892" s="181"/>
      <c r="H1892" s="181"/>
      <c r="I1892" s="181"/>
      <c r="J1892" s="181"/>
      <c r="K1892" s="181"/>
      <c r="L1892" s="181"/>
      <c r="M1892" s="181"/>
      <c r="N1892" s="181"/>
      <c r="O1892" s="181"/>
      <c r="P1892" s="181"/>
    </row>
    <row r="1893">
      <c r="B1893" s="292"/>
      <c r="C1893" s="181"/>
      <c r="D1893" s="181"/>
      <c r="E1893" s="181"/>
      <c r="F1893" s="181"/>
      <c r="G1893" s="181"/>
      <c r="H1893" s="181"/>
      <c r="I1893" s="181"/>
      <c r="J1893" s="181"/>
      <c r="K1893" s="181"/>
      <c r="L1893" s="181"/>
      <c r="M1893" s="181"/>
      <c r="N1893" s="181"/>
      <c r="O1893" s="181"/>
      <c r="P1893" s="181"/>
    </row>
    <row r="1894">
      <c r="B1894" s="292"/>
      <c r="C1894" s="181"/>
      <c r="D1894" s="181"/>
      <c r="E1894" s="181"/>
      <c r="F1894" s="181"/>
      <c r="G1894" s="181"/>
      <c r="H1894" s="181"/>
      <c r="I1894" s="181"/>
      <c r="J1894" s="181"/>
      <c r="K1894" s="181"/>
      <c r="L1894" s="181"/>
      <c r="M1894" s="181"/>
      <c r="N1894" s="181"/>
      <c r="O1894" s="181"/>
      <c r="P1894" s="181"/>
    </row>
    <row r="1895">
      <c r="B1895" s="292"/>
      <c r="C1895" s="181"/>
      <c r="D1895" s="181"/>
      <c r="E1895" s="181"/>
      <c r="F1895" s="181"/>
      <c r="G1895" s="181"/>
      <c r="H1895" s="181"/>
      <c r="I1895" s="181"/>
      <c r="J1895" s="181"/>
      <c r="K1895" s="181"/>
      <c r="L1895" s="181"/>
      <c r="M1895" s="181"/>
      <c r="N1895" s="181"/>
      <c r="O1895" s="181"/>
      <c r="P1895" s="181"/>
    </row>
    <row r="1896">
      <c r="B1896" s="292"/>
      <c r="C1896" s="181"/>
      <c r="D1896" s="181"/>
      <c r="E1896" s="181"/>
      <c r="F1896" s="181"/>
      <c r="G1896" s="181"/>
      <c r="H1896" s="181"/>
      <c r="I1896" s="181"/>
      <c r="J1896" s="181"/>
      <c r="K1896" s="181"/>
      <c r="L1896" s="181"/>
      <c r="M1896" s="181"/>
      <c r="N1896" s="181"/>
      <c r="O1896" s="181"/>
      <c r="P1896" s="181"/>
    </row>
    <row r="1897">
      <c r="B1897" s="292"/>
      <c r="C1897" s="181"/>
      <c r="D1897" s="181"/>
      <c r="E1897" s="181"/>
      <c r="F1897" s="181"/>
      <c r="G1897" s="181"/>
      <c r="H1897" s="181"/>
      <c r="I1897" s="181"/>
      <c r="J1897" s="181"/>
      <c r="K1897" s="181"/>
      <c r="L1897" s="181"/>
      <c r="M1897" s="181"/>
      <c r="N1897" s="181"/>
      <c r="O1897" s="181"/>
      <c r="P1897" s="181"/>
    </row>
    <row r="1898">
      <c r="B1898" s="292"/>
      <c r="C1898" s="181"/>
      <c r="D1898" s="181"/>
      <c r="E1898" s="181"/>
      <c r="F1898" s="181"/>
      <c r="G1898" s="181"/>
      <c r="H1898" s="181"/>
      <c r="I1898" s="181"/>
      <c r="J1898" s="181"/>
      <c r="K1898" s="181"/>
      <c r="L1898" s="181"/>
      <c r="M1898" s="181"/>
      <c r="N1898" s="181"/>
      <c r="O1898" s="181"/>
      <c r="P1898" s="181"/>
    </row>
    <row r="1899">
      <c r="B1899" s="292"/>
      <c r="C1899" s="181"/>
      <c r="D1899" s="181"/>
      <c r="E1899" s="181"/>
      <c r="F1899" s="181"/>
      <c r="G1899" s="181"/>
      <c r="H1899" s="181"/>
      <c r="I1899" s="181"/>
      <c r="J1899" s="181"/>
      <c r="K1899" s="181"/>
      <c r="L1899" s="181"/>
      <c r="M1899" s="181"/>
      <c r="N1899" s="181"/>
      <c r="O1899" s="181"/>
      <c r="P1899" s="181"/>
    </row>
    <row r="1900">
      <c r="B1900" s="292"/>
      <c r="C1900" s="181"/>
      <c r="D1900" s="181"/>
      <c r="E1900" s="181"/>
      <c r="F1900" s="181"/>
      <c r="G1900" s="181"/>
      <c r="H1900" s="181"/>
      <c r="I1900" s="181"/>
      <c r="J1900" s="181"/>
      <c r="K1900" s="181"/>
      <c r="L1900" s="181"/>
      <c r="M1900" s="181"/>
      <c r="N1900" s="181"/>
      <c r="O1900" s="181"/>
      <c r="P1900" s="181"/>
    </row>
    <row r="1901">
      <c r="B1901" s="292"/>
      <c r="C1901" s="181"/>
      <c r="D1901" s="181"/>
      <c r="E1901" s="181"/>
      <c r="F1901" s="181"/>
      <c r="G1901" s="181"/>
      <c r="H1901" s="181"/>
      <c r="I1901" s="181"/>
      <c r="J1901" s="181"/>
      <c r="K1901" s="181"/>
      <c r="L1901" s="181"/>
      <c r="M1901" s="181"/>
      <c r="N1901" s="181"/>
      <c r="O1901" s="181"/>
      <c r="P1901" s="181"/>
    </row>
    <row r="1902">
      <c r="B1902" s="292"/>
      <c r="C1902" s="181"/>
      <c r="D1902" s="181"/>
      <c r="E1902" s="181"/>
      <c r="F1902" s="181"/>
      <c r="G1902" s="181"/>
      <c r="H1902" s="181"/>
      <c r="I1902" s="181"/>
      <c r="J1902" s="181"/>
      <c r="K1902" s="181"/>
      <c r="L1902" s="181"/>
      <c r="M1902" s="181"/>
      <c r="N1902" s="181"/>
      <c r="O1902" s="181"/>
      <c r="P1902" s="181"/>
    </row>
    <row r="1903">
      <c r="B1903" s="292"/>
      <c r="C1903" s="181"/>
      <c r="D1903" s="181"/>
      <c r="E1903" s="181"/>
      <c r="F1903" s="181"/>
      <c r="G1903" s="181"/>
      <c r="H1903" s="181"/>
      <c r="I1903" s="181"/>
      <c r="J1903" s="181"/>
      <c r="K1903" s="181"/>
      <c r="L1903" s="181"/>
      <c r="M1903" s="181"/>
      <c r="N1903" s="181"/>
      <c r="O1903" s="181"/>
      <c r="P1903" s="181"/>
    </row>
    <row r="1904">
      <c r="B1904" s="292"/>
      <c r="C1904" s="181"/>
      <c r="D1904" s="181"/>
      <c r="E1904" s="181"/>
      <c r="F1904" s="181"/>
      <c r="G1904" s="181"/>
      <c r="H1904" s="181"/>
      <c r="I1904" s="181"/>
      <c r="J1904" s="181"/>
      <c r="K1904" s="181"/>
      <c r="L1904" s="181"/>
      <c r="M1904" s="181"/>
      <c r="N1904" s="181"/>
      <c r="O1904" s="181"/>
      <c r="P1904" s="181"/>
    </row>
    <row r="1905">
      <c r="B1905" s="292"/>
      <c r="C1905" s="181"/>
      <c r="D1905" s="181"/>
      <c r="E1905" s="181"/>
      <c r="F1905" s="181"/>
      <c r="G1905" s="181"/>
      <c r="H1905" s="181"/>
      <c r="I1905" s="181"/>
      <c r="J1905" s="181"/>
      <c r="K1905" s="181"/>
      <c r="L1905" s="181"/>
      <c r="M1905" s="181"/>
      <c r="N1905" s="181"/>
      <c r="O1905" s="181"/>
      <c r="P1905" s="181"/>
    </row>
    <row r="1906">
      <c r="B1906" s="292"/>
      <c r="C1906" s="181"/>
      <c r="D1906" s="181"/>
      <c r="E1906" s="181"/>
      <c r="F1906" s="181"/>
      <c r="G1906" s="181"/>
      <c r="H1906" s="181"/>
      <c r="I1906" s="181"/>
      <c r="J1906" s="181"/>
      <c r="K1906" s="181"/>
      <c r="L1906" s="181"/>
      <c r="M1906" s="181"/>
      <c r="N1906" s="181"/>
      <c r="O1906" s="181"/>
      <c r="P1906" s="181"/>
    </row>
    <row r="1907">
      <c r="B1907" s="292"/>
      <c r="C1907" s="181"/>
      <c r="D1907" s="181"/>
      <c r="E1907" s="181"/>
      <c r="F1907" s="181"/>
      <c r="G1907" s="181"/>
      <c r="H1907" s="181"/>
      <c r="I1907" s="181"/>
      <c r="J1907" s="181"/>
      <c r="K1907" s="181"/>
      <c r="L1907" s="181"/>
      <c r="M1907" s="181"/>
      <c r="N1907" s="181"/>
      <c r="O1907" s="181"/>
      <c r="P1907" s="181"/>
    </row>
    <row r="1908">
      <c r="B1908" s="292"/>
      <c r="C1908" s="181"/>
      <c r="D1908" s="181"/>
      <c r="E1908" s="181"/>
      <c r="F1908" s="181"/>
      <c r="G1908" s="181"/>
      <c r="H1908" s="181"/>
      <c r="I1908" s="181"/>
      <c r="J1908" s="181"/>
      <c r="K1908" s="181"/>
      <c r="L1908" s="181"/>
      <c r="M1908" s="181"/>
      <c r="N1908" s="181"/>
      <c r="O1908" s="181"/>
      <c r="P1908" s="181"/>
    </row>
    <row r="1909">
      <c r="B1909" s="292"/>
      <c r="C1909" s="181"/>
      <c r="D1909" s="181"/>
      <c r="E1909" s="181"/>
      <c r="F1909" s="181"/>
      <c r="G1909" s="181"/>
      <c r="H1909" s="181"/>
      <c r="I1909" s="181"/>
      <c r="J1909" s="181"/>
      <c r="K1909" s="181"/>
      <c r="L1909" s="181"/>
      <c r="M1909" s="181"/>
      <c r="N1909" s="181"/>
      <c r="O1909" s="181"/>
      <c r="P1909" s="181"/>
    </row>
    <row r="1910">
      <c r="B1910" s="292"/>
      <c r="C1910" s="181"/>
      <c r="D1910" s="181"/>
      <c r="E1910" s="181"/>
      <c r="F1910" s="181"/>
      <c r="G1910" s="181"/>
      <c r="H1910" s="181"/>
      <c r="I1910" s="181"/>
      <c r="J1910" s="181"/>
      <c r="K1910" s="181"/>
      <c r="L1910" s="181"/>
      <c r="M1910" s="181"/>
      <c r="N1910" s="181"/>
      <c r="O1910" s="181"/>
      <c r="P1910" s="181"/>
    </row>
    <row r="1911">
      <c r="B1911" s="292"/>
      <c r="C1911" s="181"/>
      <c r="D1911" s="181"/>
      <c r="E1911" s="181"/>
      <c r="F1911" s="181"/>
      <c r="G1911" s="181"/>
      <c r="H1911" s="181"/>
      <c r="I1911" s="181"/>
      <c r="J1911" s="181"/>
      <c r="K1911" s="181"/>
      <c r="L1911" s="181"/>
      <c r="M1911" s="181"/>
      <c r="N1911" s="181"/>
      <c r="O1911" s="181"/>
      <c r="P1911" s="181"/>
    </row>
    <row r="1912">
      <c r="B1912" s="292"/>
      <c r="C1912" s="181"/>
      <c r="D1912" s="181"/>
      <c r="E1912" s="181"/>
      <c r="F1912" s="181"/>
      <c r="G1912" s="181"/>
      <c r="H1912" s="181"/>
      <c r="I1912" s="181"/>
      <c r="J1912" s="181"/>
      <c r="K1912" s="181"/>
      <c r="L1912" s="181"/>
      <c r="M1912" s="181"/>
      <c r="N1912" s="181"/>
      <c r="O1912" s="181"/>
      <c r="P1912" s="181"/>
    </row>
    <row r="1913">
      <c r="B1913" s="292"/>
      <c r="C1913" s="181"/>
      <c r="D1913" s="181"/>
      <c r="E1913" s="181"/>
      <c r="F1913" s="181"/>
      <c r="G1913" s="181"/>
      <c r="H1913" s="181"/>
      <c r="I1913" s="181"/>
      <c r="J1913" s="181"/>
      <c r="K1913" s="181"/>
      <c r="L1913" s="181"/>
      <c r="M1913" s="181"/>
      <c r="N1913" s="181"/>
      <c r="O1913" s="181"/>
      <c r="P1913" s="181"/>
    </row>
    <row r="1914">
      <c r="B1914" s="292"/>
      <c r="C1914" s="181"/>
      <c r="D1914" s="181"/>
      <c r="E1914" s="181"/>
      <c r="F1914" s="181"/>
      <c r="G1914" s="181"/>
      <c r="H1914" s="181"/>
      <c r="I1914" s="181"/>
      <c r="J1914" s="181"/>
      <c r="K1914" s="181"/>
      <c r="L1914" s="181"/>
      <c r="M1914" s="181"/>
      <c r="N1914" s="181"/>
      <c r="O1914" s="181"/>
      <c r="P1914" s="181"/>
    </row>
    <row r="1915">
      <c r="B1915" s="292"/>
      <c r="C1915" s="181"/>
      <c r="D1915" s="181"/>
      <c r="E1915" s="181"/>
      <c r="F1915" s="181"/>
      <c r="G1915" s="181"/>
      <c r="H1915" s="181"/>
      <c r="I1915" s="181"/>
      <c r="J1915" s="181"/>
      <c r="K1915" s="181"/>
      <c r="L1915" s="181"/>
      <c r="M1915" s="181"/>
      <c r="N1915" s="181"/>
      <c r="O1915" s="181"/>
      <c r="P1915" s="181"/>
    </row>
    <row r="1916">
      <c r="B1916" s="292"/>
      <c r="C1916" s="181"/>
      <c r="D1916" s="181"/>
      <c r="E1916" s="181"/>
      <c r="F1916" s="181"/>
      <c r="G1916" s="181"/>
      <c r="H1916" s="181"/>
      <c r="I1916" s="181"/>
      <c r="J1916" s="181"/>
      <c r="K1916" s="181"/>
      <c r="L1916" s="181"/>
      <c r="M1916" s="181"/>
      <c r="N1916" s="181"/>
      <c r="O1916" s="181"/>
      <c r="P1916" s="181"/>
    </row>
    <row r="1917">
      <c r="B1917" s="292"/>
      <c r="C1917" s="181"/>
      <c r="D1917" s="181"/>
      <c r="E1917" s="181"/>
      <c r="F1917" s="181"/>
      <c r="G1917" s="181"/>
      <c r="H1917" s="181"/>
      <c r="I1917" s="181"/>
      <c r="J1917" s="181"/>
      <c r="K1917" s="181"/>
      <c r="L1917" s="181"/>
      <c r="M1917" s="181"/>
      <c r="N1917" s="181"/>
      <c r="O1917" s="181"/>
      <c r="P1917" s="181"/>
    </row>
    <row r="1918">
      <c r="B1918" s="292"/>
      <c r="C1918" s="181"/>
      <c r="D1918" s="181"/>
      <c r="E1918" s="181"/>
      <c r="F1918" s="181"/>
      <c r="G1918" s="181"/>
      <c r="H1918" s="181"/>
      <c r="I1918" s="181"/>
      <c r="J1918" s="181"/>
      <c r="K1918" s="181"/>
      <c r="L1918" s="181"/>
      <c r="M1918" s="181"/>
      <c r="N1918" s="181"/>
      <c r="O1918" s="181"/>
      <c r="P1918" s="181"/>
    </row>
    <row r="1919">
      <c r="B1919" s="292"/>
      <c r="C1919" s="181"/>
      <c r="D1919" s="181"/>
      <c r="E1919" s="181"/>
      <c r="F1919" s="181"/>
      <c r="G1919" s="181"/>
      <c r="H1919" s="181"/>
      <c r="I1919" s="181"/>
      <c r="J1919" s="181"/>
      <c r="K1919" s="181"/>
      <c r="L1919" s="181"/>
      <c r="M1919" s="181"/>
      <c r="N1919" s="181"/>
      <c r="O1919" s="181"/>
      <c r="P1919" s="181"/>
    </row>
    <row r="1920">
      <c r="B1920" s="292"/>
      <c r="C1920" s="181"/>
      <c r="D1920" s="181"/>
      <c r="E1920" s="181"/>
      <c r="F1920" s="181"/>
      <c r="G1920" s="181"/>
      <c r="H1920" s="181"/>
      <c r="I1920" s="181"/>
      <c r="J1920" s="181"/>
      <c r="K1920" s="181"/>
      <c r="L1920" s="181"/>
      <c r="M1920" s="181"/>
      <c r="N1920" s="181"/>
      <c r="O1920" s="181"/>
      <c r="P1920" s="181"/>
    </row>
    <row r="1921">
      <c r="B1921" s="292"/>
      <c r="C1921" s="181"/>
      <c r="D1921" s="181"/>
      <c r="E1921" s="181"/>
      <c r="F1921" s="181"/>
      <c r="G1921" s="181"/>
      <c r="H1921" s="181"/>
      <c r="I1921" s="181"/>
      <c r="J1921" s="181"/>
      <c r="K1921" s="181"/>
      <c r="L1921" s="181"/>
      <c r="M1921" s="181"/>
      <c r="N1921" s="181"/>
      <c r="O1921" s="181"/>
      <c r="P1921" s="181"/>
    </row>
    <row r="1922">
      <c r="B1922" s="292"/>
      <c r="C1922" s="181"/>
      <c r="D1922" s="181"/>
      <c r="E1922" s="181"/>
      <c r="F1922" s="181"/>
      <c r="G1922" s="181"/>
      <c r="H1922" s="181"/>
      <c r="I1922" s="181"/>
      <c r="J1922" s="181"/>
      <c r="K1922" s="181"/>
      <c r="L1922" s="181"/>
      <c r="M1922" s="181"/>
      <c r="N1922" s="181"/>
      <c r="O1922" s="181"/>
      <c r="P1922" s="181"/>
    </row>
    <row r="1923">
      <c r="B1923" s="292"/>
      <c r="C1923" s="181"/>
      <c r="D1923" s="181"/>
      <c r="E1923" s="181"/>
      <c r="F1923" s="181"/>
      <c r="G1923" s="181"/>
      <c r="H1923" s="181"/>
      <c r="I1923" s="181"/>
      <c r="J1923" s="181"/>
      <c r="K1923" s="181"/>
      <c r="L1923" s="181"/>
      <c r="M1923" s="181"/>
      <c r="N1923" s="181"/>
      <c r="O1923" s="181"/>
      <c r="P1923" s="181"/>
    </row>
    <row r="1924">
      <c r="B1924" s="292"/>
      <c r="C1924" s="181"/>
      <c r="D1924" s="181"/>
      <c r="E1924" s="181"/>
      <c r="F1924" s="181"/>
      <c r="G1924" s="181"/>
      <c r="H1924" s="181"/>
      <c r="I1924" s="181"/>
      <c r="J1924" s="181"/>
      <c r="K1924" s="181"/>
      <c r="L1924" s="181"/>
      <c r="M1924" s="181"/>
      <c r="N1924" s="181"/>
      <c r="O1924" s="181"/>
      <c r="P1924" s="181"/>
    </row>
    <row r="1925">
      <c r="B1925" s="292"/>
      <c r="C1925" s="181"/>
      <c r="D1925" s="181"/>
      <c r="E1925" s="181"/>
      <c r="F1925" s="181"/>
      <c r="G1925" s="181"/>
      <c r="H1925" s="181"/>
      <c r="I1925" s="181"/>
      <c r="J1925" s="181"/>
      <c r="K1925" s="181"/>
      <c r="L1925" s="181"/>
      <c r="M1925" s="181"/>
      <c r="N1925" s="181"/>
      <c r="O1925" s="181"/>
      <c r="P1925" s="181"/>
    </row>
    <row r="1926">
      <c r="B1926" s="292"/>
      <c r="C1926" s="181"/>
      <c r="D1926" s="181"/>
      <c r="E1926" s="181"/>
      <c r="F1926" s="181"/>
      <c r="G1926" s="181"/>
      <c r="H1926" s="181"/>
      <c r="I1926" s="181"/>
      <c r="J1926" s="181"/>
      <c r="K1926" s="181"/>
      <c r="L1926" s="181"/>
      <c r="M1926" s="181"/>
      <c r="N1926" s="181"/>
      <c r="O1926" s="181"/>
      <c r="P1926" s="181"/>
    </row>
    <row r="1927">
      <c r="B1927" s="292"/>
      <c r="C1927" s="181"/>
      <c r="D1927" s="181"/>
      <c r="E1927" s="181"/>
      <c r="F1927" s="181"/>
      <c r="G1927" s="181"/>
      <c r="H1927" s="181"/>
      <c r="I1927" s="181"/>
      <c r="J1927" s="181"/>
      <c r="K1927" s="181"/>
      <c r="L1927" s="181"/>
      <c r="M1927" s="181"/>
      <c r="N1927" s="181"/>
      <c r="O1927" s="181"/>
      <c r="P1927" s="181"/>
    </row>
    <row r="1928">
      <c r="B1928" s="292"/>
      <c r="C1928" s="181"/>
      <c r="D1928" s="181"/>
      <c r="E1928" s="181"/>
      <c r="F1928" s="181"/>
      <c r="G1928" s="181"/>
      <c r="H1928" s="181"/>
      <c r="I1928" s="181"/>
      <c r="J1928" s="181"/>
      <c r="K1928" s="181"/>
      <c r="L1928" s="181"/>
      <c r="M1928" s="181"/>
      <c r="N1928" s="181"/>
      <c r="O1928" s="181"/>
      <c r="P1928" s="181"/>
    </row>
    <row r="1929">
      <c r="B1929" s="292"/>
      <c r="C1929" s="181"/>
      <c r="D1929" s="181"/>
      <c r="E1929" s="181"/>
      <c r="F1929" s="181"/>
      <c r="G1929" s="181"/>
      <c r="H1929" s="181"/>
      <c r="I1929" s="181"/>
      <c r="J1929" s="181"/>
      <c r="K1929" s="181"/>
      <c r="L1929" s="181"/>
      <c r="M1929" s="181"/>
      <c r="N1929" s="181"/>
      <c r="O1929" s="181"/>
      <c r="P1929" s="181"/>
    </row>
    <row r="1930">
      <c r="B1930" s="292"/>
      <c r="C1930" s="181"/>
      <c r="D1930" s="181"/>
      <c r="E1930" s="181"/>
      <c r="F1930" s="181"/>
      <c r="G1930" s="181"/>
      <c r="H1930" s="181"/>
      <c r="I1930" s="181"/>
      <c r="J1930" s="181"/>
      <c r="K1930" s="181"/>
      <c r="L1930" s="181"/>
      <c r="M1930" s="181"/>
      <c r="N1930" s="181"/>
      <c r="O1930" s="181"/>
      <c r="P1930" s="181"/>
    </row>
    <row r="1931">
      <c r="B1931" s="292"/>
      <c r="C1931" s="181"/>
      <c r="D1931" s="181"/>
      <c r="E1931" s="181"/>
      <c r="F1931" s="181"/>
      <c r="G1931" s="181"/>
      <c r="H1931" s="181"/>
      <c r="I1931" s="181"/>
      <c r="J1931" s="181"/>
      <c r="K1931" s="181"/>
      <c r="L1931" s="181"/>
      <c r="M1931" s="181"/>
      <c r="N1931" s="181"/>
      <c r="O1931" s="181"/>
      <c r="P1931" s="181"/>
    </row>
    <row r="1932">
      <c r="B1932" s="292"/>
      <c r="C1932" s="181"/>
      <c r="D1932" s="181"/>
      <c r="E1932" s="181"/>
      <c r="F1932" s="181"/>
      <c r="G1932" s="181"/>
      <c r="H1932" s="181"/>
      <c r="I1932" s="181"/>
      <c r="J1932" s="181"/>
      <c r="K1932" s="181"/>
      <c r="L1932" s="181"/>
      <c r="M1932" s="181"/>
      <c r="N1932" s="181"/>
      <c r="O1932" s="181"/>
      <c r="P1932" s="181"/>
    </row>
    <row r="1933">
      <c r="B1933" s="292"/>
      <c r="C1933" s="181"/>
      <c r="D1933" s="181"/>
      <c r="E1933" s="181"/>
      <c r="F1933" s="181"/>
      <c r="G1933" s="181"/>
      <c r="H1933" s="181"/>
      <c r="I1933" s="181"/>
      <c r="J1933" s="181"/>
      <c r="K1933" s="181"/>
      <c r="L1933" s="181"/>
      <c r="M1933" s="181"/>
      <c r="N1933" s="181"/>
      <c r="O1933" s="181"/>
      <c r="P1933" s="181"/>
    </row>
    <row r="1934">
      <c r="B1934" s="292"/>
      <c r="C1934" s="181"/>
      <c r="D1934" s="181"/>
      <c r="E1934" s="181"/>
      <c r="F1934" s="181"/>
      <c r="G1934" s="181"/>
      <c r="H1934" s="181"/>
      <c r="I1934" s="181"/>
      <c r="J1934" s="181"/>
      <c r="K1934" s="181"/>
      <c r="L1934" s="181"/>
      <c r="M1934" s="181"/>
      <c r="N1934" s="181"/>
      <c r="O1934" s="181"/>
      <c r="P1934" s="181"/>
    </row>
    <row r="1935">
      <c r="B1935" s="292"/>
      <c r="C1935" s="181"/>
      <c r="D1935" s="181"/>
      <c r="E1935" s="181"/>
      <c r="F1935" s="181"/>
      <c r="G1935" s="181"/>
      <c r="H1935" s="181"/>
      <c r="I1935" s="181"/>
      <c r="J1935" s="181"/>
      <c r="K1935" s="181"/>
      <c r="L1935" s="181"/>
      <c r="M1935" s="181"/>
      <c r="N1935" s="181"/>
      <c r="O1935" s="181"/>
      <c r="P1935" s="181"/>
    </row>
    <row r="1936">
      <c r="B1936" s="292"/>
      <c r="C1936" s="181"/>
      <c r="D1936" s="181"/>
      <c r="E1936" s="181"/>
      <c r="F1936" s="181"/>
      <c r="G1936" s="181"/>
      <c r="H1936" s="181"/>
      <c r="I1936" s="181"/>
      <c r="J1936" s="181"/>
      <c r="K1936" s="181"/>
      <c r="L1936" s="181"/>
      <c r="M1936" s="181"/>
      <c r="N1936" s="181"/>
      <c r="O1936" s="181"/>
      <c r="P1936" s="181"/>
    </row>
    <row r="1937">
      <c r="B1937" s="292"/>
      <c r="C1937" s="181"/>
      <c r="D1937" s="181"/>
      <c r="E1937" s="181"/>
      <c r="F1937" s="181"/>
      <c r="G1937" s="181"/>
      <c r="H1937" s="181"/>
      <c r="I1937" s="181"/>
      <c r="J1937" s="181"/>
      <c r="K1937" s="181"/>
      <c r="L1937" s="181"/>
      <c r="M1937" s="181"/>
      <c r="N1937" s="181"/>
      <c r="O1937" s="181"/>
      <c r="P1937" s="181"/>
    </row>
    <row r="1938">
      <c r="B1938" s="292"/>
      <c r="C1938" s="181"/>
      <c r="D1938" s="181"/>
      <c r="E1938" s="181"/>
      <c r="F1938" s="181"/>
      <c r="G1938" s="181"/>
      <c r="H1938" s="181"/>
      <c r="I1938" s="181"/>
      <c r="J1938" s="181"/>
      <c r="K1938" s="181"/>
      <c r="L1938" s="181"/>
      <c r="M1938" s="181"/>
      <c r="N1938" s="181"/>
      <c r="O1938" s="181"/>
      <c r="P1938" s="181"/>
    </row>
    <row r="1939">
      <c r="B1939" s="292"/>
      <c r="C1939" s="181"/>
      <c r="D1939" s="181"/>
      <c r="E1939" s="181"/>
      <c r="F1939" s="181"/>
      <c r="G1939" s="181"/>
      <c r="H1939" s="181"/>
      <c r="I1939" s="181"/>
      <c r="J1939" s="181"/>
      <c r="K1939" s="181"/>
      <c r="L1939" s="181"/>
      <c r="M1939" s="181"/>
      <c r="N1939" s="181"/>
      <c r="O1939" s="181"/>
      <c r="P1939" s="181"/>
    </row>
    <row r="1940">
      <c r="B1940" s="292"/>
      <c r="C1940" s="181"/>
      <c r="D1940" s="181"/>
      <c r="E1940" s="181"/>
      <c r="F1940" s="181"/>
      <c r="G1940" s="181"/>
      <c r="H1940" s="181"/>
      <c r="I1940" s="181"/>
      <c r="J1940" s="181"/>
      <c r="K1940" s="181"/>
      <c r="L1940" s="181"/>
      <c r="M1940" s="181"/>
      <c r="N1940" s="181"/>
      <c r="O1940" s="181"/>
      <c r="P1940" s="181"/>
    </row>
    <row r="1941">
      <c r="B1941" s="292"/>
      <c r="C1941" s="181"/>
      <c r="D1941" s="181"/>
      <c r="E1941" s="181"/>
      <c r="F1941" s="181"/>
      <c r="G1941" s="181"/>
      <c r="H1941" s="181"/>
      <c r="I1941" s="181"/>
      <c r="J1941" s="181"/>
      <c r="K1941" s="181"/>
      <c r="L1941" s="181"/>
      <c r="M1941" s="181"/>
      <c r="N1941" s="181"/>
      <c r="O1941" s="181"/>
      <c r="P1941" s="181"/>
    </row>
    <row r="1942">
      <c r="B1942" s="292"/>
      <c r="C1942" s="181"/>
      <c r="D1942" s="181"/>
      <c r="E1942" s="181"/>
      <c r="F1942" s="181"/>
      <c r="G1942" s="181"/>
      <c r="H1942" s="181"/>
      <c r="I1942" s="181"/>
      <c r="J1942" s="181"/>
      <c r="K1942" s="181"/>
      <c r="L1942" s="181"/>
      <c r="M1942" s="181"/>
      <c r="N1942" s="181"/>
      <c r="O1942" s="181"/>
      <c r="P1942" s="181"/>
    </row>
    <row r="1943">
      <c r="B1943" s="292"/>
      <c r="C1943" s="181"/>
      <c r="D1943" s="181"/>
      <c r="E1943" s="181"/>
      <c r="F1943" s="181"/>
      <c r="G1943" s="181"/>
      <c r="H1943" s="181"/>
      <c r="I1943" s="181"/>
      <c r="J1943" s="181"/>
      <c r="K1943" s="181"/>
      <c r="L1943" s="181"/>
      <c r="M1943" s="181"/>
      <c r="N1943" s="181"/>
      <c r="O1943" s="181"/>
      <c r="P1943" s="181"/>
    </row>
    <row r="1944">
      <c r="B1944" s="292"/>
      <c r="C1944" s="181"/>
      <c r="D1944" s="181"/>
      <c r="E1944" s="181"/>
      <c r="F1944" s="181"/>
      <c r="G1944" s="181"/>
      <c r="H1944" s="181"/>
      <c r="I1944" s="181"/>
      <c r="J1944" s="181"/>
      <c r="K1944" s="181"/>
      <c r="L1944" s="181"/>
      <c r="M1944" s="181"/>
      <c r="N1944" s="181"/>
      <c r="O1944" s="181"/>
      <c r="P1944" s="181"/>
    </row>
    <row r="1945">
      <c r="B1945" s="292"/>
      <c r="C1945" s="181"/>
      <c r="D1945" s="181"/>
      <c r="E1945" s="181"/>
      <c r="F1945" s="181"/>
      <c r="G1945" s="181"/>
      <c r="H1945" s="181"/>
      <c r="I1945" s="181"/>
      <c r="J1945" s="181"/>
      <c r="K1945" s="181"/>
      <c r="L1945" s="181"/>
      <c r="M1945" s="181"/>
      <c r="N1945" s="181"/>
      <c r="O1945" s="181"/>
      <c r="P1945" s="181"/>
    </row>
    <row r="1946">
      <c r="B1946" s="292"/>
      <c r="C1946" s="181"/>
      <c r="D1946" s="181"/>
      <c r="E1946" s="181"/>
      <c r="F1946" s="181"/>
      <c r="G1946" s="181"/>
      <c r="H1946" s="181"/>
      <c r="I1946" s="181"/>
      <c r="J1946" s="181"/>
      <c r="K1946" s="181"/>
      <c r="L1946" s="181"/>
      <c r="M1946" s="181"/>
      <c r="N1946" s="181"/>
      <c r="O1946" s="181"/>
      <c r="P1946" s="181"/>
    </row>
    <row r="1947">
      <c r="B1947" s="292"/>
      <c r="C1947" s="181"/>
      <c r="D1947" s="181"/>
      <c r="E1947" s="181"/>
      <c r="F1947" s="181"/>
      <c r="G1947" s="181"/>
      <c r="H1947" s="181"/>
      <c r="I1947" s="181"/>
      <c r="J1947" s="181"/>
      <c r="K1947" s="181"/>
      <c r="L1947" s="181"/>
      <c r="M1947" s="181"/>
      <c r="N1947" s="181"/>
      <c r="O1947" s="181"/>
      <c r="P1947" s="181"/>
    </row>
    <row r="1948">
      <c r="B1948" s="292"/>
      <c r="C1948" s="181"/>
      <c r="D1948" s="181"/>
      <c r="E1948" s="181"/>
      <c r="F1948" s="181"/>
      <c r="G1948" s="181"/>
      <c r="H1948" s="181"/>
      <c r="I1948" s="181"/>
      <c r="J1948" s="181"/>
      <c r="K1948" s="181"/>
      <c r="L1948" s="181"/>
      <c r="M1948" s="181"/>
      <c r="N1948" s="181"/>
      <c r="O1948" s="181"/>
      <c r="P1948" s="181"/>
    </row>
    <row r="1949">
      <c r="B1949" s="292"/>
      <c r="C1949" s="181"/>
      <c r="D1949" s="181"/>
      <c r="E1949" s="181"/>
      <c r="F1949" s="181"/>
      <c r="G1949" s="181"/>
      <c r="H1949" s="181"/>
      <c r="I1949" s="181"/>
      <c r="J1949" s="181"/>
      <c r="K1949" s="181"/>
      <c r="L1949" s="181"/>
      <c r="M1949" s="181"/>
      <c r="N1949" s="181"/>
      <c r="O1949" s="181"/>
      <c r="P1949" s="181"/>
    </row>
    <row r="1950">
      <c r="B1950" s="292"/>
      <c r="C1950" s="181"/>
      <c r="D1950" s="181"/>
      <c r="E1950" s="181"/>
      <c r="F1950" s="181"/>
      <c r="G1950" s="181"/>
      <c r="H1950" s="181"/>
      <c r="I1950" s="181"/>
      <c r="J1950" s="181"/>
      <c r="K1950" s="181"/>
      <c r="L1950" s="181"/>
      <c r="M1950" s="181"/>
      <c r="N1950" s="181"/>
      <c r="O1950" s="181"/>
      <c r="P1950" s="181"/>
    </row>
    <row r="1951">
      <c r="B1951" s="292"/>
      <c r="C1951" s="181"/>
      <c r="D1951" s="181"/>
      <c r="E1951" s="181"/>
      <c r="F1951" s="181"/>
      <c r="G1951" s="181"/>
      <c r="H1951" s="181"/>
      <c r="I1951" s="181"/>
      <c r="J1951" s="181"/>
      <c r="K1951" s="181"/>
      <c r="L1951" s="181"/>
      <c r="M1951" s="181"/>
      <c r="N1951" s="181"/>
      <c r="O1951" s="181"/>
      <c r="P1951" s="181"/>
    </row>
    <row r="1952">
      <c r="B1952" s="292"/>
      <c r="C1952" s="181"/>
      <c r="D1952" s="181"/>
      <c r="E1952" s="181"/>
      <c r="F1952" s="181"/>
      <c r="G1952" s="181"/>
      <c r="H1952" s="181"/>
      <c r="I1952" s="181"/>
      <c r="J1952" s="181"/>
      <c r="K1952" s="181"/>
      <c r="L1952" s="181"/>
      <c r="M1952" s="181"/>
      <c r="N1952" s="181"/>
      <c r="O1952" s="181"/>
      <c r="P1952" s="181"/>
    </row>
    <row r="1953">
      <c r="B1953" s="292"/>
      <c r="C1953" s="181"/>
      <c r="D1953" s="181"/>
      <c r="E1953" s="181"/>
      <c r="F1953" s="181"/>
      <c r="G1953" s="181"/>
      <c r="H1953" s="181"/>
      <c r="I1953" s="181"/>
      <c r="J1953" s="181"/>
      <c r="K1953" s="181"/>
      <c r="L1953" s="181"/>
      <c r="M1953" s="181"/>
      <c r="N1953" s="181"/>
      <c r="O1953" s="181"/>
      <c r="P1953" s="181"/>
    </row>
    <row r="1954">
      <c r="B1954" s="292"/>
      <c r="C1954" s="181"/>
      <c r="D1954" s="181"/>
      <c r="E1954" s="181"/>
      <c r="F1954" s="181"/>
      <c r="G1954" s="181"/>
      <c r="H1954" s="181"/>
      <c r="I1954" s="181"/>
      <c r="J1954" s="181"/>
      <c r="K1954" s="181"/>
      <c r="L1954" s="181"/>
      <c r="M1954" s="181"/>
      <c r="N1954" s="181"/>
      <c r="O1954" s="181"/>
      <c r="P1954" s="181"/>
    </row>
    <row r="1955">
      <c r="B1955" s="292"/>
      <c r="C1955" s="181"/>
      <c r="D1955" s="181"/>
      <c r="E1955" s="181"/>
      <c r="F1955" s="181"/>
      <c r="G1955" s="181"/>
      <c r="H1955" s="181"/>
      <c r="I1955" s="181"/>
      <c r="J1955" s="181"/>
      <c r="K1955" s="181"/>
      <c r="L1955" s="181"/>
      <c r="M1955" s="181"/>
      <c r="N1955" s="181"/>
      <c r="O1955" s="181"/>
      <c r="P1955" s="181"/>
    </row>
    <row r="1956">
      <c r="B1956" s="292"/>
      <c r="C1956" s="181"/>
      <c r="D1956" s="181"/>
      <c r="E1956" s="181"/>
      <c r="F1956" s="181"/>
      <c r="G1956" s="181"/>
      <c r="H1956" s="181"/>
      <c r="I1956" s="181"/>
      <c r="J1956" s="181"/>
      <c r="K1956" s="181"/>
      <c r="L1956" s="181"/>
      <c r="M1956" s="181"/>
      <c r="N1956" s="181"/>
      <c r="O1956" s="181"/>
      <c r="P1956" s="181"/>
    </row>
    <row r="1957">
      <c r="B1957" s="292"/>
      <c r="C1957" s="181"/>
      <c r="D1957" s="181"/>
      <c r="E1957" s="181"/>
      <c r="F1957" s="181"/>
      <c r="G1957" s="181"/>
      <c r="H1957" s="181"/>
      <c r="I1957" s="181"/>
      <c r="J1957" s="181"/>
      <c r="K1957" s="181"/>
      <c r="L1957" s="181"/>
      <c r="M1957" s="181"/>
      <c r="N1957" s="181"/>
      <c r="O1957" s="181"/>
      <c r="P1957" s="181"/>
    </row>
    <row r="1958">
      <c r="B1958" s="292"/>
      <c r="C1958" s="181"/>
      <c r="D1958" s="181"/>
      <c r="E1958" s="181"/>
      <c r="F1958" s="181"/>
      <c r="G1958" s="181"/>
      <c r="H1958" s="181"/>
      <c r="I1958" s="181"/>
      <c r="J1958" s="181"/>
      <c r="K1958" s="181"/>
      <c r="L1958" s="181"/>
      <c r="M1958" s="181"/>
      <c r="N1958" s="181"/>
      <c r="O1958" s="181"/>
      <c r="P1958" s="181"/>
    </row>
    <row r="1959">
      <c r="B1959" s="292"/>
      <c r="C1959" s="181"/>
      <c r="D1959" s="181"/>
      <c r="E1959" s="181"/>
      <c r="F1959" s="181"/>
      <c r="G1959" s="181"/>
      <c r="H1959" s="181"/>
      <c r="I1959" s="181"/>
      <c r="J1959" s="181"/>
      <c r="K1959" s="181"/>
      <c r="L1959" s="181"/>
      <c r="M1959" s="181"/>
      <c r="N1959" s="181"/>
      <c r="O1959" s="181"/>
      <c r="P1959" s="181"/>
    </row>
    <row r="1960">
      <c r="B1960" s="292"/>
      <c r="C1960" s="181"/>
      <c r="D1960" s="181"/>
      <c r="E1960" s="181"/>
      <c r="F1960" s="181"/>
      <c r="G1960" s="181"/>
      <c r="H1960" s="181"/>
      <c r="I1960" s="181"/>
      <c r="J1960" s="181"/>
      <c r="K1960" s="181"/>
      <c r="L1960" s="181"/>
      <c r="M1960" s="181"/>
      <c r="N1960" s="181"/>
      <c r="O1960" s="181"/>
      <c r="P1960" s="181"/>
    </row>
    <row r="1961">
      <c r="B1961" s="292"/>
      <c r="C1961" s="181"/>
      <c r="D1961" s="181"/>
      <c r="E1961" s="181"/>
      <c r="F1961" s="181"/>
      <c r="G1961" s="181"/>
      <c r="H1961" s="181"/>
      <c r="I1961" s="181"/>
      <c r="J1961" s="181"/>
      <c r="K1961" s="181"/>
      <c r="L1961" s="181"/>
      <c r="M1961" s="181"/>
      <c r="N1961" s="181"/>
      <c r="O1961" s="181"/>
      <c r="P1961" s="181"/>
    </row>
    <row r="1962">
      <c r="B1962" s="292"/>
      <c r="C1962" s="181"/>
      <c r="D1962" s="181"/>
      <c r="E1962" s="181"/>
      <c r="F1962" s="181"/>
      <c r="G1962" s="181"/>
      <c r="H1962" s="181"/>
      <c r="I1962" s="181"/>
      <c r="J1962" s="181"/>
      <c r="K1962" s="181"/>
      <c r="L1962" s="181"/>
      <c r="M1962" s="181"/>
      <c r="N1962" s="181"/>
      <c r="O1962" s="181"/>
      <c r="P1962" s="181"/>
    </row>
    <row r="1963">
      <c r="B1963" s="292"/>
      <c r="C1963" s="181"/>
      <c r="D1963" s="181"/>
      <c r="E1963" s="181"/>
      <c r="F1963" s="181"/>
      <c r="G1963" s="181"/>
      <c r="H1963" s="181"/>
      <c r="I1963" s="181"/>
      <c r="J1963" s="181"/>
      <c r="K1963" s="181"/>
      <c r="L1963" s="181"/>
      <c r="M1963" s="181"/>
      <c r="N1963" s="181"/>
      <c r="O1963" s="181"/>
      <c r="P1963" s="181"/>
    </row>
    <row r="1964">
      <c r="B1964" s="292"/>
      <c r="C1964" s="181"/>
      <c r="D1964" s="181"/>
      <c r="E1964" s="181"/>
      <c r="F1964" s="181"/>
      <c r="G1964" s="181"/>
      <c r="H1964" s="181"/>
      <c r="I1964" s="181"/>
      <c r="J1964" s="181"/>
      <c r="K1964" s="181"/>
      <c r="L1964" s="181"/>
      <c r="M1964" s="181"/>
      <c r="N1964" s="181"/>
      <c r="O1964" s="181"/>
      <c r="P1964" s="181"/>
    </row>
    <row r="1965">
      <c r="B1965" s="292"/>
      <c r="C1965" s="181"/>
      <c r="D1965" s="181"/>
      <c r="E1965" s="181"/>
      <c r="F1965" s="181"/>
      <c r="G1965" s="181"/>
      <c r="H1965" s="181"/>
      <c r="I1965" s="181"/>
      <c r="J1965" s="181"/>
      <c r="K1965" s="181"/>
      <c r="L1965" s="181"/>
      <c r="M1965" s="181"/>
      <c r="N1965" s="181"/>
      <c r="O1965" s="181"/>
      <c r="P1965" s="181"/>
    </row>
    <row r="1966">
      <c r="B1966" s="292"/>
      <c r="C1966" s="181"/>
      <c r="D1966" s="181"/>
      <c r="E1966" s="181"/>
      <c r="F1966" s="181"/>
      <c r="G1966" s="181"/>
      <c r="H1966" s="181"/>
      <c r="I1966" s="181"/>
      <c r="J1966" s="181"/>
      <c r="K1966" s="181"/>
      <c r="L1966" s="181"/>
      <c r="M1966" s="181"/>
      <c r="N1966" s="181"/>
      <c r="O1966" s="181"/>
      <c r="P1966" s="181"/>
    </row>
    <row r="1967">
      <c r="B1967" s="292"/>
      <c r="C1967" s="181"/>
      <c r="D1967" s="181"/>
      <c r="E1967" s="181"/>
      <c r="F1967" s="181"/>
      <c r="G1967" s="181"/>
      <c r="H1967" s="181"/>
      <c r="I1967" s="181"/>
      <c r="J1967" s="181"/>
      <c r="K1967" s="181"/>
      <c r="L1967" s="181"/>
      <c r="M1967" s="181"/>
      <c r="N1967" s="181"/>
      <c r="O1967" s="181"/>
      <c r="P1967" s="181"/>
    </row>
    <row r="1968">
      <c r="B1968" s="292"/>
      <c r="C1968" s="181"/>
      <c r="D1968" s="181"/>
      <c r="E1968" s="181"/>
      <c r="F1968" s="181"/>
      <c r="G1968" s="181"/>
      <c r="H1968" s="181"/>
      <c r="I1968" s="181"/>
      <c r="J1968" s="181"/>
      <c r="K1968" s="181"/>
      <c r="L1968" s="181"/>
      <c r="M1968" s="181"/>
      <c r="N1968" s="181"/>
      <c r="O1968" s="181"/>
      <c r="P1968" s="181"/>
    </row>
    <row r="1969">
      <c r="B1969" s="292"/>
      <c r="C1969" s="181"/>
      <c r="D1969" s="181"/>
      <c r="E1969" s="181"/>
      <c r="F1969" s="181"/>
      <c r="G1969" s="181"/>
      <c r="H1969" s="181"/>
      <c r="I1969" s="181"/>
      <c r="J1969" s="181"/>
      <c r="K1969" s="181"/>
      <c r="L1969" s="181"/>
      <c r="M1969" s="181"/>
      <c r="N1969" s="181"/>
      <c r="O1969" s="181"/>
      <c r="P1969" s="181"/>
    </row>
    <row r="1970">
      <c r="B1970" s="292"/>
      <c r="C1970" s="181"/>
      <c r="D1970" s="181"/>
      <c r="E1970" s="181"/>
      <c r="F1970" s="181"/>
      <c r="G1970" s="181"/>
      <c r="H1970" s="181"/>
      <c r="I1970" s="181"/>
      <c r="J1970" s="181"/>
      <c r="K1970" s="181"/>
      <c r="L1970" s="181"/>
      <c r="M1970" s="181"/>
      <c r="N1970" s="181"/>
      <c r="O1970" s="181"/>
      <c r="P1970" s="181"/>
    </row>
    <row r="1971">
      <c r="B1971" s="292"/>
      <c r="C1971" s="181"/>
      <c r="D1971" s="181"/>
      <c r="E1971" s="181"/>
      <c r="F1971" s="181"/>
      <c r="G1971" s="181"/>
      <c r="H1971" s="181"/>
      <c r="I1971" s="181"/>
      <c r="J1971" s="181"/>
      <c r="K1971" s="181"/>
      <c r="L1971" s="181"/>
      <c r="M1971" s="181"/>
      <c r="N1971" s="181"/>
      <c r="O1971" s="181"/>
      <c r="P1971" s="181"/>
    </row>
    <row r="1972">
      <c r="B1972" s="292"/>
      <c r="C1972" s="181"/>
      <c r="D1972" s="181"/>
      <c r="E1972" s="181"/>
      <c r="F1972" s="181"/>
      <c r="G1972" s="181"/>
      <c r="H1972" s="181"/>
      <c r="I1972" s="181"/>
      <c r="J1972" s="181"/>
      <c r="K1972" s="181"/>
      <c r="L1972" s="181"/>
      <c r="M1972" s="181"/>
      <c r="N1972" s="181"/>
      <c r="O1972" s="181"/>
      <c r="P1972" s="181"/>
    </row>
    <row r="1973">
      <c r="B1973" s="292"/>
      <c r="C1973" s="181"/>
      <c r="D1973" s="181"/>
      <c r="E1973" s="181"/>
      <c r="F1973" s="181"/>
      <c r="G1973" s="181"/>
      <c r="H1973" s="181"/>
      <c r="I1973" s="181"/>
      <c r="J1973" s="181"/>
      <c r="K1973" s="181"/>
      <c r="L1973" s="181"/>
      <c r="M1973" s="181"/>
      <c r="N1973" s="181"/>
      <c r="O1973" s="181"/>
      <c r="P1973" s="181"/>
    </row>
    <row r="1974">
      <c r="B1974" s="292"/>
      <c r="C1974" s="181"/>
      <c r="D1974" s="181"/>
      <c r="E1974" s="181"/>
      <c r="F1974" s="181"/>
      <c r="G1974" s="181"/>
      <c r="H1974" s="181"/>
      <c r="I1974" s="181"/>
      <c r="J1974" s="181"/>
      <c r="K1974" s="181"/>
      <c r="L1974" s="181"/>
      <c r="M1974" s="181"/>
      <c r="N1974" s="181"/>
      <c r="O1974" s="181"/>
      <c r="P1974" s="181"/>
    </row>
    <row r="1975">
      <c r="B1975" s="292"/>
      <c r="C1975" s="181"/>
      <c r="D1975" s="181"/>
      <c r="E1975" s="181"/>
      <c r="F1975" s="181"/>
      <c r="G1975" s="181"/>
      <c r="H1975" s="181"/>
      <c r="I1975" s="181"/>
      <c r="J1975" s="181"/>
      <c r="K1975" s="181"/>
      <c r="L1975" s="181"/>
      <c r="M1975" s="181"/>
      <c r="N1975" s="181"/>
      <c r="O1975" s="181"/>
      <c r="P1975" s="181"/>
    </row>
    <row r="1976">
      <c r="B1976" s="292"/>
      <c r="C1976" s="181"/>
      <c r="D1976" s="181"/>
      <c r="E1976" s="181"/>
      <c r="F1976" s="181"/>
      <c r="G1976" s="181"/>
      <c r="H1976" s="181"/>
      <c r="I1976" s="181"/>
      <c r="J1976" s="181"/>
      <c r="K1976" s="181"/>
      <c r="L1976" s="181"/>
      <c r="M1976" s="181"/>
      <c r="N1976" s="181"/>
      <c r="O1976" s="181"/>
      <c r="P1976" s="181"/>
    </row>
    <row r="1977">
      <c r="B1977" s="292"/>
      <c r="C1977" s="181"/>
      <c r="D1977" s="181"/>
      <c r="E1977" s="181"/>
      <c r="F1977" s="181"/>
      <c r="G1977" s="181"/>
      <c r="H1977" s="181"/>
      <c r="I1977" s="181"/>
      <c r="J1977" s="181"/>
      <c r="K1977" s="181"/>
      <c r="L1977" s="181"/>
      <c r="M1977" s="181"/>
      <c r="N1977" s="181"/>
      <c r="O1977" s="181"/>
      <c r="P1977" s="181"/>
    </row>
    <row r="1978">
      <c r="B1978" s="292"/>
      <c r="C1978" s="181"/>
      <c r="D1978" s="181"/>
      <c r="E1978" s="181"/>
      <c r="F1978" s="181"/>
      <c r="G1978" s="181"/>
      <c r="H1978" s="181"/>
      <c r="I1978" s="181"/>
      <c r="J1978" s="181"/>
      <c r="K1978" s="181"/>
      <c r="L1978" s="181"/>
      <c r="M1978" s="181"/>
      <c r="N1978" s="181"/>
      <c r="O1978" s="181"/>
      <c r="P1978" s="181"/>
    </row>
    <row r="1979">
      <c r="B1979" s="292"/>
      <c r="C1979" s="181"/>
      <c r="D1979" s="181"/>
      <c r="E1979" s="181"/>
      <c r="F1979" s="181"/>
      <c r="G1979" s="181"/>
      <c r="H1979" s="181"/>
      <c r="I1979" s="181"/>
      <c r="J1979" s="181"/>
      <c r="K1979" s="181"/>
      <c r="L1979" s="181"/>
      <c r="M1979" s="181"/>
      <c r="N1979" s="181"/>
      <c r="O1979" s="181"/>
      <c r="P1979" s="181"/>
    </row>
    <row r="1980">
      <c r="B1980" s="292"/>
      <c r="C1980" s="181"/>
      <c r="D1980" s="181"/>
      <c r="E1980" s="181"/>
      <c r="F1980" s="181"/>
      <c r="G1980" s="181"/>
      <c r="H1980" s="181"/>
      <c r="I1980" s="181"/>
      <c r="J1980" s="181"/>
      <c r="K1980" s="181"/>
      <c r="L1980" s="181"/>
      <c r="M1980" s="181"/>
      <c r="N1980" s="181"/>
      <c r="O1980" s="181"/>
      <c r="P1980" s="181"/>
    </row>
    <row r="1981">
      <c r="B1981" s="292"/>
      <c r="C1981" s="181"/>
      <c r="D1981" s="181"/>
      <c r="E1981" s="181"/>
      <c r="F1981" s="181"/>
      <c r="G1981" s="181"/>
      <c r="H1981" s="181"/>
      <c r="I1981" s="181"/>
      <c r="J1981" s="181"/>
      <c r="K1981" s="181"/>
      <c r="L1981" s="181"/>
      <c r="M1981" s="181"/>
      <c r="N1981" s="181"/>
      <c r="O1981" s="181"/>
      <c r="P1981" s="181"/>
    </row>
    <row r="1982">
      <c r="B1982" s="292"/>
      <c r="C1982" s="181"/>
      <c r="D1982" s="181"/>
      <c r="E1982" s="181"/>
      <c r="F1982" s="181"/>
      <c r="G1982" s="181"/>
      <c r="H1982" s="181"/>
      <c r="I1982" s="181"/>
      <c r="J1982" s="181"/>
      <c r="K1982" s="181"/>
      <c r="L1982" s="181"/>
      <c r="M1982" s="181"/>
      <c r="N1982" s="181"/>
      <c r="O1982" s="181"/>
      <c r="P1982" s="181"/>
    </row>
    <row r="1983">
      <c r="B1983" s="292"/>
      <c r="C1983" s="181"/>
      <c r="D1983" s="181"/>
      <c r="E1983" s="181"/>
      <c r="F1983" s="181"/>
      <c r="G1983" s="181"/>
      <c r="H1983" s="181"/>
      <c r="I1983" s="181"/>
      <c r="J1983" s="181"/>
      <c r="K1983" s="181"/>
      <c r="L1983" s="181"/>
      <c r="M1983" s="181"/>
      <c r="N1983" s="181"/>
      <c r="O1983" s="181"/>
      <c r="P1983" s="181"/>
    </row>
    <row r="1984">
      <c r="B1984" s="292"/>
      <c r="C1984" s="181"/>
      <c r="D1984" s="181"/>
      <c r="E1984" s="181"/>
      <c r="F1984" s="181"/>
      <c r="G1984" s="181"/>
      <c r="H1984" s="181"/>
      <c r="I1984" s="181"/>
      <c r="J1984" s="181"/>
      <c r="K1984" s="181"/>
      <c r="L1984" s="181"/>
      <c r="M1984" s="181"/>
      <c r="N1984" s="181"/>
      <c r="O1984" s="181"/>
      <c r="P1984" s="181"/>
    </row>
    <row r="1985">
      <c r="B1985" s="292"/>
      <c r="C1985" s="181"/>
      <c r="D1985" s="181"/>
      <c r="E1985" s="181"/>
      <c r="F1985" s="181"/>
      <c r="G1985" s="181"/>
      <c r="H1985" s="181"/>
      <c r="I1985" s="181"/>
      <c r="J1985" s="181"/>
      <c r="K1985" s="181"/>
      <c r="L1985" s="181"/>
      <c r="M1985" s="181"/>
      <c r="N1985" s="181"/>
      <c r="O1985" s="181"/>
      <c r="P1985" s="181"/>
    </row>
    <row r="1986">
      <c r="B1986" s="292"/>
      <c r="C1986" s="181"/>
      <c r="D1986" s="181"/>
      <c r="E1986" s="181"/>
      <c r="F1986" s="181"/>
      <c r="G1986" s="181"/>
      <c r="H1986" s="181"/>
      <c r="I1986" s="181"/>
      <c r="J1986" s="181"/>
      <c r="K1986" s="181"/>
      <c r="L1986" s="181"/>
      <c r="M1986" s="181"/>
      <c r="N1986" s="181"/>
      <c r="O1986" s="181"/>
      <c r="P1986" s="181"/>
    </row>
    <row r="1987">
      <c r="B1987" s="292"/>
      <c r="C1987" s="181"/>
      <c r="D1987" s="181"/>
      <c r="E1987" s="181"/>
      <c r="F1987" s="181"/>
      <c r="G1987" s="181"/>
      <c r="H1987" s="181"/>
      <c r="I1987" s="181"/>
      <c r="J1987" s="181"/>
      <c r="K1987" s="181"/>
      <c r="L1987" s="181"/>
      <c r="M1987" s="181"/>
      <c r="N1987" s="181"/>
      <c r="O1987" s="181"/>
      <c r="P1987" s="181"/>
    </row>
    <row r="1988">
      <c r="B1988" s="292"/>
      <c r="C1988" s="181"/>
      <c r="D1988" s="181"/>
      <c r="E1988" s="181"/>
      <c r="F1988" s="181"/>
      <c r="G1988" s="181"/>
      <c r="H1988" s="181"/>
      <c r="I1988" s="181"/>
      <c r="J1988" s="181"/>
      <c r="K1988" s="181"/>
      <c r="L1988" s="181"/>
      <c r="M1988" s="181"/>
      <c r="N1988" s="181"/>
      <c r="O1988" s="181"/>
      <c r="P1988" s="181"/>
    </row>
    <row r="1989">
      <c r="B1989" s="292"/>
      <c r="C1989" s="181"/>
      <c r="D1989" s="181"/>
      <c r="E1989" s="181"/>
      <c r="F1989" s="181"/>
      <c r="G1989" s="181"/>
      <c r="H1989" s="181"/>
      <c r="I1989" s="181"/>
      <c r="J1989" s="181"/>
      <c r="K1989" s="181"/>
      <c r="L1989" s="181"/>
      <c r="M1989" s="181"/>
      <c r="N1989" s="181"/>
      <c r="O1989" s="181"/>
      <c r="P1989" s="181"/>
    </row>
    <row r="1990">
      <c r="B1990" s="292"/>
      <c r="C1990" s="181"/>
      <c r="D1990" s="181"/>
      <c r="E1990" s="181"/>
      <c r="F1990" s="181"/>
      <c r="G1990" s="181"/>
      <c r="H1990" s="181"/>
      <c r="I1990" s="181"/>
      <c r="J1990" s="181"/>
      <c r="K1990" s="181"/>
      <c r="L1990" s="181"/>
      <c r="M1990" s="181"/>
      <c r="N1990" s="181"/>
      <c r="O1990" s="181"/>
      <c r="P1990" s="181"/>
    </row>
    <row r="1991">
      <c r="B1991" s="292"/>
      <c r="C1991" s="181"/>
      <c r="D1991" s="181"/>
      <c r="E1991" s="181"/>
      <c r="F1991" s="181"/>
      <c r="G1991" s="181"/>
      <c r="H1991" s="181"/>
      <c r="I1991" s="181"/>
      <c r="J1991" s="181"/>
      <c r="K1991" s="181"/>
      <c r="L1991" s="181"/>
      <c r="M1991" s="181"/>
      <c r="N1991" s="181"/>
      <c r="O1991" s="181"/>
      <c r="P1991" s="181"/>
    </row>
    <row r="1992">
      <c r="B1992" s="292"/>
      <c r="C1992" s="181"/>
      <c r="D1992" s="181"/>
      <c r="E1992" s="181"/>
      <c r="F1992" s="181"/>
      <c r="G1992" s="181"/>
      <c r="H1992" s="181"/>
      <c r="I1992" s="181"/>
      <c r="J1992" s="181"/>
      <c r="K1992" s="181"/>
      <c r="L1992" s="181"/>
      <c r="M1992" s="181"/>
      <c r="N1992" s="181"/>
      <c r="O1992" s="181"/>
      <c r="P1992" s="181"/>
    </row>
    <row r="1993">
      <c r="B1993" s="292"/>
      <c r="C1993" s="181"/>
      <c r="D1993" s="181"/>
      <c r="E1993" s="181"/>
      <c r="F1993" s="181"/>
      <c r="G1993" s="181"/>
      <c r="H1993" s="181"/>
      <c r="I1993" s="181"/>
      <c r="J1993" s="181"/>
      <c r="K1993" s="181"/>
      <c r="L1993" s="181"/>
      <c r="M1993" s="181"/>
      <c r="N1993" s="181"/>
      <c r="O1993" s="181"/>
      <c r="P1993" s="181"/>
    </row>
    <row r="1994">
      <c r="B1994" s="292"/>
      <c r="C1994" s="181"/>
      <c r="D1994" s="181"/>
      <c r="E1994" s="181"/>
      <c r="F1994" s="181"/>
      <c r="G1994" s="181"/>
      <c r="H1994" s="181"/>
      <c r="I1994" s="181"/>
      <c r="J1994" s="181"/>
      <c r="K1994" s="181"/>
      <c r="L1994" s="181"/>
      <c r="M1994" s="181"/>
      <c r="N1994" s="181"/>
      <c r="O1994" s="181"/>
      <c r="P1994" s="181"/>
    </row>
    <row r="1995">
      <c r="B1995" s="292"/>
      <c r="C1995" s="181"/>
      <c r="D1995" s="181"/>
      <c r="E1995" s="181"/>
      <c r="F1995" s="181"/>
      <c r="G1995" s="181"/>
      <c r="H1995" s="181"/>
      <c r="I1995" s="181"/>
      <c r="J1995" s="181"/>
      <c r="K1995" s="181"/>
      <c r="L1995" s="181"/>
      <c r="M1995" s="181"/>
      <c r="N1995" s="181"/>
      <c r="O1995" s="181"/>
      <c r="P1995" s="181"/>
    </row>
    <row r="1996">
      <c r="B1996" s="292"/>
      <c r="C1996" s="181"/>
      <c r="D1996" s="181"/>
      <c r="E1996" s="181"/>
      <c r="F1996" s="181"/>
      <c r="G1996" s="181"/>
      <c r="H1996" s="181"/>
      <c r="I1996" s="181"/>
      <c r="J1996" s="181"/>
      <c r="K1996" s="181"/>
      <c r="L1996" s="181"/>
      <c r="M1996" s="181"/>
      <c r="N1996" s="181"/>
      <c r="O1996" s="181"/>
      <c r="P1996" s="181"/>
    </row>
    <row r="1997">
      <c r="B1997" s="292"/>
      <c r="C1997" s="181"/>
      <c r="D1997" s="181"/>
      <c r="E1997" s="181"/>
      <c r="F1997" s="181"/>
      <c r="G1997" s="181"/>
      <c r="H1997" s="181"/>
      <c r="I1997" s="181"/>
      <c r="J1997" s="181"/>
      <c r="K1997" s="181"/>
      <c r="L1997" s="181"/>
      <c r="M1997" s="181"/>
      <c r="N1997" s="181"/>
      <c r="O1997" s="181"/>
      <c r="P1997" s="181"/>
    </row>
    <row r="1998">
      <c r="B1998" s="292"/>
      <c r="C1998" s="181"/>
      <c r="D1998" s="181"/>
      <c r="E1998" s="181"/>
      <c r="F1998" s="181"/>
      <c r="G1998" s="181"/>
      <c r="H1998" s="181"/>
      <c r="I1998" s="181"/>
      <c r="J1998" s="181"/>
      <c r="K1998" s="181"/>
      <c r="L1998" s="181"/>
      <c r="M1998" s="181"/>
      <c r="N1998" s="181"/>
      <c r="O1998" s="181"/>
      <c r="P1998" s="181"/>
    </row>
    <row r="1999">
      <c r="B1999" s="292"/>
      <c r="C1999" s="181"/>
      <c r="D1999" s="181"/>
      <c r="E1999" s="181"/>
      <c r="F1999" s="181"/>
      <c r="G1999" s="181"/>
      <c r="H1999" s="181"/>
      <c r="I1999" s="181"/>
      <c r="J1999" s="181"/>
      <c r="K1999" s="181"/>
      <c r="L1999" s="181"/>
      <c r="M1999" s="181"/>
      <c r="N1999" s="181"/>
      <c r="O1999" s="181"/>
      <c r="P1999" s="181"/>
    </row>
    <row r="2000">
      <c r="B2000" s="292"/>
      <c r="C2000" s="181"/>
      <c r="D2000" s="181"/>
      <c r="E2000" s="181"/>
      <c r="F2000" s="181"/>
      <c r="G2000" s="181"/>
      <c r="H2000" s="181"/>
      <c r="I2000" s="181"/>
      <c r="J2000" s="181"/>
      <c r="K2000" s="181"/>
      <c r="L2000" s="181"/>
      <c r="M2000" s="181"/>
      <c r="N2000" s="181"/>
      <c r="O2000" s="181"/>
      <c r="P2000" s="181"/>
    </row>
    <row r="2001">
      <c r="B2001" s="292"/>
      <c r="C2001" s="181"/>
      <c r="D2001" s="181"/>
      <c r="E2001" s="181"/>
      <c r="F2001" s="181"/>
      <c r="G2001" s="181"/>
      <c r="H2001" s="181"/>
      <c r="I2001" s="181"/>
      <c r="J2001" s="181"/>
      <c r="K2001" s="181"/>
      <c r="L2001" s="181"/>
      <c r="M2001" s="181"/>
      <c r="N2001" s="181"/>
      <c r="O2001" s="181"/>
      <c r="P2001" s="181"/>
    </row>
    <row r="2002">
      <c r="B2002" s="292"/>
      <c r="C2002" s="181"/>
      <c r="D2002" s="181"/>
      <c r="E2002" s="181"/>
      <c r="F2002" s="181"/>
      <c r="G2002" s="181"/>
      <c r="H2002" s="181"/>
      <c r="I2002" s="181"/>
      <c r="J2002" s="181"/>
      <c r="K2002" s="181"/>
      <c r="L2002" s="181"/>
      <c r="M2002" s="181"/>
      <c r="N2002" s="181"/>
      <c r="O2002" s="181"/>
      <c r="P2002" s="181"/>
    </row>
    <row r="2003">
      <c r="B2003" s="292"/>
      <c r="C2003" s="181"/>
      <c r="D2003" s="181"/>
      <c r="E2003" s="181"/>
      <c r="F2003" s="181"/>
      <c r="G2003" s="181"/>
      <c r="H2003" s="181"/>
      <c r="I2003" s="181"/>
      <c r="J2003" s="181"/>
      <c r="K2003" s="181"/>
      <c r="L2003" s="181"/>
      <c r="M2003" s="181"/>
      <c r="N2003" s="181"/>
      <c r="O2003" s="181"/>
      <c r="P2003" s="181"/>
    </row>
    <row r="2004">
      <c r="B2004" s="292"/>
      <c r="C2004" s="181"/>
      <c r="D2004" s="181"/>
      <c r="E2004" s="181"/>
      <c r="F2004" s="181"/>
      <c r="G2004" s="181"/>
      <c r="H2004" s="181"/>
      <c r="I2004" s="181"/>
      <c r="J2004" s="181"/>
      <c r="K2004" s="181"/>
      <c r="L2004" s="181"/>
      <c r="M2004" s="181"/>
      <c r="N2004" s="181"/>
      <c r="O2004" s="181"/>
      <c r="P2004" s="181"/>
    </row>
    <row r="2005">
      <c r="B2005" s="292"/>
      <c r="C2005" s="181"/>
      <c r="D2005" s="181"/>
      <c r="E2005" s="181"/>
      <c r="F2005" s="181"/>
      <c r="G2005" s="181"/>
      <c r="H2005" s="181"/>
      <c r="I2005" s="181"/>
      <c r="J2005" s="181"/>
      <c r="K2005" s="181"/>
      <c r="L2005" s="181"/>
      <c r="M2005" s="181"/>
      <c r="N2005" s="181"/>
      <c r="O2005" s="181"/>
      <c r="P2005" s="181"/>
    </row>
    <row r="2006">
      <c r="B2006" s="292"/>
      <c r="C2006" s="181"/>
      <c r="D2006" s="181"/>
      <c r="E2006" s="181"/>
      <c r="F2006" s="181"/>
      <c r="G2006" s="181"/>
      <c r="H2006" s="181"/>
      <c r="I2006" s="181"/>
      <c r="J2006" s="181"/>
      <c r="K2006" s="181"/>
      <c r="L2006" s="181"/>
      <c r="M2006" s="181"/>
      <c r="N2006" s="181"/>
      <c r="O2006" s="181"/>
      <c r="P2006" s="181"/>
    </row>
    <row r="2007">
      <c r="B2007" s="292"/>
      <c r="C2007" s="181"/>
      <c r="D2007" s="181"/>
      <c r="E2007" s="181"/>
      <c r="F2007" s="181"/>
      <c r="G2007" s="181"/>
      <c r="H2007" s="181"/>
      <c r="I2007" s="181"/>
      <c r="J2007" s="181"/>
      <c r="K2007" s="181"/>
      <c r="L2007" s="181"/>
      <c r="M2007" s="181"/>
      <c r="N2007" s="181"/>
      <c r="O2007" s="181"/>
      <c r="P2007" s="181"/>
    </row>
    <row r="2008">
      <c r="B2008" s="292"/>
      <c r="C2008" s="181"/>
      <c r="D2008" s="181"/>
      <c r="E2008" s="181"/>
      <c r="F2008" s="181"/>
      <c r="G2008" s="181"/>
      <c r="H2008" s="181"/>
      <c r="I2008" s="181"/>
      <c r="J2008" s="181"/>
      <c r="K2008" s="181"/>
      <c r="L2008" s="181"/>
      <c r="M2008" s="181"/>
      <c r="N2008" s="181"/>
      <c r="O2008" s="181"/>
      <c r="P2008" s="181"/>
    </row>
    <row r="2009">
      <c r="B2009" s="292"/>
      <c r="C2009" s="181"/>
      <c r="D2009" s="181"/>
      <c r="E2009" s="181"/>
      <c r="F2009" s="181"/>
      <c r="G2009" s="181"/>
      <c r="H2009" s="181"/>
      <c r="I2009" s="181"/>
      <c r="J2009" s="181"/>
      <c r="K2009" s="181"/>
      <c r="L2009" s="181"/>
      <c r="M2009" s="181"/>
      <c r="N2009" s="181"/>
      <c r="O2009" s="181"/>
      <c r="P2009" s="181"/>
    </row>
    <row r="2010">
      <c r="B2010" s="292"/>
      <c r="C2010" s="181"/>
      <c r="D2010" s="181"/>
      <c r="E2010" s="181"/>
      <c r="F2010" s="181"/>
      <c r="G2010" s="181"/>
      <c r="H2010" s="181"/>
      <c r="I2010" s="181"/>
      <c r="J2010" s="181"/>
      <c r="K2010" s="181"/>
      <c r="L2010" s="181"/>
      <c r="M2010" s="181"/>
      <c r="N2010" s="181"/>
      <c r="O2010" s="181"/>
      <c r="P2010" s="181"/>
    </row>
    <row r="2011">
      <c r="B2011" s="292"/>
      <c r="C2011" s="181"/>
      <c r="D2011" s="181"/>
      <c r="E2011" s="181"/>
      <c r="F2011" s="181"/>
      <c r="G2011" s="181"/>
      <c r="H2011" s="181"/>
      <c r="I2011" s="181"/>
      <c r="J2011" s="181"/>
      <c r="K2011" s="181"/>
      <c r="L2011" s="181"/>
      <c r="M2011" s="181"/>
      <c r="N2011" s="181"/>
      <c r="O2011" s="181"/>
      <c r="P2011" s="181"/>
    </row>
    <row r="2012">
      <c r="B2012" s="292"/>
      <c r="C2012" s="181"/>
      <c r="D2012" s="181"/>
      <c r="E2012" s="181"/>
      <c r="F2012" s="181"/>
      <c r="G2012" s="181"/>
      <c r="H2012" s="181"/>
      <c r="I2012" s="181"/>
      <c r="J2012" s="181"/>
      <c r="K2012" s="181"/>
      <c r="L2012" s="181"/>
      <c r="M2012" s="181"/>
      <c r="N2012" s="181"/>
      <c r="O2012" s="181"/>
      <c r="P2012" s="181"/>
    </row>
    <row r="2013">
      <c r="B2013" s="292"/>
      <c r="C2013" s="181"/>
      <c r="D2013" s="181"/>
      <c r="E2013" s="181"/>
      <c r="F2013" s="181"/>
      <c r="G2013" s="181"/>
      <c r="H2013" s="181"/>
      <c r="I2013" s="181"/>
      <c r="J2013" s="181"/>
      <c r="K2013" s="181"/>
      <c r="L2013" s="181"/>
      <c r="M2013" s="181"/>
      <c r="N2013" s="181"/>
      <c r="O2013" s="181"/>
      <c r="P2013" s="181"/>
    </row>
    <row r="2014">
      <c r="B2014" s="292"/>
      <c r="C2014" s="181"/>
      <c r="D2014" s="181"/>
      <c r="E2014" s="181"/>
      <c r="F2014" s="181"/>
      <c r="G2014" s="181"/>
      <c r="H2014" s="181"/>
      <c r="I2014" s="181"/>
      <c r="J2014" s="181"/>
      <c r="K2014" s="181"/>
      <c r="L2014" s="181"/>
      <c r="M2014" s="181"/>
      <c r="N2014" s="181"/>
      <c r="O2014" s="181"/>
      <c r="P2014" s="181"/>
    </row>
    <row r="2015">
      <c r="B2015" s="292"/>
      <c r="C2015" s="181"/>
      <c r="D2015" s="181"/>
      <c r="E2015" s="181"/>
      <c r="F2015" s="181"/>
      <c r="G2015" s="181"/>
      <c r="H2015" s="181"/>
      <c r="I2015" s="181"/>
      <c r="J2015" s="181"/>
      <c r="K2015" s="181"/>
      <c r="L2015" s="181"/>
      <c r="M2015" s="181"/>
      <c r="N2015" s="181"/>
      <c r="O2015" s="181"/>
      <c r="P2015" s="181"/>
    </row>
    <row r="2016">
      <c r="B2016" s="292"/>
      <c r="C2016" s="181"/>
      <c r="D2016" s="181"/>
      <c r="E2016" s="181"/>
      <c r="F2016" s="181"/>
      <c r="G2016" s="181"/>
      <c r="H2016" s="181"/>
      <c r="I2016" s="181"/>
      <c r="J2016" s="181"/>
      <c r="K2016" s="181"/>
      <c r="L2016" s="181"/>
      <c r="M2016" s="181"/>
      <c r="N2016" s="181"/>
      <c r="O2016" s="181"/>
      <c r="P2016" s="181"/>
    </row>
    <row r="2017">
      <c r="B2017" s="292"/>
      <c r="C2017" s="181"/>
      <c r="D2017" s="181"/>
      <c r="E2017" s="181"/>
      <c r="F2017" s="181"/>
      <c r="G2017" s="181"/>
      <c r="H2017" s="181"/>
      <c r="I2017" s="181"/>
      <c r="J2017" s="181"/>
      <c r="K2017" s="181"/>
      <c r="L2017" s="181"/>
      <c r="M2017" s="181"/>
      <c r="N2017" s="181"/>
      <c r="O2017" s="181"/>
      <c r="P2017" s="181"/>
    </row>
    <row r="2018">
      <c r="B2018" s="292"/>
      <c r="C2018" s="181"/>
      <c r="D2018" s="181"/>
      <c r="E2018" s="181"/>
      <c r="F2018" s="181"/>
      <c r="G2018" s="181"/>
      <c r="H2018" s="181"/>
      <c r="I2018" s="181"/>
      <c r="J2018" s="181"/>
      <c r="K2018" s="181"/>
      <c r="L2018" s="181"/>
      <c r="M2018" s="181"/>
      <c r="N2018" s="181"/>
      <c r="O2018" s="181"/>
      <c r="P2018" s="181"/>
    </row>
    <row r="2019">
      <c r="B2019" s="292"/>
      <c r="C2019" s="181"/>
      <c r="D2019" s="181"/>
      <c r="E2019" s="181"/>
      <c r="F2019" s="181"/>
      <c r="G2019" s="181"/>
      <c r="H2019" s="181"/>
      <c r="I2019" s="181"/>
      <c r="J2019" s="181"/>
      <c r="K2019" s="181"/>
      <c r="L2019" s="181"/>
      <c r="M2019" s="181"/>
      <c r="N2019" s="181"/>
      <c r="O2019" s="181"/>
      <c r="P2019" s="181"/>
    </row>
    <row r="2020">
      <c r="B2020" s="292"/>
      <c r="C2020" s="181"/>
      <c r="D2020" s="181"/>
      <c r="E2020" s="181"/>
      <c r="F2020" s="181"/>
      <c r="G2020" s="181"/>
      <c r="H2020" s="181"/>
      <c r="I2020" s="181"/>
      <c r="J2020" s="181"/>
      <c r="K2020" s="181"/>
      <c r="L2020" s="181"/>
      <c r="M2020" s="181"/>
      <c r="N2020" s="181"/>
      <c r="O2020" s="181"/>
      <c r="P2020" s="181"/>
    </row>
    <row r="2021">
      <c r="B2021" s="292"/>
      <c r="C2021" s="181"/>
      <c r="D2021" s="181"/>
      <c r="E2021" s="181"/>
      <c r="F2021" s="181"/>
      <c r="G2021" s="181"/>
      <c r="H2021" s="181"/>
      <c r="I2021" s="181"/>
      <c r="J2021" s="181"/>
      <c r="K2021" s="181"/>
      <c r="L2021" s="181"/>
      <c r="M2021" s="181"/>
      <c r="N2021" s="181"/>
      <c r="O2021" s="181"/>
      <c r="P2021" s="181"/>
    </row>
    <row r="2022">
      <c r="B2022" s="292"/>
      <c r="C2022" s="181"/>
      <c r="D2022" s="181"/>
      <c r="E2022" s="181"/>
      <c r="F2022" s="181"/>
      <c r="G2022" s="181"/>
      <c r="H2022" s="181"/>
      <c r="I2022" s="181"/>
      <c r="J2022" s="181"/>
      <c r="K2022" s="181"/>
      <c r="L2022" s="181"/>
      <c r="M2022" s="181"/>
      <c r="N2022" s="181"/>
      <c r="O2022" s="181"/>
      <c r="P2022" s="181"/>
    </row>
    <row r="2023">
      <c r="B2023" s="292"/>
      <c r="C2023" s="181"/>
      <c r="D2023" s="181"/>
      <c r="E2023" s="181"/>
      <c r="F2023" s="181"/>
      <c r="G2023" s="181"/>
      <c r="H2023" s="181"/>
      <c r="I2023" s="181"/>
      <c r="J2023" s="181"/>
      <c r="K2023" s="181"/>
      <c r="L2023" s="181"/>
      <c r="M2023" s="181"/>
      <c r="N2023" s="181"/>
      <c r="O2023" s="181"/>
      <c r="P2023" s="181"/>
    </row>
    <row r="2024">
      <c r="B2024" s="292"/>
      <c r="C2024" s="181"/>
      <c r="D2024" s="181"/>
      <c r="E2024" s="181"/>
      <c r="F2024" s="181"/>
      <c r="G2024" s="181"/>
      <c r="H2024" s="181"/>
      <c r="I2024" s="181"/>
      <c r="J2024" s="181"/>
      <c r="K2024" s="181"/>
      <c r="L2024" s="181"/>
      <c r="M2024" s="181"/>
      <c r="N2024" s="181"/>
      <c r="O2024" s="181"/>
      <c r="P2024" s="181"/>
    </row>
    <row r="2025">
      <c r="B2025" s="292"/>
      <c r="C2025" s="181"/>
      <c r="D2025" s="181"/>
      <c r="E2025" s="181"/>
      <c r="F2025" s="181"/>
      <c r="G2025" s="181"/>
      <c r="H2025" s="181"/>
      <c r="I2025" s="181"/>
      <c r="J2025" s="181"/>
      <c r="K2025" s="181"/>
      <c r="L2025" s="181"/>
      <c r="M2025" s="181"/>
      <c r="N2025" s="181"/>
      <c r="O2025" s="181"/>
      <c r="P2025" s="181"/>
    </row>
    <row r="2026">
      <c r="B2026" s="292"/>
      <c r="C2026" s="181"/>
      <c r="D2026" s="181"/>
      <c r="E2026" s="181"/>
      <c r="F2026" s="181"/>
      <c r="G2026" s="181"/>
      <c r="H2026" s="181"/>
      <c r="I2026" s="181"/>
      <c r="J2026" s="181"/>
      <c r="K2026" s="181"/>
      <c r="L2026" s="181"/>
      <c r="M2026" s="181"/>
      <c r="N2026" s="181"/>
      <c r="O2026" s="181"/>
      <c r="P2026" s="181"/>
    </row>
    <row r="2027">
      <c r="B2027" s="292"/>
      <c r="C2027" s="181"/>
      <c r="D2027" s="181"/>
      <c r="E2027" s="181"/>
      <c r="F2027" s="181"/>
      <c r="G2027" s="181"/>
      <c r="H2027" s="181"/>
      <c r="I2027" s="181"/>
      <c r="J2027" s="181"/>
      <c r="K2027" s="181"/>
      <c r="L2027" s="181"/>
      <c r="M2027" s="181"/>
      <c r="N2027" s="181"/>
      <c r="O2027" s="181"/>
      <c r="P2027" s="181"/>
    </row>
    <row r="2028">
      <c r="B2028" s="292"/>
      <c r="C2028" s="181"/>
      <c r="D2028" s="181"/>
      <c r="E2028" s="181"/>
      <c r="F2028" s="181"/>
      <c r="G2028" s="181"/>
      <c r="H2028" s="181"/>
      <c r="I2028" s="181"/>
      <c r="J2028" s="181"/>
      <c r="K2028" s="181"/>
      <c r="L2028" s="181"/>
      <c r="M2028" s="181"/>
      <c r="N2028" s="181"/>
      <c r="O2028" s="181"/>
      <c r="P2028" s="181"/>
    </row>
    <row r="2029">
      <c r="B2029" s="292"/>
      <c r="C2029" s="181"/>
      <c r="D2029" s="181"/>
      <c r="E2029" s="181"/>
      <c r="F2029" s="181"/>
      <c r="G2029" s="181"/>
      <c r="H2029" s="181"/>
      <c r="I2029" s="181"/>
      <c r="J2029" s="181"/>
      <c r="K2029" s="181"/>
      <c r="L2029" s="181"/>
      <c r="M2029" s="181"/>
      <c r="N2029" s="181"/>
      <c r="O2029" s="181"/>
      <c r="P2029" s="181"/>
    </row>
    <row r="2030">
      <c r="B2030" s="292"/>
      <c r="C2030" s="181"/>
      <c r="D2030" s="181"/>
      <c r="E2030" s="181"/>
      <c r="F2030" s="181"/>
      <c r="G2030" s="181"/>
      <c r="H2030" s="181"/>
      <c r="I2030" s="181"/>
      <c r="J2030" s="181"/>
      <c r="K2030" s="181"/>
      <c r="L2030" s="181"/>
      <c r="M2030" s="181"/>
      <c r="N2030" s="181"/>
      <c r="O2030" s="181"/>
      <c r="P2030" s="181"/>
    </row>
    <row r="2031">
      <c r="B2031" s="292"/>
      <c r="C2031" s="181"/>
      <c r="D2031" s="181"/>
      <c r="E2031" s="181"/>
      <c r="F2031" s="181"/>
      <c r="G2031" s="181"/>
      <c r="H2031" s="181"/>
      <c r="I2031" s="181"/>
      <c r="J2031" s="181"/>
      <c r="K2031" s="181"/>
      <c r="L2031" s="181"/>
      <c r="M2031" s="181"/>
      <c r="N2031" s="181"/>
      <c r="O2031" s="181"/>
      <c r="P2031" s="181"/>
    </row>
    <row r="2032">
      <c r="B2032" s="292"/>
      <c r="C2032" s="181"/>
      <c r="D2032" s="181"/>
      <c r="E2032" s="181"/>
      <c r="F2032" s="181"/>
      <c r="G2032" s="181"/>
      <c r="H2032" s="181"/>
      <c r="I2032" s="181"/>
      <c r="J2032" s="181"/>
      <c r="K2032" s="181"/>
      <c r="L2032" s="181"/>
      <c r="M2032" s="181"/>
      <c r="N2032" s="181"/>
      <c r="O2032" s="181"/>
      <c r="P2032" s="181"/>
    </row>
    <row r="2033">
      <c r="B2033" s="292"/>
      <c r="C2033" s="181"/>
      <c r="D2033" s="181"/>
      <c r="E2033" s="181"/>
      <c r="F2033" s="181"/>
      <c r="G2033" s="181"/>
      <c r="H2033" s="181"/>
      <c r="I2033" s="181"/>
      <c r="J2033" s="181"/>
      <c r="K2033" s="181"/>
      <c r="L2033" s="181"/>
      <c r="M2033" s="181"/>
      <c r="N2033" s="181"/>
      <c r="O2033" s="181"/>
      <c r="P2033" s="181"/>
    </row>
    <row r="2034">
      <c r="B2034" s="292"/>
      <c r="C2034" s="181"/>
      <c r="D2034" s="181"/>
      <c r="E2034" s="181"/>
      <c r="F2034" s="181"/>
      <c r="G2034" s="181"/>
      <c r="H2034" s="181"/>
      <c r="I2034" s="181"/>
      <c r="J2034" s="181"/>
      <c r="K2034" s="181"/>
      <c r="L2034" s="181"/>
      <c r="M2034" s="181"/>
      <c r="N2034" s="181"/>
      <c r="O2034" s="181"/>
      <c r="P2034" s="181"/>
    </row>
    <row r="2035">
      <c r="B2035" s="292"/>
      <c r="C2035" s="181"/>
      <c r="D2035" s="181"/>
      <c r="E2035" s="181"/>
      <c r="F2035" s="181"/>
      <c r="G2035" s="181"/>
      <c r="H2035" s="181"/>
      <c r="I2035" s="181"/>
      <c r="J2035" s="181"/>
      <c r="K2035" s="181"/>
      <c r="L2035" s="181"/>
      <c r="M2035" s="181"/>
      <c r="N2035" s="181"/>
      <c r="O2035" s="181"/>
      <c r="P2035" s="181"/>
    </row>
    <row r="2036">
      <c r="B2036" s="292"/>
      <c r="C2036" s="181"/>
      <c r="D2036" s="181"/>
      <c r="E2036" s="181"/>
      <c r="F2036" s="181"/>
      <c r="G2036" s="181"/>
      <c r="H2036" s="181"/>
      <c r="I2036" s="181"/>
      <c r="J2036" s="181"/>
      <c r="K2036" s="181"/>
      <c r="L2036" s="181"/>
      <c r="M2036" s="181"/>
      <c r="N2036" s="181"/>
      <c r="O2036" s="181"/>
      <c r="P2036" s="181"/>
    </row>
    <row r="2037">
      <c r="B2037" s="292"/>
      <c r="C2037" s="181"/>
      <c r="D2037" s="181"/>
      <c r="E2037" s="181"/>
      <c r="F2037" s="181"/>
      <c r="G2037" s="181"/>
      <c r="H2037" s="181"/>
      <c r="I2037" s="181"/>
      <c r="J2037" s="181"/>
      <c r="K2037" s="181"/>
      <c r="L2037" s="181"/>
      <c r="M2037" s="181"/>
      <c r="N2037" s="181"/>
      <c r="O2037" s="181"/>
      <c r="P2037" s="181"/>
    </row>
    <row r="2038">
      <c r="B2038" s="292"/>
      <c r="C2038" s="181"/>
      <c r="D2038" s="181"/>
      <c r="E2038" s="181"/>
      <c r="F2038" s="181"/>
      <c r="G2038" s="181"/>
      <c r="H2038" s="181"/>
      <c r="I2038" s="181"/>
      <c r="J2038" s="181"/>
      <c r="K2038" s="181"/>
      <c r="L2038" s="181"/>
      <c r="M2038" s="181"/>
      <c r="N2038" s="181"/>
      <c r="O2038" s="181"/>
      <c r="P2038" s="181"/>
    </row>
    <row r="2039">
      <c r="B2039" s="292"/>
      <c r="C2039" s="181"/>
      <c r="D2039" s="181"/>
      <c r="E2039" s="181"/>
      <c r="F2039" s="181"/>
      <c r="G2039" s="181"/>
      <c r="H2039" s="181"/>
      <c r="I2039" s="181"/>
      <c r="J2039" s="181"/>
      <c r="K2039" s="181"/>
      <c r="L2039" s="181"/>
      <c r="M2039" s="181"/>
      <c r="N2039" s="181"/>
      <c r="O2039" s="181"/>
      <c r="P2039" s="181"/>
    </row>
    <row r="2040">
      <c r="B2040" s="292"/>
      <c r="C2040" s="181"/>
      <c r="D2040" s="181"/>
      <c r="E2040" s="181"/>
      <c r="F2040" s="181"/>
      <c r="G2040" s="181"/>
      <c r="H2040" s="181"/>
      <c r="I2040" s="181"/>
      <c r="J2040" s="181"/>
      <c r="K2040" s="181"/>
      <c r="L2040" s="181"/>
      <c r="M2040" s="181"/>
      <c r="N2040" s="181"/>
      <c r="O2040" s="181"/>
      <c r="P2040" s="181"/>
    </row>
    <row r="2041">
      <c r="B2041" s="292"/>
      <c r="C2041" s="181"/>
      <c r="D2041" s="181"/>
      <c r="E2041" s="181"/>
      <c r="F2041" s="181"/>
      <c r="G2041" s="181"/>
      <c r="H2041" s="181"/>
      <c r="I2041" s="181"/>
      <c r="J2041" s="181"/>
      <c r="K2041" s="181"/>
      <c r="L2041" s="181"/>
      <c r="M2041" s="181"/>
      <c r="N2041" s="181"/>
      <c r="O2041" s="181"/>
      <c r="P2041" s="181"/>
    </row>
    <row r="2042">
      <c r="B2042" s="292"/>
      <c r="C2042" s="181"/>
      <c r="D2042" s="181"/>
      <c r="E2042" s="181"/>
      <c r="F2042" s="181"/>
      <c r="G2042" s="181"/>
      <c r="H2042" s="181"/>
      <c r="I2042" s="181"/>
      <c r="J2042" s="181"/>
      <c r="K2042" s="181"/>
      <c r="L2042" s="181"/>
      <c r="M2042" s="181"/>
      <c r="N2042" s="181"/>
      <c r="O2042" s="181"/>
      <c r="P2042" s="181"/>
    </row>
    <row r="2043">
      <c r="B2043" s="292"/>
      <c r="C2043" s="181"/>
      <c r="D2043" s="181"/>
      <c r="E2043" s="181"/>
      <c r="F2043" s="181"/>
      <c r="G2043" s="181"/>
      <c r="H2043" s="181"/>
      <c r="I2043" s="181"/>
      <c r="J2043" s="181"/>
      <c r="K2043" s="181"/>
      <c r="L2043" s="181"/>
      <c r="M2043" s="181"/>
      <c r="N2043" s="181"/>
      <c r="O2043" s="181"/>
      <c r="P2043" s="181"/>
    </row>
    <row r="2044">
      <c r="B2044" s="292"/>
      <c r="C2044" s="181"/>
      <c r="D2044" s="181"/>
      <c r="E2044" s="181"/>
      <c r="F2044" s="181"/>
      <c r="G2044" s="181"/>
      <c r="H2044" s="181"/>
      <c r="I2044" s="181"/>
      <c r="J2044" s="181"/>
      <c r="K2044" s="181"/>
      <c r="L2044" s="181"/>
      <c r="M2044" s="181"/>
      <c r="N2044" s="181"/>
      <c r="O2044" s="181"/>
      <c r="P2044" s="181"/>
    </row>
    <row r="2045">
      <c r="B2045" s="292"/>
      <c r="C2045" s="181"/>
      <c r="D2045" s="181"/>
      <c r="E2045" s="181"/>
      <c r="F2045" s="181"/>
      <c r="G2045" s="181"/>
      <c r="H2045" s="181"/>
      <c r="I2045" s="181"/>
      <c r="J2045" s="181"/>
      <c r="K2045" s="181"/>
      <c r="L2045" s="181"/>
      <c r="M2045" s="181"/>
      <c r="N2045" s="181"/>
      <c r="O2045" s="181"/>
      <c r="P2045" s="181"/>
    </row>
    <row r="2046">
      <c r="B2046" s="292"/>
      <c r="C2046" s="181"/>
      <c r="D2046" s="181"/>
      <c r="E2046" s="181"/>
      <c r="F2046" s="181"/>
      <c r="G2046" s="181"/>
      <c r="H2046" s="181"/>
      <c r="I2046" s="181"/>
      <c r="J2046" s="181"/>
      <c r="K2046" s="181"/>
      <c r="L2046" s="181"/>
      <c r="M2046" s="181"/>
      <c r="N2046" s="181"/>
      <c r="O2046" s="181"/>
      <c r="P2046" s="181"/>
    </row>
    <row r="2047">
      <c r="B2047" s="292"/>
      <c r="C2047" s="181"/>
      <c r="D2047" s="181"/>
      <c r="E2047" s="181"/>
      <c r="F2047" s="181"/>
      <c r="G2047" s="181"/>
      <c r="H2047" s="181"/>
      <c r="I2047" s="181"/>
      <c r="J2047" s="181"/>
      <c r="K2047" s="181"/>
      <c r="L2047" s="181"/>
      <c r="M2047" s="181"/>
      <c r="N2047" s="181"/>
      <c r="O2047" s="181"/>
      <c r="P2047" s="181"/>
    </row>
    <row r="2048">
      <c r="B2048" s="292"/>
      <c r="C2048" s="181"/>
      <c r="D2048" s="181"/>
      <c r="E2048" s="181"/>
      <c r="F2048" s="181"/>
      <c r="G2048" s="181"/>
      <c r="H2048" s="181"/>
      <c r="I2048" s="181"/>
      <c r="J2048" s="181"/>
      <c r="K2048" s="181"/>
      <c r="L2048" s="181"/>
      <c r="M2048" s="181"/>
      <c r="N2048" s="181"/>
      <c r="O2048" s="181"/>
      <c r="P2048" s="181"/>
    </row>
    <row r="2049">
      <c r="B2049" s="292"/>
      <c r="C2049" s="181"/>
      <c r="D2049" s="181"/>
      <c r="E2049" s="181"/>
      <c r="F2049" s="181"/>
      <c r="G2049" s="181"/>
      <c r="H2049" s="181"/>
      <c r="I2049" s="181"/>
      <c r="J2049" s="181"/>
      <c r="K2049" s="181"/>
      <c r="L2049" s="181"/>
      <c r="M2049" s="181"/>
      <c r="N2049" s="181"/>
      <c r="O2049" s="181"/>
      <c r="P2049" s="181"/>
    </row>
    <row r="2050">
      <c r="B2050" s="292"/>
      <c r="C2050" s="181"/>
      <c r="D2050" s="181"/>
      <c r="E2050" s="181"/>
      <c r="F2050" s="181"/>
      <c r="G2050" s="181"/>
      <c r="H2050" s="181"/>
      <c r="I2050" s="181"/>
      <c r="J2050" s="181"/>
      <c r="K2050" s="181"/>
      <c r="L2050" s="181"/>
      <c r="M2050" s="181"/>
      <c r="N2050" s="181"/>
      <c r="O2050" s="181"/>
      <c r="P2050" s="181"/>
    </row>
    <row r="2051">
      <c r="B2051" s="292"/>
      <c r="C2051" s="181"/>
      <c r="D2051" s="181"/>
      <c r="E2051" s="181"/>
      <c r="F2051" s="181"/>
      <c r="G2051" s="181"/>
      <c r="H2051" s="181"/>
      <c r="I2051" s="181"/>
      <c r="J2051" s="181"/>
      <c r="K2051" s="181"/>
      <c r="L2051" s="181"/>
      <c r="M2051" s="181"/>
      <c r="N2051" s="181"/>
      <c r="O2051" s="181"/>
      <c r="P2051" s="181"/>
    </row>
    <row r="2052">
      <c r="B2052" s="292"/>
      <c r="C2052" s="181"/>
      <c r="D2052" s="181"/>
      <c r="E2052" s="181"/>
      <c r="F2052" s="181"/>
      <c r="G2052" s="181"/>
      <c r="H2052" s="181"/>
      <c r="I2052" s="181"/>
      <c r="J2052" s="181"/>
      <c r="K2052" s="181"/>
      <c r="L2052" s="181"/>
      <c r="M2052" s="181"/>
      <c r="N2052" s="181"/>
      <c r="O2052" s="181"/>
      <c r="P2052" s="181"/>
    </row>
    <row r="2053">
      <c r="B2053" s="292"/>
      <c r="C2053" s="181"/>
      <c r="D2053" s="181"/>
      <c r="E2053" s="181"/>
      <c r="F2053" s="181"/>
      <c r="G2053" s="181"/>
      <c r="H2053" s="181"/>
      <c r="I2053" s="181"/>
      <c r="J2053" s="181"/>
      <c r="K2053" s="181"/>
      <c r="L2053" s="181"/>
      <c r="M2053" s="181"/>
      <c r="N2053" s="181"/>
      <c r="O2053" s="181"/>
      <c r="P2053" s="181"/>
    </row>
    <row r="2054">
      <c r="B2054" s="292"/>
      <c r="C2054" s="181"/>
      <c r="D2054" s="181"/>
      <c r="E2054" s="181"/>
      <c r="F2054" s="181"/>
      <c r="G2054" s="181"/>
      <c r="H2054" s="181"/>
      <c r="I2054" s="181"/>
      <c r="J2054" s="181"/>
      <c r="K2054" s="181"/>
      <c r="L2054" s="181"/>
      <c r="M2054" s="181"/>
      <c r="N2054" s="181"/>
      <c r="O2054" s="181"/>
      <c r="P2054" s="181"/>
    </row>
    <row r="2055">
      <c r="B2055" s="292"/>
      <c r="C2055" s="181"/>
      <c r="D2055" s="181"/>
      <c r="E2055" s="181"/>
      <c r="F2055" s="181"/>
      <c r="G2055" s="181"/>
      <c r="H2055" s="181"/>
      <c r="I2055" s="181"/>
      <c r="J2055" s="181"/>
      <c r="K2055" s="181"/>
      <c r="L2055" s="181"/>
      <c r="M2055" s="181"/>
      <c r="N2055" s="181"/>
      <c r="O2055" s="181"/>
      <c r="P2055" s="181"/>
    </row>
    <row r="2056">
      <c r="B2056" s="292"/>
      <c r="C2056" s="181"/>
      <c r="D2056" s="181"/>
      <c r="E2056" s="181"/>
      <c r="F2056" s="181"/>
      <c r="G2056" s="181"/>
      <c r="H2056" s="181"/>
      <c r="I2056" s="181"/>
      <c r="J2056" s="181"/>
      <c r="K2056" s="181"/>
      <c r="L2056" s="181"/>
      <c r="M2056" s="181"/>
      <c r="N2056" s="181"/>
      <c r="O2056" s="181"/>
      <c r="P2056" s="181"/>
    </row>
    <row r="2057">
      <c r="B2057" s="292"/>
      <c r="C2057" s="181"/>
      <c r="D2057" s="181"/>
      <c r="E2057" s="181"/>
      <c r="F2057" s="181"/>
      <c r="G2057" s="181"/>
      <c r="H2057" s="181"/>
      <c r="I2057" s="181"/>
      <c r="J2057" s="181"/>
      <c r="K2057" s="181"/>
      <c r="L2057" s="181"/>
      <c r="M2057" s="181"/>
      <c r="N2057" s="181"/>
      <c r="O2057" s="181"/>
      <c r="P2057" s="181"/>
    </row>
    <row r="2058">
      <c r="B2058" s="292"/>
      <c r="C2058" s="181"/>
      <c r="D2058" s="181"/>
      <c r="E2058" s="181"/>
      <c r="F2058" s="181"/>
      <c r="G2058" s="181"/>
      <c r="H2058" s="181"/>
      <c r="I2058" s="181"/>
      <c r="J2058" s="181"/>
      <c r="K2058" s="181"/>
      <c r="L2058" s="181"/>
      <c r="M2058" s="181"/>
      <c r="N2058" s="181"/>
      <c r="O2058" s="181"/>
      <c r="P2058" s="181"/>
    </row>
    <row r="2059">
      <c r="B2059" s="292"/>
      <c r="C2059" s="181"/>
      <c r="D2059" s="181"/>
      <c r="E2059" s="181"/>
      <c r="F2059" s="181"/>
      <c r="G2059" s="181"/>
      <c r="H2059" s="181"/>
      <c r="I2059" s="181"/>
      <c r="J2059" s="181"/>
      <c r="K2059" s="181"/>
      <c r="L2059" s="181"/>
      <c r="M2059" s="181"/>
      <c r="N2059" s="181"/>
      <c r="O2059" s="181"/>
      <c r="P2059" s="181"/>
    </row>
    <row r="2060">
      <c r="B2060" s="292"/>
      <c r="C2060" s="181"/>
      <c r="D2060" s="181"/>
      <c r="E2060" s="181"/>
      <c r="F2060" s="181"/>
      <c r="G2060" s="181"/>
      <c r="H2060" s="181"/>
      <c r="I2060" s="181"/>
      <c r="J2060" s="181"/>
      <c r="K2060" s="181"/>
      <c r="L2060" s="181"/>
      <c r="M2060" s="181"/>
      <c r="N2060" s="181"/>
      <c r="O2060" s="181"/>
      <c r="P2060" s="181"/>
    </row>
    <row r="2061">
      <c r="B2061" s="292"/>
      <c r="C2061" s="181"/>
      <c r="D2061" s="181"/>
      <c r="E2061" s="181"/>
      <c r="F2061" s="181"/>
      <c r="G2061" s="181"/>
      <c r="H2061" s="181"/>
      <c r="I2061" s="181"/>
      <c r="J2061" s="181"/>
      <c r="K2061" s="181"/>
      <c r="L2061" s="181"/>
      <c r="M2061" s="181"/>
      <c r="N2061" s="181"/>
      <c r="O2061" s="181"/>
      <c r="P2061" s="181"/>
    </row>
    <row r="2062">
      <c r="B2062" s="292"/>
      <c r="C2062" s="181"/>
      <c r="D2062" s="181"/>
      <c r="E2062" s="181"/>
      <c r="F2062" s="181"/>
      <c r="G2062" s="181"/>
      <c r="H2062" s="181"/>
      <c r="I2062" s="181"/>
      <c r="J2062" s="181"/>
      <c r="K2062" s="181"/>
      <c r="L2062" s="181"/>
      <c r="M2062" s="181"/>
      <c r="N2062" s="181"/>
      <c r="O2062" s="181"/>
      <c r="P2062" s="181"/>
    </row>
    <row r="2063">
      <c r="B2063" s="292"/>
      <c r="C2063" s="181"/>
      <c r="D2063" s="181"/>
      <c r="E2063" s="181"/>
      <c r="F2063" s="181"/>
      <c r="G2063" s="181"/>
      <c r="H2063" s="181"/>
      <c r="I2063" s="181"/>
      <c r="J2063" s="181"/>
      <c r="K2063" s="181"/>
      <c r="L2063" s="181"/>
      <c r="M2063" s="181"/>
      <c r="N2063" s="181"/>
      <c r="O2063" s="181"/>
      <c r="P2063" s="181"/>
    </row>
    <row r="2064">
      <c r="B2064" s="292"/>
      <c r="C2064" s="181"/>
      <c r="D2064" s="181"/>
      <c r="E2064" s="181"/>
      <c r="F2064" s="181"/>
      <c r="G2064" s="181"/>
      <c r="H2064" s="181"/>
      <c r="I2064" s="181"/>
      <c r="J2064" s="181"/>
      <c r="K2064" s="181"/>
      <c r="L2064" s="181"/>
      <c r="M2064" s="181"/>
      <c r="N2064" s="181"/>
      <c r="O2064" s="181"/>
      <c r="P2064" s="181"/>
    </row>
    <row r="2065">
      <c r="B2065" s="292"/>
      <c r="C2065" s="181"/>
      <c r="D2065" s="181"/>
      <c r="E2065" s="181"/>
      <c r="F2065" s="181"/>
      <c r="G2065" s="181"/>
      <c r="H2065" s="181"/>
      <c r="I2065" s="181"/>
      <c r="J2065" s="181"/>
      <c r="K2065" s="181"/>
      <c r="L2065" s="181"/>
      <c r="M2065" s="181"/>
      <c r="N2065" s="181"/>
      <c r="O2065" s="181"/>
      <c r="P2065" s="181"/>
    </row>
    <row r="2066">
      <c r="B2066" s="292"/>
      <c r="C2066" s="181"/>
      <c r="D2066" s="181"/>
      <c r="E2066" s="181"/>
      <c r="F2066" s="181"/>
      <c r="G2066" s="181"/>
      <c r="H2066" s="181"/>
      <c r="I2066" s="181"/>
      <c r="J2066" s="181"/>
      <c r="K2066" s="181"/>
      <c r="L2066" s="181"/>
      <c r="M2066" s="181"/>
      <c r="N2066" s="181"/>
      <c r="O2066" s="181"/>
      <c r="P2066" s="181"/>
    </row>
    <row r="2067">
      <c r="B2067" s="292"/>
      <c r="C2067" s="181"/>
      <c r="D2067" s="181"/>
      <c r="E2067" s="181"/>
      <c r="F2067" s="181"/>
      <c r="G2067" s="181"/>
      <c r="H2067" s="181"/>
      <c r="I2067" s="181"/>
      <c r="J2067" s="181"/>
      <c r="K2067" s="181"/>
      <c r="L2067" s="181"/>
      <c r="M2067" s="181"/>
      <c r="N2067" s="181"/>
      <c r="O2067" s="181"/>
      <c r="P2067" s="181"/>
    </row>
    <row r="2068">
      <c r="B2068" s="292"/>
      <c r="C2068" s="181"/>
      <c r="D2068" s="181"/>
      <c r="E2068" s="181"/>
      <c r="F2068" s="181"/>
      <c r="G2068" s="181"/>
      <c r="H2068" s="181"/>
      <c r="I2068" s="181"/>
      <c r="J2068" s="181"/>
      <c r="K2068" s="181"/>
      <c r="L2068" s="181"/>
      <c r="M2068" s="181"/>
      <c r="N2068" s="181"/>
      <c r="O2068" s="181"/>
      <c r="P2068" s="181"/>
    </row>
    <row r="2069">
      <c r="B2069" s="292"/>
      <c r="C2069" s="181"/>
      <c r="D2069" s="181"/>
      <c r="E2069" s="181"/>
      <c r="F2069" s="181"/>
      <c r="G2069" s="181"/>
      <c r="H2069" s="181"/>
      <c r="I2069" s="181"/>
      <c r="J2069" s="181"/>
      <c r="K2069" s="181"/>
      <c r="L2069" s="181"/>
      <c r="M2069" s="181"/>
      <c r="N2069" s="181"/>
      <c r="O2069" s="181"/>
      <c r="P2069" s="181"/>
    </row>
    <row r="2070">
      <c r="B2070" s="292"/>
      <c r="C2070" s="181"/>
      <c r="D2070" s="181"/>
      <c r="E2070" s="181"/>
      <c r="F2070" s="181"/>
      <c r="G2070" s="181"/>
      <c r="H2070" s="181"/>
      <c r="I2070" s="181"/>
      <c r="J2070" s="181"/>
      <c r="K2070" s="181"/>
      <c r="L2070" s="181"/>
      <c r="M2070" s="181"/>
      <c r="N2070" s="181"/>
      <c r="O2070" s="181"/>
      <c r="P2070" s="181"/>
    </row>
    <row r="2071">
      <c r="B2071" s="292"/>
      <c r="C2071" s="181"/>
      <c r="D2071" s="181"/>
      <c r="E2071" s="181"/>
      <c r="F2071" s="181"/>
      <c r="G2071" s="181"/>
      <c r="H2071" s="181"/>
      <c r="I2071" s="181"/>
      <c r="J2071" s="181"/>
      <c r="K2071" s="181"/>
      <c r="L2071" s="181"/>
      <c r="M2071" s="181"/>
      <c r="N2071" s="181"/>
      <c r="O2071" s="181"/>
      <c r="P2071" s="181"/>
    </row>
    <row r="2072">
      <c r="B2072" s="292"/>
      <c r="C2072" s="181"/>
      <c r="D2072" s="181"/>
      <c r="E2072" s="181"/>
      <c r="F2072" s="181"/>
      <c r="G2072" s="181"/>
      <c r="H2072" s="181"/>
      <c r="I2072" s="181"/>
      <c r="J2072" s="181"/>
      <c r="K2072" s="181"/>
      <c r="L2072" s="181"/>
      <c r="M2072" s="181"/>
      <c r="N2072" s="181"/>
      <c r="O2072" s="181"/>
      <c r="P2072" s="181"/>
    </row>
    <row r="2073">
      <c r="B2073" s="292"/>
      <c r="C2073" s="181"/>
      <c r="D2073" s="181"/>
      <c r="E2073" s="181"/>
      <c r="F2073" s="181"/>
      <c r="G2073" s="181"/>
      <c r="H2073" s="181"/>
      <c r="I2073" s="181"/>
      <c r="J2073" s="181"/>
      <c r="K2073" s="181"/>
      <c r="L2073" s="181"/>
      <c r="M2073" s="181"/>
      <c r="N2073" s="181"/>
      <c r="O2073" s="181"/>
      <c r="P2073" s="181"/>
    </row>
    <row r="2074">
      <c r="B2074" s="292"/>
      <c r="C2074" s="181"/>
      <c r="D2074" s="181"/>
      <c r="E2074" s="181"/>
      <c r="F2074" s="181"/>
      <c r="G2074" s="181"/>
      <c r="H2074" s="181"/>
      <c r="I2074" s="181"/>
      <c r="J2074" s="181"/>
      <c r="K2074" s="181"/>
      <c r="L2074" s="181"/>
      <c r="M2074" s="181"/>
      <c r="N2074" s="181"/>
      <c r="O2074" s="181"/>
      <c r="P2074" s="181"/>
    </row>
    <row r="2075">
      <c r="B2075" s="292"/>
      <c r="C2075" s="181"/>
      <c r="D2075" s="181"/>
      <c r="E2075" s="181"/>
      <c r="F2075" s="181"/>
      <c r="G2075" s="181"/>
      <c r="H2075" s="181"/>
      <c r="I2075" s="181"/>
      <c r="J2075" s="181"/>
      <c r="K2075" s="181"/>
      <c r="L2075" s="181"/>
      <c r="M2075" s="181"/>
      <c r="N2075" s="181"/>
      <c r="O2075" s="181"/>
      <c r="P2075" s="181"/>
    </row>
    <row r="2076">
      <c r="B2076" s="292"/>
      <c r="C2076" s="181"/>
      <c r="D2076" s="181"/>
      <c r="E2076" s="181"/>
      <c r="F2076" s="181"/>
      <c r="G2076" s="181"/>
      <c r="H2076" s="181"/>
      <c r="I2076" s="181"/>
      <c r="J2076" s="181"/>
      <c r="K2076" s="181"/>
      <c r="L2076" s="181"/>
      <c r="M2076" s="181"/>
      <c r="N2076" s="181"/>
      <c r="O2076" s="181"/>
      <c r="P2076" s="181"/>
    </row>
    <row r="2077">
      <c r="B2077" s="292"/>
      <c r="C2077" s="181"/>
      <c r="D2077" s="181"/>
      <c r="E2077" s="181"/>
      <c r="F2077" s="181"/>
      <c r="G2077" s="181"/>
      <c r="H2077" s="181"/>
      <c r="I2077" s="181"/>
      <c r="J2077" s="181"/>
      <c r="K2077" s="181"/>
      <c r="L2077" s="181"/>
      <c r="M2077" s="181"/>
      <c r="N2077" s="181"/>
      <c r="O2077" s="181"/>
      <c r="P2077" s="181"/>
    </row>
    <row r="2078">
      <c r="B2078" s="292"/>
      <c r="C2078" s="181"/>
      <c r="D2078" s="181"/>
      <c r="E2078" s="181"/>
      <c r="F2078" s="181"/>
      <c r="G2078" s="181"/>
      <c r="H2078" s="181"/>
      <c r="I2078" s="181"/>
      <c r="J2078" s="181"/>
      <c r="K2078" s="181"/>
      <c r="L2078" s="181"/>
      <c r="M2078" s="181"/>
      <c r="N2078" s="181"/>
      <c r="O2078" s="181"/>
      <c r="P2078" s="181"/>
    </row>
    <row r="2079">
      <c r="B2079" s="292"/>
      <c r="C2079" s="181"/>
      <c r="D2079" s="181"/>
      <c r="E2079" s="181"/>
      <c r="F2079" s="181"/>
      <c r="G2079" s="181"/>
      <c r="H2079" s="181"/>
      <c r="I2079" s="181"/>
      <c r="J2079" s="181"/>
      <c r="K2079" s="181"/>
      <c r="L2079" s="181"/>
      <c r="M2079" s="181"/>
      <c r="N2079" s="181"/>
      <c r="O2079" s="181"/>
      <c r="P2079" s="181"/>
    </row>
    <row r="2080">
      <c r="B2080" s="292"/>
      <c r="C2080" s="181"/>
      <c r="D2080" s="181"/>
      <c r="E2080" s="181"/>
      <c r="F2080" s="181"/>
      <c r="G2080" s="181"/>
      <c r="H2080" s="181"/>
      <c r="I2080" s="181"/>
      <c r="J2080" s="181"/>
      <c r="K2080" s="181"/>
      <c r="L2080" s="181"/>
      <c r="M2080" s="181"/>
      <c r="N2080" s="181"/>
      <c r="O2080" s="181"/>
      <c r="P2080" s="181"/>
    </row>
    <row r="2081">
      <c r="B2081" s="292"/>
      <c r="C2081" s="181"/>
      <c r="D2081" s="181"/>
      <c r="E2081" s="181"/>
      <c r="F2081" s="181"/>
      <c r="G2081" s="181"/>
      <c r="H2081" s="181"/>
      <c r="I2081" s="181"/>
      <c r="J2081" s="181"/>
      <c r="K2081" s="181"/>
      <c r="L2081" s="181"/>
      <c r="M2081" s="181"/>
      <c r="N2081" s="181"/>
      <c r="O2081" s="181"/>
      <c r="P2081" s="181"/>
    </row>
    <row r="2082">
      <c r="B2082" s="292"/>
      <c r="C2082" s="181"/>
      <c r="D2082" s="181"/>
      <c r="E2082" s="181"/>
      <c r="F2082" s="181"/>
      <c r="G2082" s="181"/>
      <c r="H2082" s="181"/>
      <c r="I2082" s="181"/>
      <c r="J2082" s="181"/>
      <c r="K2082" s="181"/>
      <c r="L2082" s="181"/>
      <c r="M2082" s="181"/>
      <c r="N2082" s="181"/>
      <c r="O2082" s="181"/>
      <c r="P2082" s="181"/>
    </row>
    <row r="2083">
      <c r="B2083" s="292"/>
      <c r="C2083" s="181"/>
      <c r="D2083" s="181"/>
      <c r="E2083" s="181"/>
      <c r="F2083" s="181"/>
      <c r="G2083" s="181"/>
      <c r="H2083" s="181"/>
      <c r="I2083" s="181"/>
      <c r="J2083" s="181"/>
      <c r="K2083" s="181"/>
      <c r="L2083" s="181"/>
      <c r="M2083" s="181"/>
      <c r="N2083" s="181"/>
      <c r="O2083" s="181"/>
      <c r="P2083" s="181"/>
    </row>
    <row r="2084">
      <c r="B2084" s="292"/>
      <c r="C2084" s="181"/>
      <c r="D2084" s="181"/>
      <c r="E2084" s="181"/>
      <c r="F2084" s="181"/>
      <c r="G2084" s="181"/>
      <c r="H2084" s="181"/>
      <c r="I2084" s="181"/>
      <c r="J2084" s="181"/>
      <c r="K2084" s="181"/>
      <c r="L2084" s="181"/>
      <c r="M2084" s="181"/>
      <c r="N2084" s="181"/>
      <c r="O2084" s="181"/>
      <c r="P2084" s="181"/>
    </row>
    <row r="2085">
      <c r="B2085" s="292"/>
      <c r="C2085" s="181"/>
      <c r="D2085" s="181"/>
      <c r="E2085" s="181"/>
      <c r="F2085" s="181"/>
      <c r="G2085" s="181"/>
      <c r="H2085" s="181"/>
      <c r="I2085" s="181"/>
      <c r="J2085" s="181"/>
      <c r="K2085" s="181"/>
      <c r="L2085" s="181"/>
      <c r="M2085" s="181"/>
      <c r="N2085" s="181"/>
      <c r="O2085" s="181"/>
      <c r="P2085" s="181"/>
    </row>
    <row r="2086">
      <c r="B2086" s="292"/>
      <c r="C2086" s="181"/>
      <c r="D2086" s="181"/>
      <c r="E2086" s="181"/>
      <c r="F2086" s="181"/>
      <c r="G2086" s="181"/>
      <c r="H2086" s="181"/>
      <c r="I2086" s="181"/>
      <c r="J2086" s="181"/>
      <c r="K2086" s="181"/>
      <c r="L2086" s="181"/>
      <c r="M2086" s="181"/>
      <c r="N2086" s="181"/>
      <c r="O2086" s="181"/>
      <c r="P2086" s="181"/>
    </row>
    <row r="2087">
      <c r="B2087" s="292"/>
      <c r="C2087" s="181"/>
      <c r="D2087" s="181"/>
      <c r="E2087" s="181"/>
      <c r="F2087" s="181"/>
      <c r="G2087" s="181"/>
      <c r="H2087" s="181"/>
      <c r="I2087" s="181"/>
      <c r="J2087" s="181"/>
      <c r="K2087" s="181"/>
      <c r="L2087" s="181"/>
      <c r="M2087" s="181"/>
      <c r="N2087" s="181"/>
      <c r="O2087" s="181"/>
      <c r="P2087" s="181"/>
    </row>
    <row r="2088">
      <c r="B2088" s="292"/>
      <c r="C2088" s="181"/>
      <c r="D2088" s="181"/>
      <c r="E2088" s="181"/>
      <c r="F2088" s="181"/>
      <c r="G2088" s="181"/>
      <c r="H2088" s="181"/>
      <c r="I2088" s="181"/>
      <c r="J2088" s="181"/>
      <c r="K2088" s="181"/>
      <c r="L2088" s="181"/>
      <c r="M2088" s="181"/>
      <c r="N2088" s="181"/>
      <c r="O2088" s="181"/>
      <c r="P2088" s="181"/>
    </row>
    <row r="2089">
      <c r="B2089" s="292"/>
      <c r="C2089" s="181"/>
      <c r="D2089" s="181"/>
      <c r="E2089" s="181"/>
      <c r="F2089" s="181"/>
      <c r="G2089" s="181"/>
      <c r="H2089" s="181"/>
      <c r="I2089" s="181"/>
      <c r="J2089" s="181"/>
      <c r="K2089" s="181"/>
      <c r="L2089" s="181"/>
      <c r="M2089" s="181"/>
      <c r="N2089" s="181"/>
      <c r="O2089" s="181"/>
      <c r="P2089" s="181"/>
    </row>
    <row r="2090">
      <c r="B2090" s="292"/>
      <c r="C2090" s="181"/>
      <c r="D2090" s="181"/>
      <c r="E2090" s="181"/>
      <c r="F2090" s="181"/>
      <c r="G2090" s="181"/>
      <c r="H2090" s="181"/>
      <c r="I2090" s="181"/>
      <c r="J2090" s="181"/>
      <c r="K2090" s="181"/>
      <c r="L2090" s="181"/>
      <c r="M2090" s="181"/>
      <c r="N2090" s="181"/>
      <c r="O2090" s="181"/>
      <c r="P2090" s="181"/>
    </row>
    <row r="2091">
      <c r="B2091" s="292"/>
      <c r="C2091" s="181"/>
      <c r="D2091" s="181"/>
      <c r="E2091" s="181"/>
      <c r="F2091" s="181"/>
      <c r="G2091" s="181"/>
      <c r="H2091" s="181"/>
      <c r="I2091" s="181"/>
      <c r="J2091" s="181"/>
      <c r="K2091" s="181"/>
      <c r="L2091" s="181"/>
      <c r="M2091" s="181"/>
      <c r="N2091" s="181"/>
      <c r="O2091" s="181"/>
      <c r="P2091" s="181"/>
    </row>
    <row r="2092">
      <c r="B2092" s="292"/>
      <c r="C2092" s="181"/>
      <c r="D2092" s="181"/>
      <c r="E2092" s="181"/>
      <c r="F2092" s="181"/>
      <c r="G2092" s="181"/>
      <c r="H2092" s="181"/>
      <c r="I2092" s="181"/>
      <c r="J2092" s="181"/>
      <c r="K2092" s="181"/>
      <c r="L2092" s="181"/>
      <c r="M2092" s="181"/>
      <c r="N2092" s="181"/>
      <c r="O2092" s="181"/>
      <c r="P2092" s="181"/>
    </row>
    <row r="2093">
      <c r="B2093" s="292"/>
      <c r="C2093" s="181"/>
      <c r="D2093" s="181"/>
      <c r="E2093" s="181"/>
      <c r="F2093" s="181"/>
      <c r="G2093" s="181"/>
      <c r="H2093" s="181"/>
      <c r="I2093" s="181"/>
      <c r="J2093" s="181"/>
      <c r="K2093" s="181"/>
      <c r="L2093" s="181"/>
      <c r="M2093" s="181"/>
      <c r="N2093" s="181"/>
      <c r="O2093" s="181"/>
      <c r="P2093" s="181"/>
    </row>
    <row r="2094">
      <c r="B2094" s="292"/>
      <c r="C2094" s="181"/>
      <c r="D2094" s="181"/>
      <c r="E2094" s="181"/>
      <c r="F2094" s="181"/>
      <c r="G2094" s="181"/>
      <c r="H2094" s="181"/>
      <c r="I2094" s="181"/>
      <c r="J2094" s="181"/>
      <c r="K2094" s="181"/>
      <c r="L2094" s="181"/>
      <c r="M2094" s="181"/>
      <c r="N2094" s="181"/>
      <c r="O2094" s="181"/>
      <c r="P2094" s="181"/>
    </row>
    <row r="2095">
      <c r="B2095" s="292"/>
      <c r="C2095" s="181"/>
      <c r="D2095" s="181"/>
      <c r="E2095" s="181"/>
      <c r="F2095" s="181"/>
      <c r="G2095" s="181"/>
      <c r="H2095" s="181"/>
      <c r="I2095" s="181"/>
      <c r="J2095" s="181"/>
      <c r="K2095" s="181"/>
      <c r="L2095" s="181"/>
      <c r="M2095" s="181"/>
      <c r="N2095" s="181"/>
      <c r="O2095" s="181"/>
      <c r="P2095" s="181"/>
    </row>
    <row r="2096">
      <c r="B2096" s="292"/>
      <c r="C2096" s="181"/>
      <c r="D2096" s="181"/>
      <c r="E2096" s="181"/>
      <c r="F2096" s="181"/>
      <c r="G2096" s="181"/>
      <c r="H2096" s="181"/>
      <c r="I2096" s="181"/>
      <c r="J2096" s="181"/>
      <c r="K2096" s="181"/>
      <c r="L2096" s="181"/>
      <c r="M2096" s="181"/>
      <c r="N2096" s="181"/>
      <c r="O2096" s="181"/>
      <c r="P2096" s="181"/>
    </row>
    <row r="2097">
      <c r="B2097" s="292"/>
      <c r="C2097" s="181"/>
      <c r="D2097" s="181"/>
      <c r="E2097" s="181"/>
      <c r="F2097" s="181"/>
      <c r="G2097" s="181"/>
      <c r="H2097" s="181"/>
      <c r="I2097" s="181"/>
      <c r="J2097" s="181"/>
      <c r="K2097" s="181"/>
      <c r="L2097" s="181"/>
      <c r="M2097" s="181"/>
      <c r="N2097" s="181"/>
      <c r="O2097" s="181"/>
      <c r="P2097" s="181"/>
    </row>
    <row r="2098">
      <c r="B2098" s="292"/>
      <c r="C2098" s="181"/>
      <c r="D2098" s="181"/>
      <c r="E2098" s="181"/>
      <c r="F2098" s="181"/>
      <c r="G2098" s="181"/>
      <c r="H2098" s="181"/>
      <c r="I2098" s="181"/>
      <c r="J2098" s="181"/>
      <c r="K2098" s="181"/>
      <c r="L2098" s="181"/>
      <c r="M2098" s="181"/>
      <c r="N2098" s="181"/>
      <c r="O2098" s="181"/>
      <c r="P2098" s="181"/>
    </row>
    <row r="2099">
      <c r="B2099" s="292"/>
      <c r="C2099" s="181"/>
      <c r="D2099" s="181"/>
      <c r="E2099" s="181"/>
      <c r="F2099" s="181"/>
      <c r="G2099" s="181"/>
      <c r="H2099" s="181"/>
      <c r="I2099" s="181"/>
      <c r="J2099" s="181"/>
      <c r="K2099" s="181"/>
      <c r="L2099" s="181"/>
      <c r="M2099" s="181"/>
      <c r="N2099" s="181"/>
      <c r="O2099" s="181"/>
      <c r="P2099" s="181"/>
    </row>
    <row r="2100">
      <c r="B2100" s="292"/>
      <c r="C2100" s="181"/>
      <c r="D2100" s="181"/>
      <c r="E2100" s="181"/>
      <c r="F2100" s="181"/>
      <c r="G2100" s="181"/>
      <c r="H2100" s="181"/>
      <c r="I2100" s="181"/>
      <c r="J2100" s="181"/>
      <c r="K2100" s="181"/>
      <c r="L2100" s="181"/>
      <c r="M2100" s="181"/>
      <c r="N2100" s="181"/>
      <c r="O2100" s="181"/>
      <c r="P2100" s="181"/>
    </row>
    <row r="2101">
      <c r="B2101" s="292"/>
      <c r="C2101" s="181"/>
      <c r="D2101" s="181"/>
      <c r="E2101" s="181"/>
      <c r="F2101" s="181"/>
      <c r="G2101" s="181"/>
      <c r="H2101" s="181"/>
      <c r="I2101" s="181"/>
      <c r="J2101" s="181"/>
      <c r="K2101" s="181"/>
      <c r="L2101" s="181"/>
      <c r="M2101" s="181"/>
      <c r="N2101" s="181"/>
      <c r="O2101" s="181"/>
      <c r="P2101" s="181"/>
    </row>
    <row r="2102">
      <c r="B2102" s="292"/>
      <c r="C2102" s="181"/>
      <c r="D2102" s="181"/>
      <c r="E2102" s="181"/>
      <c r="F2102" s="181"/>
      <c r="G2102" s="181"/>
      <c r="H2102" s="181"/>
      <c r="I2102" s="181"/>
      <c r="J2102" s="181"/>
      <c r="K2102" s="181"/>
      <c r="L2102" s="181"/>
      <c r="M2102" s="181"/>
      <c r="N2102" s="181"/>
      <c r="O2102" s="181"/>
      <c r="P2102" s="181"/>
    </row>
    <row r="2103">
      <c r="B2103" s="292"/>
      <c r="C2103" s="181"/>
      <c r="D2103" s="181"/>
      <c r="E2103" s="181"/>
      <c r="F2103" s="181"/>
      <c r="G2103" s="181"/>
      <c r="H2103" s="181"/>
      <c r="I2103" s="181"/>
      <c r="J2103" s="181"/>
      <c r="K2103" s="181"/>
      <c r="L2103" s="181"/>
      <c r="M2103" s="181"/>
      <c r="N2103" s="181"/>
      <c r="O2103" s="181"/>
      <c r="P2103" s="181"/>
    </row>
    <row r="2104">
      <c r="B2104" s="292"/>
      <c r="C2104" s="181"/>
      <c r="D2104" s="181"/>
      <c r="E2104" s="181"/>
      <c r="F2104" s="181"/>
      <c r="G2104" s="181"/>
      <c r="H2104" s="181"/>
      <c r="I2104" s="181"/>
      <c r="J2104" s="181"/>
      <c r="K2104" s="181"/>
      <c r="L2104" s="181"/>
      <c r="M2104" s="181"/>
      <c r="N2104" s="181"/>
      <c r="O2104" s="181"/>
      <c r="P2104" s="181"/>
    </row>
    <row r="2105">
      <c r="B2105" s="292"/>
      <c r="C2105" s="181"/>
      <c r="D2105" s="181"/>
      <c r="E2105" s="181"/>
      <c r="F2105" s="181"/>
      <c r="G2105" s="181"/>
      <c r="H2105" s="181"/>
      <c r="I2105" s="181"/>
      <c r="J2105" s="181"/>
      <c r="K2105" s="181"/>
      <c r="L2105" s="181"/>
      <c r="M2105" s="181"/>
      <c r="N2105" s="181"/>
      <c r="O2105" s="181"/>
      <c r="P2105" s="181"/>
    </row>
    <row r="2106">
      <c r="B2106" s="292"/>
      <c r="C2106" s="181"/>
      <c r="D2106" s="181"/>
      <c r="E2106" s="181"/>
      <c r="F2106" s="181"/>
      <c r="G2106" s="181"/>
      <c r="H2106" s="181"/>
      <c r="I2106" s="181"/>
      <c r="J2106" s="181"/>
      <c r="K2106" s="181"/>
      <c r="L2106" s="181"/>
      <c r="M2106" s="181"/>
      <c r="N2106" s="181"/>
      <c r="O2106" s="181"/>
      <c r="P2106" s="181"/>
    </row>
    <row r="2107">
      <c r="B2107" s="292"/>
      <c r="C2107" s="181"/>
      <c r="D2107" s="181"/>
      <c r="E2107" s="181"/>
      <c r="F2107" s="181"/>
      <c r="G2107" s="181"/>
      <c r="H2107" s="181"/>
      <c r="I2107" s="181"/>
      <c r="J2107" s="181"/>
      <c r="K2107" s="181"/>
      <c r="L2107" s="181"/>
      <c r="M2107" s="181"/>
      <c r="N2107" s="181"/>
      <c r="O2107" s="181"/>
      <c r="P2107" s="181"/>
    </row>
    <row r="2108">
      <c r="B2108" s="292"/>
      <c r="C2108" s="181"/>
      <c r="D2108" s="181"/>
      <c r="E2108" s="181"/>
      <c r="F2108" s="181"/>
      <c r="G2108" s="181"/>
      <c r="H2108" s="181"/>
      <c r="I2108" s="181"/>
      <c r="J2108" s="181"/>
      <c r="K2108" s="181"/>
      <c r="L2108" s="181"/>
      <c r="M2108" s="181"/>
      <c r="N2108" s="181"/>
      <c r="O2108" s="181"/>
      <c r="P2108" s="181"/>
    </row>
    <row r="2109">
      <c r="B2109" s="292"/>
      <c r="C2109" s="181"/>
      <c r="D2109" s="181"/>
      <c r="E2109" s="181"/>
      <c r="F2109" s="181"/>
      <c r="G2109" s="181"/>
      <c r="H2109" s="181"/>
      <c r="I2109" s="181"/>
      <c r="J2109" s="181"/>
      <c r="K2109" s="181"/>
      <c r="L2109" s="181"/>
      <c r="M2109" s="181"/>
      <c r="N2109" s="181"/>
      <c r="O2109" s="181"/>
      <c r="P2109" s="181"/>
    </row>
    <row r="2110">
      <c r="B2110" s="292"/>
      <c r="C2110" s="181"/>
      <c r="D2110" s="181"/>
      <c r="E2110" s="181"/>
      <c r="F2110" s="181"/>
      <c r="G2110" s="181"/>
      <c r="H2110" s="181"/>
      <c r="I2110" s="181"/>
      <c r="J2110" s="181"/>
      <c r="K2110" s="181"/>
      <c r="L2110" s="181"/>
      <c r="M2110" s="181"/>
      <c r="N2110" s="181"/>
      <c r="O2110" s="181"/>
      <c r="P2110" s="181"/>
    </row>
    <row r="2111">
      <c r="B2111" s="292"/>
      <c r="C2111" s="181"/>
      <c r="D2111" s="181"/>
      <c r="E2111" s="181"/>
      <c r="F2111" s="181"/>
      <c r="G2111" s="181"/>
      <c r="H2111" s="181"/>
      <c r="I2111" s="181"/>
      <c r="J2111" s="181"/>
      <c r="K2111" s="181"/>
      <c r="L2111" s="181"/>
      <c r="M2111" s="181"/>
      <c r="N2111" s="181"/>
      <c r="O2111" s="181"/>
      <c r="P2111" s="181"/>
    </row>
    <row r="2112">
      <c r="B2112" s="292"/>
      <c r="C2112" s="181"/>
      <c r="D2112" s="181"/>
      <c r="E2112" s="181"/>
      <c r="F2112" s="181"/>
      <c r="G2112" s="181"/>
      <c r="H2112" s="181"/>
      <c r="I2112" s="181"/>
      <c r="J2112" s="181"/>
      <c r="K2112" s="181"/>
      <c r="L2112" s="181"/>
      <c r="M2112" s="181"/>
      <c r="N2112" s="181"/>
      <c r="O2112" s="181"/>
      <c r="P2112" s="181"/>
    </row>
    <row r="2113">
      <c r="B2113" s="292"/>
      <c r="C2113" s="181"/>
      <c r="D2113" s="181"/>
      <c r="E2113" s="181"/>
      <c r="F2113" s="181"/>
      <c r="G2113" s="181"/>
      <c r="H2113" s="181"/>
      <c r="I2113" s="181"/>
      <c r="J2113" s="181"/>
      <c r="K2113" s="181"/>
      <c r="L2113" s="181"/>
      <c r="M2113" s="181"/>
      <c r="N2113" s="181"/>
      <c r="O2113" s="181"/>
      <c r="P2113" s="181"/>
    </row>
    <row r="2114">
      <c r="B2114" s="292"/>
      <c r="C2114" s="181"/>
      <c r="D2114" s="181"/>
      <c r="E2114" s="181"/>
      <c r="F2114" s="181"/>
      <c r="G2114" s="181"/>
      <c r="H2114" s="181"/>
      <c r="I2114" s="181"/>
      <c r="J2114" s="181"/>
      <c r="K2114" s="181"/>
      <c r="L2114" s="181"/>
      <c r="M2114" s="181"/>
      <c r="N2114" s="181"/>
      <c r="O2114" s="181"/>
      <c r="P2114" s="181"/>
    </row>
    <row r="2115">
      <c r="B2115" s="292"/>
      <c r="C2115" s="181"/>
      <c r="D2115" s="181"/>
      <c r="E2115" s="181"/>
      <c r="F2115" s="181"/>
      <c r="G2115" s="181"/>
      <c r="H2115" s="181"/>
      <c r="I2115" s="181"/>
      <c r="J2115" s="181"/>
      <c r="K2115" s="181"/>
      <c r="L2115" s="181"/>
      <c r="M2115" s="181"/>
      <c r="N2115" s="181"/>
      <c r="O2115" s="181"/>
      <c r="P2115" s="181"/>
    </row>
    <row r="2116">
      <c r="B2116" s="292"/>
      <c r="C2116" s="181"/>
      <c r="D2116" s="181"/>
      <c r="E2116" s="181"/>
      <c r="F2116" s="181"/>
      <c r="G2116" s="181"/>
      <c r="H2116" s="181"/>
      <c r="I2116" s="181"/>
      <c r="J2116" s="181"/>
      <c r="K2116" s="181"/>
      <c r="L2116" s="181"/>
      <c r="M2116" s="181"/>
      <c r="N2116" s="181"/>
      <c r="O2116" s="181"/>
      <c r="P2116" s="181"/>
    </row>
    <row r="2117">
      <c r="B2117" s="292"/>
      <c r="C2117" s="181"/>
      <c r="D2117" s="181"/>
      <c r="E2117" s="181"/>
      <c r="F2117" s="181"/>
      <c r="G2117" s="181"/>
      <c r="H2117" s="181"/>
      <c r="I2117" s="181"/>
      <c r="J2117" s="181"/>
      <c r="K2117" s="181"/>
      <c r="L2117" s="181"/>
      <c r="M2117" s="181"/>
      <c r="N2117" s="181"/>
      <c r="O2117" s="181"/>
      <c r="P2117" s="181"/>
    </row>
    <row r="2118">
      <c r="B2118" s="292"/>
      <c r="C2118" s="181"/>
      <c r="D2118" s="181"/>
      <c r="E2118" s="181"/>
      <c r="F2118" s="181"/>
      <c r="G2118" s="181"/>
      <c r="H2118" s="181"/>
      <c r="I2118" s="181"/>
      <c r="J2118" s="181"/>
      <c r="K2118" s="181"/>
      <c r="L2118" s="181"/>
      <c r="M2118" s="181"/>
      <c r="N2118" s="181"/>
      <c r="O2118" s="181"/>
      <c r="P2118" s="181"/>
    </row>
    <row r="2119">
      <c r="B2119" s="292"/>
      <c r="C2119" s="181"/>
      <c r="D2119" s="181"/>
      <c r="E2119" s="181"/>
      <c r="F2119" s="181"/>
      <c r="G2119" s="181"/>
      <c r="H2119" s="181"/>
      <c r="I2119" s="181"/>
      <c r="J2119" s="181"/>
      <c r="K2119" s="181"/>
      <c r="L2119" s="181"/>
      <c r="M2119" s="181"/>
      <c r="N2119" s="181"/>
      <c r="O2119" s="181"/>
      <c r="P2119" s="181"/>
    </row>
    <row r="2120">
      <c r="B2120" s="292"/>
      <c r="C2120" s="181"/>
      <c r="D2120" s="181"/>
      <c r="E2120" s="181"/>
      <c r="F2120" s="181"/>
      <c r="G2120" s="181"/>
      <c r="H2120" s="181"/>
      <c r="I2120" s="181"/>
      <c r="J2120" s="181"/>
      <c r="K2120" s="181"/>
      <c r="L2120" s="181"/>
      <c r="M2120" s="181"/>
      <c r="N2120" s="181"/>
      <c r="O2120" s="181"/>
      <c r="P2120" s="181"/>
    </row>
    <row r="2121">
      <c r="B2121" s="292"/>
      <c r="C2121" s="181"/>
      <c r="D2121" s="181"/>
      <c r="E2121" s="181"/>
      <c r="F2121" s="181"/>
      <c r="G2121" s="181"/>
      <c r="H2121" s="181"/>
      <c r="I2121" s="181"/>
      <c r="J2121" s="181"/>
      <c r="K2121" s="181"/>
      <c r="L2121" s="181"/>
      <c r="M2121" s="181"/>
      <c r="N2121" s="181"/>
      <c r="O2121" s="181"/>
      <c r="P2121" s="181"/>
    </row>
    <row r="2122">
      <c r="B2122" s="292"/>
      <c r="C2122" s="181"/>
      <c r="D2122" s="181"/>
      <c r="E2122" s="181"/>
      <c r="F2122" s="181"/>
      <c r="G2122" s="181"/>
      <c r="H2122" s="181"/>
      <c r="I2122" s="181"/>
      <c r="J2122" s="181"/>
      <c r="K2122" s="181"/>
      <c r="L2122" s="181"/>
      <c r="M2122" s="181"/>
      <c r="N2122" s="181"/>
      <c r="O2122" s="181"/>
      <c r="P2122" s="181"/>
    </row>
    <row r="2123">
      <c r="B2123" s="292"/>
      <c r="C2123" s="181"/>
      <c r="D2123" s="181"/>
      <c r="E2123" s="181"/>
      <c r="F2123" s="181"/>
      <c r="G2123" s="181"/>
      <c r="H2123" s="181"/>
      <c r="I2123" s="181"/>
      <c r="J2123" s="181"/>
      <c r="K2123" s="181"/>
      <c r="L2123" s="181"/>
      <c r="M2123" s="181"/>
      <c r="N2123" s="181"/>
      <c r="O2123" s="181"/>
      <c r="P2123" s="181"/>
    </row>
    <row r="2124">
      <c r="B2124" s="292"/>
      <c r="C2124" s="181"/>
      <c r="D2124" s="181"/>
      <c r="E2124" s="181"/>
      <c r="F2124" s="181"/>
      <c r="G2124" s="181"/>
      <c r="H2124" s="181"/>
      <c r="I2124" s="181"/>
      <c r="J2124" s="181"/>
      <c r="K2124" s="181"/>
      <c r="L2124" s="181"/>
      <c r="M2124" s="181"/>
      <c r="N2124" s="181"/>
      <c r="O2124" s="181"/>
      <c r="P2124" s="181"/>
    </row>
    <row r="2125">
      <c r="B2125" s="292"/>
      <c r="C2125" s="181"/>
      <c r="D2125" s="181"/>
      <c r="E2125" s="181"/>
      <c r="F2125" s="181"/>
      <c r="G2125" s="181"/>
      <c r="H2125" s="181"/>
      <c r="I2125" s="181"/>
      <c r="J2125" s="181"/>
      <c r="K2125" s="181"/>
      <c r="L2125" s="181"/>
      <c r="M2125" s="181"/>
      <c r="N2125" s="181"/>
      <c r="O2125" s="181"/>
      <c r="P2125" s="181"/>
    </row>
    <row r="2126">
      <c r="B2126" s="292"/>
      <c r="C2126" s="181"/>
      <c r="D2126" s="181"/>
      <c r="E2126" s="181"/>
      <c r="F2126" s="181"/>
      <c r="G2126" s="181"/>
      <c r="H2126" s="181"/>
      <c r="I2126" s="181"/>
      <c r="J2126" s="181"/>
      <c r="K2126" s="181"/>
      <c r="L2126" s="181"/>
      <c r="M2126" s="181"/>
      <c r="N2126" s="181"/>
      <c r="O2126" s="181"/>
      <c r="P2126" s="181"/>
    </row>
    <row r="2127">
      <c r="B2127" s="292"/>
      <c r="C2127" s="181"/>
      <c r="D2127" s="181"/>
      <c r="E2127" s="181"/>
      <c r="F2127" s="181"/>
      <c r="G2127" s="181"/>
      <c r="H2127" s="181"/>
      <c r="I2127" s="181"/>
      <c r="J2127" s="181"/>
      <c r="K2127" s="181"/>
      <c r="L2127" s="181"/>
      <c r="M2127" s="181"/>
      <c r="N2127" s="181"/>
      <c r="O2127" s="181"/>
      <c r="P2127" s="181"/>
    </row>
    <row r="2128">
      <c r="B2128" s="292"/>
      <c r="C2128" s="181"/>
      <c r="D2128" s="181"/>
      <c r="E2128" s="181"/>
      <c r="F2128" s="181"/>
      <c r="G2128" s="181"/>
      <c r="H2128" s="181"/>
      <c r="I2128" s="181"/>
      <c r="J2128" s="181"/>
      <c r="K2128" s="181"/>
      <c r="L2128" s="181"/>
      <c r="M2128" s="181"/>
      <c r="N2128" s="181"/>
      <c r="O2128" s="181"/>
      <c r="P2128" s="181"/>
    </row>
    <row r="2129">
      <c r="B2129" s="292"/>
      <c r="C2129" s="181"/>
      <c r="D2129" s="181"/>
      <c r="E2129" s="181"/>
      <c r="F2129" s="181"/>
      <c r="G2129" s="181"/>
      <c r="H2129" s="181"/>
      <c r="I2129" s="181"/>
      <c r="J2129" s="181"/>
      <c r="K2129" s="181"/>
      <c r="L2129" s="181"/>
      <c r="M2129" s="181"/>
      <c r="N2129" s="181"/>
      <c r="O2129" s="181"/>
      <c r="P2129" s="181"/>
    </row>
    <row r="2130">
      <c r="B2130" s="292"/>
      <c r="C2130" s="181"/>
      <c r="D2130" s="181"/>
      <c r="E2130" s="181"/>
      <c r="F2130" s="181"/>
      <c r="G2130" s="181"/>
      <c r="H2130" s="181"/>
      <c r="I2130" s="181"/>
      <c r="J2130" s="181"/>
      <c r="K2130" s="181"/>
      <c r="L2130" s="181"/>
      <c r="M2130" s="181"/>
      <c r="N2130" s="181"/>
      <c r="O2130" s="181"/>
      <c r="P2130" s="181"/>
    </row>
    <row r="2131">
      <c r="B2131" s="292"/>
      <c r="C2131" s="181"/>
      <c r="D2131" s="181"/>
      <c r="E2131" s="181"/>
      <c r="F2131" s="181"/>
      <c r="G2131" s="181"/>
      <c r="H2131" s="181"/>
      <c r="I2131" s="181"/>
      <c r="J2131" s="181"/>
      <c r="K2131" s="181"/>
      <c r="L2131" s="181"/>
      <c r="M2131" s="181"/>
      <c r="N2131" s="181"/>
      <c r="O2131" s="181"/>
      <c r="P2131" s="181"/>
    </row>
    <row r="2132">
      <c r="B2132" s="292"/>
      <c r="C2132" s="181"/>
      <c r="D2132" s="181"/>
      <c r="E2132" s="181"/>
      <c r="F2132" s="181"/>
      <c r="G2132" s="181"/>
      <c r="H2132" s="181"/>
      <c r="I2132" s="181"/>
      <c r="J2132" s="181"/>
      <c r="K2132" s="181"/>
      <c r="L2132" s="181"/>
      <c r="M2132" s="181"/>
      <c r="N2132" s="181"/>
      <c r="O2132" s="181"/>
      <c r="P2132" s="181"/>
    </row>
    <row r="2133">
      <c r="B2133" s="292"/>
      <c r="C2133" s="181"/>
      <c r="D2133" s="181"/>
      <c r="E2133" s="181"/>
      <c r="F2133" s="181"/>
      <c r="G2133" s="181"/>
      <c r="H2133" s="181"/>
      <c r="I2133" s="181"/>
      <c r="J2133" s="181"/>
      <c r="K2133" s="181"/>
      <c r="L2133" s="181"/>
      <c r="M2133" s="181"/>
      <c r="N2133" s="181"/>
      <c r="O2133" s="181"/>
      <c r="P2133" s="181"/>
    </row>
    <row r="2134">
      <c r="B2134" s="292"/>
      <c r="C2134" s="181"/>
      <c r="D2134" s="181"/>
      <c r="E2134" s="181"/>
      <c r="F2134" s="181"/>
      <c r="G2134" s="181"/>
      <c r="H2134" s="181"/>
      <c r="I2134" s="181"/>
      <c r="J2134" s="181"/>
      <c r="K2134" s="181"/>
      <c r="L2134" s="181"/>
      <c r="M2134" s="181"/>
      <c r="N2134" s="181"/>
      <c r="O2134" s="181"/>
      <c r="P2134" s="181"/>
    </row>
    <row r="2135">
      <c r="B2135" s="292"/>
      <c r="C2135" s="181"/>
      <c r="D2135" s="181"/>
      <c r="E2135" s="181"/>
      <c r="F2135" s="181"/>
      <c r="G2135" s="181"/>
      <c r="H2135" s="181"/>
      <c r="I2135" s="181"/>
      <c r="J2135" s="181"/>
      <c r="K2135" s="181"/>
      <c r="L2135" s="181"/>
      <c r="M2135" s="181"/>
      <c r="N2135" s="181"/>
      <c r="O2135" s="181"/>
      <c r="P2135" s="181"/>
    </row>
    <row r="2136">
      <c r="B2136" s="292"/>
      <c r="C2136" s="181"/>
      <c r="D2136" s="181"/>
      <c r="E2136" s="181"/>
      <c r="F2136" s="181"/>
      <c r="G2136" s="181"/>
      <c r="H2136" s="181"/>
      <c r="I2136" s="181"/>
      <c r="J2136" s="181"/>
      <c r="K2136" s="181"/>
      <c r="L2136" s="181"/>
      <c r="M2136" s="181"/>
      <c r="N2136" s="181"/>
      <c r="O2136" s="181"/>
      <c r="P2136" s="181"/>
    </row>
    <row r="2137">
      <c r="B2137" s="292"/>
      <c r="C2137" s="181"/>
      <c r="D2137" s="181"/>
      <c r="E2137" s="181"/>
      <c r="F2137" s="181"/>
      <c r="G2137" s="181"/>
      <c r="H2137" s="181"/>
      <c r="I2137" s="181"/>
      <c r="J2137" s="181"/>
      <c r="K2137" s="181"/>
      <c r="L2137" s="181"/>
      <c r="M2137" s="181"/>
      <c r="N2137" s="181"/>
      <c r="O2137" s="181"/>
      <c r="P2137" s="181"/>
    </row>
    <row r="2138">
      <c r="B2138" s="292"/>
      <c r="C2138" s="181"/>
      <c r="D2138" s="181"/>
      <c r="E2138" s="181"/>
      <c r="F2138" s="181"/>
      <c r="G2138" s="181"/>
      <c r="H2138" s="181"/>
      <c r="I2138" s="181"/>
      <c r="J2138" s="181"/>
      <c r="K2138" s="181"/>
      <c r="L2138" s="181"/>
      <c r="M2138" s="181"/>
      <c r="N2138" s="181"/>
      <c r="O2138" s="181"/>
      <c r="P2138" s="181"/>
    </row>
    <row r="2139">
      <c r="B2139" s="292"/>
      <c r="C2139" s="181"/>
      <c r="D2139" s="181"/>
      <c r="E2139" s="181"/>
      <c r="F2139" s="181"/>
      <c r="G2139" s="181"/>
      <c r="H2139" s="181"/>
      <c r="I2139" s="181"/>
      <c r="J2139" s="181"/>
      <c r="K2139" s="181"/>
      <c r="L2139" s="181"/>
      <c r="M2139" s="181"/>
      <c r="N2139" s="181"/>
      <c r="O2139" s="181"/>
      <c r="P2139" s="181"/>
    </row>
    <row r="2140">
      <c r="B2140" s="292"/>
      <c r="C2140" s="181"/>
      <c r="D2140" s="181"/>
      <c r="E2140" s="181"/>
      <c r="F2140" s="181"/>
      <c r="G2140" s="181"/>
      <c r="H2140" s="181"/>
      <c r="I2140" s="181"/>
      <c r="J2140" s="181"/>
      <c r="K2140" s="181"/>
      <c r="L2140" s="181"/>
      <c r="M2140" s="181"/>
      <c r="N2140" s="181"/>
      <c r="O2140" s="181"/>
      <c r="P2140" s="181"/>
    </row>
    <row r="2141">
      <c r="B2141" s="292"/>
      <c r="C2141" s="181"/>
      <c r="D2141" s="181"/>
      <c r="E2141" s="181"/>
      <c r="F2141" s="181"/>
      <c r="G2141" s="181"/>
      <c r="H2141" s="181"/>
      <c r="I2141" s="181"/>
      <c r="J2141" s="181"/>
      <c r="K2141" s="181"/>
      <c r="L2141" s="181"/>
      <c r="M2141" s="181"/>
      <c r="N2141" s="181"/>
      <c r="O2141" s="181"/>
      <c r="P2141" s="181"/>
    </row>
    <row r="2142">
      <c r="B2142" s="292"/>
      <c r="C2142" s="181"/>
      <c r="D2142" s="181"/>
      <c r="E2142" s="181"/>
      <c r="F2142" s="181"/>
      <c r="G2142" s="181"/>
      <c r="H2142" s="181"/>
      <c r="I2142" s="181"/>
      <c r="J2142" s="181"/>
      <c r="K2142" s="181"/>
      <c r="L2142" s="181"/>
      <c r="M2142" s="181"/>
      <c r="N2142" s="181"/>
      <c r="O2142" s="181"/>
      <c r="P2142" s="181"/>
    </row>
    <row r="2143">
      <c r="B2143" s="292"/>
      <c r="C2143" s="181"/>
      <c r="D2143" s="181"/>
      <c r="E2143" s="181"/>
      <c r="F2143" s="181"/>
      <c r="G2143" s="181"/>
      <c r="H2143" s="181"/>
      <c r="I2143" s="181"/>
      <c r="J2143" s="181"/>
      <c r="K2143" s="181"/>
      <c r="L2143" s="181"/>
      <c r="M2143" s="181"/>
      <c r="N2143" s="181"/>
      <c r="O2143" s="181"/>
      <c r="P2143" s="181"/>
    </row>
    <row r="2144">
      <c r="B2144" s="292"/>
      <c r="C2144" s="181"/>
      <c r="D2144" s="181"/>
      <c r="E2144" s="181"/>
      <c r="F2144" s="181"/>
      <c r="G2144" s="181"/>
      <c r="H2144" s="181"/>
      <c r="I2144" s="181"/>
      <c r="J2144" s="181"/>
      <c r="K2144" s="181"/>
      <c r="L2144" s="181"/>
      <c r="M2144" s="181"/>
      <c r="N2144" s="181"/>
      <c r="O2144" s="181"/>
      <c r="P2144" s="181"/>
    </row>
    <row r="2145">
      <c r="B2145" s="292"/>
      <c r="C2145" s="181"/>
      <c r="D2145" s="181"/>
      <c r="E2145" s="181"/>
      <c r="F2145" s="181"/>
      <c r="G2145" s="181"/>
      <c r="H2145" s="181"/>
      <c r="I2145" s="181"/>
      <c r="J2145" s="181"/>
      <c r="K2145" s="181"/>
      <c r="L2145" s="181"/>
      <c r="M2145" s="181"/>
      <c r="N2145" s="181"/>
      <c r="O2145" s="181"/>
      <c r="P2145" s="181"/>
    </row>
    <row r="2146">
      <c r="B2146" s="292"/>
      <c r="C2146" s="181"/>
      <c r="D2146" s="181"/>
      <c r="E2146" s="181"/>
      <c r="F2146" s="181"/>
      <c r="G2146" s="181"/>
      <c r="H2146" s="181"/>
      <c r="I2146" s="181"/>
      <c r="J2146" s="181"/>
      <c r="K2146" s="181"/>
      <c r="L2146" s="181"/>
      <c r="M2146" s="181"/>
      <c r="N2146" s="181"/>
      <c r="O2146" s="181"/>
      <c r="P2146" s="181"/>
    </row>
    <row r="2147">
      <c r="B2147" s="292"/>
      <c r="C2147" s="181"/>
      <c r="D2147" s="181"/>
      <c r="E2147" s="181"/>
      <c r="F2147" s="181"/>
      <c r="G2147" s="181"/>
      <c r="H2147" s="181"/>
      <c r="I2147" s="181"/>
      <c r="J2147" s="181"/>
      <c r="K2147" s="181"/>
      <c r="L2147" s="181"/>
      <c r="M2147" s="181"/>
      <c r="N2147" s="181"/>
      <c r="O2147" s="181"/>
      <c r="P2147" s="181"/>
    </row>
    <row r="2148">
      <c r="B2148" s="292"/>
      <c r="C2148" s="181"/>
      <c r="D2148" s="181"/>
      <c r="E2148" s="181"/>
      <c r="F2148" s="181"/>
      <c r="G2148" s="181"/>
      <c r="H2148" s="181"/>
      <c r="I2148" s="181"/>
      <c r="J2148" s="181"/>
      <c r="K2148" s="181"/>
      <c r="L2148" s="181"/>
      <c r="M2148" s="181"/>
      <c r="N2148" s="181"/>
      <c r="O2148" s="181"/>
      <c r="P2148" s="181"/>
    </row>
    <row r="2149">
      <c r="B2149" s="292"/>
      <c r="C2149" s="181"/>
      <c r="D2149" s="181"/>
      <c r="E2149" s="181"/>
      <c r="F2149" s="181"/>
      <c r="G2149" s="181"/>
      <c r="H2149" s="181"/>
      <c r="I2149" s="181"/>
      <c r="J2149" s="181"/>
      <c r="K2149" s="181"/>
      <c r="L2149" s="181"/>
      <c r="M2149" s="181"/>
      <c r="N2149" s="181"/>
      <c r="O2149" s="181"/>
      <c r="P2149" s="181"/>
    </row>
    <row r="2150">
      <c r="B2150" s="292"/>
      <c r="C2150" s="181"/>
      <c r="D2150" s="181"/>
      <c r="E2150" s="181"/>
      <c r="F2150" s="181"/>
      <c r="G2150" s="181"/>
      <c r="H2150" s="181"/>
      <c r="I2150" s="181"/>
      <c r="J2150" s="181"/>
      <c r="K2150" s="181"/>
      <c r="L2150" s="181"/>
      <c r="M2150" s="181"/>
      <c r="N2150" s="181"/>
      <c r="O2150" s="181"/>
      <c r="P2150" s="181"/>
    </row>
    <row r="2151">
      <c r="B2151" s="292"/>
      <c r="C2151" s="181"/>
      <c r="D2151" s="181"/>
      <c r="E2151" s="181"/>
      <c r="F2151" s="181"/>
      <c r="G2151" s="181"/>
      <c r="H2151" s="181"/>
      <c r="I2151" s="181"/>
      <c r="J2151" s="181"/>
      <c r="K2151" s="181"/>
      <c r="L2151" s="181"/>
      <c r="M2151" s="181"/>
      <c r="N2151" s="181"/>
      <c r="O2151" s="181"/>
      <c r="P2151" s="181"/>
    </row>
    <row r="2152">
      <c r="B2152" s="292"/>
      <c r="C2152" s="181"/>
      <c r="D2152" s="181"/>
      <c r="E2152" s="181"/>
      <c r="F2152" s="181"/>
      <c r="G2152" s="181"/>
      <c r="H2152" s="181"/>
      <c r="I2152" s="181"/>
      <c r="J2152" s="181"/>
      <c r="K2152" s="181"/>
      <c r="L2152" s="181"/>
      <c r="M2152" s="181"/>
      <c r="N2152" s="181"/>
      <c r="O2152" s="181"/>
      <c r="P2152" s="181"/>
    </row>
    <row r="2153">
      <c r="B2153" s="292"/>
      <c r="C2153" s="181"/>
      <c r="D2153" s="181"/>
      <c r="E2153" s="181"/>
      <c r="F2153" s="181"/>
      <c r="G2153" s="181"/>
      <c r="H2153" s="181"/>
      <c r="I2153" s="181"/>
      <c r="J2153" s="181"/>
      <c r="K2153" s="181"/>
      <c r="L2153" s="181"/>
      <c r="M2153" s="181"/>
      <c r="N2153" s="181"/>
      <c r="O2153" s="181"/>
      <c r="P2153" s="181"/>
    </row>
    <row r="2154">
      <c r="B2154" s="292"/>
      <c r="C2154" s="181"/>
      <c r="D2154" s="181"/>
      <c r="E2154" s="181"/>
      <c r="F2154" s="181"/>
      <c r="G2154" s="181"/>
      <c r="H2154" s="181"/>
      <c r="I2154" s="181"/>
      <c r="J2154" s="181"/>
      <c r="K2154" s="181"/>
      <c r="L2154" s="181"/>
      <c r="M2154" s="181"/>
      <c r="N2154" s="181"/>
      <c r="O2154" s="181"/>
      <c r="P2154" s="181"/>
    </row>
    <row r="2155">
      <c r="B2155" s="292"/>
      <c r="C2155" s="181"/>
      <c r="D2155" s="181"/>
      <c r="E2155" s="181"/>
      <c r="F2155" s="181"/>
      <c r="G2155" s="181"/>
      <c r="H2155" s="181"/>
      <c r="I2155" s="181"/>
      <c r="J2155" s="181"/>
      <c r="K2155" s="181"/>
      <c r="L2155" s="181"/>
      <c r="M2155" s="181"/>
      <c r="N2155" s="181"/>
      <c r="O2155" s="181"/>
      <c r="P2155" s="181"/>
    </row>
    <row r="2156">
      <c r="B2156" s="292"/>
      <c r="C2156" s="181"/>
      <c r="D2156" s="181"/>
      <c r="E2156" s="181"/>
      <c r="F2156" s="181"/>
      <c r="G2156" s="181"/>
      <c r="H2156" s="181"/>
      <c r="I2156" s="181"/>
      <c r="J2156" s="181"/>
      <c r="K2156" s="181"/>
      <c r="L2156" s="181"/>
      <c r="M2156" s="181"/>
      <c r="N2156" s="181"/>
      <c r="O2156" s="181"/>
      <c r="P2156" s="181"/>
    </row>
    <row r="2157">
      <c r="B2157" s="292"/>
      <c r="C2157" s="181"/>
      <c r="D2157" s="181"/>
      <c r="E2157" s="181"/>
      <c r="F2157" s="181"/>
      <c r="G2157" s="181"/>
      <c r="H2157" s="181"/>
      <c r="I2157" s="181"/>
      <c r="J2157" s="181"/>
      <c r="K2157" s="181"/>
      <c r="L2157" s="181"/>
      <c r="M2157" s="181"/>
      <c r="N2157" s="181"/>
      <c r="O2157" s="181"/>
      <c r="P2157" s="181"/>
    </row>
    <row r="2158">
      <c r="B2158" s="292"/>
      <c r="C2158" s="181"/>
      <c r="D2158" s="181"/>
      <c r="E2158" s="181"/>
      <c r="F2158" s="181"/>
      <c r="G2158" s="181"/>
      <c r="H2158" s="181"/>
      <c r="I2158" s="181"/>
      <c r="J2158" s="181"/>
      <c r="K2158" s="181"/>
      <c r="L2158" s="181"/>
      <c r="M2158" s="181"/>
      <c r="N2158" s="181"/>
      <c r="O2158" s="181"/>
      <c r="P2158" s="181"/>
    </row>
    <row r="2159">
      <c r="B2159" s="292"/>
      <c r="C2159" s="181"/>
      <c r="D2159" s="181"/>
      <c r="E2159" s="181"/>
      <c r="F2159" s="181"/>
      <c r="G2159" s="181"/>
      <c r="H2159" s="181"/>
      <c r="I2159" s="181"/>
      <c r="J2159" s="181"/>
      <c r="K2159" s="181"/>
      <c r="L2159" s="181"/>
      <c r="M2159" s="181"/>
      <c r="N2159" s="181"/>
      <c r="O2159" s="181"/>
      <c r="P2159" s="181"/>
    </row>
    <row r="2160">
      <c r="B2160" s="292"/>
      <c r="C2160" s="181"/>
      <c r="D2160" s="181"/>
      <c r="E2160" s="181"/>
      <c r="F2160" s="181"/>
      <c r="G2160" s="181"/>
      <c r="H2160" s="181"/>
      <c r="I2160" s="181"/>
      <c r="J2160" s="181"/>
      <c r="K2160" s="181"/>
      <c r="L2160" s="181"/>
      <c r="M2160" s="181"/>
      <c r="N2160" s="181"/>
      <c r="O2160" s="181"/>
      <c r="P2160" s="181"/>
    </row>
    <row r="2161">
      <c r="B2161" s="292"/>
      <c r="C2161" s="181"/>
      <c r="D2161" s="181"/>
      <c r="E2161" s="181"/>
      <c r="F2161" s="181"/>
      <c r="G2161" s="181"/>
      <c r="H2161" s="181"/>
      <c r="I2161" s="181"/>
      <c r="J2161" s="181"/>
      <c r="K2161" s="181"/>
      <c r="L2161" s="181"/>
      <c r="M2161" s="181"/>
      <c r="N2161" s="181"/>
      <c r="O2161" s="181"/>
      <c r="P2161" s="181"/>
    </row>
    <row r="2162">
      <c r="B2162" s="292"/>
      <c r="C2162" s="181"/>
      <c r="D2162" s="181"/>
      <c r="E2162" s="181"/>
      <c r="F2162" s="181"/>
      <c r="G2162" s="181"/>
      <c r="H2162" s="181"/>
      <c r="I2162" s="181"/>
      <c r="J2162" s="181"/>
      <c r="K2162" s="181"/>
      <c r="L2162" s="181"/>
      <c r="M2162" s="181"/>
      <c r="N2162" s="181"/>
      <c r="O2162" s="181"/>
      <c r="P2162" s="181"/>
    </row>
    <row r="2163">
      <c r="B2163" s="292"/>
      <c r="C2163" s="181"/>
      <c r="D2163" s="181"/>
      <c r="E2163" s="181"/>
      <c r="F2163" s="181"/>
      <c r="G2163" s="181"/>
      <c r="H2163" s="181"/>
      <c r="I2163" s="181"/>
      <c r="J2163" s="181"/>
      <c r="K2163" s="181"/>
      <c r="L2163" s="181"/>
      <c r="M2163" s="181"/>
      <c r="N2163" s="181"/>
      <c r="O2163" s="181"/>
      <c r="P2163" s="181"/>
    </row>
    <row r="2164">
      <c r="B2164" s="292"/>
      <c r="C2164" s="181"/>
      <c r="D2164" s="181"/>
      <c r="E2164" s="181"/>
      <c r="F2164" s="181"/>
      <c r="G2164" s="181"/>
      <c r="H2164" s="181"/>
      <c r="I2164" s="181"/>
      <c r="J2164" s="181"/>
      <c r="K2164" s="181"/>
      <c r="L2164" s="181"/>
      <c r="M2164" s="181"/>
      <c r="N2164" s="181"/>
      <c r="O2164" s="181"/>
      <c r="P2164" s="181"/>
    </row>
    <row r="2165">
      <c r="B2165" s="292"/>
      <c r="C2165" s="181"/>
      <c r="D2165" s="181"/>
      <c r="E2165" s="181"/>
      <c r="F2165" s="181"/>
      <c r="G2165" s="181"/>
      <c r="H2165" s="181"/>
      <c r="I2165" s="181"/>
      <c r="J2165" s="181"/>
      <c r="K2165" s="181"/>
      <c r="L2165" s="181"/>
      <c r="M2165" s="181"/>
      <c r="N2165" s="181"/>
      <c r="O2165" s="181"/>
      <c r="P2165" s="181"/>
    </row>
    <row r="2166">
      <c r="B2166" s="292"/>
      <c r="C2166" s="181"/>
      <c r="D2166" s="181"/>
      <c r="E2166" s="181"/>
      <c r="F2166" s="181"/>
      <c r="G2166" s="181"/>
      <c r="H2166" s="181"/>
      <c r="I2166" s="181"/>
      <c r="J2166" s="181"/>
      <c r="K2166" s="181"/>
      <c r="L2166" s="181"/>
      <c r="M2166" s="181"/>
      <c r="N2166" s="181"/>
      <c r="O2166" s="181"/>
      <c r="P2166" s="181"/>
    </row>
    <row r="2167">
      <c r="B2167" s="292"/>
      <c r="C2167" s="181"/>
      <c r="D2167" s="181"/>
      <c r="E2167" s="181"/>
      <c r="F2167" s="181"/>
      <c r="G2167" s="181"/>
      <c r="H2167" s="181"/>
      <c r="I2167" s="181"/>
      <c r="J2167" s="181"/>
      <c r="K2167" s="181"/>
      <c r="L2167" s="181"/>
      <c r="M2167" s="181"/>
      <c r="N2167" s="181"/>
      <c r="O2167" s="181"/>
      <c r="P2167" s="181"/>
    </row>
    <row r="2168">
      <c r="B2168" s="292"/>
      <c r="C2168" s="181"/>
      <c r="D2168" s="181"/>
      <c r="E2168" s="181"/>
      <c r="F2168" s="181"/>
      <c r="G2168" s="181"/>
      <c r="H2168" s="181"/>
      <c r="I2168" s="181"/>
      <c r="J2168" s="181"/>
      <c r="K2168" s="181"/>
      <c r="L2168" s="181"/>
      <c r="M2168" s="181"/>
      <c r="N2168" s="181"/>
      <c r="O2168" s="181"/>
      <c r="P2168" s="181"/>
    </row>
    <row r="2169">
      <c r="B2169" s="292"/>
      <c r="C2169" s="181"/>
      <c r="D2169" s="181"/>
      <c r="E2169" s="181"/>
      <c r="F2169" s="181"/>
      <c r="G2169" s="181"/>
      <c r="H2169" s="181"/>
      <c r="I2169" s="181"/>
      <c r="J2169" s="181"/>
      <c r="K2169" s="181"/>
      <c r="L2169" s="181"/>
      <c r="M2169" s="181"/>
      <c r="N2169" s="181"/>
      <c r="O2169" s="181"/>
      <c r="P2169" s="181"/>
    </row>
    <row r="2170">
      <c r="B2170" s="292"/>
      <c r="C2170" s="181"/>
      <c r="D2170" s="181"/>
      <c r="E2170" s="181"/>
      <c r="F2170" s="181"/>
      <c r="G2170" s="181"/>
      <c r="H2170" s="181"/>
      <c r="I2170" s="181"/>
      <c r="J2170" s="181"/>
      <c r="K2170" s="181"/>
      <c r="L2170" s="181"/>
      <c r="M2170" s="181"/>
      <c r="N2170" s="181"/>
      <c r="O2170" s="181"/>
      <c r="P2170" s="181"/>
    </row>
    <row r="2171">
      <c r="B2171" s="292"/>
      <c r="C2171" s="181"/>
      <c r="D2171" s="181"/>
      <c r="E2171" s="181"/>
      <c r="F2171" s="181"/>
      <c r="G2171" s="181"/>
      <c r="H2171" s="181"/>
      <c r="I2171" s="181"/>
      <c r="J2171" s="181"/>
      <c r="K2171" s="181"/>
      <c r="L2171" s="181"/>
      <c r="M2171" s="181"/>
      <c r="N2171" s="181"/>
      <c r="O2171" s="181"/>
      <c r="P2171" s="181"/>
    </row>
    <row r="2172">
      <c r="B2172" s="292"/>
      <c r="C2172" s="181"/>
      <c r="D2172" s="181"/>
      <c r="E2172" s="181"/>
      <c r="F2172" s="181"/>
      <c r="G2172" s="181"/>
      <c r="H2172" s="181"/>
      <c r="I2172" s="181"/>
      <c r="J2172" s="181"/>
      <c r="K2172" s="181"/>
      <c r="L2172" s="181"/>
      <c r="M2172" s="181"/>
      <c r="N2172" s="181"/>
      <c r="O2172" s="181"/>
      <c r="P2172" s="181"/>
    </row>
    <row r="2173">
      <c r="B2173" s="292"/>
      <c r="C2173" s="181"/>
      <c r="D2173" s="181"/>
      <c r="E2173" s="181"/>
      <c r="F2173" s="181"/>
      <c r="G2173" s="181"/>
      <c r="H2173" s="181"/>
      <c r="I2173" s="181"/>
      <c r="J2173" s="181"/>
      <c r="K2173" s="181"/>
      <c r="L2173" s="181"/>
      <c r="M2173" s="181"/>
      <c r="N2173" s="181"/>
      <c r="O2173" s="181"/>
      <c r="P2173" s="181"/>
    </row>
    <row r="2174">
      <c r="B2174" s="292"/>
      <c r="C2174" s="181"/>
      <c r="D2174" s="181"/>
      <c r="E2174" s="181"/>
      <c r="F2174" s="181"/>
      <c r="G2174" s="181"/>
      <c r="H2174" s="181"/>
      <c r="I2174" s="181"/>
      <c r="J2174" s="181"/>
      <c r="K2174" s="181"/>
      <c r="L2174" s="181"/>
      <c r="M2174" s="181"/>
      <c r="N2174" s="181"/>
      <c r="O2174" s="181"/>
      <c r="P2174" s="181"/>
    </row>
    <row r="2175">
      <c r="B2175" s="292"/>
      <c r="C2175" s="181"/>
      <c r="D2175" s="181"/>
      <c r="E2175" s="181"/>
      <c r="F2175" s="181"/>
      <c r="G2175" s="181"/>
      <c r="H2175" s="181"/>
      <c r="I2175" s="181"/>
      <c r="J2175" s="181"/>
      <c r="K2175" s="181"/>
      <c r="L2175" s="181"/>
      <c r="M2175" s="181"/>
      <c r="N2175" s="181"/>
      <c r="O2175" s="181"/>
      <c r="P2175" s="181"/>
    </row>
    <row r="2176">
      <c r="B2176" s="292"/>
      <c r="C2176" s="181"/>
      <c r="D2176" s="181"/>
      <c r="E2176" s="181"/>
      <c r="F2176" s="181"/>
      <c r="G2176" s="181"/>
      <c r="H2176" s="181"/>
      <c r="I2176" s="181"/>
      <c r="J2176" s="181"/>
      <c r="K2176" s="181"/>
      <c r="L2176" s="181"/>
      <c r="M2176" s="181"/>
      <c r="N2176" s="181"/>
      <c r="O2176" s="181"/>
      <c r="P2176" s="181"/>
    </row>
    <row r="2177">
      <c r="B2177" s="292"/>
      <c r="C2177" s="181"/>
      <c r="D2177" s="181"/>
      <c r="E2177" s="181"/>
      <c r="F2177" s="181"/>
      <c r="G2177" s="181"/>
      <c r="H2177" s="181"/>
      <c r="I2177" s="181"/>
      <c r="J2177" s="181"/>
      <c r="K2177" s="181"/>
      <c r="L2177" s="181"/>
      <c r="M2177" s="181"/>
      <c r="N2177" s="181"/>
      <c r="O2177" s="181"/>
      <c r="P2177" s="181"/>
    </row>
    <row r="2178">
      <c r="B2178" s="292"/>
      <c r="C2178" s="181"/>
      <c r="D2178" s="181"/>
      <c r="E2178" s="181"/>
      <c r="F2178" s="181"/>
      <c r="G2178" s="181"/>
      <c r="H2178" s="181"/>
      <c r="I2178" s="181"/>
      <c r="J2178" s="181"/>
      <c r="K2178" s="181"/>
      <c r="L2178" s="181"/>
      <c r="M2178" s="181"/>
      <c r="N2178" s="181"/>
      <c r="O2178" s="181"/>
      <c r="P2178" s="181"/>
    </row>
    <row r="2179">
      <c r="B2179" s="292"/>
      <c r="C2179" s="181"/>
      <c r="D2179" s="181"/>
      <c r="E2179" s="181"/>
      <c r="F2179" s="181"/>
      <c r="G2179" s="181"/>
      <c r="H2179" s="181"/>
      <c r="I2179" s="181"/>
      <c r="J2179" s="181"/>
      <c r="K2179" s="181"/>
      <c r="L2179" s="181"/>
      <c r="M2179" s="181"/>
      <c r="N2179" s="181"/>
      <c r="O2179" s="181"/>
      <c r="P2179" s="181"/>
    </row>
    <row r="2180">
      <c r="B2180" s="292"/>
      <c r="C2180" s="181"/>
      <c r="D2180" s="181"/>
      <c r="E2180" s="181"/>
      <c r="F2180" s="181"/>
      <c r="G2180" s="181"/>
      <c r="H2180" s="181"/>
      <c r="I2180" s="181"/>
      <c r="J2180" s="181"/>
      <c r="K2180" s="181"/>
      <c r="L2180" s="181"/>
      <c r="M2180" s="181"/>
      <c r="N2180" s="181"/>
      <c r="O2180" s="181"/>
      <c r="P2180" s="181"/>
    </row>
    <row r="2181">
      <c r="B2181" s="292"/>
      <c r="C2181" s="181"/>
      <c r="D2181" s="181"/>
      <c r="E2181" s="181"/>
      <c r="F2181" s="181"/>
      <c r="G2181" s="181"/>
      <c r="H2181" s="181"/>
      <c r="I2181" s="181"/>
      <c r="J2181" s="181"/>
      <c r="K2181" s="181"/>
      <c r="L2181" s="181"/>
      <c r="M2181" s="181"/>
      <c r="N2181" s="181"/>
      <c r="O2181" s="181"/>
      <c r="P2181" s="181"/>
    </row>
    <row r="2182">
      <c r="B2182" s="292"/>
      <c r="C2182" s="181"/>
      <c r="D2182" s="181"/>
      <c r="E2182" s="181"/>
      <c r="F2182" s="181"/>
      <c r="G2182" s="181"/>
      <c r="H2182" s="181"/>
      <c r="I2182" s="181"/>
      <c r="J2182" s="181"/>
      <c r="K2182" s="181"/>
      <c r="L2182" s="181"/>
      <c r="M2182" s="181"/>
      <c r="N2182" s="181"/>
      <c r="O2182" s="181"/>
      <c r="P2182" s="181"/>
    </row>
    <row r="2183">
      <c r="B2183" s="292"/>
      <c r="C2183" s="181"/>
      <c r="D2183" s="181"/>
      <c r="E2183" s="181"/>
      <c r="F2183" s="181"/>
      <c r="G2183" s="181"/>
      <c r="H2183" s="181"/>
      <c r="I2183" s="181"/>
      <c r="J2183" s="181"/>
      <c r="K2183" s="181"/>
      <c r="L2183" s="181"/>
      <c r="M2183" s="181"/>
      <c r="N2183" s="181"/>
      <c r="O2183" s="181"/>
      <c r="P2183" s="181"/>
    </row>
    <row r="2184">
      <c r="B2184" s="292"/>
      <c r="C2184" s="181"/>
      <c r="D2184" s="181"/>
      <c r="E2184" s="181"/>
      <c r="F2184" s="181"/>
      <c r="G2184" s="181"/>
      <c r="H2184" s="181"/>
      <c r="I2184" s="181"/>
      <c r="J2184" s="181"/>
      <c r="K2184" s="181"/>
      <c r="L2184" s="181"/>
      <c r="M2184" s="181"/>
      <c r="N2184" s="181"/>
      <c r="O2184" s="181"/>
      <c r="P2184" s="181"/>
    </row>
    <row r="2185">
      <c r="B2185" s="292"/>
      <c r="C2185" s="181"/>
      <c r="D2185" s="181"/>
      <c r="E2185" s="181"/>
      <c r="F2185" s="181"/>
      <c r="G2185" s="181"/>
      <c r="H2185" s="181"/>
      <c r="I2185" s="181"/>
      <c r="J2185" s="181"/>
      <c r="K2185" s="181"/>
      <c r="L2185" s="181"/>
      <c r="M2185" s="181"/>
      <c r="N2185" s="181"/>
      <c r="O2185" s="181"/>
      <c r="P2185" s="181"/>
    </row>
    <row r="2186">
      <c r="B2186" s="292"/>
      <c r="C2186" s="181"/>
      <c r="D2186" s="181"/>
      <c r="E2186" s="181"/>
      <c r="F2186" s="181"/>
      <c r="G2186" s="181"/>
      <c r="H2186" s="181"/>
      <c r="I2186" s="181"/>
      <c r="J2186" s="181"/>
      <c r="K2186" s="181"/>
      <c r="L2186" s="181"/>
      <c r="M2186" s="181"/>
      <c r="N2186" s="181"/>
      <c r="O2186" s="181"/>
      <c r="P2186" s="181"/>
    </row>
    <row r="2187">
      <c r="B2187" s="292"/>
      <c r="C2187" s="181"/>
      <c r="D2187" s="181"/>
      <c r="E2187" s="181"/>
      <c r="F2187" s="181"/>
      <c r="G2187" s="181"/>
      <c r="H2187" s="181"/>
      <c r="I2187" s="181"/>
      <c r="J2187" s="181"/>
      <c r="K2187" s="181"/>
      <c r="L2187" s="181"/>
      <c r="M2187" s="181"/>
      <c r="N2187" s="181"/>
      <c r="O2187" s="181"/>
      <c r="P2187" s="181"/>
    </row>
    <row r="2188">
      <c r="B2188" s="292"/>
      <c r="C2188" s="181"/>
      <c r="D2188" s="181"/>
      <c r="E2188" s="181"/>
      <c r="F2188" s="181"/>
      <c r="G2188" s="181"/>
      <c r="H2188" s="181"/>
      <c r="I2188" s="181"/>
      <c r="J2188" s="181"/>
      <c r="K2188" s="181"/>
      <c r="L2188" s="181"/>
      <c r="M2188" s="181"/>
      <c r="N2188" s="181"/>
      <c r="O2188" s="181"/>
      <c r="P2188" s="181"/>
    </row>
    <row r="2189">
      <c r="B2189" s="292"/>
      <c r="C2189" s="181"/>
      <c r="D2189" s="181"/>
      <c r="E2189" s="181"/>
      <c r="F2189" s="181"/>
      <c r="G2189" s="181"/>
      <c r="H2189" s="181"/>
      <c r="I2189" s="181"/>
      <c r="J2189" s="181"/>
      <c r="K2189" s="181"/>
      <c r="L2189" s="181"/>
      <c r="M2189" s="181"/>
      <c r="N2189" s="181"/>
      <c r="O2189" s="181"/>
      <c r="P2189" s="181"/>
    </row>
    <row r="2190">
      <c r="B2190" s="292"/>
      <c r="C2190" s="181"/>
      <c r="D2190" s="181"/>
      <c r="E2190" s="181"/>
      <c r="F2190" s="181"/>
      <c r="G2190" s="181"/>
      <c r="H2190" s="181"/>
      <c r="I2190" s="181"/>
      <c r="J2190" s="181"/>
      <c r="K2190" s="181"/>
      <c r="L2190" s="181"/>
      <c r="M2190" s="181"/>
      <c r="N2190" s="181"/>
      <c r="O2190" s="181"/>
      <c r="P2190" s="181"/>
    </row>
    <row r="2191">
      <c r="B2191" s="292"/>
      <c r="C2191" s="181"/>
      <c r="D2191" s="181"/>
      <c r="E2191" s="181"/>
      <c r="F2191" s="181"/>
      <c r="G2191" s="181"/>
      <c r="H2191" s="181"/>
      <c r="I2191" s="181"/>
      <c r="J2191" s="181"/>
      <c r="K2191" s="181"/>
      <c r="L2191" s="181"/>
      <c r="M2191" s="181"/>
      <c r="N2191" s="181"/>
      <c r="O2191" s="181"/>
      <c r="P2191" s="181"/>
    </row>
    <row r="2192">
      <c r="B2192" s="292"/>
      <c r="C2192" s="181"/>
      <c r="D2192" s="181"/>
      <c r="E2192" s="181"/>
      <c r="F2192" s="181"/>
      <c r="G2192" s="181"/>
      <c r="H2192" s="181"/>
      <c r="I2192" s="181"/>
      <c r="J2192" s="181"/>
      <c r="K2192" s="181"/>
      <c r="L2192" s="181"/>
      <c r="M2192" s="181"/>
      <c r="N2192" s="181"/>
      <c r="O2192" s="181"/>
      <c r="P2192" s="181"/>
    </row>
    <row r="2193">
      <c r="B2193" s="292"/>
      <c r="C2193" s="181"/>
      <c r="D2193" s="181"/>
      <c r="E2193" s="181"/>
      <c r="F2193" s="181"/>
      <c r="G2193" s="181"/>
      <c r="H2193" s="181"/>
      <c r="I2193" s="181"/>
      <c r="J2193" s="181"/>
      <c r="K2193" s="181"/>
      <c r="L2193" s="181"/>
      <c r="M2193" s="181"/>
      <c r="N2193" s="181"/>
      <c r="O2193" s="181"/>
      <c r="P2193" s="181"/>
    </row>
    <row r="2194">
      <c r="B2194" s="292"/>
      <c r="C2194" s="181"/>
      <c r="D2194" s="181"/>
      <c r="E2194" s="181"/>
      <c r="F2194" s="181"/>
      <c r="G2194" s="181"/>
      <c r="H2194" s="181"/>
      <c r="I2194" s="181"/>
      <c r="J2194" s="181"/>
      <c r="K2194" s="181"/>
      <c r="L2194" s="181"/>
      <c r="M2194" s="181"/>
      <c r="N2194" s="181"/>
      <c r="O2194" s="181"/>
      <c r="P2194" s="181"/>
    </row>
    <row r="2195">
      <c r="B2195" s="292"/>
      <c r="C2195" s="181"/>
      <c r="D2195" s="181"/>
      <c r="E2195" s="181"/>
      <c r="F2195" s="181"/>
      <c r="G2195" s="181"/>
      <c r="H2195" s="181"/>
      <c r="I2195" s="181"/>
      <c r="J2195" s="181"/>
      <c r="K2195" s="181"/>
      <c r="L2195" s="181"/>
      <c r="M2195" s="181"/>
      <c r="N2195" s="181"/>
      <c r="O2195" s="181"/>
      <c r="P2195" s="181"/>
    </row>
    <row r="2196">
      <c r="B2196" s="292"/>
      <c r="C2196" s="181"/>
      <c r="D2196" s="181"/>
      <c r="E2196" s="181"/>
      <c r="F2196" s="181"/>
      <c r="G2196" s="181"/>
      <c r="H2196" s="181"/>
      <c r="I2196" s="181"/>
      <c r="J2196" s="181"/>
      <c r="K2196" s="181"/>
      <c r="L2196" s="181"/>
      <c r="M2196" s="181"/>
      <c r="N2196" s="181"/>
      <c r="O2196" s="181"/>
      <c r="P2196" s="181"/>
    </row>
    <row r="2197">
      <c r="B2197" s="292"/>
      <c r="C2197" s="181"/>
      <c r="D2197" s="181"/>
      <c r="E2197" s="181"/>
      <c r="F2197" s="181"/>
      <c r="G2197" s="181"/>
      <c r="H2197" s="181"/>
      <c r="I2197" s="181"/>
      <c r="J2197" s="181"/>
      <c r="K2197" s="181"/>
      <c r="L2197" s="181"/>
      <c r="M2197" s="181"/>
      <c r="N2197" s="181"/>
      <c r="O2197" s="181"/>
      <c r="P2197" s="181"/>
    </row>
    <row r="2198">
      <c r="B2198" s="292"/>
      <c r="C2198" s="181"/>
      <c r="D2198" s="181"/>
      <c r="E2198" s="181"/>
      <c r="F2198" s="181"/>
      <c r="G2198" s="181"/>
      <c r="H2198" s="181"/>
      <c r="I2198" s="181"/>
      <c r="J2198" s="181"/>
      <c r="K2198" s="181"/>
      <c r="L2198" s="181"/>
      <c r="M2198" s="181"/>
      <c r="N2198" s="181"/>
      <c r="O2198" s="181"/>
      <c r="P2198" s="181"/>
    </row>
    <row r="2199">
      <c r="B2199" s="292"/>
      <c r="C2199" s="181"/>
      <c r="D2199" s="181"/>
      <c r="E2199" s="181"/>
      <c r="F2199" s="181"/>
      <c r="G2199" s="181"/>
      <c r="H2199" s="181"/>
      <c r="I2199" s="181"/>
      <c r="J2199" s="181"/>
      <c r="K2199" s="181"/>
      <c r="L2199" s="181"/>
      <c r="M2199" s="181"/>
      <c r="N2199" s="181"/>
      <c r="O2199" s="181"/>
      <c r="P2199" s="181"/>
    </row>
    <row r="2200">
      <c r="B2200" s="292"/>
      <c r="C2200" s="181"/>
      <c r="D2200" s="181"/>
      <c r="E2200" s="181"/>
      <c r="F2200" s="181"/>
      <c r="G2200" s="181"/>
      <c r="H2200" s="181"/>
      <c r="I2200" s="181"/>
      <c r="J2200" s="181"/>
      <c r="K2200" s="181"/>
      <c r="L2200" s="181"/>
      <c r="M2200" s="181"/>
      <c r="N2200" s="181"/>
      <c r="O2200" s="181"/>
      <c r="P2200" s="181"/>
    </row>
    <row r="2201">
      <c r="B2201" s="292"/>
      <c r="C2201" s="181"/>
      <c r="D2201" s="181"/>
      <c r="E2201" s="181"/>
      <c r="F2201" s="181"/>
      <c r="G2201" s="181"/>
      <c r="H2201" s="181"/>
      <c r="I2201" s="181"/>
      <c r="J2201" s="181"/>
      <c r="K2201" s="181"/>
      <c r="L2201" s="181"/>
      <c r="M2201" s="181"/>
      <c r="N2201" s="181"/>
      <c r="O2201" s="181"/>
      <c r="P2201" s="181"/>
    </row>
    <row r="2202">
      <c r="B2202" s="292"/>
      <c r="C2202" s="181"/>
      <c r="D2202" s="181"/>
      <c r="E2202" s="181"/>
      <c r="F2202" s="181"/>
      <c r="G2202" s="181"/>
      <c r="H2202" s="181"/>
      <c r="I2202" s="181"/>
      <c r="J2202" s="181"/>
      <c r="K2202" s="181"/>
      <c r="L2202" s="181"/>
      <c r="M2202" s="181"/>
      <c r="N2202" s="181"/>
      <c r="O2202" s="181"/>
      <c r="P2202" s="181"/>
    </row>
    <row r="2203">
      <c r="B2203" s="292"/>
      <c r="C2203" s="181"/>
      <c r="D2203" s="181"/>
      <c r="E2203" s="181"/>
      <c r="F2203" s="181"/>
      <c r="G2203" s="181"/>
      <c r="H2203" s="181"/>
      <c r="I2203" s="181"/>
      <c r="J2203" s="181"/>
      <c r="K2203" s="181"/>
      <c r="L2203" s="181"/>
      <c r="M2203" s="181"/>
      <c r="N2203" s="181"/>
      <c r="O2203" s="181"/>
      <c r="P2203" s="181"/>
    </row>
    <row r="2204">
      <c r="B2204" s="292"/>
      <c r="C2204" s="181"/>
      <c r="D2204" s="181"/>
      <c r="E2204" s="181"/>
      <c r="F2204" s="181"/>
      <c r="G2204" s="181"/>
      <c r="H2204" s="181"/>
      <c r="I2204" s="181"/>
      <c r="J2204" s="181"/>
      <c r="K2204" s="181"/>
      <c r="L2204" s="181"/>
      <c r="M2204" s="181"/>
      <c r="N2204" s="181"/>
      <c r="O2204" s="181"/>
      <c r="P2204" s="181"/>
    </row>
    <row r="2205">
      <c r="B2205" s="292"/>
      <c r="C2205" s="181"/>
      <c r="D2205" s="181"/>
      <c r="E2205" s="181"/>
      <c r="F2205" s="181"/>
      <c r="G2205" s="181"/>
      <c r="H2205" s="181"/>
      <c r="I2205" s="181"/>
      <c r="J2205" s="181"/>
      <c r="K2205" s="181"/>
      <c r="L2205" s="181"/>
      <c r="M2205" s="181"/>
      <c r="N2205" s="181"/>
      <c r="O2205" s="181"/>
      <c r="P2205" s="181"/>
    </row>
    <row r="2206">
      <c r="B2206" s="292"/>
      <c r="C2206" s="181"/>
      <c r="D2206" s="181"/>
      <c r="E2206" s="181"/>
      <c r="F2206" s="181"/>
      <c r="G2206" s="181"/>
      <c r="H2206" s="181"/>
      <c r="I2206" s="181"/>
      <c r="J2206" s="181"/>
      <c r="K2206" s="181"/>
      <c r="L2206" s="181"/>
      <c r="M2206" s="181"/>
      <c r="N2206" s="181"/>
      <c r="O2206" s="181"/>
      <c r="P2206" s="181"/>
    </row>
    <row r="2207">
      <c r="B2207" s="292"/>
      <c r="C2207" s="181"/>
      <c r="D2207" s="181"/>
      <c r="E2207" s="181"/>
      <c r="F2207" s="181"/>
      <c r="G2207" s="181"/>
      <c r="H2207" s="181"/>
      <c r="I2207" s="181"/>
      <c r="J2207" s="181"/>
      <c r="K2207" s="181"/>
      <c r="L2207" s="181"/>
      <c r="M2207" s="181"/>
      <c r="N2207" s="181"/>
      <c r="O2207" s="181"/>
      <c r="P2207" s="181"/>
    </row>
    <row r="2208">
      <c r="B2208" s="292"/>
      <c r="C2208" s="181"/>
      <c r="D2208" s="181"/>
      <c r="E2208" s="181"/>
      <c r="F2208" s="181"/>
      <c r="G2208" s="181"/>
      <c r="H2208" s="181"/>
      <c r="I2208" s="181"/>
      <c r="J2208" s="181"/>
      <c r="K2208" s="181"/>
      <c r="L2208" s="181"/>
      <c r="M2208" s="181"/>
      <c r="N2208" s="181"/>
      <c r="O2208" s="181"/>
      <c r="P2208" s="181"/>
    </row>
    <row r="2209">
      <c r="B2209" s="292"/>
      <c r="C2209" s="181"/>
      <c r="D2209" s="181"/>
      <c r="E2209" s="181"/>
      <c r="F2209" s="181"/>
      <c r="G2209" s="181"/>
      <c r="H2209" s="181"/>
      <c r="I2209" s="181"/>
      <c r="J2209" s="181"/>
      <c r="K2209" s="181"/>
      <c r="L2209" s="181"/>
      <c r="M2209" s="181"/>
      <c r="N2209" s="181"/>
      <c r="O2209" s="181"/>
      <c r="P2209" s="181"/>
    </row>
    <row r="2210">
      <c r="B2210" s="292"/>
      <c r="C2210" s="181"/>
      <c r="D2210" s="181"/>
      <c r="E2210" s="181"/>
      <c r="F2210" s="181"/>
      <c r="G2210" s="181"/>
      <c r="H2210" s="181"/>
      <c r="I2210" s="181"/>
      <c r="J2210" s="181"/>
      <c r="K2210" s="181"/>
      <c r="L2210" s="181"/>
      <c r="M2210" s="181"/>
      <c r="N2210" s="181"/>
      <c r="O2210" s="181"/>
      <c r="P2210" s="181"/>
    </row>
    <row r="2211">
      <c r="B2211" s="292"/>
      <c r="C2211" s="181"/>
      <c r="D2211" s="181"/>
      <c r="E2211" s="181"/>
      <c r="F2211" s="181"/>
      <c r="G2211" s="181"/>
      <c r="H2211" s="181"/>
      <c r="I2211" s="181"/>
      <c r="J2211" s="181"/>
      <c r="K2211" s="181"/>
      <c r="L2211" s="181"/>
      <c r="M2211" s="181"/>
      <c r="N2211" s="181"/>
      <c r="O2211" s="181"/>
      <c r="P2211" s="181"/>
    </row>
    <row r="2212">
      <c r="B2212" s="292"/>
      <c r="C2212" s="181"/>
      <c r="D2212" s="181"/>
      <c r="E2212" s="181"/>
      <c r="F2212" s="181"/>
      <c r="G2212" s="181"/>
      <c r="H2212" s="181"/>
      <c r="I2212" s="181"/>
      <c r="J2212" s="181"/>
      <c r="K2212" s="181"/>
      <c r="L2212" s="181"/>
      <c r="M2212" s="181"/>
      <c r="N2212" s="181"/>
      <c r="O2212" s="181"/>
      <c r="P2212" s="181"/>
    </row>
    <row r="2213">
      <c r="B2213" s="292"/>
      <c r="C2213" s="181"/>
      <c r="D2213" s="181"/>
      <c r="E2213" s="181"/>
      <c r="F2213" s="181"/>
      <c r="G2213" s="181"/>
      <c r="H2213" s="181"/>
      <c r="I2213" s="181"/>
      <c r="J2213" s="181"/>
      <c r="K2213" s="181"/>
      <c r="L2213" s="181"/>
      <c r="M2213" s="181"/>
      <c r="N2213" s="181"/>
      <c r="O2213" s="181"/>
      <c r="P2213" s="181"/>
    </row>
    <row r="2214">
      <c r="B2214" s="292"/>
      <c r="C2214" s="181"/>
      <c r="D2214" s="181"/>
      <c r="E2214" s="181"/>
      <c r="F2214" s="181"/>
      <c r="G2214" s="181"/>
      <c r="H2214" s="181"/>
      <c r="I2214" s="181"/>
      <c r="J2214" s="181"/>
      <c r="K2214" s="181"/>
      <c r="L2214" s="181"/>
      <c r="M2214" s="181"/>
      <c r="N2214" s="181"/>
      <c r="O2214" s="181"/>
      <c r="P2214" s="181"/>
    </row>
    <row r="2215">
      <c r="B2215" s="292"/>
      <c r="C2215" s="181"/>
      <c r="D2215" s="181"/>
      <c r="E2215" s="181"/>
      <c r="F2215" s="181"/>
      <c r="G2215" s="181"/>
      <c r="H2215" s="181"/>
      <c r="I2215" s="181"/>
      <c r="J2215" s="181"/>
      <c r="K2215" s="181"/>
      <c r="L2215" s="181"/>
      <c r="M2215" s="181"/>
      <c r="N2215" s="181"/>
      <c r="O2215" s="181"/>
      <c r="P2215" s="181"/>
    </row>
    <row r="2216">
      <c r="B2216" s="292"/>
      <c r="C2216" s="181"/>
      <c r="D2216" s="181"/>
      <c r="E2216" s="181"/>
      <c r="F2216" s="181"/>
      <c r="G2216" s="181"/>
      <c r="H2216" s="181"/>
      <c r="I2216" s="181"/>
      <c r="J2216" s="181"/>
      <c r="K2216" s="181"/>
      <c r="L2216" s="181"/>
      <c r="M2216" s="181"/>
      <c r="N2216" s="181"/>
      <c r="O2216" s="181"/>
      <c r="P2216" s="181"/>
    </row>
    <row r="2217">
      <c r="B2217" s="292"/>
      <c r="C2217" s="181"/>
      <c r="D2217" s="181"/>
      <c r="E2217" s="181"/>
      <c r="F2217" s="181"/>
      <c r="G2217" s="181"/>
      <c r="H2217" s="181"/>
      <c r="I2217" s="181"/>
      <c r="J2217" s="181"/>
      <c r="K2217" s="181"/>
      <c r="L2217" s="181"/>
      <c r="M2217" s="181"/>
      <c r="N2217" s="181"/>
      <c r="O2217" s="181"/>
      <c r="P2217" s="181"/>
    </row>
    <row r="2218">
      <c r="B2218" s="292"/>
      <c r="C2218" s="181"/>
      <c r="D2218" s="181"/>
      <c r="E2218" s="181"/>
      <c r="F2218" s="181"/>
      <c r="G2218" s="181"/>
      <c r="H2218" s="181"/>
      <c r="I2218" s="181"/>
      <c r="J2218" s="181"/>
      <c r="K2218" s="181"/>
      <c r="L2218" s="181"/>
      <c r="M2218" s="181"/>
      <c r="N2218" s="181"/>
      <c r="O2218" s="181"/>
      <c r="P2218" s="181"/>
    </row>
    <row r="2219">
      <c r="B2219" s="292"/>
      <c r="C2219" s="181"/>
      <c r="D2219" s="181"/>
      <c r="E2219" s="181"/>
      <c r="F2219" s="181"/>
      <c r="G2219" s="181"/>
      <c r="H2219" s="181"/>
      <c r="I2219" s="181"/>
      <c r="J2219" s="181"/>
      <c r="K2219" s="181"/>
      <c r="L2219" s="181"/>
      <c r="M2219" s="181"/>
      <c r="N2219" s="181"/>
      <c r="O2219" s="181"/>
      <c r="P2219" s="181"/>
    </row>
    <row r="2220">
      <c r="B2220" s="292"/>
      <c r="C2220" s="181"/>
      <c r="D2220" s="181"/>
      <c r="E2220" s="181"/>
      <c r="F2220" s="181"/>
      <c r="G2220" s="181"/>
      <c r="H2220" s="181"/>
      <c r="I2220" s="181"/>
      <c r="J2220" s="181"/>
      <c r="K2220" s="181"/>
      <c r="L2220" s="181"/>
      <c r="M2220" s="181"/>
      <c r="N2220" s="181"/>
      <c r="O2220" s="181"/>
      <c r="P2220" s="181"/>
    </row>
    <row r="2221">
      <c r="B2221" s="292"/>
      <c r="C2221" s="181"/>
      <c r="D2221" s="181"/>
      <c r="E2221" s="181"/>
      <c r="F2221" s="181"/>
      <c r="G2221" s="181"/>
      <c r="H2221" s="181"/>
      <c r="I2221" s="181"/>
      <c r="J2221" s="181"/>
      <c r="K2221" s="181"/>
      <c r="L2221" s="181"/>
      <c r="M2221" s="181"/>
      <c r="N2221" s="181"/>
      <c r="O2221" s="181"/>
      <c r="P2221" s="181"/>
    </row>
    <row r="2222">
      <c r="B2222" s="292"/>
      <c r="C2222" s="181"/>
      <c r="D2222" s="181"/>
      <c r="E2222" s="181"/>
      <c r="F2222" s="181"/>
      <c r="G2222" s="181"/>
      <c r="H2222" s="181"/>
      <c r="I2222" s="181"/>
      <c r="J2222" s="181"/>
      <c r="K2222" s="181"/>
      <c r="L2222" s="181"/>
      <c r="M2222" s="181"/>
      <c r="N2222" s="181"/>
      <c r="O2222" s="181"/>
      <c r="P2222" s="181"/>
    </row>
    <row r="2223">
      <c r="B2223" s="292"/>
      <c r="C2223" s="181"/>
      <c r="D2223" s="181"/>
      <c r="E2223" s="181"/>
      <c r="F2223" s="181"/>
      <c r="G2223" s="181"/>
      <c r="H2223" s="181"/>
      <c r="I2223" s="181"/>
      <c r="J2223" s="181"/>
      <c r="K2223" s="181"/>
      <c r="L2223" s="181"/>
      <c r="M2223" s="181"/>
      <c r="N2223" s="181"/>
      <c r="O2223" s="181"/>
      <c r="P2223" s="181"/>
    </row>
    <row r="2224">
      <c r="B2224" s="292"/>
      <c r="C2224" s="181"/>
      <c r="D2224" s="181"/>
      <c r="E2224" s="181"/>
      <c r="F2224" s="181"/>
      <c r="G2224" s="181"/>
      <c r="H2224" s="181"/>
      <c r="I2224" s="181"/>
      <c r="J2224" s="181"/>
      <c r="K2224" s="181"/>
      <c r="L2224" s="181"/>
      <c r="M2224" s="181"/>
      <c r="N2224" s="181"/>
      <c r="O2224" s="181"/>
      <c r="P2224" s="181"/>
    </row>
    <row r="2225">
      <c r="B2225" s="292"/>
      <c r="C2225" s="181"/>
      <c r="D2225" s="181"/>
      <c r="E2225" s="181"/>
      <c r="F2225" s="181"/>
      <c r="G2225" s="181"/>
      <c r="H2225" s="181"/>
      <c r="I2225" s="181"/>
      <c r="J2225" s="181"/>
      <c r="K2225" s="181"/>
      <c r="L2225" s="181"/>
      <c r="M2225" s="181"/>
      <c r="N2225" s="181"/>
      <c r="O2225" s="181"/>
      <c r="P2225" s="181"/>
    </row>
    <row r="2226">
      <c r="B2226" s="292"/>
      <c r="C2226" s="181"/>
      <c r="D2226" s="181"/>
      <c r="E2226" s="181"/>
      <c r="F2226" s="181"/>
      <c r="G2226" s="181"/>
      <c r="H2226" s="181"/>
      <c r="I2226" s="181"/>
      <c r="J2226" s="181"/>
      <c r="K2226" s="181"/>
      <c r="L2226" s="181"/>
      <c r="M2226" s="181"/>
      <c r="N2226" s="181"/>
      <c r="O2226" s="181"/>
      <c r="P2226" s="181"/>
    </row>
    <row r="2227">
      <c r="B2227" s="292"/>
      <c r="C2227" s="181"/>
      <c r="D2227" s="181"/>
      <c r="E2227" s="181"/>
      <c r="F2227" s="181"/>
      <c r="G2227" s="181"/>
      <c r="H2227" s="181"/>
      <c r="I2227" s="181"/>
      <c r="J2227" s="181"/>
      <c r="K2227" s="181"/>
      <c r="L2227" s="181"/>
      <c r="M2227" s="181"/>
      <c r="N2227" s="181"/>
      <c r="O2227" s="181"/>
      <c r="P2227" s="181"/>
    </row>
    <row r="2228">
      <c r="B2228" s="292"/>
      <c r="C2228" s="181"/>
      <c r="D2228" s="181"/>
      <c r="E2228" s="181"/>
      <c r="F2228" s="181"/>
      <c r="G2228" s="181"/>
      <c r="H2228" s="181"/>
      <c r="I2228" s="181"/>
      <c r="J2228" s="181"/>
      <c r="K2228" s="181"/>
      <c r="L2228" s="181"/>
      <c r="M2228" s="181"/>
      <c r="N2228" s="181"/>
      <c r="O2228" s="181"/>
      <c r="P2228" s="181"/>
    </row>
    <row r="2229">
      <c r="B2229" s="292"/>
      <c r="C2229" s="181"/>
      <c r="D2229" s="181"/>
      <c r="E2229" s="181"/>
      <c r="F2229" s="181"/>
      <c r="G2229" s="181"/>
      <c r="H2229" s="181"/>
      <c r="I2229" s="181"/>
      <c r="J2229" s="181"/>
      <c r="K2229" s="181"/>
      <c r="L2229" s="181"/>
      <c r="M2229" s="181"/>
      <c r="N2229" s="181"/>
      <c r="O2229" s="181"/>
      <c r="P2229" s="181"/>
    </row>
    <row r="2230">
      <c r="B2230" s="292"/>
      <c r="C2230" s="181"/>
      <c r="D2230" s="181"/>
      <c r="E2230" s="181"/>
      <c r="F2230" s="181"/>
      <c r="G2230" s="181"/>
      <c r="H2230" s="181"/>
      <c r="I2230" s="181"/>
      <c r="J2230" s="181"/>
      <c r="K2230" s="181"/>
      <c r="L2230" s="181"/>
      <c r="M2230" s="181"/>
      <c r="N2230" s="181"/>
      <c r="O2230" s="181"/>
      <c r="P2230" s="181"/>
    </row>
    <row r="2231">
      <c r="B2231" s="292"/>
      <c r="C2231" s="181"/>
      <c r="D2231" s="181"/>
      <c r="E2231" s="181"/>
      <c r="F2231" s="181"/>
      <c r="G2231" s="181"/>
      <c r="H2231" s="181"/>
      <c r="I2231" s="181"/>
      <c r="J2231" s="181"/>
      <c r="K2231" s="181"/>
      <c r="L2231" s="181"/>
      <c r="M2231" s="181"/>
      <c r="N2231" s="181"/>
      <c r="O2231" s="181"/>
      <c r="P2231" s="181"/>
    </row>
    <row r="2232">
      <c r="B2232" s="292"/>
      <c r="C2232" s="181"/>
      <c r="D2232" s="181"/>
      <c r="E2232" s="181"/>
      <c r="F2232" s="181"/>
      <c r="G2232" s="181"/>
      <c r="H2232" s="181"/>
      <c r="I2232" s="181"/>
      <c r="J2232" s="181"/>
      <c r="K2232" s="181"/>
      <c r="L2232" s="181"/>
      <c r="M2232" s="181"/>
      <c r="N2232" s="181"/>
      <c r="O2232" s="181"/>
      <c r="P2232" s="181"/>
    </row>
    <row r="2233">
      <c r="B2233" s="292"/>
      <c r="C2233" s="181"/>
      <c r="D2233" s="181"/>
      <c r="E2233" s="181"/>
      <c r="F2233" s="181"/>
      <c r="G2233" s="181"/>
      <c r="H2233" s="181"/>
      <c r="I2233" s="181"/>
      <c r="J2233" s="181"/>
      <c r="K2233" s="181"/>
      <c r="L2233" s="181"/>
      <c r="M2233" s="181"/>
      <c r="N2233" s="181"/>
      <c r="O2233" s="181"/>
      <c r="P2233" s="181"/>
    </row>
    <row r="2234">
      <c r="B2234" s="292"/>
      <c r="C2234" s="181"/>
      <c r="D2234" s="181"/>
      <c r="E2234" s="181"/>
      <c r="F2234" s="181"/>
      <c r="G2234" s="181"/>
      <c r="H2234" s="181"/>
      <c r="I2234" s="181"/>
      <c r="J2234" s="181"/>
      <c r="K2234" s="181"/>
      <c r="L2234" s="181"/>
      <c r="M2234" s="181"/>
      <c r="N2234" s="181"/>
      <c r="O2234" s="181"/>
      <c r="P2234" s="181"/>
    </row>
    <row r="2235">
      <c r="B2235" s="292"/>
      <c r="C2235" s="181"/>
      <c r="D2235" s="181"/>
      <c r="E2235" s="181"/>
      <c r="F2235" s="181"/>
      <c r="G2235" s="181"/>
      <c r="H2235" s="181"/>
      <c r="I2235" s="181"/>
      <c r="J2235" s="181"/>
      <c r="K2235" s="181"/>
      <c r="L2235" s="181"/>
      <c r="M2235" s="181"/>
      <c r="N2235" s="181"/>
      <c r="O2235" s="181"/>
      <c r="P2235" s="181"/>
    </row>
    <row r="2236">
      <c r="B2236" s="292"/>
      <c r="C2236" s="181"/>
      <c r="D2236" s="181"/>
      <c r="E2236" s="181"/>
      <c r="F2236" s="181"/>
      <c r="G2236" s="181"/>
      <c r="H2236" s="181"/>
      <c r="I2236" s="181"/>
      <c r="J2236" s="181"/>
      <c r="K2236" s="181"/>
      <c r="L2236" s="181"/>
      <c r="M2236" s="181"/>
      <c r="N2236" s="181"/>
      <c r="O2236" s="181"/>
      <c r="P2236" s="181"/>
    </row>
    <row r="2237">
      <c r="B2237" s="292"/>
      <c r="C2237" s="181"/>
      <c r="D2237" s="181"/>
      <c r="E2237" s="181"/>
      <c r="F2237" s="181"/>
      <c r="G2237" s="181"/>
      <c r="H2237" s="181"/>
      <c r="I2237" s="181"/>
      <c r="J2237" s="181"/>
      <c r="K2237" s="181"/>
      <c r="L2237" s="181"/>
      <c r="M2237" s="181"/>
      <c r="N2237" s="181"/>
      <c r="O2237" s="181"/>
      <c r="P2237" s="181"/>
    </row>
    <row r="2238">
      <c r="B2238" s="292"/>
      <c r="C2238" s="181"/>
      <c r="D2238" s="181"/>
      <c r="E2238" s="181"/>
      <c r="F2238" s="181"/>
      <c r="G2238" s="181"/>
      <c r="H2238" s="181"/>
      <c r="I2238" s="181"/>
      <c r="J2238" s="181"/>
      <c r="K2238" s="181"/>
      <c r="L2238" s="181"/>
      <c r="M2238" s="181"/>
      <c r="N2238" s="181"/>
      <c r="O2238" s="181"/>
      <c r="P2238" s="181"/>
    </row>
    <row r="2239">
      <c r="B2239" s="292"/>
      <c r="C2239" s="181"/>
      <c r="D2239" s="181"/>
      <c r="E2239" s="181"/>
      <c r="F2239" s="181"/>
      <c r="G2239" s="181"/>
      <c r="H2239" s="181"/>
      <c r="I2239" s="181"/>
      <c r="J2239" s="181"/>
      <c r="K2239" s="181"/>
      <c r="L2239" s="181"/>
      <c r="M2239" s="181"/>
      <c r="N2239" s="181"/>
      <c r="O2239" s="181"/>
      <c r="P2239" s="181"/>
    </row>
    <row r="2240">
      <c r="B2240" s="292"/>
      <c r="C2240" s="181"/>
      <c r="D2240" s="181"/>
      <c r="E2240" s="181"/>
      <c r="F2240" s="181"/>
      <c r="G2240" s="181"/>
      <c r="H2240" s="181"/>
      <c r="I2240" s="181"/>
      <c r="J2240" s="181"/>
      <c r="K2240" s="181"/>
      <c r="L2240" s="181"/>
      <c r="M2240" s="181"/>
      <c r="N2240" s="181"/>
      <c r="O2240" s="181"/>
      <c r="P2240" s="181"/>
    </row>
    <row r="2241">
      <c r="B2241" s="292"/>
      <c r="C2241" s="181"/>
      <c r="D2241" s="181"/>
      <c r="E2241" s="181"/>
      <c r="F2241" s="181"/>
      <c r="G2241" s="181"/>
      <c r="H2241" s="181"/>
      <c r="I2241" s="181"/>
      <c r="J2241" s="181"/>
      <c r="K2241" s="181"/>
      <c r="L2241" s="181"/>
      <c r="M2241" s="181"/>
      <c r="N2241" s="181"/>
      <c r="O2241" s="181"/>
      <c r="P2241" s="181"/>
    </row>
    <row r="2242">
      <c r="B2242" s="292"/>
      <c r="C2242" s="181"/>
      <c r="D2242" s="181"/>
      <c r="E2242" s="181"/>
      <c r="F2242" s="181"/>
      <c r="G2242" s="181"/>
      <c r="H2242" s="181"/>
      <c r="I2242" s="181"/>
      <c r="J2242" s="181"/>
      <c r="K2242" s="181"/>
      <c r="L2242" s="181"/>
      <c r="M2242" s="181"/>
      <c r="N2242" s="181"/>
      <c r="O2242" s="181"/>
      <c r="P2242" s="181"/>
    </row>
    <row r="2243">
      <c r="B2243" s="292"/>
      <c r="C2243" s="181"/>
      <c r="D2243" s="181"/>
      <c r="E2243" s="181"/>
      <c r="F2243" s="181"/>
      <c r="G2243" s="181"/>
      <c r="H2243" s="181"/>
      <c r="I2243" s="181"/>
      <c r="J2243" s="181"/>
      <c r="K2243" s="181"/>
      <c r="L2243" s="181"/>
      <c r="M2243" s="181"/>
      <c r="N2243" s="181"/>
      <c r="O2243" s="181"/>
      <c r="P2243" s="181"/>
    </row>
    <row r="2244">
      <c r="B2244" s="292"/>
      <c r="C2244" s="181"/>
      <c r="D2244" s="181"/>
      <c r="E2244" s="181"/>
      <c r="F2244" s="181"/>
      <c r="G2244" s="181"/>
      <c r="H2244" s="181"/>
      <c r="I2244" s="181"/>
      <c r="J2244" s="181"/>
      <c r="K2244" s="181"/>
      <c r="L2244" s="181"/>
      <c r="M2244" s="181"/>
      <c r="N2244" s="181"/>
      <c r="O2244" s="181"/>
      <c r="P2244" s="181"/>
    </row>
    <row r="2245">
      <c r="B2245" s="292"/>
      <c r="C2245" s="181"/>
      <c r="D2245" s="181"/>
      <c r="E2245" s="181"/>
      <c r="F2245" s="181"/>
      <c r="G2245" s="181"/>
      <c r="H2245" s="181"/>
      <c r="I2245" s="181"/>
      <c r="J2245" s="181"/>
      <c r="K2245" s="181"/>
      <c r="L2245" s="181"/>
      <c r="M2245" s="181"/>
      <c r="N2245" s="181"/>
      <c r="O2245" s="181"/>
      <c r="P2245" s="181"/>
    </row>
    <row r="2246">
      <c r="B2246" s="292"/>
      <c r="C2246" s="181"/>
      <c r="D2246" s="181"/>
      <c r="E2246" s="181"/>
      <c r="F2246" s="181"/>
      <c r="G2246" s="181"/>
      <c r="H2246" s="181"/>
      <c r="I2246" s="181"/>
      <c r="J2246" s="181"/>
      <c r="K2246" s="181"/>
      <c r="L2246" s="181"/>
      <c r="M2246" s="181"/>
      <c r="N2246" s="181"/>
      <c r="O2246" s="181"/>
      <c r="P2246" s="181"/>
    </row>
    <row r="2247">
      <c r="B2247" s="292"/>
      <c r="C2247" s="181"/>
      <c r="D2247" s="181"/>
      <c r="E2247" s="181"/>
      <c r="F2247" s="181"/>
      <c r="G2247" s="181"/>
      <c r="H2247" s="181"/>
      <c r="I2247" s="181"/>
      <c r="J2247" s="181"/>
      <c r="K2247" s="181"/>
      <c r="L2247" s="181"/>
      <c r="M2247" s="181"/>
      <c r="N2247" s="181"/>
      <c r="O2247" s="181"/>
      <c r="P2247" s="181"/>
    </row>
    <row r="2248">
      <c r="B2248" s="292"/>
      <c r="C2248" s="181"/>
      <c r="D2248" s="181"/>
      <c r="E2248" s="181"/>
      <c r="F2248" s="181"/>
      <c r="G2248" s="181"/>
      <c r="H2248" s="181"/>
      <c r="I2248" s="181"/>
      <c r="J2248" s="181"/>
      <c r="K2248" s="181"/>
      <c r="L2248" s="181"/>
      <c r="M2248" s="181"/>
      <c r="N2248" s="181"/>
      <c r="O2248" s="181"/>
      <c r="P2248" s="181"/>
    </row>
    <row r="2249">
      <c r="B2249" s="292"/>
      <c r="C2249" s="181"/>
      <c r="D2249" s="181"/>
      <c r="E2249" s="181"/>
      <c r="F2249" s="181"/>
      <c r="G2249" s="181"/>
      <c r="H2249" s="181"/>
      <c r="I2249" s="181"/>
      <c r="J2249" s="181"/>
      <c r="K2249" s="181"/>
      <c r="L2249" s="181"/>
      <c r="M2249" s="181"/>
      <c r="N2249" s="181"/>
      <c r="O2249" s="181"/>
      <c r="P2249" s="181"/>
    </row>
    <row r="2250">
      <c r="B2250" s="292"/>
      <c r="C2250" s="181"/>
      <c r="D2250" s="181"/>
      <c r="E2250" s="181"/>
      <c r="F2250" s="181"/>
      <c r="G2250" s="181"/>
      <c r="H2250" s="181"/>
      <c r="I2250" s="181"/>
      <c r="J2250" s="181"/>
      <c r="K2250" s="181"/>
      <c r="L2250" s="181"/>
      <c r="M2250" s="181"/>
      <c r="N2250" s="181"/>
      <c r="O2250" s="181"/>
      <c r="P2250" s="181"/>
    </row>
    <row r="2251">
      <c r="B2251" s="292"/>
      <c r="C2251" s="181"/>
      <c r="D2251" s="181"/>
      <c r="E2251" s="181"/>
      <c r="F2251" s="181"/>
      <c r="G2251" s="181"/>
      <c r="H2251" s="181"/>
      <c r="I2251" s="181"/>
      <c r="J2251" s="181"/>
      <c r="K2251" s="181"/>
      <c r="L2251" s="181"/>
      <c r="M2251" s="181"/>
      <c r="N2251" s="181"/>
      <c r="O2251" s="181"/>
      <c r="P2251" s="181"/>
    </row>
    <row r="2252">
      <c r="B2252" s="292"/>
      <c r="C2252" s="181"/>
      <c r="D2252" s="181"/>
      <c r="E2252" s="181"/>
      <c r="F2252" s="181"/>
      <c r="G2252" s="181"/>
      <c r="H2252" s="181"/>
      <c r="I2252" s="181"/>
      <c r="J2252" s="181"/>
      <c r="K2252" s="181"/>
      <c r="L2252" s="181"/>
      <c r="M2252" s="181"/>
      <c r="N2252" s="181"/>
      <c r="O2252" s="181"/>
      <c r="P2252" s="181"/>
    </row>
    <row r="2253">
      <c r="B2253" s="292"/>
      <c r="C2253" s="181"/>
      <c r="D2253" s="181"/>
      <c r="E2253" s="181"/>
      <c r="F2253" s="181"/>
      <c r="G2253" s="181"/>
      <c r="H2253" s="181"/>
      <c r="I2253" s="181"/>
      <c r="J2253" s="181"/>
      <c r="K2253" s="181"/>
      <c r="L2253" s="181"/>
      <c r="M2253" s="181"/>
      <c r="N2253" s="181"/>
      <c r="O2253" s="181"/>
      <c r="P2253" s="181"/>
    </row>
    <row r="2254">
      <c r="B2254" s="292"/>
      <c r="C2254" s="181"/>
      <c r="D2254" s="181"/>
      <c r="E2254" s="181"/>
      <c r="F2254" s="181"/>
      <c r="G2254" s="181"/>
      <c r="H2254" s="181"/>
      <c r="I2254" s="181"/>
      <c r="J2254" s="181"/>
      <c r="K2254" s="181"/>
      <c r="L2254" s="181"/>
      <c r="M2254" s="181"/>
      <c r="N2254" s="181"/>
      <c r="O2254" s="181"/>
      <c r="P2254" s="181"/>
    </row>
    <row r="2255">
      <c r="B2255" s="292"/>
      <c r="C2255" s="181"/>
      <c r="D2255" s="181"/>
      <c r="E2255" s="181"/>
      <c r="F2255" s="181"/>
      <c r="G2255" s="181"/>
      <c r="H2255" s="181"/>
      <c r="I2255" s="181"/>
      <c r="J2255" s="181"/>
      <c r="K2255" s="181"/>
      <c r="L2255" s="181"/>
      <c r="M2255" s="181"/>
      <c r="N2255" s="181"/>
      <c r="O2255" s="181"/>
      <c r="P2255" s="181"/>
    </row>
    <row r="2256">
      <c r="B2256" s="292"/>
      <c r="C2256" s="181"/>
      <c r="D2256" s="181"/>
      <c r="E2256" s="181"/>
      <c r="F2256" s="181"/>
      <c r="G2256" s="181"/>
      <c r="H2256" s="181"/>
      <c r="I2256" s="181"/>
      <c r="J2256" s="181"/>
      <c r="K2256" s="181"/>
      <c r="L2256" s="181"/>
      <c r="M2256" s="181"/>
      <c r="N2256" s="181"/>
      <c r="O2256" s="181"/>
      <c r="P2256" s="181"/>
    </row>
    <row r="2257">
      <c r="B2257" s="292"/>
      <c r="C2257" s="181"/>
      <c r="D2257" s="181"/>
      <c r="E2257" s="181"/>
      <c r="F2257" s="181"/>
      <c r="G2257" s="181"/>
      <c r="H2257" s="181"/>
      <c r="I2257" s="181"/>
      <c r="J2257" s="181"/>
      <c r="K2257" s="181"/>
      <c r="L2257" s="181"/>
      <c r="M2257" s="181"/>
      <c r="N2257" s="181"/>
      <c r="O2257" s="181"/>
      <c r="P2257" s="181"/>
    </row>
    <row r="2258">
      <c r="B2258" s="292"/>
      <c r="C2258" s="181"/>
      <c r="D2258" s="181"/>
      <c r="E2258" s="181"/>
      <c r="F2258" s="181"/>
      <c r="G2258" s="181"/>
      <c r="H2258" s="181"/>
      <c r="I2258" s="181"/>
      <c r="J2258" s="181"/>
      <c r="K2258" s="181"/>
      <c r="L2258" s="181"/>
      <c r="M2258" s="181"/>
      <c r="N2258" s="181"/>
      <c r="O2258" s="181"/>
      <c r="P2258" s="181"/>
    </row>
    <row r="2259">
      <c r="B2259" s="292"/>
      <c r="C2259" s="181"/>
      <c r="D2259" s="181"/>
      <c r="E2259" s="181"/>
      <c r="F2259" s="181"/>
      <c r="G2259" s="181"/>
      <c r="H2259" s="181"/>
      <c r="I2259" s="181"/>
      <c r="J2259" s="181"/>
      <c r="K2259" s="181"/>
      <c r="L2259" s="181"/>
      <c r="M2259" s="181"/>
      <c r="N2259" s="181"/>
      <c r="O2259" s="181"/>
      <c r="P2259" s="181"/>
    </row>
    <row r="2260">
      <c r="B2260" s="292"/>
      <c r="C2260" s="181"/>
      <c r="D2260" s="181"/>
      <c r="E2260" s="181"/>
      <c r="F2260" s="181"/>
      <c r="G2260" s="181"/>
      <c r="H2260" s="181"/>
      <c r="I2260" s="181"/>
      <c r="J2260" s="181"/>
      <c r="K2260" s="181"/>
      <c r="L2260" s="181"/>
      <c r="M2260" s="181"/>
      <c r="N2260" s="181"/>
      <c r="O2260" s="181"/>
      <c r="P2260" s="181"/>
    </row>
    <row r="2261">
      <c r="B2261" s="292"/>
      <c r="C2261" s="181"/>
      <c r="D2261" s="181"/>
      <c r="E2261" s="181"/>
      <c r="F2261" s="181"/>
      <c r="G2261" s="181"/>
      <c r="H2261" s="181"/>
      <c r="I2261" s="181"/>
      <c r="J2261" s="181"/>
      <c r="K2261" s="181"/>
      <c r="L2261" s="181"/>
      <c r="M2261" s="181"/>
      <c r="N2261" s="181"/>
      <c r="O2261" s="181"/>
      <c r="P2261" s="181"/>
    </row>
    <row r="2262">
      <c r="B2262" s="292"/>
      <c r="C2262" s="181"/>
      <c r="D2262" s="181"/>
      <c r="E2262" s="181"/>
      <c r="F2262" s="181"/>
      <c r="G2262" s="181"/>
      <c r="H2262" s="181"/>
      <c r="I2262" s="181"/>
      <c r="J2262" s="181"/>
      <c r="K2262" s="181"/>
      <c r="L2262" s="181"/>
      <c r="M2262" s="181"/>
      <c r="N2262" s="181"/>
      <c r="O2262" s="181"/>
      <c r="P2262" s="181"/>
    </row>
    <row r="2263">
      <c r="B2263" s="292"/>
      <c r="C2263" s="181"/>
      <c r="D2263" s="181"/>
      <c r="E2263" s="181"/>
      <c r="F2263" s="181"/>
      <c r="G2263" s="181"/>
      <c r="H2263" s="181"/>
      <c r="I2263" s="181"/>
      <c r="J2263" s="181"/>
      <c r="K2263" s="181"/>
      <c r="L2263" s="181"/>
      <c r="M2263" s="181"/>
      <c r="N2263" s="181"/>
      <c r="O2263" s="181"/>
      <c r="P2263" s="181"/>
    </row>
    <row r="2264">
      <c r="B2264" s="292"/>
      <c r="C2264" s="181"/>
      <c r="D2264" s="181"/>
      <c r="E2264" s="181"/>
      <c r="F2264" s="181"/>
      <c r="G2264" s="181"/>
      <c r="H2264" s="181"/>
      <c r="I2264" s="181"/>
      <c r="J2264" s="181"/>
      <c r="K2264" s="181"/>
      <c r="L2264" s="181"/>
      <c r="M2264" s="181"/>
      <c r="N2264" s="181"/>
      <c r="O2264" s="181"/>
      <c r="P2264" s="181"/>
    </row>
    <row r="2265">
      <c r="B2265" s="292"/>
      <c r="C2265" s="181"/>
      <c r="D2265" s="181"/>
      <c r="E2265" s="181"/>
      <c r="F2265" s="181"/>
      <c r="G2265" s="181"/>
      <c r="H2265" s="181"/>
      <c r="I2265" s="181"/>
      <c r="J2265" s="181"/>
      <c r="K2265" s="181"/>
      <c r="L2265" s="181"/>
      <c r="M2265" s="181"/>
      <c r="N2265" s="181"/>
      <c r="O2265" s="181"/>
      <c r="P2265" s="181"/>
    </row>
    <row r="2266">
      <c r="B2266" s="292"/>
      <c r="C2266" s="181"/>
      <c r="D2266" s="181"/>
      <c r="E2266" s="181"/>
      <c r="F2266" s="181"/>
      <c r="G2266" s="181"/>
      <c r="H2266" s="181"/>
      <c r="I2266" s="181"/>
      <c r="J2266" s="181"/>
      <c r="K2266" s="181"/>
      <c r="L2266" s="181"/>
      <c r="M2266" s="181"/>
      <c r="N2266" s="181"/>
      <c r="O2266" s="181"/>
      <c r="P2266" s="181"/>
    </row>
    <row r="2267">
      <c r="B2267" s="292"/>
      <c r="C2267" s="181"/>
      <c r="D2267" s="181"/>
      <c r="E2267" s="181"/>
      <c r="F2267" s="181"/>
      <c r="G2267" s="181"/>
      <c r="H2267" s="181"/>
      <c r="I2267" s="181"/>
      <c r="J2267" s="181"/>
      <c r="K2267" s="181"/>
      <c r="L2267" s="181"/>
      <c r="M2267" s="181"/>
      <c r="N2267" s="181"/>
      <c r="O2267" s="181"/>
      <c r="P2267" s="181"/>
    </row>
    <row r="2268">
      <c r="B2268" s="292"/>
      <c r="C2268" s="181"/>
      <c r="D2268" s="181"/>
      <c r="E2268" s="181"/>
      <c r="F2268" s="181"/>
      <c r="G2268" s="181"/>
      <c r="H2268" s="181"/>
      <c r="I2268" s="181"/>
      <c r="J2268" s="181"/>
      <c r="K2268" s="181"/>
      <c r="L2268" s="181"/>
      <c r="M2268" s="181"/>
      <c r="N2268" s="181"/>
      <c r="O2268" s="181"/>
      <c r="P2268" s="181"/>
    </row>
    <row r="2269">
      <c r="B2269" s="292"/>
      <c r="C2269" s="181"/>
      <c r="D2269" s="181"/>
      <c r="E2269" s="181"/>
      <c r="F2269" s="181"/>
      <c r="G2269" s="181"/>
      <c r="H2269" s="181"/>
      <c r="I2269" s="181"/>
      <c r="J2269" s="181"/>
      <c r="K2269" s="181"/>
      <c r="L2269" s="181"/>
      <c r="M2269" s="181"/>
      <c r="N2269" s="181"/>
      <c r="O2269" s="181"/>
      <c r="P2269" s="181"/>
    </row>
    <row r="2270">
      <c r="B2270" s="292"/>
      <c r="C2270" s="181"/>
      <c r="D2270" s="181"/>
      <c r="E2270" s="181"/>
      <c r="F2270" s="181"/>
      <c r="G2270" s="181"/>
      <c r="H2270" s="181"/>
      <c r="I2270" s="181"/>
      <c r="J2270" s="181"/>
      <c r="K2270" s="181"/>
      <c r="L2270" s="181"/>
      <c r="M2270" s="181"/>
      <c r="N2270" s="181"/>
      <c r="O2270" s="181"/>
      <c r="P2270" s="181"/>
    </row>
    <row r="2271">
      <c r="B2271" s="292"/>
      <c r="C2271" s="181"/>
      <c r="D2271" s="181"/>
      <c r="E2271" s="181"/>
      <c r="F2271" s="181"/>
      <c r="G2271" s="181"/>
      <c r="H2271" s="181"/>
      <c r="I2271" s="181"/>
      <c r="J2271" s="181"/>
      <c r="K2271" s="181"/>
      <c r="L2271" s="181"/>
      <c r="M2271" s="181"/>
      <c r="N2271" s="181"/>
      <c r="O2271" s="181"/>
      <c r="P2271" s="181"/>
    </row>
    <row r="2272">
      <c r="B2272" s="292"/>
      <c r="C2272" s="181"/>
      <c r="D2272" s="181"/>
      <c r="E2272" s="181"/>
      <c r="F2272" s="181"/>
      <c r="G2272" s="181"/>
      <c r="H2272" s="181"/>
      <c r="I2272" s="181"/>
      <c r="J2272" s="181"/>
      <c r="K2272" s="181"/>
      <c r="L2272" s="181"/>
      <c r="M2272" s="181"/>
      <c r="N2272" s="181"/>
      <c r="O2272" s="181"/>
      <c r="P2272" s="181"/>
    </row>
    <row r="2273">
      <c r="B2273" s="292"/>
      <c r="C2273" s="181"/>
      <c r="D2273" s="181"/>
      <c r="E2273" s="181"/>
      <c r="F2273" s="181"/>
      <c r="G2273" s="181"/>
      <c r="H2273" s="181"/>
      <c r="I2273" s="181"/>
      <c r="J2273" s="181"/>
      <c r="K2273" s="181"/>
      <c r="L2273" s="181"/>
      <c r="M2273" s="181"/>
      <c r="N2273" s="181"/>
      <c r="O2273" s="181"/>
      <c r="P2273" s="181"/>
    </row>
    <row r="2274">
      <c r="B2274" s="292"/>
      <c r="C2274" s="181"/>
      <c r="D2274" s="181"/>
      <c r="E2274" s="181"/>
      <c r="F2274" s="181"/>
      <c r="G2274" s="181"/>
      <c r="H2274" s="181"/>
      <c r="I2274" s="181"/>
      <c r="J2274" s="181"/>
      <c r="K2274" s="181"/>
      <c r="L2274" s="181"/>
      <c r="M2274" s="181"/>
      <c r="N2274" s="181"/>
      <c r="O2274" s="181"/>
      <c r="P2274" s="181"/>
    </row>
    <row r="2275">
      <c r="B2275" s="292"/>
      <c r="C2275" s="181"/>
      <c r="D2275" s="181"/>
      <c r="E2275" s="181"/>
      <c r="F2275" s="181"/>
      <c r="G2275" s="181"/>
      <c r="H2275" s="181"/>
      <c r="I2275" s="181"/>
      <c r="J2275" s="181"/>
      <c r="K2275" s="181"/>
      <c r="L2275" s="181"/>
      <c r="M2275" s="181"/>
      <c r="N2275" s="181"/>
      <c r="O2275" s="181"/>
      <c r="P2275" s="181"/>
    </row>
    <row r="2276">
      <c r="B2276" s="292"/>
      <c r="C2276" s="181"/>
      <c r="D2276" s="181"/>
      <c r="E2276" s="181"/>
      <c r="F2276" s="181"/>
      <c r="G2276" s="181"/>
      <c r="H2276" s="181"/>
      <c r="I2276" s="181"/>
      <c r="J2276" s="181"/>
      <c r="K2276" s="181"/>
      <c r="L2276" s="181"/>
      <c r="M2276" s="181"/>
      <c r="N2276" s="181"/>
      <c r="O2276" s="181"/>
      <c r="P2276" s="181"/>
    </row>
    <row r="2277">
      <c r="B2277" s="292"/>
      <c r="C2277" s="181"/>
      <c r="D2277" s="181"/>
      <c r="E2277" s="181"/>
      <c r="F2277" s="181"/>
      <c r="G2277" s="181"/>
      <c r="H2277" s="181"/>
      <c r="I2277" s="181"/>
      <c r="J2277" s="181"/>
      <c r="K2277" s="181"/>
      <c r="L2277" s="181"/>
      <c r="M2277" s="181"/>
      <c r="N2277" s="181"/>
      <c r="O2277" s="181"/>
      <c r="P2277" s="181"/>
    </row>
    <row r="2278">
      <c r="B2278" s="292"/>
      <c r="C2278" s="181"/>
      <c r="D2278" s="181"/>
      <c r="E2278" s="181"/>
      <c r="F2278" s="181"/>
      <c r="G2278" s="181"/>
      <c r="H2278" s="181"/>
      <c r="I2278" s="181"/>
      <c r="J2278" s="181"/>
      <c r="K2278" s="181"/>
      <c r="L2278" s="181"/>
      <c r="M2278" s="181"/>
      <c r="N2278" s="181"/>
      <c r="O2278" s="181"/>
      <c r="P2278" s="181"/>
    </row>
    <row r="2279">
      <c r="B2279" s="292"/>
      <c r="C2279" s="181"/>
      <c r="D2279" s="181"/>
      <c r="E2279" s="181"/>
      <c r="F2279" s="181"/>
      <c r="G2279" s="181"/>
      <c r="H2279" s="181"/>
      <c r="I2279" s="181"/>
      <c r="J2279" s="181"/>
      <c r="K2279" s="181"/>
      <c r="L2279" s="181"/>
      <c r="M2279" s="181"/>
      <c r="N2279" s="181"/>
      <c r="O2279" s="181"/>
      <c r="P2279" s="181"/>
    </row>
    <row r="2280">
      <c r="B2280" s="292"/>
      <c r="C2280" s="181"/>
      <c r="D2280" s="181"/>
      <c r="E2280" s="181"/>
      <c r="F2280" s="181"/>
      <c r="G2280" s="181"/>
      <c r="H2280" s="181"/>
      <c r="I2280" s="181"/>
      <c r="J2280" s="181"/>
      <c r="K2280" s="181"/>
      <c r="L2280" s="181"/>
      <c r="M2280" s="181"/>
      <c r="N2280" s="181"/>
      <c r="O2280" s="181"/>
      <c r="P2280" s="181"/>
    </row>
    <row r="2281">
      <c r="B2281" s="292"/>
      <c r="C2281" s="181"/>
      <c r="D2281" s="181"/>
      <c r="E2281" s="181"/>
      <c r="F2281" s="181"/>
      <c r="G2281" s="181"/>
      <c r="H2281" s="181"/>
      <c r="I2281" s="181"/>
      <c r="J2281" s="181"/>
      <c r="K2281" s="181"/>
      <c r="L2281" s="181"/>
      <c r="M2281" s="181"/>
      <c r="N2281" s="181"/>
      <c r="O2281" s="181"/>
      <c r="P2281" s="181"/>
    </row>
    <row r="2282">
      <c r="B2282" s="292"/>
      <c r="C2282" s="181"/>
      <c r="D2282" s="181"/>
      <c r="E2282" s="181"/>
      <c r="F2282" s="181"/>
      <c r="G2282" s="181"/>
      <c r="H2282" s="181"/>
      <c r="I2282" s="181"/>
      <c r="J2282" s="181"/>
      <c r="K2282" s="181"/>
      <c r="L2282" s="181"/>
      <c r="M2282" s="181"/>
      <c r="N2282" s="181"/>
      <c r="O2282" s="181"/>
      <c r="P2282" s="181"/>
    </row>
    <row r="2283">
      <c r="B2283" s="292"/>
      <c r="C2283" s="181"/>
      <c r="D2283" s="181"/>
      <c r="E2283" s="181"/>
      <c r="F2283" s="181"/>
      <c r="G2283" s="181"/>
      <c r="H2283" s="181"/>
      <c r="I2283" s="181"/>
      <c r="J2283" s="181"/>
      <c r="K2283" s="181"/>
      <c r="L2283" s="181"/>
      <c r="M2283" s="181"/>
      <c r="N2283" s="181"/>
      <c r="O2283" s="181"/>
      <c r="P2283" s="181"/>
    </row>
    <row r="2284">
      <c r="B2284" s="292"/>
      <c r="C2284" s="181"/>
      <c r="D2284" s="181"/>
      <c r="E2284" s="181"/>
      <c r="F2284" s="181"/>
      <c r="G2284" s="181"/>
      <c r="H2284" s="181"/>
      <c r="I2284" s="181"/>
      <c r="J2284" s="181"/>
      <c r="K2284" s="181"/>
      <c r="L2284" s="181"/>
      <c r="M2284" s="181"/>
      <c r="N2284" s="181"/>
      <c r="O2284" s="181"/>
      <c r="P2284" s="181"/>
    </row>
    <row r="2285">
      <c r="B2285" s="292"/>
      <c r="C2285" s="181"/>
      <c r="D2285" s="181"/>
      <c r="E2285" s="181"/>
      <c r="F2285" s="181"/>
      <c r="G2285" s="181"/>
      <c r="H2285" s="181"/>
      <c r="I2285" s="181"/>
      <c r="J2285" s="181"/>
      <c r="K2285" s="181"/>
      <c r="L2285" s="181"/>
      <c r="M2285" s="181"/>
      <c r="N2285" s="181"/>
      <c r="O2285" s="181"/>
      <c r="P2285" s="181"/>
    </row>
    <row r="2286">
      <c r="B2286" s="292"/>
      <c r="C2286" s="181"/>
      <c r="D2286" s="181"/>
      <c r="E2286" s="181"/>
      <c r="F2286" s="181"/>
      <c r="G2286" s="181"/>
      <c r="H2286" s="181"/>
      <c r="I2286" s="181"/>
      <c r="J2286" s="181"/>
      <c r="K2286" s="181"/>
      <c r="L2286" s="181"/>
      <c r="M2286" s="181"/>
      <c r="N2286" s="181"/>
      <c r="O2286" s="181"/>
      <c r="P2286" s="181"/>
    </row>
    <row r="2287">
      <c r="B2287" s="292"/>
      <c r="C2287" s="181"/>
      <c r="D2287" s="181"/>
      <c r="E2287" s="181"/>
      <c r="F2287" s="181"/>
      <c r="G2287" s="181"/>
      <c r="H2287" s="181"/>
      <c r="I2287" s="181"/>
      <c r="J2287" s="181"/>
      <c r="K2287" s="181"/>
      <c r="L2287" s="181"/>
      <c r="M2287" s="181"/>
      <c r="N2287" s="181"/>
      <c r="O2287" s="181"/>
      <c r="P2287" s="181"/>
    </row>
    <row r="2288">
      <c r="B2288" s="292"/>
      <c r="C2288" s="181"/>
      <c r="D2288" s="181"/>
      <c r="E2288" s="181"/>
      <c r="F2288" s="181"/>
      <c r="G2288" s="181"/>
      <c r="H2288" s="181"/>
      <c r="I2288" s="181"/>
      <c r="J2288" s="181"/>
      <c r="K2288" s="181"/>
      <c r="L2288" s="181"/>
      <c r="M2288" s="181"/>
      <c r="N2288" s="181"/>
      <c r="O2288" s="181"/>
      <c r="P2288" s="181"/>
    </row>
    <row r="2289">
      <c r="B2289" s="292"/>
      <c r="C2289" s="181"/>
      <c r="D2289" s="181"/>
      <c r="E2289" s="181"/>
      <c r="F2289" s="181"/>
      <c r="G2289" s="181"/>
      <c r="H2289" s="181"/>
      <c r="I2289" s="181"/>
      <c r="J2289" s="181"/>
      <c r="K2289" s="181"/>
      <c r="L2289" s="181"/>
      <c r="M2289" s="181"/>
      <c r="N2289" s="181"/>
      <c r="O2289" s="181"/>
      <c r="P2289" s="181"/>
    </row>
    <row r="2290">
      <c r="B2290" s="292"/>
      <c r="C2290" s="181"/>
      <c r="D2290" s="181"/>
      <c r="E2290" s="181"/>
      <c r="F2290" s="181"/>
      <c r="G2290" s="181"/>
      <c r="H2290" s="181"/>
      <c r="I2290" s="181"/>
      <c r="J2290" s="181"/>
      <c r="K2290" s="181"/>
      <c r="L2290" s="181"/>
      <c r="M2290" s="181"/>
      <c r="N2290" s="181"/>
      <c r="O2290" s="181"/>
      <c r="P2290" s="181"/>
    </row>
    <row r="2291">
      <c r="B2291" s="292"/>
      <c r="C2291" s="181"/>
      <c r="D2291" s="181"/>
      <c r="E2291" s="181"/>
      <c r="F2291" s="181"/>
      <c r="G2291" s="181"/>
      <c r="H2291" s="181"/>
      <c r="I2291" s="181"/>
      <c r="J2291" s="181"/>
      <c r="K2291" s="181"/>
      <c r="L2291" s="181"/>
      <c r="M2291" s="181"/>
      <c r="N2291" s="181"/>
      <c r="O2291" s="181"/>
      <c r="P2291" s="181"/>
    </row>
    <row r="2292">
      <c r="B2292" s="292"/>
      <c r="C2292" s="181"/>
      <c r="D2292" s="181"/>
      <c r="E2292" s="181"/>
      <c r="F2292" s="181"/>
      <c r="G2292" s="181"/>
      <c r="H2292" s="181"/>
      <c r="I2292" s="181"/>
      <c r="J2292" s="181"/>
      <c r="K2292" s="181"/>
      <c r="L2292" s="181"/>
      <c r="M2292" s="181"/>
      <c r="N2292" s="181"/>
      <c r="O2292" s="181"/>
      <c r="P2292" s="181"/>
    </row>
    <row r="2293">
      <c r="B2293" s="292"/>
      <c r="C2293" s="181"/>
      <c r="D2293" s="181"/>
      <c r="E2293" s="181"/>
      <c r="F2293" s="181"/>
      <c r="G2293" s="181"/>
      <c r="H2293" s="181"/>
      <c r="I2293" s="181"/>
      <c r="J2293" s="181"/>
      <c r="K2293" s="181"/>
      <c r="L2293" s="181"/>
      <c r="M2293" s="181"/>
      <c r="N2293" s="181"/>
      <c r="O2293" s="181"/>
      <c r="P2293" s="181"/>
    </row>
    <row r="2294">
      <c r="B2294" s="292"/>
      <c r="C2294" s="181"/>
      <c r="D2294" s="181"/>
      <c r="E2294" s="181"/>
      <c r="F2294" s="181"/>
      <c r="G2294" s="181"/>
      <c r="H2294" s="181"/>
      <c r="I2294" s="181"/>
      <c r="J2294" s="181"/>
      <c r="K2294" s="181"/>
      <c r="L2294" s="181"/>
      <c r="M2294" s="181"/>
      <c r="N2294" s="181"/>
      <c r="O2294" s="181"/>
      <c r="P2294" s="181"/>
    </row>
    <row r="2295">
      <c r="B2295" s="292"/>
      <c r="C2295" s="181"/>
      <c r="D2295" s="181"/>
      <c r="E2295" s="181"/>
      <c r="F2295" s="181"/>
      <c r="G2295" s="181"/>
      <c r="H2295" s="181"/>
      <c r="I2295" s="181"/>
      <c r="J2295" s="181"/>
      <c r="K2295" s="181"/>
      <c r="L2295" s="181"/>
      <c r="M2295" s="181"/>
      <c r="N2295" s="181"/>
      <c r="O2295" s="181"/>
      <c r="P2295" s="181"/>
    </row>
    <row r="2296">
      <c r="B2296" s="292"/>
      <c r="C2296" s="181"/>
      <c r="D2296" s="181"/>
      <c r="E2296" s="181"/>
      <c r="F2296" s="181"/>
      <c r="G2296" s="181"/>
      <c r="H2296" s="181"/>
      <c r="I2296" s="181"/>
      <c r="J2296" s="181"/>
      <c r="K2296" s="181"/>
      <c r="L2296" s="181"/>
      <c r="M2296" s="181"/>
      <c r="N2296" s="181"/>
      <c r="O2296" s="181"/>
      <c r="P2296" s="181"/>
    </row>
    <row r="2297">
      <c r="B2297" s="292"/>
      <c r="C2297" s="181"/>
      <c r="D2297" s="181"/>
      <c r="E2297" s="181"/>
      <c r="F2297" s="181"/>
      <c r="G2297" s="181"/>
      <c r="H2297" s="181"/>
      <c r="I2297" s="181"/>
      <c r="J2297" s="181"/>
      <c r="K2297" s="181"/>
      <c r="L2297" s="181"/>
      <c r="M2297" s="181"/>
      <c r="N2297" s="181"/>
      <c r="O2297" s="181"/>
      <c r="P2297" s="181"/>
    </row>
    <row r="2298">
      <c r="B2298" s="292"/>
      <c r="C2298" s="181"/>
      <c r="D2298" s="181"/>
      <c r="E2298" s="181"/>
      <c r="F2298" s="181"/>
      <c r="G2298" s="181"/>
      <c r="H2298" s="181"/>
      <c r="I2298" s="181"/>
      <c r="J2298" s="181"/>
      <c r="K2298" s="181"/>
      <c r="L2298" s="181"/>
      <c r="M2298" s="181"/>
      <c r="N2298" s="181"/>
      <c r="O2298" s="181"/>
      <c r="P2298" s="181"/>
    </row>
    <row r="2299">
      <c r="B2299" s="292"/>
      <c r="C2299" s="181"/>
      <c r="D2299" s="181"/>
      <c r="E2299" s="181"/>
      <c r="F2299" s="181"/>
      <c r="G2299" s="181"/>
      <c r="H2299" s="181"/>
      <c r="I2299" s="181"/>
      <c r="J2299" s="181"/>
      <c r="K2299" s="181"/>
      <c r="L2299" s="181"/>
      <c r="M2299" s="181"/>
      <c r="N2299" s="181"/>
      <c r="O2299" s="181"/>
      <c r="P2299" s="181"/>
    </row>
    <row r="2300">
      <c r="B2300" s="292"/>
      <c r="C2300" s="181"/>
      <c r="D2300" s="181"/>
      <c r="E2300" s="181"/>
      <c r="F2300" s="181"/>
      <c r="G2300" s="181"/>
      <c r="H2300" s="181"/>
      <c r="I2300" s="181"/>
      <c r="J2300" s="181"/>
      <c r="K2300" s="181"/>
      <c r="L2300" s="181"/>
      <c r="M2300" s="181"/>
      <c r="N2300" s="181"/>
      <c r="O2300" s="181"/>
      <c r="P2300" s="181"/>
    </row>
    <row r="2301">
      <c r="B2301" s="292"/>
      <c r="C2301" s="181"/>
      <c r="D2301" s="181"/>
      <c r="E2301" s="181"/>
      <c r="F2301" s="181"/>
      <c r="G2301" s="181"/>
      <c r="H2301" s="181"/>
      <c r="I2301" s="181"/>
      <c r="J2301" s="181"/>
      <c r="K2301" s="181"/>
      <c r="L2301" s="181"/>
      <c r="M2301" s="181"/>
      <c r="N2301" s="181"/>
      <c r="O2301" s="181"/>
      <c r="P2301" s="181"/>
    </row>
    <row r="2302">
      <c r="B2302" s="292"/>
      <c r="C2302" s="181"/>
      <c r="D2302" s="181"/>
      <c r="E2302" s="181"/>
      <c r="F2302" s="181"/>
      <c r="G2302" s="181"/>
      <c r="H2302" s="181"/>
      <c r="I2302" s="181"/>
      <c r="J2302" s="181"/>
      <c r="K2302" s="181"/>
      <c r="L2302" s="181"/>
      <c r="M2302" s="181"/>
      <c r="N2302" s="181"/>
      <c r="O2302" s="181"/>
      <c r="P2302" s="181"/>
    </row>
    <row r="2303">
      <c r="B2303" s="292"/>
      <c r="C2303" s="181"/>
      <c r="D2303" s="181"/>
      <c r="E2303" s="181"/>
      <c r="F2303" s="181"/>
      <c r="G2303" s="181"/>
      <c r="H2303" s="181"/>
      <c r="I2303" s="181"/>
      <c r="J2303" s="181"/>
      <c r="K2303" s="181"/>
      <c r="L2303" s="181"/>
      <c r="M2303" s="181"/>
      <c r="N2303" s="181"/>
      <c r="O2303" s="181"/>
      <c r="P2303" s="181"/>
    </row>
    <row r="2304">
      <c r="B2304" s="292"/>
      <c r="C2304" s="181"/>
      <c r="D2304" s="181"/>
      <c r="E2304" s="181"/>
      <c r="F2304" s="181"/>
      <c r="G2304" s="181"/>
      <c r="H2304" s="181"/>
      <c r="I2304" s="181"/>
      <c r="J2304" s="181"/>
      <c r="K2304" s="181"/>
      <c r="L2304" s="181"/>
      <c r="M2304" s="181"/>
      <c r="N2304" s="181"/>
      <c r="O2304" s="181"/>
      <c r="P2304" s="181"/>
    </row>
    <row r="2305">
      <c r="B2305" s="292"/>
      <c r="C2305" s="181"/>
      <c r="D2305" s="181"/>
      <c r="E2305" s="181"/>
      <c r="F2305" s="181"/>
      <c r="G2305" s="181"/>
      <c r="H2305" s="181"/>
      <c r="I2305" s="181"/>
      <c r="J2305" s="181"/>
      <c r="K2305" s="181"/>
      <c r="L2305" s="181"/>
      <c r="M2305" s="181"/>
      <c r="N2305" s="181"/>
      <c r="O2305" s="181"/>
      <c r="P2305" s="181"/>
    </row>
    <row r="2306">
      <c r="B2306" s="292"/>
      <c r="C2306" s="181"/>
      <c r="D2306" s="181"/>
      <c r="E2306" s="181"/>
      <c r="F2306" s="181"/>
      <c r="G2306" s="181"/>
      <c r="H2306" s="181"/>
      <c r="I2306" s="181"/>
      <c r="J2306" s="181"/>
      <c r="K2306" s="181"/>
      <c r="L2306" s="181"/>
      <c r="M2306" s="181"/>
      <c r="N2306" s="181"/>
      <c r="O2306" s="181"/>
      <c r="P2306" s="181"/>
    </row>
    <row r="2307">
      <c r="B2307" s="292"/>
      <c r="C2307" s="181"/>
      <c r="D2307" s="181"/>
      <c r="E2307" s="181"/>
      <c r="F2307" s="181"/>
      <c r="G2307" s="181"/>
      <c r="H2307" s="181"/>
      <c r="I2307" s="181"/>
      <c r="J2307" s="181"/>
      <c r="K2307" s="181"/>
      <c r="L2307" s="181"/>
      <c r="M2307" s="181"/>
      <c r="N2307" s="181"/>
      <c r="O2307" s="181"/>
      <c r="P2307" s="181"/>
    </row>
    <row r="2308">
      <c r="B2308" s="292"/>
      <c r="C2308" s="181"/>
      <c r="D2308" s="181"/>
      <c r="E2308" s="181"/>
      <c r="F2308" s="181"/>
      <c r="G2308" s="181"/>
      <c r="H2308" s="181"/>
      <c r="I2308" s="181"/>
      <c r="J2308" s="181"/>
      <c r="K2308" s="181"/>
      <c r="L2308" s="181"/>
      <c r="M2308" s="181"/>
      <c r="N2308" s="181"/>
      <c r="O2308" s="181"/>
      <c r="P2308" s="181"/>
    </row>
    <row r="2309">
      <c r="B2309" s="292"/>
      <c r="C2309" s="181"/>
      <c r="D2309" s="181"/>
      <c r="E2309" s="181"/>
      <c r="F2309" s="181"/>
      <c r="G2309" s="181"/>
      <c r="H2309" s="181"/>
      <c r="I2309" s="181"/>
      <c r="J2309" s="181"/>
      <c r="K2309" s="181"/>
      <c r="L2309" s="181"/>
      <c r="M2309" s="181"/>
      <c r="N2309" s="181"/>
      <c r="O2309" s="181"/>
      <c r="P2309" s="181"/>
    </row>
    <row r="2310">
      <c r="B2310" s="292"/>
      <c r="C2310" s="181"/>
      <c r="D2310" s="181"/>
      <c r="E2310" s="181"/>
      <c r="F2310" s="181"/>
      <c r="G2310" s="181"/>
      <c r="H2310" s="181"/>
      <c r="I2310" s="181"/>
      <c r="J2310" s="181"/>
      <c r="K2310" s="181"/>
      <c r="L2310" s="181"/>
      <c r="M2310" s="181"/>
      <c r="N2310" s="181"/>
      <c r="O2310" s="181"/>
      <c r="P2310" s="181"/>
    </row>
    <row r="2311">
      <c r="B2311" s="292"/>
      <c r="C2311" s="181"/>
      <c r="D2311" s="181"/>
      <c r="E2311" s="181"/>
      <c r="F2311" s="181"/>
      <c r="G2311" s="181"/>
      <c r="H2311" s="181"/>
      <c r="I2311" s="181"/>
      <c r="J2311" s="181"/>
      <c r="K2311" s="181"/>
      <c r="L2311" s="181"/>
      <c r="M2311" s="181"/>
      <c r="N2311" s="181"/>
      <c r="O2311" s="181"/>
      <c r="P2311" s="181"/>
    </row>
    <row r="2312">
      <c r="B2312" s="292"/>
      <c r="C2312" s="181"/>
      <c r="D2312" s="181"/>
      <c r="E2312" s="181"/>
      <c r="F2312" s="181"/>
      <c r="G2312" s="181"/>
      <c r="H2312" s="181"/>
      <c r="I2312" s="181"/>
      <c r="J2312" s="181"/>
      <c r="K2312" s="181"/>
      <c r="L2312" s="181"/>
      <c r="M2312" s="181"/>
      <c r="N2312" s="181"/>
      <c r="O2312" s="181"/>
      <c r="P2312" s="181"/>
    </row>
    <row r="2313">
      <c r="B2313" s="292"/>
      <c r="C2313" s="181"/>
      <c r="D2313" s="181"/>
      <c r="E2313" s="181"/>
      <c r="F2313" s="181"/>
      <c r="G2313" s="181"/>
      <c r="H2313" s="181"/>
      <c r="I2313" s="181"/>
      <c r="J2313" s="181"/>
      <c r="K2313" s="181"/>
      <c r="L2313" s="181"/>
      <c r="M2313" s="181"/>
      <c r="N2313" s="181"/>
      <c r="O2313" s="181"/>
      <c r="P2313" s="181"/>
    </row>
    <row r="2314">
      <c r="B2314" s="292"/>
      <c r="C2314" s="181"/>
      <c r="D2314" s="181"/>
      <c r="E2314" s="181"/>
      <c r="F2314" s="181"/>
      <c r="G2314" s="181"/>
      <c r="H2314" s="181"/>
      <c r="I2314" s="181"/>
      <c r="J2314" s="181"/>
      <c r="K2314" s="181"/>
      <c r="L2314" s="181"/>
      <c r="M2314" s="181"/>
      <c r="N2314" s="181"/>
      <c r="O2314" s="181"/>
      <c r="P2314" s="181"/>
    </row>
    <row r="2315">
      <c r="B2315" s="292"/>
      <c r="C2315" s="181"/>
      <c r="D2315" s="181"/>
      <c r="E2315" s="181"/>
      <c r="F2315" s="181"/>
      <c r="G2315" s="181"/>
      <c r="H2315" s="181"/>
      <c r="I2315" s="181"/>
      <c r="J2315" s="181"/>
      <c r="K2315" s="181"/>
      <c r="L2315" s="181"/>
      <c r="M2315" s="181"/>
      <c r="N2315" s="181"/>
      <c r="O2315" s="181"/>
      <c r="P2315" s="181"/>
    </row>
    <row r="2316">
      <c r="B2316" s="292"/>
      <c r="C2316" s="181"/>
      <c r="D2316" s="181"/>
      <c r="E2316" s="181"/>
      <c r="F2316" s="181"/>
      <c r="G2316" s="181"/>
      <c r="H2316" s="181"/>
      <c r="I2316" s="181"/>
      <c r="J2316" s="181"/>
      <c r="K2316" s="181"/>
      <c r="L2316" s="181"/>
      <c r="M2316" s="181"/>
      <c r="N2316" s="181"/>
      <c r="O2316" s="181"/>
      <c r="P2316" s="181"/>
    </row>
    <row r="2317">
      <c r="B2317" s="292"/>
      <c r="C2317" s="181"/>
      <c r="D2317" s="181"/>
      <c r="E2317" s="181"/>
      <c r="F2317" s="181"/>
      <c r="G2317" s="181"/>
      <c r="H2317" s="181"/>
      <c r="I2317" s="181"/>
      <c r="J2317" s="181"/>
      <c r="K2317" s="181"/>
      <c r="L2317" s="181"/>
      <c r="M2317" s="181"/>
      <c r="N2317" s="181"/>
      <c r="O2317" s="181"/>
      <c r="P2317" s="181"/>
    </row>
    <row r="2318">
      <c r="B2318" s="292"/>
      <c r="C2318" s="181"/>
      <c r="D2318" s="181"/>
      <c r="E2318" s="181"/>
      <c r="F2318" s="181"/>
      <c r="G2318" s="181"/>
      <c r="H2318" s="181"/>
      <c r="I2318" s="181"/>
      <c r="J2318" s="181"/>
      <c r="K2318" s="181"/>
      <c r="L2318" s="181"/>
      <c r="M2318" s="181"/>
      <c r="N2318" s="181"/>
      <c r="O2318" s="181"/>
      <c r="P2318" s="181"/>
    </row>
    <row r="2319">
      <c r="B2319" s="292"/>
      <c r="C2319" s="181"/>
      <c r="D2319" s="181"/>
      <c r="E2319" s="181"/>
      <c r="F2319" s="181"/>
      <c r="G2319" s="181"/>
      <c r="H2319" s="181"/>
      <c r="I2319" s="181"/>
      <c r="J2319" s="181"/>
      <c r="K2319" s="181"/>
      <c r="L2319" s="181"/>
      <c r="M2319" s="181"/>
      <c r="N2319" s="181"/>
      <c r="O2319" s="181"/>
      <c r="P2319" s="181"/>
    </row>
    <row r="2320">
      <c r="B2320" s="292"/>
      <c r="C2320" s="181"/>
      <c r="D2320" s="181"/>
      <c r="E2320" s="181"/>
      <c r="F2320" s="181"/>
      <c r="G2320" s="181"/>
      <c r="H2320" s="181"/>
      <c r="I2320" s="181"/>
      <c r="J2320" s="181"/>
      <c r="K2320" s="181"/>
      <c r="L2320" s="181"/>
      <c r="M2320" s="181"/>
      <c r="N2320" s="181"/>
      <c r="O2320" s="181"/>
      <c r="P2320" s="181"/>
    </row>
    <row r="2321">
      <c r="B2321" s="292"/>
      <c r="C2321" s="181"/>
      <c r="D2321" s="181"/>
      <c r="E2321" s="181"/>
      <c r="F2321" s="181"/>
      <c r="G2321" s="181"/>
      <c r="H2321" s="181"/>
      <c r="I2321" s="181"/>
      <c r="J2321" s="181"/>
      <c r="K2321" s="181"/>
      <c r="L2321" s="181"/>
      <c r="M2321" s="181"/>
      <c r="N2321" s="181"/>
      <c r="O2321" s="181"/>
      <c r="P2321" s="181"/>
    </row>
    <row r="2322">
      <c r="B2322" s="292"/>
      <c r="C2322" s="181"/>
      <c r="D2322" s="181"/>
      <c r="E2322" s="181"/>
      <c r="F2322" s="181"/>
      <c r="G2322" s="181"/>
      <c r="H2322" s="181"/>
      <c r="I2322" s="181"/>
      <c r="J2322" s="181"/>
      <c r="K2322" s="181"/>
      <c r="L2322" s="181"/>
      <c r="M2322" s="181"/>
      <c r="N2322" s="181"/>
      <c r="O2322" s="181"/>
      <c r="P2322" s="181"/>
    </row>
    <row r="2323">
      <c r="B2323" s="292"/>
      <c r="C2323" s="181"/>
      <c r="D2323" s="181"/>
      <c r="E2323" s="181"/>
      <c r="F2323" s="181"/>
      <c r="G2323" s="181"/>
      <c r="H2323" s="181"/>
      <c r="I2323" s="181"/>
      <c r="J2323" s="181"/>
      <c r="K2323" s="181"/>
      <c r="L2323" s="181"/>
      <c r="M2323" s="181"/>
      <c r="N2323" s="181"/>
      <c r="O2323" s="181"/>
      <c r="P2323" s="181"/>
    </row>
    <row r="2324">
      <c r="B2324" s="292"/>
      <c r="C2324" s="181"/>
      <c r="D2324" s="181"/>
      <c r="E2324" s="181"/>
      <c r="F2324" s="181"/>
      <c r="G2324" s="181"/>
      <c r="H2324" s="181"/>
      <c r="I2324" s="181"/>
      <c r="J2324" s="181"/>
      <c r="K2324" s="181"/>
      <c r="L2324" s="181"/>
      <c r="M2324" s="181"/>
      <c r="N2324" s="181"/>
      <c r="O2324" s="181"/>
      <c r="P2324" s="181"/>
    </row>
    <row r="2325">
      <c r="B2325" s="292"/>
      <c r="C2325" s="181"/>
      <c r="D2325" s="181"/>
      <c r="E2325" s="181"/>
      <c r="F2325" s="181"/>
      <c r="G2325" s="181"/>
      <c r="H2325" s="181"/>
      <c r="I2325" s="181"/>
      <c r="J2325" s="181"/>
      <c r="K2325" s="181"/>
      <c r="L2325" s="181"/>
      <c r="M2325" s="181"/>
      <c r="N2325" s="181"/>
      <c r="O2325" s="181"/>
      <c r="P2325" s="181"/>
    </row>
    <row r="2326">
      <c r="B2326" s="292"/>
      <c r="C2326" s="181"/>
      <c r="D2326" s="181"/>
      <c r="E2326" s="181"/>
      <c r="F2326" s="181"/>
      <c r="G2326" s="181"/>
      <c r="H2326" s="181"/>
      <c r="I2326" s="181"/>
      <c r="J2326" s="181"/>
      <c r="K2326" s="181"/>
      <c r="L2326" s="181"/>
      <c r="M2326" s="181"/>
      <c r="N2326" s="181"/>
      <c r="O2326" s="181"/>
      <c r="P2326" s="181"/>
    </row>
    <row r="2327">
      <c r="B2327" s="292"/>
      <c r="C2327" s="181"/>
      <c r="D2327" s="181"/>
      <c r="E2327" s="181"/>
      <c r="F2327" s="181"/>
      <c r="G2327" s="181"/>
      <c r="H2327" s="181"/>
      <c r="I2327" s="181"/>
      <c r="J2327" s="181"/>
      <c r="K2327" s="181"/>
      <c r="L2327" s="181"/>
      <c r="M2327" s="181"/>
      <c r="N2327" s="181"/>
      <c r="O2327" s="181"/>
      <c r="P2327" s="181"/>
    </row>
    <row r="2328">
      <c r="B2328" s="292"/>
      <c r="C2328" s="181"/>
      <c r="D2328" s="181"/>
      <c r="E2328" s="181"/>
      <c r="F2328" s="181"/>
      <c r="G2328" s="181"/>
      <c r="H2328" s="181"/>
      <c r="I2328" s="181"/>
      <c r="J2328" s="181"/>
      <c r="K2328" s="181"/>
      <c r="L2328" s="181"/>
      <c r="M2328" s="181"/>
      <c r="N2328" s="181"/>
      <c r="O2328" s="181"/>
      <c r="P2328" s="181"/>
    </row>
    <row r="2329">
      <c r="B2329" s="292"/>
      <c r="C2329" s="181"/>
      <c r="D2329" s="181"/>
      <c r="E2329" s="181"/>
      <c r="F2329" s="181"/>
      <c r="G2329" s="181"/>
      <c r="H2329" s="181"/>
      <c r="I2329" s="181"/>
      <c r="J2329" s="181"/>
      <c r="K2329" s="181"/>
      <c r="L2329" s="181"/>
      <c r="M2329" s="181"/>
      <c r="N2329" s="181"/>
      <c r="O2329" s="181"/>
      <c r="P2329" s="181"/>
    </row>
    <row r="2330">
      <c r="B2330" s="292"/>
      <c r="C2330" s="181"/>
      <c r="D2330" s="181"/>
      <c r="E2330" s="181"/>
      <c r="F2330" s="181"/>
      <c r="G2330" s="181"/>
      <c r="H2330" s="181"/>
      <c r="I2330" s="181"/>
      <c r="J2330" s="181"/>
      <c r="K2330" s="181"/>
      <c r="L2330" s="181"/>
      <c r="M2330" s="181"/>
      <c r="N2330" s="181"/>
      <c r="O2330" s="181"/>
      <c r="P2330" s="181"/>
    </row>
    <row r="2331">
      <c r="B2331" s="292"/>
      <c r="C2331" s="181"/>
      <c r="D2331" s="181"/>
      <c r="E2331" s="181"/>
      <c r="F2331" s="181"/>
      <c r="G2331" s="181"/>
      <c r="H2331" s="181"/>
      <c r="I2331" s="181"/>
      <c r="J2331" s="181"/>
      <c r="K2331" s="181"/>
      <c r="L2331" s="181"/>
      <c r="M2331" s="181"/>
      <c r="N2331" s="181"/>
      <c r="O2331" s="181"/>
      <c r="P2331" s="181"/>
    </row>
    <row r="2332">
      <c r="B2332" s="292"/>
      <c r="C2332" s="181"/>
      <c r="D2332" s="181"/>
      <c r="E2332" s="181"/>
      <c r="F2332" s="181"/>
      <c r="G2332" s="181"/>
      <c r="H2332" s="181"/>
      <c r="I2332" s="181"/>
      <c r="J2332" s="181"/>
      <c r="K2332" s="181"/>
      <c r="L2332" s="181"/>
      <c r="M2332" s="181"/>
      <c r="N2332" s="181"/>
      <c r="O2332" s="181"/>
      <c r="P2332" s="181"/>
    </row>
    <row r="2333">
      <c r="B2333" s="292"/>
      <c r="C2333" s="181"/>
      <c r="D2333" s="181"/>
      <c r="E2333" s="181"/>
      <c r="F2333" s="181"/>
      <c r="G2333" s="181"/>
      <c r="H2333" s="181"/>
      <c r="I2333" s="181"/>
      <c r="J2333" s="181"/>
      <c r="K2333" s="181"/>
      <c r="L2333" s="181"/>
      <c r="M2333" s="181"/>
      <c r="N2333" s="181"/>
      <c r="O2333" s="181"/>
      <c r="P2333" s="181"/>
    </row>
    <row r="2334">
      <c r="B2334" s="292"/>
      <c r="C2334" s="181"/>
      <c r="D2334" s="181"/>
      <c r="E2334" s="181"/>
      <c r="F2334" s="181"/>
      <c r="G2334" s="181"/>
      <c r="H2334" s="181"/>
      <c r="I2334" s="181"/>
      <c r="J2334" s="181"/>
      <c r="K2334" s="181"/>
      <c r="L2334" s="181"/>
      <c r="M2334" s="181"/>
      <c r="N2334" s="181"/>
      <c r="O2334" s="181"/>
      <c r="P2334" s="181"/>
    </row>
    <row r="2335">
      <c r="B2335" s="292"/>
      <c r="C2335" s="181"/>
      <c r="D2335" s="181"/>
      <c r="E2335" s="181"/>
      <c r="F2335" s="181"/>
      <c r="G2335" s="181"/>
      <c r="H2335" s="181"/>
      <c r="I2335" s="181"/>
      <c r="J2335" s="181"/>
      <c r="K2335" s="181"/>
      <c r="L2335" s="181"/>
      <c r="M2335" s="181"/>
      <c r="N2335" s="181"/>
      <c r="O2335" s="181"/>
      <c r="P2335" s="181"/>
    </row>
    <row r="2336">
      <c r="B2336" s="292"/>
      <c r="C2336" s="181"/>
      <c r="D2336" s="181"/>
      <c r="E2336" s="181"/>
      <c r="F2336" s="181"/>
      <c r="G2336" s="181"/>
      <c r="H2336" s="181"/>
      <c r="I2336" s="181"/>
      <c r="J2336" s="181"/>
      <c r="K2336" s="181"/>
      <c r="L2336" s="181"/>
      <c r="M2336" s="181"/>
      <c r="N2336" s="181"/>
      <c r="O2336" s="181"/>
      <c r="P2336" s="181"/>
    </row>
    <row r="2337">
      <c r="B2337" s="292"/>
      <c r="C2337" s="181"/>
      <c r="D2337" s="181"/>
      <c r="E2337" s="181"/>
      <c r="F2337" s="181"/>
      <c r="G2337" s="181"/>
      <c r="H2337" s="181"/>
      <c r="I2337" s="181"/>
      <c r="J2337" s="181"/>
      <c r="K2337" s="181"/>
      <c r="L2337" s="181"/>
      <c r="M2337" s="181"/>
      <c r="N2337" s="181"/>
      <c r="O2337" s="181"/>
      <c r="P2337" s="181"/>
    </row>
    <row r="2338">
      <c r="B2338" s="292"/>
      <c r="C2338" s="181"/>
      <c r="D2338" s="181"/>
      <c r="E2338" s="181"/>
      <c r="F2338" s="181"/>
      <c r="G2338" s="181"/>
      <c r="H2338" s="181"/>
      <c r="I2338" s="181"/>
      <c r="J2338" s="181"/>
      <c r="K2338" s="181"/>
      <c r="L2338" s="181"/>
      <c r="M2338" s="181"/>
      <c r="N2338" s="181"/>
      <c r="O2338" s="181"/>
      <c r="P2338" s="181"/>
    </row>
    <row r="2339">
      <c r="B2339" s="292"/>
      <c r="C2339" s="181"/>
      <c r="D2339" s="181"/>
      <c r="E2339" s="181"/>
      <c r="F2339" s="181"/>
      <c r="G2339" s="181"/>
      <c r="H2339" s="181"/>
      <c r="I2339" s="181"/>
      <c r="J2339" s="181"/>
      <c r="K2339" s="181"/>
      <c r="L2339" s="181"/>
      <c r="M2339" s="181"/>
      <c r="N2339" s="181"/>
      <c r="O2339" s="181"/>
      <c r="P2339" s="181"/>
    </row>
    <row r="2340">
      <c r="B2340" s="292"/>
      <c r="C2340" s="181"/>
      <c r="D2340" s="181"/>
      <c r="E2340" s="181"/>
      <c r="F2340" s="181"/>
      <c r="G2340" s="181"/>
      <c r="H2340" s="181"/>
      <c r="I2340" s="181"/>
      <c r="J2340" s="181"/>
      <c r="K2340" s="181"/>
      <c r="L2340" s="181"/>
      <c r="M2340" s="181"/>
      <c r="N2340" s="181"/>
      <c r="O2340" s="181"/>
      <c r="P2340" s="181"/>
    </row>
    <row r="2341">
      <c r="B2341" s="292"/>
      <c r="C2341" s="181"/>
      <c r="D2341" s="181"/>
      <c r="E2341" s="181"/>
      <c r="F2341" s="181"/>
      <c r="G2341" s="181"/>
      <c r="H2341" s="181"/>
      <c r="I2341" s="181"/>
      <c r="J2341" s="181"/>
      <c r="K2341" s="181"/>
      <c r="L2341" s="181"/>
      <c r="M2341" s="181"/>
      <c r="N2341" s="181"/>
      <c r="O2341" s="181"/>
      <c r="P2341" s="181"/>
    </row>
    <row r="2342">
      <c r="B2342" s="292"/>
      <c r="C2342" s="181"/>
      <c r="D2342" s="181"/>
      <c r="E2342" s="181"/>
      <c r="F2342" s="181"/>
      <c r="G2342" s="181"/>
      <c r="H2342" s="181"/>
      <c r="I2342" s="181"/>
      <c r="J2342" s="181"/>
      <c r="K2342" s="181"/>
      <c r="L2342" s="181"/>
      <c r="M2342" s="181"/>
      <c r="N2342" s="181"/>
      <c r="O2342" s="181"/>
      <c r="P2342" s="181"/>
    </row>
    <row r="2343">
      <c r="B2343" s="292"/>
      <c r="C2343" s="181"/>
      <c r="D2343" s="181"/>
      <c r="E2343" s="181"/>
      <c r="F2343" s="181"/>
      <c r="G2343" s="181"/>
      <c r="H2343" s="181"/>
      <c r="I2343" s="181"/>
      <c r="J2343" s="181"/>
      <c r="K2343" s="181"/>
      <c r="L2343" s="181"/>
      <c r="M2343" s="181"/>
      <c r="N2343" s="181"/>
      <c r="O2343" s="181"/>
      <c r="P2343" s="181"/>
    </row>
    <row r="2344">
      <c r="B2344" s="292"/>
      <c r="C2344" s="181"/>
      <c r="D2344" s="181"/>
      <c r="E2344" s="181"/>
      <c r="F2344" s="181"/>
      <c r="G2344" s="181"/>
      <c r="H2344" s="181"/>
      <c r="I2344" s="181"/>
      <c r="J2344" s="181"/>
      <c r="K2344" s="181"/>
      <c r="L2344" s="181"/>
      <c r="M2344" s="181"/>
      <c r="N2344" s="181"/>
      <c r="O2344" s="181"/>
      <c r="P2344" s="181"/>
    </row>
    <row r="2345">
      <c r="B2345" s="292"/>
      <c r="C2345" s="181"/>
      <c r="D2345" s="181"/>
      <c r="E2345" s="181"/>
      <c r="F2345" s="181"/>
      <c r="G2345" s="181"/>
      <c r="H2345" s="181"/>
      <c r="I2345" s="181"/>
      <c r="J2345" s="181"/>
      <c r="K2345" s="181"/>
      <c r="L2345" s="181"/>
      <c r="M2345" s="181"/>
      <c r="N2345" s="181"/>
      <c r="O2345" s="181"/>
      <c r="P2345" s="181"/>
    </row>
    <row r="2346">
      <c r="B2346" s="292"/>
      <c r="C2346" s="181"/>
      <c r="D2346" s="181"/>
      <c r="E2346" s="181"/>
      <c r="F2346" s="181"/>
      <c r="G2346" s="181"/>
      <c r="H2346" s="181"/>
      <c r="I2346" s="181"/>
      <c r="J2346" s="181"/>
      <c r="K2346" s="181"/>
      <c r="L2346" s="181"/>
      <c r="M2346" s="181"/>
      <c r="N2346" s="181"/>
      <c r="O2346" s="181"/>
      <c r="P2346" s="181"/>
    </row>
    <row r="2347">
      <c r="B2347" s="292"/>
      <c r="C2347" s="181"/>
      <c r="D2347" s="181"/>
      <c r="E2347" s="181"/>
      <c r="F2347" s="181"/>
      <c r="G2347" s="181"/>
      <c r="H2347" s="181"/>
      <c r="I2347" s="181"/>
      <c r="J2347" s="181"/>
      <c r="K2347" s="181"/>
      <c r="L2347" s="181"/>
      <c r="M2347" s="181"/>
      <c r="N2347" s="181"/>
      <c r="O2347" s="181"/>
      <c r="P2347" s="181"/>
    </row>
    <row r="2348">
      <c r="B2348" s="292"/>
      <c r="C2348" s="181"/>
      <c r="D2348" s="181"/>
      <c r="E2348" s="181"/>
      <c r="F2348" s="181"/>
      <c r="G2348" s="181"/>
      <c r="H2348" s="181"/>
      <c r="I2348" s="181"/>
      <c r="J2348" s="181"/>
      <c r="K2348" s="181"/>
      <c r="L2348" s="181"/>
      <c r="M2348" s="181"/>
      <c r="N2348" s="181"/>
      <c r="O2348" s="181"/>
      <c r="P2348" s="181"/>
    </row>
    <row r="2349">
      <c r="B2349" s="292"/>
      <c r="C2349" s="181"/>
      <c r="D2349" s="181"/>
      <c r="E2349" s="181"/>
      <c r="F2349" s="181"/>
      <c r="G2349" s="181"/>
      <c r="H2349" s="181"/>
      <c r="I2349" s="181"/>
      <c r="J2349" s="181"/>
      <c r="K2349" s="181"/>
      <c r="L2349" s="181"/>
      <c r="M2349" s="181"/>
      <c r="N2349" s="181"/>
      <c r="O2349" s="181"/>
      <c r="P2349" s="181"/>
    </row>
    <row r="2350">
      <c r="B2350" s="292"/>
      <c r="C2350" s="181"/>
      <c r="D2350" s="181"/>
      <c r="E2350" s="181"/>
      <c r="F2350" s="181"/>
      <c r="G2350" s="181"/>
      <c r="H2350" s="181"/>
      <c r="I2350" s="181"/>
      <c r="J2350" s="181"/>
      <c r="K2350" s="181"/>
      <c r="L2350" s="181"/>
      <c r="M2350" s="181"/>
      <c r="N2350" s="181"/>
      <c r="O2350" s="181"/>
      <c r="P2350" s="181"/>
    </row>
    <row r="2351">
      <c r="B2351" s="292"/>
      <c r="C2351" s="181"/>
      <c r="D2351" s="181"/>
      <c r="E2351" s="181"/>
      <c r="F2351" s="181"/>
      <c r="G2351" s="181"/>
      <c r="H2351" s="181"/>
      <c r="I2351" s="181"/>
      <c r="J2351" s="181"/>
      <c r="K2351" s="181"/>
      <c r="L2351" s="181"/>
      <c r="M2351" s="181"/>
      <c r="N2351" s="181"/>
      <c r="O2351" s="181"/>
      <c r="P2351" s="181"/>
    </row>
    <row r="2352">
      <c r="B2352" s="292"/>
      <c r="C2352" s="181"/>
      <c r="D2352" s="181"/>
      <c r="E2352" s="181"/>
      <c r="F2352" s="181"/>
      <c r="G2352" s="181"/>
      <c r="H2352" s="181"/>
      <c r="I2352" s="181"/>
      <c r="J2352" s="181"/>
      <c r="K2352" s="181"/>
      <c r="L2352" s="181"/>
      <c r="M2352" s="181"/>
      <c r="N2352" s="181"/>
      <c r="O2352" s="181"/>
      <c r="P2352" s="181"/>
    </row>
    <row r="2353">
      <c r="B2353" s="292"/>
      <c r="C2353" s="181"/>
      <c r="D2353" s="181"/>
      <c r="E2353" s="181"/>
      <c r="F2353" s="181"/>
      <c r="G2353" s="181"/>
      <c r="H2353" s="181"/>
      <c r="I2353" s="181"/>
      <c r="J2353" s="181"/>
      <c r="K2353" s="181"/>
      <c r="L2353" s="181"/>
      <c r="M2353" s="181"/>
      <c r="N2353" s="181"/>
      <c r="O2353" s="181"/>
      <c r="P2353" s="181"/>
    </row>
    <row r="2354">
      <c r="B2354" s="292"/>
      <c r="C2354" s="181"/>
      <c r="D2354" s="181"/>
      <c r="E2354" s="181"/>
      <c r="F2354" s="181"/>
      <c r="G2354" s="181"/>
      <c r="H2354" s="181"/>
      <c r="I2354" s="181"/>
      <c r="J2354" s="181"/>
      <c r="K2354" s="181"/>
      <c r="L2354" s="181"/>
      <c r="M2354" s="181"/>
      <c r="N2354" s="181"/>
      <c r="O2354" s="181"/>
      <c r="P2354" s="181"/>
    </row>
    <row r="2355">
      <c r="B2355" s="292"/>
      <c r="C2355" s="181"/>
      <c r="D2355" s="181"/>
      <c r="E2355" s="181"/>
      <c r="F2355" s="181"/>
      <c r="G2355" s="181"/>
      <c r="H2355" s="181"/>
      <c r="I2355" s="181"/>
      <c r="J2355" s="181"/>
      <c r="K2355" s="181"/>
      <c r="L2355" s="181"/>
      <c r="M2355" s="181"/>
      <c r="N2355" s="181"/>
      <c r="O2355" s="181"/>
      <c r="P2355" s="181"/>
    </row>
    <row r="2356">
      <c r="B2356" s="292"/>
      <c r="C2356" s="181"/>
      <c r="D2356" s="181"/>
      <c r="E2356" s="181"/>
      <c r="F2356" s="181"/>
      <c r="G2356" s="181"/>
      <c r="H2356" s="181"/>
      <c r="I2356" s="181"/>
      <c r="J2356" s="181"/>
      <c r="K2356" s="181"/>
      <c r="L2356" s="181"/>
      <c r="M2356" s="181"/>
      <c r="N2356" s="181"/>
      <c r="O2356" s="181"/>
      <c r="P2356" s="181"/>
    </row>
    <row r="2357">
      <c r="B2357" s="292"/>
      <c r="C2357" s="181"/>
      <c r="D2357" s="181"/>
      <c r="E2357" s="181"/>
      <c r="F2357" s="181"/>
      <c r="G2357" s="181"/>
      <c r="H2357" s="181"/>
      <c r="I2357" s="181"/>
      <c r="J2357" s="181"/>
      <c r="K2357" s="181"/>
      <c r="L2357" s="181"/>
      <c r="M2357" s="181"/>
      <c r="N2357" s="181"/>
      <c r="O2357" s="181"/>
      <c r="P2357" s="181"/>
    </row>
    <row r="2358">
      <c r="B2358" s="292"/>
      <c r="C2358" s="181"/>
      <c r="D2358" s="181"/>
      <c r="E2358" s="181"/>
      <c r="F2358" s="181"/>
      <c r="G2358" s="181"/>
      <c r="H2358" s="181"/>
      <c r="I2358" s="181"/>
      <c r="J2358" s="181"/>
      <c r="K2358" s="181"/>
      <c r="L2358" s="181"/>
      <c r="M2358" s="181"/>
      <c r="N2358" s="181"/>
      <c r="O2358" s="181"/>
      <c r="P2358" s="181"/>
    </row>
    <row r="2359">
      <c r="B2359" s="292"/>
      <c r="C2359" s="181"/>
      <c r="D2359" s="181"/>
      <c r="E2359" s="181"/>
      <c r="F2359" s="181"/>
      <c r="G2359" s="181"/>
      <c r="H2359" s="181"/>
      <c r="I2359" s="181"/>
      <c r="J2359" s="181"/>
      <c r="K2359" s="181"/>
      <c r="L2359" s="181"/>
      <c r="M2359" s="181"/>
      <c r="N2359" s="181"/>
      <c r="O2359" s="181"/>
      <c r="P2359" s="181"/>
    </row>
    <row r="2360">
      <c r="B2360" s="292"/>
      <c r="C2360" s="181"/>
      <c r="D2360" s="181"/>
      <c r="E2360" s="181"/>
      <c r="F2360" s="181"/>
      <c r="G2360" s="181"/>
      <c r="H2360" s="181"/>
      <c r="I2360" s="181"/>
      <c r="J2360" s="181"/>
      <c r="K2360" s="181"/>
      <c r="L2360" s="181"/>
      <c r="M2360" s="181"/>
      <c r="N2360" s="181"/>
      <c r="O2360" s="181"/>
      <c r="P2360" s="181"/>
    </row>
    <row r="2361">
      <c r="B2361" s="292"/>
      <c r="C2361" s="181"/>
      <c r="D2361" s="181"/>
      <c r="E2361" s="181"/>
      <c r="F2361" s="181"/>
      <c r="G2361" s="181"/>
      <c r="H2361" s="181"/>
      <c r="I2361" s="181"/>
      <c r="J2361" s="181"/>
      <c r="K2361" s="181"/>
      <c r="L2361" s="181"/>
      <c r="M2361" s="181"/>
      <c r="N2361" s="181"/>
      <c r="O2361" s="181"/>
      <c r="P2361" s="181"/>
    </row>
    <row r="2362">
      <c r="B2362" s="292"/>
      <c r="C2362" s="181"/>
      <c r="D2362" s="181"/>
      <c r="E2362" s="181"/>
      <c r="F2362" s="181"/>
      <c r="G2362" s="181"/>
      <c r="H2362" s="181"/>
      <c r="I2362" s="181"/>
      <c r="J2362" s="181"/>
      <c r="K2362" s="181"/>
      <c r="L2362" s="181"/>
      <c r="M2362" s="181"/>
      <c r="N2362" s="181"/>
      <c r="O2362" s="181"/>
      <c r="P2362" s="181"/>
    </row>
    <row r="2363">
      <c r="B2363" s="292"/>
      <c r="C2363" s="181"/>
      <c r="D2363" s="181"/>
      <c r="E2363" s="181"/>
      <c r="F2363" s="181"/>
      <c r="G2363" s="181"/>
      <c r="H2363" s="181"/>
      <c r="I2363" s="181"/>
      <c r="J2363" s="181"/>
      <c r="K2363" s="181"/>
      <c r="L2363" s="181"/>
      <c r="M2363" s="181"/>
      <c r="N2363" s="181"/>
      <c r="O2363" s="181"/>
      <c r="P2363" s="181"/>
    </row>
    <row r="2364">
      <c r="B2364" s="292"/>
      <c r="C2364" s="181"/>
      <c r="D2364" s="181"/>
      <c r="E2364" s="181"/>
      <c r="F2364" s="181"/>
      <c r="G2364" s="181"/>
      <c r="H2364" s="181"/>
      <c r="I2364" s="181"/>
      <c r="J2364" s="181"/>
      <c r="K2364" s="181"/>
      <c r="L2364" s="181"/>
      <c r="M2364" s="181"/>
      <c r="N2364" s="181"/>
      <c r="O2364" s="181"/>
      <c r="P2364" s="181"/>
    </row>
    <row r="2365">
      <c r="B2365" s="292"/>
      <c r="C2365" s="181"/>
      <c r="D2365" s="181"/>
      <c r="E2365" s="181"/>
      <c r="F2365" s="181"/>
      <c r="G2365" s="181"/>
      <c r="H2365" s="181"/>
      <c r="I2365" s="181"/>
      <c r="J2365" s="181"/>
      <c r="K2365" s="181"/>
      <c r="L2365" s="181"/>
      <c r="M2365" s="181"/>
      <c r="N2365" s="181"/>
      <c r="O2365" s="181"/>
      <c r="P2365" s="181"/>
    </row>
    <row r="2366">
      <c r="B2366" s="292"/>
      <c r="C2366" s="181"/>
      <c r="D2366" s="181"/>
      <c r="E2366" s="181"/>
      <c r="F2366" s="181"/>
      <c r="G2366" s="181"/>
      <c r="H2366" s="181"/>
      <c r="I2366" s="181"/>
      <c r="J2366" s="181"/>
      <c r="K2366" s="181"/>
      <c r="L2366" s="181"/>
      <c r="M2366" s="181"/>
      <c r="N2366" s="181"/>
      <c r="O2366" s="181"/>
      <c r="P2366" s="181"/>
    </row>
    <row r="2367">
      <c r="B2367" s="292"/>
      <c r="C2367" s="181"/>
      <c r="D2367" s="181"/>
      <c r="E2367" s="181"/>
      <c r="F2367" s="181"/>
      <c r="G2367" s="181"/>
      <c r="H2367" s="181"/>
      <c r="I2367" s="181"/>
      <c r="J2367" s="181"/>
      <c r="K2367" s="181"/>
      <c r="L2367" s="181"/>
      <c r="M2367" s="181"/>
      <c r="N2367" s="181"/>
      <c r="O2367" s="181"/>
      <c r="P2367" s="181"/>
    </row>
    <row r="2368">
      <c r="B2368" s="292"/>
      <c r="C2368" s="181"/>
      <c r="D2368" s="181"/>
      <c r="E2368" s="181"/>
      <c r="F2368" s="181"/>
      <c r="G2368" s="181"/>
      <c r="H2368" s="181"/>
      <c r="I2368" s="181"/>
      <c r="J2368" s="181"/>
      <c r="K2368" s="181"/>
      <c r="L2368" s="181"/>
      <c r="M2368" s="181"/>
      <c r="N2368" s="181"/>
      <c r="O2368" s="181"/>
      <c r="P2368" s="181"/>
    </row>
    <row r="2369">
      <c r="B2369" s="292"/>
      <c r="C2369" s="181"/>
      <c r="D2369" s="181"/>
      <c r="E2369" s="181"/>
      <c r="F2369" s="181"/>
      <c r="G2369" s="181"/>
      <c r="H2369" s="181"/>
      <c r="I2369" s="181"/>
      <c r="J2369" s="181"/>
      <c r="K2369" s="181"/>
      <c r="L2369" s="181"/>
      <c r="M2369" s="181"/>
      <c r="N2369" s="181"/>
      <c r="O2369" s="181"/>
      <c r="P2369" s="181"/>
    </row>
    <row r="2370">
      <c r="B2370" s="292"/>
      <c r="C2370" s="181"/>
      <c r="D2370" s="181"/>
      <c r="E2370" s="181"/>
      <c r="F2370" s="181"/>
      <c r="G2370" s="181"/>
      <c r="H2370" s="181"/>
      <c r="I2370" s="181"/>
      <c r="J2370" s="181"/>
      <c r="K2370" s="181"/>
      <c r="L2370" s="181"/>
      <c r="M2370" s="181"/>
      <c r="N2370" s="181"/>
      <c r="O2370" s="181"/>
      <c r="P2370" s="181"/>
    </row>
    <row r="2371">
      <c r="B2371" s="292"/>
      <c r="C2371" s="181"/>
      <c r="D2371" s="181"/>
      <c r="E2371" s="181"/>
      <c r="F2371" s="181"/>
      <c r="G2371" s="181"/>
      <c r="H2371" s="181"/>
      <c r="I2371" s="181"/>
      <c r="J2371" s="181"/>
      <c r="K2371" s="181"/>
      <c r="L2371" s="181"/>
      <c r="M2371" s="181"/>
      <c r="N2371" s="181"/>
      <c r="O2371" s="181"/>
      <c r="P2371" s="181"/>
    </row>
    <row r="2372">
      <c r="B2372" s="292"/>
      <c r="C2372" s="181"/>
      <c r="D2372" s="181"/>
      <c r="E2372" s="181"/>
      <c r="F2372" s="181"/>
      <c r="G2372" s="181"/>
      <c r="H2372" s="181"/>
      <c r="I2372" s="181"/>
      <c r="J2372" s="181"/>
      <c r="K2372" s="181"/>
      <c r="L2372" s="181"/>
      <c r="M2372" s="181"/>
      <c r="N2372" s="181"/>
      <c r="O2372" s="181"/>
      <c r="P2372" s="181"/>
    </row>
    <row r="2373">
      <c r="B2373" s="292"/>
      <c r="C2373" s="181"/>
      <c r="D2373" s="181"/>
      <c r="E2373" s="181"/>
      <c r="F2373" s="181"/>
      <c r="G2373" s="181"/>
      <c r="H2373" s="181"/>
      <c r="I2373" s="181"/>
      <c r="J2373" s="181"/>
      <c r="K2373" s="181"/>
      <c r="L2373" s="181"/>
      <c r="M2373" s="181"/>
      <c r="N2373" s="181"/>
      <c r="O2373" s="181"/>
      <c r="P2373" s="181"/>
    </row>
    <row r="2374">
      <c r="B2374" s="292"/>
      <c r="C2374" s="181"/>
      <c r="D2374" s="181"/>
      <c r="E2374" s="181"/>
      <c r="F2374" s="181"/>
      <c r="G2374" s="181"/>
      <c r="H2374" s="181"/>
      <c r="I2374" s="181"/>
      <c r="J2374" s="181"/>
      <c r="K2374" s="181"/>
      <c r="L2374" s="181"/>
      <c r="M2374" s="181"/>
      <c r="N2374" s="181"/>
      <c r="O2374" s="181"/>
      <c r="P2374" s="181"/>
    </row>
    <row r="2375">
      <c r="B2375" s="292"/>
      <c r="C2375" s="181"/>
      <c r="D2375" s="181"/>
      <c r="E2375" s="181"/>
      <c r="F2375" s="181"/>
      <c r="G2375" s="181"/>
      <c r="H2375" s="181"/>
      <c r="I2375" s="181"/>
      <c r="J2375" s="181"/>
      <c r="K2375" s="181"/>
      <c r="L2375" s="181"/>
      <c r="M2375" s="181"/>
      <c r="N2375" s="181"/>
      <c r="O2375" s="181"/>
      <c r="P2375" s="181"/>
    </row>
    <row r="2376">
      <c r="B2376" s="292"/>
      <c r="C2376" s="181"/>
      <c r="D2376" s="181"/>
      <c r="E2376" s="181"/>
      <c r="F2376" s="181"/>
      <c r="G2376" s="181"/>
      <c r="H2376" s="181"/>
      <c r="I2376" s="181"/>
      <c r="J2376" s="181"/>
      <c r="K2376" s="181"/>
      <c r="L2376" s="181"/>
      <c r="M2376" s="181"/>
      <c r="N2376" s="181"/>
      <c r="O2376" s="181"/>
      <c r="P2376" s="181"/>
    </row>
    <row r="2377">
      <c r="B2377" s="292"/>
      <c r="C2377" s="181"/>
      <c r="D2377" s="181"/>
      <c r="E2377" s="181"/>
      <c r="F2377" s="181"/>
      <c r="G2377" s="181"/>
      <c r="H2377" s="181"/>
      <c r="I2377" s="181"/>
      <c r="J2377" s="181"/>
      <c r="K2377" s="181"/>
      <c r="L2377" s="181"/>
      <c r="M2377" s="181"/>
      <c r="N2377" s="181"/>
      <c r="O2377" s="181"/>
      <c r="P2377" s="181"/>
    </row>
    <row r="2378">
      <c r="B2378" s="292"/>
      <c r="C2378" s="181"/>
      <c r="D2378" s="181"/>
      <c r="E2378" s="181"/>
      <c r="F2378" s="181"/>
      <c r="G2378" s="181"/>
      <c r="H2378" s="181"/>
      <c r="I2378" s="181"/>
      <c r="J2378" s="181"/>
      <c r="K2378" s="181"/>
      <c r="L2378" s="181"/>
      <c r="M2378" s="181"/>
      <c r="N2378" s="181"/>
      <c r="O2378" s="181"/>
      <c r="P2378" s="181"/>
    </row>
    <row r="2379">
      <c r="B2379" s="292"/>
      <c r="C2379" s="181"/>
      <c r="D2379" s="181"/>
      <c r="E2379" s="181"/>
      <c r="F2379" s="181"/>
      <c r="G2379" s="181"/>
      <c r="H2379" s="181"/>
      <c r="I2379" s="181"/>
      <c r="J2379" s="181"/>
      <c r="K2379" s="181"/>
      <c r="L2379" s="181"/>
      <c r="M2379" s="181"/>
      <c r="N2379" s="181"/>
      <c r="O2379" s="181"/>
      <c r="P2379" s="181"/>
    </row>
    <row r="2380">
      <c r="B2380" s="292"/>
      <c r="C2380" s="181"/>
      <c r="D2380" s="181"/>
      <c r="E2380" s="181"/>
      <c r="F2380" s="181"/>
      <c r="G2380" s="181"/>
      <c r="H2380" s="181"/>
      <c r="I2380" s="181"/>
      <c r="J2380" s="181"/>
      <c r="K2380" s="181"/>
      <c r="L2380" s="181"/>
      <c r="M2380" s="181"/>
      <c r="N2380" s="181"/>
      <c r="O2380" s="181"/>
      <c r="P2380" s="181"/>
    </row>
    <row r="2381">
      <c r="B2381" s="292"/>
      <c r="C2381" s="181"/>
      <c r="D2381" s="181"/>
      <c r="E2381" s="181"/>
      <c r="F2381" s="181"/>
      <c r="G2381" s="181"/>
      <c r="H2381" s="181"/>
      <c r="I2381" s="181"/>
      <c r="J2381" s="181"/>
      <c r="K2381" s="181"/>
      <c r="L2381" s="181"/>
      <c r="M2381" s="181"/>
      <c r="N2381" s="181"/>
      <c r="O2381" s="181"/>
      <c r="P2381" s="181"/>
    </row>
    <row r="2382">
      <c r="B2382" s="292"/>
      <c r="C2382" s="181"/>
      <c r="D2382" s="181"/>
      <c r="E2382" s="181"/>
      <c r="F2382" s="181"/>
      <c r="G2382" s="181"/>
      <c r="H2382" s="181"/>
      <c r="I2382" s="181"/>
      <c r="J2382" s="181"/>
      <c r="K2382" s="181"/>
      <c r="L2382" s="181"/>
      <c r="M2382" s="181"/>
      <c r="N2382" s="181"/>
      <c r="O2382" s="181"/>
      <c r="P2382" s="181"/>
    </row>
    <row r="2383">
      <c r="B2383" s="292"/>
      <c r="C2383" s="181"/>
      <c r="D2383" s="181"/>
      <c r="E2383" s="181"/>
      <c r="F2383" s="181"/>
      <c r="G2383" s="181"/>
      <c r="H2383" s="181"/>
      <c r="I2383" s="181"/>
      <c r="J2383" s="181"/>
      <c r="K2383" s="181"/>
      <c r="L2383" s="181"/>
      <c r="M2383" s="181"/>
      <c r="N2383" s="181"/>
      <c r="O2383" s="181"/>
      <c r="P2383" s="181"/>
    </row>
    <row r="2384">
      <c r="B2384" s="292"/>
      <c r="C2384" s="181"/>
      <c r="D2384" s="181"/>
      <c r="E2384" s="181"/>
      <c r="F2384" s="181"/>
      <c r="G2384" s="181"/>
      <c r="H2384" s="181"/>
      <c r="I2384" s="181"/>
      <c r="J2384" s="181"/>
      <c r="K2384" s="181"/>
      <c r="L2384" s="181"/>
      <c r="M2384" s="181"/>
      <c r="N2384" s="181"/>
      <c r="O2384" s="181"/>
      <c r="P2384" s="181"/>
    </row>
    <row r="2385">
      <c r="B2385" s="292"/>
      <c r="C2385" s="181"/>
      <c r="D2385" s="181"/>
      <c r="E2385" s="181"/>
      <c r="F2385" s="181"/>
      <c r="G2385" s="181"/>
      <c r="H2385" s="181"/>
      <c r="I2385" s="181"/>
      <c r="J2385" s="181"/>
      <c r="K2385" s="181"/>
      <c r="L2385" s="181"/>
      <c r="M2385" s="181"/>
      <c r="N2385" s="181"/>
      <c r="O2385" s="181"/>
      <c r="P2385" s="181"/>
    </row>
    <row r="2386">
      <c r="B2386" s="292"/>
      <c r="C2386" s="181"/>
      <c r="D2386" s="181"/>
      <c r="E2386" s="181"/>
      <c r="F2386" s="181"/>
      <c r="G2386" s="181"/>
      <c r="H2386" s="181"/>
      <c r="I2386" s="181"/>
      <c r="J2386" s="181"/>
      <c r="K2386" s="181"/>
      <c r="L2386" s="181"/>
      <c r="M2386" s="181"/>
      <c r="N2386" s="181"/>
      <c r="O2386" s="181"/>
      <c r="P2386" s="181"/>
    </row>
    <row r="2387">
      <c r="B2387" s="292"/>
      <c r="C2387" s="181"/>
      <c r="D2387" s="181"/>
      <c r="E2387" s="181"/>
      <c r="F2387" s="181"/>
      <c r="G2387" s="181"/>
      <c r="H2387" s="181"/>
      <c r="I2387" s="181"/>
      <c r="J2387" s="181"/>
      <c r="K2387" s="181"/>
      <c r="L2387" s="181"/>
      <c r="M2387" s="181"/>
      <c r="N2387" s="181"/>
      <c r="O2387" s="181"/>
      <c r="P2387" s="181"/>
    </row>
    <row r="2388">
      <c r="B2388" s="292"/>
      <c r="C2388" s="181"/>
      <c r="D2388" s="181"/>
      <c r="E2388" s="181"/>
      <c r="F2388" s="181"/>
      <c r="G2388" s="181"/>
      <c r="H2388" s="181"/>
      <c r="I2388" s="181"/>
      <c r="J2388" s="181"/>
      <c r="K2388" s="181"/>
      <c r="L2388" s="181"/>
      <c r="M2388" s="181"/>
      <c r="N2388" s="181"/>
      <c r="O2388" s="181"/>
      <c r="P2388" s="181"/>
    </row>
    <row r="2389">
      <c r="B2389" s="292"/>
      <c r="C2389" s="181"/>
      <c r="D2389" s="181"/>
      <c r="E2389" s="181"/>
      <c r="F2389" s="181"/>
      <c r="G2389" s="181"/>
      <c r="H2389" s="181"/>
      <c r="I2389" s="181"/>
      <c r="J2389" s="181"/>
      <c r="K2389" s="181"/>
      <c r="L2389" s="181"/>
      <c r="M2389" s="181"/>
      <c r="N2389" s="181"/>
      <c r="O2389" s="181"/>
      <c r="P2389" s="181"/>
    </row>
    <row r="2390">
      <c r="B2390" s="292"/>
      <c r="C2390" s="181"/>
      <c r="D2390" s="181"/>
      <c r="E2390" s="181"/>
      <c r="F2390" s="181"/>
      <c r="G2390" s="181"/>
      <c r="H2390" s="181"/>
      <c r="I2390" s="181"/>
      <c r="J2390" s="181"/>
      <c r="K2390" s="181"/>
      <c r="L2390" s="181"/>
      <c r="M2390" s="181"/>
      <c r="N2390" s="181"/>
      <c r="O2390" s="181"/>
      <c r="P2390" s="181"/>
    </row>
    <row r="2391">
      <c r="B2391" s="292"/>
      <c r="C2391" s="181"/>
      <c r="D2391" s="181"/>
      <c r="E2391" s="181"/>
      <c r="F2391" s="181"/>
      <c r="G2391" s="181"/>
      <c r="H2391" s="181"/>
      <c r="I2391" s="181"/>
      <c r="J2391" s="181"/>
      <c r="K2391" s="181"/>
      <c r="L2391" s="181"/>
      <c r="M2391" s="181"/>
      <c r="N2391" s="181"/>
      <c r="O2391" s="181"/>
      <c r="P2391" s="181"/>
    </row>
    <row r="2392">
      <c r="B2392" s="292"/>
      <c r="C2392" s="181"/>
      <c r="D2392" s="181"/>
      <c r="E2392" s="181"/>
      <c r="F2392" s="181"/>
      <c r="G2392" s="181"/>
      <c r="H2392" s="181"/>
      <c r="I2392" s="181"/>
      <c r="J2392" s="181"/>
      <c r="K2392" s="181"/>
      <c r="L2392" s="181"/>
      <c r="M2392" s="181"/>
      <c r="N2392" s="181"/>
      <c r="O2392" s="181"/>
      <c r="P2392" s="181"/>
    </row>
    <row r="2393">
      <c r="B2393" s="292"/>
      <c r="C2393" s="181"/>
      <c r="D2393" s="181"/>
      <c r="E2393" s="181"/>
      <c r="F2393" s="181"/>
      <c r="G2393" s="181"/>
      <c r="H2393" s="181"/>
      <c r="I2393" s="181"/>
      <c r="J2393" s="181"/>
      <c r="K2393" s="181"/>
      <c r="L2393" s="181"/>
      <c r="M2393" s="181"/>
      <c r="N2393" s="181"/>
      <c r="O2393" s="181"/>
      <c r="P2393" s="181"/>
    </row>
    <row r="2394">
      <c r="B2394" s="292"/>
      <c r="C2394" s="181"/>
      <c r="D2394" s="181"/>
      <c r="E2394" s="181"/>
      <c r="F2394" s="181"/>
      <c r="G2394" s="181"/>
      <c r="H2394" s="181"/>
      <c r="I2394" s="181"/>
      <c r="J2394" s="181"/>
      <c r="K2394" s="181"/>
      <c r="L2394" s="181"/>
      <c r="M2394" s="181"/>
      <c r="N2394" s="181"/>
      <c r="O2394" s="181"/>
      <c r="P2394" s="181"/>
    </row>
    <row r="2395">
      <c r="B2395" s="292"/>
      <c r="C2395" s="181"/>
      <c r="D2395" s="181"/>
      <c r="E2395" s="181"/>
      <c r="F2395" s="181"/>
      <c r="G2395" s="181"/>
      <c r="H2395" s="181"/>
      <c r="I2395" s="181"/>
      <c r="J2395" s="181"/>
      <c r="K2395" s="181"/>
      <c r="L2395" s="181"/>
      <c r="M2395" s="181"/>
      <c r="N2395" s="181"/>
      <c r="O2395" s="181"/>
      <c r="P2395" s="181"/>
    </row>
    <row r="2396">
      <c r="B2396" s="292"/>
      <c r="C2396" s="181"/>
      <c r="D2396" s="181"/>
      <c r="E2396" s="181"/>
      <c r="F2396" s="181"/>
      <c r="G2396" s="181"/>
      <c r="H2396" s="181"/>
      <c r="I2396" s="181"/>
      <c r="J2396" s="181"/>
      <c r="K2396" s="181"/>
      <c r="L2396" s="181"/>
      <c r="M2396" s="181"/>
      <c r="N2396" s="181"/>
      <c r="O2396" s="181"/>
      <c r="P2396" s="181"/>
    </row>
    <row r="2397">
      <c r="B2397" s="292"/>
      <c r="C2397" s="181"/>
      <c r="D2397" s="181"/>
      <c r="E2397" s="181"/>
      <c r="F2397" s="181"/>
      <c r="G2397" s="181"/>
      <c r="H2397" s="181"/>
      <c r="I2397" s="181"/>
      <c r="J2397" s="181"/>
      <c r="K2397" s="181"/>
      <c r="L2397" s="181"/>
      <c r="M2397" s="181"/>
      <c r="N2397" s="181"/>
      <c r="O2397" s="181"/>
      <c r="P2397" s="181"/>
    </row>
    <row r="2398">
      <c r="B2398" s="292"/>
      <c r="C2398" s="181"/>
      <c r="D2398" s="181"/>
      <c r="E2398" s="181"/>
      <c r="F2398" s="181"/>
      <c r="G2398" s="181"/>
      <c r="H2398" s="181"/>
      <c r="I2398" s="181"/>
      <c r="J2398" s="181"/>
      <c r="K2398" s="181"/>
      <c r="L2398" s="181"/>
      <c r="M2398" s="181"/>
      <c r="N2398" s="181"/>
      <c r="O2398" s="181"/>
      <c r="P2398" s="181"/>
    </row>
    <row r="2399">
      <c r="B2399" s="292"/>
      <c r="C2399" s="181"/>
      <c r="D2399" s="181"/>
      <c r="E2399" s="181"/>
      <c r="F2399" s="181"/>
      <c r="G2399" s="181"/>
      <c r="H2399" s="181"/>
      <c r="I2399" s="181"/>
      <c r="J2399" s="181"/>
      <c r="K2399" s="181"/>
      <c r="L2399" s="181"/>
      <c r="M2399" s="181"/>
      <c r="N2399" s="181"/>
      <c r="O2399" s="181"/>
      <c r="P2399" s="181"/>
    </row>
    <row r="2400">
      <c r="B2400" s="292"/>
      <c r="C2400" s="181"/>
      <c r="D2400" s="181"/>
      <c r="E2400" s="181"/>
      <c r="F2400" s="181"/>
      <c r="G2400" s="181"/>
      <c r="H2400" s="181"/>
      <c r="I2400" s="181"/>
      <c r="J2400" s="181"/>
      <c r="K2400" s="181"/>
      <c r="L2400" s="181"/>
      <c r="M2400" s="181"/>
      <c r="N2400" s="181"/>
      <c r="O2400" s="181"/>
      <c r="P2400" s="181"/>
    </row>
    <row r="2401">
      <c r="B2401" s="292"/>
      <c r="C2401" s="181"/>
      <c r="D2401" s="181"/>
      <c r="E2401" s="181"/>
      <c r="F2401" s="181"/>
      <c r="G2401" s="181"/>
      <c r="H2401" s="181"/>
      <c r="I2401" s="181"/>
      <c r="J2401" s="181"/>
      <c r="K2401" s="181"/>
      <c r="L2401" s="181"/>
      <c r="M2401" s="181"/>
      <c r="N2401" s="181"/>
      <c r="O2401" s="181"/>
      <c r="P2401" s="181"/>
    </row>
    <row r="2402">
      <c r="B2402" s="292"/>
      <c r="C2402" s="181"/>
      <c r="D2402" s="181"/>
      <c r="E2402" s="181"/>
      <c r="F2402" s="181"/>
      <c r="G2402" s="181"/>
      <c r="H2402" s="181"/>
      <c r="I2402" s="181"/>
      <c r="J2402" s="181"/>
      <c r="K2402" s="181"/>
      <c r="L2402" s="181"/>
      <c r="M2402" s="181"/>
      <c r="N2402" s="181"/>
      <c r="O2402" s="181"/>
      <c r="P2402" s="181"/>
    </row>
    <row r="2403">
      <c r="B2403" s="292"/>
      <c r="C2403" s="181"/>
      <c r="D2403" s="181"/>
      <c r="E2403" s="181"/>
      <c r="F2403" s="181"/>
      <c r="G2403" s="181"/>
      <c r="H2403" s="181"/>
      <c r="I2403" s="181"/>
      <c r="J2403" s="181"/>
      <c r="K2403" s="181"/>
      <c r="L2403" s="181"/>
      <c r="M2403" s="181"/>
      <c r="N2403" s="181"/>
      <c r="O2403" s="181"/>
      <c r="P2403" s="181"/>
    </row>
    <row r="2404">
      <c r="B2404" s="292"/>
      <c r="C2404" s="181"/>
      <c r="D2404" s="181"/>
      <c r="E2404" s="181"/>
      <c r="F2404" s="181"/>
      <c r="G2404" s="181"/>
      <c r="H2404" s="181"/>
      <c r="I2404" s="181"/>
      <c r="J2404" s="181"/>
      <c r="K2404" s="181"/>
      <c r="L2404" s="181"/>
      <c r="M2404" s="181"/>
      <c r="N2404" s="181"/>
      <c r="O2404" s="181"/>
      <c r="P2404" s="181"/>
    </row>
    <row r="2405">
      <c r="B2405" s="292"/>
      <c r="C2405" s="181"/>
      <c r="D2405" s="181"/>
      <c r="E2405" s="181"/>
      <c r="F2405" s="181"/>
      <c r="G2405" s="181"/>
      <c r="H2405" s="181"/>
      <c r="I2405" s="181"/>
      <c r="J2405" s="181"/>
      <c r="K2405" s="181"/>
      <c r="L2405" s="181"/>
      <c r="M2405" s="181"/>
      <c r="N2405" s="181"/>
      <c r="O2405" s="181"/>
      <c r="P2405" s="181"/>
    </row>
    <row r="2406">
      <c r="B2406" s="292"/>
      <c r="C2406" s="181"/>
      <c r="D2406" s="181"/>
      <c r="E2406" s="181"/>
      <c r="F2406" s="181"/>
      <c r="G2406" s="181"/>
      <c r="H2406" s="181"/>
      <c r="I2406" s="181"/>
      <c r="J2406" s="181"/>
      <c r="K2406" s="181"/>
      <c r="L2406" s="181"/>
      <c r="M2406" s="181"/>
      <c r="N2406" s="181"/>
      <c r="O2406" s="181"/>
      <c r="P2406" s="181"/>
    </row>
    <row r="2407">
      <c r="B2407" s="292"/>
      <c r="C2407" s="181"/>
      <c r="D2407" s="181"/>
      <c r="E2407" s="181"/>
      <c r="F2407" s="181"/>
      <c r="G2407" s="181"/>
      <c r="H2407" s="181"/>
      <c r="I2407" s="181"/>
      <c r="J2407" s="181"/>
      <c r="K2407" s="181"/>
      <c r="L2407" s="181"/>
      <c r="M2407" s="181"/>
      <c r="N2407" s="181"/>
      <c r="O2407" s="181"/>
      <c r="P2407" s="181"/>
    </row>
    <row r="2408">
      <c r="B2408" s="292"/>
      <c r="C2408" s="181"/>
      <c r="D2408" s="181"/>
      <c r="E2408" s="181"/>
      <c r="F2408" s="181"/>
      <c r="G2408" s="181"/>
      <c r="H2408" s="181"/>
      <c r="I2408" s="181"/>
      <c r="J2408" s="181"/>
      <c r="K2408" s="181"/>
      <c r="L2408" s="181"/>
      <c r="M2408" s="181"/>
      <c r="N2408" s="181"/>
      <c r="O2408" s="181"/>
      <c r="P2408" s="181"/>
    </row>
    <row r="2409">
      <c r="B2409" s="292"/>
      <c r="C2409" s="181"/>
      <c r="D2409" s="181"/>
      <c r="E2409" s="181"/>
      <c r="F2409" s="181"/>
      <c r="G2409" s="181"/>
      <c r="H2409" s="181"/>
      <c r="I2409" s="181"/>
      <c r="J2409" s="181"/>
      <c r="K2409" s="181"/>
      <c r="L2409" s="181"/>
      <c r="M2409" s="181"/>
      <c r="N2409" s="181"/>
      <c r="O2409" s="181"/>
      <c r="P2409" s="181"/>
    </row>
    <row r="2410">
      <c r="B2410" s="292"/>
      <c r="C2410" s="181"/>
      <c r="D2410" s="181"/>
      <c r="E2410" s="181"/>
      <c r="F2410" s="181"/>
      <c r="G2410" s="181"/>
      <c r="H2410" s="181"/>
      <c r="I2410" s="181"/>
      <c r="J2410" s="181"/>
      <c r="K2410" s="181"/>
      <c r="L2410" s="181"/>
      <c r="M2410" s="181"/>
      <c r="N2410" s="181"/>
      <c r="O2410" s="181"/>
      <c r="P2410" s="181"/>
    </row>
    <row r="2411">
      <c r="B2411" s="292"/>
      <c r="C2411" s="181"/>
      <c r="D2411" s="181"/>
      <c r="E2411" s="181"/>
      <c r="F2411" s="181"/>
      <c r="G2411" s="181"/>
      <c r="H2411" s="181"/>
      <c r="I2411" s="181"/>
      <c r="J2411" s="181"/>
      <c r="K2411" s="181"/>
      <c r="L2411" s="181"/>
      <c r="M2411" s="181"/>
      <c r="N2411" s="181"/>
      <c r="O2411" s="181"/>
      <c r="P2411" s="181"/>
    </row>
    <row r="2412">
      <c r="B2412" s="292"/>
      <c r="C2412" s="181"/>
      <c r="D2412" s="181"/>
      <c r="E2412" s="181"/>
      <c r="F2412" s="181"/>
      <c r="G2412" s="181"/>
      <c r="H2412" s="181"/>
      <c r="I2412" s="181"/>
      <c r="J2412" s="181"/>
      <c r="K2412" s="181"/>
      <c r="L2412" s="181"/>
      <c r="M2412" s="181"/>
      <c r="N2412" s="181"/>
      <c r="O2412" s="181"/>
      <c r="P2412" s="181"/>
    </row>
    <row r="2413">
      <c r="B2413" s="292"/>
      <c r="C2413" s="181"/>
      <c r="D2413" s="181"/>
      <c r="E2413" s="181"/>
      <c r="F2413" s="181"/>
      <c r="G2413" s="181"/>
      <c r="H2413" s="181"/>
      <c r="I2413" s="181"/>
      <c r="J2413" s="181"/>
      <c r="K2413" s="181"/>
      <c r="L2413" s="181"/>
      <c r="M2413" s="181"/>
      <c r="N2413" s="181"/>
      <c r="O2413" s="181"/>
      <c r="P2413" s="181"/>
    </row>
    <row r="2414">
      <c r="B2414" s="292"/>
      <c r="C2414" s="181"/>
      <c r="D2414" s="181"/>
      <c r="E2414" s="181"/>
      <c r="F2414" s="181"/>
      <c r="G2414" s="181"/>
      <c r="H2414" s="181"/>
      <c r="I2414" s="181"/>
      <c r="J2414" s="181"/>
      <c r="K2414" s="181"/>
      <c r="L2414" s="181"/>
      <c r="M2414" s="181"/>
      <c r="N2414" s="181"/>
      <c r="O2414" s="181"/>
      <c r="P2414" s="181"/>
    </row>
    <row r="2415">
      <c r="B2415" s="292"/>
      <c r="C2415" s="181"/>
      <c r="D2415" s="181"/>
      <c r="E2415" s="181"/>
      <c r="F2415" s="181"/>
      <c r="G2415" s="181"/>
      <c r="H2415" s="181"/>
      <c r="I2415" s="181"/>
      <c r="J2415" s="181"/>
      <c r="K2415" s="181"/>
      <c r="L2415" s="181"/>
      <c r="M2415" s="181"/>
      <c r="N2415" s="181"/>
      <c r="O2415" s="181"/>
      <c r="P2415" s="181"/>
    </row>
    <row r="2416">
      <c r="B2416" s="292"/>
      <c r="C2416" s="181"/>
      <c r="D2416" s="181"/>
      <c r="E2416" s="181"/>
      <c r="F2416" s="181"/>
      <c r="G2416" s="181"/>
      <c r="H2416" s="181"/>
      <c r="I2416" s="181"/>
      <c r="J2416" s="181"/>
      <c r="K2416" s="181"/>
      <c r="L2416" s="181"/>
      <c r="M2416" s="181"/>
      <c r="N2416" s="181"/>
      <c r="O2416" s="181"/>
      <c r="P2416" s="181"/>
    </row>
    <row r="2417">
      <c r="B2417" s="292"/>
      <c r="C2417" s="181"/>
      <c r="D2417" s="181"/>
      <c r="E2417" s="181"/>
      <c r="F2417" s="181"/>
      <c r="G2417" s="181"/>
      <c r="H2417" s="181"/>
      <c r="I2417" s="181"/>
      <c r="J2417" s="181"/>
      <c r="K2417" s="181"/>
      <c r="L2417" s="181"/>
      <c r="M2417" s="181"/>
      <c r="N2417" s="181"/>
      <c r="O2417" s="181"/>
      <c r="P2417" s="181"/>
    </row>
    <row r="2418">
      <c r="B2418" s="292"/>
      <c r="C2418" s="181"/>
      <c r="D2418" s="181"/>
      <c r="E2418" s="181"/>
      <c r="F2418" s="181"/>
      <c r="G2418" s="181"/>
      <c r="H2418" s="181"/>
      <c r="I2418" s="181"/>
      <c r="J2418" s="181"/>
      <c r="K2418" s="181"/>
      <c r="L2418" s="181"/>
      <c r="M2418" s="181"/>
      <c r="N2418" s="181"/>
      <c r="O2418" s="181"/>
      <c r="P2418" s="181"/>
    </row>
    <row r="2419">
      <c r="B2419" s="292"/>
      <c r="C2419" s="181"/>
      <c r="D2419" s="181"/>
      <c r="E2419" s="181"/>
      <c r="F2419" s="181"/>
      <c r="G2419" s="181"/>
      <c r="H2419" s="181"/>
      <c r="I2419" s="181"/>
      <c r="J2419" s="181"/>
      <c r="K2419" s="181"/>
      <c r="L2419" s="181"/>
      <c r="M2419" s="181"/>
      <c r="N2419" s="181"/>
      <c r="O2419" s="181"/>
      <c r="P2419" s="181"/>
    </row>
    <row r="2420">
      <c r="B2420" s="292"/>
      <c r="C2420" s="181"/>
      <c r="D2420" s="181"/>
      <c r="E2420" s="181"/>
      <c r="F2420" s="181"/>
      <c r="G2420" s="181"/>
      <c r="H2420" s="181"/>
      <c r="I2420" s="181"/>
      <c r="J2420" s="181"/>
      <c r="K2420" s="181"/>
      <c r="L2420" s="181"/>
      <c r="M2420" s="181"/>
      <c r="N2420" s="181"/>
      <c r="O2420" s="181"/>
      <c r="P2420" s="181"/>
    </row>
    <row r="2421">
      <c r="B2421" s="292"/>
      <c r="C2421" s="181"/>
      <c r="D2421" s="181"/>
      <c r="E2421" s="181"/>
      <c r="F2421" s="181"/>
      <c r="G2421" s="181"/>
      <c r="H2421" s="181"/>
      <c r="I2421" s="181"/>
      <c r="J2421" s="181"/>
      <c r="K2421" s="181"/>
      <c r="L2421" s="181"/>
      <c r="M2421" s="181"/>
      <c r="N2421" s="181"/>
      <c r="O2421" s="181"/>
      <c r="P2421" s="181"/>
    </row>
    <row r="2422">
      <c r="B2422" s="292"/>
      <c r="C2422" s="181"/>
      <c r="D2422" s="181"/>
      <c r="E2422" s="181"/>
      <c r="F2422" s="181"/>
      <c r="G2422" s="181"/>
      <c r="H2422" s="181"/>
      <c r="I2422" s="181"/>
      <c r="J2422" s="181"/>
      <c r="K2422" s="181"/>
      <c r="L2422" s="181"/>
      <c r="M2422" s="181"/>
      <c r="N2422" s="181"/>
      <c r="O2422" s="181"/>
      <c r="P2422" s="181"/>
    </row>
    <row r="2423">
      <c r="B2423" s="292"/>
      <c r="C2423" s="181"/>
      <c r="D2423" s="181"/>
      <c r="E2423" s="181"/>
      <c r="F2423" s="181"/>
      <c r="G2423" s="181"/>
      <c r="H2423" s="181"/>
      <c r="I2423" s="181"/>
      <c r="J2423" s="181"/>
      <c r="K2423" s="181"/>
      <c r="L2423" s="181"/>
      <c r="M2423" s="181"/>
      <c r="N2423" s="181"/>
      <c r="O2423" s="181"/>
      <c r="P2423" s="181"/>
    </row>
    <row r="2424">
      <c r="B2424" s="292"/>
      <c r="C2424" s="181"/>
      <c r="D2424" s="181"/>
      <c r="E2424" s="181"/>
      <c r="F2424" s="181"/>
      <c r="G2424" s="181"/>
      <c r="H2424" s="181"/>
      <c r="I2424" s="181"/>
      <c r="J2424" s="181"/>
      <c r="K2424" s="181"/>
      <c r="L2424" s="181"/>
      <c r="M2424" s="181"/>
      <c r="N2424" s="181"/>
      <c r="O2424" s="181"/>
      <c r="P2424" s="181"/>
    </row>
    <row r="2425">
      <c r="B2425" s="292"/>
      <c r="C2425" s="181"/>
      <c r="D2425" s="181"/>
      <c r="E2425" s="181"/>
      <c r="F2425" s="181"/>
      <c r="G2425" s="181"/>
      <c r="H2425" s="181"/>
      <c r="I2425" s="181"/>
      <c r="J2425" s="181"/>
      <c r="K2425" s="181"/>
      <c r="L2425" s="181"/>
      <c r="M2425" s="181"/>
      <c r="N2425" s="181"/>
      <c r="O2425" s="181"/>
      <c r="P2425" s="181"/>
    </row>
    <row r="2426">
      <c r="B2426" s="292"/>
      <c r="C2426" s="181"/>
      <c r="D2426" s="181"/>
      <c r="E2426" s="181"/>
      <c r="F2426" s="181"/>
      <c r="G2426" s="181"/>
      <c r="H2426" s="181"/>
      <c r="I2426" s="181"/>
      <c r="J2426" s="181"/>
      <c r="K2426" s="181"/>
      <c r="L2426" s="181"/>
      <c r="M2426" s="181"/>
      <c r="N2426" s="181"/>
      <c r="O2426" s="181"/>
      <c r="P2426" s="181"/>
    </row>
    <row r="2427">
      <c r="B2427" s="292"/>
      <c r="C2427" s="181"/>
      <c r="D2427" s="181"/>
      <c r="E2427" s="181"/>
      <c r="F2427" s="181"/>
      <c r="G2427" s="181"/>
      <c r="H2427" s="181"/>
      <c r="I2427" s="181"/>
      <c r="J2427" s="181"/>
      <c r="K2427" s="181"/>
      <c r="L2427" s="181"/>
      <c r="M2427" s="181"/>
      <c r="N2427" s="181"/>
      <c r="O2427" s="181"/>
      <c r="P2427" s="181"/>
    </row>
    <row r="2428">
      <c r="B2428" s="292"/>
      <c r="C2428" s="181"/>
      <c r="D2428" s="181"/>
      <c r="E2428" s="181"/>
      <c r="F2428" s="181"/>
      <c r="G2428" s="181"/>
      <c r="H2428" s="181"/>
      <c r="I2428" s="181"/>
      <c r="J2428" s="181"/>
      <c r="K2428" s="181"/>
      <c r="L2428" s="181"/>
      <c r="M2428" s="181"/>
      <c r="N2428" s="181"/>
      <c r="O2428" s="181"/>
      <c r="P2428" s="181"/>
    </row>
    <row r="2429">
      <c r="B2429" s="292"/>
      <c r="C2429" s="181"/>
      <c r="D2429" s="181"/>
      <c r="E2429" s="181"/>
      <c r="F2429" s="181"/>
      <c r="G2429" s="181"/>
      <c r="H2429" s="181"/>
      <c r="I2429" s="181"/>
      <c r="J2429" s="181"/>
      <c r="K2429" s="181"/>
      <c r="L2429" s="181"/>
      <c r="M2429" s="181"/>
      <c r="N2429" s="181"/>
      <c r="O2429" s="181"/>
      <c r="P2429" s="181"/>
    </row>
    <row r="2430">
      <c r="B2430" s="292"/>
      <c r="C2430" s="181"/>
      <c r="D2430" s="181"/>
      <c r="E2430" s="181"/>
      <c r="F2430" s="181"/>
      <c r="G2430" s="181"/>
      <c r="H2430" s="181"/>
      <c r="I2430" s="181"/>
      <c r="J2430" s="181"/>
      <c r="K2430" s="181"/>
      <c r="L2430" s="181"/>
      <c r="M2430" s="181"/>
      <c r="N2430" s="181"/>
      <c r="O2430" s="181"/>
      <c r="P2430" s="181"/>
    </row>
    <row r="2431">
      <c r="B2431" s="292"/>
      <c r="C2431" s="181"/>
      <c r="D2431" s="181"/>
      <c r="E2431" s="181"/>
      <c r="F2431" s="181"/>
      <c r="G2431" s="181"/>
      <c r="H2431" s="181"/>
      <c r="I2431" s="181"/>
      <c r="J2431" s="181"/>
      <c r="K2431" s="181"/>
      <c r="L2431" s="181"/>
      <c r="M2431" s="181"/>
      <c r="N2431" s="181"/>
      <c r="O2431" s="181"/>
      <c r="P2431" s="181"/>
    </row>
    <row r="2432">
      <c r="B2432" s="292"/>
      <c r="C2432" s="181"/>
      <c r="D2432" s="181"/>
      <c r="E2432" s="181"/>
      <c r="F2432" s="181"/>
      <c r="G2432" s="181"/>
      <c r="H2432" s="181"/>
      <c r="I2432" s="181"/>
      <c r="J2432" s="181"/>
      <c r="K2432" s="181"/>
      <c r="L2432" s="181"/>
      <c r="M2432" s="181"/>
      <c r="N2432" s="181"/>
      <c r="O2432" s="181"/>
      <c r="P2432" s="181"/>
    </row>
    <row r="2433">
      <c r="B2433" s="292"/>
      <c r="C2433" s="181"/>
      <c r="D2433" s="181"/>
      <c r="E2433" s="181"/>
      <c r="F2433" s="181"/>
      <c r="G2433" s="181"/>
      <c r="H2433" s="181"/>
      <c r="I2433" s="181"/>
      <c r="J2433" s="181"/>
      <c r="K2433" s="181"/>
      <c r="L2433" s="181"/>
      <c r="M2433" s="181"/>
      <c r="N2433" s="181"/>
      <c r="O2433" s="181"/>
      <c r="P2433" s="181"/>
    </row>
    <row r="2434">
      <c r="B2434" s="292"/>
      <c r="C2434" s="181"/>
      <c r="D2434" s="181"/>
      <c r="E2434" s="181"/>
      <c r="F2434" s="181"/>
      <c r="G2434" s="181"/>
      <c r="H2434" s="181"/>
      <c r="I2434" s="181"/>
      <c r="J2434" s="181"/>
      <c r="K2434" s="181"/>
      <c r="L2434" s="181"/>
      <c r="M2434" s="181"/>
      <c r="N2434" s="181"/>
      <c r="O2434" s="181"/>
      <c r="P2434" s="181"/>
    </row>
    <row r="2435">
      <c r="B2435" s="292"/>
      <c r="C2435" s="181"/>
      <c r="D2435" s="181"/>
      <c r="E2435" s="181"/>
      <c r="F2435" s="181"/>
      <c r="G2435" s="181"/>
      <c r="H2435" s="181"/>
      <c r="I2435" s="181"/>
      <c r="J2435" s="181"/>
      <c r="K2435" s="181"/>
      <c r="L2435" s="181"/>
      <c r="M2435" s="181"/>
      <c r="N2435" s="181"/>
      <c r="O2435" s="181"/>
      <c r="P2435" s="181"/>
    </row>
    <row r="2436">
      <c r="B2436" s="292"/>
      <c r="C2436" s="181"/>
      <c r="D2436" s="181"/>
      <c r="E2436" s="181"/>
      <c r="F2436" s="181"/>
      <c r="G2436" s="181"/>
      <c r="H2436" s="181"/>
      <c r="I2436" s="181"/>
      <c r="J2436" s="181"/>
      <c r="K2436" s="181"/>
      <c r="L2436" s="181"/>
      <c r="M2436" s="181"/>
      <c r="N2436" s="181"/>
      <c r="O2436" s="181"/>
      <c r="P2436" s="181"/>
    </row>
    <row r="2437">
      <c r="B2437" s="292"/>
      <c r="C2437" s="181"/>
      <c r="D2437" s="181"/>
      <c r="E2437" s="181"/>
      <c r="F2437" s="181"/>
      <c r="G2437" s="181"/>
      <c r="H2437" s="181"/>
      <c r="I2437" s="181"/>
      <c r="J2437" s="181"/>
      <c r="K2437" s="181"/>
      <c r="L2437" s="181"/>
      <c r="M2437" s="181"/>
      <c r="N2437" s="181"/>
      <c r="O2437" s="181"/>
      <c r="P2437" s="181"/>
    </row>
    <row r="2438">
      <c r="B2438" s="292"/>
      <c r="C2438" s="181"/>
      <c r="D2438" s="181"/>
      <c r="E2438" s="181"/>
      <c r="F2438" s="181"/>
      <c r="G2438" s="181"/>
      <c r="H2438" s="181"/>
      <c r="I2438" s="181"/>
      <c r="J2438" s="181"/>
      <c r="K2438" s="181"/>
      <c r="L2438" s="181"/>
      <c r="M2438" s="181"/>
      <c r="N2438" s="181"/>
      <c r="O2438" s="181"/>
      <c r="P2438" s="181"/>
    </row>
    <row r="2439">
      <c r="B2439" s="292"/>
      <c r="C2439" s="181"/>
      <c r="D2439" s="181"/>
      <c r="E2439" s="181"/>
      <c r="F2439" s="181"/>
      <c r="G2439" s="181"/>
      <c r="H2439" s="181"/>
      <c r="I2439" s="181"/>
      <c r="J2439" s="181"/>
      <c r="K2439" s="181"/>
      <c r="L2439" s="181"/>
      <c r="M2439" s="181"/>
      <c r="N2439" s="181"/>
      <c r="O2439" s="181"/>
      <c r="P2439" s="181"/>
    </row>
    <row r="2440">
      <c r="B2440" s="292"/>
      <c r="C2440" s="181"/>
      <c r="D2440" s="181"/>
      <c r="E2440" s="181"/>
      <c r="F2440" s="181"/>
      <c r="G2440" s="181"/>
      <c r="H2440" s="181"/>
      <c r="I2440" s="181"/>
      <c r="J2440" s="181"/>
      <c r="K2440" s="181"/>
      <c r="L2440" s="181"/>
      <c r="M2440" s="181"/>
      <c r="N2440" s="181"/>
      <c r="O2440" s="181"/>
      <c r="P2440" s="181"/>
    </row>
    <row r="2441">
      <c r="B2441" s="292"/>
      <c r="C2441" s="181"/>
      <c r="D2441" s="181"/>
      <c r="E2441" s="181"/>
      <c r="F2441" s="181"/>
      <c r="G2441" s="181"/>
      <c r="H2441" s="181"/>
      <c r="I2441" s="181"/>
      <c r="J2441" s="181"/>
      <c r="K2441" s="181"/>
      <c r="L2441" s="181"/>
      <c r="M2441" s="181"/>
      <c r="N2441" s="181"/>
      <c r="O2441" s="181"/>
      <c r="P2441" s="181"/>
    </row>
    <row r="2442">
      <c r="B2442" s="292"/>
      <c r="C2442" s="181"/>
      <c r="D2442" s="181"/>
      <c r="E2442" s="181"/>
      <c r="F2442" s="181"/>
      <c r="G2442" s="181"/>
      <c r="H2442" s="181"/>
      <c r="I2442" s="181"/>
      <c r="J2442" s="181"/>
      <c r="K2442" s="181"/>
      <c r="L2442" s="181"/>
      <c r="M2442" s="181"/>
      <c r="N2442" s="181"/>
      <c r="O2442" s="181"/>
      <c r="P2442" s="181"/>
    </row>
    <row r="2443">
      <c r="B2443" s="292"/>
      <c r="C2443" s="181"/>
      <c r="D2443" s="181"/>
      <c r="E2443" s="181"/>
      <c r="F2443" s="181"/>
      <c r="G2443" s="181"/>
      <c r="H2443" s="181"/>
      <c r="I2443" s="181"/>
      <c r="J2443" s="181"/>
      <c r="K2443" s="181"/>
      <c r="L2443" s="181"/>
      <c r="M2443" s="181"/>
      <c r="N2443" s="181"/>
      <c r="O2443" s="181"/>
      <c r="P2443" s="181"/>
    </row>
    <row r="2444">
      <c r="B2444" s="292"/>
      <c r="C2444" s="181"/>
      <c r="D2444" s="181"/>
      <c r="E2444" s="181"/>
      <c r="F2444" s="181"/>
      <c r="G2444" s="181"/>
      <c r="H2444" s="181"/>
      <c r="I2444" s="181"/>
      <c r="J2444" s="181"/>
      <c r="K2444" s="181"/>
      <c r="L2444" s="181"/>
      <c r="M2444" s="181"/>
      <c r="N2444" s="181"/>
      <c r="O2444" s="181"/>
      <c r="P2444" s="181"/>
    </row>
    <row r="2445">
      <c r="B2445" s="292"/>
      <c r="C2445" s="181"/>
      <c r="D2445" s="181"/>
      <c r="E2445" s="181"/>
      <c r="F2445" s="181"/>
      <c r="G2445" s="181"/>
      <c r="H2445" s="181"/>
      <c r="I2445" s="181"/>
      <c r="J2445" s="181"/>
      <c r="K2445" s="181"/>
      <c r="L2445" s="181"/>
      <c r="M2445" s="181"/>
      <c r="N2445" s="181"/>
      <c r="O2445" s="181"/>
      <c r="P2445" s="181"/>
    </row>
    <row r="2446">
      <c r="B2446" s="292"/>
      <c r="C2446" s="181"/>
      <c r="D2446" s="181"/>
      <c r="E2446" s="181"/>
      <c r="F2446" s="181"/>
      <c r="G2446" s="181"/>
      <c r="H2446" s="181"/>
      <c r="I2446" s="181"/>
      <c r="J2446" s="181"/>
      <c r="K2446" s="181"/>
      <c r="L2446" s="181"/>
      <c r="M2446" s="181"/>
      <c r="N2446" s="181"/>
      <c r="O2446" s="181"/>
      <c r="P2446" s="181"/>
    </row>
    <row r="2447">
      <c r="B2447" s="292"/>
      <c r="C2447" s="181"/>
      <c r="D2447" s="181"/>
      <c r="E2447" s="181"/>
      <c r="F2447" s="181"/>
      <c r="G2447" s="181"/>
      <c r="H2447" s="181"/>
      <c r="I2447" s="181"/>
      <c r="J2447" s="181"/>
      <c r="K2447" s="181"/>
      <c r="L2447" s="181"/>
      <c r="M2447" s="181"/>
      <c r="N2447" s="181"/>
      <c r="O2447" s="181"/>
      <c r="P2447" s="181"/>
    </row>
    <row r="2448">
      <c r="B2448" s="292"/>
      <c r="C2448" s="181"/>
      <c r="D2448" s="181"/>
      <c r="E2448" s="181"/>
      <c r="F2448" s="181"/>
      <c r="G2448" s="181"/>
      <c r="H2448" s="181"/>
      <c r="I2448" s="181"/>
      <c r="J2448" s="181"/>
      <c r="K2448" s="181"/>
      <c r="L2448" s="181"/>
      <c r="M2448" s="181"/>
      <c r="N2448" s="181"/>
      <c r="O2448" s="181"/>
      <c r="P2448" s="181"/>
    </row>
    <row r="2449">
      <c r="B2449" s="292"/>
      <c r="C2449" s="181"/>
      <c r="D2449" s="181"/>
      <c r="E2449" s="181"/>
      <c r="F2449" s="181"/>
      <c r="G2449" s="181"/>
      <c r="H2449" s="181"/>
      <c r="I2449" s="181"/>
      <c r="J2449" s="181"/>
      <c r="K2449" s="181"/>
      <c r="L2449" s="181"/>
      <c r="M2449" s="181"/>
      <c r="N2449" s="181"/>
      <c r="O2449" s="181"/>
      <c r="P2449" s="181"/>
    </row>
    <row r="2450">
      <c r="B2450" s="292"/>
      <c r="C2450" s="181"/>
      <c r="D2450" s="181"/>
      <c r="E2450" s="181"/>
      <c r="F2450" s="181"/>
      <c r="G2450" s="181"/>
      <c r="H2450" s="181"/>
      <c r="I2450" s="181"/>
      <c r="J2450" s="181"/>
      <c r="K2450" s="181"/>
      <c r="L2450" s="181"/>
      <c r="M2450" s="181"/>
      <c r="N2450" s="181"/>
      <c r="O2450" s="181"/>
      <c r="P2450" s="181"/>
    </row>
    <row r="2451">
      <c r="B2451" s="292"/>
      <c r="C2451" s="181"/>
      <c r="D2451" s="181"/>
      <c r="E2451" s="181"/>
      <c r="F2451" s="181"/>
      <c r="G2451" s="181"/>
      <c r="H2451" s="181"/>
      <c r="I2451" s="181"/>
      <c r="J2451" s="181"/>
      <c r="K2451" s="181"/>
      <c r="L2451" s="181"/>
      <c r="M2451" s="181"/>
      <c r="N2451" s="181"/>
      <c r="O2451" s="181"/>
      <c r="P2451" s="181"/>
    </row>
    <row r="2452">
      <c r="B2452" s="292"/>
      <c r="C2452" s="181"/>
      <c r="D2452" s="181"/>
      <c r="E2452" s="181"/>
      <c r="F2452" s="181"/>
      <c r="G2452" s="181"/>
      <c r="H2452" s="181"/>
      <c r="I2452" s="181"/>
      <c r="J2452" s="181"/>
      <c r="K2452" s="181"/>
      <c r="L2452" s="181"/>
      <c r="M2452" s="181"/>
      <c r="N2452" s="181"/>
      <c r="O2452" s="181"/>
      <c r="P2452" s="181"/>
    </row>
    <row r="2453">
      <c r="B2453" s="292"/>
      <c r="C2453" s="181"/>
      <c r="D2453" s="181"/>
      <c r="E2453" s="181"/>
      <c r="F2453" s="181"/>
      <c r="G2453" s="181"/>
      <c r="H2453" s="181"/>
      <c r="I2453" s="181"/>
      <c r="J2453" s="181"/>
      <c r="K2453" s="181"/>
      <c r="L2453" s="181"/>
      <c r="M2453" s="181"/>
      <c r="N2453" s="181"/>
      <c r="O2453" s="181"/>
      <c r="P2453" s="181"/>
    </row>
    <row r="2454">
      <c r="B2454" s="292"/>
      <c r="C2454" s="181"/>
      <c r="D2454" s="181"/>
      <c r="E2454" s="181"/>
      <c r="F2454" s="181"/>
      <c r="G2454" s="181"/>
      <c r="H2454" s="181"/>
      <c r="I2454" s="181"/>
      <c r="J2454" s="181"/>
      <c r="K2454" s="181"/>
      <c r="L2454" s="181"/>
      <c r="M2454" s="181"/>
      <c r="N2454" s="181"/>
      <c r="O2454" s="181"/>
      <c r="P2454" s="181"/>
    </row>
    <row r="2455">
      <c r="B2455" s="292"/>
      <c r="C2455" s="181"/>
      <c r="D2455" s="181"/>
      <c r="E2455" s="181"/>
      <c r="F2455" s="181"/>
      <c r="G2455" s="181"/>
      <c r="H2455" s="181"/>
      <c r="I2455" s="181"/>
      <c r="J2455" s="181"/>
      <c r="K2455" s="181"/>
      <c r="L2455" s="181"/>
      <c r="M2455" s="181"/>
      <c r="N2455" s="181"/>
      <c r="O2455" s="181"/>
      <c r="P2455" s="181"/>
    </row>
    <row r="2456">
      <c r="B2456" s="292"/>
      <c r="C2456" s="181"/>
      <c r="D2456" s="181"/>
      <c r="E2456" s="181"/>
      <c r="F2456" s="181"/>
      <c r="G2456" s="181"/>
      <c r="H2456" s="181"/>
      <c r="I2456" s="181"/>
      <c r="J2456" s="181"/>
      <c r="K2456" s="181"/>
      <c r="L2456" s="181"/>
      <c r="M2456" s="181"/>
      <c r="N2456" s="181"/>
      <c r="O2456" s="181"/>
      <c r="P2456" s="181"/>
    </row>
    <row r="2457">
      <c r="B2457" s="292"/>
      <c r="C2457" s="181"/>
      <c r="D2457" s="181"/>
      <c r="E2457" s="181"/>
      <c r="F2457" s="181"/>
      <c r="G2457" s="181"/>
      <c r="H2457" s="181"/>
      <c r="I2457" s="181"/>
      <c r="J2457" s="181"/>
      <c r="K2457" s="181"/>
      <c r="L2457" s="181"/>
      <c r="M2457" s="181"/>
      <c r="N2457" s="181"/>
      <c r="O2457" s="181"/>
      <c r="P2457" s="181"/>
    </row>
    <row r="2458">
      <c r="B2458" s="292"/>
      <c r="C2458" s="181"/>
      <c r="D2458" s="181"/>
      <c r="E2458" s="181"/>
      <c r="F2458" s="181"/>
      <c r="G2458" s="181"/>
      <c r="H2458" s="181"/>
      <c r="I2458" s="181"/>
      <c r="J2458" s="181"/>
      <c r="K2458" s="181"/>
      <c r="L2458" s="181"/>
      <c r="M2458" s="181"/>
      <c r="N2458" s="181"/>
      <c r="O2458" s="181"/>
      <c r="P2458" s="181"/>
    </row>
    <row r="2459">
      <c r="B2459" s="292"/>
      <c r="C2459" s="181"/>
      <c r="D2459" s="181"/>
      <c r="E2459" s="181"/>
      <c r="F2459" s="181"/>
      <c r="G2459" s="181"/>
      <c r="H2459" s="181"/>
      <c r="I2459" s="181"/>
      <c r="J2459" s="181"/>
      <c r="K2459" s="181"/>
      <c r="L2459" s="181"/>
      <c r="M2459" s="181"/>
      <c r="N2459" s="181"/>
      <c r="O2459" s="181"/>
      <c r="P2459" s="181"/>
    </row>
    <row r="2460">
      <c r="B2460" s="292"/>
      <c r="C2460" s="181"/>
      <c r="D2460" s="181"/>
      <c r="E2460" s="181"/>
      <c r="F2460" s="181"/>
      <c r="G2460" s="181"/>
      <c r="H2460" s="181"/>
      <c r="I2460" s="181"/>
      <c r="J2460" s="181"/>
      <c r="K2460" s="181"/>
      <c r="L2460" s="181"/>
      <c r="M2460" s="181"/>
      <c r="N2460" s="181"/>
      <c r="O2460" s="181"/>
      <c r="P2460" s="181"/>
    </row>
    <row r="2461">
      <c r="B2461" s="292"/>
      <c r="C2461" s="181"/>
      <c r="D2461" s="181"/>
      <c r="E2461" s="181"/>
      <c r="F2461" s="181"/>
      <c r="G2461" s="181"/>
      <c r="H2461" s="181"/>
      <c r="I2461" s="181"/>
      <c r="J2461" s="181"/>
      <c r="K2461" s="181"/>
      <c r="L2461" s="181"/>
      <c r="M2461" s="181"/>
      <c r="N2461" s="181"/>
      <c r="O2461" s="181"/>
      <c r="P2461" s="181"/>
    </row>
    <row r="2462">
      <c r="B2462" s="292"/>
      <c r="C2462" s="181"/>
      <c r="D2462" s="181"/>
      <c r="E2462" s="181"/>
      <c r="F2462" s="181"/>
      <c r="G2462" s="181"/>
      <c r="H2462" s="181"/>
      <c r="I2462" s="181"/>
      <c r="J2462" s="181"/>
      <c r="K2462" s="181"/>
      <c r="L2462" s="181"/>
      <c r="M2462" s="181"/>
      <c r="N2462" s="181"/>
      <c r="O2462" s="181"/>
      <c r="P2462" s="181"/>
    </row>
    <row r="2463">
      <c r="B2463" s="292"/>
      <c r="C2463" s="181"/>
      <c r="D2463" s="181"/>
      <c r="E2463" s="181"/>
      <c r="F2463" s="181"/>
      <c r="G2463" s="181"/>
      <c r="H2463" s="181"/>
      <c r="I2463" s="181"/>
      <c r="J2463" s="181"/>
      <c r="K2463" s="181"/>
      <c r="L2463" s="181"/>
      <c r="M2463" s="181"/>
      <c r="N2463" s="181"/>
      <c r="O2463" s="181"/>
      <c r="P2463" s="181"/>
    </row>
    <row r="2464">
      <c r="B2464" s="292"/>
      <c r="C2464" s="181"/>
      <c r="D2464" s="181"/>
      <c r="E2464" s="181"/>
      <c r="F2464" s="181"/>
      <c r="G2464" s="181"/>
      <c r="H2464" s="181"/>
      <c r="I2464" s="181"/>
      <c r="J2464" s="181"/>
      <c r="K2464" s="181"/>
      <c r="L2464" s="181"/>
      <c r="M2464" s="181"/>
      <c r="N2464" s="181"/>
      <c r="O2464" s="181"/>
      <c r="P2464" s="181"/>
    </row>
    <row r="2465">
      <c r="B2465" s="292"/>
      <c r="C2465" s="181"/>
      <c r="D2465" s="181"/>
      <c r="E2465" s="181"/>
      <c r="F2465" s="181"/>
      <c r="G2465" s="181"/>
      <c r="H2465" s="181"/>
      <c r="I2465" s="181"/>
      <c r="J2465" s="181"/>
      <c r="K2465" s="181"/>
      <c r="L2465" s="181"/>
      <c r="M2465" s="181"/>
      <c r="N2465" s="181"/>
      <c r="O2465" s="181"/>
      <c r="P2465" s="181"/>
    </row>
    <row r="2466">
      <c r="B2466" s="292"/>
      <c r="C2466" s="181"/>
      <c r="D2466" s="181"/>
      <c r="E2466" s="181"/>
      <c r="F2466" s="181"/>
      <c r="G2466" s="181"/>
      <c r="H2466" s="181"/>
      <c r="I2466" s="181"/>
      <c r="J2466" s="181"/>
      <c r="K2466" s="181"/>
      <c r="L2466" s="181"/>
      <c r="M2466" s="181"/>
      <c r="N2466" s="181"/>
      <c r="O2466" s="181"/>
      <c r="P2466" s="181"/>
    </row>
    <row r="2467">
      <c r="B2467" s="292"/>
      <c r="C2467" s="181"/>
      <c r="D2467" s="181"/>
      <c r="E2467" s="181"/>
      <c r="F2467" s="181"/>
      <c r="G2467" s="181"/>
      <c r="H2467" s="181"/>
      <c r="I2467" s="181"/>
      <c r="J2467" s="181"/>
      <c r="K2467" s="181"/>
      <c r="L2467" s="181"/>
      <c r="M2467" s="181"/>
      <c r="N2467" s="181"/>
      <c r="O2467" s="181"/>
      <c r="P2467" s="181"/>
    </row>
    <row r="2468">
      <c r="B2468" s="292"/>
      <c r="C2468" s="181"/>
      <c r="D2468" s="181"/>
      <c r="E2468" s="181"/>
      <c r="F2468" s="181"/>
      <c r="G2468" s="181"/>
      <c r="H2468" s="181"/>
      <c r="I2468" s="181"/>
      <c r="J2468" s="181"/>
      <c r="K2468" s="181"/>
      <c r="L2468" s="181"/>
      <c r="M2468" s="181"/>
      <c r="N2468" s="181"/>
      <c r="O2468" s="181"/>
      <c r="P2468" s="181"/>
    </row>
    <row r="2469">
      <c r="B2469" s="292"/>
      <c r="C2469" s="181"/>
      <c r="D2469" s="181"/>
      <c r="E2469" s="181"/>
      <c r="F2469" s="181"/>
      <c r="G2469" s="181"/>
      <c r="H2469" s="181"/>
      <c r="I2469" s="181"/>
      <c r="J2469" s="181"/>
      <c r="K2469" s="181"/>
      <c r="L2469" s="181"/>
      <c r="M2469" s="181"/>
      <c r="N2469" s="181"/>
      <c r="O2469" s="181"/>
      <c r="P2469" s="181"/>
    </row>
    <row r="2470">
      <c r="B2470" s="292"/>
      <c r="C2470" s="181"/>
      <c r="D2470" s="181"/>
      <c r="E2470" s="181"/>
      <c r="F2470" s="181"/>
      <c r="G2470" s="181"/>
      <c r="H2470" s="181"/>
      <c r="I2470" s="181"/>
      <c r="J2470" s="181"/>
      <c r="K2470" s="181"/>
      <c r="L2470" s="181"/>
      <c r="M2470" s="181"/>
      <c r="N2470" s="181"/>
      <c r="O2470" s="181"/>
      <c r="P2470" s="181"/>
    </row>
    <row r="2471">
      <c r="B2471" s="292"/>
      <c r="C2471" s="181"/>
      <c r="D2471" s="181"/>
      <c r="E2471" s="181"/>
      <c r="F2471" s="181"/>
      <c r="G2471" s="181"/>
      <c r="H2471" s="181"/>
      <c r="I2471" s="181"/>
      <c r="J2471" s="181"/>
      <c r="K2471" s="181"/>
      <c r="L2471" s="181"/>
      <c r="M2471" s="181"/>
      <c r="N2471" s="181"/>
      <c r="O2471" s="181"/>
      <c r="P2471" s="181"/>
    </row>
    <row r="2472">
      <c r="B2472" s="292"/>
      <c r="C2472" s="181"/>
      <c r="D2472" s="181"/>
      <c r="E2472" s="181"/>
      <c r="F2472" s="181"/>
      <c r="G2472" s="181"/>
      <c r="H2472" s="181"/>
      <c r="I2472" s="181"/>
      <c r="J2472" s="181"/>
      <c r="K2472" s="181"/>
      <c r="L2472" s="181"/>
      <c r="M2472" s="181"/>
      <c r="N2472" s="181"/>
      <c r="O2472" s="181"/>
      <c r="P2472" s="181"/>
    </row>
    <row r="2473">
      <c r="B2473" s="292"/>
      <c r="C2473" s="181"/>
      <c r="D2473" s="181"/>
      <c r="E2473" s="181"/>
      <c r="F2473" s="181"/>
      <c r="G2473" s="181"/>
      <c r="H2473" s="181"/>
      <c r="I2473" s="181"/>
      <c r="J2473" s="181"/>
      <c r="K2473" s="181"/>
      <c r="L2473" s="181"/>
      <c r="M2473" s="181"/>
      <c r="N2473" s="181"/>
      <c r="O2473" s="181"/>
      <c r="P2473" s="181"/>
    </row>
    <row r="2474">
      <c r="B2474" s="292"/>
      <c r="C2474" s="181"/>
      <c r="D2474" s="181"/>
      <c r="E2474" s="181"/>
      <c r="F2474" s="181"/>
      <c r="G2474" s="181"/>
      <c r="H2474" s="181"/>
      <c r="I2474" s="181"/>
      <c r="J2474" s="181"/>
      <c r="K2474" s="181"/>
      <c r="L2474" s="181"/>
      <c r="M2474" s="181"/>
      <c r="N2474" s="181"/>
      <c r="O2474" s="181"/>
      <c r="P2474" s="181"/>
    </row>
    <row r="2475">
      <c r="B2475" s="292"/>
      <c r="C2475" s="181"/>
      <c r="D2475" s="181"/>
      <c r="E2475" s="181"/>
      <c r="F2475" s="181"/>
      <c r="G2475" s="181"/>
      <c r="H2475" s="181"/>
      <c r="I2475" s="181"/>
      <c r="J2475" s="181"/>
      <c r="K2475" s="181"/>
      <c r="L2475" s="181"/>
      <c r="M2475" s="181"/>
      <c r="N2475" s="181"/>
      <c r="O2475" s="181"/>
      <c r="P2475" s="181"/>
    </row>
    <row r="2476">
      <c r="B2476" s="292"/>
      <c r="C2476" s="181"/>
      <c r="D2476" s="181"/>
      <c r="E2476" s="181"/>
      <c r="F2476" s="181"/>
      <c r="G2476" s="181"/>
      <c r="H2476" s="181"/>
      <c r="I2476" s="181"/>
      <c r="J2476" s="181"/>
      <c r="K2476" s="181"/>
      <c r="L2476" s="181"/>
      <c r="M2476" s="181"/>
      <c r="N2476" s="181"/>
      <c r="O2476" s="181"/>
      <c r="P2476" s="181"/>
    </row>
    <row r="2477">
      <c r="B2477" s="292"/>
      <c r="C2477" s="181"/>
      <c r="D2477" s="181"/>
      <c r="E2477" s="181"/>
      <c r="F2477" s="181"/>
      <c r="G2477" s="181"/>
      <c r="H2477" s="181"/>
      <c r="I2477" s="181"/>
      <c r="J2477" s="181"/>
      <c r="K2477" s="181"/>
      <c r="L2477" s="181"/>
      <c r="M2477" s="181"/>
      <c r="N2477" s="181"/>
      <c r="O2477" s="181"/>
      <c r="P2477" s="181"/>
    </row>
    <row r="2478">
      <c r="B2478" s="292"/>
      <c r="C2478" s="181"/>
      <c r="D2478" s="181"/>
      <c r="E2478" s="181"/>
      <c r="F2478" s="181"/>
      <c r="G2478" s="181"/>
      <c r="H2478" s="181"/>
      <c r="I2478" s="181"/>
      <c r="J2478" s="181"/>
      <c r="K2478" s="181"/>
      <c r="L2478" s="181"/>
      <c r="M2478" s="181"/>
      <c r="N2478" s="181"/>
      <c r="O2478" s="181"/>
      <c r="P2478" s="181"/>
    </row>
    <row r="2479">
      <c r="B2479" s="292"/>
      <c r="C2479" s="181"/>
      <c r="D2479" s="181"/>
      <c r="E2479" s="181"/>
      <c r="F2479" s="181"/>
      <c r="G2479" s="181"/>
      <c r="H2479" s="181"/>
      <c r="I2479" s="181"/>
      <c r="J2479" s="181"/>
      <c r="K2479" s="181"/>
      <c r="L2479" s="181"/>
      <c r="M2479" s="181"/>
      <c r="N2479" s="181"/>
      <c r="O2479" s="181"/>
      <c r="P2479" s="181"/>
    </row>
    <row r="2480">
      <c r="B2480" s="292"/>
      <c r="C2480" s="181"/>
      <c r="D2480" s="181"/>
      <c r="E2480" s="181"/>
      <c r="F2480" s="181"/>
      <c r="G2480" s="181"/>
      <c r="H2480" s="181"/>
      <c r="I2480" s="181"/>
      <c r="J2480" s="181"/>
      <c r="K2480" s="181"/>
      <c r="L2480" s="181"/>
      <c r="M2480" s="181"/>
      <c r="N2480" s="181"/>
      <c r="O2480" s="181"/>
      <c r="P2480" s="181"/>
    </row>
    <row r="2481">
      <c r="B2481" s="292"/>
      <c r="C2481" s="181"/>
      <c r="D2481" s="181"/>
      <c r="E2481" s="181"/>
      <c r="F2481" s="181"/>
      <c r="G2481" s="181"/>
      <c r="H2481" s="181"/>
      <c r="I2481" s="181"/>
      <c r="J2481" s="181"/>
      <c r="K2481" s="181"/>
      <c r="L2481" s="181"/>
      <c r="M2481" s="181"/>
      <c r="N2481" s="181"/>
      <c r="O2481" s="181"/>
      <c r="P2481" s="181"/>
    </row>
    <row r="2482">
      <c r="B2482" s="292"/>
      <c r="C2482" s="181"/>
      <c r="D2482" s="181"/>
      <c r="E2482" s="181"/>
      <c r="F2482" s="181"/>
      <c r="G2482" s="181"/>
      <c r="H2482" s="181"/>
      <c r="I2482" s="181"/>
      <c r="J2482" s="181"/>
      <c r="K2482" s="181"/>
      <c r="L2482" s="181"/>
      <c r="M2482" s="181"/>
      <c r="N2482" s="181"/>
      <c r="O2482" s="181"/>
      <c r="P2482" s="181"/>
    </row>
    <row r="2483">
      <c r="B2483" s="292"/>
      <c r="C2483" s="181"/>
      <c r="D2483" s="181"/>
      <c r="E2483" s="181"/>
      <c r="F2483" s="181"/>
      <c r="G2483" s="181"/>
      <c r="H2483" s="181"/>
      <c r="I2483" s="181"/>
      <c r="J2483" s="181"/>
      <c r="K2483" s="181"/>
      <c r="L2483" s="181"/>
      <c r="M2483" s="181"/>
      <c r="N2483" s="181"/>
      <c r="O2483" s="181"/>
      <c r="P2483" s="181"/>
    </row>
    <row r="2484">
      <c r="B2484" s="292"/>
      <c r="C2484" s="181"/>
      <c r="D2484" s="181"/>
      <c r="E2484" s="181"/>
      <c r="F2484" s="181"/>
      <c r="G2484" s="181"/>
      <c r="H2484" s="181"/>
      <c r="I2484" s="181"/>
      <c r="J2484" s="181"/>
      <c r="K2484" s="181"/>
      <c r="L2484" s="181"/>
      <c r="M2484" s="181"/>
      <c r="N2484" s="181"/>
      <c r="O2484" s="181"/>
      <c r="P2484" s="181"/>
    </row>
    <row r="2485">
      <c r="B2485" s="292"/>
      <c r="C2485" s="181"/>
      <c r="D2485" s="181"/>
      <c r="E2485" s="181"/>
      <c r="F2485" s="181"/>
      <c r="G2485" s="181"/>
      <c r="H2485" s="181"/>
      <c r="I2485" s="181"/>
      <c r="J2485" s="181"/>
      <c r="K2485" s="181"/>
      <c r="L2485" s="181"/>
      <c r="M2485" s="181"/>
      <c r="N2485" s="181"/>
      <c r="O2485" s="181"/>
      <c r="P2485" s="181"/>
    </row>
    <row r="2486">
      <c r="B2486" s="292"/>
      <c r="C2486" s="181"/>
      <c r="D2486" s="181"/>
      <c r="E2486" s="181"/>
      <c r="F2486" s="181"/>
      <c r="G2486" s="181"/>
      <c r="H2486" s="181"/>
      <c r="I2486" s="181"/>
      <c r="J2486" s="181"/>
      <c r="K2486" s="181"/>
      <c r="L2486" s="181"/>
      <c r="M2486" s="181"/>
      <c r="N2486" s="181"/>
      <c r="O2486" s="181"/>
      <c r="P2486" s="181"/>
    </row>
    <row r="2487">
      <c r="B2487" s="292"/>
      <c r="C2487" s="181"/>
      <c r="D2487" s="181"/>
      <c r="E2487" s="181"/>
      <c r="F2487" s="181"/>
      <c r="G2487" s="181"/>
      <c r="H2487" s="181"/>
      <c r="I2487" s="181"/>
      <c r="J2487" s="181"/>
      <c r="K2487" s="181"/>
      <c r="L2487" s="181"/>
      <c r="M2487" s="181"/>
      <c r="N2487" s="181"/>
      <c r="O2487" s="181"/>
      <c r="P2487" s="181"/>
    </row>
    <row r="2488">
      <c r="B2488" s="292"/>
      <c r="C2488" s="181"/>
      <c r="D2488" s="181"/>
      <c r="E2488" s="181"/>
      <c r="F2488" s="181"/>
      <c r="G2488" s="181"/>
      <c r="H2488" s="181"/>
      <c r="I2488" s="181"/>
      <c r="J2488" s="181"/>
      <c r="K2488" s="181"/>
      <c r="L2488" s="181"/>
      <c r="M2488" s="181"/>
      <c r="N2488" s="181"/>
      <c r="O2488" s="181"/>
      <c r="P2488" s="181"/>
    </row>
    <row r="2489">
      <c r="B2489" s="292"/>
      <c r="C2489" s="181"/>
      <c r="D2489" s="181"/>
      <c r="E2489" s="181"/>
      <c r="F2489" s="181"/>
      <c r="G2489" s="181"/>
      <c r="H2489" s="181"/>
      <c r="I2489" s="181"/>
      <c r="J2489" s="181"/>
      <c r="K2489" s="181"/>
      <c r="L2489" s="181"/>
      <c r="M2489" s="181"/>
      <c r="N2489" s="181"/>
      <c r="O2489" s="181"/>
      <c r="P2489" s="181"/>
    </row>
    <row r="2490">
      <c r="B2490" s="292"/>
      <c r="C2490" s="181"/>
      <c r="D2490" s="181"/>
      <c r="E2490" s="181"/>
      <c r="F2490" s="181"/>
      <c r="G2490" s="181"/>
      <c r="H2490" s="181"/>
      <c r="I2490" s="181"/>
      <c r="J2490" s="181"/>
      <c r="K2490" s="181"/>
      <c r="L2490" s="181"/>
      <c r="M2490" s="181"/>
      <c r="N2490" s="181"/>
      <c r="O2490" s="181"/>
      <c r="P2490" s="181"/>
    </row>
    <row r="2491">
      <c r="B2491" s="292"/>
      <c r="C2491" s="181"/>
      <c r="D2491" s="181"/>
      <c r="E2491" s="181"/>
      <c r="F2491" s="181"/>
      <c r="G2491" s="181"/>
      <c r="H2491" s="181"/>
      <c r="I2491" s="181"/>
      <c r="J2491" s="181"/>
      <c r="K2491" s="181"/>
      <c r="L2491" s="181"/>
      <c r="M2491" s="181"/>
      <c r="N2491" s="181"/>
      <c r="O2491" s="181"/>
      <c r="P2491" s="181"/>
    </row>
    <row r="2492">
      <c r="B2492" s="292"/>
      <c r="C2492" s="181"/>
      <c r="D2492" s="181"/>
      <c r="E2492" s="181"/>
      <c r="F2492" s="181"/>
      <c r="G2492" s="181"/>
      <c r="H2492" s="181"/>
      <c r="I2492" s="181"/>
      <c r="J2492" s="181"/>
      <c r="K2492" s="181"/>
      <c r="L2492" s="181"/>
      <c r="M2492" s="181"/>
      <c r="N2492" s="181"/>
      <c r="O2492" s="181"/>
      <c r="P2492" s="181"/>
    </row>
    <row r="2493">
      <c r="B2493" s="292"/>
      <c r="C2493" s="181"/>
      <c r="D2493" s="181"/>
      <c r="E2493" s="181"/>
      <c r="F2493" s="181"/>
      <c r="G2493" s="181"/>
      <c r="H2493" s="181"/>
      <c r="I2493" s="181"/>
      <c r="J2493" s="181"/>
      <c r="K2493" s="181"/>
      <c r="L2493" s="181"/>
      <c r="M2493" s="181"/>
      <c r="N2493" s="181"/>
      <c r="O2493" s="181"/>
      <c r="P2493" s="181"/>
    </row>
    <row r="2494">
      <c r="B2494" s="292"/>
      <c r="C2494" s="181"/>
      <c r="D2494" s="181"/>
      <c r="E2494" s="181"/>
      <c r="F2494" s="181"/>
      <c r="G2494" s="181"/>
      <c r="H2494" s="181"/>
      <c r="I2494" s="181"/>
      <c r="J2494" s="181"/>
      <c r="K2494" s="181"/>
      <c r="L2494" s="181"/>
      <c r="M2494" s="181"/>
      <c r="N2494" s="181"/>
      <c r="O2494" s="181"/>
      <c r="P2494" s="181"/>
    </row>
    <row r="2495">
      <c r="B2495" s="292"/>
      <c r="C2495" s="181"/>
      <c r="D2495" s="181"/>
      <c r="E2495" s="181"/>
      <c r="F2495" s="181"/>
      <c r="G2495" s="181"/>
      <c r="H2495" s="181"/>
      <c r="I2495" s="181"/>
      <c r="J2495" s="181"/>
      <c r="K2495" s="181"/>
      <c r="L2495" s="181"/>
      <c r="M2495" s="181"/>
      <c r="N2495" s="181"/>
      <c r="O2495" s="181"/>
      <c r="P2495" s="181"/>
    </row>
    <row r="2496">
      <c r="B2496" s="292"/>
      <c r="C2496" s="181"/>
      <c r="D2496" s="181"/>
      <c r="E2496" s="181"/>
      <c r="F2496" s="181"/>
      <c r="G2496" s="181"/>
      <c r="H2496" s="181"/>
      <c r="I2496" s="181"/>
      <c r="J2496" s="181"/>
      <c r="K2496" s="181"/>
      <c r="L2496" s="181"/>
      <c r="M2496" s="181"/>
      <c r="N2496" s="181"/>
      <c r="O2496" s="181"/>
      <c r="P2496" s="181"/>
    </row>
    <row r="2497">
      <c r="B2497" s="292"/>
      <c r="C2497" s="181"/>
      <c r="D2497" s="181"/>
      <c r="E2497" s="181"/>
      <c r="F2497" s="181"/>
      <c r="G2497" s="181"/>
      <c r="H2497" s="181"/>
      <c r="I2497" s="181"/>
      <c r="J2497" s="181"/>
      <c r="K2497" s="181"/>
      <c r="L2497" s="181"/>
      <c r="M2497" s="181"/>
      <c r="N2497" s="181"/>
      <c r="O2497" s="181"/>
      <c r="P2497" s="181"/>
    </row>
    <row r="2498">
      <c r="B2498" s="292"/>
      <c r="C2498" s="181"/>
      <c r="D2498" s="181"/>
      <c r="E2498" s="181"/>
      <c r="F2498" s="181"/>
      <c r="G2498" s="181"/>
      <c r="H2498" s="181"/>
      <c r="I2498" s="181"/>
      <c r="J2498" s="181"/>
      <c r="K2498" s="181"/>
      <c r="L2498" s="181"/>
      <c r="M2498" s="181"/>
      <c r="N2498" s="181"/>
      <c r="O2498" s="181"/>
      <c r="P2498" s="181"/>
    </row>
    <row r="2499">
      <c r="B2499" s="292"/>
      <c r="C2499" s="181"/>
      <c r="D2499" s="181"/>
      <c r="E2499" s="181"/>
      <c r="F2499" s="181"/>
      <c r="G2499" s="181"/>
      <c r="H2499" s="181"/>
      <c r="I2499" s="181"/>
      <c r="J2499" s="181"/>
      <c r="K2499" s="181"/>
      <c r="L2499" s="181"/>
      <c r="M2499" s="181"/>
      <c r="N2499" s="181"/>
      <c r="O2499" s="181"/>
      <c r="P2499" s="181"/>
    </row>
    <row r="2500">
      <c r="B2500" s="292"/>
      <c r="C2500" s="181"/>
      <c r="D2500" s="181"/>
      <c r="E2500" s="181"/>
      <c r="F2500" s="181"/>
      <c r="G2500" s="181"/>
      <c r="H2500" s="181"/>
      <c r="I2500" s="181"/>
      <c r="J2500" s="181"/>
      <c r="K2500" s="181"/>
      <c r="L2500" s="181"/>
      <c r="M2500" s="181"/>
      <c r="N2500" s="181"/>
      <c r="O2500" s="181"/>
      <c r="P2500" s="181"/>
    </row>
    <row r="2501">
      <c r="B2501" s="292"/>
      <c r="C2501" s="181"/>
      <c r="D2501" s="181"/>
      <c r="E2501" s="181"/>
      <c r="F2501" s="181"/>
      <c r="G2501" s="181"/>
      <c r="H2501" s="181"/>
      <c r="I2501" s="181"/>
      <c r="J2501" s="181"/>
      <c r="K2501" s="181"/>
      <c r="L2501" s="181"/>
      <c r="M2501" s="181"/>
      <c r="N2501" s="181"/>
      <c r="O2501" s="181"/>
      <c r="P2501" s="181"/>
    </row>
    <row r="2502">
      <c r="B2502" s="292"/>
      <c r="C2502" s="181"/>
      <c r="D2502" s="181"/>
      <c r="E2502" s="181"/>
      <c r="F2502" s="181"/>
      <c r="G2502" s="181"/>
      <c r="H2502" s="181"/>
      <c r="I2502" s="181"/>
      <c r="J2502" s="181"/>
      <c r="K2502" s="181"/>
      <c r="L2502" s="181"/>
      <c r="M2502" s="181"/>
      <c r="N2502" s="181"/>
      <c r="O2502" s="181"/>
      <c r="P2502" s="181"/>
    </row>
    <row r="2503">
      <c r="B2503" s="292"/>
      <c r="C2503" s="181"/>
      <c r="D2503" s="181"/>
      <c r="E2503" s="181"/>
      <c r="F2503" s="181"/>
      <c r="G2503" s="181"/>
      <c r="H2503" s="181"/>
      <c r="I2503" s="181"/>
      <c r="J2503" s="181"/>
      <c r="K2503" s="181"/>
      <c r="L2503" s="181"/>
      <c r="M2503" s="181"/>
      <c r="N2503" s="181"/>
      <c r="O2503" s="181"/>
      <c r="P2503" s="181"/>
    </row>
    <row r="2504">
      <c r="B2504" s="292"/>
      <c r="C2504" s="181"/>
      <c r="D2504" s="181"/>
      <c r="E2504" s="181"/>
      <c r="F2504" s="181"/>
      <c r="G2504" s="181"/>
      <c r="H2504" s="181"/>
      <c r="I2504" s="181"/>
      <c r="J2504" s="181"/>
      <c r="K2504" s="181"/>
      <c r="L2504" s="181"/>
      <c r="M2504" s="181"/>
      <c r="N2504" s="181"/>
      <c r="O2504" s="181"/>
      <c r="P2504" s="181"/>
    </row>
    <row r="2505">
      <c r="B2505" s="292"/>
      <c r="C2505" s="181"/>
      <c r="D2505" s="181"/>
      <c r="E2505" s="181"/>
      <c r="F2505" s="181"/>
      <c r="G2505" s="181"/>
      <c r="H2505" s="181"/>
      <c r="I2505" s="181"/>
      <c r="J2505" s="181"/>
      <c r="K2505" s="181"/>
      <c r="L2505" s="181"/>
      <c r="M2505" s="181"/>
      <c r="N2505" s="181"/>
      <c r="O2505" s="181"/>
      <c r="P2505" s="181"/>
    </row>
    <row r="2506">
      <c r="B2506" s="292"/>
      <c r="C2506" s="181"/>
      <c r="D2506" s="181"/>
      <c r="E2506" s="181"/>
      <c r="F2506" s="181"/>
      <c r="G2506" s="181"/>
      <c r="H2506" s="181"/>
      <c r="I2506" s="181"/>
      <c r="J2506" s="181"/>
      <c r="K2506" s="181"/>
      <c r="L2506" s="181"/>
      <c r="M2506" s="181"/>
      <c r="N2506" s="181"/>
      <c r="O2506" s="181"/>
      <c r="P2506" s="181"/>
    </row>
    <row r="2507">
      <c r="B2507" s="292"/>
      <c r="C2507" s="181"/>
      <c r="D2507" s="181"/>
      <c r="E2507" s="181"/>
      <c r="F2507" s="181"/>
      <c r="G2507" s="181"/>
      <c r="H2507" s="181"/>
      <c r="I2507" s="181"/>
      <c r="J2507" s="181"/>
      <c r="K2507" s="181"/>
      <c r="L2507" s="181"/>
      <c r="M2507" s="181"/>
      <c r="N2507" s="181"/>
      <c r="O2507" s="181"/>
      <c r="P2507" s="181"/>
    </row>
    <row r="2508">
      <c r="B2508" s="292"/>
      <c r="C2508" s="181"/>
      <c r="D2508" s="181"/>
      <c r="E2508" s="181"/>
      <c r="F2508" s="181"/>
      <c r="G2508" s="181"/>
      <c r="H2508" s="181"/>
      <c r="I2508" s="181"/>
      <c r="J2508" s="181"/>
      <c r="K2508" s="181"/>
      <c r="L2508" s="181"/>
      <c r="M2508" s="181"/>
      <c r="N2508" s="181"/>
      <c r="O2508" s="181"/>
      <c r="P2508" s="181"/>
    </row>
    <row r="2509">
      <c r="B2509" s="292"/>
      <c r="C2509" s="181"/>
      <c r="D2509" s="181"/>
      <c r="E2509" s="181"/>
      <c r="F2509" s="181"/>
      <c r="G2509" s="181"/>
      <c r="H2509" s="181"/>
      <c r="I2509" s="181"/>
      <c r="J2509" s="181"/>
      <c r="K2509" s="181"/>
      <c r="L2509" s="181"/>
      <c r="M2509" s="181"/>
      <c r="N2509" s="181"/>
      <c r="O2509" s="181"/>
      <c r="P2509" s="181"/>
    </row>
    <row r="2510">
      <c r="B2510" s="292"/>
      <c r="C2510" s="181"/>
      <c r="D2510" s="181"/>
      <c r="E2510" s="181"/>
      <c r="F2510" s="181"/>
      <c r="G2510" s="181"/>
      <c r="H2510" s="181"/>
      <c r="I2510" s="181"/>
      <c r="J2510" s="181"/>
      <c r="K2510" s="181"/>
      <c r="L2510" s="181"/>
      <c r="M2510" s="181"/>
      <c r="N2510" s="181"/>
      <c r="O2510" s="181"/>
      <c r="P2510" s="181"/>
    </row>
    <row r="2511">
      <c r="B2511" s="292"/>
      <c r="C2511" s="181"/>
      <c r="D2511" s="181"/>
      <c r="E2511" s="181"/>
      <c r="F2511" s="181"/>
      <c r="G2511" s="181"/>
      <c r="H2511" s="181"/>
      <c r="I2511" s="181"/>
      <c r="J2511" s="181"/>
      <c r="K2511" s="181"/>
      <c r="L2511" s="181"/>
      <c r="M2511" s="181"/>
      <c r="N2511" s="181"/>
      <c r="O2511" s="181"/>
      <c r="P2511" s="181"/>
    </row>
    <row r="2512">
      <c r="B2512" s="292"/>
      <c r="C2512" s="181"/>
      <c r="D2512" s="181"/>
      <c r="E2512" s="181"/>
      <c r="F2512" s="181"/>
      <c r="G2512" s="181"/>
      <c r="H2512" s="181"/>
      <c r="I2512" s="181"/>
      <c r="J2512" s="181"/>
      <c r="K2512" s="181"/>
      <c r="L2512" s="181"/>
      <c r="M2512" s="181"/>
      <c r="N2512" s="181"/>
      <c r="O2512" s="181"/>
      <c r="P2512" s="181"/>
    </row>
    <row r="2513">
      <c r="B2513" s="292"/>
      <c r="C2513" s="181"/>
      <c r="D2513" s="181"/>
      <c r="E2513" s="181"/>
      <c r="F2513" s="181"/>
      <c r="G2513" s="181"/>
      <c r="H2513" s="181"/>
      <c r="I2513" s="181"/>
      <c r="J2513" s="181"/>
      <c r="K2513" s="181"/>
      <c r="L2513" s="181"/>
      <c r="M2513" s="181"/>
      <c r="N2513" s="181"/>
      <c r="O2513" s="181"/>
      <c r="P2513" s="181"/>
    </row>
    <row r="2514">
      <c r="B2514" s="292"/>
      <c r="C2514" s="181"/>
      <c r="D2514" s="181"/>
      <c r="E2514" s="181"/>
      <c r="F2514" s="181"/>
      <c r="G2514" s="181"/>
      <c r="H2514" s="181"/>
      <c r="I2514" s="181"/>
      <c r="J2514" s="181"/>
      <c r="K2514" s="181"/>
      <c r="L2514" s="181"/>
      <c r="M2514" s="181"/>
      <c r="N2514" s="181"/>
      <c r="O2514" s="181"/>
      <c r="P2514" s="181"/>
    </row>
    <row r="2515">
      <c r="B2515" s="292"/>
      <c r="C2515" s="181"/>
      <c r="D2515" s="181"/>
      <c r="E2515" s="181"/>
      <c r="F2515" s="181"/>
      <c r="G2515" s="181"/>
      <c r="H2515" s="181"/>
      <c r="I2515" s="181"/>
      <c r="J2515" s="181"/>
      <c r="K2515" s="181"/>
      <c r="L2515" s="181"/>
      <c r="M2515" s="181"/>
      <c r="N2515" s="181"/>
      <c r="O2515" s="181"/>
      <c r="P2515" s="181"/>
    </row>
    <row r="2516">
      <c r="B2516" s="292"/>
      <c r="C2516" s="181"/>
      <c r="D2516" s="181"/>
      <c r="E2516" s="181"/>
      <c r="F2516" s="181"/>
      <c r="G2516" s="181"/>
      <c r="H2516" s="181"/>
      <c r="I2516" s="181"/>
      <c r="J2516" s="181"/>
      <c r="K2516" s="181"/>
      <c r="L2516" s="181"/>
      <c r="M2516" s="181"/>
      <c r="N2516" s="181"/>
      <c r="O2516" s="181"/>
      <c r="P2516" s="181"/>
    </row>
    <row r="2517">
      <c r="B2517" s="292"/>
      <c r="C2517" s="181"/>
      <c r="D2517" s="181"/>
      <c r="E2517" s="181"/>
      <c r="F2517" s="181"/>
      <c r="G2517" s="181"/>
      <c r="H2517" s="181"/>
      <c r="I2517" s="181"/>
      <c r="J2517" s="181"/>
      <c r="K2517" s="181"/>
      <c r="L2517" s="181"/>
      <c r="M2517" s="181"/>
      <c r="N2517" s="181"/>
      <c r="O2517" s="181"/>
      <c r="P2517" s="181"/>
    </row>
    <row r="2518">
      <c r="B2518" s="292"/>
      <c r="C2518" s="181"/>
      <c r="D2518" s="181"/>
      <c r="E2518" s="181"/>
      <c r="F2518" s="181"/>
      <c r="G2518" s="181"/>
      <c r="H2518" s="181"/>
      <c r="I2518" s="181"/>
      <c r="J2518" s="181"/>
      <c r="K2518" s="181"/>
      <c r="L2518" s="181"/>
      <c r="M2518" s="181"/>
      <c r="N2518" s="181"/>
      <c r="O2518" s="181"/>
      <c r="P2518" s="181"/>
    </row>
    <row r="2519">
      <c r="B2519" s="292"/>
      <c r="C2519" s="181"/>
      <c r="D2519" s="181"/>
      <c r="E2519" s="181"/>
      <c r="F2519" s="181"/>
      <c r="G2519" s="181"/>
      <c r="H2519" s="181"/>
      <c r="I2519" s="181"/>
      <c r="J2519" s="181"/>
      <c r="K2519" s="181"/>
      <c r="L2519" s="181"/>
      <c r="M2519" s="181"/>
      <c r="N2519" s="181"/>
      <c r="O2519" s="181"/>
      <c r="P2519" s="181"/>
    </row>
    <row r="2520">
      <c r="B2520" s="292"/>
      <c r="C2520" s="181"/>
      <c r="D2520" s="181"/>
      <c r="E2520" s="181"/>
      <c r="F2520" s="181"/>
      <c r="G2520" s="181"/>
      <c r="H2520" s="181"/>
      <c r="I2520" s="181"/>
      <c r="J2520" s="181"/>
      <c r="K2520" s="181"/>
      <c r="L2520" s="181"/>
      <c r="M2520" s="181"/>
      <c r="N2520" s="181"/>
      <c r="O2520" s="181"/>
      <c r="P2520" s="181"/>
    </row>
    <row r="2521">
      <c r="B2521" s="292"/>
      <c r="C2521" s="181"/>
      <c r="D2521" s="181"/>
      <c r="E2521" s="181"/>
      <c r="F2521" s="181"/>
      <c r="G2521" s="181"/>
      <c r="H2521" s="181"/>
      <c r="I2521" s="181"/>
      <c r="J2521" s="181"/>
      <c r="K2521" s="181"/>
      <c r="L2521" s="181"/>
      <c r="M2521" s="181"/>
      <c r="N2521" s="181"/>
      <c r="O2521" s="181"/>
      <c r="P2521" s="181"/>
    </row>
    <row r="2522">
      <c r="B2522" s="292"/>
      <c r="C2522" s="181"/>
      <c r="D2522" s="181"/>
      <c r="E2522" s="181"/>
      <c r="F2522" s="181"/>
      <c r="G2522" s="181"/>
      <c r="H2522" s="181"/>
      <c r="I2522" s="181"/>
      <c r="J2522" s="181"/>
      <c r="K2522" s="181"/>
      <c r="L2522" s="181"/>
      <c r="M2522" s="181"/>
      <c r="N2522" s="181"/>
      <c r="O2522" s="181"/>
      <c r="P2522" s="181"/>
    </row>
    <row r="2523">
      <c r="B2523" s="292"/>
      <c r="C2523" s="181"/>
      <c r="D2523" s="181"/>
      <c r="E2523" s="181"/>
      <c r="F2523" s="181"/>
      <c r="G2523" s="181"/>
      <c r="H2523" s="181"/>
      <c r="I2523" s="181"/>
      <c r="J2523" s="181"/>
      <c r="K2523" s="181"/>
      <c r="L2523" s="181"/>
      <c r="M2523" s="181"/>
      <c r="N2523" s="181"/>
      <c r="O2523" s="181"/>
      <c r="P2523" s="181"/>
    </row>
    <row r="2524">
      <c r="B2524" s="292"/>
      <c r="C2524" s="181"/>
      <c r="D2524" s="181"/>
      <c r="E2524" s="181"/>
      <c r="F2524" s="181"/>
      <c r="G2524" s="181"/>
      <c r="H2524" s="181"/>
      <c r="I2524" s="181"/>
      <c r="J2524" s="181"/>
      <c r="K2524" s="181"/>
      <c r="L2524" s="181"/>
      <c r="M2524" s="181"/>
      <c r="N2524" s="181"/>
      <c r="O2524" s="181"/>
      <c r="P2524" s="181"/>
    </row>
    <row r="2525">
      <c r="B2525" s="292"/>
      <c r="C2525" s="181"/>
      <c r="D2525" s="181"/>
      <c r="E2525" s="181"/>
      <c r="F2525" s="181"/>
      <c r="G2525" s="181"/>
      <c r="H2525" s="181"/>
      <c r="I2525" s="181"/>
      <c r="J2525" s="181"/>
      <c r="K2525" s="181"/>
      <c r="L2525" s="181"/>
      <c r="M2525" s="181"/>
      <c r="N2525" s="181"/>
      <c r="O2525" s="181"/>
      <c r="P2525" s="181"/>
    </row>
    <row r="2526">
      <c r="B2526" s="292"/>
      <c r="C2526" s="181"/>
      <c r="D2526" s="181"/>
      <c r="E2526" s="181"/>
      <c r="F2526" s="181"/>
      <c r="G2526" s="181"/>
      <c r="H2526" s="181"/>
      <c r="I2526" s="181"/>
      <c r="J2526" s="181"/>
      <c r="K2526" s="181"/>
      <c r="L2526" s="181"/>
      <c r="M2526" s="181"/>
      <c r="N2526" s="181"/>
      <c r="O2526" s="181"/>
      <c r="P2526" s="181"/>
    </row>
    <row r="2527">
      <c r="B2527" s="292"/>
      <c r="C2527" s="181"/>
      <c r="D2527" s="181"/>
      <c r="E2527" s="181"/>
      <c r="F2527" s="181"/>
      <c r="G2527" s="181"/>
      <c r="H2527" s="181"/>
      <c r="I2527" s="181"/>
      <c r="J2527" s="181"/>
      <c r="K2527" s="181"/>
      <c r="L2527" s="181"/>
      <c r="M2527" s="181"/>
      <c r="N2527" s="181"/>
      <c r="O2527" s="181"/>
      <c r="P2527" s="181"/>
    </row>
    <row r="2528">
      <c r="B2528" s="292"/>
      <c r="C2528" s="181"/>
      <c r="D2528" s="181"/>
      <c r="E2528" s="181"/>
      <c r="F2528" s="181"/>
      <c r="G2528" s="181"/>
      <c r="H2528" s="181"/>
      <c r="I2528" s="181"/>
      <c r="J2528" s="181"/>
      <c r="K2528" s="181"/>
      <c r="L2528" s="181"/>
      <c r="M2528" s="181"/>
      <c r="N2528" s="181"/>
      <c r="O2528" s="181"/>
      <c r="P2528" s="181"/>
    </row>
    <row r="2529">
      <c r="B2529" s="292"/>
      <c r="C2529" s="181"/>
      <c r="D2529" s="181"/>
      <c r="E2529" s="181"/>
      <c r="F2529" s="181"/>
      <c r="G2529" s="181"/>
      <c r="H2529" s="181"/>
      <c r="I2529" s="181"/>
      <c r="J2529" s="181"/>
      <c r="K2529" s="181"/>
      <c r="L2529" s="181"/>
      <c r="M2529" s="181"/>
      <c r="N2529" s="181"/>
      <c r="O2529" s="181"/>
      <c r="P2529" s="181"/>
    </row>
    <row r="2530">
      <c r="B2530" s="292"/>
      <c r="C2530" s="181"/>
      <c r="D2530" s="181"/>
      <c r="E2530" s="181"/>
      <c r="F2530" s="181"/>
      <c r="G2530" s="181"/>
      <c r="H2530" s="181"/>
      <c r="I2530" s="181"/>
      <c r="J2530" s="181"/>
      <c r="K2530" s="181"/>
      <c r="L2530" s="181"/>
      <c r="M2530" s="181"/>
      <c r="N2530" s="181"/>
      <c r="O2530" s="181"/>
      <c r="P2530" s="181"/>
    </row>
    <row r="2531">
      <c r="B2531" s="292"/>
      <c r="C2531" s="181"/>
      <c r="D2531" s="181"/>
      <c r="E2531" s="181"/>
      <c r="F2531" s="181"/>
      <c r="G2531" s="181"/>
      <c r="H2531" s="181"/>
      <c r="I2531" s="181"/>
      <c r="J2531" s="181"/>
      <c r="K2531" s="181"/>
      <c r="L2531" s="181"/>
      <c r="M2531" s="181"/>
      <c r="N2531" s="181"/>
      <c r="O2531" s="181"/>
      <c r="P2531" s="181"/>
    </row>
    <row r="2532">
      <c r="B2532" s="292"/>
      <c r="C2532" s="181"/>
      <c r="D2532" s="181"/>
      <c r="E2532" s="181"/>
      <c r="F2532" s="181"/>
      <c r="G2532" s="181"/>
      <c r="H2532" s="181"/>
      <c r="I2532" s="181"/>
      <c r="J2532" s="181"/>
      <c r="K2532" s="181"/>
      <c r="L2532" s="181"/>
      <c r="M2532" s="181"/>
      <c r="N2532" s="181"/>
      <c r="O2532" s="181"/>
      <c r="P2532" s="181"/>
    </row>
    <row r="2533">
      <c r="B2533" s="292"/>
      <c r="C2533" s="181"/>
      <c r="D2533" s="181"/>
      <c r="E2533" s="181"/>
      <c r="F2533" s="181"/>
      <c r="G2533" s="181"/>
      <c r="H2533" s="181"/>
      <c r="I2533" s="181"/>
      <c r="J2533" s="181"/>
      <c r="K2533" s="181"/>
      <c r="L2533" s="181"/>
      <c r="M2533" s="181"/>
      <c r="N2533" s="181"/>
      <c r="O2533" s="181"/>
      <c r="P2533" s="181"/>
    </row>
    <row r="2534">
      <c r="B2534" s="292"/>
      <c r="C2534" s="181"/>
      <c r="D2534" s="181"/>
      <c r="E2534" s="181"/>
      <c r="F2534" s="181"/>
      <c r="G2534" s="181"/>
      <c r="H2534" s="181"/>
      <c r="I2534" s="181"/>
      <c r="J2534" s="181"/>
      <c r="K2534" s="181"/>
      <c r="L2534" s="181"/>
      <c r="M2534" s="181"/>
      <c r="N2534" s="181"/>
      <c r="O2534" s="181"/>
      <c r="P2534" s="181"/>
    </row>
    <row r="2535">
      <c r="B2535" s="292"/>
      <c r="C2535" s="181"/>
      <c r="D2535" s="181"/>
      <c r="E2535" s="181"/>
      <c r="F2535" s="181"/>
      <c r="G2535" s="181"/>
      <c r="H2535" s="181"/>
      <c r="I2535" s="181"/>
      <c r="J2535" s="181"/>
      <c r="K2535" s="181"/>
      <c r="L2535" s="181"/>
      <c r="M2535" s="181"/>
      <c r="N2535" s="181"/>
      <c r="O2535" s="181"/>
      <c r="P2535" s="181"/>
    </row>
    <row r="2536">
      <c r="B2536" s="292"/>
      <c r="C2536" s="181"/>
      <c r="D2536" s="181"/>
      <c r="E2536" s="181"/>
      <c r="F2536" s="181"/>
      <c r="G2536" s="181"/>
      <c r="H2536" s="181"/>
      <c r="I2536" s="181"/>
      <c r="J2536" s="181"/>
      <c r="K2536" s="181"/>
      <c r="L2536" s="181"/>
      <c r="M2536" s="181"/>
      <c r="N2536" s="181"/>
      <c r="O2536" s="181"/>
      <c r="P2536" s="181"/>
    </row>
    <row r="2537">
      <c r="B2537" s="292"/>
      <c r="C2537" s="181"/>
      <c r="D2537" s="181"/>
      <c r="E2537" s="181"/>
      <c r="F2537" s="181"/>
      <c r="G2537" s="181"/>
      <c r="H2537" s="181"/>
      <c r="I2537" s="181"/>
      <c r="J2537" s="181"/>
      <c r="K2537" s="181"/>
      <c r="L2537" s="181"/>
      <c r="M2537" s="181"/>
      <c r="N2537" s="181"/>
      <c r="O2537" s="181"/>
      <c r="P2537" s="181"/>
    </row>
    <row r="2538">
      <c r="B2538" s="292"/>
      <c r="C2538" s="181"/>
      <c r="D2538" s="181"/>
      <c r="E2538" s="181"/>
      <c r="F2538" s="181"/>
      <c r="G2538" s="181"/>
      <c r="H2538" s="181"/>
      <c r="I2538" s="181"/>
      <c r="J2538" s="181"/>
      <c r="K2538" s="181"/>
      <c r="L2538" s="181"/>
      <c r="M2538" s="181"/>
      <c r="N2538" s="181"/>
      <c r="O2538" s="181"/>
      <c r="P2538" s="181"/>
    </row>
    <row r="2539">
      <c r="B2539" s="292"/>
      <c r="C2539" s="181"/>
      <c r="D2539" s="181"/>
      <c r="E2539" s="181"/>
      <c r="F2539" s="181"/>
      <c r="G2539" s="181"/>
      <c r="H2539" s="181"/>
      <c r="I2539" s="181"/>
      <c r="J2539" s="181"/>
      <c r="K2539" s="181"/>
      <c r="L2539" s="181"/>
      <c r="M2539" s="181"/>
      <c r="N2539" s="181"/>
      <c r="O2539" s="181"/>
      <c r="P2539" s="181"/>
    </row>
    <row r="2540">
      <c r="B2540" s="292"/>
      <c r="C2540" s="181"/>
      <c r="D2540" s="181"/>
      <c r="E2540" s="181"/>
      <c r="F2540" s="181"/>
      <c r="G2540" s="181"/>
      <c r="H2540" s="181"/>
      <c r="I2540" s="181"/>
      <c r="J2540" s="181"/>
      <c r="K2540" s="181"/>
      <c r="L2540" s="181"/>
      <c r="M2540" s="181"/>
      <c r="N2540" s="181"/>
      <c r="O2540" s="181"/>
      <c r="P2540" s="181"/>
    </row>
    <row r="2541">
      <c r="B2541" s="292"/>
      <c r="C2541" s="181"/>
      <c r="D2541" s="181"/>
      <c r="E2541" s="181"/>
      <c r="F2541" s="181"/>
      <c r="G2541" s="181"/>
      <c r="H2541" s="181"/>
      <c r="I2541" s="181"/>
      <c r="J2541" s="181"/>
      <c r="K2541" s="181"/>
      <c r="L2541" s="181"/>
      <c r="M2541" s="181"/>
      <c r="N2541" s="181"/>
      <c r="O2541" s="181"/>
      <c r="P2541" s="181"/>
    </row>
    <row r="2542">
      <c r="B2542" s="292"/>
      <c r="C2542" s="181"/>
      <c r="D2542" s="181"/>
      <c r="E2542" s="181"/>
      <c r="F2542" s="181"/>
      <c r="G2542" s="181"/>
      <c r="H2542" s="181"/>
      <c r="I2542" s="181"/>
      <c r="J2542" s="181"/>
      <c r="K2542" s="181"/>
      <c r="L2542" s="181"/>
      <c r="M2542" s="181"/>
      <c r="N2542" s="181"/>
      <c r="O2542" s="181"/>
      <c r="P2542" s="181"/>
    </row>
    <row r="2543">
      <c r="B2543" s="292"/>
      <c r="C2543" s="181"/>
      <c r="D2543" s="181"/>
      <c r="E2543" s="181"/>
      <c r="F2543" s="181"/>
      <c r="G2543" s="181"/>
      <c r="H2543" s="181"/>
      <c r="I2543" s="181"/>
      <c r="J2543" s="181"/>
      <c r="K2543" s="181"/>
      <c r="L2543" s="181"/>
      <c r="M2543" s="181"/>
      <c r="N2543" s="181"/>
      <c r="O2543" s="181"/>
      <c r="P2543" s="181"/>
    </row>
    <row r="2544">
      <c r="B2544" s="292"/>
      <c r="C2544" s="181"/>
      <c r="D2544" s="181"/>
      <c r="E2544" s="181"/>
      <c r="F2544" s="181"/>
      <c r="G2544" s="181"/>
      <c r="H2544" s="181"/>
      <c r="I2544" s="181"/>
      <c r="J2544" s="181"/>
      <c r="K2544" s="181"/>
      <c r="L2544" s="181"/>
      <c r="M2544" s="181"/>
      <c r="N2544" s="181"/>
      <c r="O2544" s="181"/>
      <c r="P2544" s="181"/>
    </row>
    <row r="2545">
      <c r="B2545" s="292"/>
      <c r="C2545" s="181"/>
      <c r="D2545" s="181"/>
      <c r="E2545" s="181"/>
      <c r="F2545" s="181"/>
      <c r="G2545" s="181"/>
      <c r="H2545" s="181"/>
      <c r="I2545" s="181"/>
      <c r="J2545" s="181"/>
      <c r="K2545" s="181"/>
      <c r="L2545" s="181"/>
      <c r="M2545" s="181"/>
      <c r="N2545" s="181"/>
      <c r="O2545" s="181"/>
      <c r="P2545" s="181"/>
    </row>
    <row r="2546">
      <c r="B2546" s="292"/>
      <c r="C2546" s="181"/>
      <c r="D2546" s="181"/>
      <c r="E2546" s="181"/>
      <c r="F2546" s="181"/>
      <c r="G2546" s="181"/>
      <c r="H2546" s="181"/>
      <c r="I2546" s="181"/>
      <c r="J2546" s="181"/>
      <c r="K2546" s="181"/>
      <c r="L2546" s="181"/>
      <c r="M2546" s="181"/>
      <c r="N2546" s="181"/>
      <c r="O2546" s="181"/>
      <c r="P2546" s="181"/>
    </row>
    <row r="2547">
      <c r="B2547" s="292"/>
      <c r="C2547" s="181"/>
      <c r="D2547" s="181"/>
      <c r="E2547" s="181"/>
      <c r="F2547" s="181"/>
      <c r="G2547" s="181"/>
      <c r="H2547" s="181"/>
      <c r="I2547" s="181"/>
      <c r="J2547" s="181"/>
      <c r="K2547" s="181"/>
      <c r="L2547" s="181"/>
      <c r="M2547" s="181"/>
      <c r="N2547" s="181"/>
      <c r="O2547" s="181"/>
      <c r="P2547" s="181"/>
    </row>
    <row r="2548">
      <c r="B2548" s="292"/>
      <c r="C2548" s="181"/>
      <c r="D2548" s="181"/>
      <c r="E2548" s="181"/>
      <c r="F2548" s="181"/>
      <c r="G2548" s="181"/>
      <c r="H2548" s="181"/>
      <c r="I2548" s="181"/>
      <c r="J2548" s="181"/>
      <c r="K2548" s="181"/>
      <c r="L2548" s="181"/>
      <c r="M2548" s="181"/>
      <c r="N2548" s="181"/>
      <c r="O2548" s="181"/>
      <c r="P2548" s="181"/>
    </row>
    <row r="2549">
      <c r="B2549" s="292"/>
      <c r="C2549" s="181"/>
      <c r="D2549" s="181"/>
      <c r="E2549" s="181"/>
      <c r="F2549" s="181"/>
      <c r="G2549" s="181"/>
      <c r="H2549" s="181"/>
      <c r="I2549" s="181"/>
      <c r="J2549" s="181"/>
      <c r="K2549" s="181"/>
      <c r="L2549" s="181"/>
      <c r="M2549" s="181"/>
      <c r="N2549" s="181"/>
      <c r="O2549" s="181"/>
      <c r="P2549" s="181"/>
    </row>
    <row r="2550">
      <c r="B2550" s="292"/>
      <c r="C2550" s="181"/>
      <c r="D2550" s="181"/>
      <c r="E2550" s="181"/>
      <c r="F2550" s="181"/>
      <c r="G2550" s="181"/>
      <c r="H2550" s="181"/>
      <c r="I2550" s="181"/>
      <c r="J2550" s="181"/>
      <c r="K2550" s="181"/>
      <c r="L2550" s="181"/>
      <c r="M2550" s="181"/>
      <c r="N2550" s="181"/>
      <c r="O2550" s="181"/>
      <c r="P2550" s="181"/>
    </row>
    <row r="2551">
      <c r="B2551" s="292"/>
      <c r="C2551" s="181"/>
      <c r="D2551" s="181"/>
      <c r="E2551" s="181"/>
      <c r="F2551" s="181"/>
      <c r="G2551" s="181"/>
      <c r="H2551" s="181"/>
      <c r="I2551" s="181"/>
      <c r="J2551" s="181"/>
      <c r="K2551" s="181"/>
      <c r="L2551" s="181"/>
      <c r="M2551" s="181"/>
      <c r="N2551" s="181"/>
      <c r="O2551" s="181"/>
      <c r="P2551" s="181"/>
    </row>
    <row r="2552">
      <c r="B2552" s="292"/>
      <c r="C2552" s="181"/>
      <c r="D2552" s="181"/>
      <c r="E2552" s="181"/>
      <c r="F2552" s="181"/>
      <c r="G2552" s="181"/>
      <c r="H2552" s="181"/>
      <c r="I2552" s="181"/>
      <c r="J2552" s="181"/>
      <c r="K2552" s="181"/>
      <c r="L2552" s="181"/>
      <c r="M2552" s="181"/>
      <c r="N2552" s="181"/>
      <c r="O2552" s="181"/>
      <c r="P2552" s="181"/>
    </row>
    <row r="2553">
      <c r="B2553" s="292"/>
      <c r="C2553" s="181"/>
      <c r="D2553" s="181"/>
      <c r="E2553" s="181"/>
      <c r="F2553" s="181"/>
      <c r="G2553" s="181"/>
      <c r="H2553" s="181"/>
      <c r="I2553" s="181"/>
      <c r="J2553" s="181"/>
      <c r="K2553" s="181"/>
      <c r="L2553" s="181"/>
      <c r="M2553" s="181"/>
      <c r="N2553" s="181"/>
      <c r="O2553" s="181"/>
      <c r="P2553" s="181"/>
    </row>
    <row r="2554">
      <c r="B2554" s="292"/>
      <c r="C2554" s="181"/>
      <c r="D2554" s="181"/>
      <c r="E2554" s="181"/>
      <c r="F2554" s="181"/>
      <c r="G2554" s="181"/>
      <c r="H2554" s="181"/>
      <c r="I2554" s="181"/>
      <c r="J2554" s="181"/>
      <c r="K2554" s="181"/>
      <c r="L2554" s="181"/>
      <c r="M2554" s="181"/>
      <c r="N2554" s="181"/>
      <c r="O2554" s="181"/>
      <c r="P2554" s="181"/>
    </row>
    <row r="2555">
      <c r="B2555" s="292"/>
      <c r="C2555" s="181"/>
      <c r="D2555" s="181"/>
      <c r="E2555" s="181"/>
      <c r="F2555" s="181"/>
      <c r="G2555" s="181"/>
      <c r="H2555" s="181"/>
      <c r="I2555" s="181"/>
      <c r="J2555" s="181"/>
      <c r="K2555" s="181"/>
      <c r="L2555" s="181"/>
      <c r="M2555" s="181"/>
      <c r="N2555" s="181"/>
      <c r="O2555" s="181"/>
      <c r="P2555" s="181"/>
    </row>
    <row r="2556">
      <c r="B2556" s="292"/>
      <c r="C2556" s="181"/>
      <c r="D2556" s="181"/>
      <c r="E2556" s="181"/>
      <c r="F2556" s="181"/>
      <c r="G2556" s="181"/>
      <c r="H2556" s="181"/>
      <c r="I2556" s="181"/>
      <c r="J2556" s="181"/>
      <c r="K2556" s="181"/>
      <c r="L2556" s="181"/>
      <c r="M2556" s="181"/>
      <c r="N2556" s="181"/>
      <c r="O2556" s="181"/>
      <c r="P2556" s="181"/>
    </row>
    <row r="2557">
      <c r="B2557" s="292"/>
      <c r="C2557" s="181"/>
      <c r="D2557" s="181"/>
      <c r="E2557" s="181"/>
      <c r="F2557" s="181"/>
      <c r="G2557" s="181"/>
      <c r="H2557" s="181"/>
      <c r="I2557" s="181"/>
      <c r="J2557" s="181"/>
      <c r="K2557" s="181"/>
      <c r="L2557" s="181"/>
      <c r="M2557" s="181"/>
      <c r="N2557" s="181"/>
      <c r="O2557" s="181"/>
      <c r="P2557" s="181"/>
    </row>
    <row r="2558">
      <c r="B2558" s="292"/>
      <c r="C2558" s="181"/>
      <c r="D2558" s="181"/>
      <c r="E2558" s="181"/>
      <c r="F2558" s="181"/>
      <c r="G2558" s="181"/>
      <c r="H2558" s="181"/>
      <c r="I2558" s="181"/>
      <c r="J2558" s="181"/>
      <c r="K2558" s="181"/>
      <c r="L2558" s="181"/>
      <c r="M2558" s="181"/>
      <c r="N2558" s="181"/>
      <c r="O2558" s="181"/>
      <c r="P2558" s="181"/>
    </row>
    <row r="2559">
      <c r="B2559" s="292"/>
      <c r="C2559" s="181"/>
      <c r="D2559" s="181"/>
      <c r="E2559" s="181"/>
      <c r="F2559" s="181"/>
      <c r="G2559" s="181"/>
      <c r="H2559" s="181"/>
      <c r="I2559" s="181"/>
      <c r="J2559" s="181"/>
      <c r="K2559" s="181"/>
      <c r="L2559" s="181"/>
      <c r="M2559" s="181"/>
      <c r="N2559" s="181"/>
      <c r="O2559" s="181"/>
      <c r="P2559" s="181"/>
    </row>
    <row r="2560">
      <c r="B2560" s="292"/>
      <c r="C2560" s="181"/>
      <c r="D2560" s="181"/>
      <c r="E2560" s="181"/>
      <c r="F2560" s="181"/>
      <c r="G2560" s="181"/>
      <c r="H2560" s="181"/>
      <c r="I2560" s="181"/>
      <c r="J2560" s="181"/>
      <c r="K2560" s="181"/>
      <c r="L2560" s="181"/>
      <c r="M2560" s="181"/>
      <c r="N2560" s="181"/>
      <c r="O2560" s="181"/>
      <c r="P2560" s="181"/>
    </row>
    <row r="2561">
      <c r="B2561" s="292"/>
      <c r="C2561" s="181"/>
      <c r="D2561" s="181"/>
      <c r="E2561" s="181"/>
      <c r="F2561" s="181"/>
      <c r="G2561" s="181"/>
      <c r="H2561" s="181"/>
      <c r="I2561" s="181"/>
      <c r="J2561" s="181"/>
      <c r="K2561" s="181"/>
      <c r="L2561" s="181"/>
      <c r="M2561" s="181"/>
      <c r="N2561" s="181"/>
      <c r="O2561" s="181"/>
      <c r="P2561" s="181"/>
    </row>
    <row r="2562">
      <c r="B2562" s="292"/>
      <c r="C2562" s="181"/>
      <c r="D2562" s="181"/>
      <c r="E2562" s="181"/>
      <c r="F2562" s="181"/>
      <c r="G2562" s="181"/>
      <c r="H2562" s="181"/>
      <c r="I2562" s="181"/>
      <c r="J2562" s="181"/>
      <c r="K2562" s="181"/>
      <c r="L2562" s="181"/>
      <c r="M2562" s="181"/>
      <c r="N2562" s="181"/>
      <c r="O2562" s="181"/>
      <c r="P2562" s="181"/>
    </row>
    <row r="2563">
      <c r="B2563" s="292"/>
      <c r="C2563" s="181"/>
      <c r="D2563" s="181"/>
      <c r="E2563" s="181"/>
      <c r="F2563" s="181"/>
      <c r="G2563" s="181"/>
      <c r="H2563" s="181"/>
      <c r="I2563" s="181"/>
      <c r="J2563" s="181"/>
      <c r="K2563" s="181"/>
      <c r="L2563" s="181"/>
      <c r="M2563" s="181"/>
      <c r="N2563" s="181"/>
      <c r="O2563" s="181"/>
      <c r="P2563" s="181"/>
    </row>
    <row r="2564">
      <c r="B2564" s="292"/>
      <c r="C2564" s="181"/>
      <c r="D2564" s="181"/>
      <c r="E2564" s="181"/>
      <c r="F2564" s="181"/>
      <c r="G2564" s="181"/>
      <c r="H2564" s="181"/>
      <c r="I2564" s="181"/>
      <c r="J2564" s="181"/>
      <c r="K2564" s="181"/>
      <c r="L2564" s="181"/>
      <c r="M2564" s="181"/>
      <c r="N2564" s="181"/>
      <c r="O2564" s="181"/>
      <c r="P2564" s="181"/>
    </row>
    <row r="2565">
      <c r="B2565" s="292"/>
      <c r="C2565" s="181"/>
      <c r="D2565" s="181"/>
      <c r="E2565" s="181"/>
      <c r="F2565" s="181"/>
      <c r="G2565" s="181"/>
      <c r="H2565" s="181"/>
      <c r="I2565" s="181"/>
      <c r="J2565" s="181"/>
      <c r="K2565" s="181"/>
      <c r="L2565" s="181"/>
      <c r="M2565" s="181"/>
      <c r="N2565" s="181"/>
      <c r="O2565" s="181"/>
      <c r="P2565" s="181"/>
    </row>
    <row r="2566">
      <c r="B2566" s="292"/>
      <c r="C2566" s="181"/>
      <c r="D2566" s="181"/>
      <c r="E2566" s="181"/>
      <c r="F2566" s="181"/>
      <c r="G2566" s="181"/>
      <c r="H2566" s="181"/>
      <c r="I2566" s="181"/>
      <c r="J2566" s="181"/>
      <c r="K2566" s="181"/>
      <c r="L2566" s="181"/>
      <c r="M2566" s="181"/>
      <c r="N2566" s="181"/>
      <c r="O2566" s="181"/>
      <c r="P2566" s="181"/>
    </row>
    <row r="2567">
      <c r="B2567" s="292"/>
      <c r="C2567" s="181"/>
      <c r="D2567" s="181"/>
      <c r="E2567" s="181"/>
      <c r="F2567" s="181"/>
      <c r="G2567" s="181"/>
      <c r="H2567" s="181"/>
      <c r="I2567" s="181"/>
      <c r="J2567" s="181"/>
      <c r="K2567" s="181"/>
      <c r="L2567" s="181"/>
      <c r="M2567" s="181"/>
      <c r="N2567" s="181"/>
      <c r="O2567" s="181"/>
      <c r="P2567" s="181"/>
    </row>
    <row r="2568">
      <c r="B2568" s="292"/>
      <c r="C2568" s="181"/>
      <c r="D2568" s="181"/>
      <c r="E2568" s="181"/>
      <c r="F2568" s="181"/>
      <c r="G2568" s="181"/>
      <c r="H2568" s="181"/>
      <c r="I2568" s="181"/>
      <c r="J2568" s="181"/>
      <c r="K2568" s="181"/>
      <c r="L2568" s="181"/>
      <c r="M2568" s="181"/>
      <c r="N2568" s="181"/>
      <c r="O2568" s="181"/>
      <c r="P2568" s="181"/>
    </row>
    <row r="2569">
      <c r="B2569" s="292"/>
      <c r="C2569" s="181"/>
      <c r="D2569" s="181"/>
      <c r="E2569" s="181"/>
      <c r="F2569" s="181"/>
      <c r="G2569" s="181"/>
      <c r="H2569" s="181"/>
      <c r="I2569" s="181"/>
      <c r="J2569" s="181"/>
      <c r="K2569" s="181"/>
      <c r="L2569" s="181"/>
      <c r="M2569" s="181"/>
      <c r="N2569" s="181"/>
      <c r="O2569" s="181"/>
      <c r="P2569" s="181"/>
    </row>
    <row r="2570">
      <c r="B2570" s="292"/>
      <c r="C2570" s="181"/>
      <c r="D2570" s="181"/>
      <c r="E2570" s="181"/>
      <c r="F2570" s="181"/>
      <c r="G2570" s="181"/>
      <c r="H2570" s="181"/>
      <c r="I2570" s="181"/>
      <c r="J2570" s="181"/>
      <c r="K2570" s="181"/>
      <c r="L2570" s="181"/>
      <c r="M2570" s="181"/>
      <c r="N2570" s="181"/>
      <c r="O2570" s="181"/>
      <c r="P2570" s="181"/>
    </row>
    <row r="2571">
      <c r="B2571" s="292"/>
      <c r="C2571" s="181"/>
      <c r="D2571" s="181"/>
      <c r="E2571" s="181"/>
      <c r="F2571" s="181"/>
      <c r="G2571" s="181"/>
      <c r="H2571" s="181"/>
      <c r="I2571" s="181"/>
      <c r="J2571" s="181"/>
      <c r="K2571" s="181"/>
      <c r="L2571" s="181"/>
      <c r="M2571" s="181"/>
      <c r="N2571" s="181"/>
      <c r="O2571" s="181"/>
      <c r="P2571" s="181"/>
    </row>
    <row r="2572">
      <c r="B2572" s="292"/>
      <c r="C2572" s="181"/>
      <c r="D2572" s="181"/>
      <c r="E2572" s="181"/>
      <c r="F2572" s="181"/>
      <c r="G2572" s="181"/>
      <c r="H2572" s="181"/>
      <c r="I2572" s="181"/>
      <c r="J2572" s="181"/>
      <c r="K2572" s="181"/>
      <c r="L2572" s="181"/>
      <c r="M2572" s="181"/>
      <c r="N2572" s="181"/>
      <c r="O2572" s="181"/>
      <c r="P2572" s="181"/>
    </row>
    <row r="2573">
      <c r="B2573" s="292"/>
      <c r="C2573" s="181"/>
      <c r="D2573" s="181"/>
      <c r="E2573" s="181"/>
      <c r="F2573" s="181"/>
      <c r="G2573" s="181"/>
      <c r="H2573" s="181"/>
      <c r="I2573" s="181"/>
      <c r="J2573" s="181"/>
      <c r="K2573" s="181"/>
      <c r="L2573" s="181"/>
      <c r="M2573" s="181"/>
      <c r="N2573" s="181"/>
      <c r="O2573" s="181"/>
      <c r="P2573" s="181"/>
    </row>
    <row r="2574">
      <c r="B2574" s="292"/>
      <c r="C2574" s="181"/>
      <c r="D2574" s="181"/>
      <c r="E2574" s="181"/>
      <c r="F2574" s="181"/>
      <c r="G2574" s="181"/>
      <c r="H2574" s="181"/>
      <c r="I2574" s="181"/>
      <c r="J2574" s="181"/>
      <c r="K2574" s="181"/>
      <c r="L2574" s="181"/>
      <c r="M2574" s="181"/>
      <c r="N2574" s="181"/>
      <c r="O2574" s="181"/>
      <c r="P2574" s="181"/>
    </row>
    <row r="2575">
      <c r="B2575" s="292"/>
      <c r="C2575" s="181"/>
      <c r="D2575" s="181"/>
      <c r="E2575" s="181"/>
      <c r="F2575" s="181"/>
      <c r="G2575" s="181"/>
      <c r="H2575" s="181"/>
      <c r="I2575" s="181"/>
      <c r="J2575" s="181"/>
      <c r="K2575" s="181"/>
      <c r="L2575" s="181"/>
      <c r="M2575" s="181"/>
      <c r="N2575" s="181"/>
      <c r="O2575" s="181"/>
      <c r="P2575" s="181"/>
    </row>
    <row r="2576">
      <c r="B2576" s="292"/>
      <c r="C2576" s="181"/>
      <c r="D2576" s="181"/>
      <c r="E2576" s="181"/>
      <c r="F2576" s="181"/>
      <c r="G2576" s="181"/>
      <c r="H2576" s="181"/>
      <c r="I2576" s="181"/>
      <c r="J2576" s="181"/>
      <c r="K2576" s="181"/>
      <c r="L2576" s="181"/>
      <c r="M2576" s="181"/>
      <c r="N2576" s="181"/>
      <c r="O2576" s="181"/>
      <c r="P2576" s="181"/>
    </row>
    <row r="2577">
      <c r="B2577" s="292"/>
      <c r="C2577" s="181"/>
      <c r="D2577" s="181"/>
      <c r="E2577" s="181"/>
      <c r="F2577" s="181"/>
      <c r="G2577" s="181"/>
      <c r="H2577" s="181"/>
      <c r="I2577" s="181"/>
      <c r="J2577" s="181"/>
      <c r="K2577" s="181"/>
      <c r="L2577" s="181"/>
      <c r="M2577" s="181"/>
      <c r="N2577" s="181"/>
      <c r="O2577" s="181"/>
      <c r="P2577" s="181"/>
    </row>
    <row r="2578">
      <c r="B2578" s="292"/>
      <c r="C2578" s="181"/>
      <c r="D2578" s="181"/>
      <c r="E2578" s="181"/>
      <c r="F2578" s="181"/>
      <c r="G2578" s="181"/>
      <c r="H2578" s="181"/>
      <c r="I2578" s="181"/>
      <c r="J2578" s="181"/>
      <c r="K2578" s="181"/>
      <c r="L2578" s="181"/>
      <c r="M2578" s="181"/>
      <c r="N2578" s="181"/>
      <c r="O2578" s="181"/>
      <c r="P2578" s="181"/>
    </row>
    <row r="2579">
      <c r="B2579" s="292"/>
      <c r="C2579" s="181"/>
      <c r="D2579" s="181"/>
      <c r="E2579" s="181"/>
      <c r="F2579" s="181"/>
      <c r="G2579" s="181"/>
      <c r="H2579" s="181"/>
      <c r="I2579" s="181"/>
      <c r="J2579" s="181"/>
      <c r="K2579" s="181"/>
      <c r="L2579" s="181"/>
      <c r="M2579" s="181"/>
      <c r="N2579" s="181"/>
      <c r="O2579" s="181"/>
      <c r="P2579" s="181"/>
    </row>
    <row r="2580">
      <c r="B2580" s="292"/>
      <c r="C2580" s="181"/>
      <c r="D2580" s="181"/>
      <c r="E2580" s="181"/>
      <c r="F2580" s="181"/>
      <c r="G2580" s="181"/>
      <c r="H2580" s="181"/>
      <c r="I2580" s="181"/>
      <c r="J2580" s="181"/>
      <c r="K2580" s="181"/>
      <c r="L2580" s="181"/>
      <c r="M2580" s="181"/>
      <c r="N2580" s="181"/>
      <c r="O2580" s="181"/>
      <c r="P2580" s="181"/>
    </row>
    <row r="2581">
      <c r="B2581" s="292"/>
      <c r="C2581" s="181"/>
      <c r="D2581" s="181"/>
      <c r="E2581" s="181"/>
      <c r="F2581" s="181"/>
      <c r="G2581" s="181"/>
      <c r="H2581" s="181"/>
      <c r="I2581" s="181"/>
      <c r="J2581" s="181"/>
      <c r="K2581" s="181"/>
      <c r="L2581" s="181"/>
      <c r="M2581" s="181"/>
      <c r="N2581" s="181"/>
      <c r="O2581" s="181"/>
      <c r="P2581" s="181"/>
    </row>
    <row r="2582">
      <c r="B2582" s="292"/>
      <c r="C2582" s="181"/>
      <c r="D2582" s="181"/>
      <c r="E2582" s="181"/>
      <c r="F2582" s="181"/>
      <c r="G2582" s="181"/>
      <c r="H2582" s="181"/>
      <c r="I2582" s="181"/>
      <c r="J2582" s="181"/>
      <c r="K2582" s="181"/>
      <c r="L2582" s="181"/>
      <c r="M2582" s="181"/>
      <c r="N2582" s="181"/>
      <c r="O2582" s="181"/>
      <c r="P2582" s="181"/>
    </row>
    <row r="2583">
      <c r="B2583" s="292"/>
      <c r="C2583" s="181"/>
      <c r="D2583" s="181"/>
      <c r="E2583" s="181"/>
      <c r="F2583" s="181"/>
      <c r="G2583" s="181"/>
      <c r="H2583" s="181"/>
      <c r="I2583" s="181"/>
      <c r="J2583" s="181"/>
      <c r="K2583" s="181"/>
      <c r="L2583" s="181"/>
      <c r="M2583" s="181"/>
      <c r="N2583" s="181"/>
      <c r="O2583" s="181"/>
      <c r="P2583" s="181"/>
    </row>
    <row r="2584">
      <c r="B2584" s="292"/>
      <c r="C2584" s="181"/>
      <c r="D2584" s="181"/>
      <c r="E2584" s="181"/>
      <c r="F2584" s="181"/>
      <c r="G2584" s="181"/>
      <c r="H2584" s="181"/>
      <c r="I2584" s="181"/>
      <c r="J2584" s="181"/>
      <c r="K2584" s="181"/>
      <c r="L2584" s="181"/>
      <c r="M2584" s="181"/>
      <c r="N2584" s="181"/>
      <c r="O2584" s="181"/>
      <c r="P2584" s="181"/>
    </row>
    <row r="2585">
      <c r="B2585" s="292"/>
      <c r="C2585" s="181"/>
      <c r="D2585" s="181"/>
      <c r="E2585" s="181"/>
      <c r="F2585" s="181"/>
      <c r="G2585" s="181"/>
      <c r="H2585" s="181"/>
      <c r="I2585" s="181"/>
      <c r="J2585" s="181"/>
      <c r="K2585" s="181"/>
      <c r="L2585" s="181"/>
      <c r="M2585" s="181"/>
      <c r="N2585" s="181"/>
      <c r="O2585" s="181"/>
      <c r="P2585" s="181"/>
    </row>
    <row r="2586">
      <c r="B2586" s="292"/>
      <c r="C2586" s="181"/>
      <c r="D2586" s="181"/>
      <c r="E2586" s="181"/>
      <c r="F2586" s="181"/>
      <c r="G2586" s="181"/>
      <c r="H2586" s="181"/>
      <c r="I2586" s="181"/>
      <c r="J2586" s="181"/>
      <c r="K2586" s="181"/>
      <c r="L2586" s="181"/>
      <c r="M2586" s="181"/>
      <c r="N2586" s="181"/>
      <c r="O2586" s="181"/>
      <c r="P2586" s="181"/>
    </row>
    <row r="2587">
      <c r="B2587" s="292"/>
      <c r="C2587" s="181"/>
      <c r="D2587" s="181"/>
      <c r="E2587" s="181"/>
      <c r="F2587" s="181"/>
      <c r="G2587" s="181"/>
      <c r="H2587" s="181"/>
      <c r="I2587" s="181"/>
      <c r="J2587" s="181"/>
      <c r="K2587" s="181"/>
      <c r="L2587" s="181"/>
      <c r="M2587" s="181"/>
      <c r="N2587" s="181"/>
      <c r="O2587" s="181"/>
      <c r="P2587" s="181"/>
    </row>
    <row r="2588">
      <c r="B2588" s="292"/>
      <c r="C2588" s="181"/>
      <c r="D2588" s="181"/>
      <c r="E2588" s="181"/>
      <c r="F2588" s="181"/>
      <c r="G2588" s="181"/>
      <c r="H2588" s="181"/>
      <c r="I2588" s="181"/>
      <c r="J2588" s="181"/>
      <c r="K2588" s="181"/>
      <c r="L2588" s="181"/>
      <c r="M2588" s="181"/>
      <c r="N2588" s="181"/>
      <c r="O2588" s="181"/>
      <c r="P2588" s="181"/>
    </row>
    <row r="2589">
      <c r="B2589" s="292"/>
      <c r="C2589" s="181"/>
      <c r="D2589" s="181"/>
      <c r="E2589" s="181"/>
      <c r="F2589" s="181"/>
      <c r="G2589" s="181"/>
      <c r="H2589" s="181"/>
      <c r="I2589" s="181"/>
      <c r="J2589" s="181"/>
      <c r="K2589" s="181"/>
      <c r="L2589" s="181"/>
      <c r="M2589" s="181"/>
      <c r="N2589" s="181"/>
      <c r="O2589" s="181"/>
      <c r="P2589" s="181"/>
    </row>
    <row r="2590">
      <c r="B2590" s="292"/>
      <c r="C2590" s="181"/>
      <c r="D2590" s="181"/>
      <c r="E2590" s="181"/>
      <c r="F2590" s="181"/>
      <c r="G2590" s="181"/>
      <c r="H2590" s="181"/>
      <c r="I2590" s="181"/>
      <c r="J2590" s="181"/>
      <c r="K2590" s="181"/>
      <c r="L2590" s="181"/>
      <c r="M2590" s="181"/>
      <c r="N2590" s="181"/>
      <c r="O2590" s="181"/>
      <c r="P2590" s="181"/>
    </row>
    <row r="2591">
      <c r="B2591" s="292"/>
      <c r="C2591" s="181"/>
      <c r="D2591" s="181"/>
      <c r="E2591" s="181"/>
      <c r="F2591" s="181"/>
      <c r="G2591" s="181"/>
      <c r="H2591" s="181"/>
      <c r="I2591" s="181"/>
      <c r="J2591" s="181"/>
      <c r="K2591" s="181"/>
      <c r="L2591" s="181"/>
      <c r="M2591" s="181"/>
      <c r="N2591" s="181"/>
      <c r="O2591" s="181"/>
      <c r="P2591" s="181"/>
    </row>
    <row r="2592">
      <c r="B2592" s="292"/>
      <c r="C2592" s="181"/>
      <c r="D2592" s="181"/>
      <c r="E2592" s="181"/>
      <c r="F2592" s="181"/>
      <c r="G2592" s="181"/>
      <c r="H2592" s="181"/>
      <c r="I2592" s="181"/>
      <c r="J2592" s="181"/>
      <c r="K2592" s="181"/>
      <c r="L2592" s="181"/>
      <c r="M2592" s="181"/>
      <c r="N2592" s="181"/>
      <c r="O2592" s="181"/>
      <c r="P2592" s="181"/>
    </row>
    <row r="2593">
      <c r="B2593" s="292"/>
      <c r="C2593" s="181"/>
      <c r="D2593" s="181"/>
      <c r="E2593" s="181"/>
      <c r="F2593" s="181"/>
      <c r="G2593" s="181"/>
      <c r="H2593" s="181"/>
      <c r="I2593" s="181"/>
      <c r="J2593" s="181"/>
      <c r="K2593" s="181"/>
      <c r="L2593" s="181"/>
      <c r="M2593" s="181"/>
      <c r="N2593" s="181"/>
      <c r="O2593" s="181"/>
      <c r="P2593" s="181"/>
    </row>
    <row r="2594">
      <c r="B2594" s="292"/>
      <c r="C2594" s="181"/>
      <c r="D2594" s="181"/>
      <c r="E2594" s="181"/>
      <c r="F2594" s="181"/>
      <c r="G2594" s="181"/>
      <c r="H2594" s="181"/>
      <c r="I2594" s="181"/>
      <c r="J2594" s="181"/>
      <c r="K2594" s="181"/>
      <c r="L2594" s="181"/>
      <c r="M2594" s="181"/>
      <c r="N2594" s="181"/>
      <c r="O2594" s="181"/>
      <c r="P2594" s="181"/>
    </row>
    <row r="2595">
      <c r="B2595" s="292"/>
      <c r="C2595" s="181"/>
      <c r="D2595" s="181"/>
      <c r="E2595" s="181"/>
      <c r="F2595" s="181"/>
      <c r="G2595" s="181"/>
      <c r="H2595" s="181"/>
      <c r="I2595" s="181"/>
      <c r="J2595" s="181"/>
      <c r="K2595" s="181"/>
      <c r="L2595" s="181"/>
      <c r="M2595" s="181"/>
      <c r="N2595" s="181"/>
      <c r="O2595" s="181"/>
      <c r="P2595" s="181"/>
    </row>
    <row r="2596">
      <c r="B2596" s="292"/>
      <c r="C2596" s="181"/>
      <c r="D2596" s="181"/>
      <c r="E2596" s="181"/>
      <c r="F2596" s="181"/>
      <c r="G2596" s="181"/>
      <c r="H2596" s="181"/>
      <c r="I2596" s="181"/>
      <c r="J2596" s="181"/>
      <c r="K2596" s="181"/>
      <c r="L2596" s="181"/>
      <c r="M2596" s="181"/>
      <c r="N2596" s="181"/>
      <c r="O2596" s="181"/>
      <c r="P2596" s="181"/>
    </row>
    <row r="2597">
      <c r="B2597" s="292"/>
      <c r="C2597" s="181"/>
      <c r="D2597" s="181"/>
      <c r="E2597" s="181"/>
      <c r="F2597" s="181"/>
      <c r="G2597" s="181"/>
      <c r="H2597" s="181"/>
      <c r="I2597" s="181"/>
      <c r="J2597" s="181"/>
      <c r="K2597" s="181"/>
      <c r="L2597" s="181"/>
      <c r="M2597" s="181"/>
      <c r="N2597" s="181"/>
      <c r="O2597" s="181"/>
      <c r="P2597" s="181"/>
    </row>
    <row r="2598">
      <c r="B2598" s="292"/>
      <c r="C2598" s="181"/>
      <c r="D2598" s="181"/>
      <c r="E2598" s="181"/>
      <c r="F2598" s="181"/>
      <c r="G2598" s="181"/>
      <c r="H2598" s="181"/>
      <c r="I2598" s="181"/>
      <c r="J2598" s="181"/>
      <c r="K2598" s="181"/>
      <c r="L2598" s="181"/>
      <c r="M2598" s="181"/>
      <c r="N2598" s="181"/>
      <c r="O2598" s="181"/>
      <c r="P2598" s="181"/>
    </row>
    <row r="2599">
      <c r="B2599" s="292"/>
      <c r="C2599" s="181"/>
      <c r="D2599" s="181"/>
      <c r="E2599" s="181"/>
      <c r="F2599" s="181"/>
      <c r="G2599" s="181"/>
      <c r="H2599" s="181"/>
      <c r="I2599" s="181"/>
      <c r="J2599" s="181"/>
      <c r="K2599" s="181"/>
      <c r="L2599" s="181"/>
      <c r="M2599" s="181"/>
      <c r="N2599" s="181"/>
      <c r="O2599" s="181"/>
      <c r="P2599" s="181"/>
    </row>
    <row r="2600">
      <c r="B2600" s="292"/>
      <c r="C2600" s="181"/>
      <c r="D2600" s="181"/>
      <c r="E2600" s="181"/>
      <c r="F2600" s="181"/>
      <c r="G2600" s="181"/>
      <c r="H2600" s="181"/>
      <c r="I2600" s="181"/>
      <c r="J2600" s="181"/>
      <c r="K2600" s="181"/>
      <c r="L2600" s="181"/>
      <c r="M2600" s="181"/>
      <c r="N2600" s="181"/>
      <c r="O2600" s="181"/>
      <c r="P2600" s="181"/>
    </row>
    <row r="2601">
      <c r="B2601" s="292"/>
      <c r="C2601" s="181"/>
      <c r="D2601" s="181"/>
      <c r="E2601" s="181"/>
      <c r="F2601" s="181"/>
      <c r="G2601" s="181"/>
      <c r="H2601" s="181"/>
      <c r="I2601" s="181"/>
      <c r="J2601" s="181"/>
      <c r="K2601" s="181"/>
      <c r="L2601" s="181"/>
      <c r="M2601" s="181"/>
      <c r="N2601" s="181"/>
      <c r="O2601" s="181"/>
      <c r="P2601" s="181"/>
    </row>
    <row r="2602">
      <c r="B2602" s="292"/>
      <c r="C2602" s="181"/>
      <c r="D2602" s="181"/>
      <c r="E2602" s="181"/>
      <c r="F2602" s="181"/>
      <c r="G2602" s="181"/>
      <c r="H2602" s="181"/>
      <c r="I2602" s="181"/>
      <c r="J2602" s="181"/>
      <c r="K2602" s="181"/>
      <c r="L2602" s="181"/>
      <c r="M2602" s="181"/>
      <c r="N2602" s="181"/>
      <c r="O2602" s="181"/>
      <c r="P2602" s="181"/>
    </row>
    <row r="2603">
      <c r="B2603" s="292"/>
      <c r="C2603" s="181"/>
      <c r="D2603" s="181"/>
      <c r="E2603" s="181"/>
      <c r="F2603" s="181"/>
      <c r="G2603" s="181"/>
      <c r="H2603" s="181"/>
      <c r="I2603" s="181"/>
      <c r="J2603" s="181"/>
      <c r="K2603" s="181"/>
      <c r="L2603" s="181"/>
      <c r="M2603" s="181"/>
      <c r="N2603" s="181"/>
      <c r="O2603" s="181"/>
      <c r="P2603" s="181"/>
    </row>
    <row r="2604">
      <c r="B2604" s="292"/>
      <c r="C2604" s="181"/>
      <c r="D2604" s="181"/>
      <c r="E2604" s="181"/>
      <c r="F2604" s="181"/>
      <c r="G2604" s="181"/>
      <c r="H2604" s="181"/>
      <c r="I2604" s="181"/>
      <c r="J2604" s="181"/>
      <c r="K2604" s="181"/>
      <c r="L2604" s="181"/>
      <c r="M2604" s="181"/>
      <c r="N2604" s="181"/>
      <c r="O2604" s="181"/>
      <c r="P2604" s="181"/>
    </row>
    <row r="2605">
      <c r="B2605" s="292"/>
      <c r="C2605" s="181"/>
      <c r="D2605" s="181"/>
      <c r="E2605" s="181"/>
      <c r="F2605" s="181"/>
      <c r="G2605" s="181"/>
      <c r="H2605" s="181"/>
      <c r="I2605" s="181"/>
      <c r="J2605" s="181"/>
      <c r="K2605" s="181"/>
      <c r="L2605" s="181"/>
      <c r="M2605" s="181"/>
      <c r="N2605" s="181"/>
      <c r="O2605" s="181"/>
      <c r="P2605" s="181"/>
    </row>
    <row r="2606">
      <c r="B2606" s="292"/>
      <c r="C2606" s="181"/>
      <c r="D2606" s="181"/>
      <c r="E2606" s="181"/>
      <c r="F2606" s="181"/>
      <c r="G2606" s="181"/>
      <c r="H2606" s="181"/>
      <c r="I2606" s="181"/>
      <c r="J2606" s="181"/>
      <c r="K2606" s="181"/>
      <c r="L2606" s="181"/>
      <c r="M2606" s="181"/>
      <c r="N2606" s="181"/>
      <c r="O2606" s="181"/>
      <c r="P2606" s="181"/>
    </row>
    <row r="2607">
      <c r="B2607" s="292"/>
      <c r="C2607" s="181"/>
      <c r="D2607" s="181"/>
      <c r="E2607" s="181"/>
      <c r="F2607" s="181"/>
      <c r="G2607" s="181"/>
      <c r="H2607" s="181"/>
      <c r="I2607" s="181"/>
      <c r="J2607" s="181"/>
      <c r="K2607" s="181"/>
      <c r="L2607" s="181"/>
      <c r="M2607" s="181"/>
      <c r="N2607" s="181"/>
      <c r="O2607" s="181"/>
      <c r="P2607" s="181"/>
    </row>
    <row r="2608">
      <c r="B2608" s="292"/>
      <c r="C2608" s="181"/>
      <c r="D2608" s="181"/>
      <c r="E2608" s="181"/>
      <c r="F2608" s="181"/>
      <c r="G2608" s="181"/>
      <c r="H2608" s="181"/>
      <c r="I2608" s="181"/>
      <c r="J2608" s="181"/>
      <c r="K2608" s="181"/>
      <c r="L2608" s="181"/>
      <c r="M2608" s="181"/>
      <c r="N2608" s="181"/>
      <c r="O2608" s="181"/>
      <c r="P2608" s="181"/>
    </row>
    <row r="2609">
      <c r="B2609" s="292"/>
      <c r="C2609" s="181"/>
      <c r="D2609" s="181"/>
      <c r="E2609" s="181"/>
      <c r="F2609" s="181"/>
      <c r="G2609" s="181"/>
      <c r="H2609" s="181"/>
      <c r="I2609" s="181"/>
      <c r="J2609" s="181"/>
      <c r="K2609" s="181"/>
      <c r="L2609" s="181"/>
      <c r="M2609" s="181"/>
      <c r="N2609" s="181"/>
      <c r="O2609" s="181"/>
      <c r="P2609" s="181"/>
    </row>
    <row r="2610">
      <c r="B2610" s="292"/>
      <c r="C2610" s="181"/>
      <c r="D2610" s="181"/>
      <c r="E2610" s="181"/>
      <c r="F2610" s="181"/>
      <c r="G2610" s="181"/>
      <c r="H2610" s="181"/>
      <c r="I2610" s="181"/>
      <c r="J2610" s="181"/>
      <c r="K2610" s="181"/>
      <c r="L2610" s="181"/>
      <c r="M2610" s="181"/>
      <c r="N2610" s="181"/>
      <c r="O2610" s="181"/>
      <c r="P2610" s="181"/>
    </row>
    <row r="2611">
      <c r="B2611" s="292"/>
      <c r="C2611" s="181"/>
      <c r="D2611" s="181"/>
      <c r="E2611" s="181"/>
      <c r="F2611" s="181"/>
      <c r="G2611" s="181"/>
      <c r="H2611" s="181"/>
      <c r="I2611" s="181"/>
      <c r="J2611" s="181"/>
      <c r="K2611" s="181"/>
      <c r="L2611" s="181"/>
      <c r="M2611" s="181"/>
      <c r="N2611" s="181"/>
      <c r="O2611" s="181"/>
      <c r="P2611" s="181"/>
    </row>
    <row r="2612">
      <c r="B2612" s="292"/>
      <c r="C2612" s="181"/>
      <c r="D2612" s="181"/>
      <c r="E2612" s="181"/>
      <c r="F2612" s="181"/>
      <c r="G2612" s="181"/>
      <c r="H2612" s="181"/>
      <c r="I2612" s="181"/>
      <c r="J2612" s="181"/>
      <c r="K2612" s="181"/>
      <c r="L2612" s="181"/>
      <c r="M2612" s="181"/>
      <c r="N2612" s="181"/>
      <c r="O2612" s="181"/>
      <c r="P2612" s="181"/>
    </row>
    <row r="2613">
      <c r="B2613" s="292"/>
      <c r="C2613" s="181"/>
      <c r="D2613" s="181"/>
      <c r="E2613" s="181"/>
      <c r="F2613" s="181"/>
      <c r="G2613" s="181"/>
      <c r="H2613" s="181"/>
      <c r="I2613" s="181"/>
      <c r="J2613" s="181"/>
      <c r="K2613" s="181"/>
      <c r="L2613" s="181"/>
      <c r="M2613" s="181"/>
      <c r="N2613" s="181"/>
      <c r="O2613" s="181"/>
      <c r="P2613" s="181"/>
    </row>
    <row r="2614">
      <c r="B2614" s="292"/>
      <c r="C2614" s="181"/>
      <c r="D2614" s="181"/>
      <c r="E2614" s="181"/>
      <c r="F2614" s="181"/>
      <c r="G2614" s="181"/>
      <c r="H2614" s="181"/>
      <c r="I2614" s="181"/>
      <c r="J2614" s="181"/>
      <c r="K2614" s="181"/>
      <c r="L2614" s="181"/>
      <c r="M2614" s="181"/>
      <c r="N2614" s="181"/>
      <c r="O2614" s="181"/>
      <c r="P2614" s="181"/>
    </row>
    <row r="2615">
      <c r="B2615" s="292"/>
      <c r="C2615" s="181"/>
      <c r="D2615" s="181"/>
      <c r="E2615" s="181"/>
      <c r="F2615" s="181"/>
      <c r="G2615" s="181"/>
      <c r="H2615" s="181"/>
      <c r="I2615" s="181"/>
      <c r="J2615" s="181"/>
      <c r="K2615" s="181"/>
      <c r="L2615" s="181"/>
      <c r="M2615" s="181"/>
      <c r="N2615" s="181"/>
      <c r="O2615" s="181"/>
      <c r="P2615" s="181"/>
    </row>
    <row r="2616">
      <c r="B2616" s="292"/>
      <c r="C2616" s="181"/>
      <c r="D2616" s="181"/>
      <c r="E2616" s="181"/>
      <c r="F2616" s="181"/>
      <c r="G2616" s="181"/>
      <c r="H2616" s="181"/>
      <c r="I2616" s="181"/>
      <c r="J2616" s="181"/>
      <c r="K2616" s="181"/>
      <c r="L2616" s="181"/>
      <c r="M2616" s="181"/>
      <c r="N2616" s="181"/>
      <c r="O2616" s="181"/>
      <c r="P2616" s="181"/>
    </row>
    <row r="2617">
      <c r="B2617" s="292"/>
      <c r="C2617" s="181"/>
      <c r="D2617" s="181"/>
      <c r="E2617" s="181"/>
      <c r="F2617" s="181"/>
      <c r="G2617" s="181"/>
      <c r="H2617" s="181"/>
      <c r="I2617" s="181"/>
      <c r="J2617" s="181"/>
      <c r="K2617" s="181"/>
      <c r="L2617" s="181"/>
      <c r="M2617" s="181"/>
      <c r="N2617" s="181"/>
      <c r="O2617" s="181"/>
      <c r="P2617" s="181"/>
    </row>
    <row r="2618">
      <c r="B2618" s="292"/>
      <c r="C2618" s="181"/>
      <c r="D2618" s="181"/>
      <c r="E2618" s="181"/>
      <c r="F2618" s="181"/>
      <c r="G2618" s="181"/>
      <c r="H2618" s="181"/>
      <c r="I2618" s="181"/>
      <c r="J2618" s="181"/>
      <c r="K2618" s="181"/>
      <c r="L2618" s="181"/>
      <c r="M2618" s="181"/>
      <c r="N2618" s="181"/>
      <c r="O2618" s="181"/>
      <c r="P2618" s="181"/>
    </row>
    <row r="2619">
      <c r="B2619" s="292"/>
      <c r="C2619" s="181"/>
      <c r="D2619" s="181"/>
      <c r="E2619" s="181"/>
      <c r="F2619" s="181"/>
      <c r="G2619" s="181"/>
      <c r="H2619" s="181"/>
      <c r="I2619" s="181"/>
      <c r="J2619" s="181"/>
      <c r="K2619" s="181"/>
      <c r="L2619" s="181"/>
      <c r="M2619" s="181"/>
      <c r="N2619" s="181"/>
      <c r="O2619" s="181"/>
      <c r="P2619" s="181"/>
    </row>
    <row r="2620">
      <c r="B2620" s="292"/>
      <c r="C2620" s="181"/>
      <c r="D2620" s="181"/>
      <c r="E2620" s="181"/>
      <c r="F2620" s="181"/>
      <c r="G2620" s="181"/>
      <c r="H2620" s="181"/>
      <c r="I2620" s="181"/>
      <c r="J2620" s="181"/>
      <c r="K2620" s="181"/>
      <c r="L2620" s="181"/>
      <c r="M2620" s="181"/>
      <c r="N2620" s="181"/>
      <c r="O2620" s="181"/>
      <c r="P2620" s="181"/>
    </row>
    <row r="2621">
      <c r="B2621" s="292"/>
      <c r="C2621" s="181"/>
      <c r="D2621" s="181"/>
      <c r="E2621" s="181"/>
      <c r="F2621" s="181"/>
      <c r="G2621" s="181"/>
      <c r="H2621" s="181"/>
      <c r="I2621" s="181"/>
      <c r="J2621" s="181"/>
      <c r="K2621" s="181"/>
      <c r="L2621" s="181"/>
      <c r="M2621" s="181"/>
      <c r="N2621" s="181"/>
      <c r="O2621" s="181"/>
      <c r="P2621" s="181"/>
    </row>
    <row r="2622">
      <c r="B2622" s="292"/>
      <c r="C2622" s="181"/>
      <c r="D2622" s="181"/>
      <c r="E2622" s="181"/>
      <c r="F2622" s="181"/>
      <c r="G2622" s="181"/>
      <c r="H2622" s="181"/>
      <c r="I2622" s="181"/>
      <c r="J2622" s="181"/>
      <c r="K2622" s="181"/>
      <c r="L2622" s="181"/>
      <c r="M2622" s="181"/>
      <c r="N2622" s="181"/>
      <c r="O2622" s="181"/>
      <c r="P2622" s="181"/>
    </row>
    <row r="2623">
      <c r="B2623" s="292"/>
      <c r="C2623" s="181"/>
      <c r="D2623" s="181"/>
      <c r="E2623" s="181"/>
      <c r="F2623" s="181"/>
      <c r="G2623" s="181"/>
      <c r="H2623" s="181"/>
      <c r="I2623" s="181"/>
      <c r="J2623" s="181"/>
      <c r="K2623" s="181"/>
      <c r="L2623" s="181"/>
      <c r="M2623" s="181"/>
      <c r="N2623" s="181"/>
      <c r="O2623" s="181"/>
      <c r="P2623" s="181"/>
    </row>
    <row r="2624">
      <c r="B2624" s="292"/>
      <c r="C2624" s="181"/>
      <c r="D2624" s="181"/>
      <c r="E2624" s="181"/>
      <c r="F2624" s="181"/>
      <c r="G2624" s="181"/>
      <c r="H2624" s="181"/>
      <c r="I2624" s="181"/>
      <c r="J2624" s="181"/>
      <c r="K2624" s="181"/>
      <c r="L2624" s="181"/>
      <c r="M2624" s="181"/>
      <c r="N2624" s="181"/>
      <c r="O2624" s="181"/>
      <c r="P2624" s="181"/>
    </row>
    <row r="2625">
      <c r="B2625" s="292"/>
      <c r="C2625" s="181"/>
      <c r="D2625" s="181"/>
      <c r="E2625" s="181"/>
      <c r="F2625" s="181"/>
      <c r="G2625" s="181"/>
      <c r="H2625" s="181"/>
      <c r="I2625" s="181"/>
      <c r="J2625" s="181"/>
      <c r="K2625" s="181"/>
      <c r="L2625" s="181"/>
      <c r="M2625" s="181"/>
      <c r="N2625" s="181"/>
      <c r="O2625" s="181"/>
      <c r="P2625" s="181"/>
    </row>
    <row r="2626">
      <c r="B2626" s="292"/>
      <c r="C2626" s="181"/>
      <c r="D2626" s="181"/>
      <c r="E2626" s="181"/>
      <c r="F2626" s="181"/>
      <c r="G2626" s="181"/>
      <c r="H2626" s="181"/>
      <c r="I2626" s="181"/>
      <c r="J2626" s="181"/>
      <c r="K2626" s="181"/>
      <c r="L2626" s="181"/>
      <c r="M2626" s="181"/>
      <c r="N2626" s="181"/>
      <c r="O2626" s="181"/>
      <c r="P2626" s="181"/>
    </row>
    <row r="2627">
      <c r="B2627" s="292"/>
      <c r="C2627" s="181"/>
      <c r="D2627" s="181"/>
      <c r="E2627" s="181"/>
      <c r="F2627" s="181"/>
      <c r="G2627" s="181"/>
      <c r="H2627" s="181"/>
      <c r="I2627" s="181"/>
      <c r="J2627" s="181"/>
      <c r="K2627" s="181"/>
      <c r="L2627" s="181"/>
      <c r="M2627" s="181"/>
      <c r="N2627" s="181"/>
      <c r="O2627" s="181"/>
      <c r="P2627" s="181"/>
    </row>
    <row r="2628">
      <c r="B2628" s="292"/>
      <c r="C2628" s="181"/>
      <c r="D2628" s="181"/>
      <c r="E2628" s="181"/>
      <c r="F2628" s="181"/>
      <c r="G2628" s="181"/>
      <c r="H2628" s="181"/>
      <c r="I2628" s="181"/>
      <c r="J2628" s="181"/>
      <c r="K2628" s="181"/>
      <c r="L2628" s="181"/>
      <c r="M2628" s="181"/>
      <c r="N2628" s="181"/>
      <c r="O2628" s="181"/>
      <c r="P2628" s="181"/>
    </row>
    <row r="2629">
      <c r="B2629" s="292"/>
      <c r="C2629" s="181"/>
      <c r="D2629" s="181"/>
      <c r="E2629" s="181"/>
      <c r="F2629" s="181"/>
      <c r="G2629" s="181"/>
      <c r="H2629" s="181"/>
      <c r="I2629" s="181"/>
      <c r="J2629" s="181"/>
      <c r="K2629" s="181"/>
      <c r="L2629" s="181"/>
      <c r="M2629" s="181"/>
      <c r="N2629" s="181"/>
      <c r="O2629" s="181"/>
      <c r="P2629" s="181"/>
    </row>
    <row r="2630">
      <c r="B2630" s="292"/>
      <c r="C2630" s="181"/>
      <c r="D2630" s="181"/>
      <c r="E2630" s="181"/>
      <c r="F2630" s="181"/>
      <c r="G2630" s="181"/>
      <c r="H2630" s="181"/>
      <c r="I2630" s="181"/>
      <c r="J2630" s="181"/>
      <c r="K2630" s="181"/>
      <c r="L2630" s="181"/>
      <c r="M2630" s="181"/>
      <c r="N2630" s="181"/>
      <c r="O2630" s="181"/>
      <c r="P2630" s="181"/>
    </row>
    <row r="2631">
      <c r="B2631" s="292"/>
      <c r="C2631" s="181"/>
      <c r="D2631" s="181"/>
      <c r="E2631" s="181"/>
      <c r="F2631" s="181"/>
      <c r="G2631" s="181"/>
      <c r="H2631" s="181"/>
      <c r="I2631" s="181"/>
      <c r="J2631" s="181"/>
      <c r="K2631" s="181"/>
      <c r="L2631" s="181"/>
      <c r="M2631" s="181"/>
      <c r="N2631" s="181"/>
      <c r="O2631" s="181"/>
      <c r="P2631" s="181"/>
    </row>
    <row r="2632">
      <c r="B2632" s="292"/>
      <c r="C2632" s="181"/>
      <c r="D2632" s="181"/>
      <c r="E2632" s="181"/>
      <c r="F2632" s="181"/>
      <c r="G2632" s="181"/>
      <c r="H2632" s="181"/>
      <c r="I2632" s="181"/>
      <c r="J2632" s="181"/>
      <c r="K2632" s="181"/>
      <c r="L2632" s="181"/>
      <c r="M2632" s="181"/>
      <c r="N2632" s="181"/>
      <c r="O2632" s="181"/>
      <c r="P2632" s="181"/>
    </row>
    <row r="2633">
      <c r="B2633" s="292"/>
      <c r="C2633" s="181"/>
      <c r="D2633" s="181"/>
      <c r="E2633" s="181"/>
      <c r="F2633" s="181"/>
      <c r="G2633" s="181"/>
      <c r="H2633" s="181"/>
      <c r="I2633" s="181"/>
      <c r="J2633" s="181"/>
      <c r="K2633" s="181"/>
      <c r="L2633" s="181"/>
      <c r="M2633" s="181"/>
      <c r="N2633" s="181"/>
      <c r="O2633" s="181"/>
      <c r="P2633" s="181"/>
    </row>
    <row r="2634">
      <c r="B2634" s="292"/>
      <c r="C2634" s="181"/>
      <c r="D2634" s="181"/>
      <c r="E2634" s="181"/>
      <c r="F2634" s="181"/>
      <c r="G2634" s="181"/>
      <c r="H2634" s="181"/>
      <c r="I2634" s="181"/>
      <c r="J2634" s="181"/>
      <c r="K2634" s="181"/>
      <c r="L2634" s="181"/>
      <c r="M2634" s="181"/>
      <c r="N2634" s="181"/>
      <c r="O2634" s="181"/>
      <c r="P2634" s="181"/>
    </row>
    <row r="2635">
      <c r="B2635" s="292"/>
      <c r="C2635" s="181"/>
      <c r="D2635" s="181"/>
      <c r="E2635" s="181"/>
      <c r="F2635" s="181"/>
      <c r="G2635" s="181"/>
      <c r="H2635" s="181"/>
      <c r="I2635" s="181"/>
      <c r="J2635" s="181"/>
      <c r="K2635" s="181"/>
      <c r="L2635" s="181"/>
      <c r="M2635" s="181"/>
      <c r="N2635" s="181"/>
      <c r="O2635" s="181"/>
      <c r="P2635" s="181"/>
    </row>
    <row r="2636">
      <c r="B2636" s="292"/>
      <c r="C2636" s="181"/>
      <c r="D2636" s="181"/>
      <c r="E2636" s="181"/>
      <c r="F2636" s="181"/>
      <c r="G2636" s="181"/>
      <c r="H2636" s="181"/>
      <c r="I2636" s="181"/>
      <c r="J2636" s="181"/>
      <c r="K2636" s="181"/>
      <c r="L2636" s="181"/>
      <c r="M2636" s="181"/>
      <c r="N2636" s="181"/>
      <c r="O2636" s="181"/>
      <c r="P2636" s="181"/>
    </row>
    <row r="2637">
      <c r="B2637" s="292"/>
      <c r="C2637" s="181"/>
      <c r="D2637" s="181"/>
      <c r="E2637" s="181"/>
      <c r="F2637" s="181"/>
      <c r="G2637" s="181"/>
      <c r="H2637" s="181"/>
      <c r="I2637" s="181"/>
      <c r="J2637" s="181"/>
      <c r="K2637" s="181"/>
      <c r="L2637" s="181"/>
      <c r="M2637" s="181"/>
      <c r="N2637" s="181"/>
      <c r="O2637" s="181"/>
      <c r="P2637" s="181"/>
    </row>
    <row r="2638">
      <c r="B2638" s="292"/>
      <c r="C2638" s="181"/>
      <c r="D2638" s="181"/>
      <c r="E2638" s="181"/>
      <c r="F2638" s="181"/>
      <c r="G2638" s="181"/>
      <c r="H2638" s="181"/>
      <c r="I2638" s="181"/>
      <c r="J2638" s="181"/>
      <c r="K2638" s="181"/>
      <c r="L2638" s="181"/>
      <c r="M2638" s="181"/>
      <c r="N2638" s="181"/>
      <c r="O2638" s="181"/>
      <c r="P2638" s="181"/>
    </row>
    <row r="2639">
      <c r="B2639" s="292"/>
      <c r="C2639" s="181"/>
      <c r="D2639" s="181"/>
      <c r="E2639" s="181"/>
      <c r="F2639" s="181"/>
      <c r="G2639" s="181"/>
      <c r="H2639" s="181"/>
      <c r="I2639" s="181"/>
      <c r="J2639" s="181"/>
      <c r="K2639" s="181"/>
      <c r="L2639" s="181"/>
      <c r="M2639" s="181"/>
      <c r="N2639" s="181"/>
      <c r="O2639" s="181"/>
      <c r="P2639" s="181"/>
    </row>
    <row r="2640">
      <c r="B2640" s="292"/>
      <c r="C2640" s="181"/>
      <c r="D2640" s="181"/>
      <c r="E2640" s="181"/>
      <c r="F2640" s="181"/>
      <c r="G2640" s="181"/>
      <c r="H2640" s="181"/>
      <c r="I2640" s="181"/>
      <c r="J2640" s="181"/>
      <c r="K2640" s="181"/>
      <c r="L2640" s="181"/>
      <c r="M2640" s="181"/>
      <c r="N2640" s="181"/>
      <c r="O2640" s="181"/>
      <c r="P2640" s="181"/>
    </row>
    <row r="2641">
      <c r="B2641" s="292"/>
      <c r="C2641" s="181"/>
      <c r="D2641" s="181"/>
      <c r="E2641" s="181"/>
      <c r="F2641" s="181"/>
      <c r="G2641" s="181"/>
      <c r="H2641" s="181"/>
      <c r="I2641" s="181"/>
      <c r="J2641" s="181"/>
      <c r="K2641" s="181"/>
      <c r="L2641" s="181"/>
      <c r="M2641" s="181"/>
      <c r="N2641" s="181"/>
      <c r="O2641" s="181"/>
      <c r="P2641" s="181"/>
    </row>
    <row r="2642">
      <c r="B2642" s="292"/>
      <c r="C2642" s="181"/>
      <c r="D2642" s="181"/>
      <c r="E2642" s="181"/>
      <c r="F2642" s="181"/>
      <c r="G2642" s="181"/>
      <c r="H2642" s="181"/>
      <c r="I2642" s="181"/>
      <c r="J2642" s="181"/>
      <c r="K2642" s="181"/>
      <c r="L2642" s="181"/>
      <c r="M2642" s="181"/>
      <c r="N2642" s="181"/>
      <c r="O2642" s="181"/>
      <c r="P2642" s="181"/>
    </row>
    <row r="2643">
      <c r="B2643" s="292"/>
      <c r="C2643" s="181"/>
      <c r="D2643" s="181"/>
      <c r="E2643" s="181"/>
      <c r="F2643" s="181"/>
      <c r="G2643" s="181"/>
      <c r="H2643" s="181"/>
      <c r="I2643" s="181"/>
      <c r="J2643" s="181"/>
      <c r="K2643" s="181"/>
      <c r="L2643" s="181"/>
      <c r="M2643" s="181"/>
      <c r="N2643" s="181"/>
      <c r="O2643" s="181"/>
      <c r="P2643" s="181"/>
    </row>
    <row r="2644">
      <c r="B2644" s="292"/>
      <c r="C2644" s="181"/>
      <c r="D2644" s="181"/>
      <c r="E2644" s="181"/>
      <c r="F2644" s="181"/>
      <c r="G2644" s="181"/>
      <c r="H2644" s="181"/>
      <c r="I2644" s="181"/>
      <c r="J2644" s="181"/>
      <c r="K2644" s="181"/>
      <c r="L2644" s="181"/>
      <c r="M2644" s="181"/>
      <c r="N2644" s="181"/>
      <c r="O2644" s="181"/>
      <c r="P2644" s="181"/>
    </row>
    <row r="2645">
      <c r="B2645" s="292"/>
      <c r="C2645" s="181"/>
      <c r="D2645" s="181"/>
      <c r="E2645" s="181"/>
      <c r="F2645" s="181"/>
      <c r="G2645" s="181"/>
      <c r="H2645" s="181"/>
      <c r="I2645" s="181"/>
      <c r="J2645" s="181"/>
      <c r="K2645" s="181"/>
      <c r="L2645" s="181"/>
      <c r="M2645" s="181"/>
      <c r="N2645" s="181"/>
      <c r="O2645" s="181"/>
      <c r="P2645" s="181"/>
    </row>
    <row r="2646">
      <c r="B2646" s="292"/>
      <c r="C2646" s="181"/>
      <c r="D2646" s="181"/>
      <c r="E2646" s="181"/>
      <c r="F2646" s="181"/>
      <c r="G2646" s="181"/>
      <c r="H2646" s="181"/>
      <c r="I2646" s="181"/>
      <c r="J2646" s="181"/>
      <c r="K2646" s="181"/>
      <c r="L2646" s="181"/>
      <c r="M2646" s="181"/>
      <c r="N2646" s="181"/>
      <c r="O2646" s="181"/>
      <c r="P2646" s="181"/>
    </row>
    <row r="2647">
      <c r="B2647" s="292"/>
      <c r="C2647" s="181"/>
      <c r="D2647" s="181"/>
      <c r="E2647" s="181"/>
      <c r="F2647" s="181"/>
      <c r="G2647" s="181"/>
      <c r="H2647" s="181"/>
      <c r="I2647" s="181"/>
      <c r="J2647" s="181"/>
      <c r="K2647" s="181"/>
      <c r="L2647" s="181"/>
      <c r="M2647" s="181"/>
      <c r="N2647" s="181"/>
      <c r="O2647" s="181"/>
      <c r="P2647" s="181"/>
    </row>
    <row r="2648">
      <c r="B2648" s="292"/>
      <c r="C2648" s="181"/>
      <c r="D2648" s="181"/>
      <c r="E2648" s="181"/>
      <c r="F2648" s="181"/>
      <c r="G2648" s="181"/>
      <c r="H2648" s="181"/>
      <c r="I2648" s="181"/>
      <c r="J2648" s="181"/>
      <c r="K2648" s="181"/>
      <c r="L2648" s="181"/>
      <c r="M2648" s="181"/>
      <c r="N2648" s="181"/>
      <c r="O2648" s="181"/>
      <c r="P2648" s="181"/>
    </row>
    <row r="2649">
      <c r="B2649" s="292"/>
      <c r="C2649" s="181"/>
      <c r="D2649" s="181"/>
      <c r="E2649" s="181"/>
      <c r="F2649" s="181"/>
      <c r="G2649" s="181"/>
      <c r="H2649" s="181"/>
      <c r="I2649" s="181"/>
      <c r="J2649" s="181"/>
      <c r="K2649" s="181"/>
      <c r="L2649" s="181"/>
      <c r="M2649" s="181"/>
      <c r="N2649" s="181"/>
      <c r="O2649" s="181"/>
      <c r="P2649" s="181"/>
    </row>
    <row r="2650">
      <c r="B2650" s="292"/>
      <c r="C2650" s="181"/>
      <c r="D2650" s="181"/>
      <c r="E2650" s="181"/>
      <c r="F2650" s="181"/>
      <c r="G2650" s="181"/>
      <c r="H2650" s="181"/>
      <c r="I2650" s="181"/>
      <c r="J2650" s="181"/>
      <c r="K2650" s="181"/>
      <c r="L2650" s="181"/>
      <c r="M2650" s="181"/>
      <c r="N2650" s="181"/>
      <c r="O2650" s="181"/>
      <c r="P2650" s="181"/>
    </row>
    <row r="2651">
      <c r="B2651" s="292"/>
      <c r="C2651" s="181"/>
      <c r="D2651" s="181"/>
      <c r="E2651" s="181"/>
      <c r="F2651" s="181"/>
      <c r="G2651" s="181"/>
      <c r="H2651" s="181"/>
      <c r="I2651" s="181"/>
      <c r="J2651" s="181"/>
      <c r="K2651" s="181"/>
      <c r="L2651" s="181"/>
      <c r="M2651" s="181"/>
      <c r="N2651" s="181"/>
      <c r="O2651" s="181"/>
      <c r="P2651" s="181"/>
    </row>
    <row r="2652">
      <c r="B2652" s="292"/>
      <c r="C2652" s="181"/>
      <c r="D2652" s="181"/>
      <c r="E2652" s="181"/>
      <c r="F2652" s="181"/>
      <c r="G2652" s="181"/>
      <c r="H2652" s="181"/>
      <c r="I2652" s="181"/>
      <c r="J2652" s="181"/>
      <c r="K2652" s="181"/>
      <c r="L2652" s="181"/>
      <c r="M2652" s="181"/>
      <c r="N2652" s="181"/>
      <c r="O2652" s="181"/>
      <c r="P2652" s="181"/>
    </row>
    <row r="2653">
      <c r="B2653" s="292"/>
      <c r="C2653" s="181"/>
      <c r="D2653" s="181"/>
      <c r="E2653" s="181"/>
      <c r="F2653" s="181"/>
      <c r="G2653" s="181"/>
      <c r="H2653" s="181"/>
      <c r="I2653" s="181"/>
      <c r="J2653" s="181"/>
      <c r="K2653" s="181"/>
      <c r="L2653" s="181"/>
      <c r="M2653" s="181"/>
      <c r="N2653" s="181"/>
      <c r="O2653" s="181"/>
      <c r="P2653" s="181"/>
    </row>
    <row r="2654">
      <c r="B2654" s="292"/>
      <c r="C2654" s="181"/>
      <c r="D2654" s="181"/>
      <c r="E2654" s="181"/>
      <c r="F2654" s="181"/>
      <c r="G2654" s="181"/>
      <c r="H2654" s="181"/>
      <c r="I2654" s="181"/>
      <c r="J2654" s="181"/>
      <c r="K2654" s="181"/>
      <c r="L2654" s="181"/>
      <c r="M2654" s="181"/>
      <c r="N2654" s="181"/>
      <c r="O2654" s="181"/>
      <c r="P2654" s="181"/>
    </row>
    <row r="2655">
      <c r="B2655" s="292"/>
      <c r="C2655" s="181"/>
      <c r="D2655" s="181"/>
      <c r="E2655" s="181"/>
      <c r="F2655" s="181"/>
      <c r="G2655" s="181"/>
      <c r="H2655" s="181"/>
      <c r="I2655" s="181"/>
      <c r="J2655" s="181"/>
      <c r="K2655" s="181"/>
      <c r="L2655" s="181"/>
      <c r="M2655" s="181"/>
      <c r="N2655" s="181"/>
      <c r="O2655" s="181"/>
      <c r="P2655" s="181"/>
    </row>
    <row r="2656">
      <c r="B2656" s="292"/>
      <c r="C2656" s="181"/>
      <c r="D2656" s="181"/>
      <c r="E2656" s="181"/>
      <c r="F2656" s="181"/>
      <c r="G2656" s="181"/>
      <c r="H2656" s="181"/>
      <c r="I2656" s="181"/>
      <c r="J2656" s="181"/>
      <c r="K2656" s="181"/>
      <c r="L2656" s="181"/>
      <c r="M2656" s="181"/>
      <c r="N2656" s="181"/>
      <c r="O2656" s="181"/>
      <c r="P2656" s="181"/>
    </row>
    <row r="2657">
      <c r="B2657" s="292"/>
      <c r="C2657" s="181"/>
      <c r="D2657" s="181"/>
      <c r="E2657" s="181"/>
      <c r="F2657" s="181"/>
      <c r="G2657" s="181"/>
      <c r="H2657" s="181"/>
      <c r="I2657" s="181"/>
      <c r="J2657" s="181"/>
      <c r="K2657" s="181"/>
      <c r="L2657" s="181"/>
      <c r="M2657" s="181"/>
      <c r="N2657" s="181"/>
      <c r="O2657" s="181"/>
      <c r="P2657" s="181"/>
    </row>
    <row r="2658">
      <c r="B2658" s="292"/>
      <c r="C2658" s="181"/>
      <c r="D2658" s="181"/>
      <c r="E2658" s="181"/>
      <c r="F2658" s="181"/>
      <c r="G2658" s="181"/>
      <c r="H2658" s="181"/>
      <c r="I2658" s="181"/>
      <c r="J2658" s="181"/>
      <c r="K2658" s="181"/>
      <c r="L2658" s="181"/>
      <c r="M2658" s="181"/>
      <c r="N2658" s="181"/>
      <c r="O2658" s="181"/>
      <c r="P2658" s="181"/>
    </row>
    <row r="2659">
      <c r="B2659" s="292"/>
      <c r="C2659" s="181"/>
      <c r="D2659" s="181"/>
      <c r="E2659" s="181"/>
      <c r="F2659" s="181"/>
      <c r="G2659" s="181"/>
      <c r="H2659" s="181"/>
      <c r="I2659" s="181"/>
      <c r="J2659" s="181"/>
      <c r="K2659" s="181"/>
      <c r="L2659" s="181"/>
      <c r="M2659" s="181"/>
      <c r="N2659" s="181"/>
      <c r="O2659" s="181"/>
      <c r="P2659" s="181"/>
    </row>
    <row r="2660">
      <c r="B2660" s="292"/>
      <c r="C2660" s="181"/>
      <c r="D2660" s="181"/>
      <c r="E2660" s="181"/>
      <c r="F2660" s="181"/>
      <c r="G2660" s="181"/>
      <c r="H2660" s="181"/>
      <c r="I2660" s="181"/>
      <c r="J2660" s="181"/>
      <c r="K2660" s="181"/>
      <c r="L2660" s="181"/>
      <c r="M2660" s="181"/>
      <c r="N2660" s="181"/>
      <c r="O2660" s="181"/>
      <c r="P2660" s="181"/>
    </row>
    <row r="2661">
      <c r="B2661" s="292"/>
      <c r="C2661" s="181"/>
      <c r="D2661" s="181"/>
      <c r="E2661" s="181"/>
      <c r="F2661" s="181"/>
      <c r="G2661" s="181"/>
      <c r="H2661" s="181"/>
      <c r="I2661" s="181"/>
      <c r="J2661" s="181"/>
      <c r="K2661" s="181"/>
      <c r="L2661" s="181"/>
      <c r="M2661" s="181"/>
      <c r="N2661" s="181"/>
      <c r="O2661" s="181"/>
      <c r="P2661" s="181"/>
    </row>
    <row r="2662">
      <c r="B2662" s="292"/>
      <c r="C2662" s="181"/>
      <c r="D2662" s="181"/>
      <c r="E2662" s="181"/>
      <c r="F2662" s="181"/>
      <c r="G2662" s="181"/>
      <c r="H2662" s="181"/>
      <c r="I2662" s="181"/>
      <c r="J2662" s="181"/>
      <c r="K2662" s="181"/>
      <c r="L2662" s="181"/>
      <c r="M2662" s="181"/>
      <c r="N2662" s="181"/>
      <c r="O2662" s="181"/>
      <c r="P2662" s="181"/>
    </row>
    <row r="2663">
      <c r="B2663" s="292"/>
      <c r="C2663" s="181"/>
      <c r="D2663" s="181"/>
      <c r="E2663" s="181"/>
      <c r="F2663" s="181"/>
      <c r="G2663" s="181"/>
      <c r="H2663" s="181"/>
      <c r="I2663" s="181"/>
      <c r="J2663" s="181"/>
      <c r="K2663" s="181"/>
      <c r="L2663" s="181"/>
      <c r="M2663" s="181"/>
      <c r="N2663" s="181"/>
      <c r="O2663" s="181"/>
      <c r="P2663" s="181"/>
    </row>
    <row r="2664">
      <c r="B2664" s="292"/>
      <c r="C2664" s="181"/>
      <c r="D2664" s="181"/>
      <c r="E2664" s="181"/>
      <c r="F2664" s="181"/>
      <c r="G2664" s="181"/>
      <c r="H2664" s="181"/>
      <c r="I2664" s="181"/>
      <c r="J2664" s="181"/>
      <c r="K2664" s="181"/>
      <c r="L2664" s="181"/>
      <c r="M2664" s="181"/>
      <c r="N2664" s="181"/>
      <c r="O2664" s="181"/>
      <c r="P2664" s="181"/>
    </row>
    <row r="2665">
      <c r="B2665" s="292"/>
      <c r="C2665" s="181"/>
      <c r="D2665" s="181"/>
      <c r="E2665" s="181"/>
      <c r="F2665" s="181"/>
      <c r="G2665" s="181"/>
      <c r="H2665" s="181"/>
      <c r="I2665" s="181"/>
      <c r="J2665" s="181"/>
      <c r="K2665" s="181"/>
      <c r="L2665" s="181"/>
      <c r="M2665" s="181"/>
      <c r="N2665" s="181"/>
      <c r="O2665" s="181"/>
      <c r="P2665" s="181"/>
    </row>
    <row r="2666">
      <c r="B2666" s="292"/>
      <c r="C2666" s="181"/>
      <c r="D2666" s="181"/>
      <c r="E2666" s="181"/>
      <c r="F2666" s="181"/>
      <c r="G2666" s="181"/>
      <c r="H2666" s="181"/>
      <c r="I2666" s="181"/>
      <c r="J2666" s="181"/>
      <c r="K2666" s="181"/>
      <c r="L2666" s="181"/>
      <c r="M2666" s="181"/>
      <c r="N2666" s="181"/>
      <c r="O2666" s="181"/>
      <c r="P2666" s="181"/>
    </row>
    <row r="2667">
      <c r="B2667" s="292"/>
      <c r="C2667" s="181"/>
      <c r="D2667" s="181"/>
      <c r="E2667" s="181"/>
      <c r="F2667" s="181"/>
      <c r="G2667" s="181"/>
      <c r="H2667" s="181"/>
      <c r="I2667" s="181"/>
      <c r="J2667" s="181"/>
      <c r="K2667" s="181"/>
      <c r="L2667" s="181"/>
      <c r="M2667" s="181"/>
      <c r="N2667" s="181"/>
      <c r="O2667" s="181"/>
      <c r="P2667" s="181"/>
    </row>
    <row r="2668">
      <c r="B2668" s="292"/>
      <c r="C2668" s="181"/>
      <c r="D2668" s="181"/>
      <c r="E2668" s="181"/>
      <c r="F2668" s="181"/>
      <c r="G2668" s="181"/>
      <c r="H2668" s="181"/>
      <c r="I2668" s="181"/>
      <c r="J2668" s="181"/>
      <c r="K2668" s="181"/>
      <c r="L2668" s="181"/>
      <c r="M2668" s="181"/>
      <c r="N2668" s="181"/>
      <c r="O2668" s="181"/>
      <c r="P2668" s="181"/>
    </row>
    <row r="2669">
      <c r="B2669" s="292"/>
      <c r="C2669" s="181"/>
      <c r="D2669" s="181"/>
      <c r="E2669" s="181"/>
      <c r="F2669" s="181"/>
      <c r="G2669" s="181"/>
      <c r="H2669" s="181"/>
      <c r="I2669" s="181"/>
      <c r="J2669" s="181"/>
      <c r="K2669" s="181"/>
      <c r="L2669" s="181"/>
      <c r="M2669" s="181"/>
      <c r="N2669" s="181"/>
      <c r="O2669" s="181"/>
      <c r="P2669" s="181"/>
    </row>
    <row r="2670">
      <c r="B2670" s="292"/>
      <c r="C2670" s="181"/>
      <c r="D2670" s="181"/>
      <c r="E2670" s="181"/>
      <c r="F2670" s="181"/>
      <c r="G2670" s="181"/>
      <c r="H2670" s="181"/>
      <c r="I2670" s="181"/>
      <c r="J2670" s="181"/>
      <c r="K2670" s="181"/>
      <c r="L2670" s="181"/>
      <c r="M2670" s="181"/>
      <c r="N2670" s="181"/>
      <c r="O2670" s="181"/>
      <c r="P2670" s="181"/>
    </row>
    <row r="2671">
      <c r="B2671" s="292"/>
      <c r="C2671" s="181"/>
      <c r="D2671" s="181"/>
      <c r="E2671" s="181"/>
      <c r="F2671" s="181"/>
      <c r="G2671" s="181"/>
      <c r="H2671" s="181"/>
      <c r="I2671" s="181"/>
      <c r="J2671" s="181"/>
      <c r="K2671" s="181"/>
      <c r="L2671" s="181"/>
      <c r="M2671" s="181"/>
      <c r="N2671" s="181"/>
      <c r="O2671" s="181"/>
      <c r="P2671" s="181"/>
    </row>
    <row r="2672">
      <c r="B2672" s="292"/>
      <c r="C2672" s="181"/>
      <c r="D2672" s="181"/>
      <c r="E2672" s="181"/>
      <c r="F2672" s="181"/>
      <c r="G2672" s="181"/>
      <c r="H2672" s="181"/>
      <c r="I2672" s="181"/>
      <c r="J2672" s="181"/>
      <c r="K2672" s="181"/>
      <c r="L2672" s="181"/>
      <c r="M2672" s="181"/>
      <c r="N2672" s="181"/>
      <c r="O2672" s="181"/>
      <c r="P2672" s="181"/>
    </row>
    <row r="2673">
      <c r="B2673" s="292"/>
      <c r="C2673" s="181"/>
      <c r="D2673" s="181"/>
      <c r="E2673" s="181"/>
      <c r="F2673" s="181"/>
      <c r="G2673" s="181"/>
      <c r="H2673" s="181"/>
      <c r="I2673" s="181"/>
      <c r="J2673" s="181"/>
      <c r="K2673" s="181"/>
      <c r="L2673" s="181"/>
      <c r="M2673" s="181"/>
      <c r="N2673" s="181"/>
      <c r="O2673" s="181"/>
      <c r="P2673" s="181"/>
    </row>
    <row r="2674">
      <c r="B2674" s="292"/>
      <c r="C2674" s="181"/>
      <c r="D2674" s="181"/>
      <c r="E2674" s="181"/>
      <c r="F2674" s="181"/>
      <c r="G2674" s="181"/>
      <c r="H2674" s="181"/>
      <c r="I2674" s="181"/>
      <c r="J2674" s="181"/>
      <c r="K2674" s="181"/>
      <c r="L2674" s="181"/>
      <c r="M2674" s="181"/>
      <c r="N2674" s="181"/>
      <c r="O2674" s="181"/>
      <c r="P2674" s="181"/>
    </row>
    <row r="2675">
      <c r="B2675" s="292"/>
      <c r="C2675" s="181"/>
      <c r="D2675" s="181"/>
      <c r="E2675" s="181"/>
      <c r="F2675" s="181"/>
      <c r="G2675" s="181"/>
      <c r="H2675" s="181"/>
      <c r="I2675" s="181"/>
      <c r="J2675" s="181"/>
      <c r="K2675" s="181"/>
      <c r="L2675" s="181"/>
      <c r="M2675" s="181"/>
      <c r="N2675" s="181"/>
      <c r="O2675" s="181"/>
      <c r="P2675" s="181"/>
    </row>
    <row r="2676">
      <c r="B2676" s="292"/>
      <c r="C2676" s="181"/>
      <c r="D2676" s="181"/>
      <c r="E2676" s="181"/>
      <c r="F2676" s="181"/>
      <c r="G2676" s="181"/>
      <c r="H2676" s="181"/>
      <c r="I2676" s="181"/>
      <c r="J2676" s="181"/>
      <c r="K2676" s="181"/>
      <c r="L2676" s="181"/>
      <c r="M2676" s="181"/>
      <c r="N2676" s="181"/>
      <c r="O2676" s="181"/>
      <c r="P2676" s="181"/>
    </row>
    <row r="2677">
      <c r="B2677" s="292"/>
      <c r="C2677" s="181"/>
      <c r="D2677" s="181"/>
      <c r="E2677" s="181"/>
      <c r="F2677" s="181"/>
      <c r="G2677" s="181"/>
      <c r="H2677" s="181"/>
      <c r="I2677" s="181"/>
      <c r="J2677" s="181"/>
      <c r="K2677" s="181"/>
      <c r="L2677" s="181"/>
      <c r="M2677" s="181"/>
      <c r="N2677" s="181"/>
      <c r="O2677" s="181"/>
      <c r="P2677" s="181"/>
    </row>
    <row r="2678">
      <c r="B2678" s="292"/>
      <c r="C2678" s="181"/>
      <c r="D2678" s="181"/>
      <c r="E2678" s="181"/>
      <c r="F2678" s="181"/>
      <c r="G2678" s="181"/>
      <c r="H2678" s="181"/>
      <c r="I2678" s="181"/>
      <c r="J2678" s="181"/>
      <c r="K2678" s="181"/>
      <c r="L2678" s="181"/>
      <c r="M2678" s="181"/>
      <c r="N2678" s="181"/>
      <c r="O2678" s="181"/>
      <c r="P2678" s="181"/>
    </row>
    <row r="2679">
      <c r="B2679" s="292"/>
      <c r="C2679" s="181"/>
      <c r="D2679" s="181"/>
      <c r="E2679" s="181"/>
      <c r="F2679" s="181"/>
      <c r="G2679" s="181"/>
      <c r="H2679" s="181"/>
      <c r="I2679" s="181"/>
      <c r="J2679" s="181"/>
      <c r="K2679" s="181"/>
      <c r="L2679" s="181"/>
      <c r="M2679" s="181"/>
      <c r="N2679" s="181"/>
      <c r="O2679" s="181"/>
      <c r="P2679" s="181"/>
    </row>
    <row r="2680">
      <c r="B2680" s="292"/>
      <c r="C2680" s="181"/>
      <c r="D2680" s="181"/>
      <c r="E2680" s="181"/>
      <c r="F2680" s="181"/>
      <c r="G2680" s="181"/>
      <c r="H2680" s="181"/>
      <c r="I2680" s="181"/>
      <c r="J2680" s="181"/>
      <c r="K2680" s="181"/>
      <c r="L2680" s="181"/>
      <c r="M2680" s="181"/>
      <c r="N2680" s="181"/>
      <c r="O2680" s="181"/>
      <c r="P2680" s="181"/>
    </row>
    <row r="2681">
      <c r="B2681" s="292"/>
      <c r="C2681" s="181"/>
      <c r="D2681" s="181"/>
      <c r="E2681" s="181"/>
      <c r="F2681" s="181"/>
      <c r="G2681" s="181"/>
      <c r="H2681" s="181"/>
      <c r="I2681" s="181"/>
      <c r="J2681" s="181"/>
      <c r="K2681" s="181"/>
      <c r="L2681" s="181"/>
      <c r="M2681" s="181"/>
      <c r="N2681" s="181"/>
      <c r="O2681" s="181"/>
      <c r="P2681" s="181"/>
    </row>
    <row r="2682">
      <c r="B2682" s="292"/>
      <c r="C2682" s="181"/>
      <c r="D2682" s="181"/>
      <c r="E2682" s="181"/>
      <c r="F2682" s="181"/>
      <c r="G2682" s="181"/>
      <c r="H2682" s="181"/>
      <c r="I2682" s="181"/>
      <c r="J2682" s="181"/>
      <c r="K2682" s="181"/>
      <c r="L2682" s="181"/>
      <c r="M2682" s="181"/>
      <c r="N2682" s="181"/>
      <c r="O2682" s="181"/>
      <c r="P2682" s="181"/>
    </row>
    <row r="2683">
      <c r="B2683" s="292"/>
      <c r="C2683" s="181"/>
      <c r="D2683" s="181"/>
      <c r="E2683" s="181"/>
      <c r="F2683" s="181"/>
      <c r="G2683" s="181"/>
      <c r="H2683" s="181"/>
      <c r="I2683" s="181"/>
      <c r="J2683" s="181"/>
      <c r="K2683" s="181"/>
      <c r="L2683" s="181"/>
      <c r="M2683" s="181"/>
      <c r="N2683" s="181"/>
      <c r="O2683" s="181"/>
      <c r="P2683" s="181"/>
    </row>
    <row r="2684">
      <c r="B2684" s="292"/>
      <c r="C2684" s="181"/>
      <c r="D2684" s="181"/>
      <c r="E2684" s="181"/>
      <c r="F2684" s="181"/>
      <c r="G2684" s="181"/>
      <c r="H2684" s="181"/>
      <c r="I2684" s="181"/>
      <c r="J2684" s="181"/>
      <c r="K2684" s="181"/>
      <c r="L2684" s="181"/>
      <c r="M2684" s="181"/>
      <c r="N2684" s="181"/>
      <c r="O2684" s="181"/>
      <c r="P2684" s="181"/>
    </row>
    <row r="2685">
      <c r="B2685" s="292"/>
      <c r="C2685" s="181"/>
      <c r="D2685" s="181"/>
      <c r="E2685" s="181"/>
      <c r="F2685" s="181"/>
      <c r="G2685" s="181"/>
      <c r="H2685" s="181"/>
      <c r="I2685" s="181"/>
      <c r="J2685" s="181"/>
      <c r="K2685" s="181"/>
      <c r="L2685" s="181"/>
      <c r="M2685" s="181"/>
      <c r="N2685" s="181"/>
      <c r="O2685" s="181"/>
      <c r="P2685" s="181"/>
    </row>
    <row r="2686">
      <c r="B2686" s="292"/>
      <c r="C2686" s="181"/>
      <c r="D2686" s="181"/>
      <c r="E2686" s="181"/>
      <c r="F2686" s="181"/>
      <c r="G2686" s="181"/>
      <c r="H2686" s="181"/>
      <c r="I2686" s="181"/>
      <c r="J2686" s="181"/>
      <c r="K2686" s="181"/>
      <c r="L2686" s="181"/>
      <c r="M2686" s="181"/>
      <c r="N2686" s="181"/>
      <c r="O2686" s="181"/>
      <c r="P2686" s="181"/>
    </row>
    <row r="2687">
      <c r="B2687" s="292"/>
      <c r="C2687" s="181"/>
      <c r="D2687" s="181"/>
      <c r="E2687" s="181"/>
      <c r="F2687" s="181"/>
      <c r="G2687" s="181"/>
      <c r="H2687" s="181"/>
      <c r="I2687" s="181"/>
      <c r="J2687" s="181"/>
      <c r="K2687" s="181"/>
      <c r="L2687" s="181"/>
      <c r="M2687" s="181"/>
      <c r="N2687" s="181"/>
      <c r="O2687" s="181"/>
      <c r="P2687" s="181"/>
    </row>
    <row r="2688">
      <c r="B2688" s="292"/>
      <c r="C2688" s="181"/>
      <c r="D2688" s="181"/>
      <c r="E2688" s="181"/>
      <c r="F2688" s="181"/>
      <c r="G2688" s="181"/>
      <c r="H2688" s="181"/>
      <c r="I2688" s="181"/>
      <c r="J2688" s="181"/>
      <c r="K2688" s="181"/>
      <c r="L2688" s="181"/>
      <c r="M2688" s="181"/>
      <c r="N2688" s="181"/>
      <c r="O2688" s="181"/>
      <c r="P2688" s="181"/>
    </row>
    <row r="2689">
      <c r="B2689" s="292"/>
      <c r="C2689" s="181"/>
      <c r="D2689" s="181"/>
      <c r="E2689" s="181"/>
      <c r="F2689" s="181"/>
      <c r="G2689" s="181"/>
      <c r="H2689" s="181"/>
      <c r="I2689" s="181"/>
      <c r="J2689" s="181"/>
      <c r="K2689" s="181"/>
      <c r="L2689" s="181"/>
      <c r="M2689" s="181"/>
      <c r="N2689" s="181"/>
      <c r="O2689" s="181"/>
      <c r="P2689" s="181"/>
    </row>
    <row r="2690">
      <c r="B2690" s="292"/>
      <c r="C2690" s="181"/>
      <c r="D2690" s="181"/>
      <c r="E2690" s="181"/>
      <c r="F2690" s="181"/>
      <c r="G2690" s="181"/>
      <c r="H2690" s="181"/>
      <c r="I2690" s="181"/>
      <c r="J2690" s="181"/>
      <c r="K2690" s="181"/>
      <c r="L2690" s="181"/>
      <c r="M2690" s="181"/>
      <c r="N2690" s="181"/>
      <c r="O2690" s="181"/>
      <c r="P2690" s="181"/>
    </row>
    <row r="2691">
      <c r="B2691" s="292"/>
      <c r="C2691" s="181"/>
      <c r="D2691" s="181"/>
      <c r="E2691" s="181"/>
      <c r="F2691" s="181"/>
      <c r="G2691" s="181"/>
      <c r="H2691" s="181"/>
      <c r="I2691" s="181"/>
      <c r="J2691" s="181"/>
      <c r="K2691" s="181"/>
      <c r="L2691" s="181"/>
      <c r="M2691" s="181"/>
      <c r="N2691" s="181"/>
      <c r="O2691" s="181"/>
      <c r="P2691" s="181"/>
    </row>
    <row r="2692">
      <c r="B2692" s="292"/>
      <c r="C2692" s="181"/>
      <c r="D2692" s="181"/>
      <c r="E2692" s="181"/>
      <c r="F2692" s="181"/>
      <c r="G2692" s="181"/>
      <c r="H2692" s="181"/>
      <c r="I2692" s="181"/>
      <c r="J2692" s="181"/>
      <c r="K2692" s="181"/>
      <c r="L2692" s="181"/>
      <c r="M2692" s="181"/>
      <c r="N2692" s="181"/>
      <c r="O2692" s="181"/>
      <c r="P2692" s="181"/>
    </row>
    <row r="2693">
      <c r="B2693" s="292"/>
      <c r="C2693" s="181"/>
      <c r="D2693" s="181"/>
      <c r="E2693" s="181"/>
      <c r="F2693" s="181"/>
      <c r="G2693" s="181"/>
      <c r="H2693" s="181"/>
      <c r="I2693" s="181"/>
      <c r="J2693" s="181"/>
      <c r="K2693" s="181"/>
      <c r="L2693" s="181"/>
      <c r="M2693" s="181"/>
      <c r="N2693" s="181"/>
      <c r="O2693" s="181"/>
      <c r="P2693" s="181"/>
    </row>
    <row r="2694">
      <c r="B2694" s="292"/>
      <c r="C2694" s="181"/>
      <c r="D2694" s="181"/>
      <c r="E2694" s="181"/>
      <c r="F2694" s="181"/>
      <c r="G2694" s="181"/>
      <c r="H2694" s="181"/>
      <c r="I2694" s="181"/>
      <c r="J2694" s="181"/>
      <c r="K2694" s="181"/>
      <c r="L2694" s="181"/>
      <c r="M2694" s="181"/>
      <c r="N2694" s="181"/>
      <c r="O2694" s="181"/>
      <c r="P2694" s="181"/>
    </row>
    <row r="2695">
      <c r="B2695" s="292"/>
      <c r="C2695" s="181"/>
      <c r="D2695" s="181"/>
      <c r="E2695" s="181"/>
      <c r="F2695" s="181"/>
      <c r="G2695" s="181"/>
      <c r="H2695" s="181"/>
      <c r="I2695" s="181"/>
      <c r="J2695" s="181"/>
      <c r="K2695" s="181"/>
      <c r="L2695" s="181"/>
      <c r="M2695" s="181"/>
      <c r="N2695" s="181"/>
      <c r="O2695" s="181"/>
      <c r="P2695" s="181"/>
    </row>
    <row r="2696">
      <c r="B2696" s="292"/>
      <c r="C2696" s="181"/>
      <c r="D2696" s="181"/>
      <c r="E2696" s="181"/>
      <c r="F2696" s="181"/>
      <c r="G2696" s="181"/>
      <c r="H2696" s="181"/>
      <c r="I2696" s="181"/>
      <c r="J2696" s="181"/>
      <c r="K2696" s="181"/>
      <c r="L2696" s="181"/>
      <c r="M2696" s="181"/>
      <c r="N2696" s="181"/>
      <c r="O2696" s="181"/>
      <c r="P2696" s="181"/>
    </row>
    <row r="2697">
      <c r="B2697" s="292"/>
      <c r="C2697" s="181"/>
      <c r="D2697" s="181"/>
      <c r="E2697" s="181"/>
      <c r="F2697" s="181"/>
      <c r="G2697" s="181"/>
      <c r="H2697" s="181"/>
      <c r="I2697" s="181"/>
      <c r="J2697" s="181"/>
      <c r="K2697" s="181"/>
      <c r="L2697" s="181"/>
      <c r="M2697" s="181"/>
      <c r="N2697" s="181"/>
      <c r="O2697" s="181"/>
      <c r="P2697" s="181"/>
    </row>
    <row r="2698">
      <c r="B2698" s="292"/>
      <c r="C2698" s="181"/>
      <c r="D2698" s="181"/>
      <c r="E2698" s="181"/>
      <c r="F2698" s="181"/>
      <c r="G2698" s="181"/>
      <c r="H2698" s="181"/>
      <c r="I2698" s="181"/>
      <c r="J2698" s="181"/>
      <c r="K2698" s="181"/>
      <c r="L2698" s="181"/>
      <c r="M2698" s="181"/>
      <c r="N2698" s="181"/>
      <c r="O2698" s="181"/>
      <c r="P2698" s="181"/>
    </row>
    <row r="2699">
      <c r="B2699" s="292"/>
      <c r="C2699" s="181"/>
      <c r="D2699" s="181"/>
      <c r="E2699" s="181"/>
      <c r="F2699" s="181"/>
      <c r="G2699" s="181"/>
      <c r="H2699" s="181"/>
      <c r="I2699" s="181"/>
      <c r="J2699" s="181"/>
      <c r="K2699" s="181"/>
      <c r="L2699" s="181"/>
      <c r="M2699" s="181"/>
      <c r="N2699" s="181"/>
      <c r="O2699" s="181"/>
      <c r="P2699" s="181"/>
    </row>
    <row r="2700">
      <c r="B2700" s="292"/>
      <c r="C2700" s="181"/>
      <c r="D2700" s="181"/>
      <c r="E2700" s="181"/>
      <c r="F2700" s="181"/>
      <c r="G2700" s="181"/>
      <c r="H2700" s="181"/>
      <c r="I2700" s="181"/>
      <c r="J2700" s="181"/>
      <c r="K2700" s="181"/>
      <c r="L2700" s="181"/>
      <c r="M2700" s="181"/>
      <c r="N2700" s="181"/>
      <c r="O2700" s="181"/>
      <c r="P2700" s="181"/>
    </row>
    <row r="2701">
      <c r="B2701" s="292"/>
      <c r="C2701" s="181"/>
      <c r="D2701" s="181"/>
      <c r="E2701" s="181"/>
      <c r="F2701" s="181"/>
      <c r="G2701" s="181"/>
      <c r="H2701" s="181"/>
      <c r="I2701" s="181"/>
      <c r="J2701" s="181"/>
      <c r="K2701" s="181"/>
      <c r="L2701" s="181"/>
      <c r="M2701" s="181"/>
      <c r="N2701" s="181"/>
      <c r="O2701" s="181"/>
      <c r="P2701" s="181"/>
    </row>
    <row r="2702">
      <c r="B2702" s="292"/>
      <c r="C2702" s="181"/>
      <c r="D2702" s="181"/>
      <c r="E2702" s="181"/>
      <c r="F2702" s="181"/>
      <c r="G2702" s="181"/>
      <c r="H2702" s="181"/>
      <c r="I2702" s="181"/>
      <c r="J2702" s="181"/>
      <c r="K2702" s="181"/>
      <c r="L2702" s="181"/>
      <c r="M2702" s="181"/>
      <c r="N2702" s="181"/>
      <c r="O2702" s="181"/>
      <c r="P2702" s="181"/>
    </row>
    <row r="2703">
      <c r="B2703" s="292"/>
      <c r="C2703" s="181"/>
      <c r="D2703" s="181"/>
      <c r="E2703" s="181"/>
      <c r="F2703" s="181"/>
      <c r="G2703" s="181"/>
      <c r="H2703" s="181"/>
      <c r="I2703" s="181"/>
      <c r="J2703" s="181"/>
      <c r="K2703" s="181"/>
      <c r="L2703" s="181"/>
      <c r="M2703" s="181"/>
      <c r="N2703" s="181"/>
      <c r="O2703" s="181"/>
      <c r="P2703" s="181"/>
    </row>
    <row r="2704">
      <c r="B2704" s="292"/>
      <c r="C2704" s="181"/>
      <c r="D2704" s="181"/>
      <c r="E2704" s="181"/>
      <c r="F2704" s="181"/>
      <c r="G2704" s="181"/>
      <c r="H2704" s="181"/>
      <c r="I2704" s="181"/>
      <c r="J2704" s="181"/>
      <c r="K2704" s="181"/>
      <c r="L2704" s="181"/>
      <c r="M2704" s="181"/>
      <c r="N2704" s="181"/>
      <c r="O2704" s="181"/>
      <c r="P2704" s="181"/>
    </row>
    <row r="2705">
      <c r="B2705" s="292"/>
      <c r="C2705" s="181"/>
      <c r="D2705" s="181"/>
      <c r="E2705" s="181"/>
      <c r="F2705" s="181"/>
      <c r="G2705" s="181"/>
      <c r="H2705" s="181"/>
      <c r="I2705" s="181"/>
      <c r="J2705" s="181"/>
      <c r="K2705" s="181"/>
      <c r="L2705" s="181"/>
      <c r="M2705" s="181"/>
      <c r="N2705" s="181"/>
      <c r="O2705" s="181"/>
      <c r="P2705" s="181"/>
    </row>
    <row r="2706">
      <c r="B2706" s="292"/>
      <c r="C2706" s="181"/>
      <c r="D2706" s="181"/>
      <c r="E2706" s="181"/>
      <c r="F2706" s="181"/>
      <c r="G2706" s="181"/>
      <c r="H2706" s="181"/>
      <c r="I2706" s="181"/>
      <c r="J2706" s="181"/>
      <c r="K2706" s="181"/>
      <c r="L2706" s="181"/>
      <c r="M2706" s="181"/>
      <c r="N2706" s="181"/>
      <c r="O2706" s="181"/>
      <c r="P2706" s="181"/>
    </row>
    <row r="2707">
      <c r="B2707" s="292"/>
      <c r="C2707" s="181"/>
      <c r="D2707" s="181"/>
      <c r="E2707" s="181"/>
      <c r="F2707" s="181"/>
      <c r="G2707" s="181"/>
      <c r="H2707" s="181"/>
      <c r="I2707" s="181"/>
      <c r="J2707" s="181"/>
      <c r="K2707" s="181"/>
      <c r="L2707" s="181"/>
      <c r="M2707" s="181"/>
      <c r="N2707" s="181"/>
      <c r="O2707" s="181"/>
      <c r="P2707" s="181"/>
    </row>
    <row r="2708">
      <c r="B2708" s="292"/>
      <c r="C2708" s="181"/>
      <c r="D2708" s="181"/>
      <c r="E2708" s="181"/>
      <c r="F2708" s="181"/>
      <c r="G2708" s="181"/>
      <c r="H2708" s="181"/>
      <c r="I2708" s="181"/>
      <c r="J2708" s="181"/>
      <c r="K2708" s="181"/>
      <c r="L2708" s="181"/>
      <c r="M2708" s="181"/>
      <c r="N2708" s="181"/>
      <c r="O2708" s="181"/>
      <c r="P2708" s="181"/>
    </row>
    <row r="2709">
      <c r="B2709" s="292"/>
      <c r="C2709" s="181"/>
      <c r="D2709" s="181"/>
      <c r="E2709" s="181"/>
      <c r="F2709" s="181"/>
      <c r="G2709" s="181"/>
      <c r="H2709" s="181"/>
      <c r="I2709" s="181"/>
      <c r="J2709" s="181"/>
      <c r="K2709" s="181"/>
      <c r="L2709" s="181"/>
      <c r="M2709" s="181"/>
      <c r="N2709" s="181"/>
      <c r="O2709" s="181"/>
      <c r="P2709" s="181"/>
    </row>
    <row r="2710">
      <c r="B2710" s="292"/>
      <c r="C2710" s="181"/>
      <c r="D2710" s="181"/>
      <c r="E2710" s="181"/>
      <c r="F2710" s="181"/>
      <c r="G2710" s="181"/>
      <c r="H2710" s="181"/>
      <c r="I2710" s="181"/>
      <c r="J2710" s="181"/>
      <c r="K2710" s="181"/>
      <c r="L2710" s="181"/>
      <c r="M2710" s="181"/>
      <c r="N2710" s="181"/>
      <c r="O2710" s="181"/>
      <c r="P2710" s="181"/>
    </row>
    <row r="2711">
      <c r="B2711" s="292"/>
      <c r="C2711" s="181"/>
      <c r="D2711" s="181"/>
      <c r="E2711" s="181"/>
      <c r="F2711" s="181"/>
      <c r="G2711" s="181"/>
      <c r="H2711" s="181"/>
      <c r="I2711" s="181"/>
      <c r="J2711" s="181"/>
      <c r="K2711" s="181"/>
      <c r="L2711" s="181"/>
      <c r="M2711" s="181"/>
      <c r="N2711" s="181"/>
      <c r="O2711" s="181"/>
      <c r="P2711" s="181"/>
    </row>
    <row r="2712">
      <c r="B2712" s="292"/>
      <c r="C2712" s="181"/>
      <c r="D2712" s="181"/>
      <c r="E2712" s="181"/>
      <c r="F2712" s="181"/>
      <c r="G2712" s="181"/>
      <c r="H2712" s="181"/>
      <c r="I2712" s="181"/>
      <c r="J2712" s="181"/>
      <c r="K2712" s="181"/>
      <c r="L2712" s="181"/>
      <c r="M2712" s="181"/>
      <c r="N2712" s="181"/>
      <c r="O2712" s="181"/>
      <c r="P2712" s="181"/>
    </row>
    <row r="2713">
      <c r="B2713" s="292"/>
      <c r="C2713" s="181"/>
      <c r="D2713" s="181"/>
      <c r="E2713" s="181"/>
      <c r="F2713" s="181"/>
      <c r="G2713" s="181"/>
      <c r="H2713" s="181"/>
      <c r="I2713" s="181"/>
      <c r="J2713" s="181"/>
      <c r="K2713" s="181"/>
      <c r="L2713" s="181"/>
      <c r="M2713" s="181"/>
      <c r="N2713" s="181"/>
      <c r="O2713" s="181"/>
      <c r="P2713" s="181"/>
    </row>
    <row r="2714">
      <c r="B2714" s="292"/>
      <c r="C2714" s="181"/>
      <c r="D2714" s="181"/>
      <c r="E2714" s="181"/>
      <c r="F2714" s="181"/>
      <c r="G2714" s="181"/>
      <c r="H2714" s="181"/>
      <c r="I2714" s="181"/>
      <c r="J2714" s="181"/>
      <c r="K2714" s="181"/>
      <c r="L2714" s="181"/>
      <c r="M2714" s="181"/>
      <c r="N2714" s="181"/>
      <c r="O2714" s="181"/>
      <c r="P2714" s="181"/>
    </row>
    <row r="2715">
      <c r="B2715" s="292"/>
      <c r="C2715" s="181"/>
      <c r="D2715" s="181"/>
      <c r="E2715" s="181"/>
      <c r="F2715" s="181"/>
      <c r="G2715" s="181"/>
      <c r="H2715" s="181"/>
      <c r="I2715" s="181"/>
      <c r="J2715" s="181"/>
      <c r="K2715" s="181"/>
      <c r="L2715" s="181"/>
      <c r="M2715" s="181"/>
      <c r="N2715" s="181"/>
      <c r="O2715" s="181"/>
      <c r="P2715" s="181"/>
    </row>
    <row r="2716">
      <c r="B2716" s="292"/>
      <c r="C2716" s="181"/>
      <c r="D2716" s="181"/>
      <c r="E2716" s="181"/>
      <c r="F2716" s="181"/>
      <c r="G2716" s="181"/>
      <c r="H2716" s="181"/>
      <c r="I2716" s="181"/>
      <c r="J2716" s="181"/>
      <c r="K2716" s="181"/>
      <c r="L2716" s="181"/>
      <c r="M2716" s="181"/>
      <c r="N2716" s="181"/>
      <c r="O2716" s="181"/>
      <c r="P2716" s="181"/>
    </row>
    <row r="2717">
      <c r="B2717" s="292"/>
      <c r="C2717" s="181"/>
      <c r="D2717" s="181"/>
      <c r="E2717" s="181"/>
      <c r="F2717" s="181"/>
      <c r="G2717" s="181"/>
      <c r="H2717" s="181"/>
      <c r="I2717" s="181"/>
      <c r="J2717" s="181"/>
      <c r="K2717" s="181"/>
      <c r="L2717" s="181"/>
      <c r="M2717" s="181"/>
      <c r="N2717" s="181"/>
      <c r="O2717" s="181"/>
      <c r="P2717" s="181"/>
    </row>
    <row r="2718">
      <c r="B2718" s="292"/>
      <c r="C2718" s="181"/>
      <c r="D2718" s="181"/>
      <c r="E2718" s="181"/>
      <c r="F2718" s="181"/>
      <c r="G2718" s="181"/>
      <c r="H2718" s="181"/>
      <c r="I2718" s="181"/>
      <c r="J2718" s="181"/>
      <c r="K2718" s="181"/>
      <c r="L2718" s="181"/>
      <c r="M2718" s="181"/>
      <c r="N2718" s="181"/>
      <c r="O2718" s="181"/>
      <c r="P2718" s="181"/>
    </row>
    <row r="2719">
      <c r="B2719" s="292"/>
      <c r="C2719" s="181"/>
      <c r="D2719" s="181"/>
      <c r="E2719" s="181"/>
      <c r="F2719" s="181"/>
      <c r="G2719" s="181"/>
      <c r="H2719" s="181"/>
      <c r="I2719" s="181"/>
      <c r="J2719" s="181"/>
      <c r="K2719" s="181"/>
      <c r="L2719" s="181"/>
      <c r="M2719" s="181"/>
      <c r="N2719" s="181"/>
      <c r="O2719" s="181"/>
      <c r="P2719" s="181"/>
    </row>
    <row r="2720">
      <c r="B2720" s="292"/>
      <c r="C2720" s="181"/>
      <c r="D2720" s="181"/>
      <c r="E2720" s="181"/>
      <c r="F2720" s="181"/>
      <c r="G2720" s="181"/>
      <c r="H2720" s="181"/>
      <c r="I2720" s="181"/>
      <c r="J2720" s="181"/>
      <c r="K2720" s="181"/>
      <c r="L2720" s="181"/>
      <c r="M2720" s="181"/>
      <c r="N2720" s="181"/>
      <c r="O2720" s="181"/>
      <c r="P2720" s="181"/>
    </row>
    <row r="2721">
      <c r="B2721" s="292"/>
      <c r="C2721" s="181"/>
      <c r="D2721" s="181"/>
      <c r="E2721" s="181"/>
      <c r="F2721" s="181"/>
      <c r="G2721" s="181"/>
      <c r="H2721" s="181"/>
      <c r="I2721" s="181"/>
      <c r="J2721" s="181"/>
      <c r="K2721" s="181"/>
      <c r="L2721" s="181"/>
      <c r="M2721" s="181"/>
      <c r="N2721" s="181"/>
      <c r="O2721" s="181"/>
      <c r="P2721" s="181"/>
    </row>
    <row r="2722">
      <c r="B2722" s="292"/>
      <c r="C2722" s="181"/>
      <c r="D2722" s="181"/>
      <c r="E2722" s="181"/>
      <c r="F2722" s="181"/>
      <c r="G2722" s="181"/>
      <c r="H2722" s="181"/>
      <c r="I2722" s="181"/>
      <c r="J2722" s="181"/>
      <c r="K2722" s="181"/>
      <c r="L2722" s="181"/>
      <c r="M2722" s="181"/>
      <c r="N2722" s="181"/>
      <c r="O2722" s="181"/>
      <c r="P2722" s="181"/>
    </row>
    <row r="2723">
      <c r="B2723" s="292"/>
      <c r="C2723" s="181"/>
      <c r="D2723" s="181"/>
      <c r="E2723" s="181"/>
      <c r="F2723" s="181"/>
      <c r="G2723" s="181"/>
      <c r="H2723" s="181"/>
      <c r="I2723" s="181"/>
      <c r="J2723" s="181"/>
      <c r="K2723" s="181"/>
      <c r="L2723" s="181"/>
      <c r="M2723" s="181"/>
      <c r="N2723" s="181"/>
      <c r="O2723" s="181"/>
      <c r="P2723" s="181"/>
    </row>
    <row r="2724">
      <c r="B2724" s="292"/>
      <c r="C2724" s="181"/>
      <c r="D2724" s="181"/>
      <c r="E2724" s="181"/>
      <c r="F2724" s="181"/>
      <c r="G2724" s="181"/>
      <c r="H2724" s="181"/>
      <c r="I2724" s="181"/>
      <c r="J2724" s="181"/>
      <c r="K2724" s="181"/>
      <c r="L2724" s="181"/>
      <c r="M2724" s="181"/>
      <c r="N2724" s="181"/>
      <c r="O2724" s="181"/>
      <c r="P2724" s="181"/>
    </row>
    <row r="2725">
      <c r="B2725" s="292"/>
      <c r="C2725" s="181"/>
      <c r="D2725" s="181"/>
      <c r="E2725" s="181"/>
      <c r="F2725" s="181"/>
      <c r="G2725" s="181"/>
      <c r="H2725" s="181"/>
      <c r="I2725" s="181"/>
      <c r="J2725" s="181"/>
      <c r="K2725" s="181"/>
      <c r="L2725" s="181"/>
      <c r="M2725" s="181"/>
      <c r="N2725" s="181"/>
      <c r="O2725" s="181"/>
      <c r="P2725" s="181"/>
    </row>
    <row r="2726">
      <c r="B2726" s="292"/>
      <c r="C2726" s="181"/>
      <c r="D2726" s="181"/>
      <c r="E2726" s="181"/>
      <c r="F2726" s="181"/>
      <c r="G2726" s="181"/>
      <c r="H2726" s="181"/>
      <c r="I2726" s="181"/>
      <c r="J2726" s="181"/>
      <c r="K2726" s="181"/>
      <c r="L2726" s="181"/>
      <c r="M2726" s="181"/>
      <c r="N2726" s="181"/>
      <c r="O2726" s="181"/>
      <c r="P2726" s="181"/>
    </row>
    <row r="2727">
      <c r="B2727" s="292"/>
      <c r="C2727" s="181"/>
      <c r="D2727" s="181"/>
      <c r="E2727" s="181"/>
      <c r="F2727" s="181"/>
      <c r="G2727" s="181"/>
      <c r="H2727" s="181"/>
      <c r="I2727" s="181"/>
      <c r="J2727" s="181"/>
      <c r="K2727" s="181"/>
      <c r="L2727" s="181"/>
      <c r="M2727" s="181"/>
      <c r="N2727" s="181"/>
      <c r="O2727" s="181"/>
      <c r="P2727" s="181"/>
    </row>
    <row r="2728">
      <c r="B2728" s="292"/>
      <c r="C2728" s="181"/>
      <c r="D2728" s="181"/>
      <c r="E2728" s="181"/>
      <c r="F2728" s="181"/>
      <c r="G2728" s="181"/>
      <c r="H2728" s="181"/>
      <c r="I2728" s="181"/>
      <c r="J2728" s="181"/>
      <c r="K2728" s="181"/>
      <c r="L2728" s="181"/>
      <c r="M2728" s="181"/>
      <c r="N2728" s="181"/>
      <c r="O2728" s="181"/>
      <c r="P2728" s="181"/>
    </row>
    <row r="2729">
      <c r="B2729" s="292"/>
      <c r="C2729" s="181"/>
      <c r="D2729" s="181"/>
      <c r="E2729" s="181"/>
      <c r="F2729" s="181"/>
      <c r="G2729" s="181"/>
      <c r="H2729" s="181"/>
      <c r="I2729" s="181"/>
      <c r="J2729" s="181"/>
      <c r="K2729" s="181"/>
      <c r="L2729" s="181"/>
      <c r="M2729" s="181"/>
      <c r="N2729" s="181"/>
      <c r="O2729" s="181"/>
      <c r="P2729" s="181"/>
    </row>
    <row r="2730">
      <c r="B2730" s="292"/>
      <c r="C2730" s="181"/>
      <c r="D2730" s="181"/>
      <c r="E2730" s="181"/>
      <c r="F2730" s="181"/>
      <c r="G2730" s="181"/>
      <c r="H2730" s="181"/>
      <c r="I2730" s="181"/>
      <c r="J2730" s="181"/>
      <c r="K2730" s="181"/>
      <c r="L2730" s="181"/>
      <c r="M2730" s="181"/>
      <c r="N2730" s="181"/>
      <c r="O2730" s="181"/>
      <c r="P2730" s="181"/>
    </row>
    <row r="2731">
      <c r="B2731" s="292"/>
      <c r="C2731" s="181"/>
      <c r="D2731" s="181"/>
      <c r="E2731" s="181"/>
      <c r="F2731" s="181"/>
      <c r="G2731" s="181"/>
      <c r="H2731" s="181"/>
      <c r="I2731" s="181"/>
      <c r="J2731" s="181"/>
      <c r="K2731" s="181"/>
      <c r="L2731" s="181"/>
      <c r="M2731" s="181"/>
      <c r="N2731" s="181"/>
      <c r="O2731" s="181"/>
      <c r="P2731" s="181"/>
    </row>
    <row r="2732">
      <c r="B2732" s="292"/>
      <c r="C2732" s="181"/>
      <c r="D2732" s="181"/>
      <c r="E2732" s="181"/>
      <c r="F2732" s="181"/>
      <c r="G2732" s="181"/>
      <c r="H2732" s="181"/>
      <c r="I2732" s="181"/>
      <c r="J2732" s="181"/>
      <c r="K2732" s="181"/>
      <c r="L2732" s="181"/>
      <c r="M2732" s="181"/>
      <c r="N2732" s="181"/>
      <c r="O2732" s="181"/>
      <c r="P2732" s="181"/>
    </row>
    <row r="2733">
      <c r="B2733" s="292"/>
      <c r="C2733" s="181"/>
      <c r="D2733" s="181"/>
      <c r="E2733" s="181"/>
      <c r="F2733" s="181"/>
      <c r="G2733" s="181"/>
      <c r="H2733" s="181"/>
      <c r="I2733" s="181"/>
      <c r="J2733" s="181"/>
      <c r="K2733" s="181"/>
      <c r="L2733" s="181"/>
      <c r="M2733" s="181"/>
      <c r="N2733" s="181"/>
      <c r="O2733" s="181"/>
      <c r="P2733" s="181"/>
    </row>
    <row r="2734">
      <c r="B2734" s="292"/>
      <c r="C2734" s="181"/>
      <c r="D2734" s="181"/>
      <c r="E2734" s="181"/>
      <c r="F2734" s="181"/>
      <c r="G2734" s="181"/>
      <c r="H2734" s="181"/>
      <c r="I2734" s="181"/>
      <c r="J2734" s="181"/>
      <c r="K2734" s="181"/>
      <c r="L2734" s="181"/>
      <c r="M2734" s="181"/>
      <c r="N2734" s="181"/>
      <c r="O2734" s="181"/>
      <c r="P2734" s="181"/>
    </row>
    <row r="2735">
      <c r="B2735" s="292"/>
      <c r="C2735" s="181"/>
      <c r="D2735" s="181"/>
      <c r="E2735" s="181"/>
      <c r="F2735" s="181"/>
      <c r="G2735" s="181"/>
      <c r="H2735" s="181"/>
      <c r="I2735" s="181"/>
      <c r="J2735" s="181"/>
      <c r="K2735" s="181"/>
      <c r="L2735" s="181"/>
      <c r="M2735" s="181"/>
      <c r="N2735" s="181"/>
      <c r="O2735" s="181"/>
      <c r="P2735" s="181"/>
    </row>
    <row r="2736">
      <c r="B2736" s="292"/>
      <c r="C2736" s="181"/>
      <c r="D2736" s="181"/>
      <c r="E2736" s="181"/>
      <c r="F2736" s="181"/>
      <c r="G2736" s="181"/>
      <c r="H2736" s="181"/>
      <c r="I2736" s="181"/>
      <c r="J2736" s="181"/>
      <c r="K2736" s="181"/>
      <c r="L2736" s="181"/>
      <c r="M2736" s="181"/>
      <c r="N2736" s="181"/>
      <c r="O2736" s="181"/>
      <c r="P2736" s="181"/>
    </row>
    <row r="2737">
      <c r="B2737" s="292"/>
      <c r="C2737" s="181"/>
      <c r="D2737" s="181"/>
      <c r="E2737" s="181"/>
      <c r="F2737" s="181"/>
      <c r="G2737" s="181"/>
      <c r="H2737" s="181"/>
      <c r="I2737" s="181"/>
      <c r="J2737" s="181"/>
      <c r="K2737" s="181"/>
      <c r="L2737" s="181"/>
      <c r="M2737" s="181"/>
      <c r="N2737" s="181"/>
      <c r="O2737" s="181"/>
      <c r="P2737" s="181"/>
    </row>
    <row r="2738">
      <c r="B2738" s="292"/>
      <c r="C2738" s="181"/>
      <c r="D2738" s="181"/>
      <c r="E2738" s="181"/>
      <c r="F2738" s="181"/>
      <c r="G2738" s="181"/>
      <c r="H2738" s="181"/>
      <c r="I2738" s="181"/>
      <c r="J2738" s="181"/>
      <c r="K2738" s="181"/>
      <c r="L2738" s="181"/>
      <c r="M2738" s="181"/>
      <c r="N2738" s="181"/>
      <c r="O2738" s="181"/>
      <c r="P2738" s="181"/>
    </row>
    <row r="2739">
      <c r="B2739" s="292"/>
      <c r="C2739" s="181"/>
      <c r="D2739" s="181"/>
      <c r="E2739" s="181"/>
      <c r="F2739" s="181"/>
      <c r="G2739" s="181"/>
      <c r="H2739" s="181"/>
      <c r="I2739" s="181"/>
      <c r="J2739" s="181"/>
      <c r="K2739" s="181"/>
      <c r="L2739" s="181"/>
      <c r="M2739" s="181"/>
      <c r="N2739" s="181"/>
      <c r="O2739" s="181"/>
      <c r="P2739" s="181"/>
    </row>
    <row r="2740">
      <c r="B2740" s="292"/>
      <c r="C2740" s="181"/>
      <c r="D2740" s="181"/>
      <c r="E2740" s="181"/>
      <c r="F2740" s="181"/>
      <c r="G2740" s="181"/>
      <c r="H2740" s="181"/>
      <c r="I2740" s="181"/>
      <c r="J2740" s="181"/>
      <c r="K2740" s="181"/>
      <c r="L2740" s="181"/>
      <c r="M2740" s="181"/>
      <c r="N2740" s="181"/>
      <c r="O2740" s="181"/>
      <c r="P2740" s="181"/>
    </row>
    <row r="2741">
      <c r="B2741" s="292"/>
      <c r="C2741" s="181"/>
      <c r="D2741" s="181"/>
      <c r="E2741" s="181"/>
      <c r="F2741" s="181"/>
      <c r="G2741" s="181"/>
      <c r="H2741" s="181"/>
      <c r="I2741" s="181"/>
      <c r="J2741" s="181"/>
      <c r="K2741" s="181"/>
      <c r="L2741" s="181"/>
      <c r="M2741" s="181"/>
      <c r="N2741" s="181"/>
      <c r="O2741" s="181"/>
      <c r="P2741" s="181"/>
    </row>
    <row r="2742">
      <c r="B2742" s="292"/>
      <c r="C2742" s="181"/>
      <c r="D2742" s="181"/>
      <c r="E2742" s="181"/>
      <c r="F2742" s="181"/>
      <c r="G2742" s="181"/>
      <c r="H2742" s="181"/>
      <c r="I2742" s="181"/>
      <c r="J2742" s="181"/>
      <c r="K2742" s="181"/>
      <c r="L2742" s="181"/>
      <c r="M2742" s="181"/>
      <c r="N2742" s="181"/>
      <c r="O2742" s="181"/>
      <c r="P2742" s="181"/>
    </row>
    <row r="2743">
      <c r="B2743" s="292"/>
      <c r="C2743" s="181"/>
      <c r="D2743" s="181"/>
      <c r="E2743" s="181"/>
      <c r="F2743" s="181"/>
      <c r="G2743" s="181"/>
      <c r="H2743" s="181"/>
      <c r="I2743" s="181"/>
      <c r="J2743" s="181"/>
      <c r="K2743" s="181"/>
      <c r="L2743" s="181"/>
      <c r="M2743" s="181"/>
      <c r="N2743" s="181"/>
      <c r="O2743" s="181"/>
      <c r="P2743" s="181"/>
    </row>
    <row r="2744">
      <c r="B2744" s="292"/>
      <c r="C2744" s="181"/>
      <c r="D2744" s="181"/>
      <c r="E2744" s="181"/>
      <c r="F2744" s="181"/>
      <c r="G2744" s="181"/>
      <c r="H2744" s="181"/>
      <c r="I2744" s="181"/>
      <c r="J2744" s="181"/>
      <c r="K2744" s="181"/>
      <c r="L2744" s="181"/>
      <c r="M2744" s="181"/>
      <c r="N2744" s="181"/>
      <c r="O2744" s="181"/>
      <c r="P2744" s="181"/>
    </row>
    <row r="2745">
      <c r="B2745" s="292"/>
      <c r="C2745" s="181"/>
      <c r="D2745" s="181"/>
      <c r="E2745" s="181"/>
      <c r="F2745" s="181"/>
      <c r="G2745" s="181"/>
      <c r="H2745" s="181"/>
      <c r="I2745" s="181"/>
      <c r="J2745" s="181"/>
      <c r="K2745" s="181"/>
      <c r="L2745" s="181"/>
      <c r="M2745" s="181"/>
      <c r="N2745" s="181"/>
      <c r="O2745" s="181"/>
      <c r="P2745" s="181"/>
    </row>
    <row r="2746">
      <c r="B2746" s="292"/>
      <c r="C2746" s="181"/>
      <c r="D2746" s="181"/>
      <c r="E2746" s="181"/>
      <c r="F2746" s="181"/>
      <c r="G2746" s="181"/>
      <c r="H2746" s="181"/>
      <c r="I2746" s="181"/>
      <c r="J2746" s="181"/>
      <c r="K2746" s="181"/>
      <c r="L2746" s="181"/>
      <c r="M2746" s="181"/>
      <c r="N2746" s="181"/>
      <c r="O2746" s="181"/>
      <c r="P2746" s="181"/>
    </row>
    <row r="2747">
      <c r="B2747" s="292"/>
      <c r="C2747" s="181"/>
      <c r="D2747" s="181"/>
      <c r="E2747" s="181"/>
      <c r="F2747" s="181"/>
      <c r="G2747" s="181"/>
      <c r="H2747" s="181"/>
      <c r="I2747" s="181"/>
      <c r="J2747" s="181"/>
      <c r="K2747" s="181"/>
      <c r="L2747" s="181"/>
      <c r="M2747" s="181"/>
      <c r="N2747" s="181"/>
      <c r="O2747" s="181"/>
      <c r="P2747" s="181"/>
    </row>
    <row r="2748">
      <c r="B2748" s="292"/>
      <c r="C2748" s="181"/>
      <c r="D2748" s="181"/>
      <c r="E2748" s="181"/>
      <c r="F2748" s="181"/>
      <c r="G2748" s="181"/>
      <c r="H2748" s="181"/>
      <c r="I2748" s="181"/>
      <c r="J2748" s="181"/>
      <c r="K2748" s="181"/>
      <c r="L2748" s="181"/>
      <c r="M2748" s="181"/>
      <c r="N2748" s="181"/>
      <c r="O2748" s="181"/>
      <c r="P2748" s="181"/>
    </row>
    <row r="2749">
      <c r="B2749" s="292"/>
      <c r="C2749" s="181"/>
      <c r="D2749" s="181"/>
      <c r="E2749" s="181"/>
      <c r="F2749" s="181"/>
      <c r="G2749" s="181"/>
      <c r="H2749" s="181"/>
      <c r="I2749" s="181"/>
      <c r="J2749" s="181"/>
      <c r="K2749" s="181"/>
      <c r="L2749" s="181"/>
      <c r="M2749" s="181"/>
      <c r="N2749" s="181"/>
      <c r="O2749" s="181"/>
      <c r="P2749" s="181"/>
    </row>
    <row r="2750">
      <c r="B2750" s="292"/>
      <c r="C2750" s="181"/>
      <c r="D2750" s="181"/>
      <c r="E2750" s="181"/>
      <c r="F2750" s="181"/>
      <c r="G2750" s="181"/>
      <c r="H2750" s="181"/>
      <c r="I2750" s="181"/>
      <c r="J2750" s="181"/>
      <c r="K2750" s="181"/>
      <c r="L2750" s="181"/>
      <c r="M2750" s="181"/>
      <c r="N2750" s="181"/>
      <c r="O2750" s="181"/>
      <c r="P2750" s="181"/>
    </row>
    <row r="2751">
      <c r="B2751" s="292"/>
      <c r="C2751" s="181"/>
      <c r="D2751" s="181"/>
      <c r="E2751" s="181"/>
      <c r="F2751" s="181"/>
      <c r="G2751" s="181"/>
      <c r="H2751" s="181"/>
      <c r="I2751" s="181"/>
      <c r="J2751" s="181"/>
      <c r="K2751" s="181"/>
      <c r="L2751" s="181"/>
      <c r="M2751" s="181"/>
      <c r="N2751" s="181"/>
      <c r="O2751" s="181"/>
      <c r="P2751" s="181"/>
    </row>
    <row r="2752">
      <c r="B2752" s="292"/>
      <c r="C2752" s="181"/>
      <c r="D2752" s="181"/>
      <c r="E2752" s="181"/>
      <c r="F2752" s="181"/>
      <c r="G2752" s="181"/>
      <c r="H2752" s="181"/>
      <c r="I2752" s="181"/>
      <c r="J2752" s="181"/>
      <c r="K2752" s="181"/>
      <c r="L2752" s="181"/>
      <c r="M2752" s="181"/>
      <c r="N2752" s="181"/>
      <c r="O2752" s="181"/>
      <c r="P2752" s="181"/>
    </row>
    <row r="2753">
      <c r="B2753" s="292"/>
      <c r="C2753" s="181"/>
      <c r="D2753" s="181"/>
      <c r="E2753" s="181"/>
      <c r="F2753" s="181"/>
      <c r="G2753" s="181"/>
      <c r="H2753" s="181"/>
      <c r="I2753" s="181"/>
      <c r="J2753" s="181"/>
      <c r="K2753" s="181"/>
      <c r="L2753" s="181"/>
      <c r="M2753" s="181"/>
      <c r="N2753" s="181"/>
      <c r="O2753" s="181"/>
      <c r="P2753" s="181"/>
    </row>
    <row r="2754">
      <c r="B2754" s="292"/>
      <c r="C2754" s="181"/>
      <c r="D2754" s="181"/>
      <c r="E2754" s="181"/>
      <c r="F2754" s="181"/>
      <c r="G2754" s="181"/>
      <c r="H2754" s="181"/>
      <c r="I2754" s="181"/>
      <c r="J2754" s="181"/>
      <c r="K2754" s="181"/>
      <c r="L2754" s="181"/>
      <c r="M2754" s="181"/>
      <c r="N2754" s="181"/>
      <c r="O2754" s="181"/>
      <c r="P2754" s="181"/>
    </row>
    <row r="2755">
      <c r="B2755" s="292"/>
      <c r="C2755" s="181"/>
      <c r="D2755" s="181"/>
      <c r="E2755" s="181"/>
      <c r="F2755" s="181"/>
      <c r="G2755" s="181"/>
      <c r="H2755" s="181"/>
      <c r="I2755" s="181"/>
      <c r="J2755" s="181"/>
      <c r="K2755" s="181"/>
      <c r="L2755" s="181"/>
      <c r="M2755" s="181"/>
      <c r="N2755" s="181"/>
      <c r="O2755" s="181"/>
      <c r="P2755" s="181"/>
    </row>
    <row r="2756">
      <c r="B2756" s="292"/>
      <c r="C2756" s="181"/>
      <c r="D2756" s="181"/>
      <c r="E2756" s="181"/>
      <c r="F2756" s="181"/>
      <c r="G2756" s="181"/>
      <c r="H2756" s="181"/>
      <c r="I2756" s="181"/>
      <c r="J2756" s="181"/>
      <c r="K2756" s="181"/>
      <c r="L2756" s="181"/>
      <c r="M2756" s="181"/>
      <c r="N2756" s="181"/>
      <c r="O2756" s="181"/>
      <c r="P2756" s="181"/>
    </row>
    <row r="2757">
      <c r="B2757" s="292"/>
      <c r="C2757" s="181"/>
      <c r="D2757" s="181"/>
      <c r="E2757" s="181"/>
      <c r="F2757" s="181"/>
      <c r="G2757" s="181"/>
      <c r="H2757" s="181"/>
      <c r="I2757" s="181"/>
      <c r="J2757" s="181"/>
      <c r="K2757" s="181"/>
      <c r="L2757" s="181"/>
      <c r="M2757" s="181"/>
      <c r="N2757" s="181"/>
      <c r="O2757" s="181"/>
      <c r="P2757" s="181"/>
    </row>
    <row r="2758">
      <c r="B2758" s="292"/>
      <c r="C2758" s="181"/>
      <c r="D2758" s="181"/>
      <c r="E2758" s="181"/>
      <c r="F2758" s="181"/>
      <c r="G2758" s="181"/>
      <c r="H2758" s="181"/>
      <c r="I2758" s="181"/>
      <c r="J2758" s="181"/>
      <c r="K2758" s="181"/>
      <c r="L2758" s="181"/>
      <c r="M2758" s="181"/>
      <c r="N2758" s="181"/>
      <c r="O2758" s="181"/>
      <c r="P2758" s="181"/>
    </row>
    <row r="2759">
      <c r="B2759" s="292"/>
      <c r="C2759" s="181"/>
      <c r="D2759" s="181"/>
      <c r="E2759" s="181"/>
      <c r="F2759" s="181"/>
      <c r="G2759" s="181"/>
      <c r="H2759" s="181"/>
      <c r="I2759" s="181"/>
      <c r="J2759" s="181"/>
      <c r="K2759" s="181"/>
      <c r="L2759" s="181"/>
      <c r="M2759" s="181"/>
      <c r="N2759" s="181"/>
      <c r="O2759" s="181"/>
      <c r="P2759" s="181"/>
    </row>
    <row r="2760">
      <c r="B2760" s="292"/>
      <c r="C2760" s="181"/>
      <c r="D2760" s="181"/>
      <c r="E2760" s="181"/>
      <c r="F2760" s="181"/>
      <c r="G2760" s="181"/>
      <c r="H2760" s="181"/>
      <c r="I2760" s="181"/>
      <c r="J2760" s="181"/>
      <c r="K2760" s="181"/>
      <c r="L2760" s="181"/>
      <c r="M2760" s="181"/>
      <c r="N2760" s="181"/>
      <c r="O2760" s="181"/>
      <c r="P2760" s="181"/>
    </row>
    <row r="2761">
      <c r="B2761" s="292"/>
      <c r="C2761" s="181"/>
      <c r="D2761" s="181"/>
      <c r="E2761" s="181"/>
      <c r="F2761" s="181"/>
      <c r="G2761" s="181"/>
      <c r="H2761" s="181"/>
      <c r="I2761" s="181"/>
      <c r="J2761" s="181"/>
      <c r="K2761" s="181"/>
      <c r="L2761" s="181"/>
      <c r="M2761" s="181"/>
      <c r="N2761" s="181"/>
      <c r="O2761" s="181"/>
      <c r="P2761" s="181"/>
    </row>
    <row r="2762">
      <c r="B2762" s="292"/>
      <c r="C2762" s="181"/>
      <c r="D2762" s="181"/>
      <c r="E2762" s="181"/>
      <c r="F2762" s="181"/>
      <c r="G2762" s="181"/>
      <c r="H2762" s="181"/>
      <c r="I2762" s="181"/>
      <c r="J2762" s="181"/>
      <c r="K2762" s="181"/>
      <c r="L2762" s="181"/>
      <c r="M2762" s="181"/>
      <c r="N2762" s="181"/>
      <c r="O2762" s="181"/>
      <c r="P2762" s="181"/>
    </row>
    <row r="2763">
      <c r="B2763" s="292"/>
      <c r="C2763" s="181"/>
      <c r="D2763" s="181"/>
      <c r="E2763" s="181"/>
      <c r="F2763" s="181"/>
      <c r="G2763" s="181"/>
      <c r="H2763" s="181"/>
      <c r="I2763" s="181"/>
      <c r="J2763" s="181"/>
      <c r="K2763" s="181"/>
      <c r="L2763" s="181"/>
      <c r="M2763" s="181"/>
      <c r="N2763" s="181"/>
      <c r="O2763" s="181"/>
      <c r="P2763" s="181"/>
    </row>
    <row r="2764">
      <c r="B2764" s="292"/>
      <c r="C2764" s="181"/>
      <c r="D2764" s="181"/>
      <c r="E2764" s="181"/>
      <c r="F2764" s="181"/>
      <c r="G2764" s="181"/>
      <c r="H2764" s="181"/>
      <c r="I2764" s="181"/>
      <c r="J2764" s="181"/>
      <c r="K2764" s="181"/>
      <c r="L2764" s="181"/>
      <c r="M2764" s="181"/>
      <c r="N2764" s="181"/>
      <c r="O2764" s="181"/>
      <c r="P2764" s="181"/>
    </row>
    <row r="2765">
      <c r="B2765" s="292"/>
      <c r="C2765" s="181"/>
      <c r="D2765" s="181"/>
      <c r="E2765" s="181"/>
      <c r="F2765" s="181"/>
      <c r="G2765" s="181"/>
      <c r="H2765" s="181"/>
      <c r="I2765" s="181"/>
      <c r="J2765" s="181"/>
      <c r="K2765" s="181"/>
      <c r="L2765" s="181"/>
      <c r="M2765" s="181"/>
      <c r="N2765" s="181"/>
      <c r="O2765" s="181"/>
      <c r="P2765" s="181"/>
    </row>
    <row r="2766">
      <c r="B2766" s="292"/>
      <c r="C2766" s="181"/>
      <c r="D2766" s="181"/>
      <c r="E2766" s="181"/>
      <c r="F2766" s="181"/>
      <c r="G2766" s="181"/>
      <c r="H2766" s="181"/>
      <c r="I2766" s="181"/>
      <c r="J2766" s="181"/>
      <c r="K2766" s="181"/>
      <c r="L2766" s="181"/>
      <c r="M2766" s="181"/>
      <c r="N2766" s="181"/>
      <c r="O2766" s="181"/>
      <c r="P2766" s="181"/>
    </row>
    <row r="2767">
      <c r="B2767" s="292"/>
      <c r="C2767" s="181"/>
      <c r="D2767" s="181"/>
      <c r="E2767" s="181"/>
      <c r="F2767" s="181"/>
      <c r="G2767" s="181"/>
      <c r="H2767" s="181"/>
      <c r="I2767" s="181"/>
      <c r="J2767" s="181"/>
      <c r="K2767" s="181"/>
      <c r="L2767" s="181"/>
      <c r="M2767" s="181"/>
      <c r="N2767" s="181"/>
      <c r="O2767" s="181"/>
      <c r="P2767" s="181"/>
    </row>
    <row r="2768">
      <c r="B2768" s="292"/>
      <c r="C2768" s="181"/>
      <c r="D2768" s="181"/>
      <c r="E2768" s="181"/>
      <c r="F2768" s="181"/>
      <c r="G2768" s="181"/>
      <c r="H2768" s="181"/>
      <c r="I2768" s="181"/>
      <c r="J2768" s="181"/>
      <c r="K2768" s="181"/>
      <c r="L2768" s="181"/>
      <c r="M2768" s="181"/>
      <c r="N2768" s="181"/>
      <c r="O2768" s="181"/>
      <c r="P2768" s="181"/>
    </row>
    <row r="2769">
      <c r="B2769" s="292"/>
      <c r="C2769" s="181"/>
      <c r="D2769" s="181"/>
      <c r="E2769" s="181"/>
      <c r="F2769" s="181"/>
      <c r="G2769" s="181"/>
      <c r="H2769" s="181"/>
      <c r="I2769" s="181"/>
      <c r="J2769" s="181"/>
      <c r="K2769" s="181"/>
      <c r="L2769" s="181"/>
      <c r="M2769" s="181"/>
      <c r="N2769" s="181"/>
      <c r="O2769" s="181"/>
      <c r="P2769" s="181"/>
    </row>
    <row r="2770">
      <c r="B2770" s="292"/>
      <c r="C2770" s="181"/>
      <c r="D2770" s="181"/>
      <c r="E2770" s="181"/>
      <c r="F2770" s="181"/>
      <c r="G2770" s="181"/>
      <c r="H2770" s="181"/>
      <c r="I2770" s="181"/>
      <c r="J2770" s="181"/>
      <c r="K2770" s="181"/>
      <c r="L2770" s="181"/>
      <c r="M2770" s="181"/>
      <c r="N2770" s="181"/>
      <c r="O2770" s="181"/>
      <c r="P2770" s="181"/>
    </row>
    <row r="2771">
      <c r="B2771" s="292"/>
      <c r="C2771" s="181"/>
      <c r="D2771" s="181"/>
      <c r="E2771" s="181"/>
      <c r="F2771" s="181"/>
      <c r="G2771" s="181"/>
      <c r="H2771" s="181"/>
      <c r="I2771" s="181"/>
      <c r="J2771" s="181"/>
      <c r="K2771" s="181"/>
      <c r="L2771" s="181"/>
      <c r="M2771" s="181"/>
      <c r="N2771" s="181"/>
      <c r="O2771" s="181"/>
      <c r="P2771" s="181"/>
    </row>
    <row r="2772">
      <c r="B2772" s="292"/>
      <c r="C2772" s="181"/>
      <c r="D2772" s="181"/>
      <c r="E2772" s="181"/>
      <c r="F2772" s="181"/>
      <c r="G2772" s="181"/>
      <c r="H2772" s="181"/>
      <c r="I2772" s="181"/>
      <c r="J2772" s="181"/>
      <c r="K2772" s="181"/>
      <c r="L2772" s="181"/>
      <c r="M2772" s="181"/>
      <c r="N2772" s="181"/>
      <c r="O2772" s="181"/>
      <c r="P2772" s="181"/>
    </row>
    <row r="2773">
      <c r="B2773" s="292"/>
      <c r="C2773" s="181"/>
      <c r="D2773" s="181"/>
      <c r="E2773" s="181"/>
      <c r="F2773" s="181"/>
      <c r="G2773" s="181"/>
      <c r="H2773" s="181"/>
      <c r="I2773" s="181"/>
      <c r="J2773" s="181"/>
      <c r="K2773" s="181"/>
      <c r="L2773" s="181"/>
      <c r="M2773" s="181"/>
      <c r="N2773" s="181"/>
      <c r="O2773" s="181"/>
      <c r="P2773" s="181"/>
    </row>
    <row r="2774">
      <c r="B2774" s="292"/>
      <c r="C2774" s="181"/>
      <c r="D2774" s="181"/>
      <c r="E2774" s="181"/>
      <c r="F2774" s="181"/>
      <c r="G2774" s="181"/>
      <c r="H2774" s="181"/>
      <c r="I2774" s="181"/>
      <c r="J2774" s="181"/>
      <c r="K2774" s="181"/>
      <c r="L2774" s="181"/>
      <c r="M2774" s="181"/>
      <c r="N2774" s="181"/>
      <c r="O2774" s="181"/>
      <c r="P2774" s="181"/>
    </row>
    <row r="2775">
      <c r="B2775" s="292"/>
      <c r="C2775" s="181"/>
      <c r="D2775" s="181"/>
      <c r="E2775" s="181"/>
      <c r="F2775" s="181"/>
      <c r="G2775" s="181"/>
      <c r="H2775" s="181"/>
      <c r="I2775" s="181"/>
      <c r="J2775" s="181"/>
      <c r="K2775" s="181"/>
      <c r="L2775" s="181"/>
      <c r="M2775" s="181"/>
      <c r="N2775" s="181"/>
      <c r="O2775" s="181"/>
      <c r="P2775" s="181"/>
    </row>
    <row r="2776">
      <c r="B2776" s="292"/>
      <c r="C2776" s="181"/>
      <c r="D2776" s="181"/>
      <c r="E2776" s="181"/>
      <c r="F2776" s="181"/>
      <c r="G2776" s="181"/>
      <c r="H2776" s="181"/>
      <c r="I2776" s="181"/>
      <c r="J2776" s="181"/>
      <c r="K2776" s="181"/>
      <c r="L2776" s="181"/>
      <c r="M2776" s="181"/>
      <c r="N2776" s="181"/>
      <c r="O2776" s="181"/>
      <c r="P2776" s="181"/>
    </row>
    <row r="2777">
      <c r="B2777" s="292"/>
      <c r="C2777" s="181"/>
      <c r="D2777" s="181"/>
      <c r="E2777" s="181"/>
      <c r="F2777" s="181"/>
      <c r="G2777" s="181"/>
      <c r="H2777" s="181"/>
      <c r="I2777" s="181"/>
      <c r="J2777" s="181"/>
      <c r="K2777" s="181"/>
      <c r="L2777" s="181"/>
      <c r="M2777" s="181"/>
      <c r="N2777" s="181"/>
      <c r="O2777" s="181"/>
      <c r="P2777" s="181"/>
    </row>
    <row r="2778">
      <c r="B2778" s="292"/>
      <c r="C2778" s="181"/>
      <c r="D2778" s="181"/>
      <c r="E2778" s="181"/>
      <c r="F2778" s="181"/>
      <c r="G2778" s="181"/>
      <c r="H2778" s="181"/>
      <c r="I2778" s="181"/>
      <c r="J2778" s="181"/>
      <c r="K2778" s="181"/>
      <c r="L2778" s="181"/>
      <c r="M2778" s="181"/>
      <c r="N2778" s="181"/>
      <c r="O2778" s="181"/>
      <c r="P2778" s="181"/>
    </row>
    <row r="2779">
      <c r="B2779" s="292"/>
      <c r="C2779" s="181"/>
      <c r="D2779" s="181"/>
      <c r="E2779" s="181"/>
      <c r="F2779" s="181"/>
      <c r="G2779" s="181"/>
      <c r="H2779" s="181"/>
      <c r="I2779" s="181"/>
      <c r="J2779" s="181"/>
      <c r="K2779" s="181"/>
      <c r="L2779" s="181"/>
      <c r="M2779" s="181"/>
      <c r="N2779" s="181"/>
      <c r="O2779" s="181"/>
      <c r="P2779" s="181"/>
    </row>
    <row r="2780">
      <c r="B2780" s="292"/>
      <c r="C2780" s="181"/>
      <c r="D2780" s="181"/>
      <c r="E2780" s="181"/>
      <c r="F2780" s="181"/>
      <c r="G2780" s="181"/>
      <c r="H2780" s="181"/>
      <c r="I2780" s="181"/>
      <c r="J2780" s="181"/>
      <c r="K2780" s="181"/>
      <c r="L2780" s="181"/>
      <c r="M2780" s="181"/>
      <c r="N2780" s="181"/>
      <c r="O2780" s="181"/>
      <c r="P2780" s="181"/>
    </row>
    <row r="2781">
      <c r="B2781" s="292"/>
      <c r="C2781" s="181"/>
      <c r="D2781" s="181"/>
      <c r="E2781" s="181"/>
      <c r="F2781" s="181"/>
      <c r="G2781" s="181"/>
      <c r="H2781" s="181"/>
      <c r="I2781" s="181"/>
      <c r="J2781" s="181"/>
      <c r="K2781" s="181"/>
      <c r="L2781" s="181"/>
      <c r="M2781" s="181"/>
      <c r="N2781" s="181"/>
      <c r="O2781" s="181"/>
      <c r="P2781" s="181"/>
    </row>
    <row r="2782">
      <c r="B2782" s="292"/>
      <c r="C2782" s="181"/>
      <c r="D2782" s="181"/>
      <c r="E2782" s="181"/>
      <c r="F2782" s="181"/>
      <c r="G2782" s="181"/>
      <c r="H2782" s="181"/>
      <c r="I2782" s="181"/>
      <c r="J2782" s="181"/>
      <c r="K2782" s="181"/>
      <c r="L2782" s="181"/>
      <c r="M2782" s="181"/>
      <c r="N2782" s="181"/>
      <c r="O2782" s="181"/>
      <c r="P2782" s="181"/>
    </row>
    <row r="2783">
      <c r="B2783" s="292"/>
      <c r="C2783" s="181"/>
      <c r="D2783" s="181"/>
      <c r="E2783" s="181"/>
      <c r="F2783" s="181"/>
      <c r="G2783" s="181"/>
      <c r="H2783" s="181"/>
      <c r="I2783" s="181"/>
      <c r="J2783" s="181"/>
      <c r="K2783" s="181"/>
      <c r="L2783" s="181"/>
      <c r="M2783" s="181"/>
      <c r="N2783" s="181"/>
      <c r="O2783" s="181"/>
      <c r="P2783" s="181"/>
    </row>
    <row r="2784">
      <c r="B2784" s="292"/>
      <c r="C2784" s="181"/>
      <c r="D2784" s="181"/>
      <c r="E2784" s="181"/>
      <c r="F2784" s="181"/>
      <c r="G2784" s="181"/>
      <c r="H2784" s="181"/>
      <c r="I2784" s="181"/>
      <c r="J2784" s="181"/>
      <c r="K2784" s="181"/>
      <c r="L2784" s="181"/>
      <c r="M2784" s="181"/>
      <c r="N2784" s="181"/>
      <c r="O2784" s="181"/>
      <c r="P2784" s="181"/>
    </row>
    <row r="2785">
      <c r="B2785" s="292"/>
      <c r="C2785" s="181"/>
      <c r="D2785" s="181"/>
      <c r="E2785" s="181"/>
      <c r="F2785" s="181"/>
      <c r="G2785" s="181"/>
      <c r="H2785" s="181"/>
      <c r="I2785" s="181"/>
      <c r="J2785" s="181"/>
      <c r="K2785" s="181"/>
      <c r="L2785" s="181"/>
      <c r="M2785" s="181"/>
      <c r="N2785" s="181"/>
      <c r="O2785" s="181"/>
      <c r="P2785" s="181"/>
    </row>
    <row r="2786">
      <c r="B2786" s="292"/>
      <c r="C2786" s="181"/>
      <c r="D2786" s="181"/>
      <c r="E2786" s="181"/>
      <c r="F2786" s="181"/>
      <c r="G2786" s="181"/>
      <c r="H2786" s="181"/>
      <c r="I2786" s="181"/>
      <c r="J2786" s="181"/>
      <c r="K2786" s="181"/>
      <c r="L2786" s="181"/>
      <c r="M2786" s="181"/>
      <c r="N2786" s="181"/>
      <c r="O2786" s="181"/>
      <c r="P2786" s="181"/>
    </row>
    <row r="2787">
      <c r="B2787" s="292"/>
      <c r="C2787" s="181"/>
      <c r="D2787" s="181"/>
      <c r="E2787" s="181"/>
      <c r="F2787" s="181"/>
      <c r="G2787" s="181"/>
      <c r="H2787" s="181"/>
      <c r="I2787" s="181"/>
      <c r="J2787" s="181"/>
      <c r="K2787" s="181"/>
      <c r="L2787" s="181"/>
      <c r="M2787" s="181"/>
      <c r="N2787" s="181"/>
      <c r="O2787" s="181"/>
      <c r="P2787" s="181"/>
    </row>
    <row r="2788">
      <c r="B2788" s="292"/>
      <c r="C2788" s="181"/>
      <c r="D2788" s="181"/>
      <c r="E2788" s="181"/>
      <c r="F2788" s="181"/>
      <c r="G2788" s="181"/>
      <c r="H2788" s="181"/>
      <c r="I2788" s="181"/>
      <c r="J2788" s="181"/>
      <c r="K2788" s="181"/>
      <c r="L2788" s="181"/>
      <c r="M2788" s="181"/>
      <c r="N2788" s="181"/>
      <c r="O2788" s="181"/>
      <c r="P2788" s="181"/>
    </row>
    <row r="2789">
      <c r="B2789" s="292"/>
      <c r="C2789" s="181"/>
      <c r="D2789" s="181"/>
      <c r="E2789" s="181"/>
      <c r="F2789" s="181"/>
      <c r="G2789" s="181"/>
      <c r="H2789" s="181"/>
      <c r="I2789" s="181"/>
      <c r="J2789" s="181"/>
      <c r="K2789" s="181"/>
      <c r="L2789" s="181"/>
      <c r="M2789" s="181"/>
      <c r="N2789" s="181"/>
      <c r="O2789" s="181"/>
      <c r="P2789" s="181"/>
    </row>
    <row r="2790">
      <c r="B2790" s="292"/>
      <c r="C2790" s="181"/>
      <c r="D2790" s="181"/>
      <c r="E2790" s="181"/>
      <c r="F2790" s="181"/>
      <c r="G2790" s="181"/>
      <c r="H2790" s="181"/>
      <c r="I2790" s="181"/>
      <c r="J2790" s="181"/>
      <c r="K2790" s="181"/>
      <c r="L2790" s="181"/>
      <c r="M2790" s="181"/>
      <c r="N2790" s="181"/>
      <c r="O2790" s="181"/>
      <c r="P2790" s="181"/>
    </row>
    <row r="2791">
      <c r="B2791" s="292"/>
      <c r="C2791" s="181"/>
      <c r="D2791" s="181"/>
      <c r="E2791" s="181"/>
      <c r="F2791" s="181"/>
      <c r="G2791" s="181"/>
      <c r="H2791" s="181"/>
      <c r="I2791" s="181"/>
      <c r="J2791" s="181"/>
      <c r="K2791" s="181"/>
      <c r="L2791" s="181"/>
      <c r="M2791" s="181"/>
      <c r="N2791" s="181"/>
      <c r="O2791" s="181"/>
      <c r="P2791" s="181"/>
    </row>
    <row r="2792">
      <c r="B2792" s="292"/>
      <c r="C2792" s="181"/>
      <c r="D2792" s="181"/>
      <c r="E2792" s="181"/>
      <c r="F2792" s="181"/>
      <c r="G2792" s="181"/>
      <c r="H2792" s="181"/>
      <c r="I2792" s="181"/>
      <c r="J2792" s="181"/>
      <c r="K2792" s="181"/>
      <c r="L2792" s="181"/>
      <c r="M2792" s="181"/>
      <c r="N2792" s="181"/>
      <c r="O2792" s="181"/>
      <c r="P2792" s="181"/>
    </row>
    <row r="2793">
      <c r="B2793" s="292"/>
      <c r="C2793" s="181"/>
      <c r="D2793" s="181"/>
      <c r="E2793" s="181"/>
      <c r="F2793" s="181"/>
      <c r="G2793" s="181"/>
      <c r="H2793" s="181"/>
      <c r="I2793" s="181"/>
      <c r="J2793" s="181"/>
      <c r="K2793" s="181"/>
      <c r="L2793" s="181"/>
      <c r="M2793" s="181"/>
      <c r="N2793" s="181"/>
      <c r="O2793" s="181"/>
      <c r="P2793" s="181"/>
    </row>
    <row r="2794">
      <c r="B2794" s="292"/>
      <c r="C2794" s="181"/>
      <c r="D2794" s="181"/>
      <c r="E2794" s="181"/>
      <c r="F2794" s="181"/>
      <c r="G2794" s="181"/>
      <c r="H2794" s="181"/>
      <c r="I2794" s="181"/>
      <c r="J2794" s="181"/>
      <c r="K2794" s="181"/>
      <c r="L2794" s="181"/>
      <c r="M2794" s="181"/>
      <c r="N2794" s="181"/>
      <c r="O2794" s="181"/>
      <c r="P2794" s="181"/>
    </row>
    <row r="2795">
      <c r="B2795" s="292"/>
      <c r="C2795" s="181"/>
      <c r="D2795" s="181"/>
      <c r="E2795" s="181"/>
      <c r="F2795" s="181"/>
      <c r="G2795" s="181"/>
      <c r="H2795" s="181"/>
      <c r="I2795" s="181"/>
      <c r="J2795" s="181"/>
      <c r="K2795" s="181"/>
      <c r="L2795" s="181"/>
      <c r="M2795" s="181"/>
      <c r="N2795" s="181"/>
      <c r="O2795" s="181"/>
      <c r="P2795" s="181"/>
    </row>
    <row r="2796">
      <c r="B2796" s="292"/>
      <c r="C2796" s="181"/>
      <c r="D2796" s="181"/>
      <c r="E2796" s="181"/>
      <c r="F2796" s="181"/>
      <c r="G2796" s="181"/>
      <c r="H2796" s="181"/>
      <c r="I2796" s="181"/>
      <c r="J2796" s="181"/>
      <c r="K2796" s="181"/>
      <c r="L2796" s="181"/>
      <c r="M2796" s="181"/>
      <c r="N2796" s="181"/>
      <c r="O2796" s="181"/>
      <c r="P2796" s="181"/>
    </row>
    <row r="2797">
      <c r="B2797" s="292"/>
      <c r="C2797" s="181"/>
      <c r="D2797" s="181"/>
      <c r="E2797" s="181"/>
      <c r="F2797" s="181"/>
      <c r="G2797" s="181"/>
      <c r="H2797" s="181"/>
      <c r="I2797" s="181"/>
      <c r="J2797" s="181"/>
      <c r="K2797" s="181"/>
      <c r="L2797" s="181"/>
      <c r="M2797" s="181"/>
      <c r="N2797" s="181"/>
      <c r="O2797" s="181"/>
      <c r="P2797" s="181"/>
    </row>
    <row r="2798">
      <c r="B2798" s="292"/>
      <c r="C2798" s="181"/>
      <c r="D2798" s="181"/>
      <c r="E2798" s="181"/>
      <c r="F2798" s="181"/>
      <c r="G2798" s="181"/>
      <c r="H2798" s="181"/>
      <c r="I2798" s="181"/>
      <c r="J2798" s="181"/>
      <c r="K2798" s="181"/>
      <c r="L2798" s="181"/>
      <c r="M2798" s="181"/>
      <c r="N2798" s="181"/>
      <c r="O2798" s="181"/>
      <c r="P2798" s="181"/>
    </row>
    <row r="2799">
      <c r="B2799" s="292"/>
      <c r="C2799" s="181"/>
      <c r="D2799" s="181"/>
      <c r="E2799" s="181"/>
      <c r="F2799" s="181"/>
      <c r="G2799" s="181"/>
      <c r="H2799" s="181"/>
      <c r="I2799" s="181"/>
      <c r="J2799" s="181"/>
      <c r="K2799" s="181"/>
      <c r="L2799" s="181"/>
      <c r="M2799" s="181"/>
      <c r="N2799" s="181"/>
      <c r="O2799" s="181"/>
      <c r="P2799" s="181"/>
    </row>
    <row r="2800">
      <c r="B2800" s="292"/>
      <c r="C2800" s="181"/>
      <c r="D2800" s="181"/>
      <c r="E2800" s="181"/>
      <c r="F2800" s="181"/>
      <c r="G2800" s="181"/>
      <c r="H2800" s="181"/>
      <c r="I2800" s="181"/>
      <c r="J2800" s="181"/>
      <c r="K2800" s="181"/>
      <c r="L2800" s="181"/>
      <c r="M2800" s="181"/>
      <c r="N2800" s="181"/>
      <c r="O2800" s="181"/>
      <c r="P2800" s="181"/>
    </row>
    <row r="2801">
      <c r="B2801" s="292"/>
      <c r="C2801" s="181"/>
      <c r="D2801" s="181"/>
      <c r="E2801" s="181"/>
      <c r="F2801" s="181"/>
      <c r="G2801" s="181"/>
      <c r="H2801" s="181"/>
      <c r="I2801" s="181"/>
      <c r="J2801" s="181"/>
      <c r="K2801" s="181"/>
      <c r="L2801" s="181"/>
      <c r="M2801" s="181"/>
      <c r="N2801" s="181"/>
      <c r="O2801" s="181"/>
      <c r="P2801" s="181"/>
    </row>
    <row r="2802">
      <c r="B2802" s="292"/>
      <c r="C2802" s="181"/>
      <c r="D2802" s="181"/>
      <c r="E2802" s="181"/>
      <c r="F2802" s="181"/>
      <c r="G2802" s="181"/>
      <c r="H2802" s="181"/>
      <c r="I2802" s="181"/>
      <c r="J2802" s="181"/>
      <c r="K2802" s="181"/>
      <c r="L2802" s="181"/>
      <c r="M2802" s="181"/>
      <c r="N2802" s="181"/>
      <c r="O2802" s="181"/>
      <c r="P2802" s="181"/>
    </row>
    <row r="2803">
      <c r="B2803" s="292"/>
      <c r="C2803" s="181"/>
      <c r="D2803" s="181"/>
      <c r="E2803" s="181"/>
      <c r="F2803" s="181"/>
      <c r="G2803" s="181"/>
      <c r="H2803" s="181"/>
      <c r="I2803" s="181"/>
      <c r="J2803" s="181"/>
      <c r="K2803" s="181"/>
      <c r="L2803" s="181"/>
      <c r="M2803" s="181"/>
      <c r="N2803" s="181"/>
      <c r="O2803" s="181"/>
      <c r="P2803" s="181"/>
    </row>
    <row r="2804">
      <c r="B2804" s="292"/>
      <c r="C2804" s="181"/>
      <c r="D2804" s="181"/>
      <c r="E2804" s="181"/>
      <c r="F2804" s="181"/>
      <c r="G2804" s="181"/>
      <c r="H2804" s="181"/>
      <c r="I2804" s="181"/>
      <c r="J2804" s="181"/>
      <c r="K2804" s="181"/>
      <c r="L2804" s="181"/>
      <c r="M2804" s="181"/>
      <c r="N2804" s="181"/>
      <c r="O2804" s="181"/>
      <c r="P2804" s="181"/>
    </row>
    <row r="2805">
      <c r="B2805" s="292"/>
      <c r="C2805" s="181"/>
      <c r="D2805" s="181"/>
      <c r="E2805" s="181"/>
      <c r="F2805" s="181"/>
      <c r="G2805" s="181"/>
      <c r="H2805" s="181"/>
      <c r="I2805" s="181"/>
      <c r="J2805" s="181"/>
      <c r="K2805" s="181"/>
      <c r="L2805" s="181"/>
      <c r="M2805" s="181"/>
      <c r="N2805" s="181"/>
      <c r="O2805" s="181"/>
      <c r="P2805" s="181"/>
    </row>
    <row r="2806">
      <c r="B2806" s="292"/>
      <c r="C2806" s="181"/>
      <c r="D2806" s="181"/>
      <c r="E2806" s="181"/>
      <c r="F2806" s="181"/>
      <c r="G2806" s="181"/>
      <c r="H2806" s="181"/>
      <c r="I2806" s="181"/>
      <c r="J2806" s="181"/>
      <c r="K2806" s="181"/>
      <c r="L2806" s="181"/>
      <c r="M2806" s="181"/>
      <c r="N2806" s="181"/>
      <c r="O2806" s="181"/>
      <c r="P2806" s="181"/>
    </row>
    <row r="2807">
      <c r="B2807" s="292"/>
      <c r="C2807" s="181"/>
      <c r="D2807" s="181"/>
      <c r="E2807" s="181"/>
      <c r="F2807" s="181"/>
      <c r="G2807" s="181"/>
      <c r="H2807" s="181"/>
      <c r="I2807" s="181"/>
      <c r="J2807" s="181"/>
      <c r="K2807" s="181"/>
      <c r="L2807" s="181"/>
      <c r="M2807" s="181"/>
      <c r="N2807" s="181"/>
      <c r="O2807" s="181"/>
      <c r="P2807" s="181"/>
    </row>
    <row r="2808">
      <c r="B2808" s="292"/>
      <c r="C2808" s="181"/>
      <c r="D2808" s="181"/>
      <c r="E2808" s="181"/>
      <c r="F2808" s="181"/>
      <c r="G2808" s="181"/>
      <c r="H2808" s="181"/>
      <c r="I2808" s="181"/>
      <c r="J2808" s="181"/>
      <c r="K2808" s="181"/>
      <c r="L2808" s="181"/>
      <c r="M2808" s="181"/>
      <c r="N2808" s="181"/>
      <c r="O2808" s="181"/>
      <c r="P2808" s="181"/>
    </row>
    <row r="2809">
      <c r="B2809" s="292"/>
      <c r="C2809" s="181"/>
      <c r="D2809" s="181"/>
      <c r="E2809" s="181"/>
      <c r="F2809" s="181"/>
      <c r="G2809" s="181"/>
      <c r="H2809" s="181"/>
      <c r="I2809" s="181"/>
      <c r="J2809" s="181"/>
      <c r="K2809" s="181"/>
      <c r="L2809" s="181"/>
      <c r="M2809" s="181"/>
      <c r="N2809" s="181"/>
      <c r="O2809" s="181"/>
      <c r="P2809" s="181"/>
    </row>
    <row r="2810">
      <c r="B2810" s="292"/>
      <c r="C2810" s="181"/>
      <c r="D2810" s="181"/>
      <c r="E2810" s="181"/>
      <c r="F2810" s="181"/>
      <c r="G2810" s="181"/>
      <c r="H2810" s="181"/>
      <c r="I2810" s="181"/>
      <c r="J2810" s="181"/>
      <c r="K2810" s="181"/>
      <c r="L2810" s="181"/>
      <c r="M2810" s="181"/>
      <c r="N2810" s="181"/>
      <c r="O2810" s="181"/>
      <c r="P2810" s="181"/>
    </row>
    <row r="2811">
      <c r="B2811" s="292"/>
      <c r="C2811" s="181"/>
      <c r="D2811" s="181"/>
      <c r="E2811" s="181"/>
      <c r="F2811" s="181"/>
      <c r="G2811" s="181"/>
      <c r="H2811" s="181"/>
      <c r="I2811" s="181"/>
      <c r="J2811" s="181"/>
      <c r="K2811" s="181"/>
      <c r="L2811" s="181"/>
      <c r="M2811" s="181"/>
      <c r="N2811" s="181"/>
      <c r="O2811" s="181"/>
      <c r="P2811" s="181"/>
    </row>
    <row r="2812">
      <c r="B2812" s="292"/>
      <c r="C2812" s="181"/>
      <c r="D2812" s="181"/>
      <c r="E2812" s="181"/>
      <c r="F2812" s="181"/>
      <c r="G2812" s="181"/>
      <c r="H2812" s="181"/>
      <c r="I2812" s="181"/>
      <c r="J2812" s="181"/>
      <c r="K2812" s="181"/>
      <c r="L2812" s="181"/>
      <c r="M2812" s="181"/>
      <c r="N2812" s="181"/>
      <c r="O2812" s="181"/>
      <c r="P2812" s="181"/>
    </row>
    <row r="2813">
      <c r="B2813" s="292"/>
      <c r="C2813" s="181"/>
      <c r="D2813" s="181"/>
      <c r="E2813" s="181"/>
      <c r="F2813" s="181"/>
      <c r="G2813" s="181"/>
      <c r="H2813" s="181"/>
      <c r="I2813" s="181"/>
      <c r="J2813" s="181"/>
      <c r="K2813" s="181"/>
      <c r="L2813" s="181"/>
      <c r="M2813" s="181"/>
      <c r="N2813" s="181"/>
      <c r="O2813" s="181"/>
      <c r="P2813" s="181"/>
    </row>
    <row r="2814">
      <c r="B2814" s="292"/>
      <c r="C2814" s="181"/>
      <c r="D2814" s="181"/>
      <c r="E2814" s="181"/>
      <c r="F2814" s="181"/>
      <c r="G2814" s="181"/>
      <c r="H2814" s="181"/>
      <c r="I2814" s="181"/>
      <c r="J2814" s="181"/>
      <c r="K2814" s="181"/>
      <c r="L2814" s="181"/>
      <c r="M2814" s="181"/>
      <c r="N2814" s="181"/>
      <c r="O2814" s="181"/>
      <c r="P2814" s="181"/>
    </row>
    <row r="2815">
      <c r="B2815" s="292"/>
      <c r="C2815" s="181"/>
      <c r="D2815" s="181"/>
      <c r="E2815" s="181"/>
      <c r="F2815" s="181"/>
      <c r="G2815" s="181"/>
      <c r="H2815" s="181"/>
      <c r="I2815" s="181"/>
      <c r="J2815" s="181"/>
      <c r="K2815" s="181"/>
      <c r="L2815" s="181"/>
      <c r="M2815" s="181"/>
      <c r="N2815" s="181"/>
      <c r="O2815" s="181"/>
      <c r="P2815" s="181"/>
    </row>
    <row r="2816">
      <c r="B2816" s="292"/>
      <c r="C2816" s="181"/>
      <c r="D2816" s="181"/>
      <c r="E2816" s="181"/>
      <c r="F2816" s="181"/>
      <c r="G2816" s="181"/>
      <c r="H2816" s="181"/>
      <c r="I2816" s="181"/>
      <c r="J2816" s="181"/>
      <c r="K2816" s="181"/>
      <c r="L2816" s="181"/>
      <c r="M2816" s="181"/>
      <c r="N2816" s="181"/>
      <c r="O2816" s="181"/>
      <c r="P2816" s="181"/>
    </row>
    <row r="2817">
      <c r="B2817" s="292"/>
      <c r="C2817" s="181"/>
      <c r="D2817" s="181"/>
      <c r="E2817" s="181"/>
      <c r="F2817" s="181"/>
      <c r="G2817" s="181"/>
      <c r="H2817" s="181"/>
      <c r="I2817" s="181"/>
      <c r="J2817" s="181"/>
      <c r="K2817" s="181"/>
      <c r="L2817" s="181"/>
      <c r="M2817" s="181"/>
      <c r="N2817" s="181"/>
      <c r="O2817" s="181"/>
      <c r="P2817" s="181"/>
    </row>
    <row r="2818">
      <c r="B2818" s="292"/>
      <c r="C2818" s="181"/>
      <c r="D2818" s="181"/>
      <c r="E2818" s="181"/>
      <c r="F2818" s="181"/>
      <c r="G2818" s="181"/>
      <c r="H2818" s="181"/>
      <c r="I2818" s="181"/>
      <c r="J2818" s="181"/>
      <c r="K2818" s="181"/>
      <c r="L2818" s="181"/>
      <c r="M2818" s="181"/>
      <c r="N2818" s="181"/>
      <c r="O2818" s="181"/>
      <c r="P2818" s="181"/>
    </row>
    <row r="2819">
      <c r="B2819" s="292"/>
      <c r="C2819" s="181"/>
      <c r="D2819" s="181"/>
      <c r="E2819" s="181"/>
      <c r="F2819" s="181"/>
      <c r="G2819" s="181"/>
      <c r="H2819" s="181"/>
      <c r="I2819" s="181"/>
      <c r="J2819" s="181"/>
      <c r="K2819" s="181"/>
      <c r="L2819" s="181"/>
      <c r="M2819" s="181"/>
      <c r="N2819" s="181"/>
      <c r="O2819" s="181"/>
      <c r="P2819" s="181"/>
    </row>
    <row r="2820">
      <c r="B2820" s="292"/>
      <c r="C2820" s="181"/>
      <c r="D2820" s="181"/>
      <c r="E2820" s="181"/>
      <c r="F2820" s="181"/>
      <c r="G2820" s="181"/>
      <c r="H2820" s="181"/>
      <c r="I2820" s="181"/>
      <c r="J2820" s="181"/>
      <c r="K2820" s="181"/>
      <c r="L2820" s="181"/>
      <c r="M2820" s="181"/>
      <c r="N2820" s="181"/>
      <c r="O2820" s="181"/>
      <c r="P2820" s="181"/>
    </row>
    <row r="2821">
      <c r="B2821" s="292"/>
      <c r="C2821" s="181"/>
      <c r="D2821" s="181"/>
      <c r="E2821" s="181"/>
      <c r="F2821" s="181"/>
      <c r="G2821" s="181"/>
      <c r="H2821" s="181"/>
      <c r="I2821" s="181"/>
      <c r="J2821" s="181"/>
      <c r="K2821" s="181"/>
      <c r="L2821" s="181"/>
      <c r="M2821" s="181"/>
      <c r="N2821" s="181"/>
      <c r="O2821" s="181"/>
      <c r="P2821" s="181"/>
    </row>
    <row r="2822">
      <c r="B2822" s="292"/>
      <c r="C2822" s="181"/>
      <c r="D2822" s="181"/>
      <c r="E2822" s="181"/>
      <c r="F2822" s="181"/>
      <c r="G2822" s="181"/>
      <c r="H2822" s="181"/>
      <c r="I2822" s="181"/>
      <c r="J2822" s="181"/>
      <c r="K2822" s="181"/>
      <c r="L2822" s="181"/>
      <c r="M2822" s="181"/>
      <c r="N2822" s="181"/>
      <c r="O2822" s="181"/>
      <c r="P2822" s="181"/>
    </row>
    <row r="2823">
      <c r="B2823" s="292"/>
      <c r="C2823" s="181"/>
      <c r="D2823" s="181"/>
      <c r="E2823" s="181"/>
      <c r="F2823" s="181"/>
      <c r="G2823" s="181"/>
      <c r="H2823" s="181"/>
      <c r="I2823" s="181"/>
      <c r="J2823" s="181"/>
      <c r="K2823" s="181"/>
      <c r="L2823" s="181"/>
      <c r="M2823" s="181"/>
      <c r="N2823" s="181"/>
      <c r="O2823" s="181"/>
      <c r="P2823" s="181"/>
    </row>
    <row r="2824">
      <c r="B2824" s="292"/>
      <c r="C2824" s="181"/>
      <c r="D2824" s="181"/>
      <c r="E2824" s="181"/>
      <c r="F2824" s="181"/>
      <c r="G2824" s="181"/>
      <c r="H2824" s="181"/>
      <c r="I2824" s="181"/>
      <c r="J2824" s="181"/>
      <c r="K2824" s="181"/>
      <c r="L2824" s="181"/>
      <c r="M2824" s="181"/>
      <c r="N2824" s="181"/>
      <c r="O2824" s="181"/>
      <c r="P2824" s="181"/>
    </row>
    <row r="2825">
      <c r="B2825" s="292"/>
      <c r="C2825" s="181"/>
      <c r="D2825" s="181"/>
      <c r="E2825" s="181"/>
      <c r="F2825" s="181"/>
      <c r="G2825" s="181"/>
      <c r="H2825" s="181"/>
      <c r="I2825" s="181"/>
      <c r="J2825" s="181"/>
      <c r="K2825" s="181"/>
      <c r="L2825" s="181"/>
      <c r="M2825" s="181"/>
      <c r="N2825" s="181"/>
      <c r="O2825" s="181"/>
      <c r="P2825" s="181"/>
    </row>
    <row r="2826">
      <c r="B2826" s="292"/>
      <c r="C2826" s="181"/>
      <c r="D2826" s="181"/>
      <c r="E2826" s="181"/>
      <c r="F2826" s="181"/>
      <c r="G2826" s="181"/>
      <c r="H2826" s="181"/>
      <c r="I2826" s="181"/>
      <c r="J2826" s="181"/>
      <c r="K2826" s="181"/>
      <c r="L2826" s="181"/>
      <c r="M2826" s="181"/>
      <c r="N2826" s="181"/>
      <c r="O2826" s="181"/>
      <c r="P2826" s="181"/>
    </row>
    <row r="2827">
      <c r="B2827" s="292"/>
      <c r="C2827" s="181"/>
      <c r="D2827" s="181"/>
      <c r="E2827" s="181"/>
      <c r="F2827" s="181"/>
      <c r="G2827" s="181"/>
      <c r="H2827" s="181"/>
      <c r="I2827" s="181"/>
      <c r="J2827" s="181"/>
      <c r="K2827" s="181"/>
      <c r="L2827" s="181"/>
      <c r="M2827" s="181"/>
      <c r="N2827" s="181"/>
      <c r="O2827" s="181"/>
      <c r="P2827" s="181"/>
    </row>
    <row r="2828">
      <c r="B2828" s="292"/>
      <c r="C2828" s="181"/>
      <c r="D2828" s="181"/>
      <c r="E2828" s="181"/>
      <c r="F2828" s="181"/>
      <c r="G2828" s="181"/>
      <c r="H2828" s="181"/>
      <c r="I2828" s="181"/>
      <c r="J2828" s="181"/>
      <c r="K2828" s="181"/>
      <c r="L2828" s="181"/>
      <c r="M2828" s="181"/>
      <c r="N2828" s="181"/>
      <c r="O2828" s="181"/>
      <c r="P2828" s="181"/>
    </row>
    <row r="2829">
      <c r="B2829" s="292"/>
      <c r="C2829" s="181"/>
      <c r="D2829" s="181"/>
      <c r="E2829" s="181"/>
      <c r="F2829" s="181"/>
      <c r="G2829" s="181"/>
      <c r="H2829" s="181"/>
      <c r="I2829" s="181"/>
      <c r="J2829" s="181"/>
      <c r="K2829" s="181"/>
      <c r="L2829" s="181"/>
      <c r="M2829" s="181"/>
      <c r="N2829" s="181"/>
      <c r="O2829" s="181"/>
      <c r="P2829" s="181"/>
    </row>
    <row r="2830">
      <c r="B2830" s="292"/>
      <c r="C2830" s="181"/>
      <c r="D2830" s="181"/>
      <c r="E2830" s="181"/>
      <c r="F2830" s="181"/>
      <c r="G2830" s="181"/>
      <c r="H2830" s="181"/>
      <c r="I2830" s="181"/>
      <c r="J2830" s="181"/>
      <c r="K2830" s="181"/>
      <c r="L2830" s="181"/>
      <c r="M2830" s="181"/>
      <c r="N2830" s="181"/>
      <c r="O2830" s="181"/>
      <c r="P2830" s="181"/>
    </row>
    <row r="2831">
      <c r="B2831" s="292"/>
      <c r="C2831" s="181"/>
      <c r="D2831" s="181"/>
      <c r="E2831" s="181"/>
      <c r="F2831" s="181"/>
      <c r="G2831" s="181"/>
      <c r="H2831" s="181"/>
      <c r="I2831" s="181"/>
      <c r="J2831" s="181"/>
      <c r="K2831" s="181"/>
      <c r="L2831" s="181"/>
      <c r="M2831" s="181"/>
      <c r="N2831" s="181"/>
      <c r="O2831" s="181"/>
      <c r="P2831" s="181"/>
    </row>
    <row r="2832">
      <c r="B2832" s="292"/>
      <c r="C2832" s="181"/>
      <c r="D2832" s="181"/>
      <c r="E2832" s="181"/>
      <c r="F2832" s="181"/>
      <c r="G2832" s="181"/>
      <c r="H2832" s="181"/>
      <c r="I2832" s="181"/>
      <c r="J2832" s="181"/>
      <c r="K2832" s="181"/>
      <c r="L2832" s="181"/>
      <c r="M2832" s="181"/>
      <c r="N2832" s="181"/>
      <c r="O2832" s="181"/>
      <c r="P2832" s="181"/>
    </row>
    <row r="2833">
      <c r="B2833" s="292"/>
      <c r="C2833" s="181"/>
      <c r="D2833" s="181"/>
      <c r="E2833" s="181"/>
      <c r="F2833" s="181"/>
      <c r="G2833" s="181"/>
      <c r="H2833" s="181"/>
      <c r="I2833" s="181"/>
      <c r="J2833" s="181"/>
      <c r="K2833" s="181"/>
      <c r="L2833" s="181"/>
      <c r="M2833" s="181"/>
      <c r="N2833" s="181"/>
      <c r="O2833" s="181"/>
      <c r="P2833" s="181"/>
    </row>
    <row r="2834">
      <c r="B2834" s="292"/>
      <c r="C2834" s="181"/>
      <c r="D2834" s="181"/>
      <c r="E2834" s="181"/>
      <c r="F2834" s="181"/>
      <c r="G2834" s="181"/>
      <c r="H2834" s="181"/>
      <c r="I2834" s="181"/>
      <c r="J2834" s="181"/>
      <c r="K2834" s="181"/>
      <c r="L2834" s="181"/>
      <c r="M2834" s="181"/>
      <c r="N2834" s="181"/>
      <c r="O2834" s="181"/>
      <c r="P2834" s="181"/>
    </row>
    <row r="2835">
      <c r="B2835" s="292"/>
      <c r="C2835" s="181"/>
      <c r="D2835" s="181"/>
      <c r="E2835" s="181"/>
      <c r="F2835" s="181"/>
      <c r="G2835" s="181"/>
      <c r="H2835" s="181"/>
      <c r="I2835" s="181"/>
      <c r="J2835" s="181"/>
      <c r="K2835" s="181"/>
      <c r="L2835" s="181"/>
      <c r="M2835" s="181"/>
      <c r="N2835" s="181"/>
      <c r="O2835" s="181"/>
      <c r="P2835" s="181"/>
    </row>
    <row r="2836">
      <c r="B2836" s="292"/>
      <c r="C2836" s="181"/>
      <c r="D2836" s="181"/>
      <c r="E2836" s="181"/>
      <c r="F2836" s="181"/>
      <c r="G2836" s="181"/>
      <c r="H2836" s="181"/>
      <c r="I2836" s="181"/>
      <c r="J2836" s="181"/>
      <c r="K2836" s="181"/>
      <c r="L2836" s="181"/>
      <c r="M2836" s="181"/>
      <c r="N2836" s="181"/>
      <c r="O2836" s="181"/>
      <c r="P2836" s="181"/>
    </row>
    <row r="2837">
      <c r="B2837" s="292"/>
      <c r="C2837" s="181"/>
      <c r="D2837" s="181"/>
      <c r="E2837" s="181"/>
      <c r="F2837" s="181"/>
      <c r="G2837" s="181"/>
      <c r="H2837" s="181"/>
      <c r="I2837" s="181"/>
      <c r="J2837" s="181"/>
      <c r="K2837" s="181"/>
      <c r="L2837" s="181"/>
      <c r="M2837" s="181"/>
      <c r="N2837" s="181"/>
      <c r="O2837" s="181"/>
      <c r="P2837" s="181"/>
    </row>
    <row r="2838">
      <c r="B2838" s="292"/>
      <c r="C2838" s="181"/>
      <c r="D2838" s="181"/>
      <c r="E2838" s="181"/>
      <c r="F2838" s="181"/>
      <c r="G2838" s="181"/>
      <c r="H2838" s="181"/>
      <c r="I2838" s="181"/>
      <c r="J2838" s="181"/>
      <c r="K2838" s="181"/>
      <c r="L2838" s="181"/>
      <c r="M2838" s="181"/>
      <c r="N2838" s="181"/>
      <c r="O2838" s="181"/>
      <c r="P2838" s="181"/>
    </row>
    <row r="2839">
      <c r="B2839" s="292"/>
      <c r="C2839" s="181"/>
      <c r="D2839" s="181"/>
      <c r="E2839" s="181"/>
      <c r="F2839" s="181"/>
      <c r="G2839" s="181"/>
      <c r="H2839" s="181"/>
      <c r="I2839" s="181"/>
      <c r="J2839" s="181"/>
      <c r="K2839" s="181"/>
      <c r="L2839" s="181"/>
      <c r="M2839" s="181"/>
      <c r="N2839" s="181"/>
      <c r="O2839" s="181"/>
      <c r="P2839" s="181"/>
    </row>
    <row r="2840">
      <c r="B2840" s="292"/>
      <c r="C2840" s="181"/>
      <c r="D2840" s="181"/>
      <c r="E2840" s="181"/>
      <c r="F2840" s="181"/>
      <c r="G2840" s="181"/>
      <c r="H2840" s="181"/>
      <c r="I2840" s="181"/>
      <c r="J2840" s="181"/>
      <c r="K2840" s="181"/>
      <c r="L2840" s="181"/>
      <c r="M2840" s="181"/>
      <c r="N2840" s="181"/>
      <c r="O2840" s="181"/>
      <c r="P2840" s="181"/>
    </row>
    <row r="2841">
      <c r="B2841" s="292"/>
      <c r="C2841" s="181"/>
      <c r="D2841" s="181"/>
      <c r="E2841" s="181"/>
      <c r="F2841" s="181"/>
      <c r="G2841" s="181"/>
      <c r="H2841" s="181"/>
      <c r="I2841" s="181"/>
      <c r="J2841" s="181"/>
      <c r="K2841" s="181"/>
      <c r="L2841" s="181"/>
      <c r="M2841" s="181"/>
      <c r="N2841" s="181"/>
      <c r="O2841" s="181"/>
      <c r="P2841" s="181"/>
    </row>
    <row r="2842">
      <c r="B2842" s="292"/>
      <c r="C2842" s="181"/>
      <c r="D2842" s="181"/>
      <c r="E2842" s="181"/>
      <c r="F2842" s="181"/>
      <c r="G2842" s="181"/>
      <c r="H2842" s="181"/>
      <c r="I2842" s="181"/>
      <c r="J2842" s="181"/>
      <c r="K2842" s="181"/>
      <c r="L2842" s="181"/>
      <c r="M2842" s="181"/>
      <c r="N2842" s="181"/>
      <c r="O2842" s="181"/>
      <c r="P2842" s="181"/>
    </row>
    <row r="2843">
      <c r="B2843" s="292"/>
      <c r="C2843" s="181"/>
      <c r="D2843" s="181"/>
      <c r="E2843" s="181"/>
      <c r="F2843" s="181"/>
      <c r="G2843" s="181"/>
      <c r="H2843" s="181"/>
      <c r="I2843" s="181"/>
      <c r="J2843" s="181"/>
      <c r="K2843" s="181"/>
      <c r="L2843" s="181"/>
      <c r="M2843" s="181"/>
      <c r="N2843" s="181"/>
      <c r="O2843" s="181"/>
      <c r="P2843" s="181"/>
    </row>
    <row r="2844">
      <c r="B2844" s="292"/>
      <c r="C2844" s="181"/>
      <c r="D2844" s="181"/>
      <c r="E2844" s="181"/>
      <c r="F2844" s="181"/>
      <c r="G2844" s="181"/>
      <c r="H2844" s="181"/>
      <c r="I2844" s="181"/>
      <c r="J2844" s="181"/>
      <c r="K2844" s="181"/>
      <c r="L2844" s="181"/>
      <c r="M2844" s="181"/>
      <c r="N2844" s="181"/>
      <c r="O2844" s="181"/>
      <c r="P2844" s="181"/>
    </row>
    <row r="2845">
      <c r="B2845" s="292"/>
      <c r="C2845" s="181"/>
      <c r="D2845" s="181"/>
      <c r="E2845" s="181"/>
      <c r="F2845" s="181"/>
      <c r="G2845" s="181"/>
      <c r="H2845" s="181"/>
      <c r="I2845" s="181"/>
      <c r="J2845" s="181"/>
      <c r="K2845" s="181"/>
      <c r="L2845" s="181"/>
      <c r="M2845" s="181"/>
      <c r="N2845" s="181"/>
      <c r="O2845" s="181"/>
      <c r="P2845" s="181"/>
    </row>
    <row r="2846">
      <c r="B2846" s="292"/>
      <c r="C2846" s="181"/>
      <c r="D2846" s="181"/>
      <c r="E2846" s="181"/>
      <c r="F2846" s="181"/>
      <c r="G2846" s="181"/>
      <c r="H2846" s="181"/>
      <c r="I2846" s="181"/>
      <c r="J2846" s="181"/>
      <c r="K2846" s="181"/>
      <c r="L2846" s="181"/>
      <c r="M2846" s="181"/>
      <c r="N2846" s="181"/>
      <c r="O2846" s="181"/>
      <c r="P2846" s="181"/>
    </row>
    <row r="2847">
      <c r="B2847" s="292"/>
      <c r="C2847" s="181"/>
      <c r="D2847" s="181"/>
      <c r="E2847" s="181"/>
      <c r="F2847" s="181"/>
      <c r="G2847" s="181"/>
      <c r="H2847" s="181"/>
      <c r="I2847" s="181"/>
      <c r="J2847" s="181"/>
      <c r="K2847" s="181"/>
      <c r="L2847" s="181"/>
      <c r="M2847" s="181"/>
      <c r="N2847" s="181"/>
      <c r="O2847" s="181"/>
      <c r="P2847" s="181"/>
    </row>
    <row r="2848">
      <c r="B2848" s="292"/>
      <c r="C2848" s="181"/>
      <c r="D2848" s="181"/>
      <c r="E2848" s="181"/>
      <c r="F2848" s="181"/>
      <c r="G2848" s="181"/>
      <c r="H2848" s="181"/>
      <c r="I2848" s="181"/>
      <c r="J2848" s="181"/>
      <c r="K2848" s="181"/>
      <c r="L2848" s="181"/>
      <c r="M2848" s="181"/>
      <c r="N2848" s="181"/>
      <c r="O2848" s="181"/>
      <c r="P2848" s="181"/>
    </row>
    <row r="2849">
      <c r="B2849" s="292"/>
      <c r="C2849" s="181"/>
      <c r="D2849" s="181"/>
      <c r="E2849" s="181"/>
      <c r="F2849" s="181"/>
      <c r="G2849" s="181"/>
      <c r="H2849" s="181"/>
      <c r="I2849" s="181"/>
      <c r="J2849" s="181"/>
      <c r="K2849" s="181"/>
      <c r="L2849" s="181"/>
      <c r="M2849" s="181"/>
      <c r="N2849" s="181"/>
      <c r="O2849" s="181"/>
      <c r="P2849" s="181"/>
    </row>
    <row r="2850">
      <c r="B2850" s="292"/>
      <c r="C2850" s="181"/>
      <c r="D2850" s="181"/>
      <c r="E2850" s="181"/>
      <c r="F2850" s="181"/>
      <c r="G2850" s="181"/>
      <c r="H2850" s="181"/>
      <c r="I2850" s="181"/>
      <c r="J2850" s="181"/>
      <c r="K2850" s="181"/>
      <c r="L2850" s="181"/>
      <c r="M2850" s="181"/>
      <c r="N2850" s="181"/>
      <c r="O2850" s="181"/>
      <c r="P2850" s="181"/>
    </row>
    <row r="2851">
      <c r="B2851" s="292"/>
      <c r="C2851" s="181"/>
      <c r="D2851" s="181"/>
      <c r="E2851" s="181"/>
      <c r="F2851" s="181"/>
      <c r="G2851" s="181"/>
      <c r="H2851" s="181"/>
      <c r="I2851" s="181"/>
      <c r="J2851" s="181"/>
      <c r="K2851" s="181"/>
      <c r="L2851" s="181"/>
      <c r="M2851" s="181"/>
      <c r="N2851" s="181"/>
      <c r="O2851" s="181"/>
      <c r="P2851" s="181"/>
    </row>
    <row r="2852">
      <c r="B2852" s="292"/>
      <c r="C2852" s="181"/>
      <c r="D2852" s="181"/>
      <c r="E2852" s="181"/>
      <c r="F2852" s="181"/>
      <c r="G2852" s="181"/>
      <c r="H2852" s="181"/>
      <c r="I2852" s="181"/>
      <c r="J2852" s="181"/>
      <c r="K2852" s="181"/>
      <c r="L2852" s="181"/>
      <c r="M2852" s="181"/>
      <c r="N2852" s="181"/>
      <c r="O2852" s="181"/>
      <c r="P2852" s="181"/>
    </row>
    <row r="2853">
      <c r="B2853" s="292"/>
      <c r="C2853" s="181"/>
      <c r="D2853" s="181"/>
      <c r="E2853" s="181"/>
      <c r="F2853" s="181"/>
      <c r="G2853" s="181"/>
      <c r="H2853" s="181"/>
      <c r="I2853" s="181"/>
      <c r="J2853" s="181"/>
      <c r="K2853" s="181"/>
      <c r="L2853" s="181"/>
      <c r="M2853" s="181"/>
      <c r="N2853" s="181"/>
      <c r="O2853" s="181"/>
      <c r="P2853" s="181"/>
    </row>
    <row r="2854">
      <c r="B2854" s="292"/>
      <c r="C2854" s="181"/>
      <c r="D2854" s="181"/>
      <c r="E2854" s="181"/>
      <c r="F2854" s="181"/>
      <c r="G2854" s="181"/>
      <c r="H2854" s="181"/>
      <c r="I2854" s="181"/>
      <c r="J2854" s="181"/>
      <c r="K2854" s="181"/>
      <c r="L2854" s="181"/>
      <c r="M2854" s="181"/>
      <c r="N2854" s="181"/>
      <c r="O2854" s="181"/>
      <c r="P2854" s="181"/>
    </row>
    <row r="2855">
      <c r="B2855" s="292"/>
      <c r="C2855" s="181"/>
      <c r="D2855" s="181"/>
      <c r="E2855" s="181"/>
      <c r="F2855" s="181"/>
      <c r="G2855" s="181"/>
      <c r="H2855" s="181"/>
      <c r="I2855" s="181"/>
      <c r="J2855" s="181"/>
      <c r="K2855" s="181"/>
      <c r="L2855" s="181"/>
      <c r="M2855" s="181"/>
      <c r="N2855" s="181"/>
      <c r="O2855" s="181"/>
      <c r="P2855" s="181"/>
    </row>
    <row r="2856">
      <c r="B2856" s="292"/>
      <c r="C2856" s="181"/>
      <c r="D2856" s="181"/>
      <c r="E2856" s="181"/>
      <c r="F2856" s="181"/>
      <c r="G2856" s="181"/>
      <c r="H2856" s="181"/>
      <c r="I2856" s="181"/>
      <c r="J2856" s="181"/>
      <c r="K2856" s="181"/>
      <c r="L2856" s="181"/>
      <c r="M2856" s="181"/>
      <c r="N2856" s="181"/>
      <c r="O2856" s="181"/>
      <c r="P2856" s="181"/>
    </row>
    <row r="2857">
      <c r="B2857" s="292"/>
      <c r="C2857" s="181"/>
      <c r="D2857" s="181"/>
      <c r="E2857" s="181"/>
      <c r="F2857" s="181"/>
      <c r="G2857" s="181"/>
      <c r="H2857" s="181"/>
      <c r="I2857" s="181"/>
      <c r="J2857" s="181"/>
      <c r="K2857" s="181"/>
      <c r="L2857" s="181"/>
      <c r="M2857" s="181"/>
      <c r="N2857" s="181"/>
      <c r="O2857" s="181"/>
      <c r="P2857" s="181"/>
    </row>
    <row r="2858">
      <c r="B2858" s="292"/>
      <c r="C2858" s="181"/>
      <c r="D2858" s="181"/>
      <c r="E2858" s="181"/>
      <c r="F2858" s="181"/>
      <c r="G2858" s="181"/>
      <c r="H2858" s="181"/>
      <c r="I2858" s="181"/>
      <c r="J2858" s="181"/>
      <c r="K2858" s="181"/>
      <c r="L2858" s="181"/>
      <c r="M2858" s="181"/>
      <c r="N2858" s="181"/>
      <c r="O2858" s="181"/>
      <c r="P2858" s="181"/>
    </row>
    <row r="2859">
      <c r="B2859" s="292"/>
      <c r="C2859" s="181"/>
      <c r="D2859" s="181"/>
      <c r="E2859" s="181"/>
      <c r="F2859" s="181"/>
      <c r="G2859" s="181"/>
      <c r="H2859" s="181"/>
      <c r="I2859" s="181"/>
      <c r="J2859" s="181"/>
      <c r="K2859" s="181"/>
      <c r="L2859" s="181"/>
      <c r="M2859" s="181"/>
      <c r="N2859" s="181"/>
      <c r="O2859" s="181"/>
      <c r="P2859" s="181"/>
    </row>
    <row r="2860">
      <c r="B2860" s="292"/>
      <c r="C2860" s="181"/>
      <c r="D2860" s="181"/>
      <c r="E2860" s="181"/>
      <c r="F2860" s="181"/>
      <c r="G2860" s="181"/>
      <c r="H2860" s="181"/>
      <c r="I2860" s="181"/>
      <c r="J2860" s="181"/>
      <c r="K2860" s="181"/>
      <c r="L2860" s="181"/>
      <c r="M2860" s="181"/>
      <c r="N2860" s="181"/>
      <c r="O2860" s="181"/>
      <c r="P2860" s="181"/>
    </row>
    <row r="2861">
      <c r="B2861" s="292"/>
      <c r="C2861" s="181"/>
      <c r="D2861" s="181"/>
      <c r="E2861" s="181"/>
      <c r="F2861" s="181"/>
      <c r="G2861" s="181"/>
      <c r="H2861" s="181"/>
      <c r="I2861" s="181"/>
      <c r="J2861" s="181"/>
      <c r="K2861" s="181"/>
      <c r="L2861" s="181"/>
      <c r="M2861" s="181"/>
      <c r="N2861" s="181"/>
      <c r="O2861" s="181"/>
      <c r="P2861" s="181"/>
    </row>
    <row r="2862">
      <c r="B2862" s="292"/>
      <c r="C2862" s="181"/>
      <c r="D2862" s="181"/>
      <c r="E2862" s="181"/>
      <c r="F2862" s="181"/>
      <c r="G2862" s="181"/>
      <c r="H2862" s="181"/>
      <c r="I2862" s="181"/>
      <c r="J2862" s="181"/>
      <c r="K2862" s="181"/>
      <c r="L2862" s="181"/>
      <c r="M2862" s="181"/>
      <c r="N2862" s="181"/>
      <c r="O2862" s="181"/>
      <c r="P2862" s="181"/>
    </row>
    <row r="2863">
      <c r="B2863" s="292"/>
      <c r="C2863" s="181"/>
      <c r="D2863" s="181"/>
      <c r="E2863" s="181"/>
      <c r="F2863" s="181"/>
      <c r="G2863" s="181"/>
      <c r="H2863" s="181"/>
      <c r="I2863" s="181"/>
      <c r="J2863" s="181"/>
      <c r="K2863" s="181"/>
      <c r="L2863" s="181"/>
      <c r="M2863" s="181"/>
      <c r="N2863" s="181"/>
      <c r="O2863" s="181"/>
      <c r="P2863" s="181"/>
    </row>
    <row r="2864">
      <c r="B2864" s="292"/>
      <c r="C2864" s="181"/>
      <c r="D2864" s="181"/>
      <c r="E2864" s="181"/>
      <c r="F2864" s="181"/>
      <c r="G2864" s="181"/>
      <c r="H2864" s="181"/>
      <c r="I2864" s="181"/>
      <c r="J2864" s="181"/>
      <c r="K2864" s="181"/>
      <c r="L2864" s="181"/>
      <c r="M2864" s="181"/>
      <c r="N2864" s="181"/>
      <c r="O2864" s="181"/>
      <c r="P2864" s="181"/>
    </row>
    <row r="2865">
      <c r="B2865" s="292"/>
      <c r="C2865" s="181"/>
      <c r="D2865" s="181"/>
      <c r="E2865" s="181"/>
      <c r="F2865" s="181"/>
      <c r="G2865" s="181"/>
      <c r="H2865" s="181"/>
      <c r="I2865" s="181"/>
      <c r="J2865" s="181"/>
      <c r="K2865" s="181"/>
      <c r="L2865" s="181"/>
      <c r="M2865" s="181"/>
      <c r="N2865" s="181"/>
      <c r="O2865" s="181"/>
      <c r="P2865" s="181"/>
    </row>
    <row r="2866">
      <c r="B2866" s="292"/>
      <c r="C2866" s="181"/>
      <c r="D2866" s="181"/>
      <c r="E2866" s="181"/>
      <c r="F2866" s="181"/>
      <c r="G2866" s="181"/>
      <c r="H2866" s="181"/>
      <c r="I2866" s="181"/>
      <c r="J2866" s="181"/>
      <c r="K2866" s="181"/>
      <c r="L2866" s="181"/>
      <c r="M2866" s="181"/>
      <c r="N2866" s="181"/>
      <c r="O2866" s="181"/>
      <c r="P2866" s="181"/>
    </row>
    <row r="2867">
      <c r="B2867" s="292"/>
      <c r="C2867" s="181"/>
      <c r="D2867" s="181"/>
      <c r="E2867" s="181"/>
      <c r="F2867" s="181"/>
      <c r="G2867" s="181"/>
      <c r="H2867" s="181"/>
      <c r="I2867" s="181"/>
      <c r="J2867" s="181"/>
      <c r="K2867" s="181"/>
      <c r="L2867" s="181"/>
      <c r="M2867" s="181"/>
      <c r="N2867" s="181"/>
      <c r="O2867" s="181"/>
      <c r="P2867" s="181"/>
    </row>
    <row r="2868">
      <c r="B2868" s="292"/>
      <c r="C2868" s="181"/>
      <c r="D2868" s="181"/>
      <c r="E2868" s="181"/>
      <c r="F2868" s="181"/>
      <c r="G2868" s="181"/>
      <c r="H2868" s="181"/>
      <c r="I2868" s="181"/>
      <c r="J2868" s="181"/>
      <c r="K2868" s="181"/>
      <c r="L2868" s="181"/>
      <c r="M2868" s="181"/>
      <c r="N2868" s="181"/>
      <c r="O2868" s="181"/>
      <c r="P2868" s="181"/>
    </row>
    <row r="2869">
      <c r="B2869" s="292"/>
      <c r="C2869" s="181"/>
      <c r="D2869" s="181"/>
      <c r="E2869" s="181"/>
      <c r="F2869" s="181"/>
      <c r="G2869" s="181"/>
      <c r="H2869" s="181"/>
      <c r="I2869" s="181"/>
      <c r="J2869" s="181"/>
      <c r="K2869" s="181"/>
      <c r="L2869" s="181"/>
      <c r="M2869" s="181"/>
      <c r="N2869" s="181"/>
      <c r="O2869" s="181"/>
      <c r="P2869" s="181"/>
    </row>
    <row r="2870">
      <c r="B2870" s="292"/>
      <c r="C2870" s="181"/>
      <c r="D2870" s="181"/>
      <c r="E2870" s="181"/>
      <c r="F2870" s="181"/>
      <c r="G2870" s="181"/>
      <c r="H2870" s="181"/>
      <c r="I2870" s="181"/>
      <c r="J2870" s="181"/>
      <c r="K2870" s="181"/>
      <c r="L2870" s="181"/>
      <c r="M2870" s="181"/>
      <c r="N2870" s="181"/>
      <c r="O2870" s="181"/>
      <c r="P2870" s="181"/>
    </row>
    <row r="2871">
      <c r="B2871" s="292"/>
      <c r="C2871" s="181"/>
      <c r="D2871" s="181"/>
      <c r="E2871" s="181"/>
      <c r="F2871" s="181"/>
      <c r="G2871" s="181"/>
      <c r="H2871" s="181"/>
      <c r="I2871" s="181"/>
      <c r="J2871" s="181"/>
      <c r="K2871" s="181"/>
      <c r="L2871" s="181"/>
      <c r="M2871" s="181"/>
      <c r="N2871" s="181"/>
      <c r="O2871" s="181"/>
      <c r="P2871" s="181"/>
    </row>
    <row r="2872">
      <c r="B2872" s="292"/>
      <c r="C2872" s="181"/>
      <c r="D2872" s="181"/>
      <c r="E2872" s="181"/>
      <c r="F2872" s="181"/>
      <c r="G2872" s="181"/>
      <c r="H2872" s="181"/>
      <c r="I2872" s="181"/>
      <c r="J2872" s="181"/>
      <c r="K2872" s="181"/>
      <c r="L2872" s="181"/>
      <c r="M2872" s="181"/>
      <c r="N2872" s="181"/>
      <c r="O2872" s="181"/>
      <c r="P2872" s="181"/>
    </row>
    <row r="2873">
      <c r="B2873" s="292"/>
      <c r="C2873" s="181"/>
      <c r="D2873" s="181"/>
      <c r="E2873" s="181"/>
      <c r="F2873" s="181"/>
      <c r="G2873" s="181"/>
      <c r="H2873" s="181"/>
      <c r="I2873" s="181"/>
      <c r="J2873" s="181"/>
      <c r="K2873" s="181"/>
      <c r="L2873" s="181"/>
      <c r="M2873" s="181"/>
      <c r="N2873" s="181"/>
      <c r="O2873" s="181"/>
      <c r="P2873" s="181"/>
    </row>
    <row r="2874">
      <c r="B2874" s="292"/>
      <c r="C2874" s="181"/>
      <c r="D2874" s="181"/>
      <c r="E2874" s="181"/>
      <c r="F2874" s="181"/>
      <c r="G2874" s="181"/>
      <c r="H2874" s="181"/>
      <c r="I2874" s="181"/>
      <c r="J2874" s="181"/>
      <c r="K2874" s="181"/>
      <c r="L2874" s="181"/>
      <c r="M2874" s="181"/>
      <c r="N2874" s="181"/>
      <c r="O2874" s="181"/>
      <c r="P2874" s="181"/>
    </row>
    <row r="2875">
      <c r="B2875" s="292"/>
      <c r="C2875" s="181"/>
      <c r="D2875" s="181"/>
      <c r="E2875" s="181"/>
      <c r="F2875" s="181"/>
      <c r="G2875" s="181"/>
      <c r="H2875" s="181"/>
      <c r="I2875" s="181"/>
      <c r="J2875" s="181"/>
      <c r="K2875" s="181"/>
      <c r="L2875" s="181"/>
      <c r="M2875" s="181"/>
      <c r="N2875" s="181"/>
      <c r="O2875" s="181"/>
      <c r="P2875" s="181"/>
    </row>
    <row r="2876">
      <c r="B2876" s="292"/>
      <c r="C2876" s="181"/>
      <c r="D2876" s="181"/>
      <c r="E2876" s="181"/>
      <c r="F2876" s="181"/>
      <c r="G2876" s="181"/>
      <c r="H2876" s="181"/>
      <c r="I2876" s="181"/>
      <c r="J2876" s="181"/>
      <c r="K2876" s="181"/>
      <c r="L2876" s="181"/>
      <c r="M2876" s="181"/>
      <c r="N2876" s="181"/>
      <c r="O2876" s="181"/>
      <c r="P2876" s="181"/>
    </row>
    <row r="2877">
      <c r="B2877" s="292"/>
      <c r="C2877" s="181"/>
      <c r="D2877" s="181"/>
      <c r="E2877" s="181"/>
      <c r="F2877" s="181"/>
      <c r="G2877" s="181"/>
      <c r="H2877" s="181"/>
      <c r="I2877" s="181"/>
      <c r="J2877" s="181"/>
      <c r="K2877" s="181"/>
      <c r="L2877" s="181"/>
      <c r="M2877" s="181"/>
      <c r="N2877" s="181"/>
      <c r="O2877" s="181"/>
      <c r="P2877" s="181"/>
    </row>
    <row r="2878">
      <c r="B2878" s="292"/>
      <c r="C2878" s="181"/>
      <c r="D2878" s="181"/>
      <c r="E2878" s="181"/>
      <c r="F2878" s="181"/>
      <c r="G2878" s="181"/>
      <c r="H2878" s="181"/>
      <c r="I2878" s="181"/>
      <c r="J2878" s="181"/>
      <c r="K2878" s="181"/>
      <c r="L2878" s="181"/>
      <c r="M2878" s="181"/>
      <c r="N2878" s="181"/>
      <c r="O2878" s="181"/>
      <c r="P2878" s="181"/>
    </row>
    <row r="2879">
      <c r="B2879" s="292"/>
      <c r="C2879" s="181"/>
      <c r="D2879" s="181"/>
      <c r="E2879" s="181"/>
      <c r="F2879" s="181"/>
      <c r="G2879" s="181"/>
      <c r="H2879" s="181"/>
      <c r="I2879" s="181"/>
      <c r="J2879" s="181"/>
      <c r="K2879" s="181"/>
      <c r="L2879" s="181"/>
      <c r="M2879" s="181"/>
      <c r="N2879" s="181"/>
      <c r="O2879" s="181"/>
      <c r="P2879" s="181"/>
    </row>
    <row r="2880">
      <c r="B2880" s="292"/>
      <c r="C2880" s="181"/>
      <c r="D2880" s="181"/>
      <c r="E2880" s="181"/>
      <c r="F2880" s="181"/>
      <c r="G2880" s="181"/>
      <c r="H2880" s="181"/>
      <c r="I2880" s="181"/>
      <c r="J2880" s="181"/>
      <c r="K2880" s="181"/>
      <c r="L2880" s="181"/>
      <c r="M2880" s="181"/>
      <c r="N2880" s="181"/>
      <c r="O2880" s="181"/>
      <c r="P2880" s="181"/>
    </row>
    <row r="2881">
      <c r="B2881" s="292"/>
      <c r="C2881" s="181"/>
      <c r="D2881" s="181"/>
      <c r="E2881" s="181"/>
      <c r="F2881" s="181"/>
      <c r="G2881" s="181"/>
      <c r="H2881" s="181"/>
      <c r="I2881" s="181"/>
      <c r="J2881" s="181"/>
      <c r="K2881" s="181"/>
      <c r="L2881" s="181"/>
      <c r="M2881" s="181"/>
      <c r="N2881" s="181"/>
      <c r="O2881" s="181"/>
      <c r="P2881" s="181"/>
    </row>
    <row r="2882">
      <c r="B2882" s="292"/>
      <c r="C2882" s="181"/>
      <c r="D2882" s="181"/>
      <c r="E2882" s="181"/>
      <c r="F2882" s="181"/>
      <c r="G2882" s="181"/>
      <c r="H2882" s="181"/>
      <c r="I2882" s="181"/>
      <c r="J2882" s="181"/>
      <c r="K2882" s="181"/>
      <c r="L2882" s="181"/>
      <c r="M2882" s="181"/>
      <c r="N2882" s="181"/>
      <c r="O2882" s="181"/>
      <c r="P2882" s="181"/>
    </row>
    <row r="2883">
      <c r="B2883" s="292"/>
      <c r="C2883" s="181"/>
      <c r="D2883" s="181"/>
      <c r="E2883" s="181"/>
      <c r="F2883" s="181"/>
      <c r="G2883" s="181"/>
      <c r="H2883" s="181"/>
      <c r="I2883" s="181"/>
      <c r="J2883" s="181"/>
      <c r="K2883" s="181"/>
      <c r="L2883" s="181"/>
      <c r="M2883" s="181"/>
      <c r="N2883" s="181"/>
      <c r="O2883" s="181"/>
      <c r="P2883" s="181"/>
    </row>
    <row r="2884">
      <c r="B2884" s="292"/>
      <c r="C2884" s="181"/>
      <c r="D2884" s="181"/>
      <c r="E2884" s="181"/>
      <c r="F2884" s="181"/>
      <c r="G2884" s="181"/>
      <c r="H2884" s="181"/>
      <c r="I2884" s="181"/>
      <c r="J2884" s="181"/>
      <c r="K2884" s="181"/>
      <c r="L2884" s="181"/>
      <c r="M2884" s="181"/>
      <c r="N2884" s="181"/>
      <c r="O2884" s="181"/>
      <c r="P2884" s="181"/>
    </row>
    <row r="2885">
      <c r="B2885" s="292"/>
      <c r="C2885" s="181"/>
      <c r="D2885" s="181"/>
      <c r="E2885" s="181"/>
      <c r="F2885" s="181"/>
      <c r="G2885" s="181"/>
      <c r="H2885" s="181"/>
      <c r="I2885" s="181"/>
      <c r="J2885" s="181"/>
      <c r="K2885" s="181"/>
      <c r="L2885" s="181"/>
      <c r="M2885" s="181"/>
      <c r="N2885" s="181"/>
      <c r="O2885" s="181"/>
      <c r="P2885" s="181"/>
    </row>
    <row r="2886">
      <c r="B2886" s="292"/>
      <c r="C2886" s="181"/>
      <c r="D2886" s="181"/>
      <c r="E2886" s="181"/>
      <c r="F2886" s="181"/>
      <c r="G2886" s="181"/>
      <c r="H2886" s="181"/>
      <c r="I2886" s="181"/>
      <c r="J2886" s="181"/>
      <c r="K2886" s="181"/>
      <c r="L2886" s="181"/>
      <c r="M2886" s="181"/>
      <c r="N2886" s="181"/>
      <c r="O2886" s="181"/>
      <c r="P2886" s="181"/>
    </row>
    <row r="2887">
      <c r="B2887" s="292"/>
      <c r="C2887" s="181"/>
      <c r="D2887" s="181"/>
      <c r="E2887" s="181"/>
      <c r="F2887" s="181"/>
      <c r="G2887" s="181"/>
      <c r="H2887" s="181"/>
      <c r="I2887" s="181"/>
      <c r="J2887" s="181"/>
      <c r="K2887" s="181"/>
      <c r="L2887" s="181"/>
      <c r="M2887" s="181"/>
      <c r="N2887" s="181"/>
      <c r="O2887" s="181"/>
      <c r="P2887" s="181"/>
    </row>
    <row r="2888">
      <c r="B2888" s="292"/>
      <c r="C2888" s="181"/>
      <c r="D2888" s="181"/>
      <c r="E2888" s="181"/>
      <c r="F2888" s="181"/>
      <c r="G2888" s="181"/>
      <c r="H2888" s="181"/>
      <c r="I2888" s="181"/>
      <c r="J2888" s="181"/>
      <c r="K2888" s="181"/>
      <c r="L2888" s="181"/>
      <c r="M2888" s="181"/>
      <c r="N2888" s="181"/>
      <c r="O2888" s="181"/>
      <c r="P2888" s="181"/>
    </row>
    <row r="2889">
      <c r="B2889" s="292"/>
      <c r="C2889" s="181"/>
      <c r="D2889" s="181"/>
      <c r="E2889" s="181"/>
      <c r="F2889" s="181"/>
      <c r="G2889" s="181"/>
      <c r="H2889" s="181"/>
      <c r="I2889" s="181"/>
      <c r="J2889" s="181"/>
      <c r="K2889" s="181"/>
      <c r="L2889" s="181"/>
      <c r="M2889" s="181"/>
      <c r="N2889" s="181"/>
      <c r="O2889" s="181"/>
      <c r="P2889" s="181"/>
    </row>
    <row r="2890">
      <c r="B2890" s="292"/>
      <c r="C2890" s="181"/>
      <c r="D2890" s="181"/>
      <c r="E2890" s="181"/>
      <c r="F2890" s="181"/>
      <c r="G2890" s="181"/>
      <c r="H2890" s="181"/>
      <c r="I2890" s="181"/>
      <c r="J2890" s="181"/>
      <c r="K2890" s="181"/>
      <c r="L2890" s="181"/>
      <c r="M2890" s="181"/>
      <c r="N2890" s="181"/>
      <c r="O2890" s="181"/>
      <c r="P2890" s="181"/>
    </row>
    <row r="2891">
      <c r="B2891" s="292"/>
      <c r="C2891" s="181"/>
      <c r="D2891" s="181"/>
      <c r="E2891" s="181"/>
      <c r="F2891" s="181"/>
      <c r="G2891" s="181"/>
      <c r="H2891" s="181"/>
      <c r="I2891" s="181"/>
      <c r="J2891" s="181"/>
      <c r="K2891" s="181"/>
      <c r="L2891" s="181"/>
      <c r="M2891" s="181"/>
      <c r="N2891" s="181"/>
      <c r="O2891" s="181"/>
      <c r="P2891" s="181"/>
    </row>
    <row r="2892">
      <c r="B2892" s="292"/>
      <c r="C2892" s="181"/>
      <c r="D2892" s="181"/>
      <c r="E2892" s="181"/>
      <c r="F2892" s="181"/>
      <c r="G2892" s="181"/>
      <c r="H2892" s="181"/>
      <c r="I2892" s="181"/>
      <c r="J2892" s="181"/>
      <c r="K2892" s="181"/>
      <c r="L2892" s="181"/>
      <c r="M2892" s="181"/>
      <c r="N2892" s="181"/>
      <c r="O2892" s="181"/>
      <c r="P2892" s="181"/>
    </row>
    <row r="2893">
      <c r="B2893" s="292"/>
      <c r="C2893" s="181"/>
      <c r="D2893" s="181"/>
      <c r="E2893" s="181"/>
      <c r="F2893" s="181"/>
      <c r="G2893" s="181"/>
      <c r="H2893" s="181"/>
      <c r="I2893" s="181"/>
      <c r="J2893" s="181"/>
      <c r="K2893" s="181"/>
      <c r="L2893" s="181"/>
      <c r="M2893" s="181"/>
      <c r="N2893" s="181"/>
      <c r="O2893" s="181"/>
      <c r="P2893" s="181"/>
    </row>
    <row r="2894">
      <c r="B2894" s="292"/>
      <c r="C2894" s="181"/>
      <c r="D2894" s="181"/>
      <c r="E2894" s="181"/>
      <c r="F2894" s="181"/>
      <c r="G2894" s="181"/>
      <c r="H2894" s="181"/>
      <c r="I2894" s="181"/>
      <c r="J2894" s="181"/>
      <c r="K2894" s="181"/>
      <c r="L2894" s="181"/>
      <c r="M2894" s="181"/>
      <c r="N2894" s="181"/>
      <c r="O2894" s="181"/>
      <c r="P2894" s="181"/>
    </row>
    <row r="2895">
      <c r="B2895" s="292"/>
      <c r="C2895" s="181"/>
      <c r="D2895" s="181"/>
      <c r="E2895" s="181"/>
      <c r="F2895" s="181"/>
      <c r="G2895" s="181"/>
      <c r="H2895" s="181"/>
      <c r="I2895" s="181"/>
      <c r="J2895" s="181"/>
      <c r="K2895" s="181"/>
      <c r="L2895" s="181"/>
      <c r="M2895" s="181"/>
      <c r="N2895" s="181"/>
      <c r="O2895" s="181"/>
      <c r="P2895" s="181"/>
    </row>
    <row r="2896">
      <c r="B2896" s="292"/>
      <c r="C2896" s="181"/>
      <c r="D2896" s="181"/>
      <c r="E2896" s="181"/>
      <c r="F2896" s="181"/>
      <c r="G2896" s="181"/>
      <c r="H2896" s="181"/>
      <c r="I2896" s="181"/>
      <c r="J2896" s="181"/>
      <c r="K2896" s="181"/>
      <c r="L2896" s="181"/>
      <c r="M2896" s="181"/>
      <c r="N2896" s="181"/>
      <c r="O2896" s="181"/>
      <c r="P2896" s="181"/>
    </row>
    <row r="2897">
      <c r="B2897" s="292"/>
      <c r="C2897" s="181"/>
      <c r="D2897" s="181"/>
      <c r="E2897" s="181"/>
      <c r="F2897" s="181"/>
      <c r="G2897" s="181"/>
      <c r="H2897" s="181"/>
      <c r="I2897" s="181"/>
      <c r="J2897" s="181"/>
      <c r="K2897" s="181"/>
      <c r="L2897" s="181"/>
      <c r="M2897" s="181"/>
      <c r="N2897" s="181"/>
      <c r="O2897" s="181"/>
      <c r="P2897" s="181"/>
    </row>
    <row r="2898">
      <c r="B2898" s="292"/>
      <c r="C2898" s="181"/>
      <c r="D2898" s="181"/>
      <c r="E2898" s="181"/>
      <c r="F2898" s="181"/>
      <c r="G2898" s="181"/>
      <c r="H2898" s="181"/>
      <c r="I2898" s="181"/>
      <c r="J2898" s="181"/>
      <c r="K2898" s="181"/>
      <c r="L2898" s="181"/>
      <c r="M2898" s="181"/>
      <c r="N2898" s="181"/>
      <c r="O2898" s="181"/>
      <c r="P2898" s="181"/>
    </row>
    <row r="2899">
      <c r="B2899" s="292"/>
      <c r="C2899" s="181"/>
      <c r="D2899" s="181"/>
      <c r="E2899" s="181"/>
      <c r="F2899" s="181"/>
      <c r="G2899" s="181"/>
      <c r="H2899" s="181"/>
      <c r="I2899" s="181"/>
      <c r="J2899" s="181"/>
      <c r="K2899" s="181"/>
      <c r="L2899" s="181"/>
      <c r="M2899" s="181"/>
      <c r="N2899" s="181"/>
      <c r="O2899" s="181"/>
      <c r="P2899" s="181"/>
    </row>
    <row r="2900">
      <c r="B2900" s="292"/>
      <c r="C2900" s="181"/>
      <c r="D2900" s="181"/>
      <c r="E2900" s="181"/>
      <c r="F2900" s="181"/>
      <c r="G2900" s="181"/>
      <c r="H2900" s="181"/>
      <c r="I2900" s="181"/>
      <c r="J2900" s="181"/>
      <c r="K2900" s="181"/>
      <c r="L2900" s="181"/>
      <c r="M2900" s="181"/>
      <c r="N2900" s="181"/>
      <c r="O2900" s="181"/>
      <c r="P2900" s="181"/>
    </row>
    <row r="2901">
      <c r="B2901" s="292"/>
      <c r="C2901" s="181"/>
      <c r="D2901" s="181"/>
      <c r="E2901" s="181"/>
      <c r="F2901" s="181"/>
      <c r="G2901" s="181"/>
      <c r="H2901" s="181"/>
      <c r="I2901" s="181"/>
      <c r="J2901" s="181"/>
      <c r="K2901" s="181"/>
      <c r="L2901" s="181"/>
      <c r="M2901" s="181"/>
      <c r="N2901" s="181"/>
      <c r="O2901" s="181"/>
      <c r="P2901" s="181"/>
    </row>
    <row r="2902">
      <c r="B2902" s="292"/>
      <c r="C2902" s="181"/>
      <c r="D2902" s="181"/>
      <c r="E2902" s="181"/>
      <c r="F2902" s="181"/>
      <c r="G2902" s="181"/>
      <c r="H2902" s="181"/>
      <c r="I2902" s="181"/>
      <c r="J2902" s="181"/>
      <c r="K2902" s="181"/>
      <c r="L2902" s="181"/>
      <c r="M2902" s="181"/>
      <c r="N2902" s="181"/>
      <c r="O2902" s="181"/>
      <c r="P2902" s="181"/>
    </row>
    <row r="2903">
      <c r="B2903" s="292"/>
      <c r="C2903" s="181"/>
      <c r="D2903" s="181"/>
      <c r="E2903" s="181"/>
      <c r="F2903" s="181"/>
      <c r="G2903" s="181"/>
      <c r="H2903" s="181"/>
      <c r="I2903" s="181"/>
      <c r="J2903" s="181"/>
      <c r="K2903" s="181"/>
      <c r="L2903" s="181"/>
      <c r="M2903" s="181"/>
      <c r="N2903" s="181"/>
      <c r="O2903" s="181"/>
      <c r="P2903" s="181"/>
    </row>
    <row r="2904">
      <c r="B2904" s="292"/>
      <c r="C2904" s="181"/>
      <c r="D2904" s="181"/>
      <c r="E2904" s="181"/>
      <c r="F2904" s="181"/>
      <c r="G2904" s="181"/>
      <c r="H2904" s="181"/>
      <c r="I2904" s="181"/>
      <c r="J2904" s="181"/>
      <c r="K2904" s="181"/>
      <c r="L2904" s="181"/>
      <c r="M2904" s="181"/>
      <c r="N2904" s="181"/>
      <c r="O2904" s="181"/>
      <c r="P2904" s="181"/>
    </row>
    <row r="2905">
      <c r="B2905" s="292"/>
      <c r="C2905" s="181"/>
      <c r="D2905" s="181"/>
      <c r="E2905" s="181"/>
      <c r="F2905" s="181"/>
      <c r="G2905" s="181"/>
      <c r="H2905" s="181"/>
      <c r="I2905" s="181"/>
      <c r="J2905" s="181"/>
      <c r="K2905" s="181"/>
      <c r="L2905" s="181"/>
      <c r="M2905" s="181"/>
      <c r="N2905" s="181"/>
      <c r="O2905" s="181"/>
      <c r="P2905" s="181"/>
    </row>
    <row r="2906">
      <c r="B2906" s="292"/>
      <c r="C2906" s="181"/>
      <c r="D2906" s="181"/>
      <c r="E2906" s="181"/>
      <c r="F2906" s="181"/>
      <c r="G2906" s="181"/>
      <c r="H2906" s="181"/>
      <c r="I2906" s="181"/>
      <c r="J2906" s="181"/>
      <c r="K2906" s="181"/>
      <c r="L2906" s="181"/>
      <c r="M2906" s="181"/>
      <c r="N2906" s="181"/>
      <c r="O2906" s="181"/>
      <c r="P2906" s="181"/>
    </row>
    <row r="2907">
      <c r="B2907" s="292"/>
      <c r="C2907" s="181"/>
      <c r="D2907" s="181"/>
      <c r="E2907" s="181"/>
      <c r="F2907" s="181"/>
      <c r="G2907" s="181"/>
      <c r="H2907" s="181"/>
      <c r="I2907" s="181"/>
      <c r="J2907" s="181"/>
      <c r="K2907" s="181"/>
      <c r="L2907" s="181"/>
      <c r="M2907" s="181"/>
      <c r="N2907" s="181"/>
      <c r="O2907" s="181"/>
      <c r="P2907" s="181"/>
    </row>
    <row r="2908">
      <c r="B2908" s="292"/>
      <c r="C2908" s="181"/>
      <c r="D2908" s="181"/>
      <c r="E2908" s="181"/>
      <c r="F2908" s="181"/>
      <c r="G2908" s="181"/>
      <c r="H2908" s="181"/>
      <c r="I2908" s="181"/>
      <c r="J2908" s="181"/>
      <c r="K2908" s="181"/>
      <c r="L2908" s="181"/>
      <c r="M2908" s="181"/>
      <c r="N2908" s="181"/>
      <c r="O2908" s="181"/>
      <c r="P2908" s="181"/>
    </row>
    <row r="2909">
      <c r="B2909" s="292"/>
      <c r="C2909" s="181"/>
      <c r="D2909" s="181"/>
      <c r="E2909" s="181"/>
      <c r="F2909" s="181"/>
      <c r="G2909" s="181"/>
      <c r="H2909" s="181"/>
      <c r="I2909" s="181"/>
      <c r="J2909" s="181"/>
      <c r="K2909" s="181"/>
      <c r="L2909" s="181"/>
      <c r="M2909" s="181"/>
      <c r="N2909" s="181"/>
      <c r="O2909" s="181"/>
      <c r="P2909" s="181"/>
    </row>
    <row r="2910">
      <c r="B2910" s="292"/>
      <c r="C2910" s="181"/>
      <c r="D2910" s="181"/>
      <c r="E2910" s="181"/>
      <c r="F2910" s="181"/>
      <c r="G2910" s="181"/>
      <c r="H2910" s="181"/>
      <c r="I2910" s="181"/>
      <c r="J2910" s="181"/>
      <c r="K2910" s="181"/>
      <c r="L2910" s="181"/>
      <c r="M2910" s="181"/>
      <c r="N2910" s="181"/>
      <c r="O2910" s="181"/>
      <c r="P2910" s="181"/>
    </row>
    <row r="2911">
      <c r="B2911" s="292"/>
      <c r="C2911" s="181"/>
      <c r="D2911" s="181"/>
      <c r="E2911" s="181"/>
      <c r="F2911" s="181"/>
      <c r="G2911" s="181"/>
      <c r="H2911" s="181"/>
      <c r="I2911" s="181"/>
      <c r="J2911" s="181"/>
      <c r="K2911" s="181"/>
      <c r="L2911" s="181"/>
      <c r="M2911" s="181"/>
      <c r="N2911" s="181"/>
      <c r="O2911" s="181"/>
      <c r="P2911" s="181"/>
    </row>
    <row r="2912">
      <c r="B2912" s="292"/>
      <c r="C2912" s="181"/>
      <c r="D2912" s="181"/>
      <c r="E2912" s="181"/>
      <c r="F2912" s="181"/>
      <c r="G2912" s="181"/>
      <c r="H2912" s="181"/>
      <c r="I2912" s="181"/>
      <c r="J2912" s="181"/>
      <c r="K2912" s="181"/>
      <c r="L2912" s="181"/>
      <c r="M2912" s="181"/>
      <c r="N2912" s="181"/>
      <c r="O2912" s="181"/>
      <c r="P2912" s="181"/>
    </row>
    <row r="2913">
      <c r="B2913" s="292"/>
      <c r="C2913" s="181"/>
      <c r="D2913" s="181"/>
      <c r="E2913" s="181"/>
      <c r="F2913" s="181"/>
      <c r="G2913" s="181"/>
      <c r="H2913" s="181"/>
      <c r="I2913" s="181"/>
      <c r="J2913" s="181"/>
      <c r="K2913" s="181"/>
      <c r="L2913" s="181"/>
      <c r="M2913" s="181"/>
      <c r="N2913" s="181"/>
      <c r="O2913" s="181"/>
      <c r="P2913" s="181"/>
    </row>
    <row r="2914">
      <c r="B2914" s="292"/>
      <c r="C2914" s="181"/>
      <c r="D2914" s="181"/>
      <c r="E2914" s="181"/>
      <c r="F2914" s="181"/>
      <c r="G2914" s="181"/>
      <c r="H2914" s="181"/>
      <c r="I2914" s="181"/>
      <c r="J2914" s="181"/>
      <c r="K2914" s="181"/>
      <c r="L2914" s="181"/>
      <c r="M2914" s="181"/>
      <c r="N2914" s="181"/>
      <c r="O2914" s="181"/>
      <c r="P2914" s="181"/>
    </row>
    <row r="2915">
      <c r="B2915" s="292"/>
      <c r="C2915" s="181"/>
      <c r="D2915" s="181"/>
      <c r="E2915" s="181"/>
      <c r="F2915" s="181"/>
      <c r="G2915" s="181"/>
      <c r="H2915" s="181"/>
      <c r="I2915" s="181"/>
      <c r="J2915" s="181"/>
      <c r="K2915" s="181"/>
      <c r="L2915" s="181"/>
      <c r="M2915" s="181"/>
      <c r="N2915" s="181"/>
      <c r="O2915" s="181"/>
      <c r="P2915" s="181"/>
    </row>
    <row r="2916">
      <c r="B2916" s="292"/>
      <c r="C2916" s="181"/>
      <c r="D2916" s="181"/>
      <c r="E2916" s="181"/>
      <c r="F2916" s="181"/>
      <c r="G2916" s="181"/>
      <c r="H2916" s="181"/>
      <c r="I2916" s="181"/>
      <c r="J2916" s="181"/>
      <c r="K2916" s="181"/>
      <c r="L2916" s="181"/>
      <c r="M2916" s="181"/>
      <c r="N2916" s="181"/>
      <c r="O2916" s="181"/>
      <c r="P2916" s="181"/>
    </row>
    <row r="2917">
      <c r="B2917" s="292"/>
      <c r="C2917" s="181"/>
      <c r="D2917" s="181"/>
      <c r="E2917" s="181"/>
      <c r="F2917" s="181"/>
      <c r="G2917" s="181"/>
      <c r="H2917" s="181"/>
      <c r="I2917" s="181"/>
      <c r="J2917" s="181"/>
      <c r="K2917" s="181"/>
      <c r="L2917" s="181"/>
      <c r="M2917" s="181"/>
      <c r="N2917" s="181"/>
      <c r="O2917" s="181"/>
      <c r="P2917" s="181"/>
    </row>
    <row r="2918">
      <c r="B2918" s="292"/>
      <c r="C2918" s="181"/>
      <c r="D2918" s="181"/>
      <c r="E2918" s="181"/>
      <c r="F2918" s="181"/>
      <c r="G2918" s="181"/>
      <c r="H2918" s="181"/>
      <c r="I2918" s="181"/>
      <c r="J2918" s="181"/>
      <c r="K2918" s="181"/>
      <c r="L2918" s="181"/>
      <c r="M2918" s="181"/>
      <c r="N2918" s="181"/>
      <c r="O2918" s="181"/>
      <c r="P2918" s="181"/>
    </row>
    <row r="2919">
      <c r="B2919" s="292"/>
      <c r="C2919" s="181"/>
      <c r="D2919" s="181"/>
      <c r="E2919" s="181"/>
      <c r="F2919" s="181"/>
      <c r="G2919" s="181"/>
      <c r="H2919" s="181"/>
      <c r="I2919" s="181"/>
      <c r="J2919" s="181"/>
      <c r="K2919" s="181"/>
      <c r="L2919" s="181"/>
      <c r="M2919" s="181"/>
      <c r="N2919" s="181"/>
      <c r="O2919" s="181"/>
      <c r="P2919" s="181"/>
    </row>
    <row r="2920">
      <c r="B2920" s="292"/>
      <c r="C2920" s="181"/>
      <c r="D2920" s="181"/>
      <c r="E2920" s="181"/>
      <c r="F2920" s="181"/>
      <c r="G2920" s="181"/>
      <c r="H2920" s="181"/>
      <c r="I2920" s="181"/>
      <c r="J2920" s="181"/>
      <c r="K2920" s="181"/>
      <c r="L2920" s="181"/>
      <c r="M2920" s="181"/>
      <c r="N2920" s="181"/>
      <c r="O2920" s="181"/>
      <c r="P2920" s="181"/>
    </row>
    <row r="2921">
      <c r="B2921" s="292"/>
      <c r="C2921" s="181"/>
      <c r="D2921" s="181"/>
      <c r="E2921" s="181"/>
      <c r="F2921" s="181"/>
      <c r="G2921" s="181"/>
      <c r="H2921" s="181"/>
      <c r="I2921" s="181"/>
      <c r="J2921" s="181"/>
      <c r="K2921" s="181"/>
      <c r="L2921" s="181"/>
      <c r="M2921" s="181"/>
      <c r="N2921" s="181"/>
      <c r="O2921" s="181"/>
      <c r="P2921" s="181"/>
    </row>
    <row r="2922">
      <c r="B2922" s="292"/>
      <c r="C2922" s="181"/>
      <c r="D2922" s="181"/>
      <c r="E2922" s="181"/>
      <c r="F2922" s="181"/>
      <c r="G2922" s="181"/>
      <c r="H2922" s="181"/>
      <c r="I2922" s="181"/>
      <c r="J2922" s="181"/>
      <c r="K2922" s="181"/>
      <c r="L2922" s="181"/>
      <c r="M2922" s="181"/>
      <c r="N2922" s="181"/>
      <c r="O2922" s="181"/>
      <c r="P2922" s="181"/>
    </row>
    <row r="2923">
      <c r="B2923" s="292"/>
      <c r="C2923" s="181"/>
      <c r="D2923" s="181"/>
      <c r="E2923" s="181"/>
      <c r="F2923" s="181"/>
      <c r="G2923" s="181"/>
      <c r="H2923" s="181"/>
      <c r="I2923" s="181"/>
      <c r="J2923" s="181"/>
      <c r="K2923" s="181"/>
      <c r="L2923" s="181"/>
      <c r="M2923" s="181"/>
      <c r="N2923" s="181"/>
      <c r="O2923" s="181"/>
      <c r="P2923" s="181"/>
    </row>
    <row r="2924">
      <c r="B2924" s="292"/>
      <c r="C2924" s="181"/>
      <c r="D2924" s="181"/>
      <c r="E2924" s="181"/>
      <c r="F2924" s="181"/>
      <c r="G2924" s="181"/>
      <c r="H2924" s="181"/>
      <c r="I2924" s="181"/>
      <c r="J2924" s="181"/>
      <c r="K2924" s="181"/>
      <c r="L2924" s="181"/>
      <c r="M2924" s="181"/>
      <c r="N2924" s="181"/>
      <c r="O2924" s="181"/>
      <c r="P2924" s="181"/>
    </row>
    <row r="2925">
      <c r="B2925" s="292"/>
      <c r="C2925" s="181"/>
      <c r="D2925" s="181"/>
      <c r="E2925" s="181"/>
      <c r="F2925" s="181"/>
      <c r="G2925" s="181"/>
      <c r="H2925" s="181"/>
      <c r="I2925" s="181"/>
      <c r="J2925" s="181"/>
      <c r="K2925" s="181"/>
      <c r="L2925" s="181"/>
      <c r="M2925" s="181"/>
      <c r="N2925" s="181"/>
      <c r="O2925" s="181"/>
      <c r="P2925" s="181"/>
    </row>
    <row r="2926">
      <c r="B2926" s="292"/>
      <c r="C2926" s="181"/>
      <c r="D2926" s="181"/>
      <c r="E2926" s="181"/>
      <c r="F2926" s="181"/>
      <c r="G2926" s="181"/>
      <c r="H2926" s="181"/>
      <c r="I2926" s="181"/>
      <c r="J2926" s="181"/>
      <c r="K2926" s="181"/>
      <c r="L2926" s="181"/>
      <c r="M2926" s="181"/>
      <c r="N2926" s="181"/>
      <c r="O2926" s="181"/>
      <c r="P2926" s="181"/>
    </row>
    <row r="2927">
      <c r="B2927" s="292"/>
      <c r="C2927" s="181"/>
      <c r="D2927" s="181"/>
      <c r="E2927" s="181"/>
      <c r="F2927" s="181"/>
      <c r="G2927" s="181"/>
      <c r="H2927" s="181"/>
      <c r="I2927" s="181"/>
      <c r="J2927" s="181"/>
      <c r="K2927" s="181"/>
      <c r="L2927" s="181"/>
      <c r="M2927" s="181"/>
      <c r="N2927" s="181"/>
      <c r="O2927" s="181"/>
      <c r="P2927" s="181"/>
    </row>
    <row r="2928">
      <c r="B2928" s="292"/>
      <c r="C2928" s="181"/>
      <c r="D2928" s="181"/>
      <c r="E2928" s="181"/>
      <c r="F2928" s="181"/>
      <c r="G2928" s="181"/>
      <c r="H2928" s="181"/>
      <c r="I2928" s="181"/>
      <c r="J2928" s="181"/>
      <c r="K2928" s="181"/>
      <c r="L2928" s="181"/>
      <c r="M2928" s="181"/>
      <c r="N2928" s="181"/>
      <c r="O2928" s="181"/>
      <c r="P2928" s="181"/>
    </row>
    <row r="2929">
      <c r="B2929" s="292"/>
      <c r="C2929" s="181"/>
      <c r="D2929" s="181"/>
      <c r="E2929" s="181"/>
      <c r="F2929" s="181"/>
      <c r="G2929" s="181"/>
      <c r="H2929" s="181"/>
      <c r="I2929" s="181"/>
      <c r="J2929" s="181"/>
      <c r="K2929" s="181"/>
      <c r="L2929" s="181"/>
      <c r="M2929" s="181"/>
      <c r="N2929" s="181"/>
      <c r="O2929" s="181"/>
      <c r="P2929" s="181"/>
    </row>
    <row r="2930">
      <c r="B2930" s="292"/>
      <c r="C2930" s="181"/>
      <c r="D2930" s="181"/>
      <c r="E2930" s="181"/>
      <c r="F2930" s="181"/>
      <c r="G2930" s="181"/>
      <c r="H2930" s="181"/>
      <c r="I2930" s="181"/>
      <c r="J2930" s="181"/>
      <c r="K2930" s="181"/>
      <c r="L2930" s="181"/>
      <c r="M2930" s="181"/>
      <c r="N2930" s="181"/>
      <c r="O2930" s="181"/>
      <c r="P2930" s="181"/>
    </row>
    <row r="2931">
      <c r="B2931" s="292"/>
      <c r="C2931" s="181"/>
      <c r="D2931" s="181"/>
      <c r="E2931" s="181"/>
      <c r="F2931" s="181"/>
      <c r="G2931" s="181"/>
      <c r="H2931" s="181"/>
      <c r="I2931" s="181"/>
      <c r="J2931" s="181"/>
      <c r="K2931" s="181"/>
      <c r="L2931" s="181"/>
      <c r="M2931" s="181"/>
      <c r="N2931" s="181"/>
      <c r="O2931" s="181"/>
      <c r="P2931" s="181"/>
    </row>
    <row r="2932">
      <c r="B2932" s="292"/>
      <c r="C2932" s="181"/>
      <c r="D2932" s="181"/>
      <c r="E2932" s="181"/>
      <c r="F2932" s="181"/>
      <c r="G2932" s="181"/>
      <c r="H2932" s="181"/>
      <c r="I2932" s="181"/>
      <c r="J2932" s="181"/>
      <c r="K2932" s="181"/>
      <c r="L2932" s="181"/>
      <c r="M2932" s="181"/>
      <c r="N2932" s="181"/>
      <c r="O2932" s="181"/>
      <c r="P2932" s="181"/>
    </row>
    <row r="2933">
      <c r="B2933" s="292"/>
      <c r="C2933" s="181"/>
      <c r="D2933" s="181"/>
      <c r="E2933" s="181"/>
      <c r="F2933" s="181"/>
      <c r="G2933" s="181"/>
      <c r="H2933" s="181"/>
      <c r="I2933" s="181"/>
      <c r="J2933" s="181"/>
      <c r="K2933" s="181"/>
      <c r="L2933" s="181"/>
      <c r="M2933" s="181"/>
      <c r="N2933" s="181"/>
      <c r="O2933" s="181"/>
      <c r="P2933" s="181"/>
    </row>
    <row r="2934">
      <c r="B2934" s="292"/>
      <c r="C2934" s="181"/>
      <c r="D2934" s="181"/>
      <c r="E2934" s="181"/>
      <c r="F2934" s="181"/>
      <c r="G2934" s="181"/>
      <c r="H2934" s="181"/>
      <c r="I2934" s="181"/>
      <c r="J2934" s="181"/>
      <c r="K2934" s="181"/>
      <c r="L2934" s="181"/>
      <c r="M2934" s="181"/>
      <c r="N2934" s="181"/>
      <c r="O2934" s="181"/>
      <c r="P2934" s="181"/>
    </row>
    <row r="2935">
      <c r="B2935" s="292"/>
      <c r="C2935" s="181"/>
      <c r="D2935" s="181"/>
      <c r="E2935" s="181"/>
      <c r="F2935" s="181"/>
      <c r="G2935" s="181"/>
      <c r="H2935" s="181"/>
      <c r="I2935" s="181"/>
      <c r="J2935" s="181"/>
      <c r="K2935" s="181"/>
      <c r="L2935" s="181"/>
      <c r="M2935" s="181"/>
      <c r="N2935" s="181"/>
      <c r="O2935" s="181"/>
      <c r="P2935" s="181"/>
    </row>
    <row r="2936">
      <c r="B2936" s="292"/>
      <c r="C2936" s="181"/>
      <c r="D2936" s="181"/>
      <c r="E2936" s="181"/>
      <c r="F2936" s="181"/>
      <c r="G2936" s="181"/>
      <c r="H2936" s="181"/>
      <c r="I2936" s="181"/>
      <c r="J2936" s="181"/>
      <c r="K2936" s="181"/>
      <c r="L2936" s="181"/>
      <c r="M2936" s="181"/>
      <c r="N2936" s="181"/>
      <c r="O2936" s="181"/>
      <c r="P2936" s="181"/>
    </row>
    <row r="2937">
      <c r="B2937" s="292"/>
      <c r="C2937" s="181"/>
      <c r="D2937" s="181"/>
      <c r="E2937" s="181"/>
      <c r="F2937" s="181"/>
      <c r="G2937" s="181"/>
      <c r="H2937" s="181"/>
      <c r="I2937" s="181"/>
      <c r="J2937" s="181"/>
      <c r="K2937" s="181"/>
      <c r="L2937" s="181"/>
      <c r="M2937" s="181"/>
      <c r="N2937" s="181"/>
      <c r="O2937" s="181"/>
      <c r="P2937" s="181"/>
    </row>
    <row r="2938">
      <c r="B2938" s="292"/>
      <c r="C2938" s="181"/>
      <c r="D2938" s="181"/>
      <c r="E2938" s="181"/>
      <c r="F2938" s="181"/>
      <c r="G2938" s="181"/>
      <c r="H2938" s="181"/>
      <c r="I2938" s="181"/>
      <c r="J2938" s="181"/>
      <c r="K2938" s="181"/>
      <c r="L2938" s="181"/>
      <c r="M2938" s="181"/>
      <c r="N2938" s="181"/>
      <c r="O2938" s="181"/>
      <c r="P2938" s="181"/>
    </row>
    <row r="2939">
      <c r="B2939" s="292"/>
      <c r="C2939" s="181"/>
      <c r="D2939" s="181"/>
      <c r="E2939" s="181"/>
      <c r="F2939" s="181"/>
      <c r="G2939" s="181"/>
      <c r="H2939" s="181"/>
      <c r="I2939" s="181"/>
      <c r="J2939" s="181"/>
      <c r="K2939" s="181"/>
      <c r="L2939" s="181"/>
      <c r="M2939" s="181"/>
      <c r="N2939" s="181"/>
      <c r="O2939" s="181"/>
      <c r="P2939" s="181"/>
    </row>
    <row r="2940">
      <c r="B2940" s="292"/>
      <c r="C2940" s="181"/>
      <c r="D2940" s="181"/>
      <c r="E2940" s="181"/>
      <c r="F2940" s="181"/>
      <c r="G2940" s="181"/>
      <c r="H2940" s="181"/>
      <c r="I2940" s="181"/>
      <c r="J2940" s="181"/>
      <c r="K2940" s="181"/>
      <c r="L2940" s="181"/>
      <c r="M2940" s="181"/>
      <c r="N2940" s="181"/>
      <c r="O2940" s="181"/>
      <c r="P2940" s="181"/>
    </row>
    <row r="2941">
      <c r="B2941" s="292"/>
      <c r="C2941" s="181"/>
      <c r="D2941" s="181"/>
      <c r="E2941" s="181"/>
      <c r="F2941" s="181"/>
      <c r="G2941" s="181"/>
      <c r="H2941" s="181"/>
      <c r="I2941" s="181"/>
      <c r="J2941" s="181"/>
      <c r="K2941" s="181"/>
      <c r="L2941" s="181"/>
      <c r="M2941" s="181"/>
      <c r="N2941" s="181"/>
      <c r="O2941" s="181"/>
      <c r="P2941" s="181"/>
    </row>
    <row r="2942">
      <c r="B2942" s="292"/>
      <c r="C2942" s="181"/>
      <c r="D2942" s="181"/>
      <c r="E2942" s="181"/>
      <c r="F2942" s="181"/>
      <c r="G2942" s="181"/>
      <c r="H2942" s="181"/>
      <c r="I2942" s="181"/>
      <c r="J2942" s="181"/>
      <c r="K2942" s="181"/>
      <c r="L2942" s="181"/>
      <c r="M2942" s="181"/>
      <c r="N2942" s="181"/>
      <c r="O2942" s="181"/>
      <c r="P2942" s="181"/>
    </row>
    <row r="2943">
      <c r="B2943" s="292"/>
      <c r="C2943" s="181"/>
      <c r="D2943" s="181"/>
      <c r="E2943" s="181"/>
      <c r="F2943" s="181"/>
      <c r="G2943" s="181"/>
      <c r="H2943" s="181"/>
      <c r="I2943" s="181"/>
      <c r="J2943" s="181"/>
      <c r="K2943" s="181"/>
      <c r="L2943" s="181"/>
      <c r="M2943" s="181"/>
      <c r="N2943" s="181"/>
      <c r="O2943" s="181"/>
      <c r="P2943" s="181"/>
    </row>
    <row r="2944">
      <c r="B2944" s="292"/>
      <c r="C2944" s="181"/>
      <c r="D2944" s="181"/>
      <c r="E2944" s="181"/>
      <c r="F2944" s="181"/>
      <c r="G2944" s="181"/>
      <c r="H2944" s="181"/>
      <c r="I2944" s="181"/>
      <c r="J2944" s="181"/>
      <c r="K2944" s="181"/>
      <c r="L2944" s="181"/>
      <c r="M2944" s="181"/>
      <c r="N2944" s="181"/>
      <c r="O2944" s="181"/>
      <c r="P2944" s="181"/>
    </row>
    <row r="2945">
      <c r="B2945" s="292"/>
      <c r="C2945" s="181"/>
      <c r="D2945" s="181"/>
      <c r="E2945" s="181"/>
      <c r="F2945" s="181"/>
      <c r="G2945" s="181"/>
      <c r="H2945" s="181"/>
      <c r="I2945" s="181"/>
      <c r="J2945" s="181"/>
      <c r="K2945" s="181"/>
      <c r="L2945" s="181"/>
      <c r="M2945" s="181"/>
      <c r="N2945" s="181"/>
      <c r="O2945" s="181"/>
      <c r="P2945" s="181"/>
    </row>
    <row r="2946">
      <c r="B2946" s="292"/>
      <c r="C2946" s="181"/>
      <c r="D2946" s="181"/>
      <c r="E2946" s="181"/>
      <c r="F2946" s="181"/>
      <c r="G2946" s="181"/>
      <c r="H2946" s="181"/>
      <c r="I2946" s="181"/>
      <c r="J2946" s="181"/>
      <c r="K2946" s="181"/>
      <c r="L2946" s="181"/>
      <c r="M2946" s="181"/>
      <c r="N2946" s="181"/>
      <c r="O2946" s="181"/>
      <c r="P2946" s="181"/>
    </row>
    <row r="2947">
      <c r="B2947" s="292"/>
      <c r="C2947" s="181"/>
      <c r="D2947" s="181"/>
      <c r="E2947" s="181"/>
      <c r="F2947" s="181"/>
      <c r="G2947" s="181"/>
      <c r="H2947" s="181"/>
      <c r="I2947" s="181"/>
      <c r="J2947" s="181"/>
      <c r="K2947" s="181"/>
      <c r="L2947" s="181"/>
      <c r="M2947" s="181"/>
      <c r="N2947" s="181"/>
      <c r="O2947" s="181"/>
      <c r="P2947" s="181"/>
    </row>
    <row r="2948">
      <c r="B2948" s="292"/>
      <c r="C2948" s="181"/>
      <c r="D2948" s="181"/>
      <c r="E2948" s="181"/>
      <c r="F2948" s="181"/>
      <c r="G2948" s="181"/>
      <c r="H2948" s="181"/>
      <c r="I2948" s="181"/>
      <c r="J2948" s="181"/>
      <c r="K2948" s="181"/>
      <c r="L2948" s="181"/>
      <c r="M2948" s="181"/>
      <c r="N2948" s="181"/>
      <c r="O2948" s="181"/>
      <c r="P2948" s="181"/>
    </row>
    <row r="2949">
      <c r="B2949" s="292"/>
      <c r="C2949" s="181"/>
      <c r="D2949" s="181"/>
      <c r="E2949" s="181"/>
      <c r="F2949" s="181"/>
      <c r="G2949" s="181"/>
      <c r="H2949" s="181"/>
      <c r="I2949" s="181"/>
      <c r="J2949" s="181"/>
      <c r="K2949" s="181"/>
      <c r="L2949" s="181"/>
      <c r="M2949" s="181"/>
      <c r="N2949" s="181"/>
      <c r="O2949" s="181"/>
      <c r="P2949" s="181"/>
    </row>
    <row r="2950">
      <c r="B2950" s="292"/>
      <c r="C2950" s="181"/>
      <c r="D2950" s="181"/>
      <c r="E2950" s="181"/>
      <c r="F2950" s="181"/>
      <c r="G2950" s="181"/>
      <c r="H2950" s="181"/>
      <c r="I2950" s="181"/>
      <c r="J2950" s="181"/>
      <c r="K2950" s="181"/>
      <c r="L2950" s="181"/>
      <c r="M2950" s="181"/>
      <c r="N2950" s="181"/>
      <c r="O2950" s="181"/>
      <c r="P2950" s="181"/>
    </row>
    <row r="2951">
      <c r="B2951" s="292"/>
      <c r="C2951" s="181"/>
      <c r="D2951" s="181"/>
      <c r="E2951" s="181"/>
      <c r="F2951" s="181"/>
      <c r="G2951" s="181"/>
      <c r="H2951" s="181"/>
      <c r="I2951" s="181"/>
      <c r="J2951" s="181"/>
      <c r="K2951" s="181"/>
      <c r="L2951" s="181"/>
      <c r="M2951" s="181"/>
      <c r="N2951" s="181"/>
      <c r="O2951" s="181"/>
      <c r="P2951" s="181"/>
    </row>
    <row r="2952">
      <c r="B2952" s="292"/>
      <c r="C2952" s="181"/>
      <c r="D2952" s="181"/>
      <c r="E2952" s="181"/>
      <c r="F2952" s="181"/>
      <c r="G2952" s="181"/>
      <c r="H2952" s="181"/>
      <c r="I2952" s="181"/>
      <c r="J2952" s="181"/>
      <c r="K2952" s="181"/>
      <c r="L2952" s="181"/>
      <c r="M2952" s="181"/>
      <c r="N2952" s="181"/>
      <c r="O2952" s="181"/>
      <c r="P2952" s="181"/>
    </row>
    <row r="2953">
      <c r="B2953" s="292"/>
      <c r="C2953" s="181"/>
      <c r="D2953" s="181"/>
      <c r="E2953" s="181"/>
      <c r="F2953" s="181"/>
      <c r="G2953" s="181"/>
      <c r="H2953" s="181"/>
      <c r="I2953" s="181"/>
      <c r="J2953" s="181"/>
      <c r="K2953" s="181"/>
      <c r="L2953" s="181"/>
      <c r="M2953" s="181"/>
      <c r="N2953" s="181"/>
      <c r="O2953" s="181"/>
      <c r="P2953" s="181"/>
    </row>
    <row r="2954">
      <c r="B2954" s="292"/>
      <c r="C2954" s="181"/>
      <c r="D2954" s="181"/>
      <c r="E2954" s="181"/>
      <c r="F2954" s="181"/>
      <c r="G2954" s="181"/>
      <c r="H2954" s="181"/>
      <c r="I2954" s="181"/>
      <c r="J2954" s="181"/>
      <c r="K2954" s="181"/>
      <c r="L2954" s="181"/>
      <c r="M2954" s="181"/>
      <c r="N2954" s="181"/>
      <c r="O2954" s="181"/>
      <c r="P2954" s="181"/>
    </row>
    <row r="2955">
      <c r="B2955" s="292"/>
      <c r="C2955" s="181"/>
      <c r="D2955" s="181"/>
      <c r="E2955" s="181"/>
      <c r="F2955" s="181"/>
      <c r="G2955" s="181"/>
      <c r="H2955" s="181"/>
      <c r="I2955" s="181"/>
      <c r="J2955" s="181"/>
      <c r="K2955" s="181"/>
      <c r="L2955" s="181"/>
      <c r="M2955" s="181"/>
      <c r="N2955" s="181"/>
      <c r="O2955" s="181"/>
      <c r="P2955" s="181"/>
    </row>
    <row r="2956">
      <c r="B2956" s="292"/>
      <c r="C2956" s="181"/>
      <c r="D2956" s="181"/>
      <c r="E2956" s="181"/>
      <c r="F2956" s="181"/>
      <c r="G2956" s="181"/>
      <c r="H2956" s="181"/>
      <c r="I2956" s="181"/>
      <c r="J2956" s="181"/>
      <c r="K2956" s="181"/>
      <c r="L2956" s="181"/>
      <c r="M2956" s="181"/>
      <c r="N2956" s="181"/>
      <c r="O2956" s="181"/>
      <c r="P2956" s="181"/>
    </row>
    <row r="2957">
      <c r="B2957" s="292"/>
      <c r="C2957" s="181"/>
      <c r="D2957" s="181"/>
      <c r="E2957" s="181"/>
      <c r="F2957" s="181"/>
      <c r="G2957" s="181"/>
      <c r="H2957" s="181"/>
      <c r="I2957" s="181"/>
      <c r="J2957" s="181"/>
      <c r="K2957" s="181"/>
      <c r="L2957" s="181"/>
      <c r="M2957" s="181"/>
      <c r="N2957" s="181"/>
      <c r="O2957" s="181"/>
      <c r="P2957" s="181"/>
    </row>
    <row r="2958">
      <c r="B2958" s="292"/>
      <c r="C2958" s="181"/>
      <c r="D2958" s="181"/>
      <c r="E2958" s="181"/>
      <c r="F2958" s="181"/>
      <c r="G2958" s="181"/>
      <c r="H2958" s="181"/>
      <c r="I2958" s="181"/>
      <c r="J2958" s="181"/>
      <c r="K2958" s="181"/>
      <c r="L2958" s="181"/>
      <c r="M2958" s="181"/>
      <c r="N2958" s="181"/>
      <c r="O2958" s="181"/>
      <c r="P2958" s="181"/>
    </row>
    <row r="2959">
      <c r="B2959" s="292"/>
      <c r="C2959" s="181"/>
      <c r="D2959" s="181"/>
      <c r="E2959" s="181"/>
      <c r="F2959" s="181"/>
      <c r="G2959" s="181"/>
      <c r="H2959" s="181"/>
      <c r="I2959" s="181"/>
      <c r="J2959" s="181"/>
      <c r="K2959" s="181"/>
      <c r="L2959" s="181"/>
      <c r="M2959" s="181"/>
      <c r="N2959" s="181"/>
      <c r="O2959" s="181"/>
      <c r="P2959" s="181"/>
    </row>
    <row r="2960">
      <c r="B2960" s="292"/>
      <c r="C2960" s="181"/>
      <c r="D2960" s="181"/>
      <c r="E2960" s="181"/>
      <c r="F2960" s="181"/>
      <c r="G2960" s="181"/>
      <c r="H2960" s="181"/>
      <c r="I2960" s="181"/>
      <c r="J2960" s="181"/>
      <c r="K2960" s="181"/>
      <c r="L2960" s="181"/>
      <c r="M2960" s="181"/>
      <c r="N2960" s="181"/>
      <c r="O2960" s="181"/>
      <c r="P2960" s="181"/>
    </row>
    <row r="2961">
      <c r="B2961" s="292"/>
      <c r="C2961" s="181"/>
      <c r="D2961" s="181"/>
      <c r="E2961" s="181"/>
      <c r="F2961" s="181"/>
      <c r="G2961" s="181"/>
      <c r="H2961" s="181"/>
      <c r="I2961" s="181"/>
      <c r="J2961" s="181"/>
      <c r="K2961" s="181"/>
      <c r="L2961" s="181"/>
      <c r="M2961" s="181"/>
      <c r="N2961" s="181"/>
      <c r="O2961" s="181"/>
      <c r="P2961" s="181"/>
    </row>
    <row r="2962">
      <c r="B2962" s="292"/>
      <c r="C2962" s="181"/>
      <c r="D2962" s="181"/>
      <c r="E2962" s="181"/>
      <c r="F2962" s="181"/>
      <c r="G2962" s="181"/>
      <c r="H2962" s="181"/>
      <c r="I2962" s="181"/>
      <c r="J2962" s="181"/>
      <c r="K2962" s="181"/>
      <c r="L2962" s="181"/>
      <c r="M2962" s="181"/>
      <c r="N2962" s="181"/>
      <c r="O2962" s="181"/>
      <c r="P2962" s="181"/>
    </row>
    <row r="2963">
      <c r="B2963" s="292"/>
      <c r="C2963" s="181"/>
      <c r="D2963" s="181"/>
      <c r="E2963" s="181"/>
      <c r="F2963" s="181"/>
      <c r="G2963" s="181"/>
      <c r="H2963" s="181"/>
      <c r="I2963" s="181"/>
      <c r="J2963" s="181"/>
      <c r="K2963" s="181"/>
      <c r="L2963" s="181"/>
      <c r="M2963" s="181"/>
      <c r="N2963" s="181"/>
      <c r="O2963" s="181"/>
      <c r="P2963" s="181"/>
    </row>
    <row r="2964">
      <c r="B2964" s="292"/>
      <c r="C2964" s="181"/>
      <c r="D2964" s="181"/>
      <c r="E2964" s="181"/>
      <c r="F2964" s="181"/>
      <c r="G2964" s="181"/>
      <c r="H2964" s="181"/>
      <c r="I2964" s="181"/>
      <c r="J2964" s="181"/>
      <c r="K2964" s="181"/>
      <c r="L2964" s="181"/>
      <c r="M2964" s="181"/>
      <c r="N2964" s="181"/>
      <c r="O2964" s="181"/>
      <c r="P2964" s="181"/>
    </row>
    <row r="2965">
      <c r="B2965" s="292"/>
      <c r="C2965" s="181"/>
      <c r="D2965" s="181"/>
      <c r="E2965" s="181"/>
      <c r="F2965" s="181"/>
      <c r="G2965" s="181"/>
      <c r="H2965" s="181"/>
      <c r="I2965" s="181"/>
      <c r="J2965" s="181"/>
      <c r="K2965" s="181"/>
      <c r="L2965" s="181"/>
      <c r="M2965" s="181"/>
      <c r="N2965" s="181"/>
      <c r="O2965" s="181"/>
      <c r="P2965" s="181"/>
    </row>
    <row r="2966">
      <c r="B2966" s="292"/>
      <c r="C2966" s="181"/>
      <c r="D2966" s="181"/>
      <c r="E2966" s="181"/>
      <c r="F2966" s="181"/>
      <c r="G2966" s="181"/>
      <c r="H2966" s="181"/>
      <c r="I2966" s="181"/>
      <c r="J2966" s="181"/>
      <c r="K2966" s="181"/>
      <c r="L2966" s="181"/>
      <c r="M2966" s="181"/>
      <c r="N2966" s="181"/>
      <c r="O2966" s="181"/>
      <c r="P2966" s="181"/>
    </row>
    <row r="2967">
      <c r="B2967" s="292"/>
      <c r="C2967" s="181"/>
      <c r="D2967" s="181"/>
      <c r="E2967" s="181"/>
      <c r="F2967" s="181"/>
      <c r="G2967" s="181"/>
      <c r="H2967" s="181"/>
      <c r="I2967" s="181"/>
      <c r="J2967" s="181"/>
      <c r="K2967" s="181"/>
      <c r="L2967" s="181"/>
      <c r="M2967" s="181"/>
      <c r="N2967" s="181"/>
      <c r="O2967" s="181"/>
      <c r="P2967" s="181"/>
    </row>
    <row r="2968">
      <c r="B2968" s="292"/>
      <c r="C2968" s="181"/>
      <c r="D2968" s="181"/>
      <c r="E2968" s="181"/>
      <c r="F2968" s="181"/>
      <c r="G2968" s="181"/>
      <c r="H2968" s="181"/>
      <c r="I2968" s="181"/>
      <c r="J2968" s="181"/>
      <c r="K2968" s="181"/>
      <c r="L2968" s="181"/>
      <c r="M2968" s="181"/>
      <c r="N2968" s="181"/>
      <c r="O2968" s="181"/>
      <c r="P2968" s="181"/>
    </row>
    <row r="2969">
      <c r="B2969" s="292"/>
      <c r="C2969" s="181"/>
      <c r="D2969" s="181"/>
      <c r="E2969" s="181"/>
      <c r="F2969" s="181"/>
      <c r="G2969" s="181"/>
      <c r="H2969" s="181"/>
      <c r="I2969" s="181"/>
      <c r="J2969" s="181"/>
      <c r="K2969" s="181"/>
      <c r="L2969" s="181"/>
      <c r="M2969" s="181"/>
      <c r="N2969" s="181"/>
      <c r="O2969" s="181"/>
      <c r="P2969" s="181"/>
    </row>
    <row r="2970">
      <c r="B2970" s="292"/>
      <c r="C2970" s="181"/>
      <c r="D2970" s="181"/>
      <c r="E2970" s="181"/>
      <c r="F2970" s="181"/>
      <c r="G2970" s="181"/>
      <c r="H2970" s="181"/>
      <c r="I2970" s="181"/>
      <c r="J2970" s="181"/>
      <c r="K2970" s="181"/>
      <c r="L2970" s="181"/>
      <c r="M2970" s="181"/>
      <c r="N2970" s="181"/>
      <c r="O2970" s="181"/>
      <c r="P2970" s="181"/>
    </row>
    <row r="2971">
      <c r="B2971" s="292"/>
      <c r="C2971" s="181"/>
      <c r="D2971" s="181"/>
      <c r="E2971" s="181"/>
      <c r="F2971" s="181"/>
      <c r="G2971" s="181"/>
      <c r="H2971" s="181"/>
      <c r="I2971" s="181"/>
      <c r="J2971" s="181"/>
      <c r="K2971" s="181"/>
      <c r="L2971" s="181"/>
      <c r="M2971" s="181"/>
      <c r="N2971" s="181"/>
      <c r="O2971" s="181"/>
      <c r="P2971" s="181"/>
    </row>
    <row r="2972">
      <c r="B2972" s="292"/>
      <c r="C2972" s="181"/>
      <c r="D2972" s="181"/>
      <c r="E2972" s="181"/>
      <c r="F2972" s="181"/>
      <c r="G2972" s="181"/>
      <c r="H2972" s="181"/>
      <c r="I2972" s="181"/>
      <c r="J2972" s="181"/>
      <c r="K2972" s="181"/>
      <c r="L2972" s="181"/>
      <c r="M2972" s="181"/>
      <c r="N2972" s="181"/>
      <c r="O2972" s="181"/>
      <c r="P2972" s="181"/>
    </row>
    <row r="2973">
      <c r="B2973" s="292"/>
      <c r="C2973" s="181"/>
      <c r="D2973" s="181"/>
      <c r="E2973" s="181"/>
      <c r="F2973" s="181"/>
      <c r="G2973" s="181"/>
      <c r="H2973" s="181"/>
      <c r="I2973" s="181"/>
      <c r="J2973" s="181"/>
      <c r="K2973" s="181"/>
      <c r="L2973" s="181"/>
      <c r="M2973" s="181"/>
      <c r="N2973" s="181"/>
      <c r="O2973" s="181"/>
      <c r="P2973" s="181"/>
    </row>
    <row r="2974">
      <c r="B2974" s="292"/>
      <c r="C2974" s="181"/>
      <c r="D2974" s="181"/>
      <c r="E2974" s="181"/>
      <c r="F2974" s="181"/>
      <c r="G2974" s="181"/>
      <c r="H2974" s="181"/>
      <c r="I2974" s="181"/>
      <c r="J2974" s="181"/>
      <c r="K2974" s="181"/>
      <c r="L2974" s="181"/>
      <c r="M2974" s="181"/>
      <c r="N2974" s="181"/>
      <c r="O2974" s="181"/>
      <c r="P2974" s="181"/>
    </row>
    <row r="2975">
      <c r="B2975" s="292"/>
      <c r="C2975" s="181"/>
      <c r="D2975" s="181"/>
      <c r="E2975" s="181"/>
      <c r="F2975" s="181"/>
      <c r="G2975" s="181"/>
      <c r="H2975" s="181"/>
      <c r="I2975" s="181"/>
      <c r="J2975" s="181"/>
      <c r="K2975" s="181"/>
      <c r="L2975" s="181"/>
      <c r="M2975" s="181"/>
      <c r="N2975" s="181"/>
      <c r="O2975" s="181"/>
      <c r="P2975" s="181"/>
    </row>
    <row r="2976">
      <c r="B2976" s="292"/>
      <c r="C2976" s="181"/>
      <c r="D2976" s="181"/>
      <c r="E2976" s="181"/>
      <c r="F2976" s="181"/>
      <c r="G2976" s="181"/>
      <c r="H2976" s="181"/>
      <c r="I2976" s="181"/>
      <c r="J2976" s="181"/>
      <c r="K2976" s="181"/>
      <c r="L2976" s="181"/>
      <c r="M2976" s="181"/>
      <c r="N2976" s="181"/>
      <c r="O2976" s="181"/>
      <c r="P2976" s="181"/>
    </row>
    <row r="2977">
      <c r="B2977" s="292"/>
      <c r="C2977" s="181"/>
      <c r="D2977" s="181"/>
      <c r="E2977" s="181"/>
      <c r="F2977" s="181"/>
      <c r="G2977" s="181"/>
      <c r="H2977" s="181"/>
      <c r="I2977" s="181"/>
      <c r="J2977" s="181"/>
      <c r="K2977" s="181"/>
      <c r="L2977" s="181"/>
      <c r="M2977" s="181"/>
      <c r="N2977" s="181"/>
      <c r="O2977" s="181"/>
      <c r="P2977" s="181"/>
    </row>
    <row r="2978">
      <c r="B2978" s="292"/>
      <c r="C2978" s="181"/>
      <c r="D2978" s="181"/>
      <c r="E2978" s="181"/>
      <c r="F2978" s="181"/>
      <c r="G2978" s="181"/>
      <c r="H2978" s="181"/>
      <c r="I2978" s="181"/>
      <c r="J2978" s="181"/>
      <c r="K2978" s="181"/>
      <c r="L2978" s="181"/>
      <c r="M2978" s="181"/>
      <c r="N2978" s="181"/>
      <c r="O2978" s="181"/>
      <c r="P2978" s="181"/>
    </row>
    <row r="2979">
      <c r="B2979" s="292"/>
      <c r="C2979" s="181"/>
      <c r="D2979" s="181"/>
      <c r="E2979" s="181"/>
      <c r="F2979" s="181"/>
      <c r="G2979" s="181"/>
      <c r="H2979" s="181"/>
      <c r="I2979" s="181"/>
      <c r="J2979" s="181"/>
      <c r="K2979" s="181"/>
      <c r="L2979" s="181"/>
      <c r="M2979" s="181"/>
      <c r="N2979" s="181"/>
      <c r="O2979" s="181"/>
      <c r="P2979" s="181"/>
    </row>
    <row r="2980">
      <c r="B2980" s="292"/>
      <c r="C2980" s="181"/>
      <c r="D2980" s="181"/>
      <c r="E2980" s="181"/>
      <c r="F2980" s="181"/>
      <c r="G2980" s="181"/>
      <c r="H2980" s="181"/>
      <c r="I2980" s="181"/>
      <c r="J2980" s="181"/>
      <c r="K2980" s="181"/>
      <c r="L2980" s="181"/>
      <c r="M2980" s="181"/>
      <c r="N2980" s="181"/>
      <c r="O2980" s="181"/>
      <c r="P2980" s="181"/>
    </row>
    <row r="2981">
      <c r="B2981" s="292"/>
      <c r="C2981" s="181"/>
      <c r="D2981" s="181"/>
      <c r="E2981" s="181"/>
      <c r="F2981" s="181"/>
      <c r="G2981" s="181"/>
      <c r="H2981" s="181"/>
      <c r="I2981" s="181"/>
      <c r="J2981" s="181"/>
      <c r="K2981" s="181"/>
      <c r="L2981" s="181"/>
      <c r="M2981" s="181"/>
      <c r="N2981" s="181"/>
      <c r="O2981" s="181"/>
      <c r="P2981" s="181"/>
    </row>
    <row r="2982">
      <c r="B2982" s="292"/>
      <c r="C2982" s="181"/>
      <c r="D2982" s="181"/>
      <c r="E2982" s="181"/>
      <c r="F2982" s="181"/>
      <c r="G2982" s="181"/>
      <c r="H2982" s="181"/>
      <c r="I2982" s="181"/>
      <c r="J2982" s="181"/>
      <c r="K2982" s="181"/>
      <c r="L2982" s="181"/>
      <c r="M2982" s="181"/>
      <c r="N2982" s="181"/>
      <c r="O2982" s="181"/>
      <c r="P2982" s="181"/>
    </row>
    <row r="2983">
      <c r="B2983" s="292"/>
      <c r="C2983" s="181"/>
      <c r="D2983" s="181"/>
      <c r="E2983" s="181"/>
      <c r="F2983" s="181"/>
      <c r="G2983" s="181"/>
      <c r="H2983" s="181"/>
      <c r="I2983" s="181"/>
      <c r="J2983" s="181"/>
      <c r="K2983" s="181"/>
      <c r="L2983" s="181"/>
      <c r="M2983" s="181"/>
      <c r="N2983" s="181"/>
      <c r="O2983" s="181"/>
      <c r="P2983" s="181"/>
    </row>
    <row r="2984">
      <c r="B2984" s="292"/>
      <c r="C2984" s="181"/>
      <c r="D2984" s="181"/>
      <c r="E2984" s="181"/>
      <c r="F2984" s="181"/>
      <c r="G2984" s="181"/>
      <c r="H2984" s="181"/>
      <c r="I2984" s="181"/>
      <c r="J2984" s="181"/>
      <c r="K2984" s="181"/>
      <c r="L2984" s="181"/>
      <c r="M2984" s="181"/>
      <c r="N2984" s="181"/>
      <c r="O2984" s="181"/>
      <c r="P2984" s="181"/>
    </row>
    <row r="2985">
      <c r="B2985" s="292"/>
      <c r="C2985" s="181"/>
      <c r="D2985" s="181"/>
      <c r="E2985" s="181"/>
      <c r="F2985" s="181"/>
      <c r="G2985" s="181"/>
      <c r="H2985" s="181"/>
      <c r="I2985" s="181"/>
      <c r="J2985" s="181"/>
      <c r="K2985" s="181"/>
      <c r="L2985" s="181"/>
      <c r="M2985" s="181"/>
      <c r="N2985" s="181"/>
      <c r="O2985" s="181"/>
      <c r="P2985" s="181"/>
    </row>
    <row r="2986">
      <c r="B2986" s="292"/>
      <c r="C2986" s="181"/>
      <c r="D2986" s="181"/>
      <c r="E2986" s="181"/>
      <c r="F2986" s="181"/>
      <c r="G2986" s="181"/>
      <c r="H2986" s="181"/>
      <c r="I2986" s="181"/>
      <c r="J2986" s="181"/>
      <c r="K2986" s="181"/>
      <c r="L2986" s="181"/>
      <c r="M2986" s="181"/>
      <c r="N2986" s="181"/>
      <c r="O2986" s="181"/>
      <c r="P2986" s="181"/>
    </row>
    <row r="2987">
      <c r="B2987" s="292"/>
      <c r="C2987" s="181"/>
      <c r="D2987" s="181"/>
      <c r="E2987" s="181"/>
      <c r="F2987" s="181"/>
      <c r="G2987" s="181"/>
      <c r="H2987" s="181"/>
      <c r="I2987" s="181"/>
      <c r="J2987" s="181"/>
      <c r="K2987" s="181"/>
      <c r="L2987" s="181"/>
      <c r="M2987" s="181"/>
      <c r="N2987" s="181"/>
      <c r="O2987" s="181"/>
      <c r="P2987" s="181"/>
    </row>
    <row r="2988">
      <c r="B2988" s="292"/>
      <c r="C2988" s="181"/>
      <c r="D2988" s="181"/>
      <c r="E2988" s="181"/>
      <c r="F2988" s="181"/>
      <c r="G2988" s="181"/>
      <c r="H2988" s="181"/>
      <c r="I2988" s="181"/>
      <c r="J2988" s="181"/>
      <c r="K2988" s="181"/>
      <c r="L2988" s="181"/>
      <c r="M2988" s="181"/>
      <c r="N2988" s="181"/>
      <c r="O2988" s="181"/>
      <c r="P2988" s="181"/>
    </row>
    <row r="2989">
      <c r="B2989" s="292"/>
      <c r="C2989" s="181"/>
      <c r="D2989" s="181"/>
      <c r="E2989" s="181"/>
      <c r="F2989" s="181"/>
      <c r="G2989" s="181"/>
      <c r="H2989" s="181"/>
      <c r="I2989" s="181"/>
      <c r="J2989" s="181"/>
      <c r="K2989" s="181"/>
      <c r="L2989" s="181"/>
      <c r="M2989" s="181"/>
      <c r="N2989" s="181"/>
      <c r="O2989" s="181"/>
      <c r="P2989" s="181"/>
    </row>
    <row r="2990">
      <c r="B2990" s="292"/>
      <c r="C2990" s="181"/>
      <c r="D2990" s="181"/>
      <c r="E2990" s="181"/>
      <c r="F2990" s="181"/>
      <c r="G2990" s="181"/>
      <c r="H2990" s="181"/>
      <c r="I2990" s="181"/>
      <c r="J2990" s="181"/>
      <c r="K2990" s="181"/>
      <c r="L2990" s="181"/>
      <c r="M2990" s="181"/>
      <c r="N2990" s="181"/>
      <c r="O2990" s="181"/>
      <c r="P2990" s="181"/>
    </row>
    <row r="2991">
      <c r="B2991" s="292"/>
      <c r="C2991" s="181"/>
      <c r="D2991" s="181"/>
      <c r="E2991" s="181"/>
      <c r="F2991" s="181"/>
      <c r="G2991" s="181"/>
      <c r="H2991" s="181"/>
      <c r="I2991" s="181"/>
      <c r="J2991" s="181"/>
      <c r="K2991" s="181"/>
      <c r="L2991" s="181"/>
      <c r="M2991" s="181"/>
      <c r="N2991" s="181"/>
      <c r="O2991" s="181"/>
      <c r="P2991" s="181"/>
    </row>
    <row r="2992">
      <c r="B2992" s="292"/>
      <c r="C2992" s="181"/>
      <c r="D2992" s="181"/>
      <c r="E2992" s="181"/>
      <c r="F2992" s="181"/>
      <c r="G2992" s="181"/>
      <c r="H2992" s="181"/>
      <c r="I2992" s="181"/>
      <c r="J2992" s="181"/>
      <c r="K2992" s="181"/>
      <c r="L2992" s="181"/>
      <c r="M2992" s="181"/>
      <c r="N2992" s="181"/>
      <c r="O2992" s="181"/>
      <c r="P2992" s="181"/>
    </row>
    <row r="2993">
      <c r="B2993" s="292"/>
      <c r="C2993" s="181"/>
      <c r="D2993" s="181"/>
      <c r="E2993" s="181"/>
      <c r="F2993" s="181"/>
      <c r="G2993" s="181"/>
      <c r="H2993" s="181"/>
      <c r="I2993" s="181"/>
      <c r="J2993" s="181"/>
      <c r="K2993" s="181"/>
      <c r="L2993" s="181"/>
      <c r="M2993" s="181"/>
      <c r="N2993" s="181"/>
      <c r="O2993" s="181"/>
      <c r="P2993" s="181"/>
    </row>
    <row r="2994">
      <c r="B2994" s="292"/>
      <c r="C2994" s="181"/>
      <c r="D2994" s="181"/>
      <c r="E2994" s="181"/>
      <c r="F2994" s="181"/>
      <c r="G2994" s="181"/>
      <c r="H2994" s="181"/>
      <c r="I2994" s="181"/>
      <c r="J2994" s="181"/>
      <c r="K2994" s="181"/>
      <c r="L2994" s="181"/>
      <c r="M2994" s="181"/>
      <c r="N2994" s="181"/>
      <c r="O2994" s="181"/>
      <c r="P2994" s="181"/>
    </row>
    <row r="2995">
      <c r="B2995" s="292"/>
      <c r="C2995" s="181"/>
      <c r="D2995" s="181"/>
      <c r="E2995" s="181"/>
      <c r="F2995" s="181"/>
      <c r="G2995" s="181"/>
      <c r="H2995" s="181"/>
      <c r="I2995" s="181"/>
      <c r="J2995" s="181"/>
      <c r="K2995" s="181"/>
      <c r="L2995" s="181"/>
      <c r="M2995" s="181"/>
      <c r="N2995" s="181"/>
      <c r="O2995" s="181"/>
      <c r="P2995" s="181"/>
    </row>
    <row r="2996">
      <c r="B2996" s="292"/>
      <c r="C2996" s="181"/>
      <c r="D2996" s="181"/>
      <c r="E2996" s="181"/>
      <c r="F2996" s="181"/>
      <c r="G2996" s="181"/>
      <c r="H2996" s="181"/>
      <c r="I2996" s="181"/>
      <c r="J2996" s="181"/>
      <c r="K2996" s="181"/>
      <c r="L2996" s="181"/>
      <c r="M2996" s="181"/>
      <c r="N2996" s="181"/>
      <c r="O2996" s="181"/>
      <c r="P2996" s="181"/>
    </row>
    <row r="2997">
      <c r="B2997" s="292"/>
      <c r="C2997" s="181"/>
      <c r="D2997" s="181"/>
      <c r="E2997" s="181"/>
      <c r="F2997" s="181"/>
      <c r="G2997" s="181"/>
      <c r="H2997" s="181"/>
      <c r="I2997" s="181"/>
      <c r="J2997" s="181"/>
      <c r="K2997" s="181"/>
      <c r="L2997" s="181"/>
      <c r="M2997" s="181"/>
      <c r="N2997" s="181"/>
      <c r="O2997" s="181"/>
      <c r="P2997" s="181"/>
    </row>
    <row r="2998">
      <c r="B2998" s="292"/>
      <c r="C2998" s="181"/>
      <c r="D2998" s="181"/>
      <c r="E2998" s="181"/>
      <c r="F2998" s="181"/>
      <c r="G2998" s="181"/>
      <c r="H2998" s="181"/>
      <c r="I2998" s="181"/>
      <c r="J2998" s="181"/>
      <c r="K2998" s="181"/>
      <c r="L2998" s="181"/>
      <c r="M2998" s="181"/>
      <c r="N2998" s="181"/>
      <c r="O2998" s="181"/>
      <c r="P2998" s="181"/>
    </row>
    <row r="2999">
      <c r="B2999" s="292"/>
      <c r="C2999" s="181"/>
      <c r="D2999" s="181"/>
      <c r="E2999" s="181"/>
      <c r="F2999" s="181"/>
      <c r="G2999" s="181"/>
      <c r="H2999" s="181"/>
      <c r="I2999" s="181"/>
      <c r="J2999" s="181"/>
      <c r="K2999" s="181"/>
      <c r="L2999" s="181"/>
      <c r="M2999" s="181"/>
      <c r="N2999" s="181"/>
      <c r="O2999" s="181"/>
      <c r="P2999" s="181"/>
    </row>
    <row r="3000">
      <c r="B3000" s="292"/>
      <c r="C3000" s="181"/>
      <c r="D3000" s="181"/>
      <c r="E3000" s="181"/>
      <c r="F3000" s="181"/>
      <c r="G3000" s="181"/>
      <c r="H3000" s="181"/>
      <c r="I3000" s="181"/>
      <c r="J3000" s="181"/>
      <c r="K3000" s="181"/>
      <c r="L3000" s="181"/>
      <c r="M3000" s="181"/>
      <c r="N3000" s="181"/>
      <c r="O3000" s="181"/>
      <c r="P3000" s="181"/>
    </row>
    <row r="3001">
      <c r="B3001" s="292"/>
      <c r="C3001" s="181"/>
      <c r="D3001" s="181"/>
      <c r="E3001" s="181"/>
      <c r="F3001" s="181"/>
      <c r="G3001" s="181"/>
      <c r="H3001" s="181"/>
      <c r="I3001" s="181"/>
      <c r="J3001" s="181"/>
      <c r="K3001" s="181"/>
      <c r="L3001" s="181"/>
      <c r="M3001" s="181"/>
      <c r="N3001" s="181"/>
      <c r="O3001" s="181"/>
      <c r="P3001" s="181"/>
    </row>
    <row r="3002">
      <c r="B3002" s="292"/>
      <c r="C3002" s="181"/>
      <c r="D3002" s="181"/>
      <c r="E3002" s="181"/>
      <c r="F3002" s="181"/>
      <c r="G3002" s="181"/>
      <c r="H3002" s="181"/>
      <c r="I3002" s="181"/>
      <c r="J3002" s="181"/>
      <c r="K3002" s="181"/>
      <c r="L3002" s="181"/>
      <c r="M3002" s="181"/>
      <c r="N3002" s="181"/>
      <c r="O3002" s="181"/>
      <c r="P3002" s="181"/>
    </row>
    <row r="3003">
      <c r="B3003" s="292"/>
      <c r="C3003" s="181"/>
      <c r="D3003" s="181"/>
      <c r="E3003" s="181"/>
      <c r="F3003" s="181"/>
      <c r="G3003" s="181"/>
      <c r="H3003" s="181"/>
      <c r="I3003" s="181"/>
      <c r="J3003" s="181"/>
      <c r="K3003" s="181"/>
      <c r="L3003" s="181"/>
      <c r="M3003" s="181"/>
      <c r="N3003" s="181"/>
      <c r="O3003" s="181"/>
      <c r="P3003" s="181"/>
    </row>
    <row r="3004">
      <c r="B3004" s="292"/>
      <c r="C3004" s="181"/>
      <c r="D3004" s="181"/>
      <c r="E3004" s="181"/>
      <c r="F3004" s="181"/>
      <c r="G3004" s="181"/>
      <c r="H3004" s="181"/>
      <c r="I3004" s="181"/>
      <c r="J3004" s="181"/>
      <c r="K3004" s="181"/>
      <c r="L3004" s="181"/>
      <c r="M3004" s="181"/>
      <c r="N3004" s="181"/>
      <c r="O3004" s="181"/>
      <c r="P3004" s="181"/>
    </row>
    <row r="3005">
      <c r="B3005" s="292"/>
      <c r="C3005" s="181"/>
      <c r="D3005" s="181"/>
      <c r="E3005" s="181"/>
      <c r="F3005" s="181"/>
      <c r="G3005" s="181"/>
      <c r="H3005" s="181"/>
      <c r="I3005" s="181"/>
      <c r="J3005" s="181"/>
      <c r="K3005" s="181"/>
      <c r="L3005" s="181"/>
      <c r="M3005" s="181"/>
      <c r="N3005" s="181"/>
      <c r="O3005" s="181"/>
      <c r="P3005" s="181"/>
    </row>
    <row r="3006">
      <c r="B3006" s="292"/>
      <c r="C3006" s="181"/>
      <c r="D3006" s="181"/>
      <c r="E3006" s="181"/>
      <c r="F3006" s="181"/>
      <c r="G3006" s="181"/>
      <c r="H3006" s="181"/>
      <c r="I3006" s="181"/>
      <c r="J3006" s="181"/>
      <c r="K3006" s="181"/>
      <c r="L3006" s="181"/>
      <c r="M3006" s="181"/>
      <c r="N3006" s="181"/>
      <c r="O3006" s="181"/>
      <c r="P3006" s="181"/>
    </row>
    <row r="3007">
      <c r="B3007" s="292"/>
      <c r="C3007" s="181"/>
      <c r="D3007" s="181"/>
      <c r="E3007" s="181"/>
      <c r="F3007" s="181"/>
      <c r="G3007" s="181"/>
      <c r="H3007" s="181"/>
      <c r="I3007" s="181"/>
      <c r="J3007" s="181"/>
      <c r="K3007" s="181"/>
      <c r="L3007" s="181"/>
      <c r="M3007" s="181"/>
      <c r="N3007" s="181"/>
      <c r="O3007" s="181"/>
      <c r="P3007" s="181"/>
    </row>
    <row r="3008">
      <c r="B3008" s="292"/>
      <c r="C3008" s="181"/>
      <c r="D3008" s="181"/>
      <c r="E3008" s="181"/>
      <c r="F3008" s="181"/>
      <c r="G3008" s="181"/>
      <c r="H3008" s="181"/>
      <c r="I3008" s="181"/>
      <c r="J3008" s="181"/>
      <c r="K3008" s="181"/>
      <c r="L3008" s="181"/>
      <c r="M3008" s="181"/>
      <c r="N3008" s="181"/>
      <c r="O3008" s="181"/>
      <c r="P3008" s="181"/>
    </row>
    <row r="3009">
      <c r="B3009" s="292"/>
      <c r="C3009" s="181"/>
      <c r="D3009" s="181"/>
      <c r="E3009" s="181"/>
      <c r="F3009" s="181"/>
      <c r="G3009" s="181"/>
      <c r="H3009" s="181"/>
      <c r="I3009" s="181"/>
      <c r="J3009" s="181"/>
      <c r="K3009" s="181"/>
      <c r="L3009" s="181"/>
      <c r="M3009" s="181"/>
      <c r="N3009" s="181"/>
      <c r="O3009" s="181"/>
      <c r="P3009" s="181"/>
    </row>
    <row r="3010">
      <c r="B3010" s="292"/>
      <c r="C3010" s="181"/>
      <c r="D3010" s="181"/>
      <c r="E3010" s="181"/>
      <c r="F3010" s="181"/>
      <c r="G3010" s="181"/>
      <c r="H3010" s="181"/>
      <c r="I3010" s="181"/>
      <c r="J3010" s="181"/>
      <c r="K3010" s="181"/>
      <c r="L3010" s="181"/>
      <c r="M3010" s="181"/>
      <c r="N3010" s="181"/>
      <c r="O3010" s="181"/>
      <c r="P3010" s="181"/>
    </row>
    <row r="3011">
      <c r="B3011" s="292"/>
      <c r="C3011" s="181"/>
      <c r="D3011" s="181"/>
      <c r="E3011" s="181"/>
      <c r="F3011" s="181"/>
      <c r="G3011" s="181"/>
      <c r="H3011" s="181"/>
      <c r="I3011" s="181"/>
      <c r="J3011" s="181"/>
      <c r="K3011" s="181"/>
      <c r="L3011" s="181"/>
      <c r="M3011" s="181"/>
      <c r="N3011" s="181"/>
      <c r="O3011" s="181"/>
      <c r="P3011" s="181"/>
    </row>
    <row r="3012">
      <c r="B3012" s="292"/>
      <c r="C3012" s="181"/>
      <c r="D3012" s="181"/>
      <c r="E3012" s="181"/>
      <c r="F3012" s="181"/>
      <c r="G3012" s="181"/>
      <c r="H3012" s="181"/>
      <c r="I3012" s="181"/>
      <c r="J3012" s="181"/>
      <c r="K3012" s="181"/>
      <c r="L3012" s="181"/>
      <c r="M3012" s="181"/>
      <c r="N3012" s="181"/>
      <c r="O3012" s="181"/>
      <c r="P3012" s="181"/>
    </row>
    <row r="3013">
      <c r="B3013" s="292"/>
      <c r="C3013" s="181"/>
      <c r="D3013" s="181"/>
      <c r="E3013" s="181"/>
      <c r="F3013" s="181"/>
      <c r="G3013" s="181"/>
      <c r="H3013" s="181"/>
      <c r="I3013" s="181"/>
      <c r="J3013" s="181"/>
      <c r="K3013" s="181"/>
      <c r="L3013" s="181"/>
      <c r="M3013" s="181"/>
      <c r="N3013" s="181"/>
      <c r="O3013" s="181"/>
      <c r="P3013" s="181"/>
    </row>
    <row r="3014">
      <c r="B3014" s="292"/>
      <c r="C3014" s="181"/>
      <c r="D3014" s="181"/>
      <c r="E3014" s="181"/>
      <c r="F3014" s="181"/>
      <c r="G3014" s="181"/>
      <c r="H3014" s="181"/>
      <c r="I3014" s="181"/>
      <c r="J3014" s="181"/>
      <c r="K3014" s="181"/>
      <c r="L3014" s="181"/>
      <c r="M3014" s="181"/>
      <c r="N3014" s="181"/>
      <c r="O3014" s="181"/>
      <c r="P3014" s="181"/>
    </row>
    <row r="3015">
      <c r="B3015" s="292"/>
      <c r="C3015" s="181"/>
      <c r="D3015" s="181"/>
      <c r="E3015" s="181"/>
      <c r="F3015" s="181"/>
      <c r="G3015" s="181"/>
      <c r="H3015" s="181"/>
      <c r="I3015" s="181"/>
      <c r="J3015" s="181"/>
      <c r="K3015" s="181"/>
      <c r="L3015" s="181"/>
      <c r="M3015" s="181"/>
      <c r="N3015" s="181"/>
      <c r="O3015" s="181"/>
      <c r="P3015" s="181"/>
    </row>
    <row r="3016">
      <c r="B3016" s="292"/>
      <c r="C3016" s="181"/>
      <c r="D3016" s="181"/>
      <c r="E3016" s="181"/>
      <c r="F3016" s="181"/>
      <c r="G3016" s="181"/>
      <c r="H3016" s="181"/>
      <c r="I3016" s="181"/>
      <c r="J3016" s="181"/>
      <c r="K3016" s="181"/>
      <c r="L3016" s="181"/>
      <c r="M3016" s="181"/>
      <c r="N3016" s="181"/>
      <c r="O3016" s="181"/>
      <c r="P3016" s="181"/>
    </row>
    <row r="3017">
      <c r="B3017" s="292"/>
      <c r="C3017" s="181"/>
      <c r="D3017" s="181"/>
      <c r="E3017" s="181"/>
      <c r="F3017" s="181"/>
      <c r="G3017" s="181"/>
      <c r="H3017" s="181"/>
      <c r="I3017" s="181"/>
      <c r="J3017" s="181"/>
      <c r="K3017" s="181"/>
      <c r="L3017" s="181"/>
      <c r="M3017" s="181"/>
      <c r="N3017" s="181"/>
      <c r="O3017" s="181"/>
      <c r="P3017" s="181"/>
    </row>
    <row r="3018">
      <c r="B3018" s="292"/>
      <c r="C3018" s="181"/>
      <c r="D3018" s="181"/>
      <c r="E3018" s="181"/>
      <c r="F3018" s="181"/>
      <c r="G3018" s="181"/>
      <c r="H3018" s="181"/>
      <c r="I3018" s="181"/>
      <c r="J3018" s="181"/>
      <c r="K3018" s="181"/>
      <c r="L3018" s="181"/>
      <c r="M3018" s="181"/>
      <c r="N3018" s="181"/>
      <c r="O3018" s="181"/>
      <c r="P3018" s="181"/>
    </row>
    <row r="3019">
      <c r="B3019" s="292"/>
      <c r="C3019" s="181"/>
      <c r="D3019" s="181"/>
      <c r="E3019" s="181"/>
      <c r="F3019" s="181"/>
      <c r="G3019" s="181"/>
      <c r="H3019" s="181"/>
      <c r="I3019" s="181"/>
      <c r="J3019" s="181"/>
      <c r="K3019" s="181"/>
      <c r="L3019" s="181"/>
      <c r="M3019" s="181"/>
      <c r="N3019" s="181"/>
      <c r="O3019" s="181"/>
      <c r="P3019" s="181"/>
    </row>
    <row r="3020">
      <c r="B3020" s="292"/>
      <c r="C3020" s="181"/>
      <c r="D3020" s="181"/>
      <c r="E3020" s="181"/>
      <c r="F3020" s="181"/>
      <c r="G3020" s="181"/>
      <c r="H3020" s="181"/>
      <c r="I3020" s="181"/>
      <c r="J3020" s="181"/>
      <c r="K3020" s="181"/>
      <c r="L3020" s="181"/>
      <c r="M3020" s="181"/>
      <c r="N3020" s="181"/>
      <c r="O3020" s="181"/>
      <c r="P3020" s="181"/>
    </row>
    <row r="3021">
      <c r="B3021" s="292"/>
      <c r="C3021" s="181"/>
      <c r="D3021" s="181"/>
      <c r="E3021" s="181"/>
      <c r="F3021" s="181"/>
      <c r="G3021" s="181"/>
      <c r="H3021" s="181"/>
      <c r="I3021" s="181"/>
      <c r="J3021" s="181"/>
      <c r="K3021" s="181"/>
      <c r="L3021" s="181"/>
      <c r="M3021" s="181"/>
      <c r="N3021" s="181"/>
      <c r="O3021" s="181"/>
      <c r="P3021" s="181"/>
    </row>
    <row r="3022">
      <c r="B3022" s="292"/>
      <c r="C3022" s="181"/>
      <c r="D3022" s="181"/>
      <c r="E3022" s="181"/>
      <c r="F3022" s="181"/>
      <c r="G3022" s="181"/>
      <c r="H3022" s="181"/>
      <c r="I3022" s="181"/>
      <c r="J3022" s="181"/>
      <c r="K3022" s="181"/>
      <c r="L3022" s="181"/>
      <c r="M3022" s="181"/>
      <c r="N3022" s="181"/>
      <c r="O3022" s="181"/>
      <c r="P3022" s="181"/>
    </row>
    <row r="3023">
      <c r="B3023" s="292"/>
      <c r="C3023" s="181"/>
      <c r="D3023" s="181"/>
      <c r="E3023" s="181"/>
      <c r="F3023" s="181"/>
      <c r="G3023" s="181"/>
      <c r="H3023" s="181"/>
      <c r="I3023" s="181"/>
      <c r="J3023" s="181"/>
      <c r="K3023" s="181"/>
      <c r="L3023" s="181"/>
      <c r="M3023" s="181"/>
      <c r="N3023" s="181"/>
      <c r="O3023" s="181"/>
      <c r="P3023" s="181"/>
    </row>
    <row r="3024">
      <c r="B3024" s="292"/>
      <c r="C3024" s="181"/>
      <c r="D3024" s="181"/>
      <c r="E3024" s="181"/>
      <c r="F3024" s="181"/>
      <c r="G3024" s="181"/>
      <c r="H3024" s="181"/>
      <c r="I3024" s="181"/>
      <c r="J3024" s="181"/>
      <c r="K3024" s="181"/>
      <c r="L3024" s="181"/>
      <c r="M3024" s="181"/>
      <c r="N3024" s="181"/>
      <c r="O3024" s="181"/>
      <c r="P3024" s="181"/>
    </row>
    <row r="3025">
      <c r="B3025" s="292"/>
      <c r="C3025" s="181"/>
      <c r="D3025" s="181"/>
      <c r="E3025" s="181"/>
      <c r="F3025" s="181"/>
      <c r="G3025" s="181"/>
      <c r="H3025" s="181"/>
      <c r="I3025" s="181"/>
      <c r="J3025" s="181"/>
      <c r="K3025" s="181"/>
      <c r="L3025" s="181"/>
      <c r="M3025" s="181"/>
      <c r="N3025" s="181"/>
      <c r="O3025" s="181"/>
      <c r="P3025" s="181"/>
    </row>
    <row r="3026">
      <c r="B3026" s="292"/>
      <c r="C3026" s="181"/>
      <c r="D3026" s="181"/>
      <c r="E3026" s="181"/>
      <c r="F3026" s="181"/>
      <c r="G3026" s="181"/>
      <c r="H3026" s="181"/>
      <c r="I3026" s="181"/>
      <c r="J3026" s="181"/>
      <c r="K3026" s="181"/>
      <c r="L3026" s="181"/>
      <c r="M3026" s="181"/>
      <c r="N3026" s="181"/>
      <c r="O3026" s="181"/>
      <c r="P3026" s="181"/>
    </row>
    <row r="3027">
      <c r="B3027" s="292"/>
      <c r="C3027" s="181"/>
      <c r="D3027" s="181"/>
      <c r="E3027" s="181"/>
      <c r="F3027" s="181"/>
      <c r="G3027" s="181"/>
      <c r="H3027" s="181"/>
      <c r="I3027" s="181"/>
      <c r="J3027" s="181"/>
      <c r="K3027" s="181"/>
      <c r="L3027" s="181"/>
      <c r="M3027" s="181"/>
      <c r="N3027" s="181"/>
      <c r="O3027" s="181"/>
      <c r="P3027" s="181"/>
    </row>
    <row r="3028">
      <c r="B3028" s="292"/>
      <c r="C3028" s="181"/>
      <c r="D3028" s="181"/>
      <c r="E3028" s="181"/>
      <c r="F3028" s="181"/>
      <c r="G3028" s="181"/>
      <c r="H3028" s="181"/>
      <c r="I3028" s="181"/>
      <c r="J3028" s="181"/>
      <c r="K3028" s="181"/>
      <c r="L3028" s="181"/>
      <c r="M3028" s="181"/>
      <c r="N3028" s="181"/>
      <c r="O3028" s="181"/>
      <c r="P3028" s="181"/>
    </row>
    <row r="3029">
      <c r="B3029" s="292"/>
      <c r="C3029" s="181"/>
      <c r="D3029" s="181"/>
      <c r="E3029" s="181"/>
      <c r="F3029" s="181"/>
      <c r="G3029" s="181"/>
      <c r="H3029" s="181"/>
      <c r="I3029" s="181"/>
      <c r="J3029" s="181"/>
      <c r="K3029" s="181"/>
      <c r="L3029" s="181"/>
      <c r="M3029" s="181"/>
      <c r="N3029" s="181"/>
      <c r="O3029" s="181"/>
      <c r="P3029" s="181"/>
    </row>
    <row r="3030">
      <c r="B3030" s="292"/>
      <c r="C3030" s="181"/>
      <c r="D3030" s="181"/>
      <c r="E3030" s="181"/>
      <c r="F3030" s="181"/>
      <c r="G3030" s="181"/>
      <c r="H3030" s="181"/>
      <c r="I3030" s="181"/>
      <c r="J3030" s="181"/>
      <c r="K3030" s="181"/>
      <c r="L3030" s="181"/>
      <c r="M3030" s="181"/>
      <c r="N3030" s="181"/>
      <c r="O3030" s="181"/>
      <c r="P3030" s="181"/>
    </row>
    <row r="3031">
      <c r="B3031" s="292"/>
      <c r="C3031" s="181"/>
      <c r="D3031" s="181"/>
      <c r="E3031" s="181"/>
      <c r="F3031" s="181"/>
      <c r="G3031" s="181"/>
      <c r="H3031" s="181"/>
      <c r="I3031" s="181"/>
      <c r="J3031" s="181"/>
      <c r="K3031" s="181"/>
      <c r="L3031" s="181"/>
      <c r="M3031" s="181"/>
      <c r="N3031" s="181"/>
      <c r="O3031" s="181"/>
      <c r="P3031" s="181"/>
    </row>
    <row r="3032">
      <c r="B3032" s="292"/>
      <c r="C3032" s="181"/>
      <c r="D3032" s="181"/>
      <c r="E3032" s="181"/>
      <c r="F3032" s="181"/>
      <c r="G3032" s="181"/>
      <c r="H3032" s="181"/>
      <c r="I3032" s="181"/>
      <c r="J3032" s="181"/>
      <c r="K3032" s="181"/>
      <c r="L3032" s="181"/>
      <c r="M3032" s="181"/>
      <c r="N3032" s="181"/>
      <c r="O3032" s="181"/>
      <c r="P3032" s="181"/>
    </row>
    <row r="3033">
      <c r="B3033" s="292"/>
      <c r="C3033" s="181"/>
      <c r="D3033" s="181"/>
      <c r="E3033" s="181"/>
      <c r="F3033" s="181"/>
      <c r="G3033" s="181"/>
      <c r="H3033" s="181"/>
      <c r="I3033" s="181"/>
      <c r="J3033" s="181"/>
      <c r="K3033" s="181"/>
      <c r="L3033" s="181"/>
      <c r="M3033" s="181"/>
      <c r="N3033" s="181"/>
      <c r="O3033" s="181"/>
      <c r="P3033" s="181"/>
    </row>
    <row r="3034">
      <c r="B3034" s="292"/>
      <c r="C3034" s="181"/>
      <c r="D3034" s="181"/>
      <c r="E3034" s="181"/>
      <c r="F3034" s="181"/>
      <c r="G3034" s="181"/>
      <c r="H3034" s="181"/>
      <c r="I3034" s="181"/>
      <c r="J3034" s="181"/>
      <c r="K3034" s="181"/>
      <c r="L3034" s="181"/>
      <c r="M3034" s="181"/>
      <c r="N3034" s="181"/>
      <c r="O3034" s="181"/>
      <c r="P3034" s="181"/>
    </row>
    <row r="3035">
      <c r="B3035" s="292"/>
      <c r="C3035" s="181"/>
      <c r="D3035" s="181"/>
      <c r="E3035" s="181"/>
      <c r="F3035" s="181"/>
      <c r="G3035" s="181"/>
      <c r="H3035" s="181"/>
      <c r="I3035" s="181"/>
      <c r="J3035" s="181"/>
      <c r="K3035" s="181"/>
      <c r="L3035" s="181"/>
      <c r="M3035" s="181"/>
      <c r="N3035" s="181"/>
      <c r="O3035" s="181"/>
      <c r="P3035" s="181"/>
    </row>
    <row r="3036">
      <c r="B3036" s="292"/>
      <c r="C3036" s="181"/>
      <c r="D3036" s="181"/>
      <c r="E3036" s="181"/>
      <c r="F3036" s="181"/>
      <c r="G3036" s="181"/>
      <c r="H3036" s="181"/>
      <c r="I3036" s="181"/>
      <c r="J3036" s="181"/>
      <c r="K3036" s="181"/>
      <c r="L3036" s="181"/>
      <c r="M3036" s="181"/>
      <c r="N3036" s="181"/>
      <c r="O3036" s="181"/>
      <c r="P3036" s="181"/>
    </row>
    <row r="3037">
      <c r="B3037" s="292"/>
      <c r="C3037" s="181"/>
      <c r="D3037" s="181"/>
      <c r="E3037" s="181"/>
      <c r="F3037" s="181"/>
      <c r="G3037" s="181"/>
      <c r="H3037" s="181"/>
      <c r="I3037" s="181"/>
      <c r="J3037" s="181"/>
      <c r="K3037" s="181"/>
      <c r="L3037" s="181"/>
      <c r="M3037" s="181"/>
      <c r="N3037" s="181"/>
      <c r="O3037" s="181"/>
      <c r="P3037" s="181"/>
    </row>
    <row r="3038">
      <c r="B3038" s="292"/>
      <c r="C3038" s="181"/>
      <c r="D3038" s="181"/>
      <c r="E3038" s="181"/>
      <c r="F3038" s="181"/>
      <c r="G3038" s="181"/>
      <c r="H3038" s="181"/>
      <c r="I3038" s="181"/>
      <c r="J3038" s="181"/>
      <c r="K3038" s="181"/>
      <c r="L3038" s="181"/>
      <c r="M3038" s="181"/>
      <c r="N3038" s="181"/>
      <c r="O3038" s="181"/>
      <c r="P3038" s="181"/>
    </row>
    <row r="3039">
      <c r="B3039" s="292"/>
      <c r="C3039" s="181"/>
      <c r="D3039" s="181"/>
      <c r="E3039" s="181"/>
      <c r="F3039" s="181"/>
      <c r="G3039" s="181"/>
      <c r="H3039" s="181"/>
      <c r="I3039" s="181"/>
      <c r="J3039" s="181"/>
      <c r="K3039" s="181"/>
      <c r="L3039" s="181"/>
      <c r="M3039" s="181"/>
      <c r="N3039" s="181"/>
      <c r="O3039" s="181"/>
      <c r="P3039" s="181"/>
    </row>
    <row r="3040">
      <c r="B3040" s="292"/>
      <c r="C3040" s="181"/>
      <c r="D3040" s="181"/>
      <c r="E3040" s="181"/>
      <c r="F3040" s="181"/>
      <c r="G3040" s="181"/>
      <c r="H3040" s="181"/>
      <c r="I3040" s="181"/>
      <c r="J3040" s="181"/>
      <c r="K3040" s="181"/>
      <c r="L3040" s="181"/>
      <c r="M3040" s="181"/>
      <c r="N3040" s="181"/>
      <c r="O3040" s="181"/>
      <c r="P3040" s="181"/>
    </row>
    <row r="3041">
      <c r="B3041" s="292"/>
      <c r="C3041" s="181"/>
      <c r="D3041" s="181"/>
      <c r="E3041" s="181"/>
      <c r="F3041" s="181"/>
      <c r="G3041" s="181"/>
      <c r="H3041" s="181"/>
      <c r="I3041" s="181"/>
      <c r="J3041" s="181"/>
      <c r="K3041" s="181"/>
      <c r="L3041" s="181"/>
      <c r="M3041" s="181"/>
      <c r="N3041" s="181"/>
      <c r="O3041" s="181"/>
      <c r="P3041" s="181"/>
    </row>
    <row r="3042">
      <c r="B3042" s="292"/>
      <c r="C3042" s="181"/>
      <c r="D3042" s="181"/>
      <c r="E3042" s="181"/>
      <c r="F3042" s="181"/>
      <c r="G3042" s="181"/>
      <c r="H3042" s="181"/>
      <c r="I3042" s="181"/>
      <c r="J3042" s="181"/>
      <c r="K3042" s="181"/>
      <c r="L3042" s="181"/>
      <c r="M3042" s="181"/>
      <c r="N3042" s="181"/>
      <c r="O3042" s="181"/>
      <c r="P3042" s="181"/>
    </row>
    <row r="3043">
      <c r="B3043" s="292"/>
      <c r="C3043" s="181"/>
      <c r="D3043" s="181"/>
      <c r="E3043" s="181"/>
      <c r="F3043" s="181"/>
      <c r="G3043" s="181"/>
      <c r="H3043" s="181"/>
      <c r="I3043" s="181"/>
      <c r="J3043" s="181"/>
      <c r="K3043" s="181"/>
      <c r="L3043" s="181"/>
      <c r="M3043" s="181"/>
      <c r="N3043" s="181"/>
      <c r="O3043" s="181"/>
      <c r="P3043" s="181"/>
    </row>
    <row r="3044">
      <c r="B3044" s="292"/>
      <c r="C3044" s="181"/>
      <c r="D3044" s="181"/>
      <c r="E3044" s="181"/>
      <c r="F3044" s="181"/>
      <c r="G3044" s="181"/>
      <c r="H3044" s="181"/>
      <c r="I3044" s="181"/>
      <c r="J3044" s="181"/>
      <c r="K3044" s="181"/>
      <c r="L3044" s="181"/>
      <c r="M3044" s="181"/>
      <c r="N3044" s="181"/>
      <c r="O3044" s="181"/>
      <c r="P3044" s="181"/>
    </row>
    <row r="3045">
      <c r="B3045" s="292"/>
      <c r="C3045" s="181"/>
      <c r="D3045" s="181"/>
      <c r="E3045" s="181"/>
      <c r="F3045" s="181"/>
      <c r="G3045" s="181"/>
      <c r="H3045" s="181"/>
      <c r="I3045" s="181"/>
      <c r="J3045" s="181"/>
      <c r="K3045" s="181"/>
      <c r="L3045" s="181"/>
      <c r="M3045" s="181"/>
      <c r="N3045" s="181"/>
      <c r="O3045" s="181"/>
      <c r="P3045" s="181"/>
    </row>
    <row r="3046">
      <c r="B3046" s="292"/>
      <c r="C3046" s="181"/>
      <c r="D3046" s="181"/>
      <c r="E3046" s="181"/>
      <c r="F3046" s="181"/>
      <c r="G3046" s="181"/>
      <c r="H3046" s="181"/>
      <c r="I3046" s="181"/>
      <c r="J3046" s="181"/>
      <c r="K3046" s="181"/>
      <c r="L3046" s="181"/>
      <c r="M3046" s="181"/>
      <c r="N3046" s="181"/>
      <c r="O3046" s="181"/>
      <c r="P3046" s="181"/>
    </row>
    <row r="3047">
      <c r="B3047" s="292"/>
      <c r="C3047" s="181"/>
      <c r="D3047" s="181"/>
      <c r="E3047" s="181"/>
      <c r="F3047" s="181"/>
      <c r="G3047" s="181"/>
      <c r="H3047" s="181"/>
      <c r="I3047" s="181"/>
      <c r="J3047" s="181"/>
      <c r="K3047" s="181"/>
      <c r="L3047" s="181"/>
      <c r="M3047" s="181"/>
      <c r="N3047" s="181"/>
      <c r="O3047" s="181"/>
      <c r="P3047" s="181"/>
    </row>
    <row r="3048">
      <c r="B3048" s="292"/>
      <c r="C3048" s="181"/>
      <c r="D3048" s="181"/>
      <c r="E3048" s="181"/>
      <c r="F3048" s="181"/>
      <c r="G3048" s="181"/>
      <c r="H3048" s="181"/>
      <c r="I3048" s="181"/>
      <c r="J3048" s="181"/>
      <c r="K3048" s="181"/>
      <c r="L3048" s="181"/>
      <c r="M3048" s="181"/>
      <c r="N3048" s="181"/>
      <c r="O3048" s="181"/>
      <c r="P3048" s="181"/>
    </row>
    <row r="3049">
      <c r="B3049" s="292"/>
      <c r="C3049" s="181"/>
      <c r="D3049" s="181"/>
      <c r="E3049" s="181"/>
      <c r="F3049" s="181"/>
      <c r="G3049" s="181"/>
      <c r="H3049" s="181"/>
      <c r="I3049" s="181"/>
      <c r="J3049" s="181"/>
      <c r="K3049" s="181"/>
      <c r="L3049" s="181"/>
      <c r="M3049" s="181"/>
      <c r="N3049" s="181"/>
      <c r="O3049" s="181"/>
      <c r="P3049" s="181"/>
    </row>
    <row r="3050">
      <c r="B3050" s="292"/>
      <c r="C3050" s="181"/>
      <c r="D3050" s="181"/>
      <c r="E3050" s="181"/>
      <c r="F3050" s="181"/>
      <c r="G3050" s="181"/>
      <c r="H3050" s="181"/>
      <c r="I3050" s="181"/>
      <c r="J3050" s="181"/>
      <c r="K3050" s="181"/>
      <c r="L3050" s="181"/>
      <c r="M3050" s="181"/>
      <c r="N3050" s="181"/>
      <c r="O3050" s="181"/>
      <c r="P3050" s="181"/>
    </row>
    <row r="3051">
      <c r="B3051" s="292"/>
      <c r="C3051" s="181"/>
      <c r="D3051" s="181"/>
      <c r="E3051" s="181"/>
      <c r="F3051" s="181"/>
      <c r="G3051" s="181"/>
      <c r="H3051" s="181"/>
      <c r="I3051" s="181"/>
      <c r="J3051" s="181"/>
      <c r="K3051" s="181"/>
      <c r="L3051" s="181"/>
      <c r="M3051" s="181"/>
      <c r="N3051" s="181"/>
      <c r="O3051" s="181"/>
      <c r="P3051" s="181"/>
    </row>
    <row r="3052">
      <c r="B3052" s="292"/>
      <c r="C3052" s="181"/>
      <c r="D3052" s="181"/>
      <c r="E3052" s="181"/>
      <c r="F3052" s="181"/>
      <c r="G3052" s="181"/>
      <c r="H3052" s="181"/>
      <c r="I3052" s="181"/>
      <c r="J3052" s="181"/>
      <c r="K3052" s="181"/>
      <c r="L3052" s="181"/>
      <c r="M3052" s="181"/>
      <c r="N3052" s="181"/>
      <c r="O3052" s="181"/>
      <c r="P3052" s="181"/>
    </row>
    <row r="3053">
      <c r="B3053" s="292"/>
      <c r="C3053" s="181"/>
      <c r="D3053" s="181"/>
      <c r="E3053" s="181"/>
      <c r="F3053" s="181"/>
      <c r="G3053" s="181"/>
      <c r="H3053" s="181"/>
      <c r="I3053" s="181"/>
      <c r="J3053" s="181"/>
      <c r="K3053" s="181"/>
      <c r="L3053" s="181"/>
      <c r="M3053" s="181"/>
      <c r="N3053" s="181"/>
      <c r="O3053" s="181"/>
      <c r="P3053" s="181"/>
    </row>
    <row r="3054">
      <c r="B3054" s="292"/>
      <c r="C3054" s="181"/>
      <c r="D3054" s="181"/>
      <c r="E3054" s="181"/>
      <c r="F3054" s="181"/>
      <c r="G3054" s="181"/>
      <c r="H3054" s="181"/>
      <c r="I3054" s="181"/>
      <c r="J3054" s="181"/>
      <c r="K3054" s="181"/>
      <c r="L3054" s="181"/>
      <c r="M3054" s="181"/>
      <c r="N3054" s="181"/>
      <c r="O3054" s="181"/>
      <c r="P3054" s="181"/>
    </row>
    <row r="3055">
      <c r="B3055" s="292"/>
      <c r="C3055" s="181"/>
      <c r="D3055" s="181"/>
      <c r="E3055" s="181"/>
      <c r="F3055" s="181"/>
      <c r="G3055" s="181"/>
      <c r="H3055" s="181"/>
      <c r="I3055" s="181"/>
      <c r="J3055" s="181"/>
      <c r="K3055" s="181"/>
      <c r="L3055" s="181"/>
      <c r="M3055" s="181"/>
      <c r="N3055" s="181"/>
      <c r="O3055" s="181"/>
      <c r="P3055" s="181"/>
    </row>
    <row r="3056">
      <c r="B3056" s="292"/>
      <c r="C3056" s="181"/>
      <c r="D3056" s="181"/>
      <c r="E3056" s="181"/>
      <c r="F3056" s="181"/>
      <c r="G3056" s="181"/>
      <c r="H3056" s="181"/>
      <c r="I3056" s="181"/>
      <c r="J3056" s="181"/>
      <c r="K3056" s="181"/>
      <c r="L3056" s="181"/>
      <c r="M3056" s="181"/>
      <c r="N3056" s="181"/>
      <c r="O3056" s="181"/>
      <c r="P3056" s="181"/>
    </row>
    <row r="3057">
      <c r="B3057" s="292"/>
      <c r="C3057" s="181"/>
      <c r="D3057" s="181"/>
      <c r="E3057" s="181"/>
      <c r="F3057" s="181"/>
      <c r="G3057" s="181"/>
      <c r="H3057" s="181"/>
      <c r="I3057" s="181"/>
      <c r="J3057" s="181"/>
      <c r="K3057" s="181"/>
      <c r="L3057" s="181"/>
      <c r="M3057" s="181"/>
      <c r="N3057" s="181"/>
      <c r="O3057" s="181"/>
      <c r="P3057" s="181"/>
    </row>
    <row r="3058">
      <c r="B3058" s="292"/>
      <c r="C3058" s="181"/>
      <c r="D3058" s="181"/>
      <c r="E3058" s="181"/>
      <c r="F3058" s="181"/>
      <c r="G3058" s="181"/>
      <c r="H3058" s="181"/>
      <c r="I3058" s="181"/>
      <c r="J3058" s="181"/>
      <c r="K3058" s="181"/>
      <c r="L3058" s="181"/>
      <c r="M3058" s="181"/>
      <c r="N3058" s="181"/>
      <c r="O3058" s="181"/>
      <c r="P3058" s="181"/>
    </row>
    <row r="3059">
      <c r="B3059" s="292"/>
      <c r="C3059" s="181"/>
      <c r="D3059" s="181"/>
      <c r="E3059" s="181"/>
      <c r="F3059" s="181"/>
      <c r="G3059" s="181"/>
      <c r="H3059" s="181"/>
      <c r="I3059" s="181"/>
      <c r="J3059" s="181"/>
      <c r="K3059" s="181"/>
      <c r="L3059" s="181"/>
      <c r="M3059" s="181"/>
      <c r="N3059" s="181"/>
      <c r="O3059" s="181"/>
      <c r="P3059" s="181"/>
    </row>
    <row r="3060">
      <c r="B3060" s="292"/>
      <c r="C3060" s="181"/>
      <c r="D3060" s="181"/>
      <c r="E3060" s="181"/>
      <c r="F3060" s="181"/>
      <c r="G3060" s="181"/>
      <c r="H3060" s="181"/>
      <c r="I3060" s="181"/>
      <c r="J3060" s="181"/>
      <c r="K3060" s="181"/>
      <c r="L3060" s="181"/>
      <c r="M3060" s="181"/>
      <c r="N3060" s="181"/>
      <c r="O3060" s="181"/>
      <c r="P3060" s="181"/>
    </row>
    <row r="3061">
      <c r="B3061" s="292"/>
      <c r="C3061" s="181"/>
      <c r="D3061" s="181"/>
      <c r="E3061" s="181"/>
      <c r="F3061" s="181"/>
      <c r="G3061" s="181"/>
      <c r="H3061" s="181"/>
      <c r="I3061" s="181"/>
      <c r="J3061" s="181"/>
      <c r="K3061" s="181"/>
      <c r="L3061" s="181"/>
      <c r="M3061" s="181"/>
      <c r="N3061" s="181"/>
      <c r="O3061" s="181"/>
      <c r="P3061" s="181"/>
    </row>
    <row r="3062">
      <c r="B3062" s="292"/>
      <c r="C3062" s="181"/>
      <c r="D3062" s="181"/>
      <c r="E3062" s="181"/>
      <c r="F3062" s="181"/>
      <c r="G3062" s="181"/>
      <c r="H3062" s="181"/>
      <c r="I3062" s="181"/>
      <c r="J3062" s="181"/>
      <c r="K3062" s="181"/>
      <c r="L3062" s="181"/>
      <c r="M3062" s="181"/>
      <c r="N3062" s="181"/>
      <c r="O3062" s="181"/>
      <c r="P3062" s="181"/>
    </row>
    <row r="3063">
      <c r="B3063" s="292"/>
      <c r="C3063" s="181"/>
      <c r="D3063" s="181"/>
      <c r="E3063" s="181"/>
      <c r="F3063" s="181"/>
      <c r="G3063" s="181"/>
      <c r="H3063" s="181"/>
      <c r="I3063" s="181"/>
      <c r="J3063" s="181"/>
      <c r="K3063" s="181"/>
      <c r="L3063" s="181"/>
      <c r="M3063" s="181"/>
      <c r="N3063" s="181"/>
      <c r="O3063" s="181"/>
      <c r="P3063" s="181"/>
    </row>
    <row r="3064">
      <c r="B3064" s="292"/>
      <c r="C3064" s="181"/>
      <c r="D3064" s="181"/>
      <c r="E3064" s="181"/>
      <c r="F3064" s="181"/>
      <c r="G3064" s="181"/>
      <c r="H3064" s="181"/>
      <c r="I3064" s="181"/>
      <c r="J3064" s="181"/>
      <c r="K3064" s="181"/>
      <c r="L3064" s="181"/>
      <c r="M3064" s="181"/>
      <c r="N3064" s="181"/>
      <c r="O3064" s="181"/>
      <c r="P3064" s="181"/>
    </row>
    <row r="3065">
      <c r="B3065" s="292"/>
      <c r="C3065" s="181"/>
      <c r="D3065" s="181"/>
      <c r="E3065" s="181"/>
      <c r="F3065" s="181"/>
      <c r="G3065" s="181"/>
      <c r="H3065" s="181"/>
      <c r="I3065" s="181"/>
      <c r="J3065" s="181"/>
      <c r="K3065" s="181"/>
      <c r="L3065" s="181"/>
      <c r="M3065" s="181"/>
      <c r="N3065" s="181"/>
      <c r="O3065" s="181"/>
      <c r="P3065" s="181"/>
    </row>
    <row r="3066">
      <c r="B3066" s="292"/>
      <c r="C3066" s="181"/>
      <c r="D3066" s="181"/>
      <c r="E3066" s="181"/>
      <c r="F3066" s="181"/>
      <c r="G3066" s="181"/>
      <c r="H3066" s="181"/>
      <c r="I3066" s="181"/>
      <c r="J3066" s="181"/>
      <c r="K3066" s="181"/>
      <c r="L3066" s="181"/>
      <c r="M3066" s="181"/>
      <c r="N3066" s="181"/>
      <c r="O3066" s="181"/>
      <c r="P3066" s="181"/>
    </row>
    <row r="3067">
      <c r="B3067" s="292"/>
      <c r="C3067" s="181"/>
      <c r="D3067" s="181"/>
      <c r="E3067" s="181"/>
      <c r="F3067" s="181"/>
      <c r="G3067" s="181"/>
      <c r="H3067" s="181"/>
      <c r="I3067" s="181"/>
      <c r="J3067" s="181"/>
      <c r="K3067" s="181"/>
      <c r="L3067" s="181"/>
      <c r="M3067" s="181"/>
      <c r="N3067" s="181"/>
      <c r="O3067" s="181"/>
      <c r="P3067" s="181"/>
    </row>
    <row r="3068">
      <c r="B3068" s="292"/>
      <c r="C3068" s="181"/>
      <c r="D3068" s="181"/>
      <c r="E3068" s="181"/>
      <c r="F3068" s="181"/>
      <c r="G3068" s="181"/>
      <c r="H3068" s="181"/>
      <c r="I3068" s="181"/>
      <c r="J3068" s="181"/>
      <c r="K3068" s="181"/>
      <c r="L3068" s="181"/>
      <c r="M3068" s="181"/>
      <c r="N3068" s="181"/>
      <c r="O3068" s="181"/>
      <c r="P3068" s="181"/>
    </row>
    <row r="3069">
      <c r="B3069" s="292"/>
      <c r="C3069" s="181"/>
      <c r="D3069" s="181"/>
      <c r="E3069" s="181"/>
      <c r="F3069" s="181"/>
      <c r="G3069" s="181"/>
      <c r="H3069" s="181"/>
      <c r="I3069" s="181"/>
      <c r="J3069" s="181"/>
      <c r="K3069" s="181"/>
      <c r="L3069" s="181"/>
      <c r="M3069" s="181"/>
      <c r="N3069" s="181"/>
      <c r="O3069" s="181"/>
      <c r="P3069" s="181"/>
    </row>
    <row r="3070">
      <c r="B3070" s="292"/>
      <c r="C3070" s="181"/>
      <c r="D3070" s="181"/>
      <c r="E3070" s="181"/>
      <c r="F3070" s="181"/>
      <c r="G3070" s="181"/>
      <c r="H3070" s="181"/>
      <c r="I3070" s="181"/>
      <c r="J3070" s="181"/>
      <c r="K3070" s="181"/>
      <c r="L3070" s="181"/>
      <c r="M3070" s="181"/>
      <c r="N3070" s="181"/>
      <c r="O3070" s="181"/>
      <c r="P3070" s="181"/>
    </row>
    <row r="3071">
      <c r="B3071" s="292"/>
      <c r="C3071" s="181"/>
      <c r="D3071" s="181"/>
      <c r="E3071" s="181"/>
      <c r="F3071" s="181"/>
      <c r="G3071" s="181"/>
      <c r="H3071" s="181"/>
      <c r="I3071" s="181"/>
      <c r="J3071" s="181"/>
      <c r="K3071" s="181"/>
      <c r="L3071" s="181"/>
      <c r="M3071" s="181"/>
      <c r="N3071" s="181"/>
      <c r="O3071" s="181"/>
      <c r="P3071" s="181"/>
    </row>
    <row r="3072">
      <c r="B3072" s="292"/>
      <c r="C3072" s="181"/>
      <c r="D3072" s="181"/>
      <c r="E3072" s="181"/>
      <c r="F3072" s="181"/>
      <c r="G3072" s="181"/>
      <c r="H3072" s="181"/>
      <c r="I3072" s="181"/>
      <c r="J3072" s="181"/>
      <c r="K3072" s="181"/>
      <c r="L3072" s="181"/>
      <c r="M3072" s="181"/>
      <c r="N3072" s="181"/>
      <c r="O3072" s="181"/>
      <c r="P3072" s="181"/>
    </row>
    <row r="3073">
      <c r="B3073" s="292"/>
      <c r="C3073" s="181"/>
      <c r="D3073" s="181"/>
      <c r="E3073" s="181"/>
      <c r="F3073" s="181"/>
      <c r="G3073" s="181"/>
      <c r="H3073" s="181"/>
      <c r="I3073" s="181"/>
      <c r="J3073" s="181"/>
      <c r="K3073" s="181"/>
      <c r="L3073" s="181"/>
      <c r="M3073" s="181"/>
      <c r="N3073" s="181"/>
      <c r="O3073" s="181"/>
      <c r="P3073" s="181"/>
    </row>
    <row r="3074">
      <c r="B3074" s="292"/>
      <c r="C3074" s="181"/>
      <c r="D3074" s="181"/>
      <c r="E3074" s="181"/>
      <c r="F3074" s="181"/>
      <c r="G3074" s="181"/>
      <c r="H3074" s="181"/>
      <c r="I3074" s="181"/>
      <c r="J3074" s="181"/>
      <c r="K3074" s="181"/>
      <c r="L3074" s="181"/>
      <c r="M3074" s="181"/>
      <c r="N3074" s="181"/>
      <c r="O3074" s="181"/>
      <c r="P3074" s="181"/>
    </row>
    <row r="3075">
      <c r="B3075" s="292"/>
      <c r="C3075" s="181"/>
      <c r="D3075" s="181"/>
      <c r="E3075" s="181"/>
      <c r="F3075" s="181"/>
      <c r="G3075" s="181"/>
      <c r="H3075" s="181"/>
      <c r="I3075" s="181"/>
      <c r="J3075" s="181"/>
      <c r="K3075" s="181"/>
      <c r="L3075" s="181"/>
      <c r="M3075" s="181"/>
      <c r="N3075" s="181"/>
      <c r="O3075" s="181"/>
      <c r="P3075" s="181"/>
    </row>
    <row r="3076">
      <c r="B3076" s="292"/>
      <c r="C3076" s="181"/>
      <c r="D3076" s="181"/>
      <c r="E3076" s="181"/>
      <c r="F3076" s="181"/>
      <c r="G3076" s="181"/>
      <c r="H3076" s="181"/>
      <c r="I3076" s="181"/>
      <c r="J3076" s="181"/>
      <c r="K3076" s="181"/>
      <c r="L3076" s="181"/>
      <c r="M3076" s="181"/>
      <c r="N3076" s="181"/>
      <c r="O3076" s="181"/>
      <c r="P3076" s="181"/>
    </row>
    <row r="3077">
      <c r="B3077" s="292"/>
      <c r="C3077" s="181"/>
      <c r="D3077" s="181"/>
      <c r="E3077" s="181"/>
      <c r="F3077" s="181"/>
      <c r="G3077" s="181"/>
      <c r="H3077" s="181"/>
      <c r="I3077" s="181"/>
      <c r="J3077" s="181"/>
      <c r="K3077" s="181"/>
      <c r="L3077" s="181"/>
      <c r="M3077" s="181"/>
      <c r="N3077" s="181"/>
      <c r="O3077" s="181"/>
      <c r="P3077" s="181"/>
    </row>
    <row r="3078">
      <c r="B3078" s="292"/>
      <c r="C3078" s="181"/>
      <c r="D3078" s="181"/>
      <c r="E3078" s="181"/>
      <c r="F3078" s="181"/>
      <c r="G3078" s="181"/>
      <c r="H3078" s="181"/>
      <c r="I3078" s="181"/>
      <c r="J3078" s="181"/>
      <c r="K3078" s="181"/>
      <c r="L3078" s="181"/>
      <c r="M3078" s="181"/>
      <c r="N3078" s="181"/>
      <c r="O3078" s="181"/>
      <c r="P3078" s="181"/>
    </row>
    <row r="3079">
      <c r="B3079" s="292"/>
      <c r="C3079" s="181"/>
      <c r="D3079" s="181"/>
      <c r="E3079" s="181"/>
      <c r="F3079" s="181"/>
      <c r="G3079" s="181"/>
      <c r="H3079" s="181"/>
      <c r="I3079" s="181"/>
      <c r="J3079" s="181"/>
      <c r="K3079" s="181"/>
      <c r="L3079" s="181"/>
      <c r="M3079" s="181"/>
      <c r="N3079" s="181"/>
      <c r="O3079" s="181"/>
      <c r="P3079" s="181"/>
    </row>
    <row r="3080">
      <c r="B3080" s="292"/>
      <c r="C3080" s="181"/>
      <c r="D3080" s="181"/>
      <c r="E3080" s="181"/>
      <c r="F3080" s="181"/>
      <c r="G3080" s="181"/>
      <c r="H3080" s="181"/>
      <c r="I3080" s="181"/>
      <c r="J3080" s="181"/>
      <c r="K3080" s="181"/>
      <c r="L3080" s="181"/>
      <c r="M3080" s="181"/>
      <c r="N3080" s="181"/>
      <c r="O3080" s="181"/>
      <c r="P3080" s="181"/>
    </row>
    <row r="3081">
      <c r="B3081" s="292"/>
      <c r="C3081" s="181"/>
      <c r="D3081" s="181"/>
      <c r="E3081" s="181"/>
      <c r="F3081" s="181"/>
      <c r="G3081" s="181"/>
      <c r="H3081" s="181"/>
      <c r="I3081" s="181"/>
      <c r="J3081" s="181"/>
      <c r="K3081" s="181"/>
      <c r="L3081" s="181"/>
      <c r="M3081" s="181"/>
      <c r="N3081" s="181"/>
      <c r="O3081" s="181"/>
      <c r="P3081" s="181"/>
    </row>
    <row r="3082">
      <c r="B3082" s="292"/>
      <c r="C3082" s="181"/>
      <c r="D3082" s="181"/>
      <c r="E3082" s="181"/>
      <c r="F3082" s="181"/>
      <c r="G3082" s="181"/>
      <c r="H3082" s="181"/>
      <c r="I3082" s="181"/>
      <c r="J3082" s="181"/>
      <c r="K3082" s="181"/>
      <c r="L3082" s="181"/>
      <c r="M3082" s="181"/>
      <c r="N3082" s="181"/>
      <c r="O3082" s="181"/>
      <c r="P3082" s="181"/>
    </row>
    <row r="3083">
      <c r="B3083" s="292"/>
      <c r="C3083" s="181"/>
      <c r="D3083" s="181"/>
      <c r="E3083" s="181"/>
      <c r="F3083" s="181"/>
      <c r="G3083" s="181"/>
      <c r="H3083" s="181"/>
      <c r="I3083" s="181"/>
      <c r="J3083" s="181"/>
      <c r="K3083" s="181"/>
      <c r="L3083" s="181"/>
      <c r="M3083" s="181"/>
      <c r="N3083" s="181"/>
      <c r="O3083" s="181"/>
      <c r="P3083" s="181"/>
    </row>
    <row r="3084">
      <c r="B3084" s="292"/>
      <c r="C3084" s="181"/>
      <c r="D3084" s="181"/>
      <c r="E3084" s="181"/>
      <c r="F3084" s="181"/>
      <c r="G3084" s="181"/>
      <c r="H3084" s="181"/>
      <c r="I3084" s="181"/>
      <c r="J3084" s="181"/>
      <c r="K3084" s="181"/>
      <c r="L3084" s="181"/>
      <c r="M3084" s="181"/>
      <c r="N3084" s="181"/>
      <c r="O3084" s="181"/>
      <c r="P3084" s="181"/>
    </row>
    <row r="3085">
      <c r="B3085" s="292"/>
      <c r="C3085" s="181"/>
      <c r="D3085" s="181"/>
      <c r="E3085" s="181"/>
      <c r="F3085" s="181"/>
      <c r="G3085" s="181"/>
      <c r="H3085" s="181"/>
      <c r="I3085" s="181"/>
      <c r="J3085" s="181"/>
      <c r="K3085" s="181"/>
      <c r="L3085" s="181"/>
      <c r="M3085" s="181"/>
      <c r="N3085" s="181"/>
      <c r="O3085" s="181"/>
      <c r="P3085" s="181"/>
    </row>
    <row r="3086">
      <c r="B3086" s="292"/>
      <c r="C3086" s="181"/>
      <c r="D3086" s="181"/>
      <c r="E3086" s="181"/>
      <c r="F3086" s="181"/>
      <c r="G3086" s="181"/>
      <c r="H3086" s="181"/>
      <c r="I3086" s="181"/>
      <c r="J3086" s="181"/>
      <c r="K3086" s="181"/>
      <c r="L3086" s="181"/>
      <c r="M3086" s="181"/>
      <c r="N3086" s="181"/>
      <c r="O3086" s="181"/>
      <c r="P3086" s="181"/>
    </row>
    <row r="3087">
      <c r="B3087" s="292"/>
      <c r="C3087" s="181"/>
      <c r="D3087" s="181"/>
      <c r="E3087" s="181"/>
      <c r="F3087" s="181"/>
      <c r="G3087" s="181"/>
      <c r="H3087" s="181"/>
      <c r="I3087" s="181"/>
      <c r="J3087" s="181"/>
      <c r="K3087" s="181"/>
      <c r="L3087" s="181"/>
      <c r="M3087" s="181"/>
      <c r="N3087" s="181"/>
      <c r="O3087" s="181"/>
      <c r="P3087" s="181"/>
    </row>
    <row r="3088">
      <c r="B3088" s="292"/>
      <c r="C3088" s="181"/>
      <c r="D3088" s="181"/>
      <c r="E3088" s="181"/>
      <c r="F3088" s="181"/>
      <c r="G3088" s="181"/>
      <c r="H3088" s="181"/>
      <c r="I3088" s="181"/>
      <c r="J3088" s="181"/>
      <c r="K3088" s="181"/>
      <c r="L3088" s="181"/>
      <c r="M3088" s="181"/>
      <c r="N3088" s="181"/>
      <c r="O3088" s="181"/>
      <c r="P3088" s="181"/>
    </row>
    <row r="3089">
      <c r="B3089" s="292"/>
      <c r="C3089" s="181"/>
      <c r="D3089" s="181"/>
      <c r="E3089" s="181"/>
      <c r="F3089" s="181"/>
      <c r="G3089" s="181"/>
      <c r="H3089" s="181"/>
      <c r="I3089" s="181"/>
      <c r="J3089" s="181"/>
      <c r="K3089" s="181"/>
      <c r="L3089" s="181"/>
      <c r="M3089" s="181"/>
      <c r="N3089" s="181"/>
      <c r="O3089" s="181"/>
      <c r="P3089" s="181"/>
    </row>
    <row r="3090">
      <c r="B3090" s="292"/>
      <c r="C3090" s="181"/>
      <c r="D3090" s="181"/>
      <c r="E3090" s="181"/>
      <c r="F3090" s="181"/>
      <c r="G3090" s="181"/>
      <c r="H3090" s="181"/>
      <c r="I3090" s="181"/>
      <c r="J3090" s="181"/>
      <c r="K3090" s="181"/>
      <c r="L3090" s="181"/>
      <c r="M3090" s="181"/>
      <c r="N3090" s="181"/>
      <c r="O3090" s="181"/>
      <c r="P3090" s="181"/>
    </row>
    <row r="3091">
      <c r="B3091" s="292"/>
      <c r="C3091" s="181"/>
      <c r="D3091" s="181"/>
      <c r="E3091" s="181"/>
      <c r="F3091" s="181"/>
      <c r="G3091" s="181"/>
      <c r="H3091" s="181"/>
      <c r="I3091" s="181"/>
      <c r="J3091" s="181"/>
      <c r="K3091" s="181"/>
      <c r="L3091" s="181"/>
      <c r="M3091" s="181"/>
      <c r="N3091" s="181"/>
      <c r="O3091" s="181"/>
      <c r="P3091" s="181"/>
    </row>
    <row r="3092">
      <c r="B3092" s="292"/>
      <c r="C3092" s="181"/>
      <c r="D3092" s="181"/>
      <c r="E3092" s="181"/>
      <c r="F3092" s="181"/>
      <c r="G3092" s="181"/>
      <c r="H3092" s="181"/>
      <c r="I3092" s="181"/>
      <c r="J3092" s="181"/>
      <c r="K3092" s="181"/>
      <c r="L3092" s="181"/>
      <c r="M3092" s="181"/>
      <c r="N3092" s="181"/>
      <c r="O3092" s="181"/>
      <c r="P3092" s="181"/>
    </row>
    <row r="3093">
      <c r="B3093" s="292"/>
      <c r="C3093" s="181"/>
      <c r="D3093" s="181"/>
      <c r="E3093" s="181"/>
      <c r="F3093" s="181"/>
      <c r="G3093" s="181"/>
      <c r="H3093" s="181"/>
      <c r="I3093" s="181"/>
      <c r="J3093" s="181"/>
      <c r="K3093" s="181"/>
      <c r="L3093" s="181"/>
      <c r="M3093" s="181"/>
      <c r="N3093" s="181"/>
      <c r="O3093" s="181"/>
      <c r="P3093" s="181"/>
    </row>
    <row r="3094">
      <c r="B3094" s="292"/>
      <c r="C3094" s="181"/>
      <c r="D3094" s="181"/>
      <c r="E3094" s="181"/>
      <c r="F3094" s="181"/>
      <c r="G3094" s="181"/>
      <c r="H3094" s="181"/>
      <c r="I3094" s="181"/>
      <c r="J3094" s="181"/>
      <c r="K3094" s="181"/>
      <c r="L3094" s="181"/>
      <c r="M3094" s="181"/>
      <c r="N3094" s="181"/>
      <c r="O3094" s="181"/>
      <c r="P3094" s="181"/>
    </row>
    <row r="3095">
      <c r="B3095" s="292"/>
      <c r="C3095" s="181"/>
      <c r="D3095" s="181"/>
      <c r="E3095" s="181"/>
      <c r="F3095" s="181"/>
      <c r="G3095" s="181"/>
      <c r="H3095" s="181"/>
      <c r="I3095" s="181"/>
      <c r="J3095" s="181"/>
      <c r="K3095" s="181"/>
      <c r="L3095" s="181"/>
      <c r="M3095" s="181"/>
      <c r="N3095" s="181"/>
      <c r="O3095" s="181"/>
      <c r="P3095" s="181"/>
    </row>
    <row r="3096">
      <c r="B3096" s="292"/>
      <c r="C3096" s="181"/>
      <c r="D3096" s="181"/>
      <c r="E3096" s="181"/>
      <c r="F3096" s="181"/>
      <c r="G3096" s="181"/>
      <c r="H3096" s="181"/>
      <c r="I3096" s="181"/>
      <c r="J3096" s="181"/>
      <c r="K3096" s="181"/>
      <c r="L3096" s="181"/>
      <c r="M3096" s="181"/>
      <c r="N3096" s="181"/>
      <c r="O3096" s="181"/>
      <c r="P3096" s="181"/>
    </row>
    <row r="3097">
      <c r="B3097" s="292"/>
      <c r="C3097" s="181"/>
      <c r="D3097" s="181"/>
      <c r="E3097" s="181"/>
      <c r="F3097" s="181"/>
      <c r="G3097" s="181"/>
      <c r="H3097" s="181"/>
      <c r="I3097" s="181"/>
      <c r="J3097" s="181"/>
      <c r="K3097" s="181"/>
      <c r="L3097" s="181"/>
      <c r="M3097" s="181"/>
      <c r="N3097" s="181"/>
      <c r="O3097" s="181"/>
      <c r="P3097" s="181"/>
    </row>
    <row r="3098">
      <c r="B3098" s="292"/>
      <c r="C3098" s="181"/>
      <c r="D3098" s="181"/>
      <c r="E3098" s="181"/>
      <c r="F3098" s="181"/>
      <c r="G3098" s="181"/>
      <c r="H3098" s="181"/>
      <c r="I3098" s="181"/>
      <c r="J3098" s="181"/>
      <c r="K3098" s="181"/>
      <c r="L3098" s="181"/>
      <c r="M3098" s="181"/>
      <c r="N3098" s="181"/>
      <c r="O3098" s="181"/>
      <c r="P3098" s="181"/>
    </row>
    <row r="3099">
      <c r="B3099" s="292"/>
      <c r="C3099" s="181"/>
      <c r="D3099" s="181"/>
      <c r="E3099" s="181"/>
      <c r="F3099" s="181"/>
      <c r="G3099" s="181"/>
      <c r="H3099" s="181"/>
      <c r="I3099" s="181"/>
      <c r="J3099" s="181"/>
      <c r="K3099" s="181"/>
      <c r="L3099" s="181"/>
      <c r="M3099" s="181"/>
      <c r="N3099" s="181"/>
      <c r="O3099" s="181"/>
      <c r="P3099" s="181"/>
    </row>
    <row r="3100">
      <c r="B3100" s="292"/>
      <c r="C3100" s="181"/>
      <c r="D3100" s="181"/>
      <c r="E3100" s="181"/>
      <c r="F3100" s="181"/>
      <c r="G3100" s="181"/>
      <c r="H3100" s="181"/>
      <c r="I3100" s="181"/>
      <c r="J3100" s="181"/>
      <c r="K3100" s="181"/>
      <c r="L3100" s="181"/>
      <c r="M3100" s="181"/>
      <c r="N3100" s="181"/>
      <c r="O3100" s="181"/>
      <c r="P3100" s="181"/>
    </row>
    <row r="3101">
      <c r="B3101" s="292"/>
      <c r="C3101" s="181"/>
      <c r="D3101" s="181"/>
      <c r="E3101" s="181"/>
      <c r="F3101" s="181"/>
      <c r="G3101" s="181"/>
      <c r="H3101" s="181"/>
      <c r="I3101" s="181"/>
      <c r="J3101" s="181"/>
      <c r="K3101" s="181"/>
      <c r="L3101" s="181"/>
      <c r="M3101" s="181"/>
      <c r="N3101" s="181"/>
      <c r="O3101" s="181"/>
      <c r="P3101" s="181"/>
    </row>
    <row r="3102">
      <c r="B3102" s="292"/>
      <c r="C3102" s="181"/>
      <c r="D3102" s="181"/>
      <c r="E3102" s="181"/>
      <c r="F3102" s="181"/>
      <c r="G3102" s="181"/>
      <c r="H3102" s="181"/>
      <c r="I3102" s="181"/>
      <c r="J3102" s="181"/>
      <c r="K3102" s="181"/>
      <c r="L3102" s="181"/>
      <c r="M3102" s="181"/>
      <c r="N3102" s="181"/>
      <c r="O3102" s="181"/>
      <c r="P3102" s="181"/>
    </row>
    <row r="3103">
      <c r="B3103" s="292"/>
      <c r="C3103" s="181"/>
      <c r="D3103" s="181"/>
      <c r="E3103" s="181"/>
      <c r="F3103" s="181"/>
      <c r="G3103" s="181"/>
      <c r="H3103" s="181"/>
      <c r="I3103" s="181"/>
      <c r="J3103" s="181"/>
      <c r="K3103" s="181"/>
      <c r="L3103" s="181"/>
      <c r="M3103" s="181"/>
      <c r="N3103" s="181"/>
      <c r="O3103" s="181"/>
      <c r="P3103" s="181"/>
    </row>
    <row r="3104">
      <c r="B3104" s="292"/>
      <c r="C3104" s="181"/>
      <c r="D3104" s="181"/>
      <c r="E3104" s="181"/>
      <c r="F3104" s="181"/>
      <c r="G3104" s="181"/>
      <c r="H3104" s="181"/>
      <c r="I3104" s="181"/>
      <c r="J3104" s="181"/>
      <c r="K3104" s="181"/>
      <c r="L3104" s="181"/>
      <c r="M3104" s="181"/>
      <c r="N3104" s="181"/>
      <c r="O3104" s="181"/>
      <c r="P3104" s="181"/>
    </row>
    <row r="3105">
      <c r="B3105" s="292"/>
      <c r="C3105" s="181"/>
      <c r="D3105" s="181"/>
      <c r="E3105" s="181"/>
      <c r="F3105" s="181"/>
      <c r="G3105" s="181"/>
      <c r="H3105" s="181"/>
      <c r="I3105" s="181"/>
      <c r="J3105" s="181"/>
      <c r="K3105" s="181"/>
      <c r="L3105" s="181"/>
      <c r="M3105" s="181"/>
      <c r="N3105" s="181"/>
      <c r="O3105" s="181"/>
      <c r="P3105" s="181"/>
    </row>
    <row r="3106">
      <c r="B3106" s="292"/>
      <c r="C3106" s="181"/>
      <c r="D3106" s="181"/>
      <c r="E3106" s="181"/>
      <c r="F3106" s="181"/>
      <c r="G3106" s="181"/>
      <c r="H3106" s="181"/>
      <c r="I3106" s="181"/>
      <c r="J3106" s="181"/>
      <c r="K3106" s="181"/>
      <c r="L3106" s="181"/>
      <c r="M3106" s="181"/>
      <c r="N3106" s="181"/>
      <c r="O3106" s="181"/>
      <c r="P3106" s="181"/>
    </row>
    <row r="3107">
      <c r="B3107" s="292"/>
      <c r="C3107" s="181"/>
      <c r="D3107" s="181"/>
      <c r="E3107" s="181"/>
      <c r="F3107" s="181"/>
      <c r="G3107" s="181"/>
      <c r="H3107" s="181"/>
      <c r="I3107" s="181"/>
      <c r="J3107" s="181"/>
      <c r="K3107" s="181"/>
      <c r="L3107" s="181"/>
      <c r="M3107" s="181"/>
      <c r="N3107" s="181"/>
      <c r="O3107" s="181"/>
      <c r="P3107" s="181"/>
    </row>
    <row r="3108">
      <c r="B3108" s="292"/>
      <c r="C3108" s="181"/>
      <c r="D3108" s="181"/>
      <c r="E3108" s="181"/>
      <c r="F3108" s="181"/>
      <c r="G3108" s="181"/>
      <c r="H3108" s="181"/>
      <c r="I3108" s="181"/>
      <c r="J3108" s="181"/>
      <c r="K3108" s="181"/>
      <c r="L3108" s="181"/>
      <c r="M3108" s="181"/>
      <c r="N3108" s="181"/>
      <c r="O3108" s="181"/>
      <c r="P3108" s="181"/>
    </row>
    <row r="3109">
      <c r="B3109" s="292"/>
      <c r="C3109" s="181"/>
      <c r="D3109" s="181"/>
      <c r="E3109" s="181"/>
      <c r="F3109" s="181"/>
      <c r="G3109" s="181"/>
      <c r="H3109" s="181"/>
      <c r="I3109" s="181"/>
      <c r="J3109" s="181"/>
      <c r="K3109" s="181"/>
      <c r="L3109" s="181"/>
      <c r="M3109" s="181"/>
      <c r="N3109" s="181"/>
      <c r="O3109" s="181"/>
      <c r="P3109" s="181"/>
    </row>
    <row r="3110">
      <c r="B3110" s="292"/>
      <c r="C3110" s="181"/>
      <c r="D3110" s="181"/>
      <c r="E3110" s="181"/>
      <c r="F3110" s="181"/>
      <c r="G3110" s="181"/>
      <c r="H3110" s="181"/>
      <c r="I3110" s="181"/>
      <c r="J3110" s="181"/>
      <c r="K3110" s="181"/>
      <c r="L3110" s="181"/>
      <c r="M3110" s="181"/>
      <c r="N3110" s="181"/>
      <c r="O3110" s="181"/>
      <c r="P3110" s="181"/>
    </row>
    <row r="3111">
      <c r="B3111" s="292"/>
      <c r="C3111" s="181"/>
      <c r="D3111" s="181"/>
      <c r="E3111" s="181"/>
      <c r="F3111" s="181"/>
      <c r="G3111" s="181"/>
      <c r="H3111" s="181"/>
      <c r="I3111" s="181"/>
      <c r="J3111" s="181"/>
      <c r="K3111" s="181"/>
      <c r="L3111" s="181"/>
      <c r="M3111" s="181"/>
      <c r="N3111" s="181"/>
      <c r="O3111" s="181"/>
      <c r="P3111" s="181"/>
    </row>
    <row r="3112">
      <c r="B3112" s="292"/>
      <c r="C3112" s="181"/>
      <c r="D3112" s="181"/>
      <c r="E3112" s="181"/>
      <c r="F3112" s="181"/>
      <c r="G3112" s="181"/>
      <c r="H3112" s="181"/>
      <c r="I3112" s="181"/>
      <c r="J3112" s="181"/>
      <c r="K3112" s="181"/>
      <c r="L3112" s="181"/>
      <c r="M3112" s="181"/>
      <c r="N3112" s="181"/>
      <c r="O3112" s="181"/>
      <c r="P3112" s="181"/>
    </row>
    <row r="3113">
      <c r="B3113" s="292"/>
      <c r="C3113" s="181"/>
      <c r="D3113" s="181"/>
      <c r="E3113" s="181"/>
      <c r="F3113" s="181"/>
      <c r="G3113" s="181"/>
      <c r="H3113" s="181"/>
      <c r="I3113" s="181"/>
      <c r="J3113" s="181"/>
      <c r="K3113" s="181"/>
      <c r="L3113" s="181"/>
      <c r="M3113" s="181"/>
      <c r="N3113" s="181"/>
      <c r="O3113" s="181"/>
      <c r="P3113" s="181"/>
    </row>
    <row r="3114">
      <c r="B3114" s="292"/>
      <c r="C3114" s="181"/>
      <c r="D3114" s="181"/>
      <c r="E3114" s="181"/>
      <c r="F3114" s="181"/>
      <c r="G3114" s="181"/>
      <c r="H3114" s="181"/>
      <c r="I3114" s="181"/>
      <c r="J3114" s="181"/>
      <c r="K3114" s="181"/>
      <c r="L3114" s="181"/>
      <c r="M3114" s="181"/>
      <c r="N3114" s="181"/>
      <c r="O3114" s="181"/>
      <c r="P3114" s="181"/>
    </row>
    <row r="3115">
      <c r="B3115" s="292"/>
      <c r="C3115" s="181"/>
      <c r="D3115" s="181"/>
      <c r="E3115" s="181"/>
      <c r="F3115" s="181"/>
      <c r="G3115" s="181"/>
      <c r="H3115" s="181"/>
      <c r="I3115" s="181"/>
      <c r="J3115" s="181"/>
      <c r="K3115" s="181"/>
      <c r="L3115" s="181"/>
      <c r="M3115" s="181"/>
      <c r="N3115" s="181"/>
      <c r="O3115" s="181"/>
      <c r="P3115" s="181"/>
    </row>
    <row r="3116">
      <c r="B3116" s="292"/>
      <c r="C3116" s="181"/>
      <c r="D3116" s="181"/>
      <c r="E3116" s="181"/>
      <c r="F3116" s="181"/>
      <c r="G3116" s="181"/>
      <c r="H3116" s="181"/>
      <c r="I3116" s="181"/>
      <c r="J3116" s="181"/>
      <c r="K3116" s="181"/>
      <c r="L3116" s="181"/>
      <c r="M3116" s="181"/>
      <c r="N3116" s="181"/>
      <c r="O3116" s="181"/>
      <c r="P3116" s="181"/>
    </row>
    <row r="3117">
      <c r="B3117" s="292"/>
      <c r="C3117" s="181"/>
      <c r="D3117" s="181"/>
      <c r="E3117" s="181"/>
      <c r="F3117" s="181"/>
      <c r="G3117" s="181"/>
      <c r="H3117" s="181"/>
      <c r="I3117" s="181"/>
      <c r="J3117" s="181"/>
      <c r="K3117" s="181"/>
      <c r="L3117" s="181"/>
      <c r="M3117" s="181"/>
      <c r="N3117" s="181"/>
      <c r="O3117" s="181"/>
      <c r="P3117" s="181"/>
    </row>
    <row r="3118">
      <c r="B3118" s="292"/>
      <c r="C3118" s="181"/>
      <c r="D3118" s="181"/>
      <c r="E3118" s="181"/>
      <c r="F3118" s="181"/>
      <c r="G3118" s="181"/>
      <c r="H3118" s="181"/>
      <c r="I3118" s="181"/>
      <c r="J3118" s="181"/>
      <c r="K3118" s="181"/>
      <c r="L3118" s="181"/>
      <c r="M3118" s="181"/>
      <c r="N3118" s="181"/>
      <c r="O3118" s="181"/>
      <c r="P3118" s="181"/>
    </row>
    <row r="3119">
      <c r="B3119" s="292"/>
      <c r="C3119" s="181"/>
      <c r="D3119" s="181"/>
      <c r="E3119" s="181"/>
      <c r="F3119" s="181"/>
      <c r="G3119" s="181"/>
      <c r="H3119" s="181"/>
      <c r="I3119" s="181"/>
      <c r="J3119" s="181"/>
      <c r="K3119" s="181"/>
      <c r="L3119" s="181"/>
      <c r="M3119" s="181"/>
      <c r="N3119" s="181"/>
      <c r="O3119" s="181"/>
      <c r="P3119" s="181"/>
    </row>
    <row r="3120">
      <c r="B3120" s="292"/>
      <c r="C3120" s="181"/>
      <c r="D3120" s="181"/>
      <c r="E3120" s="181"/>
      <c r="F3120" s="181"/>
      <c r="G3120" s="181"/>
      <c r="H3120" s="181"/>
      <c r="I3120" s="181"/>
      <c r="J3120" s="181"/>
      <c r="K3120" s="181"/>
      <c r="L3120" s="181"/>
      <c r="M3120" s="181"/>
      <c r="N3120" s="181"/>
      <c r="O3120" s="181"/>
      <c r="P3120" s="181"/>
    </row>
    <row r="3121">
      <c r="B3121" s="292"/>
      <c r="C3121" s="181"/>
      <c r="D3121" s="181"/>
      <c r="E3121" s="181"/>
      <c r="F3121" s="181"/>
      <c r="G3121" s="181"/>
      <c r="H3121" s="181"/>
      <c r="I3121" s="181"/>
      <c r="J3121" s="181"/>
      <c r="K3121" s="181"/>
      <c r="L3121" s="181"/>
      <c r="M3121" s="181"/>
      <c r="N3121" s="181"/>
      <c r="O3121" s="181"/>
      <c r="P3121" s="181"/>
    </row>
    <row r="3122">
      <c r="B3122" s="292"/>
      <c r="C3122" s="181"/>
      <c r="D3122" s="181"/>
      <c r="E3122" s="181"/>
      <c r="F3122" s="181"/>
      <c r="G3122" s="181"/>
      <c r="H3122" s="181"/>
      <c r="I3122" s="181"/>
      <c r="J3122" s="181"/>
      <c r="K3122" s="181"/>
      <c r="L3122" s="181"/>
      <c r="M3122" s="181"/>
      <c r="N3122" s="181"/>
      <c r="O3122" s="181"/>
      <c r="P3122" s="181"/>
    </row>
    <row r="3123">
      <c r="B3123" s="292"/>
      <c r="C3123" s="181"/>
      <c r="D3123" s="181"/>
      <c r="E3123" s="181"/>
      <c r="F3123" s="181"/>
      <c r="G3123" s="181"/>
      <c r="H3123" s="181"/>
      <c r="I3123" s="181"/>
      <c r="J3123" s="181"/>
      <c r="K3123" s="181"/>
      <c r="L3123" s="181"/>
      <c r="M3123" s="181"/>
      <c r="N3123" s="181"/>
      <c r="O3123" s="181"/>
      <c r="P3123" s="181"/>
    </row>
    <row r="3124">
      <c r="B3124" s="292"/>
      <c r="C3124" s="181"/>
      <c r="D3124" s="181"/>
      <c r="E3124" s="181"/>
      <c r="F3124" s="181"/>
      <c r="G3124" s="181"/>
      <c r="H3124" s="181"/>
      <c r="I3124" s="181"/>
      <c r="J3124" s="181"/>
      <c r="K3124" s="181"/>
      <c r="L3124" s="181"/>
      <c r="M3124" s="181"/>
      <c r="N3124" s="181"/>
      <c r="O3124" s="181"/>
      <c r="P3124" s="181"/>
    </row>
    <row r="3125">
      <c r="B3125" s="292"/>
      <c r="C3125" s="181"/>
      <c r="D3125" s="181"/>
      <c r="E3125" s="181"/>
      <c r="F3125" s="181"/>
      <c r="G3125" s="181"/>
      <c r="H3125" s="181"/>
      <c r="I3125" s="181"/>
      <c r="J3125" s="181"/>
      <c r="K3125" s="181"/>
      <c r="L3125" s="181"/>
      <c r="M3125" s="181"/>
      <c r="N3125" s="181"/>
      <c r="O3125" s="181"/>
      <c r="P3125" s="181"/>
    </row>
    <row r="3126">
      <c r="B3126" s="292"/>
      <c r="C3126" s="181"/>
      <c r="D3126" s="181"/>
      <c r="E3126" s="181"/>
      <c r="F3126" s="181"/>
      <c r="G3126" s="181"/>
      <c r="H3126" s="181"/>
      <c r="I3126" s="181"/>
      <c r="J3126" s="181"/>
      <c r="K3126" s="181"/>
      <c r="L3126" s="181"/>
      <c r="M3126" s="181"/>
      <c r="N3126" s="181"/>
      <c r="O3126" s="181"/>
      <c r="P3126" s="181"/>
    </row>
    <row r="3127">
      <c r="B3127" s="292"/>
      <c r="C3127" s="181"/>
      <c r="D3127" s="181"/>
      <c r="E3127" s="181"/>
      <c r="F3127" s="181"/>
      <c r="G3127" s="181"/>
      <c r="H3127" s="181"/>
      <c r="I3127" s="181"/>
      <c r="J3127" s="181"/>
      <c r="K3127" s="181"/>
      <c r="L3127" s="181"/>
      <c r="M3127" s="181"/>
      <c r="N3127" s="181"/>
      <c r="O3127" s="181"/>
      <c r="P3127" s="181"/>
    </row>
    <row r="3128">
      <c r="B3128" s="292"/>
      <c r="C3128" s="181"/>
      <c r="D3128" s="181"/>
      <c r="E3128" s="181"/>
      <c r="F3128" s="181"/>
      <c r="G3128" s="181"/>
      <c r="H3128" s="181"/>
      <c r="I3128" s="181"/>
      <c r="J3128" s="181"/>
      <c r="K3128" s="181"/>
      <c r="L3128" s="181"/>
      <c r="M3128" s="181"/>
      <c r="N3128" s="181"/>
      <c r="O3128" s="181"/>
      <c r="P3128" s="181"/>
    </row>
    <row r="3129">
      <c r="B3129" s="292"/>
      <c r="C3129" s="181"/>
      <c r="D3129" s="181"/>
      <c r="E3129" s="181"/>
      <c r="F3129" s="181"/>
      <c r="G3129" s="181"/>
      <c r="H3129" s="181"/>
      <c r="I3129" s="181"/>
      <c r="J3129" s="181"/>
      <c r="K3129" s="181"/>
      <c r="L3129" s="181"/>
      <c r="M3129" s="181"/>
      <c r="N3129" s="181"/>
      <c r="O3129" s="181"/>
      <c r="P3129" s="181"/>
    </row>
    <row r="3130">
      <c r="B3130" s="292"/>
      <c r="C3130" s="181"/>
      <c r="D3130" s="181"/>
      <c r="E3130" s="181"/>
      <c r="F3130" s="181"/>
      <c r="G3130" s="181"/>
      <c r="H3130" s="181"/>
      <c r="I3130" s="181"/>
      <c r="J3130" s="181"/>
      <c r="K3130" s="181"/>
      <c r="L3130" s="181"/>
      <c r="M3130" s="181"/>
      <c r="N3130" s="181"/>
      <c r="O3130" s="181"/>
      <c r="P3130" s="181"/>
    </row>
    <row r="3131">
      <c r="B3131" s="292"/>
      <c r="C3131" s="181"/>
      <c r="D3131" s="181"/>
      <c r="E3131" s="181"/>
      <c r="F3131" s="181"/>
      <c r="G3131" s="181"/>
      <c r="H3131" s="181"/>
      <c r="I3131" s="181"/>
      <c r="J3131" s="181"/>
      <c r="K3131" s="181"/>
      <c r="L3131" s="181"/>
      <c r="M3131" s="181"/>
      <c r="N3131" s="181"/>
      <c r="O3131" s="181"/>
      <c r="P3131" s="181"/>
    </row>
    <row r="3132">
      <c r="B3132" s="292"/>
      <c r="C3132" s="181"/>
      <c r="D3132" s="181"/>
      <c r="E3132" s="181"/>
      <c r="F3132" s="181"/>
      <c r="G3132" s="181"/>
      <c r="H3132" s="181"/>
      <c r="I3132" s="181"/>
      <c r="J3132" s="181"/>
      <c r="K3132" s="181"/>
      <c r="L3132" s="181"/>
      <c r="M3132" s="181"/>
      <c r="N3132" s="181"/>
      <c r="O3132" s="181"/>
      <c r="P3132" s="181"/>
    </row>
    <row r="3133">
      <c r="B3133" s="292"/>
      <c r="C3133" s="181"/>
      <c r="D3133" s="181"/>
      <c r="E3133" s="181"/>
      <c r="F3133" s="181"/>
      <c r="G3133" s="181"/>
      <c r="H3133" s="181"/>
      <c r="I3133" s="181"/>
      <c r="J3133" s="181"/>
      <c r="K3133" s="181"/>
      <c r="L3133" s="181"/>
      <c r="M3133" s="181"/>
      <c r="N3133" s="181"/>
      <c r="O3133" s="181"/>
      <c r="P3133" s="181"/>
    </row>
    <row r="3134">
      <c r="B3134" s="292"/>
      <c r="C3134" s="181"/>
      <c r="D3134" s="181"/>
      <c r="E3134" s="181"/>
      <c r="F3134" s="181"/>
      <c r="G3134" s="181"/>
      <c r="H3134" s="181"/>
      <c r="I3134" s="181"/>
      <c r="J3134" s="181"/>
      <c r="K3134" s="181"/>
      <c r="L3134" s="181"/>
      <c r="M3134" s="181"/>
      <c r="N3134" s="181"/>
      <c r="O3134" s="181"/>
      <c r="P3134" s="181"/>
    </row>
    <row r="3135">
      <c r="B3135" s="292"/>
      <c r="C3135" s="181"/>
      <c r="D3135" s="181"/>
      <c r="E3135" s="181"/>
      <c r="F3135" s="181"/>
      <c r="G3135" s="181"/>
      <c r="H3135" s="181"/>
      <c r="I3135" s="181"/>
      <c r="J3135" s="181"/>
      <c r="K3135" s="181"/>
      <c r="L3135" s="181"/>
      <c r="M3135" s="181"/>
      <c r="N3135" s="181"/>
      <c r="O3135" s="181"/>
      <c r="P3135" s="181"/>
    </row>
    <row r="3136">
      <c r="B3136" s="292"/>
      <c r="C3136" s="181"/>
      <c r="D3136" s="181"/>
      <c r="E3136" s="181"/>
      <c r="F3136" s="181"/>
      <c r="G3136" s="181"/>
      <c r="H3136" s="181"/>
      <c r="I3136" s="181"/>
      <c r="J3136" s="181"/>
      <c r="K3136" s="181"/>
      <c r="L3136" s="181"/>
      <c r="M3136" s="181"/>
      <c r="N3136" s="181"/>
      <c r="O3136" s="181"/>
      <c r="P3136" s="181"/>
    </row>
    <row r="3137">
      <c r="B3137" s="292"/>
      <c r="C3137" s="181"/>
      <c r="D3137" s="181"/>
      <c r="E3137" s="181"/>
      <c r="F3137" s="181"/>
      <c r="G3137" s="181"/>
      <c r="H3137" s="181"/>
      <c r="I3137" s="181"/>
      <c r="J3137" s="181"/>
      <c r="K3137" s="181"/>
      <c r="L3137" s="181"/>
      <c r="M3137" s="181"/>
      <c r="N3137" s="181"/>
      <c r="O3137" s="181"/>
      <c r="P3137" s="181"/>
    </row>
    <row r="3138">
      <c r="B3138" s="292"/>
      <c r="C3138" s="181"/>
      <c r="D3138" s="181"/>
      <c r="E3138" s="181"/>
      <c r="F3138" s="181"/>
      <c r="G3138" s="181"/>
      <c r="H3138" s="181"/>
      <c r="I3138" s="181"/>
      <c r="J3138" s="181"/>
      <c r="K3138" s="181"/>
      <c r="L3138" s="181"/>
      <c r="M3138" s="181"/>
      <c r="N3138" s="181"/>
      <c r="O3138" s="181"/>
      <c r="P3138" s="181"/>
    </row>
    <row r="3139">
      <c r="B3139" s="292"/>
      <c r="C3139" s="181"/>
      <c r="D3139" s="181"/>
      <c r="E3139" s="181"/>
      <c r="F3139" s="181"/>
      <c r="G3139" s="181"/>
      <c r="H3139" s="181"/>
      <c r="I3139" s="181"/>
      <c r="J3139" s="181"/>
      <c r="K3139" s="181"/>
      <c r="L3139" s="181"/>
      <c r="M3139" s="181"/>
      <c r="N3139" s="181"/>
      <c r="O3139" s="181"/>
      <c r="P3139" s="181"/>
    </row>
    <row r="3140">
      <c r="B3140" s="292"/>
      <c r="C3140" s="181"/>
      <c r="D3140" s="181"/>
      <c r="E3140" s="181"/>
      <c r="F3140" s="181"/>
      <c r="G3140" s="181"/>
      <c r="H3140" s="181"/>
      <c r="I3140" s="181"/>
      <c r="J3140" s="181"/>
      <c r="K3140" s="181"/>
      <c r="L3140" s="181"/>
      <c r="M3140" s="181"/>
      <c r="N3140" s="181"/>
      <c r="O3140" s="181"/>
      <c r="P3140" s="181"/>
    </row>
    <row r="3141">
      <c r="B3141" s="292"/>
      <c r="C3141" s="181"/>
      <c r="D3141" s="181"/>
      <c r="E3141" s="181"/>
      <c r="F3141" s="181"/>
      <c r="G3141" s="181"/>
      <c r="H3141" s="181"/>
      <c r="I3141" s="181"/>
      <c r="J3141" s="181"/>
      <c r="K3141" s="181"/>
      <c r="L3141" s="181"/>
      <c r="M3141" s="181"/>
      <c r="N3141" s="181"/>
      <c r="O3141" s="181"/>
      <c r="P3141" s="181"/>
    </row>
    <row r="3142">
      <c r="B3142" s="292"/>
      <c r="C3142" s="181"/>
      <c r="D3142" s="181"/>
      <c r="E3142" s="181"/>
      <c r="F3142" s="181"/>
      <c r="G3142" s="181"/>
      <c r="H3142" s="181"/>
      <c r="I3142" s="181"/>
      <c r="J3142" s="181"/>
      <c r="K3142" s="181"/>
      <c r="L3142" s="181"/>
      <c r="M3142" s="181"/>
      <c r="N3142" s="181"/>
      <c r="O3142" s="181"/>
      <c r="P3142" s="181"/>
    </row>
    <row r="3143">
      <c r="B3143" s="292"/>
      <c r="C3143" s="181"/>
      <c r="D3143" s="181"/>
      <c r="E3143" s="181"/>
      <c r="F3143" s="181"/>
      <c r="G3143" s="181"/>
      <c r="H3143" s="181"/>
      <c r="I3143" s="181"/>
      <c r="J3143" s="181"/>
      <c r="K3143" s="181"/>
      <c r="L3143" s="181"/>
      <c r="M3143" s="181"/>
      <c r="N3143" s="181"/>
      <c r="O3143" s="181"/>
      <c r="P3143" s="181"/>
    </row>
    <row r="3144">
      <c r="B3144" s="292"/>
      <c r="C3144" s="181"/>
      <c r="D3144" s="181"/>
      <c r="E3144" s="181"/>
      <c r="F3144" s="181"/>
      <c r="G3144" s="181"/>
      <c r="H3144" s="181"/>
      <c r="I3144" s="181"/>
      <c r="J3144" s="181"/>
      <c r="K3144" s="181"/>
      <c r="L3144" s="181"/>
      <c r="M3144" s="181"/>
      <c r="N3144" s="181"/>
      <c r="O3144" s="181"/>
      <c r="P3144" s="181"/>
    </row>
    <row r="3145">
      <c r="B3145" s="292"/>
      <c r="C3145" s="181"/>
      <c r="D3145" s="181"/>
      <c r="E3145" s="181"/>
      <c r="F3145" s="181"/>
      <c r="G3145" s="181"/>
      <c r="H3145" s="181"/>
      <c r="I3145" s="181"/>
      <c r="J3145" s="181"/>
      <c r="K3145" s="181"/>
      <c r="L3145" s="181"/>
      <c r="M3145" s="181"/>
      <c r="N3145" s="181"/>
      <c r="O3145" s="181"/>
      <c r="P3145" s="181"/>
    </row>
    <row r="3146">
      <c r="B3146" s="292"/>
      <c r="C3146" s="181"/>
      <c r="D3146" s="181"/>
      <c r="E3146" s="181"/>
      <c r="F3146" s="181"/>
      <c r="G3146" s="181"/>
      <c r="H3146" s="181"/>
      <c r="I3146" s="181"/>
      <c r="J3146" s="181"/>
      <c r="K3146" s="181"/>
      <c r="L3146" s="181"/>
      <c r="M3146" s="181"/>
      <c r="N3146" s="181"/>
      <c r="O3146" s="181"/>
      <c r="P3146" s="181"/>
    </row>
    <row r="3147">
      <c r="B3147" s="292"/>
      <c r="C3147" s="181"/>
      <c r="D3147" s="181"/>
      <c r="E3147" s="181"/>
      <c r="F3147" s="181"/>
      <c r="G3147" s="181"/>
      <c r="H3147" s="181"/>
      <c r="I3147" s="181"/>
      <c r="J3147" s="181"/>
      <c r="K3147" s="181"/>
      <c r="L3147" s="181"/>
      <c r="M3147" s="181"/>
      <c r="N3147" s="181"/>
      <c r="O3147" s="181"/>
      <c r="P3147" s="181"/>
    </row>
    <row r="3148">
      <c r="B3148" s="292"/>
      <c r="C3148" s="181"/>
      <c r="D3148" s="181"/>
      <c r="E3148" s="181"/>
      <c r="F3148" s="181"/>
      <c r="G3148" s="181"/>
      <c r="H3148" s="181"/>
      <c r="I3148" s="181"/>
      <c r="J3148" s="181"/>
      <c r="K3148" s="181"/>
      <c r="L3148" s="181"/>
      <c r="M3148" s="181"/>
      <c r="N3148" s="181"/>
      <c r="O3148" s="181"/>
      <c r="P3148" s="181"/>
    </row>
    <row r="3149">
      <c r="B3149" s="292"/>
      <c r="C3149" s="181"/>
      <c r="D3149" s="181"/>
      <c r="E3149" s="181"/>
      <c r="F3149" s="181"/>
      <c r="G3149" s="181"/>
      <c r="H3149" s="181"/>
      <c r="I3149" s="181"/>
      <c r="J3149" s="181"/>
      <c r="K3149" s="181"/>
      <c r="L3149" s="181"/>
      <c r="M3149" s="181"/>
      <c r="N3149" s="181"/>
      <c r="O3149" s="181"/>
      <c r="P3149" s="181"/>
    </row>
    <row r="3150">
      <c r="B3150" s="292"/>
      <c r="C3150" s="181"/>
      <c r="D3150" s="181"/>
      <c r="E3150" s="181"/>
      <c r="F3150" s="181"/>
      <c r="G3150" s="181"/>
      <c r="H3150" s="181"/>
      <c r="I3150" s="181"/>
      <c r="J3150" s="181"/>
      <c r="K3150" s="181"/>
      <c r="L3150" s="181"/>
      <c r="M3150" s="181"/>
      <c r="N3150" s="181"/>
      <c r="O3150" s="181"/>
      <c r="P3150" s="181"/>
    </row>
    <row r="3151">
      <c r="B3151" s="292"/>
      <c r="C3151" s="181"/>
      <c r="D3151" s="181"/>
      <c r="E3151" s="181"/>
      <c r="F3151" s="181"/>
      <c r="G3151" s="181"/>
      <c r="H3151" s="181"/>
      <c r="I3151" s="181"/>
      <c r="J3151" s="181"/>
      <c r="K3151" s="181"/>
      <c r="L3151" s="181"/>
      <c r="M3151" s="181"/>
      <c r="N3151" s="181"/>
      <c r="O3151" s="181"/>
      <c r="P3151" s="181"/>
    </row>
    <row r="3152">
      <c r="B3152" s="292"/>
      <c r="C3152" s="181"/>
      <c r="D3152" s="181"/>
      <c r="E3152" s="181"/>
      <c r="F3152" s="181"/>
      <c r="G3152" s="181"/>
      <c r="H3152" s="181"/>
      <c r="I3152" s="181"/>
      <c r="J3152" s="181"/>
      <c r="K3152" s="181"/>
      <c r="L3152" s="181"/>
      <c r="M3152" s="181"/>
      <c r="N3152" s="181"/>
      <c r="O3152" s="181"/>
      <c r="P3152" s="181"/>
    </row>
    <row r="3153">
      <c r="B3153" s="292"/>
      <c r="C3153" s="181"/>
      <c r="D3153" s="181"/>
      <c r="E3153" s="181"/>
      <c r="F3153" s="181"/>
      <c r="G3153" s="181"/>
      <c r="H3153" s="181"/>
      <c r="I3153" s="181"/>
      <c r="J3153" s="181"/>
      <c r="K3153" s="181"/>
      <c r="L3153" s="181"/>
      <c r="M3153" s="181"/>
      <c r="N3153" s="181"/>
      <c r="O3153" s="181"/>
      <c r="P3153" s="181"/>
    </row>
    <row r="3154">
      <c r="B3154" s="292"/>
      <c r="C3154" s="181"/>
      <c r="D3154" s="181"/>
      <c r="E3154" s="181"/>
      <c r="F3154" s="181"/>
      <c r="G3154" s="181"/>
      <c r="H3154" s="181"/>
      <c r="I3154" s="181"/>
      <c r="J3154" s="181"/>
      <c r="K3154" s="181"/>
      <c r="L3154" s="181"/>
      <c r="M3154" s="181"/>
      <c r="N3154" s="181"/>
      <c r="O3154" s="181"/>
      <c r="P3154" s="181"/>
    </row>
    <row r="3155">
      <c r="B3155" s="292"/>
      <c r="C3155" s="181"/>
      <c r="D3155" s="181"/>
      <c r="E3155" s="181"/>
      <c r="F3155" s="181"/>
      <c r="G3155" s="181"/>
      <c r="H3155" s="181"/>
      <c r="I3155" s="181"/>
      <c r="J3155" s="181"/>
      <c r="K3155" s="181"/>
      <c r="L3155" s="181"/>
      <c r="M3155" s="181"/>
      <c r="N3155" s="181"/>
      <c r="O3155" s="181"/>
      <c r="P3155" s="181"/>
    </row>
    <row r="3156">
      <c r="B3156" s="292"/>
      <c r="C3156" s="181"/>
      <c r="D3156" s="181"/>
      <c r="E3156" s="181"/>
      <c r="F3156" s="181"/>
      <c r="G3156" s="181"/>
      <c r="H3156" s="181"/>
      <c r="I3156" s="181"/>
      <c r="J3156" s="181"/>
      <c r="K3156" s="181"/>
      <c r="L3156" s="181"/>
      <c r="M3156" s="181"/>
      <c r="N3156" s="181"/>
      <c r="O3156" s="181"/>
      <c r="P3156" s="181"/>
    </row>
    <row r="3157">
      <c r="B3157" s="292"/>
      <c r="C3157" s="181"/>
      <c r="D3157" s="181"/>
      <c r="E3157" s="181"/>
      <c r="F3157" s="181"/>
      <c r="G3157" s="181"/>
      <c r="H3157" s="181"/>
      <c r="I3157" s="181"/>
      <c r="J3157" s="181"/>
      <c r="K3157" s="181"/>
      <c r="L3157" s="181"/>
      <c r="M3157" s="181"/>
      <c r="N3157" s="181"/>
      <c r="O3157" s="181"/>
      <c r="P3157" s="181"/>
    </row>
    <row r="3158">
      <c r="B3158" s="292"/>
      <c r="C3158" s="181"/>
      <c r="D3158" s="181"/>
      <c r="E3158" s="181"/>
      <c r="F3158" s="181"/>
      <c r="G3158" s="181"/>
      <c r="H3158" s="181"/>
      <c r="I3158" s="181"/>
      <c r="J3158" s="181"/>
      <c r="K3158" s="181"/>
      <c r="L3158" s="181"/>
      <c r="M3158" s="181"/>
      <c r="N3158" s="181"/>
      <c r="O3158" s="181"/>
      <c r="P3158" s="181"/>
    </row>
    <row r="3159">
      <c r="B3159" s="292"/>
      <c r="C3159" s="181"/>
      <c r="D3159" s="181"/>
      <c r="E3159" s="181"/>
      <c r="F3159" s="181"/>
      <c r="G3159" s="181"/>
      <c r="H3159" s="181"/>
      <c r="I3159" s="181"/>
      <c r="J3159" s="181"/>
      <c r="K3159" s="181"/>
      <c r="L3159" s="181"/>
      <c r="M3159" s="181"/>
      <c r="N3159" s="181"/>
      <c r="O3159" s="181"/>
      <c r="P3159" s="181"/>
    </row>
    <row r="3160">
      <c r="B3160" s="292"/>
      <c r="C3160" s="181"/>
      <c r="D3160" s="181"/>
      <c r="E3160" s="181"/>
      <c r="F3160" s="181"/>
      <c r="G3160" s="181"/>
      <c r="H3160" s="181"/>
      <c r="I3160" s="181"/>
      <c r="J3160" s="181"/>
      <c r="K3160" s="181"/>
      <c r="L3160" s="181"/>
      <c r="M3160" s="181"/>
      <c r="N3160" s="181"/>
      <c r="O3160" s="181"/>
      <c r="P3160" s="181"/>
    </row>
    <row r="3161">
      <c r="B3161" s="292"/>
      <c r="C3161" s="181"/>
      <c r="D3161" s="181"/>
      <c r="E3161" s="181"/>
      <c r="F3161" s="181"/>
      <c r="G3161" s="181"/>
      <c r="H3161" s="181"/>
      <c r="I3161" s="181"/>
      <c r="J3161" s="181"/>
      <c r="K3161" s="181"/>
      <c r="L3161" s="181"/>
      <c r="M3161" s="181"/>
      <c r="N3161" s="181"/>
      <c r="O3161" s="181"/>
      <c r="P3161" s="181"/>
    </row>
    <row r="3162">
      <c r="B3162" s="292"/>
      <c r="C3162" s="181"/>
      <c r="D3162" s="181"/>
      <c r="E3162" s="181"/>
      <c r="F3162" s="181"/>
      <c r="G3162" s="181"/>
      <c r="H3162" s="181"/>
      <c r="I3162" s="181"/>
      <c r="J3162" s="181"/>
      <c r="K3162" s="181"/>
      <c r="L3162" s="181"/>
      <c r="M3162" s="181"/>
      <c r="N3162" s="181"/>
      <c r="O3162" s="181"/>
      <c r="P3162" s="181"/>
    </row>
    <row r="3163">
      <c r="B3163" s="292"/>
      <c r="C3163" s="181"/>
      <c r="D3163" s="181"/>
      <c r="E3163" s="181"/>
      <c r="F3163" s="181"/>
      <c r="G3163" s="181"/>
      <c r="H3163" s="181"/>
      <c r="I3163" s="181"/>
      <c r="J3163" s="181"/>
      <c r="K3163" s="181"/>
      <c r="L3163" s="181"/>
      <c r="M3163" s="181"/>
      <c r="N3163" s="181"/>
      <c r="O3163" s="181"/>
      <c r="P3163" s="181"/>
    </row>
    <row r="3164">
      <c r="B3164" s="292"/>
      <c r="C3164" s="181"/>
      <c r="D3164" s="181"/>
      <c r="E3164" s="181"/>
      <c r="F3164" s="181"/>
      <c r="G3164" s="181"/>
      <c r="H3164" s="181"/>
      <c r="I3164" s="181"/>
      <c r="J3164" s="181"/>
      <c r="K3164" s="181"/>
      <c r="L3164" s="181"/>
      <c r="M3164" s="181"/>
      <c r="N3164" s="181"/>
      <c r="O3164" s="181"/>
      <c r="P3164" s="181"/>
    </row>
    <row r="3165">
      <c r="B3165" s="292"/>
      <c r="C3165" s="181"/>
      <c r="D3165" s="181"/>
      <c r="E3165" s="181"/>
      <c r="F3165" s="181"/>
      <c r="G3165" s="181"/>
      <c r="H3165" s="181"/>
      <c r="I3165" s="181"/>
      <c r="J3165" s="181"/>
      <c r="K3165" s="181"/>
      <c r="L3165" s="181"/>
      <c r="M3165" s="181"/>
      <c r="N3165" s="181"/>
      <c r="O3165" s="181"/>
      <c r="P3165" s="181"/>
    </row>
    <row r="3166">
      <c r="B3166" s="292"/>
      <c r="C3166" s="181"/>
      <c r="D3166" s="181"/>
      <c r="E3166" s="181"/>
      <c r="F3166" s="181"/>
      <c r="G3166" s="181"/>
      <c r="H3166" s="181"/>
      <c r="I3166" s="181"/>
      <c r="J3166" s="181"/>
      <c r="K3166" s="181"/>
      <c r="L3166" s="181"/>
      <c r="M3166" s="181"/>
      <c r="N3166" s="181"/>
      <c r="O3166" s="181"/>
      <c r="P3166" s="181"/>
    </row>
    <row r="3167">
      <c r="B3167" s="292"/>
      <c r="C3167" s="181"/>
      <c r="D3167" s="181"/>
      <c r="E3167" s="181"/>
      <c r="F3167" s="181"/>
      <c r="G3167" s="181"/>
      <c r="H3167" s="181"/>
      <c r="I3167" s="181"/>
      <c r="J3167" s="181"/>
      <c r="K3167" s="181"/>
      <c r="L3167" s="181"/>
      <c r="M3167" s="181"/>
      <c r="N3167" s="181"/>
      <c r="O3167" s="181"/>
      <c r="P3167" s="181"/>
    </row>
    <row r="3168">
      <c r="B3168" s="292"/>
      <c r="C3168" s="181"/>
      <c r="D3168" s="181"/>
      <c r="E3168" s="181"/>
      <c r="F3168" s="181"/>
      <c r="G3168" s="181"/>
      <c r="H3168" s="181"/>
      <c r="I3168" s="181"/>
      <c r="J3168" s="181"/>
      <c r="K3168" s="181"/>
      <c r="L3168" s="181"/>
      <c r="M3168" s="181"/>
      <c r="N3168" s="181"/>
      <c r="O3168" s="181"/>
      <c r="P3168" s="181"/>
    </row>
    <row r="3169">
      <c r="B3169" s="292"/>
      <c r="C3169" s="181"/>
      <c r="D3169" s="181"/>
      <c r="E3169" s="181"/>
      <c r="F3169" s="181"/>
      <c r="G3169" s="181"/>
      <c r="H3169" s="181"/>
      <c r="I3169" s="181"/>
      <c r="J3169" s="181"/>
      <c r="K3169" s="181"/>
      <c r="L3169" s="181"/>
      <c r="M3169" s="181"/>
      <c r="N3169" s="181"/>
      <c r="O3169" s="181"/>
      <c r="P3169" s="181"/>
    </row>
    <row r="3170">
      <c r="B3170" s="292"/>
      <c r="C3170" s="181"/>
      <c r="D3170" s="181"/>
      <c r="E3170" s="181"/>
      <c r="F3170" s="181"/>
      <c r="G3170" s="181"/>
      <c r="H3170" s="181"/>
      <c r="I3170" s="181"/>
      <c r="J3170" s="181"/>
      <c r="K3170" s="181"/>
      <c r="L3170" s="181"/>
      <c r="M3170" s="181"/>
      <c r="N3170" s="181"/>
      <c r="O3170" s="181"/>
      <c r="P3170" s="181"/>
    </row>
    <row r="3171">
      <c r="B3171" s="292"/>
      <c r="C3171" s="181"/>
      <c r="D3171" s="181"/>
      <c r="E3171" s="181"/>
      <c r="F3171" s="181"/>
      <c r="G3171" s="181"/>
      <c r="H3171" s="181"/>
      <c r="I3171" s="181"/>
      <c r="J3171" s="181"/>
      <c r="K3171" s="181"/>
      <c r="L3171" s="181"/>
      <c r="M3171" s="181"/>
      <c r="N3171" s="181"/>
      <c r="O3171" s="181"/>
      <c r="P3171" s="181"/>
    </row>
    <row r="3172">
      <c r="B3172" s="292"/>
      <c r="C3172" s="181"/>
      <c r="D3172" s="181"/>
      <c r="E3172" s="181"/>
      <c r="F3172" s="181"/>
      <c r="G3172" s="181"/>
      <c r="H3172" s="181"/>
      <c r="I3172" s="181"/>
      <c r="J3172" s="181"/>
      <c r="K3172" s="181"/>
      <c r="L3172" s="181"/>
      <c r="M3172" s="181"/>
      <c r="N3172" s="181"/>
      <c r="O3172" s="181"/>
      <c r="P3172" s="181"/>
    </row>
    <row r="3173">
      <c r="B3173" s="292"/>
      <c r="C3173" s="181"/>
      <c r="D3173" s="181"/>
      <c r="E3173" s="181"/>
      <c r="F3173" s="181"/>
      <c r="G3173" s="181"/>
      <c r="H3173" s="181"/>
      <c r="I3173" s="181"/>
      <c r="J3173" s="181"/>
      <c r="K3173" s="181"/>
      <c r="L3173" s="181"/>
      <c r="M3173" s="181"/>
      <c r="N3173" s="181"/>
      <c r="O3173" s="181"/>
      <c r="P3173" s="181"/>
    </row>
    <row r="3174">
      <c r="B3174" s="292"/>
      <c r="C3174" s="181"/>
      <c r="D3174" s="181"/>
      <c r="E3174" s="181"/>
      <c r="F3174" s="181"/>
      <c r="G3174" s="181"/>
      <c r="H3174" s="181"/>
      <c r="I3174" s="181"/>
      <c r="J3174" s="181"/>
      <c r="K3174" s="181"/>
      <c r="L3174" s="181"/>
      <c r="M3174" s="181"/>
      <c r="N3174" s="181"/>
      <c r="O3174" s="181"/>
      <c r="P3174" s="181"/>
    </row>
    <row r="3175">
      <c r="B3175" s="292"/>
      <c r="C3175" s="181"/>
      <c r="D3175" s="181"/>
      <c r="E3175" s="181"/>
      <c r="F3175" s="181"/>
      <c r="G3175" s="181"/>
      <c r="H3175" s="181"/>
      <c r="I3175" s="181"/>
      <c r="J3175" s="181"/>
      <c r="K3175" s="181"/>
      <c r="L3175" s="181"/>
      <c r="M3175" s="181"/>
      <c r="N3175" s="181"/>
      <c r="O3175" s="181"/>
      <c r="P3175" s="181"/>
    </row>
    <row r="3176">
      <c r="B3176" s="292"/>
      <c r="C3176" s="181"/>
      <c r="D3176" s="181"/>
      <c r="E3176" s="181"/>
      <c r="F3176" s="181"/>
      <c r="G3176" s="181"/>
      <c r="H3176" s="181"/>
      <c r="I3176" s="181"/>
      <c r="J3176" s="181"/>
      <c r="K3176" s="181"/>
      <c r="L3176" s="181"/>
      <c r="M3176" s="181"/>
      <c r="N3176" s="181"/>
      <c r="O3176" s="181"/>
      <c r="P3176" s="181"/>
    </row>
    <row r="3177">
      <c r="B3177" s="292"/>
      <c r="C3177" s="181"/>
      <c r="D3177" s="181"/>
      <c r="E3177" s="181"/>
      <c r="F3177" s="181"/>
      <c r="G3177" s="181"/>
      <c r="H3177" s="181"/>
      <c r="I3177" s="181"/>
      <c r="J3177" s="181"/>
      <c r="K3177" s="181"/>
      <c r="L3177" s="181"/>
      <c r="M3177" s="181"/>
      <c r="N3177" s="181"/>
      <c r="O3177" s="181"/>
      <c r="P3177" s="181"/>
    </row>
    <row r="3178">
      <c r="B3178" s="292"/>
      <c r="C3178" s="181"/>
      <c r="D3178" s="181"/>
      <c r="E3178" s="181"/>
      <c r="F3178" s="181"/>
      <c r="G3178" s="181"/>
      <c r="H3178" s="181"/>
      <c r="I3178" s="181"/>
      <c r="J3178" s="181"/>
      <c r="K3178" s="181"/>
      <c r="L3178" s="181"/>
      <c r="M3178" s="181"/>
      <c r="N3178" s="181"/>
      <c r="O3178" s="181"/>
      <c r="P3178" s="181"/>
    </row>
    <row r="3179">
      <c r="B3179" s="292"/>
      <c r="C3179" s="181"/>
      <c r="D3179" s="181"/>
      <c r="E3179" s="181"/>
      <c r="F3179" s="181"/>
      <c r="G3179" s="181"/>
      <c r="H3179" s="181"/>
      <c r="I3179" s="181"/>
      <c r="J3179" s="181"/>
      <c r="K3179" s="181"/>
      <c r="L3179" s="181"/>
      <c r="M3179" s="181"/>
      <c r="N3179" s="181"/>
      <c r="O3179" s="181"/>
      <c r="P3179" s="181"/>
    </row>
    <row r="3180">
      <c r="B3180" s="292"/>
      <c r="C3180" s="181"/>
      <c r="D3180" s="181"/>
      <c r="E3180" s="181"/>
      <c r="F3180" s="181"/>
      <c r="G3180" s="181"/>
      <c r="H3180" s="181"/>
      <c r="I3180" s="181"/>
      <c r="J3180" s="181"/>
      <c r="K3180" s="181"/>
      <c r="L3180" s="181"/>
      <c r="M3180" s="181"/>
      <c r="N3180" s="181"/>
      <c r="O3180" s="181"/>
      <c r="P3180" s="181"/>
    </row>
    <row r="3181">
      <c r="B3181" s="292"/>
      <c r="C3181" s="181"/>
      <c r="D3181" s="181"/>
      <c r="E3181" s="181"/>
      <c r="F3181" s="181"/>
      <c r="G3181" s="181"/>
      <c r="H3181" s="181"/>
      <c r="I3181" s="181"/>
      <c r="J3181" s="181"/>
      <c r="K3181" s="181"/>
      <c r="L3181" s="181"/>
      <c r="M3181" s="181"/>
      <c r="N3181" s="181"/>
      <c r="O3181" s="181"/>
      <c r="P3181" s="181"/>
    </row>
    <row r="3182">
      <c r="B3182" s="292"/>
      <c r="C3182" s="181"/>
      <c r="D3182" s="181"/>
      <c r="E3182" s="181"/>
      <c r="F3182" s="181"/>
      <c r="G3182" s="181"/>
      <c r="H3182" s="181"/>
      <c r="I3182" s="181"/>
      <c r="J3182" s="181"/>
      <c r="K3182" s="181"/>
      <c r="L3182" s="181"/>
      <c r="M3182" s="181"/>
      <c r="N3182" s="181"/>
      <c r="O3182" s="181"/>
      <c r="P3182" s="181"/>
    </row>
    <row r="3183">
      <c r="B3183" s="292"/>
      <c r="C3183" s="181"/>
      <c r="D3183" s="181"/>
      <c r="E3183" s="181"/>
      <c r="F3183" s="181"/>
      <c r="G3183" s="181"/>
      <c r="H3183" s="181"/>
      <c r="I3183" s="181"/>
      <c r="J3183" s="181"/>
      <c r="K3183" s="181"/>
      <c r="L3183" s="181"/>
      <c r="M3183" s="181"/>
      <c r="N3183" s="181"/>
      <c r="O3183" s="181"/>
      <c r="P3183" s="181"/>
    </row>
    <row r="3184">
      <c r="B3184" s="292"/>
      <c r="C3184" s="181"/>
      <c r="D3184" s="181"/>
      <c r="E3184" s="181"/>
      <c r="F3184" s="181"/>
      <c r="G3184" s="181"/>
      <c r="H3184" s="181"/>
      <c r="I3184" s="181"/>
      <c r="J3184" s="181"/>
      <c r="K3184" s="181"/>
      <c r="L3184" s="181"/>
      <c r="M3184" s="181"/>
      <c r="N3184" s="181"/>
      <c r="O3184" s="181"/>
      <c r="P3184" s="181"/>
    </row>
    <row r="3185">
      <c r="B3185" s="292"/>
      <c r="C3185" s="181"/>
      <c r="D3185" s="181"/>
      <c r="E3185" s="181"/>
      <c r="F3185" s="181"/>
      <c r="G3185" s="181"/>
      <c r="H3185" s="181"/>
      <c r="I3185" s="181"/>
      <c r="J3185" s="181"/>
      <c r="K3185" s="181"/>
      <c r="L3185" s="181"/>
      <c r="M3185" s="181"/>
      <c r="N3185" s="181"/>
      <c r="O3185" s="181"/>
      <c r="P3185" s="181"/>
    </row>
    <row r="3186">
      <c r="B3186" s="292"/>
      <c r="C3186" s="181"/>
      <c r="D3186" s="181"/>
      <c r="E3186" s="181"/>
      <c r="F3186" s="181"/>
      <c r="G3186" s="181"/>
      <c r="H3186" s="181"/>
      <c r="I3186" s="181"/>
      <c r="J3186" s="181"/>
      <c r="K3186" s="181"/>
      <c r="L3186" s="181"/>
      <c r="M3186" s="181"/>
      <c r="N3186" s="181"/>
      <c r="O3186" s="181"/>
      <c r="P3186" s="181"/>
    </row>
    <row r="3187">
      <c r="B3187" s="292"/>
      <c r="C3187" s="181"/>
      <c r="D3187" s="181"/>
      <c r="E3187" s="181"/>
      <c r="F3187" s="181"/>
      <c r="G3187" s="181"/>
      <c r="H3187" s="181"/>
      <c r="I3187" s="181"/>
      <c r="J3187" s="181"/>
      <c r="K3187" s="181"/>
      <c r="L3187" s="181"/>
      <c r="M3187" s="181"/>
      <c r="N3187" s="181"/>
      <c r="O3187" s="181"/>
      <c r="P3187" s="181"/>
    </row>
    <row r="3188">
      <c r="B3188" s="292"/>
      <c r="C3188" s="181"/>
      <c r="D3188" s="181"/>
      <c r="E3188" s="181"/>
      <c r="F3188" s="181"/>
      <c r="G3188" s="181"/>
      <c r="H3188" s="181"/>
      <c r="I3188" s="181"/>
      <c r="J3188" s="181"/>
      <c r="K3188" s="181"/>
      <c r="L3188" s="181"/>
      <c r="M3188" s="181"/>
      <c r="N3188" s="181"/>
      <c r="O3188" s="181"/>
      <c r="P3188" s="181"/>
    </row>
    <row r="3189">
      <c r="B3189" s="292"/>
      <c r="C3189" s="181"/>
      <c r="D3189" s="181"/>
      <c r="E3189" s="181"/>
      <c r="F3189" s="181"/>
      <c r="G3189" s="181"/>
      <c r="H3189" s="181"/>
      <c r="I3189" s="181"/>
      <c r="J3189" s="181"/>
      <c r="K3189" s="181"/>
      <c r="L3189" s="181"/>
      <c r="M3189" s="181"/>
      <c r="N3189" s="181"/>
      <c r="O3189" s="181"/>
      <c r="P3189" s="181"/>
    </row>
    <row r="3190">
      <c r="B3190" s="292"/>
      <c r="C3190" s="181"/>
      <c r="D3190" s="181"/>
      <c r="E3190" s="181"/>
      <c r="F3190" s="181"/>
      <c r="G3190" s="181"/>
      <c r="H3190" s="181"/>
      <c r="I3190" s="181"/>
      <c r="J3190" s="181"/>
      <c r="K3190" s="181"/>
      <c r="L3190" s="181"/>
      <c r="M3190" s="181"/>
      <c r="N3190" s="181"/>
      <c r="O3190" s="181"/>
      <c r="P3190" s="181"/>
    </row>
    <row r="3191">
      <c r="B3191" s="292"/>
      <c r="C3191" s="181"/>
      <c r="D3191" s="181"/>
      <c r="E3191" s="181"/>
      <c r="F3191" s="181"/>
      <c r="G3191" s="181"/>
      <c r="H3191" s="181"/>
      <c r="I3191" s="181"/>
      <c r="J3191" s="181"/>
      <c r="K3191" s="181"/>
      <c r="L3191" s="181"/>
      <c r="M3191" s="181"/>
      <c r="N3191" s="181"/>
      <c r="O3191" s="181"/>
      <c r="P3191" s="181"/>
    </row>
    <row r="3192">
      <c r="B3192" s="292"/>
      <c r="C3192" s="181"/>
      <c r="D3192" s="181"/>
      <c r="E3192" s="181"/>
      <c r="F3192" s="181"/>
      <c r="G3192" s="181"/>
      <c r="H3192" s="181"/>
      <c r="I3192" s="181"/>
      <c r="J3192" s="181"/>
      <c r="K3192" s="181"/>
      <c r="L3192" s="181"/>
      <c r="M3192" s="181"/>
      <c r="N3192" s="181"/>
      <c r="O3192" s="181"/>
      <c r="P3192" s="181"/>
    </row>
    <row r="3193">
      <c r="B3193" s="292"/>
      <c r="C3193" s="181"/>
      <c r="D3193" s="181"/>
      <c r="E3193" s="181"/>
      <c r="F3193" s="181"/>
      <c r="G3193" s="181"/>
      <c r="H3193" s="181"/>
      <c r="I3193" s="181"/>
      <c r="J3193" s="181"/>
      <c r="K3193" s="181"/>
      <c r="L3193" s="181"/>
      <c r="M3193" s="181"/>
      <c r="N3193" s="181"/>
      <c r="O3193" s="181"/>
      <c r="P3193" s="181"/>
    </row>
    <row r="3194">
      <c r="B3194" s="292"/>
      <c r="C3194" s="181"/>
      <c r="D3194" s="181"/>
      <c r="E3194" s="181"/>
      <c r="F3194" s="181"/>
      <c r="G3194" s="181"/>
      <c r="H3194" s="181"/>
      <c r="I3194" s="181"/>
      <c r="J3194" s="181"/>
      <c r="K3194" s="181"/>
      <c r="L3194" s="181"/>
      <c r="M3194" s="181"/>
      <c r="N3194" s="181"/>
      <c r="O3194" s="181"/>
      <c r="P3194" s="181"/>
    </row>
    <row r="3195">
      <c r="B3195" s="292"/>
      <c r="C3195" s="181"/>
      <c r="D3195" s="181"/>
      <c r="E3195" s="181"/>
      <c r="F3195" s="181"/>
      <c r="G3195" s="181"/>
      <c r="H3195" s="181"/>
      <c r="I3195" s="181"/>
      <c r="J3195" s="181"/>
      <c r="K3195" s="181"/>
      <c r="L3195" s="181"/>
      <c r="M3195" s="181"/>
      <c r="N3195" s="181"/>
      <c r="O3195" s="181"/>
      <c r="P3195" s="181"/>
    </row>
    <row r="3196">
      <c r="B3196" s="292"/>
      <c r="C3196" s="181"/>
      <c r="D3196" s="181"/>
      <c r="E3196" s="181"/>
      <c r="F3196" s="181"/>
      <c r="G3196" s="181"/>
      <c r="H3196" s="181"/>
      <c r="I3196" s="181"/>
      <c r="J3196" s="181"/>
      <c r="K3196" s="181"/>
      <c r="L3196" s="181"/>
      <c r="M3196" s="181"/>
      <c r="N3196" s="181"/>
      <c r="O3196" s="181"/>
      <c r="P3196" s="181"/>
    </row>
    <row r="3197">
      <c r="B3197" s="292"/>
      <c r="C3197" s="181"/>
      <c r="D3197" s="181"/>
      <c r="E3197" s="181"/>
      <c r="F3197" s="181"/>
      <c r="G3197" s="181"/>
      <c r="H3197" s="181"/>
      <c r="I3197" s="181"/>
      <c r="J3197" s="181"/>
      <c r="K3197" s="181"/>
      <c r="L3197" s="181"/>
      <c r="M3197" s="181"/>
      <c r="N3197" s="181"/>
      <c r="O3197" s="181"/>
      <c r="P3197" s="181"/>
    </row>
    <row r="3198">
      <c r="B3198" s="292"/>
      <c r="C3198" s="181"/>
      <c r="D3198" s="181"/>
      <c r="E3198" s="181"/>
      <c r="F3198" s="181"/>
      <c r="G3198" s="181"/>
      <c r="H3198" s="181"/>
      <c r="I3198" s="181"/>
      <c r="J3198" s="181"/>
      <c r="K3198" s="181"/>
      <c r="L3198" s="181"/>
      <c r="M3198" s="181"/>
      <c r="N3198" s="181"/>
      <c r="O3198" s="181"/>
      <c r="P3198" s="181"/>
    </row>
    <row r="3199">
      <c r="B3199" s="292"/>
      <c r="C3199" s="181"/>
      <c r="D3199" s="181"/>
      <c r="E3199" s="181"/>
      <c r="F3199" s="181"/>
      <c r="G3199" s="181"/>
      <c r="H3199" s="181"/>
      <c r="I3199" s="181"/>
      <c r="J3199" s="181"/>
      <c r="K3199" s="181"/>
      <c r="L3199" s="181"/>
      <c r="M3199" s="181"/>
      <c r="N3199" s="181"/>
      <c r="O3199" s="181"/>
      <c r="P3199" s="181"/>
    </row>
    <row r="3200">
      <c r="B3200" s="292"/>
      <c r="C3200" s="181"/>
      <c r="D3200" s="181"/>
      <c r="E3200" s="181"/>
      <c r="F3200" s="181"/>
      <c r="G3200" s="181"/>
      <c r="H3200" s="181"/>
      <c r="I3200" s="181"/>
      <c r="J3200" s="181"/>
      <c r="K3200" s="181"/>
      <c r="L3200" s="181"/>
      <c r="M3200" s="181"/>
      <c r="N3200" s="181"/>
      <c r="O3200" s="181"/>
      <c r="P3200" s="181"/>
    </row>
    <row r="3201">
      <c r="B3201" s="292"/>
      <c r="C3201" s="181"/>
      <c r="D3201" s="181"/>
      <c r="E3201" s="181"/>
      <c r="F3201" s="181"/>
      <c r="G3201" s="181"/>
      <c r="H3201" s="181"/>
      <c r="I3201" s="181"/>
      <c r="J3201" s="181"/>
      <c r="K3201" s="181"/>
      <c r="L3201" s="181"/>
      <c r="M3201" s="181"/>
      <c r="N3201" s="181"/>
      <c r="O3201" s="181"/>
      <c r="P3201" s="181"/>
    </row>
    <row r="3202">
      <c r="B3202" s="292"/>
      <c r="C3202" s="181"/>
      <c r="D3202" s="181"/>
      <c r="E3202" s="181"/>
      <c r="F3202" s="181"/>
      <c r="G3202" s="181"/>
      <c r="H3202" s="181"/>
      <c r="I3202" s="181"/>
      <c r="J3202" s="181"/>
      <c r="K3202" s="181"/>
      <c r="L3202" s="181"/>
      <c r="M3202" s="181"/>
      <c r="N3202" s="181"/>
      <c r="O3202" s="181"/>
      <c r="P3202" s="181"/>
    </row>
    <row r="3203">
      <c r="B3203" s="292"/>
      <c r="C3203" s="181"/>
      <c r="D3203" s="181"/>
      <c r="E3203" s="181"/>
      <c r="F3203" s="181"/>
      <c r="G3203" s="181"/>
      <c r="H3203" s="181"/>
      <c r="I3203" s="181"/>
      <c r="J3203" s="181"/>
      <c r="K3203" s="181"/>
      <c r="L3203" s="181"/>
      <c r="M3203" s="181"/>
      <c r="N3203" s="181"/>
      <c r="O3203" s="181"/>
      <c r="P3203" s="181"/>
    </row>
    <row r="3204">
      <c r="B3204" s="292"/>
      <c r="C3204" s="181"/>
      <c r="D3204" s="181"/>
      <c r="E3204" s="181"/>
      <c r="F3204" s="181"/>
      <c r="G3204" s="181"/>
      <c r="H3204" s="181"/>
      <c r="I3204" s="181"/>
      <c r="J3204" s="181"/>
      <c r="K3204" s="181"/>
      <c r="L3204" s="181"/>
      <c r="M3204" s="181"/>
      <c r="N3204" s="181"/>
      <c r="O3204" s="181"/>
      <c r="P3204" s="181"/>
    </row>
    <row r="3205">
      <c r="B3205" s="292"/>
      <c r="C3205" s="181"/>
      <c r="D3205" s="181"/>
      <c r="E3205" s="181"/>
      <c r="F3205" s="181"/>
      <c r="G3205" s="181"/>
      <c r="H3205" s="181"/>
      <c r="I3205" s="181"/>
      <c r="J3205" s="181"/>
      <c r="K3205" s="181"/>
      <c r="L3205" s="181"/>
      <c r="M3205" s="181"/>
      <c r="N3205" s="181"/>
      <c r="O3205" s="181"/>
      <c r="P3205" s="181"/>
    </row>
    <row r="3206">
      <c r="B3206" s="292"/>
      <c r="C3206" s="181"/>
      <c r="D3206" s="181"/>
      <c r="E3206" s="181"/>
      <c r="F3206" s="181"/>
      <c r="G3206" s="181"/>
      <c r="H3206" s="181"/>
      <c r="I3206" s="181"/>
      <c r="J3206" s="181"/>
      <c r="K3206" s="181"/>
      <c r="L3206" s="181"/>
      <c r="M3206" s="181"/>
      <c r="N3206" s="181"/>
      <c r="O3206" s="181"/>
      <c r="P3206" s="181"/>
    </row>
    <row r="3207">
      <c r="B3207" s="292"/>
      <c r="C3207" s="181"/>
      <c r="D3207" s="181"/>
      <c r="E3207" s="181"/>
      <c r="F3207" s="181"/>
      <c r="G3207" s="181"/>
      <c r="H3207" s="181"/>
      <c r="I3207" s="181"/>
      <c r="J3207" s="181"/>
      <c r="K3207" s="181"/>
      <c r="L3207" s="181"/>
      <c r="M3207" s="181"/>
      <c r="N3207" s="181"/>
      <c r="O3207" s="181"/>
      <c r="P3207" s="181"/>
    </row>
    <row r="3208">
      <c r="B3208" s="292"/>
      <c r="C3208" s="181"/>
      <c r="D3208" s="181"/>
      <c r="E3208" s="181"/>
      <c r="F3208" s="181"/>
      <c r="G3208" s="181"/>
      <c r="H3208" s="181"/>
      <c r="I3208" s="181"/>
      <c r="J3208" s="181"/>
      <c r="K3208" s="181"/>
      <c r="L3208" s="181"/>
      <c r="M3208" s="181"/>
      <c r="N3208" s="181"/>
      <c r="O3208" s="181"/>
      <c r="P3208" s="181"/>
    </row>
    <row r="3209">
      <c r="B3209" s="292"/>
      <c r="C3209" s="181"/>
      <c r="D3209" s="181"/>
      <c r="E3209" s="181"/>
      <c r="F3209" s="181"/>
      <c r="G3209" s="181"/>
      <c r="H3209" s="181"/>
      <c r="I3209" s="181"/>
      <c r="J3209" s="181"/>
      <c r="K3209" s="181"/>
      <c r="L3209" s="181"/>
      <c r="M3209" s="181"/>
      <c r="N3209" s="181"/>
      <c r="O3209" s="181"/>
      <c r="P3209" s="181"/>
    </row>
    <row r="3210">
      <c r="B3210" s="292"/>
      <c r="C3210" s="181"/>
      <c r="D3210" s="181"/>
      <c r="E3210" s="181"/>
      <c r="F3210" s="181"/>
      <c r="G3210" s="181"/>
      <c r="H3210" s="181"/>
      <c r="I3210" s="181"/>
      <c r="J3210" s="181"/>
      <c r="K3210" s="181"/>
      <c r="L3210" s="181"/>
      <c r="M3210" s="181"/>
      <c r="N3210" s="181"/>
      <c r="O3210" s="181"/>
      <c r="P3210" s="181"/>
    </row>
    <row r="3211">
      <c r="B3211" s="292"/>
      <c r="C3211" s="181"/>
      <c r="D3211" s="181"/>
      <c r="E3211" s="181"/>
      <c r="F3211" s="181"/>
      <c r="G3211" s="181"/>
      <c r="H3211" s="181"/>
      <c r="I3211" s="181"/>
      <c r="J3211" s="181"/>
      <c r="K3211" s="181"/>
      <c r="L3211" s="181"/>
      <c r="M3211" s="181"/>
      <c r="N3211" s="181"/>
      <c r="O3211" s="181"/>
      <c r="P3211" s="181"/>
    </row>
    <row r="3212">
      <c r="B3212" s="292"/>
      <c r="C3212" s="181"/>
      <c r="D3212" s="181"/>
      <c r="E3212" s="181"/>
      <c r="F3212" s="181"/>
      <c r="G3212" s="181"/>
      <c r="H3212" s="181"/>
      <c r="I3212" s="181"/>
      <c r="J3212" s="181"/>
      <c r="K3212" s="181"/>
      <c r="L3212" s="181"/>
      <c r="M3212" s="181"/>
      <c r="N3212" s="181"/>
      <c r="O3212" s="181"/>
      <c r="P3212" s="181"/>
    </row>
    <row r="3213">
      <c r="B3213" s="292"/>
      <c r="C3213" s="181"/>
      <c r="D3213" s="181"/>
      <c r="E3213" s="181"/>
      <c r="F3213" s="181"/>
      <c r="G3213" s="181"/>
      <c r="H3213" s="181"/>
      <c r="I3213" s="181"/>
      <c r="J3213" s="181"/>
      <c r="K3213" s="181"/>
      <c r="L3213" s="181"/>
      <c r="M3213" s="181"/>
      <c r="N3213" s="181"/>
      <c r="O3213" s="181"/>
      <c r="P3213" s="181"/>
    </row>
    <row r="3214">
      <c r="B3214" s="292"/>
      <c r="C3214" s="181"/>
      <c r="D3214" s="181"/>
      <c r="E3214" s="181"/>
      <c r="F3214" s="181"/>
      <c r="G3214" s="181"/>
      <c r="H3214" s="181"/>
      <c r="I3214" s="181"/>
      <c r="J3214" s="181"/>
      <c r="K3214" s="181"/>
      <c r="L3214" s="181"/>
      <c r="M3214" s="181"/>
      <c r="N3214" s="181"/>
      <c r="O3214" s="181"/>
      <c r="P3214" s="181"/>
    </row>
    <row r="3215">
      <c r="B3215" s="292"/>
      <c r="C3215" s="181"/>
      <c r="D3215" s="181"/>
      <c r="E3215" s="181"/>
      <c r="F3215" s="181"/>
      <c r="G3215" s="181"/>
      <c r="H3215" s="181"/>
      <c r="I3215" s="181"/>
      <c r="J3215" s="181"/>
      <c r="K3215" s="181"/>
      <c r="L3215" s="181"/>
      <c r="M3215" s="181"/>
      <c r="N3215" s="181"/>
      <c r="O3215" s="181"/>
      <c r="P3215" s="181"/>
    </row>
    <row r="3216">
      <c r="B3216" s="292"/>
      <c r="C3216" s="181"/>
      <c r="D3216" s="181"/>
      <c r="E3216" s="181"/>
      <c r="F3216" s="181"/>
      <c r="G3216" s="181"/>
      <c r="H3216" s="181"/>
      <c r="I3216" s="181"/>
      <c r="J3216" s="181"/>
      <c r="K3216" s="181"/>
      <c r="L3216" s="181"/>
      <c r="M3216" s="181"/>
      <c r="N3216" s="181"/>
      <c r="O3216" s="181"/>
      <c r="P3216" s="181"/>
    </row>
    <row r="3217">
      <c r="B3217" s="292"/>
      <c r="C3217" s="181"/>
      <c r="D3217" s="181"/>
      <c r="E3217" s="181"/>
      <c r="F3217" s="181"/>
      <c r="G3217" s="181"/>
      <c r="H3217" s="181"/>
      <c r="I3217" s="181"/>
      <c r="J3217" s="181"/>
      <c r="K3217" s="181"/>
      <c r="L3217" s="181"/>
      <c r="M3217" s="181"/>
      <c r="N3217" s="181"/>
      <c r="O3217" s="181"/>
      <c r="P3217" s="181"/>
    </row>
    <row r="3218">
      <c r="B3218" s="292"/>
      <c r="C3218" s="181"/>
      <c r="D3218" s="181"/>
      <c r="E3218" s="181"/>
      <c r="F3218" s="181"/>
      <c r="G3218" s="181"/>
      <c r="H3218" s="181"/>
      <c r="I3218" s="181"/>
      <c r="J3218" s="181"/>
      <c r="K3218" s="181"/>
      <c r="L3218" s="181"/>
      <c r="M3218" s="181"/>
      <c r="N3218" s="181"/>
      <c r="O3218" s="181"/>
      <c r="P3218" s="181"/>
    </row>
    <row r="3219">
      <c r="B3219" s="292"/>
      <c r="C3219" s="181"/>
      <c r="D3219" s="181"/>
      <c r="E3219" s="181"/>
      <c r="F3219" s="181"/>
      <c r="G3219" s="181"/>
      <c r="H3219" s="181"/>
      <c r="I3219" s="181"/>
      <c r="J3219" s="181"/>
      <c r="K3219" s="181"/>
      <c r="L3219" s="181"/>
      <c r="M3219" s="181"/>
      <c r="N3219" s="181"/>
      <c r="O3219" s="181"/>
      <c r="P3219" s="181"/>
    </row>
    <row r="3220">
      <c r="B3220" s="292"/>
      <c r="C3220" s="181"/>
      <c r="D3220" s="181"/>
      <c r="E3220" s="181"/>
      <c r="F3220" s="181"/>
      <c r="G3220" s="181"/>
      <c r="H3220" s="181"/>
      <c r="I3220" s="181"/>
      <c r="J3220" s="181"/>
      <c r="K3220" s="181"/>
      <c r="L3220" s="181"/>
      <c r="M3220" s="181"/>
      <c r="N3220" s="181"/>
      <c r="O3220" s="181"/>
      <c r="P3220" s="181"/>
    </row>
    <row r="3221">
      <c r="B3221" s="292"/>
      <c r="C3221" s="181"/>
      <c r="D3221" s="181"/>
      <c r="E3221" s="181"/>
      <c r="F3221" s="181"/>
      <c r="G3221" s="181"/>
      <c r="H3221" s="181"/>
      <c r="I3221" s="181"/>
      <c r="J3221" s="181"/>
      <c r="K3221" s="181"/>
      <c r="L3221" s="181"/>
      <c r="M3221" s="181"/>
      <c r="N3221" s="181"/>
      <c r="O3221" s="181"/>
      <c r="P3221" s="181"/>
    </row>
    <row r="3222">
      <c r="B3222" s="292"/>
      <c r="C3222" s="181"/>
      <c r="D3222" s="181"/>
      <c r="E3222" s="181"/>
      <c r="F3222" s="181"/>
      <c r="G3222" s="181"/>
      <c r="H3222" s="181"/>
      <c r="I3222" s="181"/>
      <c r="J3222" s="181"/>
      <c r="K3222" s="181"/>
      <c r="L3222" s="181"/>
      <c r="M3222" s="181"/>
      <c r="N3222" s="181"/>
      <c r="O3222" s="181"/>
      <c r="P3222" s="181"/>
    </row>
    <row r="3223">
      <c r="B3223" s="292"/>
      <c r="C3223" s="181"/>
      <c r="D3223" s="181"/>
      <c r="E3223" s="181"/>
      <c r="F3223" s="181"/>
      <c r="G3223" s="181"/>
      <c r="H3223" s="181"/>
      <c r="I3223" s="181"/>
      <c r="J3223" s="181"/>
      <c r="K3223" s="181"/>
      <c r="L3223" s="181"/>
      <c r="M3223" s="181"/>
      <c r="N3223" s="181"/>
      <c r="O3223" s="181"/>
      <c r="P3223" s="181"/>
    </row>
    <row r="3224">
      <c r="B3224" s="292"/>
      <c r="C3224" s="181"/>
      <c r="D3224" s="181"/>
      <c r="E3224" s="181"/>
      <c r="F3224" s="181"/>
      <c r="G3224" s="181"/>
      <c r="H3224" s="181"/>
      <c r="I3224" s="181"/>
      <c r="J3224" s="181"/>
      <c r="K3224" s="181"/>
      <c r="L3224" s="181"/>
      <c r="M3224" s="181"/>
      <c r="N3224" s="181"/>
      <c r="O3224" s="181"/>
      <c r="P3224" s="181"/>
    </row>
    <row r="3225">
      <c r="B3225" s="292"/>
      <c r="C3225" s="181"/>
      <c r="D3225" s="181"/>
      <c r="E3225" s="181"/>
      <c r="F3225" s="181"/>
      <c r="G3225" s="181"/>
      <c r="H3225" s="181"/>
      <c r="I3225" s="181"/>
      <c r="J3225" s="181"/>
      <c r="K3225" s="181"/>
      <c r="L3225" s="181"/>
      <c r="M3225" s="181"/>
      <c r="N3225" s="181"/>
      <c r="O3225" s="181"/>
      <c r="P3225" s="181"/>
    </row>
    <row r="3226">
      <c r="B3226" s="292"/>
      <c r="C3226" s="181"/>
      <c r="D3226" s="181"/>
      <c r="E3226" s="181"/>
      <c r="F3226" s="181"/>
      <c r="G3226" s="181"/>
      <c r="H3226" s="181"/>
      <c r="I3226" s="181"/>
      <c r="J3226" s="181"/>
      <c r="K3226" s="181"/>
      <c r="L3226" s="181"/>
      <c r="M3226" s="181"/>
      <c r="N3226" s="181"/>
      <c r="O3226" s="181"/>
      <c r="P3226" s="181"/>
    </row>
    <row r="3227">
      <c r="B3227" s="292"/>
      <c r="C3227" s="181"/>
      <c r="D3227" s="181"/>
      <c r="E3227" s="181"/>
      <c r="F3227" s="181"/>
      <c r="G3227" s="181"/>
      <c r="H3227" s="181"/>
      <c r="I3227" s="181"/>
      <c r="J3227" s="181"/>
      <c r="K3227" s="181"/>
      <c r="L3227" s="181"/>
      <c r="M3227" s="181"/>
      <c r="N3227" s="181"/>
      <c r="O3227" s="181"/>
      <c r="P3227" s="181"/>
    </row>
    <row r="3228">
      <c r="B3228" s="292"/>
      <c r="C3228" s="181"/>
      <c r="D3228" s="181"/>
      <c r="E3228" s="181"/>
      <c r="F3228" s="181"/>
      <c r="G3228" s="181"/>
      <c r="H3228" s="181"/>
      <c r="I3228" s="181"/>
      <c r="J3228" s="181"/>
      <c r="K3228" s="181"/>
      <c r="L3228" s="181"/>
      <c r="M3228" s="181"/>
      <c r="N3228" s="181"/>
      <c r="O3228" s="181"/>
      <c r="P3228" s="181"/>
    </row>
    <row r="3229">
      <c r="B3229" s="292"/>
      <c r="C3229" s="181"/>
      <c r="D3229" s="181"/>
      <c r="E3229" s="181"/>
      <c r="F3229" s="181"/>
      <c r="G3229" s="181"/>
      <c r="H3229" s="181"/>
      <c r="I3229" s="181"/>
      <c r="J3229" s="181"/>
      <c r="K3229" s="181"/>
      <c r="L3229" s="181"/>
      <c r="M3229" s="181"/>
      <c r="N3229" s="181"/>
      <c r="O3229" s="181"/>
      <c r="P3229" s="181"/>
    </row>
    <row r="3230">
      <c r="B3230" s="292"/>
      <c r="C3230" s="181"/>
      <c r="D3230" s="181"/>
      <c r="E3230" s="181"/>
      <c r="F3230" s="181"/>
      <c r="G3230" s="181"/>
      <c r="H3230" s="181"/>
      <c r="I3230" s="181"/>
      <c r="J3230" s="181"/>
      <c r="K3230" s="181"/>
      <c r="L3230" s="181"/>
      <c r="M3230" s="181"/>
      <c r="N3230" s="181"/>
      <c r="O3230" s="181"/>
      <c r="P3230" s="181"/>
    </row>
    <row r="3231">
      <c r="B3231" s="292"/>
      <c r="C3231" s="181"/>
      <c r="D3231" s="181"/>
      <c r="E3231" s="181"/>
      <c r="F3231" s="181"/>
      <c r="G3231" s="181"/>
      <c r="H3231" s="181"/>
      <c r="I3231" s="181"/>
      <c r="J3231" s="181"/>
      <c r="K3231" s="181"/>
      <c r="L3231" s="181"/>
      <c r="M3231" s="181"/>
      <c r="N3231" s="181"/>
      <c r="O3231" s="181"/>
      <c r="P3231" s="181"/>
    </row>
    <row r="3232">
      <c r="B3232" s="292"/>
      <c r="C3232" s="181"/>
      <c r="D3232" s="181"/>
      <c r="E3232" s="181"/>
      <c r="F3232" s="181"/>
      <c r="G3232" s="181"/>
      <c r="H3232" s="181"/>
      <c r="I3232" s="181"/>
      <c r="J3232" s="181"/>
      <c r="K3232" s="181"/>
      <c r="L3232" s="181"/>
      <c r="M3232" s="181"/>
      <c r="N3232" s="181"/>
      <c r="O3232" s="181"/>
      <c r="P3232" s="181"/>
    </row>
    <row r="3233">
      <c r="B3233" s="292"/>
      <c r="C3233" s="181"/>
      <c r="D3233" s="181"/>
      <c r="E3233" s="181"/>
      <c r="F3233" s="181"/>
      <c r="G3233" s="181"/>
      <c r="H3233" s="181"/>
      <c r="I3233" s="181"/>
      <c r="J3233" s="181"/>
      <c r="K3233" s="181"/>
      <c r="L3233" s="181"/>
      <c r="M3233" s="181"/>
      <c r="N3233" s="181"/>
      <c r="O3233" s="181"/>
      <c r="P3233" s="181"/>
    </row>
    <row r="3234">
      <c r="B3234" s="292"/>
      <c r="C3234" s="181"/>
      <c r="D3234" s="181"/>
      <c r="E3234" s="181"/>
      <c r="F3234" s="181"/>
      <c r="G3234" s="181"/>
      <c r="H3234" s="181"/>
      <c r="I3234" s="181"/>
      <c r="J3234" s="181"/>
      <c r="K3234" s="181"/>
      <c r="L3234" s="181"/>
      <c r="M3234" s="181"/>
      <c r="N3234" s="181"/>
      <c r="O3234" s="181"/>
      <c r="P3234" s="181"/>
    </row>
    <row r="3235">
      <c r="B3235" s="292"/>
      <c r="C3235" s="181"/>
      <c r="D3235" s="181"/>
      <c r="E3235" s="181"/>
      <c r="F3235" s="181"/>
      <c r="G3235" s="181"/>
      <c r="H3235" s="181"/>
      <c r="I3235" s="181"/>
      <c r="J3235" s="181"/>
      <c r="K3235" s="181"/>
      <c r="L3235" s="181"/>
      <c r="M3235" s="181"/>
      <c r="N3235" s="181"/>
      <c r="O3235" s="181"/>
      <c r="P3235" s="181"/>
    </row>
    <row r="3236">
      <c r="B3236" s="292"/>
      <c r="C3236" s="181"/>
      <c r="D3236" s="181"/>
      <c r="E3236" s="181"/>
      <c r="F3236" s="181"/>
      <c r="G3236" s="181"/>
      <c r="H3236" s="181"/>
      <c r="I3236" s="181"/>
      <c r="J3236" s="181"/>
      <c r="K3236" s="181"/>
      <c r="L3236" s="181"/>
      <c r="M3236" s="181"/>
      <c r="N3236" s="181"/>
      <c r="O3236" s="181"/>
      <c r="P3236" s="181"/>
    </row>
    <row r="3237">
      <c r="B3237" s="292"/>
      <c r="C3237" s="181"/>
      <c r="D3237" s="181"/>
      <c r="E3237" s="181"/>
      <c r="F3237" s="181"/>
      <c r="G3237" s="181"/>
      <c r="H3237" s="181"/>
      <c r="I3237" s="181"/>
      <c r="J3237" s="181"/>
      <c r="K3237" s="181"/>
      <c r="L3237" s="181"/>
      <c r="M3237" s="181"/>
      <c r="N3237" s="181"/>
      <c r="O3237" s="181"/>
      <c r="P3237" s="181"/>
    </row>
    <row r="3238">
      <c r="B3238" s="292"/>
      <c r="C3238" s="181"/>
      <c r="D3238" s="181"/>
      <c r="E3238" s="181"/>
      <c r="F3238" s="181"/>
      <c r="G3238" s="181"/>
      <c r="H3238" s="181"/>
      <c r="I3238" s="181"/>
      <c r="J3238" s="181"/>
      <c r="K3238" s="181"/>
      <c r="L3238" s="181"/>
      <c r="M3238" s="181"/>
      <c r="N3238" s="181"/>
      <c r="O3238" s="181"/>
      <c r="P3238" s="181"/>
    </row>
    <row r="3239">
      <c r="B3239" s="292"/>
      <c r="C3239" s="181"/>
      <c r="D3239" s="181"/>
      <c r="E3239" s="181"/>
      <c r="F3239" s="181"/>
      <c r="G3239" s="181"/>
      <c r="H3239" s="181"/>
      <c r="I3239" s="181"/>
      <c r="J3239" s="181"/>
      <c r="K3239" s="181"/>
      <c r="L3239" s="181"/>
      <c r="M3239" s="181"/>
      <c r="N3239" s="181"/>
      <c r="O3239" s="181"/>
      <c r="P3239" s="181"/>
    </row>
    <row r="3240">
      <c r="B3240" s="292"/>
      <c r="C3240" s="181"/>
      <c r="D3240" s="181"/>
      <c r="E3240" s="181"/>
      <c r="F3240" s="181"/>
      <c r="G3240" s="181"/>
      <c r="H3240" s="181"/>
      <c r="I3240" s="181"/>
      <c r="J3240" s="181"/>
      <c r="K3240" s="181"/>
      <c r="L3240" s="181"/>
      <c r="M3240" s="181"/>
      <c r="N3240" s="181"/>
      <c r="O3240" s="181"/>
      <c r="P3240" s="181"/>
    </row>
    <row r="3241">
      <c r="B3241" s="292"/>
      <c r="C3241" s="181"/>
      <c r="D3241" s="181"/>
      <c r="E3241" s="181"/>
      <c r="F3241" s="181"/>
      <c r="G3241" s="181"/>
      <c r="H3241" s="181"/>
      <c r="I3241" s="181"/>
      <c r="J3241" s="181"/>
      <c r="K3241" s="181"/>
      <c r="L3241" s="181"/>
      <c r="M3241" s="181"/>
      <c r="N3241" s="181"/>
      <c r="O3241" s="181"/>
      <c r="P3241" s="181"/>
    </row>
    <row r="3242">
      <c r="B3242" s="292"/>
      <c r="C3242" s="181"/>
      <c r="D3242" s="181"/>
      <c r="E3242" s="181"/>
      <c r="F3242" s="181"/>
      <c r="G3242" s="181"/>
      <c r="H3242" s="181"/>
      <c r="I3242" s="181"/>
      <c r="J3242" s="181"/>
      <c r="K3242" s="181"/>
      <c r="L3242" s="181"/>
      <c r="M3242" s="181"/>
      <c r="N3242" s="181"/>
      <c r="O3242" s="181"/>
      <c r="P3242" s="181"/>
    </row>
    <row r="3243">
      <c r="B3243" s="292"/>
      <c r="C3243" s="181"/>
      <c r="D3243" s="181"/>
      <c r="E3243" s="181"/>
      <c r="F3243" s="181"/>
      <c r="G3243" s="181"/>
      <c r="H3243" s="181"/>
      <c r="I3243" s="181"/>
      <c r="J3243" s="181"/>
      <c r="K3243" s="181"/>
      <c r="L3243" s="181"/>
      <c r="M3243" s="181"/>
      <c r="N3243" s="181"/>
      <c r="O3243" s="181"/>
      <c r="P3243" s="181"/>
    </row>
    <row r="3244">
      <c r="B3244" s="292"/>
      <c r="C3244" s="181"/>
      <c r="D3244" s="181"/>
      <c r="E3244" s="181"/>
      <c r="F3244" s="181"/>
      <c r="G3244" s="181"/>
      <c r="H3244" s="181"/>
      <c r="I3244" s="181"/>
      <c r="J3244" s="181"/>
      <c r="K3244" s="181"/>
      <c r="L3244" s="181"/>
      <c r="M3244" s="181"/>
      <c r="N3244" s="181"/>
      <c r="O3244" s="181"/>
      <c r="P3244" s="181"/>
    </row>
    <row r="3245">
      <c r="B3245" s="292"/>
      <c r="C3245" s="181"/>
      <c r="D3245" s="181"/>
      <c r="E3245" s="181"/>
      <c r="F3245" s="181"/>
      <c r="G3245" s="181"/>
      <c r="H3245" s="181"/>
      <c r="I3245" s="181"/>
      <c r="J3245" s="181"/>
      <c r="K3245" s="181"/>
      <c r="L3245" s="181"/>
      <c r="M3245" s="181"/>
      <c r="N3245" s="181"/>
      <c r="O3245" s="181"/>
      <c r="P3245" s="181"/>
    </row>
    <row r="3246">
      <c r="B3246" s="292"/>
      <c r="C3246" s="181"/>
      <c r="D3246" s="181"/>
      <c r="E3246" s="181"/>
      <c r="F3246" s="181"/>
      <c r="G3246" s="181"/>
      <c r="H3246" s="181"/>
      <c r="I3246" s="181"/>
      <c r="J3246" s="181"/>
      <c r="K3246" s="181"/>
      <c r="L3246" s="181"/>
      <c r="M3246" s="181"/>
      <c r="N3246" s="181"/>
      <c r="O3246" s="181"/>
      <c r="P3246" s="181"/>
    </row>
    <row r="3247">
      <c r="B3247" s="292"/>
      <c r="C3247" s="181"/>
      <c r="D3247" s="181"/>
      <c r="E3247" s="181"/>
      <c r="F3247" s="181"/>
      <c r="G3247" s="181"/>
      <c r="H3247" s="181"/>
      <c r="I3247" s="181"/>
      <c r="J3247" s="181"/>
      <c r="K3247" s="181"/>
      <c r="L3247" s="181"/>
      <c r="M3247" s="181"/>
      <c r="N3247" s="181"/>
      <c r="O3247" s="181"/>
      <c r="P3247" s="181"/>
    </row>
    <row r="3248">
      <c r="B3248" s="292"/>
      <c r="C3248" s="181"/>
      <c r="D3248" s="181"/>
      <c r="E3248" s="181"/>
      <c r="F3248" s="181"/>
      <c r="G3248" s="181"/>
      <c r="H3248" s="181"/>
      <c r="I3248" s="181"/>
      <c r="J3248" s="181"/>
      <c r="K3248" s="181"/>
      <c r="L3248" s="181"/>
      <c r="M3248" s="181"/>
      <c r="N3248" s="181"/>
      <c r="O3248" s="181"/>
      <c r="P3248" s="181"/>
    </row>
    <row r="3249">
      <c r="B3249" s="292"/>
      <c r="C3249" s="181"/>
      <c r="D3249" s="181"/>
      <c r="E3249" s="181"/>
      <c r="F3249" s="181"/>
      <c r="G3249" s="181"/>
      <c r="H3249" s="181"/>
      <c r="I3249" s="181"/>
      <c r="J3249" s="181"/>
      <c r="K3249" s="181"/>
      <c r="L3249" s="181"/>
      <c r="M3249" s="181"/>
      <c r="N3249" s="181"/>
      <c r="O3249" s="181"/>
      <c r="P3249" s="181"/>
    </row>
    <row r="3250">
      <c r="B3250" s="292"/>
      <c r="C3250" s="181"/>
      <c r="D3250" s="181"/>
      <c r="E3250" s="181"/>
      <c r="F3250" s="181"/>
      <c r="G3250" s="181"/>
      <c r="H3250" s="181"/>
      <c r="I3250" s="181"/>
      <c r="J3250" s="181"/>
      <c r="K3250" s="181"/>
      <c r="L3250" s="181"/>
      <c r="M3250" s="181"/>
      <c r="N3250" s="181"/>
      <c r="O3250" s="181"/>
      <c r="P3250" s="181"/>
    </row>
    <row r="3251">
      <c r="B3251" s="292"/>
      <c r="C3251" s="181"/>
      <c r="D3251" s="181"/>
      <c r="E3251" s="181"/>
      <c r="F3251" s="181"/>
      <c r="G3251" s="181"/>
      <c r="H3251" s="181"/>
      <c r="I3251" s="181"/>
      <c r="J3251" s="181"/>
      <c r="K3251" s="181"/>
      <c r="L3251" s="181"/>
      <c r="M3251" s="181"/>
      <c r="N3251" s="181"/>
      <c r="O3251" s="181"/>
      <c r="P3251" s="181"/>
    </row>
    <row r="3252">
      <c r="B3252" s="292"/>
      <c r="C3252" s="181"/>
      <c r="D3252" s="181"/>
      <c r="E3252" s="181"/>
      <c r="F3252" s="181"/>
      <c r="G3252" s="181"/>
      <c r="H3252" s="181"/>
      <c r="I3252" s="181"/>
      <c r="J3252" s="181"/>
      <c r="K3252" s="181"/>
      <c r="L3252" s="181"/>
      <c r="M3252" s="181"/>
      <c r="N3252" s="181"/>
      <c r="O3252" s="181"/>
      <c r="P3252" s="181"/>
    </row>
    <row r="3253">
      <c r="B3253" s="292"/>
      <c r="C3253" s="181"/>
      <c r="D3253" s="181"/>
      <c r="E3253" s="181"/>
      <c r="F3253" s="181"/>
      <c r="G3253" s="181"/>
      <c r="H3253" s="181"/>
      <c r="I3253" s="181"/>
      <c r="J3253" s="181"/>
      <c r="K3253" s="181"/>
      <c r="L3253" s="181"/>
      <c r="M3253" s="181"/>
      <c r="N3253" s="181"/>
      <c r="O3253" s="181"/>
      <c r="P3253" s="181"/>
    </row>
    <row r="3254">
      <c r="B3254" s="292"/>
      <c r="C3254" s="181"/>
      <c r="D3254" s="181"/>
      <c r="E3254" s="181"/>
      <c r="F3254" s="181"/>
      <c r="G3254" s="181"/>
      <c r="H3254" s="181"/>
      <c r="I3254" s="181"/>
      <c r="J3254" s="181"/>
      <c r="K3254" s="181"/>
      <c r="L3254" s="181"/>
      <c r="M3254" s="181"/>
      <c r="N3254" s="181"/>
      <c r="O3254" s="181"/>
      <c r="P3254" s="181"/>
    </row>
    <row r="3255">
      <c r="B3255" s="292"/>
      <c r="C3255" s="181"/>
      <c r="D3255" s="181"/>
      <c r="E3255" s="181"/>
      <c r="F3255" s="181"/>
      <c r="G3255" s="181"/>
      <c r="H3255" s="181"/>
      <c r="I3255" s="181"/>
      <c r="J3255" s="181"/>
      <c r="K3255" s="181"/>
      <c r="L3255" s="181"/>
      <c r="M3255" s="181"/>
      <c r="N3255" s="181"/>
      <c r="O3255" s="181"/>
      <c r="P3255" s="181"/>
    </row>
    <row r="3256">
      <c r="B3256" s="292"/>
      <c r="C3256" s="181"/>
      <c r="D3256" s="181"/>
      <c r="E3256" s="181"/>
      <c r="F3256" s="181"/>
      <c r="G3256" s="181"/>
      <c r="H3256" s="181"/>
      <c r="I3256" s="181"/>
      <c r="J3256" s="181"/>
      <c r="K3256" s="181"/>
      <c r="L3256" s="181"/>
      <c r="M3256" s="181"/>
      <c r="N3256" s="181"/>
      <c r="O3256" s="181"/>
      <c r="P3256" s="181"/>
    </row>
    <row r="3257">
      <c r="B3257" s="292"/>
      <c r="C3257" s="181"/>
      <c r="D3257" s="181"/>
      <c r="E3257" s="181"/>
      <c r="F3257" s="181"/>
      <c r="G3257" s="181"/>
      <c r="H3257" s="181"/>
      <c r="I3257" s="181"/>
      <c r="J3257" s="181"/>
      <c r="K3257" s="181"/>
      <c r="L3257" s="181"/>
      <c r="M3257" s="181"/>
      <c r="N3257" s="181"/>
      <c r="O3257" s="181"/>
      <c r="P3257" s="181"/>
    </row>
    <row r="3258">
      <c r="B3258" s="292"/>
      <c r="C3258" s="181"/>
      <c r="D3258" s="181"/>
      <c r="E3258" s="181"/>
      <c r="F3258" s="181"/>
      <c r="G3258" s="181"/>
      <c r="H3258" s="181"/>
      <c r="I3258" s="181"/>
      <c r="J3258" s="181"/>
      <c r="K3258" s="181"/>
      <c r="L3258" s="181"/>
      <c r="M3258" s="181"/>
      <c r="N3258" s="181"/>
      <c r="O3258" s="181"/>
      <c r="P3258" s="181"/>
    </row>
    <row r="3259">
      <c r="B3259" s="292"/>
      <c r="C3259" s="181"/>
      <c r="D3259" s="181"/>
      <c r="E3259" s="181"/>
      <c r="F3259" s="181"/>
      <c r="G3259" s="181"/>
      <c r="H3259" s="181"/>
      <c r="I3259" s="181"/>
      <c r="J3259" s="181"/>
      <c r="K3259" s="181"/>
      <c r="L3259" s="181"/>
      <c r="M3259" s="181"/>
      <c r="N3259" s="181"/>
      <c r="O3259" s="181"/>
      <c r="P3259" s="181"/>
    </row>
    <row r="3260">
      <c r="B3260" s="292"/>
      <c r="C3260" s="181"/>
      <c r="D3260" s="181"/>
      <c r="E3260" s="181"/>
      <c r="F3260" s="181"/>
      <c r="G3260" s="181"/>
      <c r="H3260" s="181"/>
      <c r="I3260" s="181"/>
      <c r="J3260" s="181"/>
      <c r="K3260" s="181"/>
      <c r="L3260" s="181"/>
      <c r="M3260" s="181"/>
      <c r="N3260" s="181"/>
      <c r="O3260" s="181"/>
      <c r="P3260" s="181"/>
    </row>
    <row r="3261">
      <c r="B3261" s="292"/>
      <c r="C3261" s="181"/>
      <c r="D3261" s="181"/>
      <c r="E3261" s="181"/>
      <c r="F3261" s="181"/>
      <c r="G3261" s="181"/>
      <c r="H3261" s="181"/>
      <c r="I3261" s="181"/>
      <c r="J3261" s="181"/>
      <c r="K3261" s="181"/>
      <c r="L3261" s="181"/>
      <c r="M3261" s="181"/>
      <c r="N3261" s="181"/>
      <c r="O3261" s="181"/>
      <c r="P3261" s="181"/>
    </row>
    <row r="3262">
      <c r="B3262" s="292"/>
      <c r="C3262" s="181"/>
      <c r="D3262" s="181"/>
      <c r="E3262" s="181"/>
      <c r="F3262" s="181"/>
      <c r="G3262" s="181"/>
      <c r="H3262" s="181"/>
      <c r="I3262" s="181"/>
      <c r="J3262" s="181"/>
      <c r="K3262" s="181"/>
      <c r="L3262" s="181"/>
      <c r="M3262" s="181"/>
      <c r="N3262" s="181"/>
      <c r="O3262" s="181"/>
      <c r="P3262" s="181"/>
    </row>
    <row r="3263">
      <c r="B3263" s="292"/>
      <c r="C3263" s="181"/>
      <c r="D3263" s="181"/>
      <c r="E3263" s="181"/>
      <c r="F3263" s="181"/>
      <c r="G3263" s="181"/>
      <c r="H3263" s="181"/>
      <c r="I3263" s="181"/>
      <c r="J3263" s="181"/>
      <c r="K3263" s="181"/>
      <c r="L3263" s="181"/>
      <c r="M3263" s="181"/>
      <c r="N3263" s="181"/>
      <c r="O3263" s="181"/>
      <c r="P3263" s="181"/>
    </row>
    <row r="3264">
      <c r="B3264" s="292"/>
      <c r="C3264" s="181"/>
      <c r="D3264" s="181"/>
      <c r="E3264" s="181"/>
      <c r="F3264" s="181"/>
      <c r="G3264" s="181"/>
      <c r="H3264" s="181"/>
      <c r="I3264" s="181"/>
      <c r="J3264" s="181"/>
      <c r="K3264" s="181"/>
      <c r="L3264" s="181"/>
      <c r="M3264" s="181"/>
      <c r="N3264" s="181"/>
      <c r="O3264" s="181"/>
      <c r="P3264" s="181"/>
    </row>
    <row r="3265">
      <c r="B3265" s="292"/>
      <c r="C3265" s="181"/>
      <c r="D3265" s="181"/>
      <c r="E3265" s="181"/>
      <c r="F3265" s="181"/>
      <c r="G3265" s="181"/>
      <c r="H3265" s="181"/>
      <c r="I3265" s="181"/>
      <c r="J3265" s="181"/>
      <c r="K3265" s="181"/>
      <c r="L3265" s="181"/>
      <c r="M3265" s="181"/>
      <c r="N3265" s="181"/>
      <c r="O3265" s="181"/>
      <c r="P3265" s="181"/>
    </row>
    <row r="3266">
      <c r="B3266" s="292"/>
      <c r="C3266" s="181"/>
      <c r="D3266" s="181"/>
      <c r="E3266" s="181"/>
      <c r="F3266" s="181"/>
      <c r="G3266" s="181"/>
      <c r="H3266" s="181"/>
      <c r="I3266" s="181"/>
      <c r="J3266" s="181"/>
      <c r="K3266" s="181"/>
      <c r="L3266" s="181"/>
      <c r="M3266" s="181"/>
      <c r="N3266" s="181"/>
      <c r="O3266" s="181"/>
      <c r="P3266" s="181"/>
    </row>
    <row r="3267">
      <c r="B3267" s="292"/>
      <c r="C3267" s="181"/>
      <c r="D3267" s="181"/>
      <c r="E3267" s="181"/>
      <c r="F3267" s="181"/>
      <c r="G3267" s="181"/>
      <c r="H3267" s="181"/>
      <c r="I3267" s="181"/>
      <c r="J3267" s="181"/>
      <c r="K3267" s="181"/>
      <c r="L3267" s="181"/>
      <c r="M3267" s="181"/>
      <c r="N3267" s="181"/>
      <c r="O3267" s="181"/>
      <c r="P3267" s="181"/>
    </row>
    <row r="3268">
      <c r="B3268" s="292"/>
      <c r="C3268" s="181"/>
      <c r="D3268" s="181"/>
      <c r="E3268" s="181"/>
      <c r="F3268" s="181"/>
      <c r="G3268" s="181"/>
      <c r="H3268" s="181"/>
      <c r="I3268" s="181"/>
      <c r="J3268" s="181"/>
      <c r="K3268" s="181"/>
      <c r="L3268" s="181"/>
      <c r="M3268" s="181"/>
      <c r="N3268" s="181"/>
      <c r="O3268" s="181"/>
      <c r="P3268" s="181"/>
    </row>
    <row r="3269">
      <c r="B3269" s="292"/>
      <c r="C3269" s="181"/>
      <c r="D3269" s="181"/>
      <c r="E3269" s="181"/>
      <c r="F3269" s="181"/>
      <c r="G3269" s="181"/>
      <c r="H3269" s="181"/>
      <c r="I3269" s="181"/>
      <c r="J3269" s="181"/>
      <c r="K3269" s="181"/>
      <c r="L3269" s="181"/>
      <c r="M3269" s="181"/>
      <c r="N3269" s="181"/>
      <c r="O3269" s="181"/>
      <c r="P3269" s="181"/>
    </row>
    <row r="3270">
      <c r="B3270" s="292"/>
      <c r="C3270" s="181"/>
      <c r="D3270" s="181"/>
      <c r="E3270" s="181"/>
      <c r="F3270" s="181"/>
      <c r="G3270" s="181"/>
      <c r="H3270" s="181"/>
      <c r="I3270" s="181"/>
      <c r="J3270" s="181"/>
      <c r="K3270" s="181"/>
      <c r="L3270" s="181"/>
      <c r="M3270" s="181"/>
      <c r="N3270" s="181"/>
      <c r="O3270" s="181"/>
      <c r="P3270" s="181"/>
    </row>
    <row r="3271">
      <c r="B3271" s="292"/>
      <c r="C3271" s="181"/>
      <c r="D3271" s="181"/>
      <c r="E3271" s="181"/>
      <c r="F3271" s="181"/>
      <c r="G3271" s="181"/>
      <c r="H3271" s="181"/>
      <c r="I3271" s="181"/>
      <c r="J3271" s="181"/>
      <c r="K3271" s="181"/>
      <c r="L3271" s="181"/>
      <c r="M3271" s="181"/>
      <c r="N3271" s="181"/>
      <c r="O3271" s="181"/>
      <c r="P3271" s="181"/>
    </row>
    <row r="3272">
      <c r="B3272" s="292"/>
      <c r="C3272" s="181"/>
      <c r="D3272" s="181"/>
      <c r="E3272" s="181"/>
      <c r="F3272" s="181"/>
      <c r="G3272" s="181"/>
      <c r="H3272" s="181"/>
      <c r="I3272" s="181"/>
      <c r="J3272" s="181"/>
      <c r="K3272" s="181"/>
      <c r="L3272" s="181"/>
      <c r="M3272" s="181"/>
      <c r="N3272" s="181"/>
      <c r="O3272" s="181"/>
      <c r="P3272" s="181"/>
    </row>
    <row r="3273">
      <c r="B3273" s="292"/>
      <c r="C3273" s="181"/>
      <c r="D3273" s="181"/>
      <c r="E3273" s="181"/>
      <c r="F3273" s="181"/>
      <c r="G3273" s="181"/>
      <c r="H3273" s="181"/>
      <c r="I3273" s="181"/>
      <c r="J3273" s="181"/>
      <c r="K3273" s="181"/>
      <c r="L3273" s="181"/>
      <c r="M3273" s="181"/>
      <c r="N3273" s="181"/>
      <c r="O3273" s="181"/>
      <c r="P3273" s="181"/>
    </row>
    <row r="3274">
      <c r="B3274" s="292"/>
      <c r="C3274" s="181"/>
      <c r="D3274" s="181"/>
      <c r="E3274" s="181"/>
      <c r="F3274" s="181"/>
      <c r="G3274" s="181"/>
      <c r="H3274" s="181"/>
      <c r="I3274" s="181"/>
      <c r="J3274" s="181"/>
      <c r="K3274" s="181"/>
      <c r="L3274" s="181"/>
      <c r="M3274" s="181"/>
      <c r="N3274" s="181"/>
      <c r="O3274" s="181"/>
      <c r="P3274" s="181"/>
    </row>
    <row r="3275">
      <c r="B3275" s="292"/>
      <c r="C3275" s="181"/>
      <c r="D3275" s="181"/>
      <c r="E3275" s="181"/>
      <c r="F3275" s="181"/>
      <c r="G3275" s="181"/>
      <c r="H3275" s="181"/>
      <c r="I3275" s="181"/>
      <c r="J3275" s="181"/>
      <c r="K3275" s="181"/>
      <c r="L3275" s="181"/>
      <c r="M3275" s="181"/>
      <c r="N3275" s="181"/>
      <c r="O3275" s="181"/>
      <c r="P3275" s="181"/>
    </row>
    <row r="3276">
      <c r="B3276" s="292"/>
      <c r="C3276" s="181"/>
      <c r="D3276" s="181"/>
      <c r="E3276" s="181"/>
      <c r="F3276" s="181"/>
      <c r="G3276" s="181"/>
      <c r="H3276" s="181"/>
      <c r="I3276" s="181"/>
      <c r="J3276" s="181"/>
      <c r="K3276" s="181"/>
      <c r="L3276" s="181"/>
      <c r="M3276" s="181"/>
      <c r="N3276" s="181"/>
      <c r="O3276" s="181"/>
      <c r="P3276" s="181"/>
    </row>
    <row r="3277">
      <c r="B3277" s="292"/>
      <c r="C3277" s="181"/>
      <c r="D3277" s="181"/>
      <c r="E3277" s="181"/>
      <c r="F3277" s="181"/>
      <c r="G3277" s="181"/>
      <c r="H3277" s="181"/>
      <c r="I3277" s="181"/>
      <c r="J3277" s="181"/>
      <c r="K3277" s="181"/>
      <c r="L3277" s="181"/>
      <c r="M3277" s="181"/>
      <c r="N3277" s="181"/>
      <c r="O3277" s="181"/>
      <c r="P3277" s="181"/>
    </row>
    <row r="3278">
      <c r="B3278" s="292"/>
      <c r="C3278" s="181"/>
      <c r="D3278" s="181"/>
      <c r="E3278" s="181"/>
      <c r="F3278" s="181"/>
      <c r="G3278" s="181"/>
      <c r="H3278" s="181"/>
      <c r="I3278" s="181"/>
      <c r="J3278" s="181"/>
      <c r="K3278" s="181"/>
      <c r="L3278" s="181"/>
      <c r="M3278" s="181"/>
      <c r="N3278" s="181"/>
      <c r="O3278" s="181"/>
      <c r="P3278" s="181"/>
    </row>
    <row r="3279">
      <c r="B3279" s="292"/>
      <c r="C3279" s="181"/>
      <c r="D3279" s="181"/>
      <c r="E3279" s="181"/>
      <c r="F3279" s="181"/>
      <c r="G3279" s="181"/>
      <c r="H3279" s="181"/>
      <c r="I3279" s="181"/>
      <c r="J3279" s="181"/>
      <c r="K3279" s="181"/>
      <c r="L3279" s="181"/>
      <c r="M3279" s="181"/>
      <c r="N3279" s="181"/>
      <c r="O3279" s="181"/>
      <c r="P3279" s="181"/>
    </row>
    <row r="3280">
      <c r="B3280" s="292"/>
      <c r="C3280" s="181"/>
      <c r="D3280" s="181"/>
      <c r="E3280" s="181"/>
      <c r="F3280" s="181"/>
      <c r="G3280" s="181"/>
      <c r="H3280" s="181"/>
      <c r="I3280" s="181"/>
      <c r="J3280" s="181"/>
      <c r="K3280" s="181"/>
      <c r="L3280" s="181"/>
      <c r="M3280" s="181"/>
      <c r="N3280" s="181"/>
      <c r="O3280" s="181"/>
      <c r="P3280" s="181"/>
    </row>
    <row r="3281">
      <c r="B3281" s="292"/>
      <c r="C3281" s="181"/>
      <c r="D3281" s="181"/>
      <c r="E3281" s="181"/>
      <c r="F3281" s="181"/>
      <c r="G3281" s="181"/>
      <c r="H3281" s="181"/>
      <c r="I3281" s="181"/>
      <c r="J3281" s="181"/>
      <c r="K3281" s="181"/>
      <c r="L3281" s="181"/>
      <c r="M3281" s="181"/>
      <c r="N3281" s="181"/>
      <c r="O3281" s="181"/>
      <c r="P3281" s="181"/>
    </row>
    <row r="3282">
      <c r="B3282" s="292"/>
      <c r="C3282" s="181"/>
      <c r="D3282" s="181"/>
      <c r="E3282" s="181"/>
      <c r="F3282" s="181"/>
      <c r="G3282" s="181"/>
      <c r="H3282" s="181"/>
      <c r="I3282" s="181"/>
      <c r="J3282" s="181"/>
      <c r="K3282" s="181"/>
      <c r="L3282" s="181"/>
      <c r="M3282" s="181"/>
      <c r="N3282" s="181"/>
      <c r="O3282" s="181"/>
      <c r="P3282" s="181"/>
    </row>
    <row r="3283">
      <c r="B3283" s="292"/>
      <c r="C3283" s="181"/>
      <c r="D3283" s="181"/>
      <c r="E3283" s="181"/>
      <c r="F3283" s="181"/>
      <c r="G3283" s="181"/>
      <c r="H3283" s="181"/>
      <c r="I3283" s="181"/>
      <c r="J3283" s="181"/>
      <c r="K3283" s="181"/>
      <c r="L3283" s="181"/>
      <c r="M3283" s="181"/>
      <c r="N3283" s="181"/>
      <c r="O3283" s="181"/>
      <c r="P3283" s="181"/>
    </row>
    <row r="3284">
      <c r="B3284" s="292"/>
      <c r="C3284" s="181"/>
      <c r="D3284" s="181"/>
      <c r="E3284" s="181"/>
      <c r="F3284" s="181"/>
      <c r="G3284" s="181"/>
      <c r="H3284" s="181"/>
      <c r="I3284" s="181"/>
      <c r="J3284" s="181"/>
      <c r="K3284" s="181"/>
      <c r="L3284" s="181"/>
      <c r="M3284" s="181"/>
      <c r="N3284" s="181"/>
      <c r="O3284" s="181"/>
      <c r="P3284" s="181"/>
    </row>
    <row r="3285">
      <c r="B3285" s="292"/>
      <c r="C3285" s="181"/>
      <c r="D3285" s="181"/>
      <c r="E3285" s="181"/>
      <c r="F3285" s="181"/>
      <c r="G3285" s="181"/>
      <c r="H3285" s="181"/>
      <c r="I3285" s="181"/>
      <c r="J3285" s="181"/>
      <c r="K3285" s="181"/>
      <c r="L3285" s="181"/>
      <c r="M3285" s="181"/>
      <c r="N3285" s="181"/>
      <c r="O3285" s="181"/>
      <c r="P3285" s="181"/>
    </row>
    <row r="3286">
      <c r="B3286" s="292"/>
      <c r="C3286" s="181"/>
      <c r="D3286" s="181"/>
      <c r="E3286" s="181"/>
      <c r="F3286" s="181"/>
      <c r="G3286" s="181"/>
      <c r="H3286" s="181"/>
      <c r="I3286" s="181"/>
      <c r="J3286" s="181"/>
      <c r="K3286" s="181"/>
      <c r="L3286" s="181"/>
      <c r="M3286" s="181"/>
      <c r="N3286" s="181"/>
      <c r="O3286" s="181"/>
      <c r="P3286" s="181"/>
    </row>
    <row r="3287">
      <c r="B3287" s="292"/>
      <c r="C3287" s="181"/>
      <c r="D3287" s="181"/>
      <c r="E3287" s="181"/>
      <c r="F3287" s="181"/>
      <c r="G3287" s="181"/>
      <c r="H3287" s="181"/>
      <c r="I3287" s="181"/>
      <c r="J3287" s="181"/>
      <c r="K3287" s="181"/>
      <c r="L3287" s="181"/>
      <c r="M3287" s="181"/>
      <c r="N3287" s="181"/>
      <c r="O3287" s="181"/>
      <c r="P3287" s="181"/>
    </row>
    <row r="3288">
      <c r="B3288" s="292"/>
      <c r="C3288" s="181"/>
      <c r="D3288" s="181"/>
      <c r="E3288" s="181"/>
      <c r="F3288" s="181"/>
      <c r="G3288" s="181"/>
      <c r="H3288" s="181"/>
      <c r="I3288" s="181"/>
      <c r="J3288" s="181"/>
      <c r="K3288" s="181"/>
      <c r="L3288" s="181"/>
      <c r="M3288" s="181"/>
      <c r="N3288" s="181"/>
      <c r="O3288" s="181"/>
      <c r="P3288" s="181"/>
    </row>
    <row r="3289">
      <c r="B3289" s="292"/>
      <c r="C3289" s="181"/>
      <c r="D3289" s="181"/>
      <c r="E3289" s="181"/>
      <c r="F3289" s="181"/>
      <c r="G3289" s="181"/>
      <c r="H3289" s="181"/>
      <c r="I3289" s="181"/>
      <c r="J3289" s="181"/>
      <c r="K3289" s="181"/>
      <c r="L3289" s="181"/>
      <c r="M3289" s="181"/>
      <c r="N3289" s="181"/>
      <c r="O3289" s="181"/>
      <c r="P3289" s="181"/>
    </row>
    <row r="3290">
      <c r="B3290" s="292"/>
      <c r="C3290" s="181"/>
      <c r="D3290" s="181"/>
      <c r="E3290" s="181"/>
      <c r="F3290" s="181"/>
      <c r="G3290" s="181"/>
      <c r="H3290" s="181"/>
      <c r="I3290" s="181"/>
      <c r="J3290" s="181"/>
      <c r="K3290" s="181"/>
      <c r="L3290" s="181"/>
      <c r="M3290" s="181"/>
      <c r="N3290" s="181"/>
      <c r="O3290" s="181"/>
      <c r="P3290" s="181"/>
    </row>
    <row r="3291">
      <c r="B3291" s="292"/>
      <c r="C3291" s="181"/>
      <c r="D3291" s="181"/>
      <c r="E3291" s="181"/>
      <c r="F3291" s="181"/>
      <c r="G3291" s="181"/>
      <c r="H3291" s="181"/>
      <c r="I3291" s="181"/>
      <c r="J3291" s="181"/>
      <c r="K3291" s="181"/>
      <c r="L3291" s="181"/>
      <c r="M3291" s="181"/>
      <c r="N3291" s="181"/>
      <c r="O3291" s="181"/>
      <c r="P3291" s="181"/>
    </row>
    <row r="3292">
      <c r="B3292" s="292"/>
      <c r="C3292" s="181"/>
      <c r="D3292" s="181"/>
      <c r="E3292" s="181"/>
      <c r="F3292" s="181"/>
      <c r="G3292" s="181"/>
      <c r="H3292" s="181"/>
      <c r="I3292" s="181"/>
      <c r="J3292" s="181"/>
      <c r="K3292" s="181"/>
      <c r="L3292" s="181"/>
      <c r="M3292" s="181"/>
      <c r="N3292" s="181"/>
      <c r="O3292" s="181"/>
      <c r="P3292" s="181"/>
    </row>
    <row r="3293">
      <c r="B3293" s="292"/>
      <c r="C3293" s="181"/>
      <c r="D3293" s="181"/>
      <c r="E3293" s="181"/>
      <c r="F3293" s="181"/>
      <c r="G3293" s="181"/>
      <c r="H3293" s="181"/>
      <c r="I3293" s="181"/>
      <c r="J3293" s="181"/>
      <c r="K3293" s="181"/>
      <c r="L3293" s="181"/>
      <c r="M3293" s="181"/>
      <c r="N3293" s="181"/>
      <c r="O3293" s="181"/>
      <c r="P3293" s="181"/>
    </row>
    <row r="3294">
      <c r="B3294" s="292"/>
      <c r="C3294" s="181"/>
      <c r="D3294" s="181"/>
      <c r="E3294" s="181"/>
      <c r="F3294" s="181"/>
      <c r="G3294" s="181"/>
      <c r="H3294" s="181"/>
      <c r="I3294" s="181"/>
      <c r="J3294" s="181"/>
      <c r="K3294" s="181"/>
      <c r="L3294" s="181"/>
      <c r="M3294" s="181"/>
      <c r="N3294" s="181"/>
      <c r="O3294" s="181"/>
      <c r="P3294" s="181"/>
    </row>
    <row r="3295">
      <c r="B3295" s="292"/>
      <c r="C3295" s="181"/>
      <c r="D3295" s="181"/>
      <c r="E3295" s="181"/>
      <c r="F3295" s="181"/>
      <c r="G3295" s="181"/>
      <c r="H3295" s="181"/>
      <c r="I3295" s="181"/>
      <c r="J3295" s="181"/>
      <c r="K3295" s="181"/>
      <c r="L3295" s="181"/>
      <c r="M3295" s="181"/>
      <c r="N3295" s="181"/>
      <c r="O3295" s="181"/>
      <c r="P3295" s="181"/>
    </row>
    <row r="3296">
      <c r="B3296" s="292"/>
      <c r="C3296" s="181"/>
      <c r="D3296" s="181"/>
      <c r="E3296" s="181"/>
      <c r="F3296" s="181"/>
      <c r="G3296" s="181"/>
      <c r="H3296" s="181"/>
      <c r="I3296" s="181"/>
      <c r="J3296" s="181"/>
      <c r="K3296" s="181"/>
      <c r="L3296" s="181"/>
      <c r="M3296" s="181"/>
      <c r="N3296" s="181"/>
      <c r="O3296" s="181"/>
      <c r="P3296" s="181"/>
    </row>
    <row r="3297">
      <c r="B3297" s="292"/>
      <c r="C3297" s="181"/>
      <c r="D3297" s="181"/>
      <c r="E3297" s="181"/>
      <c r="F3297" s="181"/>
      <c r="G3297" s="181"/>
      <c r="H3297" s="181"/>
      <c r="I3297" s="181"/>
      <c r="J3297" s="181"/>
      <c r="K3297" s="181"/>
      <c r="L3297" s="181"/>
      <c r="M3297" s="181"/>
      <c r="N3297" s="181"/>
      <c r="O3297" s="181"/>
      <c r="P3297" s="181"/>
    </row>
    <row r="3298">
      <c r="B3298" s="292"/>
      <c r="C3298" s="181"/>
      <c r="D3298" s="181"/>
      <c r="E3298" s="181"/>
      <c r="F3298" s="181"/>
      <c r="G3298" s="181"/>
      <c r="H3298" s="181"/>
      <c r="I3298" s="181"/>
      <c r="J3298" s="181"/>
      <c r="K3298" s="181"/>
      <c r="L3298" s="181"/>
      <c r="M3298" s="181"/>
      <c r="N3298" s="181"/>
      <c r="O3298" s="181"/>
      <c r="P3298" s="181"/>
    </row>
    <row r="3299">
      <c r="B3299" s="292"/>
      <c r="C3299" s="181"/>
      <c r="D3299" s="181"/>
      <c r="E3299" s="181"/>
      <c r="F3299" s="181"/>
      <c r="G3299" s="181"/>
      <c r="H3299" s="181"/>
      <c r="I3299" s="181"/>
      <c r="J3299" s="181"/>
      <c r="K3299" s="181"/>
      <c r="L3299" s="181"/>
      <c r="M3299" s="181"/>
      <c r="N3299" s="181"/>
      <c r="O3299" s="181"/>
      <c r="P3299" s="181"/>
    </row>
    <row r="3300">
      <c r="B3300" s="292"/>
      <c r="C3300" s="181"/>
      <c r="D3300" s="181"/>
      <c r="E3300" s="181"/>
      <c r="F3300" s="181"/>
      <c r="G3300" s="181"/>
      <c r="H3300" s="181"/>
      <c r="I3300" s="181"/>
      <c r="J3300" s="181"/>
      <c r="K3300" s="181"/>
      <c r="L3300" s="181"/>
      <c r="M3300" s="181"/>
      <c r="N3300" s="181"/>
      <c r="O3300" s="181"/>
      <c r="P3300" s="181"/>
    </row>
    <row r="3301">
      <c r="B3301" s="292"/>
      <c r="C3301" s="181"/>
      <c r="D3301" s="181"/>
      <c r="E3301" s="181"/>
      <c r="F3301" s="181"/>
      <c r="G3301" s="181"/>
      <c r="H3301" s="181"/>
      <c r="I3301" s="181"/>
      <c r="J3301" s="181"/>
      <c r="K3301" s="181"/>
      <c r="L3301" s="181"/>
      <c r="M3301" s="181"/>
      <c r="N3301" s="181"/>
      <c r="O3301" s="181"/>
      <c r="P3301" s="181"/>
    </row>
    <row r="3302">
      <c r="B3302" s="292"/>
      <c r="C3302" s="181"/>
      <c r="D3302" s="181"/>
      <c r="E3302" s="181"/>
      <c r="F3302" s="181"/>
      <c r="G3302" s="181"/>
      <c r="H3302" s="181"/>
      <c r="I3302" s="181"/>
      <c r="J3302" s="181"/>
      <c r="K3302" s="181"/>
      <c r="L3302" s="181"/>
      <c r="M3302" s="181"/>
      <c r="N3302" s="181"/>
      <c r="O3302" s="181"/>
      <c r="P3302" s="181"/>
    </row>
    <row r="3303">
      <c r="B3303" s="292"/>
      <c r="C3303" s="181"/>
      <c r="D3303" s="181"/>
      <c r="E3303" s="181"/>
      <c r="F3303" s="181"/>
      <c r="G3303" s="181"/>
      <c r="H3303" s="181"/>
      <c r="I3303" s="181"/>
      <c r="J3303" s="181"/>
      <c r="K3303" s="181"/>
      <c r="L3303" s="181"/>
      <c r="M3303" s="181"/>
      <c r="N3303" s="181"/>
      <c r="O3303" s="181"/>
      <c r="P3303" s="181"/>
    </row>
    <row r="3304">
      <c r="B3304" s="292"/>
      <c r="C3304" s="181"/>
      <c r="D3304" s="181"/>
      <c r="E3304" s="181"/>
      <c r="F3304" s="181"/>
      <c r="G3304" s="181"/>
      <c r="H3304" s="181"/>
      <c r="I3304" s="181"/>
      <c r="J3304" s="181"/>
      <c r="K3304" s="181"/>
      <c r="L3304" s="181"/>
      <c r="M3304" s="181"/>
      <c r="N3304" s="181"/>
      <c r="O3304" s="181"/>
      <c r="P3304" s="181"/>
    </row>
    <row r="3305">
      <c r="B3305" s="292"/>
      <c r="C3305" s="181"/>
      <c r="D3305" s="181"/>
      <c r="E3305" s="181"/>
      <c r="F3305" s="181"/>
      <c r="G3305" s="181"/>
      <c r="H3305" s="181"/>
      <c r="I3305" s="181"/>
      <c r="J3305" s="181"/>
      <c r="K3305" s="181"/>
      <c r="L3305" s="181"/>
      <c r="M3305" s="181"/>
      <c r="N3305" s="181"/>
      <c r="O3305" s="181"/>
      <c r="P3305" s="181"/>
    </row>
    <row r="3306">
      <c r="B3306" s="292"/>
      <c r="C3306" s="181"/>
      <c r="D3306" s="181"/>
      <c r="E3306" s="181"/>
      <c r="F3306" s="181"/>
      <c r="G3306" s="181"/>
      <c r="H3306" s="181"/>
      <c r="I3306" s="181"/>
      <c r="J3306" s="181"/>
      <c r="K3306" s="181"/>
      <c r="L3306" s="181"/>
      <c r="M3306" s="181"/>
      <c r="N3306" s="181"/>
      <c r="O3306" s="181"/>
      <c r="P3306" s="181"/>
    </row>
    <row r="3307">
      <c r="B3307" s="292"/>
      <c r="C3307" s="181"/>
      <c r="D3307" s="181"/>
      <c r="E3307" s="181"/>
      <c r="F3307" s="181"/>
      <c r="G3307" s="181"/>
      <c r="H3307" s="181"/>
      <c r="I3307" s="181"/>
      <c r="J3307" s="181"/>
      <c r="K3307" s="181"/>
      <c r="L3307" s="181"/>
      <c r="M3307" s="181"/>
      <c r="N3307" s="181"/>
      <c r="O3307" s="181"/>
      <c r="P3307" s="181"/>
    </row>
    <row r="3308">
      <c r="B3308" s="292"/>
      <c r="C3308" s="181"/>
      <c r="D3308" s="181"/>
      <c r="E3308" s="181"/>
      <c r="F3308" s="181"/>
      <c r="G3308" s="181"/>
      <c r="H3308" s="181"/>
      <c r="I3308" s="181"/>
      <c r="J3308" s="181"/>
      <c r="K3308" s="181"/>
      <c r="L3308" s="181"/>
      <c r="M3308" s="181"/>
      <c r="N3308" s="181"/>
      <c r="O3308" s="181"/>
      <c r="P3308" s="181"/>
    </row>
    <row r="3309">
      <c r="B3309" s="292"/>
      <c r="C3309" s="181"/>
      <c r="D3309" s="181"/>
      <c r="E3309" s="181"/>
      <c r="F3309" s="181"/>
      <c r="G3309" s="181"/>
      <c r="H3309" s="181"/>
      <c r="I3309" s="181"/>
      <c r="J3309" s="181"/>
      <c r="K3309" s="181"/>
      <c r="L3309" s="181"/>
      <c r="M3309" s="181"/>
      <c r="N3309" s="181"/>
      <c r="O3309" s="181"/>
      <c r="P3309" s="181"/>
    </row>
    <row r="3310">
      <c r="B3310" s="292"/>
      <c r="C3310" s="181"/>
      <c r="D3310" s="181"/>
      <c r="E3310" s="181"/>
      <c r="F3310" s="181"/>
      <c r="G3310" s="181"/>
      <c r="H3310" s="181"/>
      <c r="I3310" s="181"/>
      <c r="J3310" s="181"/>
      <c r="K3310" s="181"/>
      <c r="L3310" s="181"/>
      <c r="M3310" s="181"/>
      <c r="N3310" s="181"/>
      <c r="O3310" s="181"/>
      <c r="P3310" s="181"/>
    </row>
    <row r="3311">
      <c r="B3311" s="292"/>
      <c r="C3311" s="181"/>
      <c r="D3311" s="181"/>
      <c r="E3311" s="181"/>
      <c r="F3311" s="181"/>
      <c r="G3311" s="181"/>
      <c r="H3311" s="181"/>
      <c r="I3311" s="181"/>
      <c r="J3311" s="181"/>
      <c r="K3311" s="181"/>
      <c r="L3311" s="181"/>
      <c r="M3311" s="181"/>
      <c r="N3311" s="181"/>
      <c r="O3311" s="181"/>
      <c r="P3311" s="181"/>
    </row>
    <row r="3312">
      <c r="B3312" s="292"/>
      <c r="C3312" s="181"/>
      <c r="D3312" s="181"/>
      <c r="E3312" s="181"/>
      <c r="F3312" s="181"/>
      <c r="G3312" s="181"/>
      <c r="H3312" s="181"/>
      <c r="I3312" s="181"/>
      <c r="J3312" s="181"/>
      <c r="K3312" s="181"/>
      <c r="L3312" s="181"/>
      <c r="M3312" s="181"/>
      <c r="N3312" s="181"/>
      <c r="O3312" s="181"/>
      <c r="P3312" s="181"/>
    </row>
    <row r="3313">
      <c r="B3313" s="292"/>
      <c r="C3313" s="181"/>
      <c r="D3313" s="181"/>
      <c r="E3313" s="181"/>
      <c r="F3313" s="181"/>
      <c r="G3313" s="181"/>
      <c r="H3313" s="181"/>
      <c r="I3313" s="181"/>
      <c r="J3313" s="181"/>
      <c r="K3313" s="181"/>
      <c r="L3313" s="181"/>
      <c r="M3313" s="181"/>
      <c r="N3313" s="181"/>
      <c r="O3313" s="181"/>
      <c r="P3313" s="181"/>
    </row>
    <row r="3314">
      <c r="B3314" s="292"/>
      <c r="C3314" s="181"/>
      <c r="D3314" s="181"/>
      <c r="E3314" s="181"/>
      <c r="F3314" s="181"/>
      <c r="G3314" s="181"/>
      <c r="H3314" s="181"/>
      <c r="I3314" s="181"/>
      <c r="J3314" s="181"/>
      <c r="K3314" s="181"/>
      <c r="L3314" s="181"/>
      <c r="M3314" s="181"/>
      <c r="N3314" s="181"/>
      <c r="O3314" s="181"/>
      <c r="P3314" s="181"/>
    </row>
    <row r="3315">
      <c r="B3315" s="292"/>
      <c r="C3315" s="181"/>
      <c r="D3315" s="181"/>
      <c r="E3315" s="181"/>
      <c r="F3315" s="181"/>
      <c r="G3315" s="181"/>
      <c r="H3315" s="181"/>
      <c r="I3315" s="181"/>
      <c r="J3315" s="181"/>
      <c r="K3315" s="181"/>
      <c r="L3315" s="181"/>
      <c r="M3315" s="181"/>
      <c r="N3315" s="181"/>
      <c r="O3315" s="181"/>
      <c r="P3315" s="181"/>
    </row>
    <row r="3316">
      <c r="B3316" s="292"/>
      <c r="C3316" s="181"/>
      <c r="D3316" s="181"/>
      <c r="E3316" s="181"/>
      <c r="F3316" s="181"/>
      <c r="G3316" s="181"/>
      <c r="H3316" s="181"/>
      <c r="I3316" s="181"/>
      <c r="J3316" s="181"/>
      <c r="K3316" s="181"/>
      <c r="L3316" s="181"/>
      <c r="M3316" s="181"/>
      <c r="N3316" s="181"/>
      <c r="O3316" s="181"/>
      <c r="P3316" s="181"/>
    </row>
    <row r="3317">
      <c r="B3317" s="292"/>
      <c r="C3317" s="181"/>
      <c r="D3317" s="181"/>
      <c r="E3317" s="181"/>
      <c r="F3317" s="181"/>
      <c r="G3317" s="181"/>
      <c r="H3317" s="181"/>
      <c r="I3317" s="181"/>
      <c r="J3317" s="181"/>
      <c r="K3317" s="181"/>
      <c r="L3317" s="181"/>
      <c r="M3317" s="181"/>
      <c r="N3317" s="181"/>
      <c r="O3317" s="181"/>
      <c r="P3317" s="181"/>
    </row>
    <row r="3318">
      <c r="B3318" s="292"/>
      <c r="C3318" s="181"/>
      <c r="D3318" s="181"/>
      <c r="E3318" s="181"/>
      <c r="F3318" s="181"/>
      <c r="G3318" s="181"/>
      <c r="H3318" s="181"/>
      <c r="I3318" s="181"/>
      <c r="J3318" s="181"/>
      <c r="K3318" s="181"/>
      <c r="L3318" s="181"/>
      <c r="M3318" s="181"/>
      <c r="N3318" s="181"/>
      <c r="O3318" s="181"/>
      <c r="P3318" s="181"/>
    </row>
    <row r="3319">
      <c r="B3319" s="292"/>
      <c r="C3319" s="181"/>
      <c r="D3319" s="181"/>
      <c r="E3319" s="181"/>
      <c r="F3319" s="181"/>
      <c r="G3319" s="181"/>
      <c r="H3319" s="181"/>
      <c r="I3319" s="181"/>
      <c r="J3319" s="181"/>
      <c r="K3319" s="181"/>
      <c r="L3319" s="181"/>
      <c r="M3319" s="181"/>
      <c r="N3319" s="181"/>
      <c r="O3319" s="181"/>
      <c r="P3319" s="181"/>
    </row>
    <row r="3320">
      <c r="B3320" s="292"/>
      <c r="C3320" s="181"/>
      <c r="D3320" s="181"/>
      <c r="E3320" s="181"/>
      <c r="F3320" s="181"/>
      <c r="G3320" s="181"/>
      <c r="H3320" s="181"/>
      <c r="I3320" s="181"/>
      <c r="J3320" s="181"/>
      <c r="K3320" s="181"/>
      <c r="L3320" s="181"/>
      <c r="M3320" s="181"/>
      <c r="N3320" s="181"/>
      <c r="O3320" s="181"/>
      <c r="P3320" s="181"/>
    </row>
    <row r="3321">
      <c r="B3321" s="292"/>
      <c r="C3321" s="181"/>
      <c r="D3321" s="181"/>
      <c r="E3321" s="181"/>
      <c r="F3321" s="181"/>
      <c r="G3321" s="181"/>
      <c r="H3321" s="181"/>
      <c r="I3321" s="181"/>
      <c r="J3321" s="181"/>
      <c r="K3321" s="181"/>
      <c r="L3321" s="181"/>
      <c r="M3321" s="181"/>
      <c r="N3321" s="181"/>
      <c r="O3321" s="181"/>
      <c r="P3321" s="181"/>
    </row>
    <row r="3322">
      <c r="B3322" s="292"/>
      <c r="C3322" s="181"/>
      <c r="D3322" s="181"/>
      <c r="E3322" s="181"/>
      <c r="F3322" s="181"/>
      <c r="G3322" s="181"/>
      <c r="H3322" s="181"/>
      <c r="I3322" s="181"/>
      <c r="J3322" s="181"/>
      <c r="K3322" s="181"/>
      <c r="L3322" s="181"/>
      <c r="M3322" s="181"/>
      <c r="N3322" s="181"/>
      <c r="O3322" s="181"/>
      <c r="P3322" s="181"/>
    </row>
    <row r="3323">
      <c r="B3323" s="292"/>
      <c r="C3323" s="181"/>
      <c r="D3323" s="181"/>
      <c r="E3323" s="181"/>
      <c r="F3323" s="181"/>
      <c r="G3323" s="181"/>
      <c r="H3323" s="181"/>
      <c r="I3323" s="181"/>
      <c r="J3323" s="181"/>
      <c r="K3323" s="181"/>
      <c r="L3323" s="181"/>
      <c r="M3323" s="181"/>
      <c r="N3323" s="181"/>
      <c r="O3323" s="181"/>
      <c r="P3323" s="181"/>
    </row>
    <row r="3324">
      <c r="B3324" s="292"/>
      <c r="C3324" s="181"/>
      <c r="D3324" s="181"/>
      <c r="E3324" s="181"/>
      <c r="F3324" s="181"/>
      <c r="G3324" s="181"/>
      <c r="H3324" s="181"/>
      <c r="I3324" s="181"/>
      <c r="J3324" s="181"/>
      <c r="K3324" s="181"/>
      <c r="L3324" s="181"/>
      <c r="M3324" s="181"/>
      <c r="N3324" s="181"/>
      <c r="O3324" s="181"/>
      <c r="P3324" s="181"/>
    </row>
    <row r="3325">
      <c r="B3325" s="292"/>
      <c r="C3325" s="181"/>
      <c r="D3325" s="181"/>
      <c r="E3325" s="181"/>
      <c r="F3325" s="181"/>
      <c r="G3325" s="181"/>
      <c r="H3325" s="181"/>
      <c r="I3325" s="181"/>
      <c r="J3325" s="181"/>
      <c r="K3325" s="181"/>
      <c r="L3325" s="181"/>
      <c r="M3325" s="181"/>
      <c r="N3325" s="181"/>
      <c r="O3325" s="181"/>
      <c r="P3325" s="181"/>
    </row>
    <row r="3326">
      <c r="B3326" s="292"/>
      <c r="C3326" s="181"/>
      <c r="D3326" s="181"/>
      <c r="E3326" s="181"/>
      <c r="F3326" s="181"/>
      <c r="G3326" s="181"/>
      <c r="H3326" s="181"/>
      <c r="I3326" s="181"/>
      <c r="J3326" s="181"/>
      <c r="K3326" s="181"/>
      <c r="L3326" s="181"/>
      <c r="M3326" s="181"/>
      <c r="N3326" s="181"/>
      <c r="O3326" s="181"/>
      <c r="P3326" s="181"/>
    </row>
    <row r="3327">
      <c r="B3327" s="292"/>
      <c r="C3327" s="181"/>
      <c r="D3327" s="181"/>
      <c r="E3327" s="181"/>
      <c r="F3327" s="181"/>
      <c r="G3327" s="181"/>
      <c r="H3327" s="181"/>
      <c r="I3327" s="181"/>
      <c r="J3327" s="181"/>
      <c r="K3327" s="181"/>
      <c r="L3327" s="181"/>
      <c r="M3327" s="181"/>
      <c r="N3327" s="181"/>
      <c r="O3327" s="181"/>
      <c r="P3327" s="181"/>
    </row>
    <row r="3328">
      <c r="B3328" s="292"/>
      <c r="C3328" s="181"/>
      <c r="D3328" s="181"/>
      <c r="E3328" s="181"/>
      <c r="F3328" s="181"/>
      <c r="G3328" s="181"/>
      <c r="H3328" s="181"/>
      <c r="I3328" s="181"/>
      <c r="J3328" s="181"/>
      <c r="K3328" s="181"/>
      <c r="L3328" s="181"/>
      <c r="M3328" s="181"/>
      <c r="N3328" s="181"/>
      <c r="O3328" s="181"/>
      <c r="P3328" s="181"/>
    </row>
    <row r="3329">
      <c r="B3329" s="292"/>
      <c r="C3329" s="181"/>
      <c r="D3329" s="181"/>
      <c r="E3329" s="181"/>
      <c r="F3329" s="181"/>
      <c r="G3329" s="181"/>
      <c r="H3329" s="181"/>
      <c r="I3329" s="181"/>
      <c r="J3329" s="181"/>
      <c r="K3329" s="181"/>
      <c r="L3329" s="181"/>
      <c r="M3329" s="181"/>
      <c r="N3329" s="181"/>
      <c r="O3329" s="181"/>
      <c r="P3329" s="181"/>
    </row>
    <row r="3330">
      <c r="B3330" s="292"/>
      <c r="C3330" s="181"/>
      <c r="D3330" s="181"/>
      <c r="E3330" s="181"/>
      <c r="F3330" s="181"/>
      <c r="G3330" s="181"/>
      <c r="H3330" s="181"/>
      <c r="I3330" s="181"/>
      <c r="J3330" s="181"/>
      <c r="K3330" s="181"/>
      <c r="L3330" s="181"/>
      <c r="M3330" s="181"/>
      <c r="N3330" s="181"/>
      <c r="O3330" s="181"/>
      <c r="P3330" s="181"/>
    </row>
    <row r="3331">
      <c r="B3331" s="292"/>
      <c r="C3331" s="181"/>
      <c r="D3331" s="181"/>
      <c r="E3331" s="181"/>
      <c r="F3331" s="181"/>
      <c r="G3331" s="181"/>
      <c r="H3331" s="181"/>
      <c r="I3331" s="181"/>
      <c r="J3331" s="181"/>
      <c r="K3331" s="181"/>
      <c r="L3331" s="181"/>
      <c r="M3331" s="181"/>
      <c r="N3331" s="181"/>
      <c r="O3331" s="181"/>
      <c r="P3331" s="181"/>
    </row>
    <row r="3332">
      <c r="B3332" s="292"/>
      <c r="C3332" s="181"/>
      <c r="D3332" s="181"/>
      <c r="E3332" s="181"/>
      <c r="F3332" s="181"/>
      <c r="G3332" s="181"/>
      <c r="H3332" s="181"/>
      <c r="I3332" s="181"/>
      <c r="J3332" s="181"/>
      <c r="K3332" s="181"/>
      <c r="L3332" s="181"/>
      <c r="M3332" s="181"/>
      <c r="N3332" s="181"/>
      <c r="O3332" s="181"/>
      <c r="P3332" s="181"/>
    </row>
    <row r="3333">
      <c r="B3333" s="292"/>
      <c r="C3333" s="181"/>
      <c r="D3333" s="181"/>
      <c r="E3333" s="181"/>
      <c r="F3333" s="181"/>
      <c r="G3333" s="181"/>
      <c r="H3333" s="181"/>
      <c r="I3333" s="181"/>
      <c r="J3333" s="181"/>
      <c r="K3333" s="181"/>
      <c r="L3333" s="181"/>
      <c r="M3333" s="181"/>
      <c r="N3333" s="181"/>
      <c r="O3333" s="181"/>
      <c r="P3333" s="181"/>
    </row>
    <row r="3334">
      <c r="B3334" s="292"/>
      <c r="C3334" s="181"/>
      <c r="D3334" s="181"/>
      <c r="E3334" s="181"/>
      <c r="F3334" s="181"/>
      <c r="G3334" s="181"/>
      <c r="H3334" s="181"/>
      <c r="I3334" s="181"/>
      <c r="J3334" s="181"/>
      <c r="K3334" s="181"/>
      <c r="L3334" s="181"/>
      <c r="M3334" s="181"/>
      <c r="N3334" s="181"/>
      <c r="O3334" s="181"/>
      <c r="P3334" s="181"/>
    </row>
    <row r="3335">
      <c r="B3335" s="292"/>
      <c r="C3335" s="181"/>
      <c r="D3335" s="181"/>
      <c r="E3335" s="181"/>
      <c r="F3335" s="181"/>
      <c r="G3335" s="181"/>
      <c r="H3335" s="181"/>
      <c r="I3335" s="181"/>
      <c r="J3335" s="181"/>
      <c r="K3335" s="181"/>
      <c r="L3335" s="181"/>
      <c r="M3335" s="181"/>
      <c r="N3335" s="181"/>
      <c r="O3335" s="181"/>
      <c r="P3335" s="181"/>
    </row>
    <row r="3336">
      <c r="B3336" s="292"/>
      <c r="C3336" s="181"/>
      <c r="D3336" s="181"/>
      <c r="E3336" s="181"/>
      <c r="F3336" s="181"/>
      <c r="G3336" s="181"/>
      <c r="H3336" s="181"/>
      <c r="I3336" s="181"/>
      <c r="J3336" s="181"/>
      <c r="K3336" s="181"/>
      <c r="L3336" s="181"/>
      <c r="M3336" s="181"/>
      <c r="N3336" s="181"/>
      <c r="O3336" s="181"/>
      <c r="P3336" s="181"/>
    </row>
    <row r="3337">
      <c r="B3337" s="292"/>
      <c r="C3337" s="181"/>
      <c r="D3337" s="181"/>
      <c r="E3337" s="181"/>
      <c r="F3337" s="181"/>
      <c r="G3337" s="181"/>
      <c r="H3337" s="181"/>
      <c r="I3337" s="181"/>
      <c r="J3337" s="181"/>
      <c r="K3337" s="181"/>
      <c r="L3337" s="181"/>
      <c r="M3337" s="181"/>
      <c r="N3337" s="181"/>
      <c r="O3337" s="181"/>
      <c r="P3337" s="181"/>
    </row>
    <row r="3338">
      <c r="B3338" s="292"/>
      <c r="C3338" s="181"/>
      <c r="D3338" s="181"/>
      <c r="E3338" s="181"/>
      <c r="F3338" s="181"/>
      <c r="G3338" s="181"/>
      <c r="H3338" s="181"/>
      <c r="I3338" s="181"/>
      <c r="J3338" s="181"/>
      <c r="K3338" s="181"/>
      <c r="L3338" s="181"/>
      <c r="M3338" s="181"/>
      <c r="N3338" s="181"/>
      <c r="O3338" s="181"/>
      <c r="P3338" s="181"/>
    </row>
    <row r="3339">
      <c r="B3339" s="292"/>
      <c r="C3339" s="181"/>
      <c r="D3339" s="181"/>
      <c r="E3339" s="181"/>
      <c r="F3339" s="181"/>
      <c r="G3339" s="181"/>
      <c r="H3339" s="181"/>
      <c r="I3339" s="181"/>
      <c r="J3339" s="181"/>
      <c r="K3339" s="181"/>
      <c r="L3339" s="181"/>
      <c r="M3339" s="181"/>
      <c r="N3339" s="181"/>
      <c r="O3339" s="181"/>
      <c r="P3339" s="181"/>
    </row>
    <row r="3340">
      <c r="B3340" s="292"/>
      <c r="C3340" s="181"/>
      <c r="D3340" s="181"/>
      <c r="E3340" s="181"/>
      <c r="F3340" s="181"/>
      <c r="G3340" s="181"/>
      <c r="H3340" s="181"/>
      <c r="I3340" s="181"/>
      <c r="J3340" s="181"/>
      <c r="K3340" s="181"/>
      <c r="L3340" s="181"/>
      <c r="M3340" s="181"/>
      <c r="N3340" s="181"/>
      <c r="O3340" s="181"/>
      <c r="P3340" s="181"/>
    </row>
    <row r="3341">
      <c r="B3341" s="292"/>
      <c r="C3341" s="181"/>
      <c r="D3341" s="181"/>
      <c r="E3341" s="181"/>
      <c r="F3341" s="181"/>
      <c r="G3341" s="181"/>
      <c r="H3341" s="181"/>
      <c r="I3341" s="181"/>
      <c r="J3341" s="181"/>
      <c r="K3341" s="181"/>
      <c r="L3341" s="181"/>
      <c r="M3341" s="181"/>
      <c r="N3341" s="181"/>
      <c r="O3341" s="181"/>
      <c r="P3341" s="181"/>
    </row>
    <row r="3342">
      <c r="B3342" s="292"/>
      <c r="C3342" s="181"/>
      <c r="D3342" s="181"/>
      <c r="E3342" s="181"/>
      <c r="F3342" s="181"/>
      <c r="G3342" s="181"/>
      <c r="H3342" s="181"/>
      <c r="I3342" s="181"/>
      <c r="J3342" s="181"/>
      <c r="K3342" s="181"/>
      <c r="L3342" s="181"/>
      <c r="M3342" s="181"/>
      <c r="N3342" s="181"/>
      <c r="O3342" s="181"/>
      <c r="P3342" s="181"/>
    </row>
    <row r="3343">
      <c r="B3343" s="292"/>
      <c r="C3343" s="181"/>
      <c r="D3343" s="181"/>
      <c r="E3343" s="181"/>
      <c r="F3343" s="181"/>
      <c r="G3343" s="181"/>
      <c r="H3343" s="181"/>
      <c r="I3343" s="181"/>
      <c r="J3343" s="181"/>
      <c r="K3343" s="181"/>
      <c r="L3343" s="181"/>
      <c r="M3343" s="181"/>
      <c r="N3343" s="181"/>
      <c r="O3343" s="181"/>
      <c r="P3343" s="181"/>
    </row>
    <row r="3344">
      <c r="B3344" s="292"/>
      <c r="C3344" s="181"/>
      <c r="D3344" s="181"/>
      <c r="E3344" s="181"/>
      <c r="F3344" s="181"/>
      <c r="G3344" s="181"/>
      <c r="H3344" s="181"/>
      <c r="I3344" s="181"/>
      <c r="J3344" s="181"/>
      <c r="K3344" s="181"/>
      <c r="L3344" s="181"/>
      <c r="M3344" s="181"/>
      <c r="N3344" s="181"/>
      <c r="O3344" s="181"/>
      <c r="P3344" s="181"/>
    </row>
    <row r="3345">
      <c r="B3345" s="292"/>
      <c r="C3345" s="181"/>
      <c r="D3345" s="181"/>
      <c r="E3345" s="181"/>
      <c r="F3345" s="181"/>
      <c r="G3345" s="181"/>
      <c r="H3345" s="181"/>
      <c r="I3345" s="181"/>
      <c r="J3345" s="181"/>
      <c r="K3345" s="181"/>
      <c r="L3345" s="181"/>
      <c r="M3345" s="181"/>
      <c r="N3345" s="181"/>
      <c r="O3345" s="181"/>
      <c r="P3345" s="181"/>
    </row>
    <row r="3346">
      <c r="B3346" s="292"/>
      <c r="C3346" s="181"/>
      <c r="D3346" s="181"/>
      <c r="E3346" s="181"/>
      <c r="F3346" s="181"/>
      <c r="G3346" s="181"/>
      <c r="H3346" s="181"/>
      <c r="I3346" s="181"/>
      <c r="J3346" s="181"/>
      <c r="K3346" s="181"/>
      <c r="L3346" s="181"/>
      <c r="M3346" s="181"/>
      <c r="N3346" s="181"/>
      <c r="O3346" s="181"/>
      <c r="P3346" s="181"/>
    </row>
    <row r="3347">
      <c r="B3347" s="292"/>
      <c r="C3347" s="181"/>
      <c r="D3347" s="181"/>
      <c r="E3347" s="181"/>
      <c r="F3347" s="181"/>
      <c r="G3347" s="181"/>
      <c r="H3347" s="181"/>
      <c r="I3347" s="181"/>
      <c r="J3347" s="181"/>
      <c r="K3347" s="181"/>
      <c r="L3347" s="181"/>
      <c r="M3347" s="181"/>
      <c r="N3347" s="181"/>
      <c r="O3347" s="181"/>
      <c r="P3347" s="181"/>
    </row>
    <row r="3348">
      <c r="B3348" s="292"/>
      <c r="C3348" s="181"/>
      <c r="D3348" s="181"/>
      <c r="E3348" s="181"/>
      <c r="F3348" s="181"/>
      <c r="G3348" s="181"/>
      <c r="H3348" s="181"/>
      <c r="I3348" s="181"/>
      <c r="J3348" s="181"/>
      <c r="K3348" s="181"/>
      <c r="L3348" s="181"/>
      <c r="M3348" s="181"/>
      <c r="N3348" s="181"/>
      <c r="O3348" s="181"/>
      <c r="P3348" s="181"/>
    </row>
    <row r="3349">
      <c r="B3349" s="292"/>
      <c r="C3349" s="181"/>
      <c r="D3349" s="181"/>
      <c r="E3349" s="181"/>
      <c r="F3349" s="181"/>
      <c r="G3349" s="181"/>
      <c r="H3349" s="181"/>
      <c r="I3349" s="181"/>
      <c r="J3349" s="181"/>
      <c r="K3349" s="181"/>
      <c r="L3349" s="181"/>
      <c r="M3349" s="181"/>
      <c r="N3349" s="181"/>
      <c r="O3349" s="181"/>
      <c r="P3349" s="181"/>
    </row>
    <row r="3350">
      <c r="B3350" s="292"/>
      <c r="C3350" s="181"/>
      <c r="D3350" s="181"/>
      <c r="E3350" s="181"/>
      <c r="F3350" s="181"/>
      <c r="G3350" s="181"/>
      <c r="H3350" s="181"/>
      <c r="I3350" s="181"/>
      <c r="J3350" s="181"/>
      <c r="K3350" s="181"/>
      <c r="L3350" s="181"/>
      <c r="M3350" s="181"/>
      <c r="N3350" s="181"/>
      <c r="O3350" s="181"/>
      <c r="P3350" s="181"/>
    </row>
    <row r="3351">
      <c r="B3351" s="292"/>
      <c r="C3351" s="181"/>
      <c r="D3351" s="181"/>
      <c r="E3351" s="181"/>
      <c r="F3351" s="181"/>
      <c r="G3351" s="181"/>
      <c r="H3351" s="181"/>
      <c r="I3351" s="181"/>
      <c r="J3351" s="181"/>
      <c r="K3351" s="181"/>
      <c r="L3351" s="181"/>
      <c r="M3351" s="181"/>
      <c r="N3351" s="181"/>
      <c r="O3351" s="181"/>
      <c r="P3351" s="181"/>
    </row>
    <row r="3352">
      <c r="B3352" s="292"/>
      <c r="C3352" s="181"/>
      <c r="D3352" s="181"/>
      <c r="E3352" s="181"/>
      <c r="F3352" s="181"/>
      <c r="G3352" s="181"/>
      <c r="H3352" s="181"/>
      <c r="I3352" s="181"/>
      <c r="J3352" s="181"/>
      <c r="K3352" s="181"/>
      <c r="L3352" s="181"/>
      <c r="M3352" s="181"/>
      <c r="N3352" s="181"/>
      <c r="O3352" s="181"/>
      <c r="P3352" s="181"/>
    </row>
    <row r="3353">
      <c r="B3353" s="292"/>
      <c r="C3353" s="181"/>
      <c r="D3353" s="181"/>
      <c r="E3353" s="181"/>
      <c r="F3353" s="181"/>
      <c r="G3353" s="181"/>
      <c r="H3353" s="181"/>
      <c r="I3353" s="181"/>
      <c r="J3353" s="181"/>
      <c r="K3353" s="181"/>
      <c r="L3353" s="181"/>
      <c r="M3353" s="181"/>
      <c r="N3353" s="181"/>
      <c r="O3353" s="181"/>
      <c r="P3353" s="181"/>
    </row>
    <row r="3354">
      <c r="B3354" s="292"/>
      <c r="C3354" s="181"/>
      <c r="D3354" s="181"/>
      <c r="E3354" s="181"/>
      <c r="F3354" s="181"/>
      <c r="G3354" s="181"/>
      <c r="H3354" s="181"/>
      <c r="I3354" s="181"/>
      <c r="J3354" s="181"/>
      <c r="K3354" s="181"/>
      <c r="L3354" s="181"/>
      <c r="M3354" s="181"/>
      <c r="N3354" s="181"/>
      <c r="O3354" s="181"/>
      <c r="P3354" s="181"/>
    </row>
    <row r="3355">
      <c r="B3355" s="292"/>
      <c r="C3355" s="181"/>
      <c r="D3355" s="181"/>
      <c r="E3355" s="181"/>
      <c r="F3355" s="181"/>
      <c r="G3355" s="181"/>
      <c r="H3355" s="181"/>
      <c r="I3355" s="181"/>
      <c r="J3355" s="181"/>
      <c r="K3355" s="181"/>
      <c r="L3355" s="181"/>
      <c r="M3355" s="181"/>
      <c r="N3355" s="181"/>
      <c r="O3355" s="181"/>
      <c r="P3355" s="181"/>
    </row>
    <row r="3356">
      <c r="B3356" s="292"/>
      <c r="C3356" s="181"/>
      <c r="D3356" s="181"/>
      <c r="E3356" s="181"/>
      <c r="F3356" s="181"/>
      <c r="G3356" s="181"/>
      <c r="H3356" s="181"/>
      <c r="I3356" s="181"/>
      <c r="J3356" s="181"/>
      <c r="K3356" s="181"/>
      <c r="L3356" s="181"/>
      <c r="M3356" s="181"/>
      <c r="N3356" s="181"/>
      <c r="O3356" s="181"/>
      <c r="P3356" s="181"/>
    </row>
    <row r="3357">
      <c r="B3357" s="292"/>
      <c r="C3357" s="181"/>
      <c r="D3357" s="181"/>
      <c r="E3357" s="181"/>
      <c r="F3357" s="181"/>
      <c r="G3357" s="181"/>
      <c r="H3357" s="181"/>
      <c r="I3357" s="181"/>
      <c r="J3357" s="181"/>
      <c r="K3357" s="181"/>
      <c r="L3357" s="181"/>
      <c r="M3357" s="181"/>
      <c r="N3357" s="181"/>
      <c r="O3357" s="181"/>
      <c r="P3357" s="181"/>
    </row>
    <row r="3358">
      <c r="B3358" s="292"/>
      <c r="C3358" s="181"/>
      <c r="D3358" s="181"/>
      <c r="E3358" s="181"/>
      <c r="F3358" s="181"/>
      <c r="G3358" s="181"/>
      <c r="H3358" s="181"/>
      <c r="I3358" s="181"/>
      <c r="J3358" s="181"/>
      <c r="K3358" s="181"/>
      <c r="L3358" s="181"/>
      <c r="M3358" s="181"/>
      <c r="N3358" s="181"/>
      <c r="O3358" s="181"/>
      <c r="P3358" s="181"/>
    </row>
    <row r="3359">
      <c r="B3359" s="292"/>
      <c r="C3359" s="181"/>
      <c r="D3359" s="181"/>
      <c r="E3359" s="181"/>
      <c r="F3359" s="181"/>
      <c r="G3359" s="181"/>
      <c r="H3359" s="181"/>
      <c r="I3359" s="181"/>
      <c r="J3359" s="181"/>
      <c r="K3359" s="181"/>
      <c r="L3359" s="181"/>
      <c r="M3359" s="181"/>
      <c r="N3359" s="181"/>
      <c r="O3359" s="181"/>
      <c r="P3359" s="181"/>
    </row>
    <row r="3360">
      <c r="B3360" s="292"/>
      <c r="C3360" s="181"/>
      <c r="D3360" s="181"/>
      <c r="E3360" s="181"/>
      <c r="F3360" s="181"/>
      <c r="G3360" s="181"/>
      <c r="H3360" s="181"/>
      <c r="I3360" s="181"/>
      <c r="J3360" s="181"/>
      <c r="K3360" s="181"/>
      <c r="L3360" s="181"/>
      <c r="M3360" s="181"/>
      <c r="N3360" s="181"/>
      <c r="O3360" s="181"/>
      <c r="P3360" s="181"/>
    </row>
    <row r="3361">
      <c r="B3361" s="292"/>
      <c r="C3361" s="181"/>
      <c r="D3361" s="181"/>
      <c r="E3361" s="181"/>
      <c r="F3361" s="181"/>
      <c r="G3361" s="181"/>
      <c r="H3361" s="181"/>
      <c r="I3361" s="181"/>
      <c r="J3361" s="181"/>
      <c r="K3361" s="181"/>
      <c r="L3361" s="181"/>
      <c r="M3361" s="181"/>
      <c r="N3361" s="181"/>
      <c r="O3361" s="181"/>
      <c r="P3361" s="181"/>
    </row>
    <row r="3362">
      <c r="B3362" s="292"/>
      <c r="C3362" s="181"/>
      <c r="D3362" s="181"/>
      <c r="E3362" s="181"/>
      <c r="F3362" s="181"/>
      <c r="G3362" s="181"/>
      <c r="H3362" s="181"/>
      <c r="I3362" s="181"/>
      <c r="J3362" s="181"/>
      <c r="K3362" s="181"/>
      <c r="L3362" s="181"/>
      <c r="M3362" s="181"/>
      <c r="N3362" s="181"/>
      <c r="O3362" s="181"/>
      <c r="P3362" s="181"/>
    </row>
    <row r="3363">
      <c r="B3363" s="292"/>
      <c r="C3363" s="181"/>
      <c r="D3363" s="181"/>
      <c r="E3363" s="181"/>
      <c r="F3363" s="181"/>
      <c r="G3363" s="181"/>
      <c r="H3363" s="181"/>
      <c r="I3363" s="181"/>
      <c r="J3363" s="181"/>
      <c r="K3363" s="181"/>
      <c r="L3363" s="181"/>
      <c r="M3363" s="181"/>
      <c r="N3363" s="181"/>
      <c r="O3363" s="181"/>
      <c r="P3363" s="181"/>
    </row>
    <row r="3364">
      <c r="B3364" s="292"/>
      <c r="C3364" s="181"/>
      <c r="D3364" s="181"/>
      <c r="E3364" s="181"/>
      <c r="F3364" s="181"/>
      <c r="G3364" s="181"/>
      <c r="H3364" s="181"/>
      <c r="I3364" s="181"/>
      <c r="J3364" s="181"/>
      <c r="K3364" s="181"/>
      <c r="L3364" s="181"/>
      <c r="M3364" s="181"/>
      <c r="N3364" s="181"/>
      <c r="O3364" s="181"/>
      <c r="P3364" s="181"/>
    </row>
    <row r="3365">
      <c r="B3365" s="292"/>
      <c r="C3365" s="181"/>
      <c r="D3365" s="181"/>
      <c r="E3365" s="181"/>
      <c r="F3365" s="181"/>
      <c r="G3365" s="181"/>
      <c r="H3365" s="181"/>
      <c r="I3365" s="181"/>
      <c r="J3365" s="181"/>
      <c r="K3365" s="181"/>
      <c r="L3365" s="181"/>
      <c r="M3365" s="181"/>
      <c r="N3365" s="181"/>
      <c r="O3365" s="181"/>
      <c r="P3365" s="181"/>
    </row>
    <row r="3366">
      <c r="B3366" s="292"/>
      <c r="C3366" s="181"/>
      <c r="D3366" s="181"/>
      <c r="E3366" s="181"/>
      <c r="F3366" s="181"/>
      <c r="G3366" s="181"/>
      <c r="H3366" s="181"/>
      <c r="I3366" s="181"/>
      <c r="J3366" s="181"/>
      <c r="K3366" s="181"/>
      <c r="L3366" s="181"/>
      <c r="M3366" s="181"/>
      <c r="N3366" s="181"/>
      <c r="O3366" s="181"/>
      <c r="P3366" s="181"/>
    </row>
    <row r="3367">
      <c r="B3367" s="292"/>
      <c r="C3367" s="181"/>
      <c r="D3367" s="181"/>
      <c r="E3367" s="181"/>
      <c r="F3367" s="181"/>
      <c r="G3367" s="181"/>
      <c r="H3367" s="181"/>
      <c r="I3367" s="181"/>
      <c r="J3367" s="181"/>
      <c r="K3367" s="181"/>
      <c r="L3367" s="181"/>
      <c r="M3367" s="181"/>
      <c r="N3367" s="181"/>
      <c r="O3367" s="181"/>
      <c r="P3367" s="181"/>
    </row>
    <row r="3368">
      <c r="B3368" s="292"/>
      <c r="C3368" s="181"/>
      <c r="D3368" s="181"/>
      <c r="E3368" s="181"/>
      <c r="F3368" s="181"/>
      <c r="G3368" s="181"/>
      <c r="H3368" s="181"/>
      <c r="I3368" s="181"/>
      <c r="J3368" s="181"/>
      <c r="K3368" s="181"/>
      <c r="L3368" s="181"/>
      <c r="M3368" s="181"/>
      <c r="N3368" s="181"/>
      <c r="O3368" s="181"/>
      <c r="P3368" s="181"/>
    </row>
    <row r="3369">
      <c r="B3369" s="292"/>
      <c r="C3369" s="181"/>
      <c r="D3369" s="181"/>
      <c r="E3369" s="181"/>
      <c r="F3369" s="181"/>
      <c r="G3369" s="181"/>
      <c r="H3369" s="181"/>
      <c r="I3369" s="181"/>
      <c r="J3369" s="181"/>
      <c r="K3369" s="181"/>
      <c r="L3369" s="181"/>
      <c r="M3369" s="181"/>
      <c r="N3369" s="181"/>
      <c r="O3369" s="181"/>
      <c r="P3369" s="181"/>
    </row>
    <row r="3370">
      <c r="B3370" s="292"/>
      <c r="C3370" s="181"/>
      <c r="D3370" s="181"/>
      <c r="E3370" s="181"/>
      <c r="F3370" s="181"/>
      <c r="G3370" s="181"/>
      <c r="H3370" s="181"/>
      <c r="I3370" s="181"/>
      <c r="J3370" s="181"/>
      <c r="K3370" s="181"/>
      <c r="L3370" s="181"/>
      <c r="M3370" s="181"/>
      <c r="N3370" s="181"/>
      <c r="O3370" s="181"/>
      <c r="P3370" s="181"/>
    </row>
    <row r="3371">
      <c r="B3371" s="292"/>
      <c r="C3371" s="181"/>
      <c r="D3371" s="181"/>
      <c r="E3371" s="181"/>
      <c r="F3371" s="181"/>
      <c r="G3371" s="181"/>
      <c r="H3371" s="181"/>
      <c r="I3371" s="181"/>
      <c r="J3371" s="181"/>
      <c r="K3371" s="181"/>
      <c r="L3371" s="181"/>
      <c r="M3371" s="181"/>
      <c r="N3371" s="181"/>
      <c r="O3371" s="181"/>
      <c r="P3371" s="181"/>
    </row>
    <row r="3372">
      <c r="B3372" s="292"/>
      <c r="C3372" s="181"/>
      <c r="D3372" s="181"/>
      <c r="E3372" s="181"/>
      <c r="F3372" s="181"/>
      <c r="G3372" s="181"/>
      <c r="H3372" s="181"/>
      <c r="I3372" s="181"/>
      <c r="J3372" s="181"/>
      <c r="K3372" s="181"/>
      <c r="L3372" s="181"/>
      <c r="M3372" s="181"/>
      <c r="N3372" s="181"/>
      <c r="O3372" s="181"/>
      <c r="P3372" s="181"/>
    </row>
    <row r="3373">
      <c r="B3373" s="292"/>
      <c r="C3373" s="181"/>
      <c r="D3373" s="181"/>
      <c r="E3373" s="181"/>
      <c r="F3373" s="181"/>
      <c r="G3373" s="181"/>
      <c r="H3373" s="181"/>
      <c r="I3373" s="181"/>
      <c r="J3373" s="181"/>
      <c r="K3373" s="181"/>
      <c r="L3373" s="181"/>
      <c r="M3373" s="181"/>
      <c r="N3373" s="181"/>
      <c r="O3373" s="181"/>
      <c r="P3373" s="181"/>
    </row>
    <row r="3374">
      <c r="B3374" s="292"/>
      <c r="C3374" s="181"/>
      <c r="D3374" s="181"/>
      <c r="E3374" s="181"/>
      <c r="F3374" s="181"/>
      <c r="G3374" s="181"/>
      <c r="H3374" s="181"/>
      <c r="I3374" s="181"/>
      <c r="J3374" s="181"/>
      <c r="K3374" s="181"/>
      <c r="L3374" s="181"/>
      <c r="M3374" s="181"/>
      <c r="N3374" s="181"/>
      <c r="O3374" s="181"/>
      <c r="P3374" s="181"/>
    </row>
    <row r="3375">
      <c r="B3375" s="292"/>
      <c r="C3375" s="181"/>
      <c r="D3375" s="181"/>
      <c r="E3375" s="181"/>
      <c r="F3375" s="181"/>
      <c r="G3375" s="181"/>
      <c r="H3375" s="181"/>
      <c r="I3375" s="181"/>
      <c r="J3375" s="181"/>
      <c r="K3375" s="181"/>
      <c r="L3375" s="181"/>
      <c r="M3375" s="181"/>
      <c r="N3375" s="181"/>
      <c r="O3375" s="181"/>
      <c r="P3375" s="181"/>
    </row>
    <row r="3376">
      <c r="B3376" s="292"/>
      <c r="C3376" s="181"/>
      <c r="D3376" s="181"/>
      <c r="E3376" s="181"/>
      <c r="F3376" s="181"/>
      <c r="G3376" s="181"/>
      <c r="H3376" s="181"/>
      <c r="I3376" s="181"/>
      <c r="J3376" s="181"/>
      <c r="K3376" s="181"/>
      <c r="L3376" s="181"/>
      <c r="M3376" s="181"/>
      <c r="N3376" s="181"/>
      <c r="O3376" s="181"/>
      <c r="P3376" s="181"/>
    </row>
    <row r="3377">
      <c r="B3377" s="292"/>
      <c r="C3377" s="181"/>
      <c r="D3377" s="181"/>
      <c r="E3377" s="181"/>
      <c r="F3377" s="181"/>
      <c r="G3377" s="181"/>
      <c r="H3377" s="181"/>
      <c r="I3377" s="181"/>
      <c r="J3377" s="181"/>
      <c r="K3377" s="181"/>
      <c r="L3377" s="181"/>
      <c r="M3377" s="181"/>
      <c r="N3377" s="181"/>
      <c r="O3377" s="181"/>
      <c r="P3377" s="181"/>
    </row>
    <row r="3378">
      <c r="B3378" s="292"/>
      <c r="C3378" s="181"/>
      <c r="D3378" s="181"/>
      <c r="E3378" s="181"/>
      <c r="F3378" s="181"/>
      <c r="G3378" s="181"/>
      <c r="H3378" s="181"/>
      <c r="I3378" s="181"/>
      <c r="J3378" s="181"/>
      <c r="K3378" s="181"/>
      <c r="L3378" s="181"/>
      <c r="M3378" s="181"/>
      <c r="N3378" s="181"/>
      <c r="O3378" s="181"/>
      <c r="P3378" s="181"/>
    </row>
    <row r="3379">
      <c r="B3379" s="292"/>
      <c r="C3379" s="181"/>
      <c r="D3379" s="181"/>
      <c r="E3379" s="181"/>
      <c r="F3379" s="181"/>
      <c r="G3379" s="181"/>
      <c r="H3379" s="181"/>
      <c r="I3379" s="181"/>
      <c r="J3379" s="181"/>
      <c r="K3379" s="181"/>
      <c r="L3379" s="181"/>
      <c r="M3379" s="181"/>
      <c r="N3379" s="181"/>
      <c r="O3379" s="181"/>
      <c r="P3379" s="181"/>
    </row>
    <row r="3380">
      <c r="B3380" s="292"/>
      <c r="C3380" s="181"/>
      <c r="D3380" s="181"/>
      <c r="E3380" s="181"/>
      <c r="F3380" s="181"/>
      <c r="G3380" s="181"/>
      <c r="H3380" s="181"/>
      <c r="I3380" s="181"/>
      <c r="J3380" s="181"/>
      <c r="K3380" s="181"/>
      <c r="L3380" s="181"/>
      <c r="M3380" s="181"/>
      <c r="N3380" s="181"/>
      <c r="O3380" s="181"/>
      <c r="P3380" s="181"/>
    </row>
    <row r="3381">
      <c r="B3381" s="292"/>
      <c r="C3381" s="181"/>
      <c r="D3381" s="181"/>
      <c r="E3381" s="181"/>
      <c r="F3381" s="181"/>
      <c r="G3381" s="181"/>
      <c r="H3381" s="181"/>
      <c r="I3381" s="181"/>
      <c r="J3381" s="181"/>
      <c r="K3381" s="181"/>
      <c r="L3381" s="181"/>
      <c r="M3381" s="181"/>
      <c r="N3381" s="181"/>
      <c r="O3381" s="181"/>
      <c r="P3381" s="181"/>
    </row>
    <row r="3382">
      <c r="B3382" s="292"/>
      <c r="C3382" s="181"/>
      <c r="D3382" s="181"/>
      <c r="E3382" s="181"/>
      <c r="F3382" s="181"/>
      <c r="G3382" s="181"/>
      <c r="H3382" s="181"/>
      <c r="I3382" s="181"/>
      <c r="J3382" s="181"/>
      <c r="K3382" s="181"/>
      <c r="L3382" s="181"/>
      <c r="M3382" s="181"/>
      <c r="N3382" s="181"/>
      <c r="O3382" s="181"/>
      <c r="P3382" s="181"/>
    </row>
    <row r="3383">
      <c r="B3383" s="292"/>
      <c r="C3383" s="181"/>
      <c r="D3383" s="181"/>
      <c r="E3383" s="181"/>
      <c r="F3383" s="181"/>
      <c r="G3383" s="181"/>
      <c r="H3383" s="181"/>
      <c r="I3383" s="181"/>
      <c r="J3383" s="181"/>
      <c r="K3383" s="181"/>
      <c r="L3383" s="181"/>
      <c r="M3383" s="181"/>
      <c r="N3383" s="181"/>
      <c r="O3383" s="181"/>
      <c r="P3383" s="181"/>
    </row>
    <row r="3384">
      <c r="B3384" s="292"/>
      <c r="C3384" s="181"/>
      <c r="D3384" s="181"/>
      <c r="E3384" s="181"/>
      <c r="F3384" s="181"/>
      <c r="G3384" s="181"/>
      <c r="H3384" s="181"/>
      <c r="I3384" s="181"/>
      <c r="J3384" s="181"/>
      <c r="K3384" s="181"/>
      <c r="L3384" s="181"/>
      <c r="M3384" s="181"/>
      <c r="N3384" s="181"/>
      <c r="O3384" s="181"/>
      <c r="P3384" s="181"/>
    </row>
    <row r="3385">
      <c r="B3385" s="292"/>
      <c r="C3385" s="181"/>
      <c r="D3385" s="181"/>
      <c r="E3385" s="181"/>
      <c r="F3385" s="181"/>
      <c r="G3385" s="181"/>
      <c r="H3385" s="181"/>
      <c r="I3385" s="181"/>
      <c r="J3385" s="181"/>
      <c r="K3385" s="181"/>
      <c r="L3385" s="181"/>
      <c r="M3385" s="181"/>
      <c r="N3385" s="181"/>
      <c r="O3385" s="181"/>
      <c r="P3385" s="181"/>
    </row>
    <row r="3386">
      <c r="B3386" s="292"/>
      <c r="C3386" s="181"/>
      <c r="D3386" s="181"/>
      <c r="E3386" s="181"/>
      <c r="F3386" s="181"/>
      <c r="G3386" s="181"/>
      <c r="H3386" s="181"/>
      <c r="I3386" s="181"/>
      <c r="J3386" s="181"/>
      <c r="K3386" s="181"/>
      <c r="L3386" s="181"/>
      <c r="M3386" s="181"/>
      <c r="N3386" s="181"/>
      <c r="O3386" s="181"/>
      <c r="P3386" s="181"/>
    </row>
    <row r="3387">
      <c r="B3387" s="292"/>
      <c r="C3387" s="181"/>
      <c r="D3387" s="181"/>
      <c r="E3387" s="181"/>
      <c r="F3387" s="181"/>
      <c r="G3387" s="181"/>
      <c r="H3387" s="181"/>
      <c r="I3387" s="181"/>
      <c r="J3387" s="181"/>
      <c r="K3387" s="181"/>
      <c r="L3387" s="181"/>
      <c r="M3387" s="181"/>
      <c r="N3387" s="181"/>
      <c r="O3387" s="181"/>
      <c r="P3387" s="181"/>
    </row>
    <row r="3388">
      <c r="B3388" s="292"/>
      <c r="C3388" s="181"/>
      <c r="D3388" s="181"/>
      <c r="E3388" s="181"/>
      <c r="F3388" s="181"/>
      <c r="G3388" s="181"/>
      <c r="H3388" s="181"/>
      <c r="I3388" s="181"/>
      <c r="J3388" s="181"/>
      <c r="K3388" s="181"/>
      <c r="L3388" s="181"/>
      <c r="M3388" s="181"/>
      <c r="N3388" s="181"/>
      <c r="O3388" s="181"/>
      <c r="P3388" s="181"/>
    </row>
    <row r="3389">
      <c r="B3389" s="292"/>
      <c r="C3389" s="181"/>
      <c r="D3389" s="181"/>
      <c r="E3389" s="181"/>
      <c r="F3389" s="181"/>
      <c r="G3389" s="181"/>
      <c r="H3389" s="181"/>
      <c r="I3389" s="181"/>
      <c r="J3389" s="181"/>
      <c r="K3389" s="181"/>
      <c r="L3389" s="181"/>
      <c r="M3389" s="181"/>
      <c r="N3389" s="181"/>
      <c r="O3389" s="181"/>
      <c r="P3389" s="181"/>
    </row>
    <row r="3390">
      <c r="B3390" s="292"/>
      <c r="C3390" s="181"/>
      <c r="D3390" s="181"/>
      <c r="E3390" s="181"/>
      <c r="F3390" s="181"/>
      <c r="G3390" s="181"/>
      <c r="H3390" s="181"/>
      <c r="I3390" s="181"/>
      <c r="J3390" s="181"/>
      <c r="K3390" s="181"/>
      <c r="L3390" s="181"/>
      <c r="M3390" s="181"/>
      <c r="N3390" s="181"/>
      <c r="O3390" s="181"/>
      <c r="P3390" s="181"/>
    </row>
    <row r="3391">
      <c r="B3391" s="292"/>
      <c r="C3391" s="181"/>
      <c r="D3391" s="181"/>
      <c r="E3391" s="181"/>
      <c r="F3391" s="181"/>
      <c r="G3391" s="181"/>
      <c r="H3391" s="181"/>
      <c r="I3391" s="181"/>
      <c r="J3391" s="181"/>
      <c r="K3391" s="181"/>
      <c r="L3391" s="181"/>
      <c r="M3391" s="181"/>
      <c r="N3391" s="181"/>
      <c r="O3391" s="181"/>
      <c r="P3391" s="181"/>
    </row>
    <row r="3392">
      <c r="B3392" s="292"/>
      <c r="C3392" s="181"/>
      <c r="D3392" s="181"/>
      <c r="E3392" s="181"/>
      <c r="F3392" s="181"/>
      <c r="G3392" s="181"/>
      <c r="H3392" s="181"/>
      <c r="I3392" s="181"/>
      <c r="J3392" s="181"/>
      <c r="K3392" s="181"/>
      <c r="L3392" s="181"/>
      <c r="M3392" s="181"/>
      <c r="N3392" s="181"/>
      <c r="O3392" s="181"/>
      <c r="P3392" s="181"/>
    </row>
    <row r="3393">
      <c r="B3393" s="292"/>
      <c r="C3393" s="181"/>
      <c r="D3393" s="181"/>
      <c r="E3393" s="181"/>
      <c r="F3393" s="181"/>
      <c r="G3393" s="181"/>
      <c r="H3393" s="181"/>
      <c r="I3393" s="181"/>
      <c r="J3393" s="181"/>
      <c r="K3393" s="181"/>
      <c r="L3393" s="181"/>
      <c r="M3393" s="181"/>
      <c r="N3393" s="181"/>
      <c r="O3393" s="181"/>
      <c r="P3393" s="181"/>
    </row>
    <row r="3394">
      <c r="B3394" s="292"/>
      <c r="C3394" s="181"/>
      <c r="D3394" s="181"/>
      <c r="E3394" s="181"/>
      <c r="F3394" s="181"/>
      <c r="G3394" s="181"/>
      <c r="H3394" s="181"/>
      <c r="I3394" s="181"/>
      <c r="J3394" s="181"/>
      <c r="K3394" s="181"/>
      <c r="L3394" s="181"/>
      <c r="M3394" s="181"/>
      <c r="N3394" s="181"/>
      <c r="O3394" s="181"/>
      <c r="P3394" s="181"/>
    </row>
    <row r="3395">
      <c r="B3395" s="292"/>
      <c r="C3395" s="181"/>
      <c r="D3395" s="181"/>
      <c r="E3395" s="181"/>
      <c r="F3395" s="181"/>
      <c r="G3395" s="181"/>
      <c r="H3395" s="181"/>
      <c r="I3395" s="181"/>
      <c r="J3395" s="181"/>
      <c r="K3395" s="181"/>
      <c r="L3395" s="181"/>
      <c r="M3395" s="181"/>
      <c r="N3395" s="181"/>
      <c r="O3395" s="181"/>
      <c r="P3395" s="181"/>
    </row>
    <row r="3396">
      <c r="B3396" s="292"/>
      <c r="C3396" s="181"/>
      <c r="D3396" s="181"/>
      <c r="E3396" s="181"/>
      <c r="F3396" s="181"/>
      <c r="G3396" s="181"/>
      <c r="H3396" s="181"/>
      <c r="I3396" s="181"/>
      <c r="J3396" s="181"/>
      <c r="K3396" s="181"/>
      <c r="L3396" s="181"/>
      <c r="M3396" s="181"/>
      <c r="N3396" s="181"/>
      <c r="O3396" s="181"/>
      <c r="P3396" s="181"/>
    </row>
    <row r="3397">
      <c r="B3397" s="292"/>
      <c r="C3397" s="181"/>
      <c r="D3397" s="181"/>
      <c r="E3397" s="181"/>
      <c r="F3397" s="181"/>
      <c r="G3397" s="181"/>
      <c r="H3397" s="181"/>
      <c r="I3397" s="181"/>
      <c r="J3397" s="181"/>
      <c r="K3397" s="181"/>
      <c r="L3397" s="181"/>
      <c r="M3397" s="181"/>
      <c r="N3397" s="181"/>
      <c r="O3397" s="181"/>
      <c r="P3397" s="181"/>
    </row>
    <row r="3398">
      <c r="B3398" s="292"/>
      <c r="C3398" s="181"/>
      <c r="D3398" s="181"/>
      <c r="E3398" s="181"/>
      <c r="F3398" s="181"/>
      <c r="G3398" s="181"/>
      <c r="H3398" s="181"/>
      <c r="I3398" s="181"/>
      <c r="J3398" s="181"/>
      <c r="K3398" s="181"/>
      <c r="L3398" s="181"/>
      <c r="M3398" s="181"/>
      <c r="N3398" s="181"/>
      <c r="O3398" s="181"/>
      <c r="P3398" s="181"/>
    </row>
    <row r="3399">
      <c r="B3399" s="292"/>
      <c r="C3399" s="181"/>
      <c r="D3399" s="181"/>
      <c r="E3399" s="181"/>
      <c r="F3399" s="181"/>
      <c r="G3399" s="181"/>
      <c r="H3399" s="181"/>
      <c r="I3399" s="181"/>
      <c r="J3399" s="181"/>
      <c r="K3399" s="181"/>
      <c r="L3399" s="181"/>
      <c r="M3399" s="181"/>
      <c r="N3399" s="181"/>
      <c r="O3399" s="181"/>
      <c r="P3399" s="181"/>
    </row>
    <row r="3400">
      <c r="B3400" s="292"/>
      <c r="C3400" s="181"/>
      <c r="D3400" s="181"/>
      <c r="E3400" s="181"/>
      <c r="F3400" s="181"/>
      <c r="G3400" s="181"/>
      <c r="H3400" s="181"/>
      <c r="I3400" s="181"/>
      <c r="J3400" s="181"/>
      <c r="K3400" s="181"/>
      <c r="L3400" s="181"/>
      <c r="M3400" s="181"/>
      <c r="N3400" s="181"/>
      <c r="O3400" s="181"/>
      <c r="P3400" s="181"/>
    </row>
    <row r="3401">
      <c r="B3401" s="292"/>
      <c r="C3401" s="181"/>
      <c r="D3401" s="181"/>
      <c r="E3401" s="181"/>
      <c r="F3401" s="181"/>
      <c r="G3401" s="181"/>
      <c r="H3401" s="181"/>
      <c r="I3401" s="181"/>
      <c r="J3401" s="181"/>
      <c r="K3401" s="181"/>
      <c r="L3401" s="181"/>
      <c r="M3401" s="181"/>
      <c r="N3401" s="181"/>
      <c r="O3401" s="181"/>
      <c r="P3401" s="181"/>
    </row>
    <row r="3402">
      <c r="B3402" s="292"/>
      <c r="C3402" s="181"/>
      <c r="D3402" s="181"/>
      <c r="E3402" s="181"/>
      <c r="F3402" s="181"/>
      <c r="G3402" s="181"/>
      <c r="H3402" s="181"/>
      <c r="I3402" s="181"/>
      <c r="J3402" s="181"/>
      <c r="K3402" s="181"/>
      <c r="L3402" s="181"/>
      <c r="M3402" s="181"/>
      <c r="N3402" s="181"/>
      <c r="O3402" s="181"/>
      <c r="P3402" s="181"/>
    </row>
    <row r="3403">
      <c r="B3403" s="292"/>
      <c r="C3403" s="181"/>
      <c r="D3403" s="181"/>
      <c r="E3403" s="181"/>
      <c r="F3403" s="181"/>
      <c r="G3403" s="181"/>
      <c r="H3403" s="181"/>
      <c r="I3403" s="181"/>
      <c r="J3403" s="181"/>
      <c r="K3403" s="181"/>
      <c r="L3403" s="181"/>
      <c r="M3403" s="181"/>
      <c r="N3403" s="181"/>
      <c r="O3403" s="181"/>
      <c r="P3403" s="181"/>
    </row>
    <row r="3404">
      <c r="B3404" s="292"/>
      <c r="C3404" s="181"/>
      <c r="D3404" s="181"/>
      <c r="E3404" s="181"/>
      <c r="F3404" s="181"/>
      <c r="G3404" s="181"/>
      <c r="H3404" s="181"/>
      <c r="I3404" s="181"/>
      <c r="J3404" s="181"/>
      <c r="K3404" s="181"/>
      <c r="L3404" s="181"/>
      <c r="M3404" s="181"/>
      <c r="N3404" s="181"/>
      <c r="O3404" s="181"/>
      <c r="P3404" s="181"/>
    </row>
    <row r="3405">
      <c r="B3405" s="292"/>
      <c r="C3405" s="181"/>
      <c r="D3405" s="181"/>
      <c r="E3405" s="181"/>
      <c r="F3405" s="181"/>
      <c r="G3405" s="181"/>
      <c r="H3405" s="181"/>
      <c r="I3405" s="181"/>
      <c r="J3405" s="181"/>
      <c r="K3405" s="181"/>
      <c r="L3405" s="181"/>
      <c r="M3405" s="181"/>
      <c r="N3405" s="181"/>
      <c r="O3405" s="181"/>
      <c r="P3405" s="181"/>
    </row>
    <row r="3406">
      <c r="B3406" s="292"/>
      <c r="C3406" s="181"/>
      <c r="D3406" s="181"/>
      <c r="E3406" s="181"/>
      <c r="F3406" s="181"/>
      <c r="G3406" s="181"/>
      <c r="H3406" s="181"/>
      <c r="I3406" s="181"/>
      <c r="J3406" s="181"/>
      <c r="K3406" s="181"/>
      <c r="L3406" s="181"/>
      <c r="M3406" s="181"/>
      <c r="N3406" s="181"/>
      <c r="O3406" s="181"/>
      <c r="P3406" s="181"/>
    </row>
    <row r="3407">
      <c r="B3407" s="292"/>
      <c r="C3407" s="181"/>
      <c r="D3407" s="181"/>
      <c r="E3407" s="181"/>
      <c r="F3407" s="181"/>
      <c r="G3407" s="181"/>
      <c r="H3407" s="181"/>
      <c r="I3407" s="181"/>
      <c r="J3407" s="181"/>
      <c r="K3407" s="181"/>
      <c r="L3407" s="181"/>
      <c r="M3407" s="181"/>
      <c r="N3407" s="181"/>
      <c r="O3407" s="181"/>
      <c r="P3407" s="181"/>
    </row>
    <row r="3408">
      <c r="B3408" s="292"/>
      <c r="C3408" s="181"/>
      <c r="D3408" s="181"/>
      <c r="E3408" s="181"/>
      <c r="F3408" s="181"/>
      <c r="G3408" s="181"/>
      <c r="H3408" s="181"/>
      <c r="I3408" s="181"/>
      <c r="J3408" s="181"/>
      <c r="K3408" s="181"/>
      <c r="L3408" s="181"/>
      <c r="M3408" s="181"/>
      <c r="N3408" s="181"/>
      <c r="O3408" s="181"/>
      <c r="P3408" s="181"/>
    </row>
    <row r="3409">
      <c r="B3409" s="292"/>
      <c r="C3409" s="181"/>
      <c r="D3409" s="181"/>
      <c r="E3409" s="181"/>
      <c r="F3409" s="181"/>
      <c r="G3409" s="181"/>
      <c r="H3409" s="181"/>
      <c r="I3409" s="181"/>
      <c r="J3409" s="181"/>
      <c r="K3409" s="181"/>
      <c r="L3409" s="181"/>
      <c r="M3409" s="181"/>
      <c r="N3409" s="181"/>
      <c r="O3409" s="181"/>
      <c r="P3409" s="181"/>
    </row>
    <row r="3410">
      <c r="B3410" s="292"/>
      <c r="C3410" s="181"/>
      <c r="D3410" s="181"/>
      <c r="E3410" s="181"/>
      <c r="F3410" s="181"/>
      <c r="G3410" s="181"/>
      <c r="H3410" s="181"/>
      <c r="I3410" s="181"/>
      <c r="J3410" s="181"/>
      <c r="K3410" s="181"/>
      <c r="L3410" s="181"/>
      <c r="M3410" s="181"/>
      <c r="N3410" s="181"/>
      <c r="O3410" s="181"/>
      <c r="P3410" s="181"/>
    </row>
    <row r="3411">
      <c r="B3411" s="292"/>
      <c r="C3411" s="181"/>
      <c r="D3411" s="181"/>
      <c r="E3411" s="181"/>
      <c r="F3411" s="181"/>
      <c r="G3411" s="181"/>
      <c r="H3411" s="181"/>
      <c r="I3411" s="181"/>
      <c r="J3411" s="181"/>
      <c r="K3411" s="181"/>
      <c r="L3411" s="181"/>
      <c r="M3411" s="181"/>
      <c r="N3411" s="181"/>
      <c r="O3411" s="181"/>
      <c r="P3411" s="181"/>
    </row>
    <row r="3412">
      <c r="B3412" s="292"/>
      <c r="C3412" s="181"/>
      <c r="D3412" s="181"/>
      <c r="E3412" s="181"/>
      <c r="F3412" s="181"/>
      <c r="G3412" s="181"/>
      <c r="H3412" s="181"/>
      <c r="I3412" s="181"/>
      <c r="J3412" s="181"/>
      <c r="K3412" s="181"/>
      <c r="L3412" s="181"/>
      <c r="M3412" s="181"/>
      <c r="N3412" s="181"/>
      <c r="O3412" s="181"/>
      <c r="P3412" s="181"/>
    </row>
    <row r="3413">
      <c r="B3413" s="292"/>
      <c r="C3413" s="181"/>
      <c r="D3413" s="181"/>
      <c r="E3413" s="181"/>
      <c r="F3413" s="181"/>
      <c r="G3413" s="181"/>
      <c r="H3413" s="181"/>
      <c r="I3413" s="181"/>
      <c r="J3413" s="181"/>
      <c r="K3413" s="181"/>
      <c r="L3413" s="181"/>
      <c r="M3413" s="181"/>
      <c r="N3413" s="181"/>
      <c r="O3413" s="181"/>
      <c r="P3413" s="181"/>
    </row>
    <row r="3414">
      <c r="B3414" s="292"/>
      <c r="C3414" s="181"/>
      <c r="D3414" s="181"/>
      <c r="E3414" s="181"/>
      <c r="F3414" s="181"/>
      <c r="G3414" s="181"/>
      <c r="H3414" s="181"/>
      <c r="I3414" s="181"/>
      <c r="J3414" s="181"/>
      <c r="K3414" s="181"/>
      <c r="L3414" s="181"/>
      <c r="M3414" s="181"/>
      <c r="N3414" s="181"/>
      <c r="O3414" s="181"/>
      <c r="P3414" s="181"/>
    </row>
    <row r="3415">
      <c r="B3415" s="292"/>
      <c r="C3415" s="181"/>
      <c r="D3415" s="181"/>
      <c r="E3415" s="181"/>
      <c r="F3415" s="181"/>
      <c r="G3415" s="181"/>
      <c r="H3415" s="181"/>
      <c r="I3415" s="181"/>
      <c r="J3415" s="181"/>
      <c r="K3415" s="181"/>
      <c r="L3415" s="181"/>
      <c r="M3415" s="181"/>
      <c r="N3415" s="181"/>
      <c r="O3415" s="181"/>
      <c r="P3415" s="181"/>
    </row>
    <row r="3416">
      <c r="B3416" s="292"/>
      <c r="C3416" s="181"/>
      <c r="D3416" s="181"/>
      <c r="E3416" s="181"/>
      <c r="F3416" s="181"/>
      <c r="G3416" s="181"/>
      <c r="H3416" s="181"/>
      <c r="I3416" s="181"/>
      <c r="J3416" s="181"/>
      <c r="K3416" s="181"/>
      <c r="L3416" s="181"/>
      <c r="M3416" s="181"/>
      <c r="N3416" s="181"/>
      <c r="O3416" s="181"/>
      <c r="P3416" s="181"/>
    </row>
    <row r="3417">
      <c r="B3417" s="292"/>
      <c r="C3417" s="181"/>
      <c r="D3417" s="181"/>
      <c r="E3417" s="181"/>
      <c r="F3417" s="181"/>
      <c r="G3417" s="181"/>
      <c r="H3417" s="181"/>
      <c r="I3417" s="181"/>
      <c r="J3417" s="181"/>
      <c r="K3417" s="181"/>
      <c r="L3417" s="181"/>
      <c r="M3417" s="181"/>
      <c r="N3417" s="181"/>
      <c r="O3417" s="181"/>
      <c r="P3417" s="181"/>
    </row>
    <row r="3418">
      <c r="B3418" s="292"/>
      <c r="C3418" s="181"/>
      <c r="D3418" s="181"/>
      <c r="E3418" s="181"/>
      <c r="F3418" s="181"/>
      <c r="G3418" s="181"/>
      <c r="H3418" s="181"/>
      <c r="I3418" s="181"/>
      <c r="J3418" s="181"/>
      <c r="K3418" s="181"/>
      <c r="L3418" s="181"/>
      <c r="M3418" s="181"/>
      <c r="N3418" s="181"/>
      <c r="O3418" s="181"/>
      <c r="P3418" s="181"/>
    </row>
    <row r="3419">
      <c r="B3419" s="292"/>
      <c r="C3419" s="181"/>
      <c r="D3419" s="181"/>
      <c r="E3419" s="181"/>
      <c r="F3419" s="181"/>
      <c r="G3419" s="181"/>
      <c r="H3419" s="181"/>
      <c r="I3419" s="181"/>
      <c r="J3419" s="181"/>
      <c r="K3419" s="181"/>
      <c r="L3419" s="181"/>
      <c r="M3419" s="181"/>
      <c r="N3419" s="181"/>
      <c r="O3419" s="181"/>
      <c r="P3419" s="181"/>
    </row>
    <row r="3420">
      <c r="B3420" s="292"/>
      <c r="C3420" s="181"/>
      <c r="D3420" s="181"/>
      <c r="E3420" s="181"/>
      <c r="F3420" s="181"/>
      <c r="G3420" s="181"/>
      <c r="H3420" s="181"/>
      <c r="I3420" s="181"/>
      <c r="J3420" s="181"/>
      <c r="K3420" s="181"/>
      <c r="L3420" s="181"/>
      <c r="M3420" s="181"/>
      <c r="N3420" s="181"/>
      <c r="O3420" s="181"/>
      <c r="P3420" s="181"/>
    </row>
    <row r="3421">
      <c r="B3421" s="292"/>
      <c r="C3421" s="181"/>
      <c r="D3421" s="181"/>
      <c r="E3421" s="181"/>
      <c r="F3421" s="181"/>
      <c r="G3421" s="181"/>
      <c r="H3421" s="181"/>
      <c r="I3421" s="181"/>
      <c r="J3421" s="181"/>
      <c r="K3421" s="181"/>
      <c r="L3421" s="181"/>
      <c r="M3421" s="181"/>
      <c r="N3421" s="181"/>
      <c r="O3421" s="181"/>
      <c r="P3421" s="181"/>
    </row>
    <row r="3422">
      <c r="B3422" s="292"/>
      <c r="C3422" s="181"/>
      <c r="D3422" s="181"/>
      <c r="E3422" s="181"/>
      <c r="F3422" s="181"/>
      <c r="G3422" s="181"/>
      <c r="H3422" s="181"/>
      <c r="I3422" s="181"/>
      <c r="J3422" s="181"/>
      <c r="K3422" s="181"/>
      <c r="L3422" s="181"/>
      <c r="M3422" s="181"/>
      <c r="N3422" s="181"/>
      <c r="O3422" s="181"/>
      <c r="P3422" s="181"/>
    </row>
    <row r="3423">
      <c r="B3423" s="292"/>
      <c r="C3423" s="181"/>
      <c r="D3423" s="181"/>
      <c r="E3423" s="181"/>
      <c r="F3423" s="181"/>
      <c r="G3423" s="181"/>
      <c r="H3423" s="181"/>
      <c r="I3423" s="181"/>
      <c r="J3423" s="181"/>
      <c r="K3423" s="181"/>
      <c r="L3423" s="181"/>
      <c r="M3423" s="181"/>
      <c r="N3423" s="181"/>
      <c r="O3423" s="181"/>
      <c r="P3423" s="181"/>
    </row>
    <row r="3424">
      <c r="B3424" s="292"/>
      <c r="C3424" s="181"/>
      <c r="D3424" s="181"/>
      <c r="E3424" s="181"/>
      <c r="F3424" s="181"/>
      <c r="G3424" s="181"/>
      <c r="H3424" s="181"/>
      <c r="I3424" s="181"/>
      <c r="J3424" s="181"/>
      <c r="K3424" s="181"/>
      <c r="L3424" s="181"/>
      <c r="M3424" s="181"/>
      <c r="N3424" s="181"/>
      <c r="O3424" s="181"/>
      <c r="P3424" s="181"/>
    </row>
    <row r="3425">
      <c r="B3425" s="292"/>
      <c r="C3425" s="181"/>
      <c r="D3425" s="181"/>
      <c r="E3425" s="181"/>
      <c r="F3425" s="181"/>
      <c r="G3425" s="181"/>
      <c r="H3425" s="181"/>
      <c r="I3425" s="181"/>
      <c r="J3425" s="181"/>
      <c r="K3425" s="181"/>
      <c r="L3425" s="181"/>
      <c r="M3425" s="181"/>
      <c r="N3425" s="181"/>
      <c r="O3425" s="181"/>
      <c r="P3425" s="181"/>
    </row>
    <row r="3426">
      <c r="B3426" s="292"/>
      <c r="C3426" s="181"/>
      <c r="D3426" s="181"/>
      <c r="E3426" s="181"/>
      <c r="F3426" s="181"/>
      <c r="G3426" s="181"/>
      <c r="H3426" s="181"/>
      <c r="I3426" s="181"/>
      <c r="J3426" s="181"/>
      <c r="K3426" s="181"/>
      <c r="L3426" s="181"/>
      <c r="M3426" s="181"/>
      <c r="N3426" s="181"/>
      <c r="O3426" s="181"/>
      <c r="P3426" s="181"/>
    </row>
    <row r="3427">
      <c r="B3427" s="292"/>
      <c r="C3427" s="181"/>
      <c r="D3427" s="181"/>
      <c r="E3427" s="181"/>
      <c r="F3427" s="181"/>
      <c r="G3427" s="181"/>
      <c r="H3427" s="181"/>
      <c r="I3427" s="181"/>
      <c r="J3427" s="181"/>
      <c r="K3427" s="181"/>
      <c r="L3427" s="181"/>
      <c r="M3427" s="181"/>
      <c r="N3427" s="181"/>
      <c r="O3427" s="181"/>
      <c r="P3427" s="181"/>
    </row>
    <row r="3428">
      <c r="B3428" s="292"/>
      <c r="C3428" s="181"/>
      <c r="D3428" s="181"/>
      <c r="E3428" s="181"/>
      <c r="F3428" s="181"/>
      <c r="G3428" s="181"/>
      <c r="H3428" s="181"/>
      <c r="I3428" s="181"/>
      <c r="J3428" s="181"/>
      <c r="K3428" s="181"/>
      <c r="L3428" s="181"/>
      <c r="M3428" s="181"/>
      <c r="N3428" s="181"/>
      <c r="O3428" s="181"/>
      <c r="P3428" s="181"/>
    </row>
    <row r="3429">
      <c r="B3429" s="292"/>
      <c r="C3429" s="181"/>
      <c r="D3429" s="181"/>
      <c r="E3429" s="181"/>
      <c r="F3429" s="181"/>
      <c r="G3429" s="181"/>
      <c r="H3429" s="181"/>
      <c r="I3429" s="181"/>
      <c r="J3429" s="181"/>
      <c r="K3429" s="181"/>
      <c r="L3429" s="181"/>
      <c r="M3429" s="181"/>
      <c r="N3429" s="181"/>
      <c r="O3429" s="181"/>
      <c r="P3429" s="181"/>
    </row>
    <row r="3430">
      <c r="B3430" s="292"/>
      <c r="C3430" s="181"/>
      <c r="D3430" s="181"/>
      <c r="E3430" s="181"/>
      <c r="F3430" s="181"/>
      <c r="G3430" s="181"/>
      <c r="H3430" s="181"/>
      <c r="I3430" s="181"/>
      <c r="J3430" s="181"/>
      <c r="K3430" s="181"/>
      <c r="L3430" s="181"/>
      <c r="M3430" s="181"/>
      <c r="N3430" s="181"/>
      <c r="O3430" s="181"/>
      <c r="P3430" s="181"/>
    </row>
    <row r="3431">
      <c r="B3431" s="292"/>
      <c r="C3431" s="181"/>
      <c r="D3431" s="181"/>
      <c r="E3431" s="181"/>
      <c r="F3431" s="181"/>
      <c r="G3431" s="181"/>
      <c r="H3431" s="181"/>
      <c r="I3431" s="181"/>
      <c r="J3431" s="181"/>
      <c r="K3431" s="181"/>
      <c r="L3431" s="181"/>
      <c r="M3431" s="181"/>
      <c r="N3431" s="181"/>
      <c r="O3431" s="181"/>
      <c r="P3431" s="181"/>
    </row>
    <row r="3432">
      <c r="B3432" s="292"/>
      <c r="C3432" s="181"/>
      <c r="D3432" s="181"/>
      <c r="E3432" s="181"/>
      <c r="F3432" s="181"/>
      <c r="G3432" s="181"/>
      <c r="H3432" s="181"/>
      <c r="I3432" s="181"/>
      <c r="J3432" s="181"/>
      <c r="K3432" s="181"/>
      <c r="L3432" s="181"/>
      <c r="M3432" s="181"/>
      <c r="N3432" s="181"/>
      <c r="O3432" s="181"/>
      <c r="P3432" s="181"/>
    </row>
    <row r="3433">
      <c r="B3433" s="292"/>
      <c r="C3433" s="181"/>
      <c r="D3433" s="181"/>
      <c r="E3433" s="181"/>
      <c r="F3433" s="181"/>
      <c r="G3433" s="181"/>
      <c r="H3433" s="181"/>
      <c r="I3433" s="181"/>
      <c r="J3433" s="181"/>
      <c r="K3433" s="181"/>
      <c r="L3433" s="181"/>
      <c r="M3433" s="181"/>
      <c r="N3433" s="181"/>
      <c r="O3433" s="181"/>
      <c r="P3433" s="181"/>
    </row>
    <row r="3434">
      <c r="B3434" s="292"/>
      <c r="C3434" s="181"/>
      <c r="D3434" s="181"/>
      <c r="E3434" s="181"/>
      <c r="F3434" s="181"/>
      <c r="G3434" s="181"/>
      <c r="H3434" s="181"/>
      <c r="I3434" s="181"/>
      <c r="J3434" s="181"/>
      <c r="K3434" s="181"/>
      <c r="L3434" s="181"/>
      <c r="M3434" s="181"/>
      <c r="N3434" s="181"/>
      <c r="O3434" s="181"/>
      <c r="P3434" s="181"/>
    </row>
    <row r="3435">
      <c r="B3435" s="292"/>
      <c r="C3435" s="181"/>
      <c r="D3435" s="181"/>
      <c r="E3435" s="181"/>
      <c r="F3435" s="181"/>
      <c r="G3435" s="181"/>
      <c r="H3435" s="181"/>
      <c r="I3435" s="181"/>
      <c r="J3435" s="181"/>
      <c r="K3435" s="181"/>
      <c r="L3435" s="181"/>
      <c r="M3435" s="181"/>
      <c r="N3435" s="181"/>
      <c r="O3435" s="181"/>
      <c r="P3435" s="181"/>
    </row>
    <row r="3436">
      <c r="B3436" s="292"/>
      <c r="C3436" s="181"/>
      <c r="D3436" s="181"/>
      <c r="E3436" s="181"/>
      <c r="F3436" s="181"/>
      <c r="G3436" s="181"/>
      <c r="H3436" s="181"/>
      <c r="I3436" s="181"/>
      <c r="J3436" s="181"/>
      <c r="K3436" s="181"/>
      <c r="L3436" s="181"/>
      <c r="M3436" s="181"/>
      <c r="N3436" s="181"/>
      <c r="O3436" s="181"/>
      <c r="P3436" s="181"/>
    </row>
    <row r="3437">
      <c r="B3437" s="292"/>
      <c r="C3437" s="181"/>
      <c r="D3437" s="181"/>
      <c r="E3437" s="181"/>
      <c r="F3437" s="181"/>
      <c r="G3437" s="181"/>
      <c r="H3437" s="181"/>
      <c r="I3437" s="181"/>
      <c r="J3437" s="181"/>
      <c r="K3437" s="181"/>
      <c r="L3437" s="181"/>
      <c r="M3437" s="181"/>
      <c r="N3437" s="181"/>
      <c r="O3437" s="181"/>
      <c r="P3437" s="181"/>
    </row>
    <row r="3438">
      <c r="B3438" s="292"/>
      <c r="C3438" s="181"/>
      <c r="D3438" s="181"/>
      <c r="E3438" s="181"/>
      <c r="F3438" s="181"/>
      <c r="G3438" s="181"/>
      <c r="H3438" s="181"/>
      <c r="I3438" s="181"/>
      <c r="J3438" s="181"/>
      <c r="K3438" s="181"/>
      <c r="L3438" s="181"/>
      <c r="M3438" s="181"/>
      <c r="N3438" s="181"/>
      <c r="O3438" s="181"/>
      <c r="P3438" s="181"/>
    </row>
    <row r="3439">
      <c r="B3439" s="292"/>
      <c r="C3439" s="181"/>
      <c r="D3439" s="181"/>
      <c r="E3439" s="181"/>
      <c r="F3439" s="181"/>
      <c r="G3439" s="181"/>
      <c r="H3439" s="181"/>
      <c r="I3439" s="181"/>
      <c r="J3439" s="181"/>
      <c r="K3439" s="181"/>
      <c r="L3439" s="181"/>
      <c r="M3439" s="181"/>
      <c r="N3439" s="181"/>
      <c r="O3439" s="181"/>
      <c r="P3439" s="181"/>
    </row>
    <row r="3440">
      <c r="B3440" s="292"/>
      <c r="C3440" s="181"/>
      <c r="D3440" s="181"/>
      <c r="E3440" s="181"/>
      <c r="F3440" s="181"/>
      <c r="G3440" s="181"/>
      <c r="H3440" s="181"/>
      <c r="I3440" s="181"/>
      <c r="J3440" s="181"/>
      <c r="K3440" s="181"/>
      <c r="L3440" s="181"/>
      <c r="M3440" s="181"/>
      <c r="N3440" s="181"/>
      <c r="O3440" s="181"/>
      <c r="P3440" s="181"/>
    </row>
    <row r="3441">
      <c r="B3441" s="292"/>
      <c r="C3441" s="181"/>
      <c r="D3441" s="181"/>
      <c r="E3441" s="181"/>
      <c r="F3441" s="181"/>
      <c r="G3441" s="181"/>
      <c r="H3441" s="181"/>
      <c r="I3441" s="181"/>
      <c r="J3441" s="181"/>
      <c r="K3441" s="181"/>
      <c r="L3441" s="181"/>
      <c r="M3441" s="181"/>
      <c r="N3441" s="181"/>
      <c r="O3441" s="181"/>
      <c r="P3441" s="181"/>
    </row>
    <row r="3442">
      <c r="B3442" s="292"/>
      <c r="C3442" s="181"/>
      <c r="D3442" s="181"/>
      <c r="E3442" s="181"/>
      <c r="F3442" s="181"/>
      <c r="G3442" s="181"/>
      <c r="H3442" s="181"/>
      <c r="I3442" s="181"/>
      <c r="J3442" s="181"/>
      <c r="K3442" s="181"/>
      <c r="L3442" s="181"/>
      <c r="M3442" s="181"/>
      <c r="N3442" s="181"/>
      <c r="O3442" s="181"/>
      <c r="P3442" s="181"/>
    </row>
    <row r="3443">
      <c r="B3443" s="292"/>
      <c r="C3443" s="181"/>
      <c r="D3443" s="181"/>
      <c r="E3443" s="181"/>
      <c r="F3443" s="181"/>
      <c r="G3443" s="181"/>
      <c r="H3443" s="181"/>
      <c r="I3443" s="181"/>
      <c r="J3443" s="181"/>
      <c r="K3443" s="181"/>
      <c r="L3443" s="181"/>
      <c r="M3443" s="181"/>
      <c r="N3443" s="181"/>
      <c r="O3443" s="181"/>
      <c r="P3443" s="181"/>
    </row>
    <row r="3444">
      <c r="B3444" s="292"/>
      <c r="C3444" s="181"/>
      <c r="D3444" s="181"/>
      <c r="E3444" s="181"/>
      <c r="F3444" s="181"/>
      <c r="G3444" s="181"/>
      <c r="H3444" s="181"/>
      <c r="I3444" s="181"/>
      <c r="J3444" s="181"/>
      <c r="K3444" s="181"/>
      <c r="L3444" s="181"/>
      <c r="M3444" s="181"/>
      <c r="N3444" s="181"/>
      <c r="O3444" s="181"/>
      <c r="P3444" s="181"/>
    </row>
    <row r="3445">
      <c r="B3445" s="292"/>
      <c r="C3445" s="181"/>
      <c r="D3445" s="181"/>
      <c r="E3445" s="181"/>
      <c r="F3445" s="181"/>
      <c r="G3445" s="181"/>
      <c r="H3445" s="181"/>
      <c r="I3445" s="181"/>
      <c r="J3445" s="181"/>
      <c r="K3445" s="181"/>
      <c r="L3445" s="181"/>
      <c r="M3445" s="181"/>
      <c r="N3445" s="181"/>
      <c r="O3445" s="181"/>
      <c r="P3445" s="181"/>
    </row>
    <row r="3446">
      <c r="B3446" s="292"/>
      <c r="C3446" s="181"/>
      <c r="D3446" s="181"/>
      <c r="E3446" s="181"/>
      <c r="F3446" s="181"/>
      <c r="G3446" s="181"/>
      <c r="H3446" s="181"/>
      <c r="I3446" s="181"/>
      <c r="J3446" s="181"/>
      <c r="K3446" s="181"/>
      <c r="L3446" s="181"/>
      <c r="M3446" s="181"/>
      <c r="N3446" s="181"/>
      <c r="O3446" s="181"/>
      <c r="P3446" s="181"/>
    </row>
    <row r="3447">
      <c r="B3447" s="292"/>
      <c r="C3447" s="181"/>
      <c r="D3447" s="181"/>
      <c r="E3447" s="181"/>
      <c r="F3447" s="181"/>
      <c r="G3447" s="181"/>
      <c r="H3447" s="181"/>
      <c r="I3447" s="181"/>
      <c r="J3447" s="181"/>
      <c r="K3447" s="181"/>
      <c r="L3447" s="181"/>
      <c r="M3447" s="181"/>
      <c r="N3447" s="181"/>
      <c r="O3447" s="181"/>
      <c r="P3447" s="181"/>
    </row>
    <row r="3448">
      <c r="B3448" s="292"/>
      <c r="C3448" s="181"/>
      <c r="D3448" s="181"/>
      <c r="E3448" s="181"/>
      <c r="F3448" s="181"/>
      <c r="G3448" s="181"/>
      <c r="H3448" s="181"/>
      <c r="I3448" s="181"/>
      <c r="J3448" s="181"/>
      <c r="K3448" s="181"/>
      <c r="L3448" s="181"/>
      <c r="M3448" s="181"/>
      <c r="N3448" s="181"/>
      <c r="O3448" s="181"/>
      <c r="P3448" s="181"/>
    </row>
    <row r="3449">
      <c r="B3449" s="292"/>
      <c r="C3449" s="181"/>
      <c r="D3449" s="181"/>
      <c r="E3449" s="181"/>
      <c r="F3449" s="181"/>
      <c r="G3449" s="181"/>
      <c r="H3449" s="181"/>
      <c r="I3449" s="181"/>
      <c r="J3449" s="181"/>
      <c r="K3449" s="181"/>
      <c r="L3449" s="181"/>
      <c r="M3449" s="181"/>
      <c r="N3449" s="181"/>
      <c r="O3449" s="181"/>
      <c r="P3449" s="181"/>
    </row>
    <row r="3450">
      <c r="B3450" s="292"/>
      <c r="C3450" s="181"/>
      <c r="D3450" s="181"/>
      <c r="E3450" s="181"/>
      <c r="F3450" s="181"/>
      <c r="G3450" s="181"/>
      <c r="H3450" s="181"/>
      <c r="I3450" s="181"/>
      <c r="J3450" s="181"/>
      <c r="K3450" s="181"/>
      <c r="L3450" s="181"/>
      <c r="M3450" s="181"/>
      <c r="N3450" s="181"/>
      <c r="O3450" s="181"/>
      <c r="P3450" s="181"/>
    </row>
    <row r="3451">
      <c r="B3451" s="292"/>
      <c r="C3451" s="181"/>
      <c r="D3451" s="181"/>
      <c r="E3451" s="181"/>
      <c r="F3451" s="181"/>
      <c r="G3451" s="181"/>
      <c r="H3451" s="181"/>
      <c r="I3451" s="181"/>
      <c r="J3451" s="181"/>
      <c r="K3451" s="181"/>
      <c r="L3451" s="181"/>
      <c r="M3451" s="181"/>
      <c r="N3451" s="181"/>
      <c r="O3451" s="181"/>
      <c r="P3451" s="181"/>
    </row>
    <row r="3452">
      <c r="B3452" s="292"/>
      <c r="C3452" s="181"/>
      <c r="D3452" s="181"/>
      <c r="E3452" s="181"/>
      <c r="F3452" s="181"/>
      <c r="G3452" s="181"/>
      <c r="H3452" s="181"/>
      <c r="I3452" s="181"/>
      <c r="J3452" s="181"/>
      <c r="K3452" s="181"/>
      <c r="L3452" s="181"/>
      <c r="M3452" s="181"/>
      <c r="N3452" s="181"/>
      <c r="O3452" s="181"/>
      <c r="P3452" s="181"/>
    </row>
    <row r="3453">
      <c r="B3453" s="292"/>
      <c r="C3453" s="181"/>
      <c r="D3453" s="181"/>
      <c r="E3453" s="181"/>
      <c r="F3453" s="181"/>
      <c r="G3453" s="181"/>
      <c r="H3453" s="181"/>
      <c r="I3453" s="181"/>
      <c r="J3453" s="181"/>
      <c r="K3453" s="181"/>
      <c r="L3453" s="181"/>
      <c r="M3453" s="181"/>
      <c r="N3453" s="181"/>
      <c r="O3453" s="181"/>
      <c r="P3453" s="181"/>
    </row>
    <row r="3454">
      <c r="B3454" s="292"/>
      <c r="C3454" s="181"/>
      <c r="D3454" s="181"/>
      <c r="E3454" s="181"/>
      <c r="F3454" s="181"/>
      <c r="G3454" s="181"/>
      <c r="H3454" s="181"/>
      <c r="I3454" s="181"/>
      <c r="J3454" s="181"/>
      <c r="K3454" s="181"/>
      <c r="L3454" s="181"/>
      <c r="M3454" s="181"/>
      <c r="N3454" s="181"/>
      <c r="O3454" s="181"/>
      <c r="P3454" s="181"/>
    </row>
    <row r="3455">
      <c r="B3455" s="292"/>
      <c r="C3455" s="181"/>
      <c r="D3455" s="181"/>
      <c r="E3455" s="181"/>
      <c r="F3455" s="181"/>
      <c r="G3455" s="181"/>
      <c r="H3455" s="181"/>
      <c r="I3455" s="181"/>
      <c r="J3455" s="181"/>
      <c r="K3455" s="181"/>
      <c r="L3455" s="181"/>
      <c r="M3455" s="181"/>
      <c r="N3455" s="181"/>
      <c r="O3455" s="181"/>
      <c r="P3455" s="181"/>
    </row>
    <row r="3456">
      <c r="B3456" s="292"/>
      <c r="C3456" s="181"/>
      <c r="D3456" s="181"/>
      <c r="E3456" s="181"/>
      <c r="F3456" s="181"/>
      <c r="G3456" s="181"/>
      <c r="H3456" s="181"/>
      <c r="I3456" s="181"/>
      <c r="J3456" s="181"/>
      <c r="K3456" s="181"/>
      <c r="L3456" s="181"/>
      <c r="M3456" s="181"/>
      <c r="N3456" s="181"/>
      <c r="O3456" s="181"/>
      <c r="P3456" s="181"/>
    </row>
    <row r="3457">
      <c r="B3457" s="292"/>
      <c r="C3457" s="181"/>
      <c r="D3457" s="181"/>
      <c r="E3457" s="181"/>
      <c r="F3457" s="181"/>
      <c r="G3457" s="181"/>
      <c r="H3457" s="181"/>
      <c r="I3457" s="181"/>
      <c r="J3457" s="181"/>
      <c r="K3457" s="181"/>
      <c r="L3457" s="181"/>
      <c r="M3457" s="181"/>
      <c r="N3457" s="181"/>
      <c r="O3457" s="181"/>
      <c r="P3457" s="181"/>
    </row>
    <row r="3458">
      <c r="B3458" s="292"/>
      <c r="C3458" s="181"/>
      <c r="D3458" s="181"/>
      <c r="E3458" s="181"/>
      <c r="F3458" s="181"/>
      <c r="G3458" s="181"/>
      <c r="H3458" s="181"/>
      <c r="I3458" s="181"/>
      <c r="J3458" s="181"/>
      <c r="K3458" s="181"/>
      <c r="L3458" s="181"/>
      <c r="M3458" s="181"/>
      <c r="N3458" s="181"/>
      <c r="O3458" s="181"/>
      <c r="P3458" s="181"/>
    </row>
    <row r="3459">
      <c r="B3459" s="292"/>
      <c r="C3459" s="181"/>
      <c r="D3459" s="181"/>
      <c r="E3459" s="181"/>
      <c r="F3459" s="181"/>
      <c r="G3459" s="181"/>
      <c r="H3459" s="181"/>
      <c r="I3459" s="181"/>
      <c r="J3459" s="181"/>
      <c r="K3459" s="181"/>
      <c r="L3459" s="181"/>
      <c r="M3459" s="181"/>
      <c r="N3459" s="181"/>
      <c r="O3459" s="181"/>
      <c r="P3459" s="181"/>
    </row>
    <row r="3460">
      <c r="B3460" s="292"/>
      <c r="C3460" s="181"/>
      <c r="D3460" s="181"/>
      <c r="E3460" s="181"/>
      <c r="F3460" s="181"/>
      <c r="G3460" s="181"/>
      <c r="H3460" s="181"/>
      <c r="I3460" s="181"/>
      <c r="J3460" s="181"/>
      <c r="K3460" s="181"/>
      <c r="L3460" s="181"/>
      <c r="M3460" s="181"/>
      <c r="N3460" s="181"/>
      <c r="O3460" s="181"/>
      <c r="P3460" s="181"/>
    </row>
    <row r="3461">
      <c r="B3461" s="292"/>
      <c r="C3461" s="181"/>
      <c r="D3461" s="181"/>
      <c r="E3461" s="181"/>
      <c r="F3461" s="181"/>
      <c r="G3461" s="181"/>
      <c r="H3461" s="181"/>
      <c r="I3461" s="181"/>
      <c r="J3461" s="181"/>
      <c r="K3461" s="181"/>
      <c r="L3461" s="181"/>
      <c r="M3461" s="181"/>
      <c r="N3461" s="181"/>
      <c r="O3461" s="181"/>
      <c r="P3461" s="181"/>
    </row>
    <row r="3462">
      <c r="B3462" s="292"/>
      <c r="C3462" s="181"/>
      <c r="D3462" s="181"/>
      <c r="E3462" s="181"/>
      <c r="F3462" s="181"/>
      <c r="G3462" s="181"/>
      <c r="H3462" s="181"/>
      <c r="I3462" s="181"/>
      <c r="J3462" s="181"/>
      <c r="K3462" s="181"/>
      <c r="L3462" s="181"/>
      <c r="M3462" s="181"/>
      <c r="N3462" s="181"/>
      <c r="O3462" s="181"/>
      <c r="P3462" s="181"/>
    </row>
    <row r="3463">
      <c r="B3463" s="292"/>
      <c r="C3463" s="181"/>
      <c r="D3463" s="181"/>
      <c r="E3463" s="181"/>
      <c r="F3463" s="181"/>
      <c r="G3463" s="181"/>
      <c r="H3463" s="181"/>
      <c r="I3463" s="181"/>
      <c r="J3463" s="181"/>
      <c r="K3463" s="181"/>
      <c r="L3463" s="181"/>
      <c r="M3463" s="181"/>
      <c r="N3463" s="181"/>
      <c r="O3463" s="181"/>
      <c r="P3463" s="181"/>
    </row>
    <row r="3464">
      <c r="B3464" s="292"/>
      <c r="C3464" s="181"/>
      <c r="D3464" s="181"/>
      <c r="E3464" s="181"/>
      <c r="F3464" s="181"/>
      <c r="G3464" s="181"/>
      <c r="H3464" s="181"/>
      <c r="I3464" s="181"/>
      <c r="J3464" s="181"/>
      <c r="K3464" s="181"/>
      <c r="L3464" s="181"/>
      <c r="M3464" s="181"/>
      <c r="N3464" s="181"/>
      <c r="O3464" s="181"/>
      <c r="P3464" s="181"/>
    </row>
    <row r="3465">
      <c r="B3465" s="292"/>
      <c r="C3465" s="181"/>
      <c r="D3465" s="181"/>
      <c r="E3465" s="181"/>
      <c r="F3465" s="181"/>
      <c r="G3465" s="181"/>
      <c r="H3465" s="181"/>
      <c r="I3465" s="181"/>
      <c r="J3465" s="181"/>
      <c r="K3465" s="181"/>
      <c r="L3465" s="181"/>
      <c r="M3465" s="181"/>
      <c r="N3465" s="181"/>
      <c r="O3465" s="181"/>
      <c r="P3465" s="181"/>
    </row>
    <row r="3466">
      <c r="B3466" s="292"/>
      <c r="C3466" s="181"/>
      <c r="D3466" s="181"/>
      <c r="E3466" s="181"/>
      <c r="F3466" s="181"/>
      <c r="G3466" s="181"/>
      <c r="H3466" s="181"/>
      <c r="I3466" s="181"/>
      <c r="J3466" s="181"/>
      <c r="K3466" s="181"/>
      <c r="L3466" s="181"/>
      <c r="M3466" s="181"/>
      <c r="N3466" s="181"/>
      <c r="O3466" s="181"/>
      <c r="P3466" s="181"/>
    </row>
    <row r="3467">
      <c r="B3467" s="292"/>
      <c r="C3467" s="181"/>
      <c r="D3467" s="181"/>
      <c r="E3467" s="181"/>
      <c r="F3467" s="181"/>
      <c r="G3467" s="181"/>
      <c r="H3467" s="181"/>
      <c r="I3467" s="181"/>
      <c r="J3467" s="181"/>
      <c r="K3467" s="181"/>
      <c r="L3467" s="181"/>
      <c r="M3467" s="181"/>
      <c r="N3467" s="181"/>
      <c r="O3467" s="181"/>
      <c r="P3467" s="181"/>
    </row>
    <row r="3468">
      <c r="B3468" s="292"/>
      <c r="C3468" s="181"/>
      <c r="D3468" s="181"/>
      <c r="E3468" s="181"/>
      <c r="F3468" s="181"/>
      <c r="G3468" s="181"/>
      <c r="H3468" s="181"/>
      <c r="I3468" s="181"/>
      <c r="J3468" s="181"/>
      <c r="K3468" s="181"/>
      <c r="L3468" s="181"/>
      <c r="M3468" s="181"/>
      <c r="N3468" s="181"/>
      <c r="O3468" s="181"/>
      <c r="P3468" s="181"/>
    </row>
    <row r="3469">
      <c r="B3469" s="292"/>
      <c r="C3469" s="181"/>
      <c r="D3469" s="181"/>
      <c r="E3469" s="181"/>
      <c r="F3469" s="181"/>
      <c r="G3469" s="181"/>
      <c r="H3469" s="181"/>
      <c r="I3469" s="181"/>
      <c r="J3469" s="181"/>
      <c r="K3469" s="181"/>
      <c r="L3469" s="181"/>
      <c r="M3469" s="181"/>
      <c r="N3469" s="181"/>
      <c r="O3469" s="181"/>
      <c r="P3469" s="181"/>
    </row>
    <row r="3470">
      <c r="B3470" s="292"/>
      <c r="C3470" s="181"/>
      <c r="D3470" s="181"/>
      <c r="E3470" s="181"/>
      <c r="F3470" s="181"/>
      <c r="G3470" s="181"/>
      <c r="H3470" s="181"/>
      <c r="I3470" s="181"/>
      <c r="J3470" s="181"/>
      <c r="K3470" s="181"/>
      <c r="L3470" s="181"/>
      <c r="M3470" s="181"/>
      <c r="N3470" s="181"/>
      <c r="O3470" s="181"/>
      <c r="P3470" s="181"/>
    </row>
    <row r="3471">
      <c r="B3471" s="292"/>
      <c r="C3471" s="181"/>
      <c r="D3471" s="181"/>
      <c r="E3471" s="181"/>
      <c r="F3471" s="181"/>
      <c r="G3471" s="181"/>
      <c r="H3471" s="181"/>
      <c r="I3471" s="181"/>
      <c r="J3471" s="181"/>
      <c r="K3471" s="181"/>
      <c r="L3471" s="181"/>
      <c r="M3471" s="181"/>
      <c r="N3471" s="181"/>
      <c r="O3471" s="181"/>
      <c r="P3471" s="181"/>
    </row>
    <row r="3472">
      <c r="B3472" s="292"/>
      <c r="C3472" s="181"/>
      <c r="D3472" s="181"/>
      <c r="E3472" s="181"/>
      <c r="F3472" s="181"/>
      <c r="G3472" s="181"/>
      <c r="H3472" s="181"/>
      <c r="I3472" s="181"/>
      <c r="J3472" s="181"/>
      <c r="K3472" s="181"/>
      <c r="L3472" s="181"/>
      <c r="M3472" s="181"/>
      <c r="N3472" s="181"/>
      <c r="O3472" s="181"/>
      <c r="P3472" s="181"/>
    </row>
    <row r="3473">
      <c r="B3473" s="292"/>
      <c r="C3473" s="181"/>
      <c r="D3473" s="181"/>
      <c r="E3473" s="181"/>
      <c r="F3473" s="181"/>
      <c r="G3473" s="181"/>
      <c r="H3473" s="181"/>
      <c r="I3473" s="181"/>
      <c r="J3473" s="181"/>
      <c r="K3473" s="181"/>
      <c r="L3473" s="181"/>
      <c r="M3473" s="181"/>
      <c r="N3473" s="181"/>
      <c r="O3473" s="181"/>
      <c r="P3473" s="181"/>
    </row>
    <row r="3474">
      <c r="B3474" s="292"/>
      <c r="C3474" s="181"/>
      <c r="D3474" s="181"/>
      <c r="E3474" s="181"/>
      <c r="F3474" s="181"/>
      <c r="G3474" s="181"/>
      <c r="H3474" s="181"/>
      <c r="I3474" s="181"/>
      <c r="J3474" s="181"/>
      <c r="K3474" s="181"/>
      <c r="L3474" s="181"/>
      <c r="M3474" s="181"/>
      <c r="N3474" s="181"/>
      <c r="O3474" s="181"/>
      <c r="P3474" s="181"/>
    </row>
    <row r="3475">
      <c r="B3475" s="292"/>
      <c r="C3475" s="181"/>
      <c r="D3475" s="181"/>
      <c r="E3475" s="181"/>
      <c r="F3475" s="181"/>
      <c r="G3475" s="181"/>
      <c r="H3475" s="181"/>
      <c r="I3475" s="181"/>
      <c r="J3475" s="181"/>
      <c r="K3475" s="181"/>
      <c r="L3475" s="181"/>
      <c r="M3475" s="181"/>
      <c r="N3475" s="181"/>
      <c r="O3475" s="181"/>
      <c r="P3475" s="181"/>
    </row>
    <row r="3476">
      <c r="B3476" s="292"/>
      <c r="C3476" s="181"/>
      <c r="D3476" s="181"/>
      <c r="E3476" s="181"/>
      <c r="F3476" s="181"/>
      <c r="G3476" s="181"/>
      <c r="H3476" s="181"/>
      <c r="I3476" s="181"/>
      <c r="J3476" s="181"/>
      <c r="K3476" s="181"/>
      <c r="L3476" s="181"/>
      <c r="M3476" s="181"/>
      <c r="N3476" s="181"/>
      <c r="O3476" s="181"/>
      <c r="P3476" s="181"/>
    </row>
    <row r="3477">
      <c r="B3477" s="292"/>
      <c r="C3477" s="181"/>
      <c r="D3477" s="181"/>
      <c r="E3477" s="181"/>
      <c r="F3477" s="181"/>
      <c r="G3477" s="181"/>
      <c r="H3477" s="181"/>
      <c r="I3477" s="181"/>
      <c r="J3477" s="181"/>
      <c r="K3477" s="181"/>
      <c r="L3477" s="181"/>
      <c r="M3477" s="181"/>
      <c r="N3477" s="181"/>
      <c r="O3477" s="181"/>
      <c r="P3477" s="181"/>
    </row>
    <row r="3478">
      <c r="B3478" s="292"/>
      <c r="C3478" s="181"/>
      <c r="D3478" s="181"/>
      <c r="E3478" s="181"/>
      <c r="F3478" s="181"/>
      <c r="G3478" s="181"/>
      <c r="H3478" s="181"/>
      <c r="I3478" s="181"/>
      <c r="J3478" s="181"/>
      <c r="K3478" s="181"/>
      <c r="L3478" s="181"/>
      <c r="M3478" s="181"/>
      <c r="N3478" s="181"/>
      <c r="O3478" s="181"/>
      <c r="P3478" s="181"/>
    </row>
    <row r="3479">
      <c r="B3479" s="292"/>
      <c r="C3479" s="181"/>
      <c r="D3479" s="181"/>
      <c r="E3479" s="181"/>
      <c r="F3479" s="181"/>
      <c r="G3479" s="181"/>
      <c r="H3479" s="181"/>
      <c r="I3479" s="181"/>
      <c r="J3479" s="181"/>
      <c r="K3479" s="181"/>
      <c r="L3479" s="181"/>
      <c r="M3479" s="181"/>
      <c r="N3479" s="181"/>
      <c r="O3479" s="181"/>
      <c r="P3479" s="181"/>
    </row>
    <row r="3480">
      <c r="B3480" s="292"/>
      <c r="C3480" s="181"/>
      <c r="D3480" s="181"/>
      <c r="E3480" s="181"/>
      <c r="F3480" s="181"/>
      <c r="G3480" s="181"/>
      <c r="H3480" s="181"/>
      <c r="I3480" s="181"/>
      <c r="J3480" s="181"/>
      <c r="K3480" s="181"/>
      <c r="L3480" s="181"/>
      <c r="M3480" s="181"/>
      <c r="N3480" s="181"/>
      <c r="O3480" s="181"/>
      <c r="P3480" s="181"/>
    </row>
    <row r="3481">
      <c r="B3481" s="292"/>
      <c r="C3481" s="181"/>
      <c r="D3481" s="181"/>
      <c r="E3481" s="181"/>
      <c r="F3481" s="181"/>
      <c r="G3481" s="181"/>
      <c r="H3481" s="181"/>
      <c r="I3481" s="181"/>
      <c r="J3481" s="181"/>
      <c r="K3481" s="181"/>
      <c r="L3481" s="181"/>
      <c r="M3481" s="181"/>
      <c r="N3481" s="181"/>
      <c r="O3481" s="181"/>
      <c r="P3481" s="181"/>
    </row>
    <row r="3482">
      <c r="B3482" s="292"/>
      <c r="C3482" s="181"/>
      <c r="D3482" s="181"/>
      <c r="E3482" s="181"/>
      <c r="F3482" s="181"/>
      <c r="G3482" s="181"/>
      <c r="H3482" s="181"/>
      <c r="I3482" s="181"/>
      <c r="J3482" s="181"/>
      <c r="K3482" s="181"/>
      <c r="L3482" s="181"/>
      <c r="M3482" s="181"/>
      <c r="N3482" s="181"/>
      <c r="O3482" s="181"/>
      <c r="P3482" s="181"/>
    </row>
    <row r="3483">
      <c r="B3483" s="292"/>
      <c r="C3483" s="181"/>
      <c r="D3483" s="181"/>
      <c r="E3483" s="181"/>
      <c r="F3483" s="181"/>
      <c r="G3483" s="181"/>
      <c r="H3483" s="181"/>
      <c r="I3483" s="181"/>
      <c r="J3483" s="181"/>
      <c r="K3483" s="181"/>
      <c r="L3483" s="181"/>
      <c r="M3483" s="181"/>
      <c r="N3483" s="181"/>
      <c r="O3483" s="181"/>
      <c r="P3483" s="181"/>
    </row>
    <row r="3484">
      <c r="B3484" s="292"/>
      <c r="C3484" s="181"/>
      <c r="D3484" s="181"/>
      <c r="E3484" s="181"/>
      <c r="F3484" s="181"/>
      <c r="G3484" s="181"/>
      <c r="H3484" s="181"/>
      <c r="I3484" s="181"/>
      <c r="J3484" s="181"/>
      <c r="K3484" s="181"/>
      <c r="L3484" s="181"/>
      <c r="M3484" s="181"/>
      <c r="N3484" s="181"/>
      <c r="O3484" s="181"/>
      <c r="P3484" s="181"/>
    </row>
    <row r="3485">
      <c r="B3485" s="292"/>
      <c r="C3485" s="181"/>
      <c r="D3485" s="181"/>
      <c r="E3485" s="181"/>
      <c r="F3485" s="181"/>
      <c r="G3485" s="181"/>
      <c r="H3485" s="181"/>
      <c r="I3485" s="181"/>
      <c r="J3485" s="181"/>
      <c r="K3485" s="181"/>
      <c r="L3485" s="181"/>
      <c r="M3485" s="181"/>
      <c r="N3485" s="181"/>
      <c r="O3485" s="181"/>
      <c r="P3485" s="181"/>
    </row>
    <row r="3486">
      <c r="B3486" s="292"/>
      <c r="C3486" s="181"/>
      <c r="D3486" s="181"/>
      <c r="E3486" s="181"/>
      <c r="F3486" s="181"/>
      <c r="G3486" s="181"/>
      <c r="H3486" s="181"/>
      <c r="I3486" s="181"/>
      <c r="J3486" s="181"/>
      <c r="K3486" s="181"/>
      <c r="L3486" s="181"/>
      <c r="M3486" s="181"/>
      <c r="N3486" s="181"/>
      <c r="O3486" s="181"/>
      <c r="P3486" s="181"/>
    </row>
    <row r="3487">
      <c r="B3487" s="292"/>
      <c r="C3487" s="181"/>
      <c r="D3487" s="181"/>
      <c r="E3487" s="181"/>
      <c r="F3487" s="181"/>
      <c r="G3487" s="181"/>
      <c r="H3487" s="181"/>
      <c r="I3487" s="181"/>
      <c r="J3487" s="181"/>
      <c r="K3487" s="181"/>
      <c r="L3487" s="181"/>
      <c r="M3487" s="181"/>
      <c r="N3487" s="181"/>
      <c r="O3487" s="181"/>
      <c r="P3487" s="181"/>
    </row>
    <row r="3488">
      <c r="B3488" s="292"/>
      <c r="C3488" s="181"/>
      <c r="D3488" s="181"/>
      <c r="E3488" s="181"/>
      <c r="F3488" s="181"/>
      <c r="G3488" s="181"/>
      <c r="H3488" s="181"/>
      <c r="I3488" s="181"/>
      <c r="J3488" s="181"/>
      <c r="K3488" s="181"/>
      <c r="L3488" s="181"/>
      <c r="M3488" s="181"/>
      <c r="N3488" s="181"/>
      <c r="O3488" s="181"/>
      <c r="P3488" s="181"/>
    </row>
    <row r="3489">
      <c r="B3489" s="292"/>
      <c r="C3489" s="181"/>
      <c r="D3489" s="181"/>
      <c r="E3489" s="181"/>
      <c r="F3489" s="181"/>
      <c r="G3489" s="181"/>
      <c r="H3489" s="181"/>
      <c r="I3489" s="181"/>
      <c r="J3489" s="181"/>
      <c r="K3489" s="181"/>
      <c r="L3489" s="181"/>
      <c r="M3489" s="181"/>
      <c r="N3489" s="181"/>
      <c r="O3489" s="181"/>
      <c r="P3489" s="181"/>
    </row>
    <row r="3490">
      <c r="B3490" s="292"/>
      <c r="C3490" s="181"/>
      <c r="D3490" s="181"/>
      <c r="E3490" s="181"/>
      <c r="F3490" s="181"/>
      <c r="G3490" s="181"/>
      <c r="H3490" s="181"/>
      <c r="I3490" s="181"/>
      <c r="J3490" s="181"/>
      <c r="K3490" s="181"/>
      <c r="L3490" s="181"/>
      <c r="M3490" s="181"/>
      <c r="N3490" s="181"/>
      <c r="O3490" s="181"/>
      <c r="P3490" s="181"/>
    </row>
    <row r="3491">
      <c r="B3491" s="292"/>
      <c r="C3491" s="181"/>
      <c r="D3491" s="181"/>
      <c r="E3491" s="181"/>
      <c r="F3491" s="181"/>
      <c r="G3491" s="181"/>
      <c r="H3491" s="181"/>
      <c r="I3491" s="181"/>
      <c r="J3491" s="181"/>
      <c r="K3491" s="181"/>
      <c r="L3491" s="181"/>
      <c r="M3491" s="181"/>
      <c r="N3491" s="181"/>
      <c r="O3491" s="181"/>
      <c r="P3491" s="181"/>
    </row>
    <row r="3492">
      <c r="B3492" s="292"/>
      <c r="C3492" s="181"/>
      <c r="D3492" s="181"/>
      <c r="E3492" s="181"/>
      <c r="F3492" s="181"/>
      <c r="G3492" s="181"/>
      <c r="H3492" s="181"/>
      <c r="I3492" s="181"/>
      <c r="J3492" s="181"/>
      <c r="K3492" s="181"/>
      <c r="L3492" s="181"/>
      <c r="M3492" s="181"/>
      <c r="N3492" s="181"/>
      <c r="O3492" s="181"/>
      <c r="P3492" s="181"/>
    </row>
    <row r="3493">
      <c r="B3493" s="292"/>
      <c r="C3493" s="181"/>
      <c r="D3493" s="181"/>
      <c r="E3493" s="181"/>
      <c r="F3493" s="181"/>
      <c r="G3493" s="181"/>
      <c r="H3493" s="181"/>
      <c r="I3493" s="181"/>
      <c r="J3493" s="181"/>
      <c r="K3493" s="181"/>
      <c r="L3493" s="181"/>
      <c r="M3493" s="181"/>
      <c r="N3493" s="181"/>
      <c r="O3493" s="181"/>
      <c r="P3493" s="181"/>
    </row>
    <row r="3494">
      <c r="B3494" s="292"/>
      <c r="C3494" s="181"/>
      <c r="D3494" s="181"/>
      <c r="E3494" s="181"/>
      <c r="F3494" s="181"/>
      <c r="G3494" s="181"/>
      <c r="H3494" s="181"/>
      <c r="I3494" s="181"/>
      <c r="J3494" s="181"/>
      <c r="K3494" s="181"/>
      <c r="L3494" s="181"/>
      <c r="M3494" s="181"/>
      <c r="N3494" s="181"/>
      <c r="O3494" s="181"/>
      <c r="P3494" s="181"/>
    </row>
    <row r="3495">
      <c r="B3495" s="292"/>
      <c r="C3495" s="181"/>
      <c r="D3495" s="181"/>
      <c r="E3495" s="181"/>
      <c r="F3495" s="181"/>
      <c r="G3495" s="181"/>
      <c r="H3495" s="181"/>
      <c r="I3495" s="181"/>
      <c r="J3495" s="181"/>
      <c r="K3495" s="181"/>
      <c r="L3495" s="181"/>
      <c r="M3495" s="181"/>
      <c r="N3495" s="181"/>
      <c r="O3495" s="181"/>
      <c r="P3495" s="181"/>
    </row>
    <row r="3496">
      <c r="B3496" s="292"/>
      <c r="C3496" s="181"/>
      <c r="D3496" s="181"/>
      <c r="E3496" s="181"/>
      <c r="F3496" s="181"/>
      <c r="G3496" s="181"/>
      <c r="H3496" s="181"/>
      <c r="I3496" s="181"/>
      <c r="J3496" s="181"/>
      <c r="K3496" s="181"/>
      <c r="L3496" s="181"/>
      <c r="M3496" s="181"/>
      <c r="N3496" s="181"/>
      <c r="O3496" s="181"/>
      <c r="P3496" s="181"/>
    </row>
    <row r="3497">
      <c r="B3497" s="292"/>
      <c r="C3497" s="181"/>
      <c r="D3497" s="181"/>
      <c r="E3497" s="181"/>
      <c r="F3497" s="181"/>
      <c r="G3497" s="181"/>
      <c r="H3497" s="181"/>
      <c r="I3497" s="181"/>
      <c r="J3497" s="181"/>
      <c r="K3497" s="181"/>
      <c r="L3497" s="181"/>
      <c r="M3497" s="181"/>
      <c r="N3497" s="181"/>
      <c r="O3497" s="181"/>
      <c r="P3497" s="181"/>
    </row>
    <row r="3498">
      <c r="B3498" s="292"/>
      <c r="C3498" s="181"/>
      <c r="D3498" s="181"/>
      <c r="E3498" s="181"/>
      <c r="F3498" s="181"/>
      <c r="G3498" s="181"/>
      <c r="H3498" s="181"/>
      <c r="I3498" s="181"/>
      <c r="J3498" s="181"/>
      <c r="K3498" s="181"/>
      <c r="L3498" s="181"/>
      <c r="M3498" s="181"/>
      <c r="N3498" s="181"/>
      <c r="O3498" s="181"/>
      <c r="P3498" s="181"/>
    </row>
    <row r="3499">
      <c r="B3499" s="292"/>
      <c r="C3499" s="181"/>
      <c r="D3499" s="181"/>
      <c r="E3499" s="181"/>
      <c r="F3499" s="181"/>
      <c r="G3499" s="181"/>
      <c r="H3499" s="181"/>
      <c r="I3499" s="181"/>
      <c r="J3499" s="181"/>
      <c r="K3499" s="181"/>
      <c r="L3499" s="181"/>
      <c r="M3499" s="181"/>
      <c r="N3499" s="181"/>
      <c r="O3499" s="181"/>
      <c r="P3499" s="181"/>
    </row>
    <row r="3500">
      <c r="B3500" s="292"/>
      <c r="C3500" s="181"/>
      <c r="D3500" s="181"/>
      <c r="E3500" s="181"/>
      <c r="F3500" s="181"/>
      <c r="G3500" s="181"/>
      <c r="H3500" s="181"/>
      <c r="I3500" s="181"/>
      <c r="J3500" s="181"/>
      <c r="K3500" s="181"/>
      <c r="L3500" s="181"/>
      <c r="M3500" s="181"/>
      <c r="N3500" s="181"/>
      <c r="O3500" s="181"/>
      <c r="P3500" s="181"/>
    </row>
    <row r="3501">
      <c r="B3501" s="292"/>
      <c r="C3501" s="181"/>
      <c r="D3501" s="181"/>
      <c r="E3501" s="181"/>
      <c r="F3501" s="181"/>
      <c r="G3501" s="181"/>
      <c r="H3501" s="181"/>
      <c r="I3501" s="181"/>
      <c r="J3501" s="181"/>
      <c r="K3501" s="181"/>
      <c r="L3501" s="181"/>
      <c r="M3501" s="181"/>
      <c r="N3501" s="181"/>
      <c r="O3501" s="181"/>
      <c r="P3501" s="181"/>
    </row>
    <row r="3502">
      <c r="B3502" s="292"/>
      <c r="C3502" s="181"/>
      <c r="D3502" s="181"/>
      <c r="E3502" s="181"/>
      <c r="F3502" s="181"/>
      <c r="G3502" s="181"/>
      <c r="H3502" s="181"/>
      <c r="I3502" s="181"/>
      <c r="J3502" s="181"/>
      <c r="K3502" s="181"/>
      <c r="L3502" s="181"/>
      <c r="M3502" s="181"/>
      <c r="N3502" s="181"/>
      <c r="O3502" s="181"/>
      <c r="P3502" s="181"/>
    </row>
    <row r="3503">
      <c r="B3503" s="292"/>
      <c r="C3503" s="181"/>
      <c r="D3503" s="181"/>
      <c r="E3503" s="181"/>
      <c r="F3503" s="181"/>
      <c r="G3503" s="181"/>
      <c r="H3503" s="181"/>
      <c r="I3503" s="181"/>
      <c r="J3503" s="181"/>
      <c r="K3503" s="181"/>
      <c r="L3503" s="181"/>
      <c r="M3503" s="181"/>
      <c r="N3503" s="181"/>
      <c r="O3503" s="181"/>
      <c r="P3503" s="181"/>
    </row>
    <row r="3504">
      <c r="B3504" s="292"/>
      <c r="C3504" s="181"/>
      <c r="D3504" s="181"/>
      <c r="E3504" s="181"/>
      <c r="F3504" s="181"/>
      <c r="G3504" s="181"/>
      <c r="H3504" s="181"/>
      <c r="I3504" s="181"/>
      <c r="J3504" s="181"/>
      <c r="K3504" s="181"/>
      <c r="L3504" s="181"/>
      <c r="M3504" s="181"/>
      <c r="N3504" s="181"/>
      <c r="O3504" s="181"/>
      <c r="P3504" s="181"/>
    </row>
    <row r="3505">
      <c r="B3505" s="292"/>
      <c r="C3505" s="181"/>
      <c r="D3505" s="181"/>
      <c r="E3505" s="181"/>
      <c r="F3505" s="181"/>
      <c r="G3505" s="181"/>
      <c r="H3505" s="181"/>
      <c r="I3505" s="181"/>
      <c r="J3505" s="181"/>
      <c r="K3505" s="181"/>
      <c r="L3505" s="181"/>
      <c r="M3505" s="181"/>
      <c r="N3505" s="181"/>
      <c r="O3505" s="181"/>
      <c r="P3505" s="181"/>
    </row>
    <row r="3506">
      <c r="B3506" s="292"/>
      <c r="C3506" s="181"/>
      <c r="D3506" s="181"/>
      <c r="E3506" s="181"/>
      <c r="F3506" s="181"/>
      <c r="G3506" s="181"/>
      <c r="H3506" s="181"/>
      <c r="I3506" s="181"/>
      <c r="J3506" s="181"/>
      <c r="K3506" s="181"/>
      <c r="L3506" s="181"/>
      <c r="M3506" s="181"/>
      <c r="N3506" s="181"/>
      <c r="O3506" s="181"/>
      <c r="P3506" s="181"/>
    </row>
    <row r="3507">
      <c r="B3507" s="292"/>
      <c r="C3507" s="181"/>
      <c r="D3507" s="181"/>
      <c r="E3507" s="181"/>
      <c r="F3507" s="181"/>
      <c r="G3507" s="181"/>
      <c r="H3507" s="181"/>
      <c r="I3507" s="181"/>
      <c r="J3507" s="181"/>
      <c r="K3507" s="181"/>
      <c r="L3507" s="181"/>
      <c r="M3507" s="181"/>
      <c r="N3507" s="181"/>
      <c r="O3507" s="181"/>
      <c r="P3507" s="181"/>
    </row>
    <row r="3508">
      <c r="B3508" s="292"/>
      <c r="C3508" s="181"/>
      <c r="D3508" s="181"/>
      <c r="E3508" s="181"/>
      <c r="F3508" s="181"/>
      <c r="G3508" s="181"/>
      <c r="H3508" s="181"/>
      <c r="I3508" s="181"/>
      <c r="J3508" s="181"/>
      <c r="K3508" s="181"/>
      <c r="L3508" s="181"/>
      <c r="M3508" s="181"/>
      <c r="N3508" s="181"/>
      <c r="O3508" s="181"/>
      <c r="P3508" s="181"/>
    </row>
    <row r="3509">
      <c r="B3509" s="292"/>
      <c r="C3509" s="181"/>
      <c r="D3509" s="181"/>
      <c r="E3509" s="181"/>
      <c r="F3509" s="181"/>
      <c r="G3509" s="181"/>
      <c r="H3509" s="181"/>
      <c r="I3509" s="181"/>
      <c r="J3509" s="181"/>
      <c r="K3509" s="181"/>
      <c r="L3509" s="181"/>
      <c r="M3509" s="181"/>
      <c r="N3509" s="181"/>
      <c r="O3509" s="181"/>
      <c r="P3509" s="181"/>
    </row>
    <row r="3510">
      <c r="B3510" s="292"/>
      <c r="C3510" s="181"/>
      <c r="D3510" s="181"/>
      <c r="E3510" s="181"/>
      <c r="F3510" s="181"/>
      <c r="G3510" s="181"/>
      <c r="H3510" s="181"/>
      <c r="I3510" s="181"/>
      <c r="J3510" s="181"/>
      <c r="K3510" s="181"/>
      <c r="L3510" s="181"/>
      <c r="M3510" s="181"/>
      <c r="N3510" s="181"/>
      <c r="O3510" s="181"/>
      <c r="P3510" s="181"/>
    </row>
    <row r="3511">
      <c r="B3511" s="292"/>
      <c r="C3511" s="181"/>
      <c r="D3511" s="181"/>
      <c r="E3511" s="181"/>
      <c r="F3511" s="181"/>
      <c r="G3511" s="181"/>
      <c r="H3511" s="181"/>
      <c r="I3511" s="181"/>
      <c r="J3511" s="181"/>
      <c r="K3511" s="181"/>
      <c r="L3511" s="181"/>
      <c r="M3511" s="181"/>
      <c r="N3511" s="181"/>
      <c r="O3511" s="181"/>
      <c r="P3511" s="181"/>
    </row>
    <row r="3512">
      <c r="B3512" s="292"/>
      <c r="C3512" s="181"/>
      <c r="D3512" s="181"/>
      <c r="E3512" s="181"/>
      <c r="F3512" s="181"/>
      <c r="G3512" s="181"/>
      <c r="H3512" s="181"/>
      <c r="I3512" s="181"/>
      <c r="J3512" s="181"/>
      <c r="K3512" s="181"/>
      <c r="L3512" s="181"/>
      <c r="M3512" s="181"/>
      <c r="N3512" s="181"/>
      <c r="O3512" s="181"/>
      <c r="P3512" s="181"/>
    </row>
    <row r="3513">
      <c r="B3513" s="292"/>
      <c r="C3513" s="181"/>
      <c r="D3513" s="181"/>
      <c r="E3513" s="181"/>
      <c r="F3513" s="181"/>
      <c r="G3513" s="181"/>
      <c r="H3513" s="181"/>
      <c r="I3513" s="181"/>
      <c r="J3513" s="181"/>
      <c r="K3513" s="181"/>
      <c r="L3513" s="181"/>
      <c r="M3513" s="181"/>
      <c r="N3513" s="181"/>
      <c r="O3513" s="181"/>
      <c r="P3513" s="181"/>
    </row>
    <row r="3514">
      <c r="B3514" s="292"/>
      <c r="C3514" s="181"/>
      <c r="D3514" s="181"/>
      <c r="E3514" s="181"/>
      <c r="F3514" s="181"/>
      <c r="G3514" s="181"/>
      <c r="H3514" s="181"/>
      <c r="I3514" s="181"/>
      <c r="J3514" s="181"/>
      <c r="K3514" s="181"/>
      <c r="L3514" s="181"/>
      <c r="M3514" s="181"/>
      <c r="N3514" s="181"/>
      <c r="O3514" s="181"/>
      <c r="P3514" s="181"/>
    </row>
    <row r="3515">
      <c r="B3515" s="292"/>
      <c r="C3515" s="181"/>
      <c r="D3515" s="181"/>
      <c r="E3515" s="181"/>
      <c r="F3515" s="181"/>
      <c r="G3515" s="181"/>
      <c r="H3515" s="181"/>
      <c r="I3515" s="181"/>
      <c r="J3515" s="181"/>
      <c r="K3515" s="181"/>
      <c r="L3515" s="181"/>
      <c r="M3515" s="181"/>
      <c r="N3515" s="181"/>
      <c r="O3515" s="181"/>
      <c r="P3515" s="181"/>
    </row>
    <row r="3516">
      <c r="B3516" s="292"/>
      <c r="C3516" s="181"/>
      <c r="D3516" s="181"/>
      <c r="E3516" s="181"/>
      <c r="F3516" s="181"/>
      <c r="G3516" s="181"/>
      <c r="H3516" s="181"/>
      <c r="I3516" s="181"/>
      <c r="J3516" s="181"/>
      <c r="K3516" s="181"/>
      <c r="L3516" s="181"/>
      <c r="M3516" s="181"/>
      <c r="N3516" s="181"/>
      <c r="O3516" s="181"/>
      <c r="P3516" s="181"/>
    </row>
    <row r="3517">
      <c r="B3517" s="292"/>
      <c r="C3517" s="181"/>
      <c r="D3517" s="181"/>
      <c r="E3517" s="181"/>
      <c r="F3517" s="181"/>
      <c r="G3517" s="181"/>
      <c r="H3517" s="181"/>
      <c r="I3517" s="181"/>
      <c r="J3517" s="181"/>
      <c r="K3517" s="181"/>
      <c r="L3517" s="181"/>
      <c r="M3517" s="181"/>
      <c r="N3517" s="181"/>
      <c r="O3517" s="181"/>
      <c r="P3517" s="181"/>
    </row>
    <row r="3518">
      <c r="B3518" s="292"/>
      <c r="C3518" s="181"/>
      <c r="D3518" s="181"/>
      <c r="E3518" s="181"/>
      <c r="F3518" s="181"/>
      <c r="G3518" s="181"/>
      <c r="H3518" s="181"/>
      <c r="I3518" s="181"/>
      <c r="J3518" s="181"/>
      <c r="K3518" s="181"/>
      <c r="L3518" s="181"/>
      <c r="M3518" s="181"/>
      <c r="N3518" s="181"/>
      <c r="O3518" s="181"/>
      <c r="P3518" s="181"/>
    </row>
    <row r="3519">
      <c r="B3519" s="292"/>
      <c r="C3519" s="181"/>
      <c r="D3519" s="181"/>
      <c r="E3519" s="181"/>
      <c r="F3519" s="181"/>
      <c r="G3519" s="181"/>
      <c r="H3519" s="181"/>
      <c r="I3519" s="181"/>
      <c r="J3519" s="181"/>
      <c r="K3519" s="181"/>
      <c r="L3519" s="181"/>
      <c r="M3519" s="181"/>
      <c r="N3519" s="181"/>
      <c r="O3519" s="181"/>
      <c r="P3519" s="181"/>
    </row>
    <row r="3520">
      <c r="B3520" s="292"/>
      <c r="C3520" s="181"/>
      <c r="D3520" s="181"/>
      <c r="E3520" s="181"/>
      <c r="F3520" s="181"/>
      <c r="G3520" s="181"/>
      <c r="H3520" s="181"/>
      <c r="I3520" s="181"/>
      <c r="J3520" s="181"/>
      <c r="K3520" s="181"/>
      <c r="L3520" s="181"/>
      <c r="M3520" s="181"/>
      <c r="N3520" s="181"/>
      <c r="O3520" s="181"/>
      <c r="P3520" s="181"/>
    </row>
    <row r="3521">
      <c r="B3521" s="292"/>
      <c r="C3521" s="181"/>
      <c r="D3521" s="181"/>
      <c r="E3521" s="181"/>
      <c r="F3521" s="181"/>
      <c r="G3521" s="181"/>
      <c r="H3521" s="181"/>
      <c r="I3521" s="181"/>
      <c r="J3521" s="181"/>
      <c r="K3521" s="181"/>
      <c r="L3521" s="181"/>
      <c r="M3521" s="181"/>
      <c r="N3521" s="181"/>
      <c r="O3521" s="181"/>
      <c r="P3521" s="181"/>
    </row>
    <row r="3522">
      <c r="B3522" s="292"/>
      <c r="C3522" s="181"/>
      <c r="D3522" s="181"/>
      <c r="E3522" s="181"/>
      <c r="F3522" s="181"/>
      <c r="G3522" s="181"/>
      <c r="H3522" s="181"/>
      <c r="I3522" s="181"/>
      <c r="J3522" s="181"/>
      <c r="K3522" s="181"/>
      <c r="L3522" s="181"/>
      <c r="M3522" s="181"/>
      <c r="N3522" s="181"/>
      <c r="O3522" s="181"/>
      <c r="P3522" s="181"/>
    </row>
    <row r="3523">
      <c r="B3523" s="292"/>
      <c r="C3523" s="181"/>
      <c r="D3523" s="181"/>
      <c r="E3523" s="181"/>
      <c r="F3523" s="181"/>
      <c r="G3523" s="181"/>
      <c r="H3523" s="181"/>
      <c r="I3523" s="181"/>
      <c r="J3523" s="181"/>
      <c r="K3523" s="181"/>
      <c r="L3523" s="181"/>
      <c r="M3523" s="181"/>
      <c r="N3523" s="181"/>
      <c r="O3523" s="181"/>
      <c r="P3523" s="181"/>
    </row>
    <row r="3524">
      <c r="B3524" s="292"/>
      <c r="C3524" s="181"/>
      <c r="D3524" s="181"/>
      <c r="E3524" s="181"/>
      <c r="F3524" s="181"/>
      <c r="G3524" s="181"/>
      <c r="H3524" s="181"/>
      <c r="I3524" s="181"/>
      <c r="J3524" s="181"/>
      <c r="K3524" s="181"/>
      <c r="L3524" s="181"/>
      <c r="M3524" s="181"/>
      <c r="N3524" s="181"/>
      <c r="O3524" s="181"/>
      <c r="P3524" s="181"/>
    </row>
    <row r="3525">
      <c r="B3525" s="292"/>
      <c r="C3525" s="181"/>
      <c r="D3525" s="181"/>
      <c r="E3525" s="181"/>
      <c r="F3525" s="181"/>
      <c r="G3525" s="181"/>
      <c r="H3525" s="181"/>
      <c r="I3525" s="181"/>
      <c r="J3525" s="181"/>
      <c r="K3525" s="181"/>
      <c r="L3525" s="181"/>
      <c r="M3525" s="181"/>
      <c r="N3525" s="181"/>
      <c r="O3525" s="181"/>
      <c r="P3525" s="181"/>
    </row>
    <row r="3526">
      <c r="B3526" s="292"/>
      <c r="C3526" s="181"/>
      <c r="D3526" s="181"/>
      <c r="E3526" s="181"/>
      <c r="F3526" s="181"/>
      <c r="G3526" s="181"/>
      <c r="H3526" s="181"/>
      <c r="I3526" s="181"/>
      <c r="J3526" s="181"/>
      <c r="K3526" s="181"/>
      <c r="L3526" s="181"/>
      <c r="M3526" s="181"/>
      <c r="N3526" s="181"/>
      <c r="O3526" s="181"/>
      <c r="P3526" s="181"/>
    </row>
    <row r="3527">
      <c r="B3527" s="292"/>
      <c r="C3527" s="181"/>
      <c r="D3527" s="181"/>
      <c r="E3527" s="181"/>
      <c r="F3527" s="181"/>
      <c r="G3527" s="181"/>
      <c r="H3527" s="181"/>
      <c r="I3527" s="181"/>
      <c r="J3527" s="181"/>
      <c r="K3527" s="181"/>
      <c r="L3527" s="181"/>
      <c r="M3527" s="181"/>
      <c r="N3527" s="181"/>
      <c r="O3527" s="181"/>
      <c r="P3527" s="181"/>
    </row>
    <row r="3528">
      <c r="B3528" s="292"/>
      <c r="C3528" s="181"/>
      <c r="D3528" s="181"/>
      <c r="E3528" s="181"/>
      <c r="F3528" s="181"/>
      <c r="G3528" s="181"/>
      <c r="H3528" s="181"/>
      <c r="I3528" s="181"/>
      <c r="J3528" s="181"/>
      <c r="K3528" s="181"/>
      <c r="L3528" s="181"/>
      <c r="M3528" s="181"/>
      <c r="N3528" s="181"/>
      <c r="O3528" s="181"/>
      <c r="P3528" s="181"/>
    </row>
    <row r="3529">
      <c r="B3529" s="292"/>
      <c r="C3529" s="181"/>
      <c r="D3529" s="181"/>
      <c r="E3529" s="181"/>
      <c r="F3529" s="181"/>
      <c r="G3529" s="181"/>
      <c r="H3529" s="181"/>
      <c r="I3529" s="181"/>
      <c r="J3529" s="181"/>
      <c r="K3529" s="181"/>
      <c r="L3529" s="181"/>
      <c r="M3529" s="181"/>
      <c r="N3529" s="181"/>
      <c r="O3529" s="181"/>
      <c r="P3529" s="181"/>
    </row>
    <row r="3530">
      <c r="B3530" s="292"/>
      <c r="C3530" s="181"/>
      <c r="D3530" s="181"/>
      <c r="E3530" s="181"/>
      <c r="F3530" s="181"/>
      <c r="G3530" s="181"/>
      <c r="H3530" s="181"/>
      <c r="I3530" s="181"/>
      <c r="J3530" s="181"/>
      <c r="K3530" s="181"/>
      <c r="L3530" s="181"/>
      <c r="M3530" s="181"/>
      <c r="N3530" s="181"/>
      <c r="O3530" s="181"/>
      <c r="P3530" s="181"/>
    </row>
    <row r="3531">
      <c r="B3531" s="292"/>
      <c r="C3531" s="181"/>
      <c r="D3531" s="181"/>
      <c r="E3531" s="181"/>
      <c r="F3531" s="181"/>
      <c r="G3531" s="181"/>
      <c r="H3531" s="181"/>
      <c r="I3531" s="181"/>
      <c r="J3531" s="181"/>
      <c r="K3531" s="181"/>
      <c r="L3531" s="181"/>
      <c r="M3531" s="181"/>
      <c r="N3531" s="181"/>
      <c r="O3531" s="181"/>
      <c r="P3531" s="181"/>
    </row>
    <row r="3532">
      <c r="B3532" s="292"/>
      <c r="C3532" s="181"/>
      <c r="D3532" s="181"/>
      <c r="E3532" s="181"/>
      <c r="F3532" s="181"/>
      <c r="G3532" s="181"/>
      <c r="H3532" s="181"/>
      <c r="I3532" s="181"/>
      <c r="J3532" s="181"/>
      <c r="K3532" s="181"/>
      <c r="L3532" s="181"/>
      <c r="M3532" s="181"/>
      <c r="N3532" s="181"/>
      <c r="O3532" s="181"/>
      <c r="P3532" s="181"/>
    </row>
    <row r="3533">
      <c r="B3533" s="292"/>
      <c r="C3533" s="181"/>
      <c r="D3533" s="181"/>
      <c r="E3533" s="181"/>
      <c r="F3533" s="181"/>
      <c r="G3533" s="181"/>
      <c r="H3533" s="181"/>
      <c r="I3533" s="181"/>
      <c r="J3533" s="181"/>
      <c r="K3533" s="181"/>
      <c r="L3533" s="181"/>
      <c r="M3533" s="181"/>
      <c r="N3533" s="181"/>
      <c r="O3533" s="181"/>
      <c r="P3533" s="181"/>
    </row>
    <row r="3534">
      <c r="B3534" s="292"/>
      <c r="C3534" s="181"/>
      <c r="D3534" s="181"/>
      <c r="E3534" s="181"/>
      <c r="F3534" s="181"/>
      <c r="G3534" s="181"/>
      <c r="H3534" s="181"/>
      <c r="I3534" s="181"/>
      <c r="J3534" s="181"/>
      <c r="K3534" s="181"/>
      <c r="L3534" s="181"/>
      <c r="M3534" s="181"/>
      <c r="N3534" s="181"/>
      <c r="O3534" s="181"/>
      <c r="P3534" s="181"/>
    </row>
    <row r="3535">
      <c r="B3535" s="292"/>
      <c r="C3535" s="181"/>
      <c r="D3535" s="181"/>
      <c r="E3535" s="181"/>
      <c r="F3535" s="181"/>
      <c r="G3535" s="181"/>
      <c r="H3535" s="181"/>
      <c r="I3535" s="181"/>
      <c r="J3535" s="181"/>
      <c r="K3535" s="181"/>
      <c r="L3535" s="181"/>
      <c r="M3535" s="181"/>
      <c r="N3535" s="181"/>
      <c r="O3535" s="181"/>
      <c r="P3535" s="181"/>
    </row>
    <row r="3536">
      <c r="B3536" s="292"/>
      <c r="C3536" s="181"/>
      <c r="D3536" s="181"/>
      <c r="E3536" s="181"/>
      <c r="F3536" s="181"/>
      <c r="G3536" s="181"/>
      <c r="H3536" s="181"/>
      <c r="I3536" s="181"/>
      <c r="J3536" s="181"/>
      <c r="K3536" s="181"/>
      <c r="L3536" s="181"/>
      <c r="M3536" s="181"/>
      <c r="N3536" s="181"/>
      <c r="O3536" s="181"/>
      <c r="P3536" s="181"/>
    </row>
    <row r="3537">
      <c r="B3537" s="292"/>
      <c r="C3537" s="181"/>
      <c r="D3537" s="181"/>
      <c r="E3537" s="181"/>
      <c r="F3537" s="181"/>
      <c r="G3537" s="181"/>
      <c r="H3537" s="181"/>
      <c r="I3537" s="181"/>
      <c r="J3537" s="181"/>
      <c r="K3537" s="181"/>
      <c r="L3537" s="181"/>
      <c r="M3537" s="181"/>
      <c r="N3537" s="181"/>
      <c r="O3537" s="181"/>
      <c r="P3537" s="181"/>
    </row>
    <row r="3538">
      <c r="B3538" s="292"/>
      <c r="C3538" s="181"/>
      <c r="D3538" s="181"/>
      <c r="E3538" s="181"/>
      <c r="F3538" s="181"/>
      <c r="G3538" s="181"/>
      <c r="H3538" s="181"/>
      <c r="I3538" s="181"/>
      <c r="J3538" s="181"/>
      <c r="K3538" s="181"/>
      <c r="L3538" s="181"/>
      <c r="M3538" s="181"/>
      <c r="N3538" s="181"/>
      <c r="O3538" s="181"/>
      <c r="P3538" s="181"/>
    </row>
    <row r="3539">
      <c r="B3539" s="292"/>
      <c r="C3539" s="181"/>
      <c r="D3539" s="181"/>
      <c r="E3539" s="181"/>
      <c r="F3539" s="181"/>
      <c r="G3539" s="181"/>
      <c r="H3539" s="181"/>
      <c r="I3539" s="181"/>
      <c r="J3539" s="181"/>
      <c r="K3539" s="181"/>
      <c r="L3539" s="181"/>
      <c r="M3539" s="181"/>
      <c r="N3539" s="181"/>
      <c r="O3539" s="181"/>
      <c r="P3539" s="181"/>
    </row>
    <row r="3540">
      <c r="B3540" s="292"/>
      <c r="C3540" s="181"/>
      <c r="D3540" s="181"/>
      <c r="E3540" s="181"/>
      <c r="F3540" s="181"/>
      <c r="G3540" s="181"/>
      <c r="H3540" s="181"/>
      <c r="I3540" s="181"/>
      <c r="J3540" s="181"/>
      <c r="K3540" s="181"/>
      <c r="L3540" s="181"/>
      <c r="M3540" s="181"/>
      <c r="N3540" s="181"/>
      <c r="O3540" s="181"/>
      <c r="P3540" s="181"/>
    </row>
    <row r="3541">
      <c r="B3541" s="292"/>
      <c r="C3541" s="181"/>
      <c r="D3541" s="181"/>
      <c r="E3541" s="181"/>
      <c r="F3541" s="181"/>
      <c r="G3541" s="181"/>
      <c r="H3541" s="181"/>
      <c r="I3541" s="181"/>
      <c r="J3541" s="181"/>
      <c r="K3541" s="181"/>
      <c r="L3541" s="181"/>
      <c r="M3541" s="181"/>
      <c r="N3541" s="181"/>
      <c r="O3541" s="181"/>
      <c r="P3541" s="181"/>
    </row>
    <row r="3542">
      <c r="B3542" s="292"/>
      <c r="C3542" s="181"/>
      <c r="D3542" s="181"/>
      <c r="E3542" s="181"/>
      <c r="F3542" s="181"/>
      <c r="G3542" s="181"/>
      <c r="H3542" s="181"/>
      <c r="I3542" s="181"/>
      <c r="J3542" s="181"/>
      <c r="K3542" s="181"/>
      <c r="L3542" s="181"/>
      <c r="M3542" s="181"/>
      <c r="N3542" s="181"/>
      <c r="O3542" s="181"/>
      <c r="P3542" s="181"/>
    </row>
    <row r="3543">
      <c r="B3543" s="292"/>
      <c r="C3543" s="181"/>
      <c r="D3543" s="181"/>
      <c r="E3543" s="181"/>
      <c r="F3543" s="181"/>
      <c r="G3543" s="181"/>
      <c r="H3543" s="181"/>
      <c r="I3543" s="181"/>
      <c r="J3543" s="181"/>
      <c r="K3543" s="181"/>
      <c r="L3543" s="181"/>
      <c r="M3543" s="181"/>
      <c r="N3543" s="181"/>
      <c r="O3543" s="181"/>
      <c r="P3543" s="181"/>
    </row>
    <row r="3544">
      <c r="B3544" s="292"/>
      <c r="C3544" s="181"/>
      <c r="D3544" s="181"/>
      <c r="E3544" s="181"/>
      <c r="F3544" s="181"/>
      <c r="G3544" s="181"/>
      <c r="H3544" s="181"/>
      <c r="I3544" s="181"/>
      <c r="J3544" s="181"/>
      <c r="K3544" s="181"/>
      <c r="L3544" s="181"/>
      <c r="M3544" s="181"/>
      <c r="N3544" s="181"/>
      <c r="O3544" s="181"/>
      <c r="P3544" s="181"/>
    </row>
    <row r="3545">
      <c r="B3545" s="292"/>
      <c r="C3545" s="181"/>
      <c r="D3545" s="181"/>
      <c r="E3545" s="181"/>
      <c r="F3545" s="181"/>
      <c r="G3545" s="181"/>
      <c r="H3545" s="181"/>
      <c r="I3545" s="181"/>
      <c r="J3545" s="181"/>
      <c r="K3545" s="181"/>
      <c r="L3545" s="181"/>
      <c r="M3545" s="181"/>
      <c r="N3545" s="181"/>
      <c r="O3545" s="181"/>
      <c r="P3545" s="181"/>
    </row>
    <row r="3546">
      <c r="B3546" s="292"/>
      <c r="C3546" s="181"/>
      <c r="D3546" s="181"/>
      <c r="E3546" s="181"/>
      <c r="F3546" s="181"/>
      <c r="G3546" s="181"/>
      <c r="H3546" s="181"/>
      <c r="I3546" s="181"/>
      <c r="J3546" s="181"/>
      <c r="K3546" s="181"/>
      <c r="L3546" s="181"/>
      <c r="M3546" s="181"/>
      <c r="N3546" s="181"/>
      <c r="O3546" s="181"/>
      <c r="P3546" s="181"/>
    </row>
    <row r="3547">
      <c r="B3547" s="292"/>
      <c r="C3547" s="181"/>
      <c r="D3547" s="181"/>
      <c r="E3547" s="181"/>
      <c r="F3547" s="181"/>
      <c r="G3547" s="181"/>
      <c r="H3547" s="181"/>
      <c r="I3547" s="181"/>
      <c r="J3547" s="181"/>
      <c r="K3547" s="181"/>
      <c r="L3547" s="181"/>
      <c r="M3547" s="181"/>
      <c r="N3547" s="181"/>
      <c r="O3547" s="181"/>
      <c r="P3547" s="181"/>
    </row>
    <row r="3548">
      <c r="B3548" s="292"/>
      <c r="C3548" s="181"/>
      <c r="D3548" s="181"/>
      <c r="E3548" s="181"/>
      <c r="F3548" s="181"/>
      <c r="G3548" s="181"/>
      <c r="H3548" s="181"/>
      <c r="I3548" s="181"/>
      <c r="J3548" s="181"/>
      <c r="K3548" s="181"/>
      <c r="L3548" s="181"/>
      <c r="M3548" s="181"/>
      <c r="N3548" s="181"/>
      <c r="O3548" s="181"/>
      <c r="P3548" s="181"/>
    </row>
    <row r="3549">
      <c r="B3549" s="292"/>
      <c r="C3549" s="181"/>
      <c r="D3549" s="181"/>
      <c r="E3549" s="181"/>
      <c r="F3549" s="181"/>
      <c r="G3549" s="181"/>
      <c r="H3549" s="181"/>
      <c r="I3549" s="181"/>
      <c r="J3549" s="181"/>
      <c r="K3549" s="181"/>
      <c r="L3549" s="181"/>
      <c r="M3549" s="181"/>
      <c r="N3549" s="181"/>
      <c r="O3549" s="181"/>
      <c r="P3549" s="181"/>
    </row>
    <row r="3550">
      <c r="B3550" s="292"/>
      <c r="C3550" s="181"/>
      <c r="D3550" s="181"/>
      <c r="E3550" s="181"/>
      <c r="F3550" s="181"/>
      <c r="G3550" s="181"/>
      <c r="H3550" s="181"/>
      <c r="I3550" s="181"/>
      <c r="J3550" s="181"/>
      <c r="K3550" s="181"/>
      <c r="L3550" s="181"/>
      <c r="M3550" s="181"/>
      <c r="N3550" s="181"/>
      <c r="O3550" s="181"/>
      <c r="P3550" s="181"/>
    </row>
    <row r="3551">
      <c r="B3551" s="292"/>
      <c r="C3551" s="181"/>
      <c r="D3551" s="181"/>
      <c r="E3551" s="181"/>
      <c r="F3551" s="181"/>
      <c r="G3551" s="181"/>
      <c r="H3551" s="181"/>
      <c r="I3551" s="181"/>
      <c r="J3551" s="181"/>
      <c r="K3551" s="181"/>
      <c r="L3551" s="181"/>
      <c r="M3551" s="181"/>
      <c r="N3551" s="181"/>
      <c r="O3551" s="181"/>
      <c r="P3551" s="181"/>
    </row>
    <row r="3552">
      <c r="B3552" s="292"/>
      <c r="C3552" s="181"/>
      <c r="D3552" s="181"/>
      <c r="E3552" s="181"/>
      <c r="F3552" s="181"/>
      <c r="G3552" s="181"/>
      <c r="H3552" s="181"/>
      <c r="I3552" s="181"/>
      <c r="J3552" s="181"/>
      <c r="K3552" s="181"/>
      <c r="L3552" s="181"/>
      <c r="M3552" s="181"/>
      <c r="N3552" s="181"/>
      <c r="O3552" s="181"/>
      <c r="P3552" s="181"/>
    </row>
    <row r="3553">
      <c r="B3553" s="292"/>
      <c r="C3553" s="181"/>
      <c r="D3553" s="181"/>
      <c r="E3553" s="181"/>
      <c r="F3553" s="181"/>
      <c r="G3553" s="181"/>
      <c r="H3553" s="181"/>
      <c r="I3553" s="181"/>
      <c r="J3553" s="181"/>
      <c r="K3553" s="181"/>
      <c r="L3553" s="181"/>
      <c r="M3553" s="181"/>
      <c r="N3553" s="181"/>
      <c r="O3553" s="181"/>
      <c r="P3553" s="181"/>
    </row>
    <row r="3554">
      <c r="B3554" s="292"/>
      <c r="C3554" s="181"/>
      <c r="D3554" s="181"/>
      <c r="E3554" s="181"/>
      <c r="F3554" s="181"/>
      <c r="G3554" s="181"/>
      <c r="H3554" s="181"/>
      <c r="I3554" s="181"/>
      <c r="J3554" s="181"/>
      <c r="K3554" s="181"/>
      <c r="L3554" s="181"/>
      <c r="M3554" s="181"/>
      <c r="N3554" s="181"/>
      <c r="O3554" s="181"/>
      <c r="P3554" s="181"/>
    </row>
    <row r="3555">
      <c r="B3555" s="292"/>
      <c r="C3555" s="181"/>
      <c r="D3555" s="181"/>
      <c r="E3555" s="181"/>
      <c r="F3555" s="181"/>
      <c r="G3555" s="181"/>
      <c r="H3555" s="181"/>
      <c r="I3555" s="181"/>
      <c r="J3555" s="181"/>
      <c r="K3555" s="181"/>
      <c r="L3555" s="181"/>
      <c r="M3555" s="181"/>
      <c r="N3555" s="181"/>
      <c r="O3555" s="181"/>
      <c r="P3555" s="181"/>
    </row>
    <row r="3556">
      <c r="B3556" s="292"/>
      <c r="C3556" s="181"/>
      <c r="D3556" s="181"/>
      <c r="E3556" s="181"/>
      <c r="F3556" s="181"/>
      <c r="G3556" s="181"/>
      <c r="H3556" s="181"/>
      <c r="I3556" s="181"/>
      <c r="J3556" s="181"/>
      <c r="K3556" s="181"/>
      <c r="L3556" s="181"/>
      <c r="M3556" s="181"/>
      <c r="N3556" s="181"/>
      <c r="O3556" s="181"/>
      <c r="P3556" s="181"/>
    </row>
    <row r="3557">
      <c r="B3557" s="292"/>
      <c r="C3557" s="181"/>
      <c r="D3557" s="181"/>
      <c r="E3557" s="181"/>
      <c r="F3557" s="181"/>
      <c r="G3557" s="181"/>
      <c r="H3557" s="181"/>
      <c r="I3557" s="181"/>
      <c r="J3557" s="181"/>
      <c r="K3557" s="181"/>
      <c r="L3557" s="181"/>
      <c r="M3557" s="181"/>
      <c r="N3557" s="181"/>
      <c r="O3557" s="181"/>
      <c r="P3557" s="181"/>
    </row>
    <row r="3558">
      <c r="B3558" s="292"/>
      <c r="C3558" s="181"/>
      <c r="D3558" s="181"/>
      <c r="E3558" s="181"/>
      <c r="F3558" s="181"/>
      <c r="G3558" s="181"/>
      <c r="H3558" s="181"/>
      <c r="I3558" s="181"/>
      <c r="J3558" s="181"/>
      <c r="K3558" s="181"/>
      <c r="L3558" s="181"/>
      <c r="M3558" s="181"/>
      <c r="N3558" s="181"/>
      <c r="O3558" s="181"/>
      <c r="P3558" s="181"/>
    </row>
    <row r="3559">
      <c r="B3559" s="292"/>
      <c r="C3559" s="181"/>
      <c r="D3559" s="181"/>
      <c r="E3559" s="181"/>
      <c r="F3559" s="181"/>
      <c r="G3559" s="181"/>
      <c r="H3559" s="181"/>
      <c r="I3559" s="181"/>
      <c r="J3559" s="181"/>
      <c r="K3559" s="181"/>
      <c r="L3559" s="181"/>
      <c r="M3559" s="181"/>
      <c r="N3559" s="181"/>
      <c r="O3559" s="181"/>
      <c r="P3559" s="181"/>
    </row>
    <row r="3560">
      <c r="B3560" s="292"/>
      <c r="C3560" s="181"/>
      <c r="D3560" s="181"/>
      <c r="E3560" s="181"/>
      <c r="F3560" s="181"/>
      <c r="G3560" s="181"/>
      <c r="H3560" s="181"/>
      <c r="I3560" s="181"/>
      <c r="J3560" s="181"/>
      <c r="K3560" s="181"/>
      <c r="L3560" s="181"/>
      <c r="M3560" s="181"/>
      <c r="N3560" s="181"/>
      <c r="O3560" s="181"/>
      <c r="P3560" s="181"/>
    </row>
    <row r="3561">
      <c r="B3561" s="292"/>
      <c r="C3561" s="181"/>
      <c r="D3561" s="181"/>
      <c r="E3561" s="181"/>
      <c r="F3561" s="181"/>
      <c r="G3561" s="181"/>
      <c r="H3561" s="181"/>
      <c r="I3561" s="181"/>
      <c r="J3561" s="181"/>
      <c r="K3561" s="181"/>
      <c r="L3561" s="181"/>
      <c r="M3561" s="181"/>
      <c r="N3561" s="181"/>
      <c r="O3561" s="181"/>
      <c r="P3561" s="181"/>
    </row>
    <row r="3562">
      <c r="B3562" s="292"/>
      <c r="C3562" s="181"/>
      <c r="D3562" s="181"/>
      <c r="E3562" s="181"/>
      <c r="F3562" s="181"/>
      <c r="G3562" s="181"/>
      <c r="H3562" s="181"/>
      <c r="I3562" s="181"/>
      <c r="J3562" s="181"/>
      <c r="K3562" s="181"/>
      <c r="L3562" s="181"/>
      <c r="M3562" s="181"/>
      <c r="N3562" s="181"/>
      <c r="O3562" s="181"/>
      <c r="P3562" s="181"/>
    </row>
    <row r="3563">
      <c r="B3563" s="292"/>
      <c r="C3563" s="181"/>
      <c r="D3563" s="181"/>
      <c r="E3563" s="181"/>
      <c r="F3563" s="181"/>
      <c r="G3563" s="181"/>
      <c r="H3563" s="181"/>
      <c r="I3563" s="181"/>
      <c r="J3563" s="181"/>
      <c r="K3563" s="181"/>
      <c r="L3563" s="181"/>
      <c r="M3563" s="181"/>
      <c r="N3563" s="181"/>
      <c r="O3563" s="181"/>
      <c r="P3563" s="181"/>
    </row>
    <row r="3564">
      <c r="B3564" s="292"/>
      <c r="C3564" s="181"/>
      <c r="D3564" s="181"/>
      <c r="E3564" s="181"/>
      <c r="F3564" s="181"/>
      <c r="G3564" s="181"/>
      <c r="H3564" s="181"/>
      <c r="I3564" s="181"/>
      <c r="J3564" s="181"/>
      <c r="K3564" s="181"/>
      <c r="L3564" s="181"/>
      <c r="M3564" s="181"/>
      <c r="N3564" s="181"/>
      <c r="O3564" s="181"/>
      <c r="P3564" s="181"/>
    </row>
    <row r="3565">
      <c r="B3565" s="292"/>
      <c r="C3565" s="181"/>
      <c r="D3565" s="181"/>
      <c r="E3565" s="181"/>
      <c r="F3565" s="181"/>
      <c r="G3565" s="181"/>
      <c r="H3565" s="181"/>
      <c r="I3565" s="181"/>
      <c r="J3565" s="181"/>
      <c r="K3565" s="181"/>
      <c r="L3565" s="181"/>
      <c r="M3565" s="181"/>
      <c r="N3565" s="181"/>
      <c r="O3565" s="181"/>
      <c r="P3565" s="181"/>
    </row>
    <row r="3566">
      <c r="B3566" s="292"/>
      <c r="C3566" s="181"/>
      <c r="D3566" s="181"/>
      <c r="E3566" s="181"/>
      <c r="F3566" s="181"/>
      <c r="G3566" s="181"/>
      <c r="H3566" s="181"/>
      <c r="I3566" s="181"/>
      <c r="J3566" s="181"/>
      <c r="K3566" s="181"/>
      <c r="L3566" s="181"/>
      <c r="M3566" s="181"/>
      <c r="N3566" s="181"/>
      <c r="O3566" s="181"/>
      <c r="P3566" s="181"/>
    </row>
    <row r="3567">
      <c r="B3567" s="292"/>
      <c r="C3567" s="181"/>
      <c r="D3567" s="181"/>
      <c r="E3567" s="181"/>
      <c r="F3567" s="181"/>
      <c r="G3567" s="181"/>
      <c r="H3567" s="181"/>
      <c r="I3567" s="181"/>
      <c r="J3567" s="181"/>
      <c r="K3567" s="181"/>
      <c r="L3567" s="181"/>
      <c r="M3567" s="181"/>
      <c r="N3567" s="181"/>
      <c r="O3567" s="181"/>
      <c r="P3567" s="181"/>
    </row>
    <row r="3568">
      <c r="B3568" s="292"/>
      <c r="C3568" s="181"/>
      <c r="D3568" s="181"/>
      <c r="E3568" s="181"/>
      <c r="F3568" s="181"/>
      <c r="G3568" s="181"/>
      <c r="H3568" s="181"/>
      <c r="I3568" s="181"/>
      <c r="J3568" s="181"/>
      <c r="K3568" s="181"/>
      <c r="L3568" s="181"/>
      <c r="M3568" s="181"/>
      <c r="N3568" s="181"/>
      <c r="O3568" s="181"/>
      <c r="P3568" s="181"/>
    </row>
    <row r="3569">
      <c r="B3569" s="292"/>
      <c r="C3569" s="181"/>
      <c r="D3569" s="181"/>
      <c r="E3569" s="181"/>
      <c r="F3569" s="181"/>
      <c r="G3569" s="181"/>
      <c r="H3569" s="181"/>
      <c r="I3569" s="181"/>
      <c r="J3569" s="181"/>
      <c r="K3569" s="181"/>
      <c r="L3569" s="181"/>
      <c r="M3569" s="181"/>
      <c r="N3569" s="181"/>
      <c r="O3569" s="181"/>
      <c r="P3569" s="181"/>
    </row>
    <row r="3570">
      <c r="B3570" s="292"/>
      <c r="C3570" s="181"/>
      <c r="D3570" s="181"/>
      <c r="E3570" s="181"/>
      <c r="F3570" s="181"/>
      <c r="G3570" s="181"/>
      <c r="H3570" s="181"/>
      <c r="I3570" s="181"/>
      <c r="J3570" s="181"/>
      <c r="K3570" s="181"/>
      <c r="L3570" s="181"/>
      <c r="M3570" s="181"/>
      <c r="N3570" s="181"/>
      <c r="O3570" s="181"/>
      <c r="P3570" s="181"/>
    </row>
    <row r="3571">
      <c r="B3571" s="292"/>
      <c r="C3571" s="181"/>
      <c r="D3571" s="181"/>
      <c r="E3571" s="181"/>
      <c r="F3571" s="181"/>
      <c r="G3571" s="181"/>
      <c r="H3571" s="181"/>
      <c r="I3571" s="181"/>
      <c r="J3571" s="181"/>
      <c r="K3571" s="181"/>
      <c r="L3571" s="181"/>
      <c r="M3571" s="181"/>
      <c r="N3571" s="181"/>
      <c r="O3571" s="181"/>
      <c r="P3571" s="181"/>
    </row>
    <row r="3572">
      <c r="B3572" s="292"/>
      <c r="C3572" s="181"/>
      <c r="D3572" s="181"/>
      <c r="E3572" s="181"/>
      <c r="F3572" s="181"/>
      <c r="G3572" s="181"/>
      <c r="H3572" s="181"/>
      <c r="I3572" s="181"/>
      <c r="J3572" s="181"/>
      <c r="K3572" s="181"/>
      <c r="L3572" s="181"/>
      <c r="M3572" s="181"/>
      <c r="N3572" s="181"/>
      <c r="O3572" s="181"/>
      <c r="P3572" s="181"/>
    </row>
    <row r="3573">
      <c r="B3573" s="292"/>
      <c r="C3573" s="181"/>
      <c r="D3573" s="181"/>
      <c r="E3573" s="181"/>
      <c r="F3573" s="181"/>
      <c r="G3573" s="181"/>
      <c r="H3573" s="181"/>
      <c r="I3573" s="181"/>
      <c r="J3573" s="181"/>
      <c r="K3573" s="181"/>
      <c r="L3573" s="181"/>
      <c r="M3573" s="181"/>
      <c r="N3573" s="181"/>
      <c r="O3573" s="181"/>
      <c r="P3573" s="181"/>
    </row>
    <row r="3574">
      <c r="B3574" s="292"/>
      <c r="C3574" s="181"/>
      <c r="D3574" s="181"/>
      <c r="E3574" s="181"/>
      <c r="F3574" s="181"/>
      <c r="G3574" s="181"/>
      <c r="H3574" s="181"/>
      <c r="I3574" s="181"/>
      <c r="J3574" s="181"/>
      <c r="K3574" s="181"/>
      <c r="L3574" s="181"/>
      <c r="M3574" s="181"/>
      <c r="N3574" s="181"/>
      <c r="O3574" s="181"/>
      <c r="P3574" s="181"/>
    </row>
    <row r="3575">
      <c r="B3575" s="292"/>
      <c r="C3575" s="181"/>
      <c r="D3575" s="181"/>
      <c r="E3575" s="181"/>
      <c r="F3575" s="181"/>
      <c r="G3575" s="181"/>
      <c r="H3575" s="181"/>
      <c r="I3575" s="181"/>
      <c r="J3575" s="181"/>
      <c r="K3575" s="181"/>
      <c r="L3575" s="181"/>
      <c r="M3575" s="181"/>
      <c r="N3575" s="181"/>
      <c r="O3575" s="181"/>
      <c r="P3575" s="181"/>
    </row>
    <row r="3576">
      <c r="B3576" s="292"/>
      <c r="C3576" s="181"/>
      <c r="D3576" s="181"/>
      <c r="E3576" s="181"/>
      <c r="F3576" s="181"/>
      <c r="G3576" s="181"/>
      <c r="H3576" s="181"/>
      <c r="I3576" s="181"/>
      <c r="J3576" s="181"/>
      <c r="K3576" s="181"/>
      <c r="L3576" s="181"/>
      <c r="M3576" s="181"/>
      <c r="N3576" s="181"/>
      <c r="O3576" s="181"/>
      <c r="P3576" s="181"/>
    </row>
    <row r="3577">
      <c r="B3577" s="292"/>
      <c r="C3577" s="181"/>
      <c r="D3577" s="181"/>
      <c r="E3577" s="181"/>
      <c r="F3577" s="181"/>
      <c r="G3577" s="181"/>
      <c r="H3577" s="181"/>
      <c r="I3577" s="181"/>
      <c r="J3577" s="181"/>
      <c r="K3577" s="181"/>
      <c r="L3577" s="181"/>
      <c r="M3577" s="181"/>
      <c r="N3577" s="181"/>
      <c r="O3577" s="181"/>
      <c r="P3577" s="181"/>
    </row>
    <row r="3578">
      <c r="B3578" s="292"/>
      <c r="C3578" s="181"/>
      <c r="D3578" s="181"/>
      <c r="E3578" s="181"/>
      <c r="F3578" s="181"/>
      <c r="G3578" s="181"/>
      <c r="H3578" s="181"/>
      <c r="I3578" s="181"/>
      <c r="J3578" s="181"/>
      <c r="K3578" s="181"/>
      <c r="L3578" s="181"/>
      <c r="M3578" s="181"/>
      <c r="N3578" s="181"/>
      <c r="O3578" s="181"/>
      <c r="P3578" s="181"/>
    </row>
    <row r="3579">
      <c r="B3579" s="292"/>
      <c r="C3579" s="181"/>
      <c r="D3579" s="181"/>
      <c r="E3579" s="181"/>
      <c r="F3579" s="181"/>
      <c r="G3579" s="181"/>
      <c r="H3579" s="181"/>
      <c r="I3579" s="181"/>
      <c r="J3579" s="181"/>
      <c r="K3579" s="181"/>
      <c r="L3579" s="181"/>
      <c r="M3579" s="181"/>
      <c r="N3579" s="181"/>
      <c r="O3579" s="181"/>
      <c r="P3579" s="181"/>
    </row>
    <row r="3580">
      <c r="B3580" s="292"/>
      <c r="C3580" s="181"/>
      <c r="D3580" s="181"/>
      <c r="E3580" s="181"/>
      <c r="F3580" s="181"/>
      <c r="G3580" s="181"/>
      <c r="H3580" s="181"/>
      <c r="I3580" s="181"/>
      <c r="J3580" s="181"/>
      <c r="K3580" s="181"/>
      <c r="L3580" s="181"/>
      <c r="M3580" s="181"/>
      <c r="N3580" s="181"/>
      <c r="O3580" s="181"/>
      <c r="P3580" s="181"/>
    </row>
    <row r="3581">
      <c r="B3581" s="292"/>
      <c r="C3581" s="181"/>
      <c r="D3581" s="181"/>
      <c r="E3581" s="181"/>
      <c r="F3581" s="181"/>
      <c r="G3581" s="181"/>
      <c r="H3581" s="181"/>
      <c r="I3581" s="181"/>
      <c r="J3581" s="181"/>
      <c r="K3581" s="181"/>
      <c r="L3581" s="181"/>
      <c r="M3581" s="181"/>
      <c r="N3581" s="181"/>
      <c r="O3581" s="181"/>
      <c r="P3581" s="181"/>
    </row>
    <row r="3582">
      <c r="B3582" s="292"/>
      <c r="C3582" s="181"/>
      <c r="D3582" s="181"/>
      <c r="E3582" s="181"/>
      <c r="F3582" s="181"/>
      <c r="G3582" s="181"/>
      <c r="H3582" s="181"/>
      <c r="I3582" s="181"/>
      <c r="J3582" s="181"/>
      <c r="K3582" s="181"/>
      <c r="L3582" s="181"/>
      <c r="M3582" s="181"/>
      <c r="N3582" s="181"/>
      <c r="O3582" s="181"/>
      <c r="P3582" s="181"/>
    </row>
    <row r="3583">
      <c r="B3583" s="292"/>
      <c r="C3583" s="181"/>
      <c r="D3583" s="181"/>
      <c r="E3583" s="181"/>
      <c r="F3583" s="181"/>
      <c r="G3583" s="181"/>
      <c r="H3583" s="181"/>
      <c r="I3583" s="181"/>
      <c r="J3583" s="181"/>
      <c r="K3583" s="181"/>
      <c r="L3583" s="181"/>
      <c r="M3583" s="181"/>
      <c r="N3583" s="181"/>
      <c r="O3583" s="181"/>
      <c r="P3583" s="181"/>
    </row>
    <row r="3584">
      <c r="B3584" s="292"/>
      <c r="C3584" s="181"/>
      <c r="D3584" s="181"/>
      <c r="E3584" s="181"/>
      <c r="F3584" s="181"/>
      <c r="G3584" s="181"/>
      <c r="H3584" s="181"/>
      <c r="I3584" s="181"/>
      <c r="J3584" s="181"/>
      <c r="K3584" s="181"/>
      <c r="L3584" s="181"/>
      <c r="M3584" s="181"/>
      <c r="N3584" s="181"/>
      <c r="O3584" s="181"/>
      <c r="P3584" s="181"/>
    </row>
    <row r="3585">
      <c r="B3585" s="292"/>
      <c r="C3585" s="181"/>
      <c r="D3585" s="181"/>
      <c r="E3585" s="181"/>
      <c r="F3585" s="181"/>
      <c r="G3585" s="181"/>
      <c r="H3585" s="181"/>
      <c r="I3585" s="181"/>
      <c r="J3585" s="181"/>
      <c r="K3585" s="181"/>
      <c r="L3585" s="181"/>
      <c r="M3585" s="181"/>
      <c r="N3585" s="181"/>
      <c r="O3585" s="181"/>
      <c r="P3585" s="181"/>
    </row>
    <row r="3586">
      <c r="B3586" s="292"/>
      <c r="C3586" s="181"/>
      <c r="D3586" s="181"/>
      <c r="E3586" s="181"/>
      <c r="F3586" s="181"/>
      <c r="G3586" s="181"/>
      <c r="H3586" s="181"/>
      <c r="I3586" s="181"/>
      <c r="J3586" s="181"/>
      <c r="K3586" s="181"/>
      <c r="L3586" s="181"/>
      <c r="M3586" s="181"/>
      <c r="N3586" s="181"/>
      <c r="O3586" s="181"/>
      <c r="P3586" s="181"/>
    </row>
    <row r="3587">
      <c r="B3587" s="292"/>
      <c r="C3587" s="181"/>
      <c r="D3587" s="181"/>
      <c r="E3587" s="181"/>
      <c r="F3587" s="181"/>
      <c r="G3587" s="181"/>
      <c r="H3587" s="181"/>
      <c r="I3587" s="181"/>
      <c r="J3587" s="181"/>
      <c r="K3587" s="181"/>
      <c r="L3587" s="181"/>
      <c r="M3587" s="181"/>
      <c r="N3587" s="181"/>
      <c r="O3587" s="181"/>
      <c r="P3587" s="181"/>
    </row>
    <row r="3588">
      <c r="B3588" s="292"/>
      <c r="C3588" s="181"/>
      <c r="D3588" s="181"/>
      <c r="E3588" s="181"/>
      <c r="F3588" s="181"/>
      <c r="G3588" s="181"/>
      <c r="H3588" s="181"/>
      <c r="I3588" s="181"/>
      <c r="J3588" s="181"/>
      <c r="K3588" s="181"/>
      <c r="L3588" s="181"/>
      <c r="M3588" s="181"/>
      <c r="N3588" s="181"/>
      <c r="O3588" s="181"/>
      <c r="P3588" s="181"/>
    </row>
    <row r="3589">
      <c r="B3589" s="292"/>
      <c r="C3589" s="181"/>
      <c r="D3589" s="181"/>
      <c r="E3589" s="181"/>
      <c r="F3589" s="181"/>
      <c r="G3589" s="181"/>
      <c r="H3589" s="181"/>
      <c r="I3589" s="181"/>
      <c r="J3589" s="181"/>
      <c r="K3589" s="181"/>
      <c r="L3589" s="181"/>
      <c r="M3589" s="181"/>
      <c r="N3589" s="181"/>
      <c r="O3589" s="181"/>
      <c r="P3589" s="181"/>
    </row>
    <row r="3590">
      <c r="B3590" s="292"/>
      <c r="C3590" s="181"/>
      <c r="D3590" s="181"/>
      <c r="E3590" s="181"/>
      <c r="F3590" s="181"/>
      <c r="G3590" s="181"/>
      <c r="H3590" s="181"/>
      <c r="I3590" s="181"/>
      <c r="J3590" s="181"/>
      <c r="K3590" s="181"/>
      <c r="L3590" s="181"/>
      <c r="M3590" s="181"/>
      <c r="N3590" s="181"/>
      <c r="O3590" s="181"/>
      <c r="P3590" s="181"/>
    </row>
    <row r="3591">
      <c r="B3591" s="292"/>
      <c r="C3591" s="181"/>
      <c r="D3591" s="181"/>
      <c r="E3591" s="181"/>
      <c r="F3591" s="181"/>
      <c r="G3591" s="181"/>
      <c r="H3591" s="181"/>
      <c r="I3591" s="181"/>
      <c r="J3591" s="181"/>
      <c r="K3591" s="181"/>
      <c r="L3591" s="181"/>
      <c r="M3591" s="181"/>
      <c r="N3591" s="181"/>
      <c r="O3591" s="181"/>
      <c r="P3591" s="181"/>
    </row>
    <row r="3592">
      <c r="B3592" s="292"/>
      <c r="C3592" s="181"/>
      <c r="D3592" s="181"/>
      <c r="E3592" s="181"/>
      <c r="F3592" s="181"/>
      <c r="G3592" s="181"/>
      <c r="H3592" s="181"/>
      <c r="I3592" s="181"/>
      <c r="J3592" s="181"/>
      <c r="K3592" s="181"/>
      <c r="L3592" s="181"/>
      <c r="M3592" s="181"/>
      <c r="N3592" s="181"/>
      <c r="O3592" s="181"/>
      <c r="P3592" s="181"/>
    </row>
    <row r="3593">
      <c r="B3593" s="292"/>
      <c r="C3593" s="181"/>
      <c r="D3593" s="181"/>
      <c r="E3593" s="181"/>
      <c r="F3593" s="181"/>
      <c r="G3593" s="181"/>
      <c r="H3593" s="181"/>
      <c r="I3593" s="181"/>
      <c r="J3593" s="181"/>
      <c r="K3593" s="181"/>
      <c r="L3593" s="181"/>
      <c r="M3593" s="181"/>
      <c r="N3593" s="181"/>
      <c r="O3593" s="181"/>
      <c r="P3593" s="181"/>
    </row>
    <row r="3594">
      <c r="B3594" s="292"/>
      <c r="C3594" s="181"/>
      <c r="D3594" s="181"/>
      <c r="E3594" s="181"/>
      <c r="F3594" s="181"/>
      <c r="G3594" s="181"/>
      <c r="H3594" s="181"/>
      <c r="I3594" s="181"/>
      <c r="J3594" s="181"/>
      <c r="K3594" s="181"/>
      <c r="L3594" s="181"/>
      <c r="M3594" s="181"/>
      <c r="N3594" s="181"/>
      <c r="O3594" s="181"/>
      <c r="P3594" s="181"/>
    </row>
    <row r="3595">
      <c r="B3595" s="292"/>
      <c r="C3595" s="181"/>
      <c r="D3595" s="181"/>
      <c r="E3595" s="181"/>
      <c r="F3595" s="181"/>
      <c r="G3595" s="181"/>
      <c r="H3595" s="181"/>
      <c r="I3595" s="181"/>
      <c r="J3595" s="181"/>
      <c r="K3595" s="181"/>
      <c r="L3595" s="181"/>
      <c r="M3595" s="181"/>
      <c r="N3595" s="181"/>
      <c r="O3595" s="181"/>
      <c r="P3595" s="181"/>
    </row>
    <row r="3596">
      <c r="B3596" s="292"/>
      <c r="C3596" s="181"/>
      <c r="D3596" s="181"/>
      <c r="E3596" s="181"/>
      <c r="F3596" s="181"/>
      <c r="G3596" s="181"/>
      <c r="H3596" s="181"/>
      <c r="I3596" s="181"/>
      <c r="J3596" s="181"/>
      <c r="K3596" s="181"/>
      <c r="L3596" s="181"/>
      <c r="M3596" s="181"/>
      <c r="N3596" s="181"/>
      <c r="O3596" s="181"/>
      <c r="P3596" s="181"/>
    </row>
    <row r="3597">
      <c r="B3597" s="292"/>
      <c r="C3597" s="181"/>
      <c r="D3597" s="181"/>
      <c r="E3597" s="181"/>
      <c r="F3597" s="181"/>
      <c r="G3597" s="181"/>
      <c r="H3597" s="181"/>
      <c r="I3597" s="181"/>
      <c r="J3597" s="181"/>
      <c r="K3597" s="181"/>
      <c r="L3597" s="181"/>
      <c r="M3597" s="181"/>
      <c r="N3597" s="181"/>
      <c r="O3597" s="181"/>
      <c r="P3597" s="181"/>
    </row>
    <row r="3598">
      <c r="B3598" s="292"/>
      <c r="C3598" s="181"/>
      <c r="D3598" s="181"/>
      <c r="E3598" s="181"/>
      <c r="F3598" s="181"/>
      <c r="G3598" s="181"/>
      <c r="H3598" s="181"/>
      <c r="I3598" s="181"/>
      <c r="J3598" s="181"/>
      <c r="K3598" s="181"/>
      <c r="L3598" s="181"/>
      <c r="M3598" s="181"/>
      <c r="N3598" s="181"/>
      <c r="O3598" s="181"/>
      <c r="P3598" s="181"/>
    </row>
    <row r="3599">
      <c r="B3599" s="292"/>
      <c r="C3599" s="181"/>
      <c r="D3599" s="181"/>
      <c r="E3599" s="181"/>
      <c r="F3599" s="181"/>
      <c r="G3599" s="181"/>
      <c r="H3599" s="181"/>
      <c r="I3599" s="181"/>
      <c r="J3599" s="181"/>
      <c r="K3599" s="181"/>
      <c r="L3599" s="181"/>
      <c r="M3599" s="181"/>
      <c r="N3599" s="181"/>
      <c r="O3599" s="181"/>
      <c r="P3599" s="181"/>
    </row>
    <row r="3600">
      <c r="B3600" s="292"/>
      <c r="C3600" s="181"/>
      <c r="D3600" s="181"/>
      <c r="E3600" s="181"/>
      <c r="F3600" s="181"/>
      <c r="G3600" s="181"/>
      <c r="H3600" s="181"/>
      <c r="I3600" s="181"/>
      <c r="J3600" s="181"/>
      <c r="K3600" s="181"/>
      <c r="L3600" s="181"/>
      <c r="M3600" s="181"/>
      <c r="N3600" s="181"/>
      <c r="O3600" s="181"/>
      <c r="P3600" s="181"/>
    </row>
    <row r="3601">
      <c r="B3601" s="292"/>
      <c r="C3601" s="181"/>
      <c r="D3601" s="181"/>
      <c r="E3601" s="181"/>
      <c r="F3601" s="181"/>
      <c r="G3601" s="181"/>
      <c r="H3601" s="181"/>
      <c r="I3601" s="181"/>
      <c r="J3601" s="181"/>
      <c r="K3601" s="181"/>
      <c r="L3601" s="181"/>
      <c r="M3601" s="181"/>
      <c r="N3601" s="181"/>
      <c r="O3601" s="181"/>
      <c r="P3601" s="181"/>
    </row>
    <row r="3602">
      <c r="B3602" s="292"/>
      <c r="C3602" s="181"/>
      <c r="D3602" s="181"/>
      <c r="E3602" s="181"/>
      <c r="F3602" s="181"/>
      <c r="G3602" s="181"/>
      <c r="H3602" s="181"/>
      <c r="I3602" s="181"/>
      <c r="J3602" s="181"/>
      <c r="K3602" s="181"/>
      <c r="L3602" s="181"/>
      <c r="M3602" s="181"/>
      <c r="N3602" s="181"/>
      <c r="O3602" s="181"/>
      <c r="P3602" s="181"/>
    </row>
    <row r="3603">
      <c r="B3603" s="292"/>
      <c r="C3603" s="181"/>
      <c r="D3603" s="181"/>
      <c r="E3603" s="181"/>
      <c r="F3603" s="181"/>
      <c r="G3603" s="181"/>
      <c r="H3603" s="181"/>
      <c r="I3603" s="181"/>
      <c r="J3603" s="181"/>
      <c r="K3603" s="181"/>
      <c r="L3603" s="181"/>
      <c r="M3603" s="181"/>
      <c r="N3603" s="181"/>
      <c r="O3603" s="181"/>
      <c r="P3603" s="181"/>
    </row>
    <row r="3604">
      <c r="B3604" s="292"/>
      <c r="C3604" s="181"/>
      <c r="D3604" s="181"/>
      <c r="E3604" s="181"/>
      <c r="F3604" s="181"/>
      <c r="G3604" s="181"/>
      <c r="H3604" s="181"/>
      <c r="I3604" s="181"/>
      <c r="J3604" s="181"/>
      <c r="K3604" s="181"/>
      <c r="L3604" s="181"/>
      <c r="M3604" s="181"/>
      <c r="N3604" s="181"/>
      <c r="O3604" s="181"/>
      <c r="P3604" s="181"/>
    </row>
    <row r="3605">
      <c r="B3605" s="292"/>
      <c r="C3605" s="181"/>
      <c r="D3605" s="181"/>
      <c r="E3605" s="181"/>
      <c r="F3605" s="181"/>
      <c r="G3605" s="181"/>
      <c r="H3605" s="181"/>
      <c r="I3605" s="181"/>
      <c r="J3605" s="181"/>
      <c r="K3605" s="181"/>
      <c r="L3605" s="181"/>
      <c r="M3605" s="181"/>
      <c r="N3605" s="181"/>
      <c r="O3605" s="181"/>
      <c r="P3605" s="181"/>
    </row>
    <row r="3606">
      <c r="B3606" s="292"/>
      <c r="C3606" s="181"/>
      <c r="D3606" s="181"/>
      <c r="E3606" s="181"/>
      <c r="F3606" s="181"/>
      <c r="G3606" s="181"/>
      <c r="H3606" s="181"/>
      <c r="I3606" s="181"/>
      <c r="J3606" s="181"/>
      <c r="K3606" s="181"/>
      <c r="L3606" s="181"/>
      <c r="M3606" s="181"/>
      <c r="N3606" s="181"/>
      <c r="O3606" s="181"/>
      <c r="P3606" s="181"/>
    </row>
    <row r="3607">
      <c r="B3607" s="292"/>
      <c r="C3607" s="181"/>
      <c r="D3607" s="181"/>
      <c r="E3607" s="181"/>
      <c r="F3607" s="181"/>
      <c r="G3607" s="181"/>
      <c r="H3607" s="181"/>
      <c r="I3607" s="181"/>
      <c r="J3607" s="181"/>
      <c r="K3607" s="181"/>
      <c r="L3607" s="181"/>
      <c r="M3607" s="181"/>
      <c r="N3607" s="181"/>
      <c r="O3607" s="181"/>
      <c r="P3607" s="181"/>
    </row>
    <row r="3608">
      <c r="B3608" s="292"/>
      <c r="C3608" s="181"/>
      <c r="D3608" s="181"/>
      <c r="E3608" s="181"/>
      <c r="F3608" s="181"/>
      <c r="G3608" s="181"/>
      <c r="H3608" s="181"/>
      <c r="I3608" s="181"/>
      <c r="J3608" s="181"/>
      <c r="K3608" s="181"/>
      <c r="L3608" s="181"/>
      <c r="M3608" s="181"/>
      <c r="N3608" s="181"/>
      <c r="O3608" s="181"/>
      <c r="P3608" s="181"/>
    </row>
    <row r="3609">
      <c r="B3609" s="292"/>
      <c r="C3609" s="181"/>
      <c r="D3609" s="181"/>
      <c r="E3609" s="181"/>
      <c r="F3609" s="181"/>
      <c r="G3609" s="181"/>
      <c r="H3609" s="181"/>
      <c r="I3609" s="181"/>
      <c r="J3609" s="181"/>
      <c r="K3609" s="181"/>
      <c r="L3609" s="181"/>
      <c r="M3609" s="181"/>
      <c r="N3609" s="181"/>
      <c r="O3609" s="181"/>
      <c r="P3609" s="181"/>
    </row>
    <row r="3610">
      <c r="B3610" s="292"/>
      <c r="C3610" s="181"/>
      <c r="D3610" s="181"/>
      <c r="E3610" s="181"/>
      <c r="F3610" s="181"/>
      <c r="G3610" s="181"/>
      <c r="H3610" s="181"/>
      <c r="I3610" s="181"/>
      <c r="J3610" s="181"/>
      <c r="K3610" s="181"/>
      <c r="L3610" s="181"/>
      <c r="M3610" s="181"/>
      <c r="N3610" s="181"/>
      <c r="O3610" s="181"/>
      <c r="P3610" s="181"/>
    </row>
    <row r="3611">
      <c r="B3611" s="292"/>
      <c r="C3611" s="181"/>
      <c r="D3611" s="181"/>
      <c r="E3611" s="181"/>
      <c r="F3611" s="181"/>
      <c r="G3611" s="181"/>
      <c r="H3611" s="181"/>
      <c r="I3611" s="181"/>
      <c r="J3611" s="181"/>
      <c r="K3611" s="181"/>
      <c r="L3611" s="181"/>
      <c r="M3611" s="181"/>
      <c r="N3611" s="181"/>
      <c r="O3611" s="181"/>
      <c r="P3611" s="181"/>
    </row>
    <row r="3612">
      <c r="B3612" s="292"/>
      <c r="C3612" s="181"/>
      <c r="D3612" s="181"/>
      <c r="E3612" s="181"/>
      <c r="F3612" s="181"/>
      <c r="G3612" s="181"/>
      <c r="H3612" s="181"/>
      <c r="I3612" s="181"/>
      <c r="J3612" s="181"/>
      <c r="K3612" s="181"/>
      <c r="L3612" s="181"/>
      <c r="M3612" s="181"/>
      <c r="N3612" s="181"/>
      <c r="O3612" s="181"/>
      <c r="P3612" s="181"/>
    </row>
    <row r="3613">
      <c r="B3613" s="292"/>
      <c r="C3613" s="181"/>
      <c r="D3613" s="181"/>
      <c r="E3613" s="181"/>
      <c r="F3613" s="181"/>
      <c r="G3613" s="181"/>
      <c r="H3613" s="181"/>
      <c r="I3613" s="181"/>
      <c r="J3613" s="181"/>
      <c r="K3613" s="181"/>
      <c r="L3613" s="181"/>
      <c r="M3613" s="181"/>
      <c r="N3613" s="181"/>
      <c r="O3613" s="181"/>
      <c r="P3613" s="181"/>
    </row>
    <row r="3614">
      <c r="B3614" s="292"/>
      <c r="C3614" s="181"/>
      <c r="D3614" s="181"/>
      <c r="E3614" s="181"/>
      <c r="F3614" s="181"/>
      <c r="G3614" s="181"/>
      <c r="H3614" s="181"/>
      <c r="I3614" s="181"/>
      <c r="J3614" s="181"/>
      <c r="K3614" s="181"/>
      <c r="L3614" s="181"/>
      <c r="M3614" s="181"/>
      <c r="N3614" s="181"/>
      <c r="O3614" s="181"/>
      <c r="P3614" s="181"/>
    </row>
    <row r="3615">
      <c r="B3615" s="292"/>
      <c r="C3615" s="181"/>
      <c r="D3615" s="181"/>
      <c r="E3615" s="181"/>
      <c r="F3615" s="181"/>
      <c r="G3615" s="181"/>
      <c r="H3615" s="181"/>
      <c r="I3615" s="181"/>
      <c r="J3615" s="181"/>
      <c r="K3615" s="181"/>
      <c r="L3615" s="181"/>
      <c r="M3615" s="181"/>
      <c r="N3615" s="181"/>
      <c r="O3615" s="181"/>
      <c r="P3615" s="181"/>
    </row>
    <row r="3616">
      <c r="B3616" s="292"/>
      <c r="C3616" s="181"/>
      <c r="D3616" s="181"/>
      <c r="E3616" s="181"/>
      <c r="F3616" s="181"/>
      <c r="G3616" s="181"/>
      <c r="H3616" s="181"/>
      <c r="I3616" s="181"/>
      <c r="J3616" s="181"/>
      <c r="K3616" s="181"/>
      <c r="L3616" s="181"/>
      <c r="M3616" s="181"/>
      <c r="N3616" s="181"/>
      <c r="O3616" s="181"/>
      <c r="P3616" s="181"/>
    </row>
    <row r="3617">
      <c r="B3617" s="292"/>
      <c r="C3617" s="181"/>
      <c r="D3617" s="181"/>
      <c r="E3617" s="181"/>
      <c r="F3617" s="181"/>
      <c r="G3617" s="181"/>
      <c r="H3617" s="181"/>
      <c r="I3617" s="181"/>
      <c r="J3617" s="181"/>
      <c r="K3617" s="181"/>
      <c r="L3617" s="181"/>
      <c r="M3617" s="181"/>
      <c r="N3617" s="181"/>
      <c r="O3617" s="181"/>
      <c r="P3617" s="181"/>
    </row>
    <row r="3618">
      <c r="B3618" s="292"/>
      <c r="C3618" s="181"/>
      <c r="D3618" s="181"/>
      <c r="E3618" s="181"/>
      <c r="F3618" s="181"/>
      <c r="G3618" s="181"/>
      <c r="H3618" s="181"/>
      <c r="I3618" s="181"/>
      <c r="J3618" s="181"/>
      <c r="K3618" s="181"/>
      <c r="L3618" s="181"/>
      <c r="M3618" s="181"/>
      <c r="N3618" s="181"/>
      <c r="O3618" s="181"/>
      <c r="P3618" s="181"/>
    </row>
    <row r="3619">
      <c r="B3619" s="292"/>
      <c r="C3619" s="181"/>
      <c r="D3619" s="181"/>
      <c r="E3619" s="181"/>
      <c r="F3619" s="181"/>
      <c r="G3619" s="181"/>
      <c r="H3619" s="181"/>
      <c r="I3619" s="181"/>
      <c r="J3619" s="181"/>
      <c r="K3619" s="181"/>
      <c r="L3619" s="181"/>
      <c r="M3619" s="181"/>
      <c r="N3619" s="181"/>
      <c r="O3619" s="181"/>
      <c r="P3619" s="181"/>
    </row>
    <row r="3620">
      <c r="B3620" s="292"/>
      <c r="C3620" s="181"/>
      <c r="D3620" s="181"/>
      <c r="E3620" s="181"/>
      <c r="F3620" s="181"/>
      <c r="G3620" s="181"/>
      <c r="H3620" s="181"/>
      <c r="I3620" s="181"/>
      <c r="J3620" s="181"/>
      <c r="K3620" s="181"/>
      <c r="L3620" s="181"/>
      <c r="M3620" s="181"/>
      <c r="N3620" s="181"/>
      <c r="O3620" s="181"/>
      <c r="P3620" s="181"/>
    </row>
    <row r="3621">
      <c r="B3621" s="292"/>
      <c r="C3621" s="181"/>
      <c r="D3621" s="181"/>
      <c r="E3621" s="181"/>
      <c r="F3621" s="181"/>
      <c r="G3621" s="181"/>
      <c r="H3621" s="181"/>
      <c r="I3621" s="181"/>
      <c r="J3621" s="181"/>
      <c r="K3621" s="181"/>
      <c r="L3621" s="181"/>
      <c r="M3621" s="181"/>
      <c r="N3621" s="181"/>
      <c r="O3621" s="181"/>
      <c r="P3621" s="181"/>
    </row>
    <row r="3622">
      <c r="B3622" s="292"/>
      <c r="C3622" s="181"/>
      <c r="D3622" s="181"/>
      <c r="E3622" s="181"/>
      <c r="F3622" s="181"/>
      <c r="G3622" s="181"/>
      <c r="H3622" s="181"/>
      <c r="I3622" s="181"/>
      <c r="J3622" s="181"/>
      <c r="K3622" s="181"/>
      <c r="L3622" s="181"/>
      <c r="M3622" s="181"/>
      <c r="N3622" s="181"/>
      <c r="O3622" s="181"/>
      <c r="P3622" s="181"/>
    </row>
    <row r="3623">
      <c r="B3623" s="292"/>
      <c r="C3623" s="181"/>
      <c r="D3623" s="181"/>
      <c r="E3623" s="181"/>
      <c r="F3623" s="181"/>
      <c r="G3623" s="181"/>
      <c r="H3623" s="181"/>
      <c r="I3623" s="181"/>
      <c r="J3623" s="181"/>
      <c r="K3623" s="181"/>
      <c r="L3623" s="181"/>
      <c r="M3623" s="181"/>
      <c r="N3623" s="181"/>
      <c r="O3623" s="181"/>
      <c r="P3623" s="181"/>
    </row>
    <row r="3624">
      <c r="B3624" s="292"/>
      <c r="C3624" s="181"/>
      <c r="D3624" s="181"/>
      <c r="E3624" s="181"/>
      <c r="F3624" s="181"/>
      <c r="G3624" s="181"/>
      <c r="H3624" s="181"/>
      <c r="I3624" s="181"/>
      <c r="J3624" s="181"/>
      <c r="K3624" s="181"/>
      <c r="L3624" s="181"/>
      <c r="M3624" s="181"/>
      <c r="N3624" s="181"/>
      <c r="O3624" s="181"/>
      <c r="P3624" s="181"/>
    </row>
    <row r="3625">
      <c r="B3625" s="292"/>
      <c r="C3625" s="181"/>
      <c r="D3625" s="181"/>
      <c r="E3625" s="181"/>
      <c r="F3625" s="181"/>
      <c r="G3625" s="181"/>
      <c r="H3625" s="181"/>
      <c r="I3625" s="181"/>
      <c r="J3625" s="181"/>
      <c r="K3625" s="181"/>
      <c r="L3625" s="181"/>
      <c r="M3625" s="181"/>
      <c r="N3625" s="181"/>
      <c r="O3625" s="181"/>
      <c r="P3625" s="181"/>
    </row>
    <row r="3626">
      <c r="B3626" s="292"/>
      <c r="C3626" s="181"/>
      <c r="D3626" s="181"/>
      <c r="E3626" s="181"/>
      <c r="F3626" s="181"/>
      <c r="G3626" s="181"/>
      <c r="H3626" s="181"/>
      <c r="I3626" s="181"/>
      <c r="J3626" s="181"/>
      <c r="K3626" s="181"/>
      <c r="L3626" s="181"/>
      <c r="M3626" s="181"/>
      <c r="N3626" s="181"/>
      <c r="O3626" s="181"/>
      <c r="P3626" s="181"/>
    </row>
    <row r="3627">
      <c r="B3627" s="292"/>
      <c r="C3627" s="181"/>
      <c r="D3627" s="181"/>
      <c r="E3627" s="181"/>
      <c r="F3627" s="181"/>
      <c r="G3627" s="181"/>
      <c r="H3627" s="181"/>
      <c r="I3627" s="181"/>
      <c r="J3627" s="181"/>
      <c r="K3627" s="181"/>
      <c r="L3627" s="181"/>
      <c r="M3627" s="181"/>
      <c r="N3627" s="181"/>
      <c r="O3627" s="181"/>
      <c r="P3627" s="181"/>
    </row>
    <row r="3628">
      <c r="B3628" s="292"/>
      <c r="C3628" s="181"/>
      <c r="D3628" s="181"/>
      <c r="E3628" s="181"/>
      <c r="F3628" s="181"/>
      <c r="G3628" s="181"/>
      <c r="H3628" s="181"/>
      <c r="I3628" s="181"/>
      <c r="J3628" s="181"/>
      <c r="K3628" s="181"/>
      <c r="L3628" s="181"/>
      <c r="M3628" s="181"/>
      <c r="N3628" s="181"/>
      <c r="O3628" s="181"/>
      <c r="P3628" s="181"/>
    </row>
    <row r="3629">
      <c r="B3629" s="292"/>
      <c r="C3629" s="181"/>
      <c r="D3629" s="181"/>
      <c r="E3629" s="181"/>
      <c r="F3629" s="181"/>
      <c r="G3629" s="181"/>
      <c r="H3629" s="181"/>
      <c r="I3629" s="181"/>
      <c r="J3629" s="181"/>
      <c r="K3629" s="181"/>
      <c r="L3629" s="181"/>
      <c r="M3629" s="181"/>
      <c r="N3629" s="181"/>
      <c r="O3629" s="181"/>
      <c r="P3629" s="181"/>
    </row>
    <row r="3630">
      <c r="B3630" s="292"/>
      <c r="C3630" s="181"/>
      <c r="D3630" s="181"/>
      <c r="E3630" s="181"/>
      <c r="F3630" s="181"/>
      <c r="G3630" s="181"/>
      <c r="H3630" s="181"/>
      <c r="I3630" s="181"/>
      <c r="J3630" s="181"/>
      <c r="K3630" s="181"/>
      <c r="L3630" s="181"/>
      <c r="M3630" s="181"/>
      <c r="N3630" s="181"/>
      <c r="O3630" s="181"/>
      <c r="P3630" s="181"/>
    </row>
    <row r="3631">
      <c r="B3631" s="292"/>
      <c r="C3631" s="181"/>
      <c r="D3631" s="181"/>
      <c r="E3631" s="181"/>
      <c r="F3631" s="181"/>
      <c r="G3631" s="181"/>
      <c r="H3631" s="181"/>
      <c r="I3631" s="181"/>
      <c r="J3631" s="181"/>
      <c r="K3631" s="181"/>
      <c r="L3631" s="181"/>
      <c r="M3631" s="181"/>
      <c r="N3631" s="181"/>
      <c r="O3631" s="181"/>
      <c r="P3631" s="181"/>
    </row>
    <row r="3632">
      <c r="B3632" s="292"/>
      <c r="C3632" s="181"/>
      <c r="D3632" s="181"/>
      <c r="E3632" s="181"/>
      <c r="F3632" s="181"/>
      <c r="G3632" s="181"/>
      <c r="H3632" s="181"/>
      <c r="I3632" s="181"/>
      <c r="J3632" s="181"/>
      <c r="K3632" s="181"/>
      <c r="L3632" s="181"/>
      <c r="M3632" s="181"/>
      <c r="N3632" s="181"/>
      <c r="O3632" s="181"/>
      <c r="P3632" s="181"/>
    </row>
    <row r="3633">
      <c r="B3633" s="292"/>
      <c r="C3633" s="181"/>
      <c r="D3633" s="181"/>
      <c r="E3633" s="181"/>
      <c r="F3633" s="181"/>
      <c r="G3633" s="181"/>
      <c r="H3633" s="181"/>
      <c r="I3633" s="181"/>
      <c r="J3633" s="181"/>
      <c r="K3633" s="181"/>
      <c r="L3633" s="181"/>
      <c r="M3633" s="181"/>
      <c r="N3633" s="181"/>
      <c r="O3633" s="181"/>
      <c r="P3633" s="181"/>
    </row>
    <row r="3634">
      <c r="B3634" s="292"/>
      <c r="C3634" s="181"/>
      <c r="D3634" s="181"/>
      <c r="E3634" s="181"/>
      <c r="F3634" s="181"/>
      <c r="G3634" s="181"/>
      <c r="H3634" s="181"/>
      <c r="I3634" s="181"/>
      <c r="J3634" s="181"/>
      <c r="K3634" s="181"/>
      <c r="L3634" s="181"/>
      <c r="M3634" s="181"/>
      <c r="N3634" s="181"/>
      <c r="O3634" s="181"/>
      <c r="P3634" s="181"/>
    </row>
    <row r="3635">
      <c r="B3635" s="292"/>
      <c r="C3635" s="181"/>
      <c r="D3635" s="181"/>
      <c r="E3635" s="181"/>
      <c r="F3635" s="181"/>
      <c r="G3635" s="181"/>
      <c r="H3635" s="181"/>
      <c r="I3635" s="181"/>
      <c r="J3635" s="181"/>
      <c r="K3635" s="181"/>
      <c r="L3635" s="181"/>
      <c r="M3635" s="181"/>
      <c r="N3635" s="181"/>
      <c r="O3635" s="181"/>
      <c r="P3635" s="181"/>
    </row>
    <row r="3636">
      <c r="B3636" s="292"/>
      <c r="C3636" s="181"/>
      <c r="D3636" s="181"/>
      <c r="E3636" s="181"/>
      <c r="F3636" s="181"/>
      <c r="G3636" s="181"/>
      <c r="H3636" s="181"/>
      <c r="I3636" s="181"/>
      <c r="J3636" s="181"/>
      <c r="K3636" s="181"/>
      <c r="L3636" s="181"/>
      <c r="M3636" s="181"/>
      <c r="N3636" s="181"/>
      <c r="O3636" s="181"/>
      <c r="P3636" s="181"/>
    </row>
    <row r="3637">
      <c r="B3637" s="292"/>
      <c r="C3637" s="181"/>
      <c r="D3637" s="181"/>
      <c r="E3637" s="181"/>
      <c r="F3637" s="181"/>
      <c r="G3637" s="181"/>
      <c r="H3637" s="181"/>
      <c r="I3637" s="181"/>
      <c r="J3637" s="181"/>
      <c r="K3637" s="181"/>
      <c r="L3637" s="181"/>
      <c r="M3637" s="181"/>
      <c r="N3637" s="181"/>
      <c r="O3637" s="181"/>
      <c r="P3637" s="181"/>
    </row>
    <row r="3638">
      <c r="B3638" s="292"/>
      <c r="C3638" s="181"/>
      <c r="D3638" s="181"/>
      <c r="E3638" s="181"/>
      <c r="F3638" s="181"/>
      <c r="G3638" s="181"/>
      <c r="H3638" s="181"/>
      <c r="I3638" s="181"/>
      <c r="J3638" s="181"/>
      <c r="K3638" s="181"/>
      <c r="L3638" s="181"/>
      <c r="M3638" s="181"/>
      <c r="N3638" s="181"/>
      <c r="O3638" s="181"/>
      <c r="P3638" s="181"/>
    </row>
    <row r="3639">
      <c r="B3639" s="292"/>
      <c r="C3639" s="181"/>
      <c r="D3639" s="181"/>
      <c r="E3639" s="181"/>
      <c r="F3639" s="181"/>
      <c r="G3639" s="181"/>
      <c r="H3639" s="181"/>
      <c r="I3639" s="181"/>
      <c r="J3639" s="181"/>
      <c r="K3639" s="181"/>
      <c r="L3639" s="181"/>
      <c r="M3639" s="181"/>
      <c r="N3639" s="181"/>
      <c r="O3639" s="181"/>
      <c r="P3639" s="181"/>
    </row>
    <row r="3640">
      <c r="B3640" s="292"/>
      <c r="C3640" s="181"/>
      <c r="D3640" s="181"/>
      <c r="E3640" s="181"/>
      <c r="F3640" s="181"/>
      <c r="G3640" s="181"/>
      <c r="H3640" s="181"/>
      <c r="I3640" s="181"/>
      <c r="J3640" s="181"/>
      <c r="K3640" s="181"/>
      <c r="L3640" s="181"/>
      <c r="M3640" s="181"/>
      <c r="N3640" s="181"/>
      <c r="O3640" s="181"/>
      <c r="P3640" s="181"/>
    </row>
    <row r="3641">
      <c r="B3641" s="292"/>
      <c r="C3641" s="181"/>
      <c r="D3641" s="181"/>
      <c r="E3641" s="181"/>
      <c r="F3641" s="181"/>
      <c r="G3641" s="181"/>
      <c r="H3641" s="181"/>
      <c r="I3641" s="181"/>
      <c r="J3641" s="181"/>
      <c r="K3641" s="181"/>
      <c r="L3641" s="181"/>
      <c r="M3641" s="181"/>
      <c r="N3641" s="181"/>
      <c r="O3641" s="181"/>
      <c r="P3641" s="181"/>
    </row>
    <row r="3642">
      <c r="B3642" s="292"/>
      <c r="C3642" s="181"/>
      <c r="D3642" s="181"/>
      <c r="E3642" s="181"/>
      <c r="F3642" s="181"/>
      <c r="G3642" s="181"/>
      <c r="H3642" s="181"/>
      <c r="I3642" s="181"/>
      <c r="J3642" s="181"/>
      <c r="K3642" s="181"/>
      <c r="L3642" s="181"/>
      <c r="M3642" s="181"/>
      <c r="N3642" s="181"/>
      <c r="O3642" s="181"/>
      <c r="P3642" s="181"/>
    </row>
    <row r="3643">
      <c r="B3643" s="292"/>
      <c r="C3643" s="181"/>
      <c r="D3643" s="181"/>
      <c r="E3643" s="181"/>
      <c r="F3643" s="181"/>
      <c r="G3643" s="181"/>
      <c r="H3643" s="181"/>
      <c r="I3643" s="181"/>
      <c r="J3643" s="181"/>
      <c r="K3643" s="181"/>
      <c r="L3643" s="181"/>
      <c r="M3643" s="181"/>
      <c r="N3643" s="181"/>
      <c r="O3643" s="181"/>
      <c r="P3643" s="181"/>
    </row>
    <row r="3644">
      <c r="B3644" s="292"/>
      <c r="C3644" s="181"/>
      <c r="D3644" s="181"/>
      <c r="E3644" s="181"/>
      <c r="F3644" s="181"/>
      <c r="G3644" s="181"/>
      <c r="H3644" s="181"/>
      <c r="I3644" s="181"/>
      <c r="J3644" s="181"/>
      <c r="K3644" s="181"/>
      <c r="L3644" s="181"/>
      <c r="M3644" s="181"/>
      <c r="N3644" s="181"/>
      <c r="O3644" s="181"/>
      <c r="P3644" s="181"/>
    </row>
    <row r="3645">
      <c r="B3645" s="292"/>
      <c r="C3645" s="181"/>
      <c r="D3645" s="181"/>
      <c r="E3645" s="181"/>
      <c r="F3645" s="181"/>
      <c r="G3645" s="181"/>
      <c r="H3645" s="181"/>
      <c r="I3645" s="181"/>
      <c r="J3645" s="181"/>
      <c r="K3645" s="181"/>
      <c r="L3645" s="181"/>
      <c r="M3645" s="181"/>
      <c r="N3645" s="181"/>
      <c r="O3645" s="181"/>
      <c r="P3645" s="181"/>
    </row>
    <row r="3646">
      <c r="B3646" s="292"/>
      <c r="C3646" s="181"/>
      <c r="D3646" s="181"/>
      <c r="E3646" s="181"/>
      <c r="F3646" s="181"/>
      <c r="G3646" s="181"/>
      <c r="H3646" s="181"/>
      <c r="I3646" s="181"/>
      <c r="J3646" s="181"/>
      <c r="K3646" s="181"/>
      <c r="L3646" s="181"/>
      <c r="M3646" s="181"/>
      <c r="N3646" s="181"/>
      <c r="O3646" s="181"/>
      <c r="P3646" s="181"/>
    </row>
    <row r="3647">
      <c r="B3647" s="292"/>
      <c r="C3647" s="181"/>
      <c r="D3647" s="181"/>
      <c r="E3647" s="181"/>
      <c r="F3647" s="181"/>
      <c r="G3647" s="181"/>
      <c r="H3647" s="181"/>
      <c r="I3647" s="181"/>
      <c r="J3647" s="181"/>
      <c r="K3647" s="181"/>
      <c r="L3647" s="181"/>
      <c r="M3647" s="181"/>
      <c r="N3647" s="181"/>
      <c r="O3647" s="181"/>
      <c r="P3647" s="181"/>
    </row>
    <row r="3648">
      <c r="B3648" s="292"/>
      <c r="C3648" s="181"/>
      <c r="D3648" s="181"/>
      <c r="E3648" s="181"/>
      <c r="F3648" s="181"/>
      <c r="G3648" s="181"/>
      <c r="H3648" s="181"/>
      <c r="I3648" s="181"/>
      <c r="J3648" s="181"/>
      <c r="K3648" s="181"/>
      <c r="L3648" s="181"/>
      <c r="M3648" s="181"/>
      <c r="N3648" s="181"/>
      <c r="O3648" s="181"/>
      <c r="P3648" s="181"/>
    </row>
    <row r="3649">
      <c r="B3649" s="292"/>
      <c r="C3649" s="181"/>
      <c r="D3649" s="181"/>
      <c r="E3649" s="181"/>
      <c r="F3649" s="181"/>
      <c r="G3649" s="181"/>
      <c r="H3649" s="181"/>
      <c r="I3649" s="181"/>
      <c r="J3649" s="181"/>
      <c r="K3649" s="181"/>
      <c r="L3649" s="181"/>
      <c r="M3649" s="181"/>
      <c r="N3649" s="181"/>
      <c r="O3649" s="181"/>
      <c r="P3649" s="181"/>
    </row>
    <row r="3650">
      <c r="B3650" s="292"/>
      <c r="C3650" s="181"/>
      <c r="D3650" s="181"/>
      <c r="E3650" s="181"/>
      <c r="F3650" s="181"/>
      <c r="G3650" s="181"/>
      <c r="H3650" s="181"/>
      <c r="I3650" s="181"/>
      <c r="J3650" s="181"/>
      <c r="K3650" s="181"/>
      <c r="L3650" s="181"/>
      <c r="M3650" s="181"/>
      <c r="N3650" s="181"/>
      <c r="O3650" s="181"/>
      <c r="P3650" s="181"/>
    </row>
    <row r="3651">
      <c r="B3651" s="292"/>
      <c r="C3651" s="181"/>
      <c r="D3651" s="181"/>
      <c r="E3651" s="181"/>
      <c r="F3651" s="181"/>
      <c r="G3651" s="181"/>
      <c r="H3651" s="181"/>
      <c r="I3651" s="181"/>
      <c r="J3651" s="181"/>
      <c r="K3651" s="181"/>
      <c r="L3651" s="181"/>
      <c r="M3651" s="181"/>
      <c r="N3651" s="181"/>
      <c r="O3651" s="181"/>
      <c r="P3651" s="181"/>
    </row>
    <row r="3652">
      <c r="B3652" s="292"/>
      <c r="C3652" s="181"/>
      <c r="D3652" s="181"/>
      <c r="E3652" s="181"/>
      <c r="F3652" s="181"/>
      <c r="G3652" s="181"/>
      <c r="H3652" s="181"/>
      <c r="I3652" s="181"/>
      <c r="J3652" s="181"/>
      <c r="K3652" s="181"/>
      <c r="L3652" s="181"/>
      <c r="M3652" s="181"/>
      <c r="N3652" s="181"/>
      <c r="O3652" s="181"/>
      <c r="P3652" s="181"/>
    </row>
    <row r="3653">
      <c r="B3653" s="292"/>
      <c r="C3653" s="181"/>
      <c r="D3653" s="181"/>
      <c r="E3653" s="181"/>
      <c r="F3653" s="181"/>
      <c r="G3653" s="181"/>
      <c r="H3653" s="181"/>
      <c r="I3653" s="181"/>
      <c r="J3653" s="181"/>
      <c r="K3653" s="181"/>
      <c r="L3653" s="181"/>
      <c r="M3653" s="181"/>
      <c r="N3653" s="181"/>
      <c r="O3653" s="181"/>
      <c r="P3653" s="181"/>
    </row>
    <row r="3654">
      <c r="B3654" s="292"/>
      <c r="C3654" s="181"/>
      <c r="D3654" s="181"/>
      <c r="E3654" s="181"/>
      <c r="F3654" s="181"/>
      <c r="G3654" s="181"/>
      <c r="H3654" s="181"/>
      <c r="I3654" s="181"/>
      <c r="J3654" s="181"/>
      <c r="K3654" s="181"/>
      <c r="L3654" s="181"/>
      <c r="M3654" s="181"/>
      <c r="N3654" s="181"/>
      <c r="O3654" s="181"/>
      <c r="P3654" s="181"/>
    </row>
    <row r="3655">
      <c r="B3655" s="292"/>
      <c r="C3655" s="181"/>
      <c r="D3655" s="181"/>
      <c r="E3655" s="181"/>
      <c r="F3655" s="181"/>
      <c r="G3655" s="181"/>
      <c r="H3655" s="181"/>
      <c r="I3655" s="181"/>
      <c r="J3655" s="181"/>
      <c r="K3655" s="181"/>
      <c r="L3655" s="181"/>
      <c r="M3655" s="181"/>
      <c r="N3655" s="181"/>
      <c r="O3655" s="181"/>
      <c r="P3655" s="181"/>
    </row>
    <row r="3656">
      <c r="B3656" s="292"/>
      <c r="C3656" s="181"/>
      <c r="D3656" s="181"/>
      <c r="E3656" s="181"/>
      <c r="F3656" s="181"/>
      <c r="G3656" s="181"/>
      <c r="H3656" s="181"/>
      <c r="I3656" s="181"/>
      <c r="J3656" s="181"/>
      <c r="K3656" s="181"/>
      <c r="L3656" s="181"/>
      <c r="M3656" s="181"/>
      <c r="N3656" s="181"/>
      <c r="O3656" s="181"/>
      <c r="P3656" s="181"/>
    </row>
    <row r="3657">
      <c r="B3657" s="292"/>
      <c r="C3657" s="181"/>
      <c r="D3657" s="181"/>
      <c r="E3657" s="181"/>
      <c r="F3657" s="181"/>
      <c r="G3657" s="181"/>
      <c r="H3657" s="181"/>
      <c r="I3657" s="181"/>
      <c r="J3657" s="181"/>
      <c r="K3657" s="181"/>
      <c r="L3657" s="181"/>
      <c r="M3657" s="181"/>
      <c r="N3657" s="181"/>
      <c r="O3657" s="181"/>
      <c r="P3657" s="181"/>
    </row>
    <row r="3658">
      <c r="B3658" s="292"/>
      <c r="C3658" s="181"/>
      <c r="D3658" s="181"/>
      <c r="E3658" s="181"/>
      <c r="F3658" s="181"/>
      <c r="G3658" s="181"/>
      <c r="H3658" s="181"/>
      <c r="I3658" s="181"/>
      <c r="J3658" s="181"/>
      <c r="K3658" s="181"/>
      <c r="L3658" s="181"/>
      <c r="M3658" s="181"/>
      <c r="N3658" s="181"/>
      <c r="O3658" s="181"/>
      <c r="P3658" s="181"/>
    </row>
    <row r="3659">
      <c r="B3659" s="292"/>
      <c r="C3659" s="181"/>
      <c r="D3659" s="181"/>
      <c r="E3659" s="181"/>
      <c r="F3659" s="181"/>
      <c r="G3659" s="181"/>
      <c r="H3659" s="181"/>
      <c r="I3659" s="181"/>
      <c r="J3659" s="181"/>
      <c r="K3659" s="181"/>
      <c r="L3659" s="181"/>
      <c r="M3659" s="181"/>
      <c r="N3659" s="181"/>
      <c r="O3659" s="181"/>
      <c r="P3659" s="181"/>
    </row>
    <row r="3660">
      <c r="B3660" s="292"/>
      <c r="C3660" s="181"/>
      <c r="D3660" s="181"/>
      <c r="E3660" s="181"/>
      <c r="F3660" s="181"/>
      <c r="G3660" s="181"/>
      <c r="H3660" s="181"/>
      <c r="I3660" s="181"/>
      <c r="J3660" s="181"/>
      <c r="K3660" s="181"/>
      <c r="L3660" s="181"/>
      <c r="M3660" s="181"/>
      <c r="N3660" s="181"/>
      <c r="O3660" s="181"/>
      <c r="P3660" s="181"/>
    </row>
    <row r="3661">
      <c r="B3661" s="292"/>
      <c r="C3661" s="181"/>
      <c r="D3661" s="181"/>
      <c r="E3661" s="181"/>
      <c r="F3661" s="181"/>
      <c r="G3661" s="181"/>
      <c r="H3661" s="181"/>
      <c r="I3661" s="181"/>
      <c r="J3661" s="181"/>
      <c r="K3661" s="181"/>
      <c r="L3661" s="181"/>
      <c r="M3661" s="181"/>
      <c r="N3661" s="181"/>
      <c r="O3661" s="181"/>
      <c r="P3661" s="181"/>
    </row>
    <row r="3662">
      <c r="B3662" s="292"/>
      <c r="C3662" s="181"/>
      <c r="D3662" s="181"/>
      <c r="E3662" s="181"/>
      <c r="F3662" s="181"/>
      <c r="G3662" s="181"/>
      <c r="H3662" s="181"/>
      <c r="I3662" s="181"/>
      <c r="J3662" s="181"/>
      <c r="K3662" s="181"/>
      <c r="L3662" s="181"/>
      <c r="M3662" s="181"/>
      <c r="N3662" s="181"/>
      <c r="O3662" s="181"/>
      <c r="P3662" s="181"/>
    </row>
    <row r="3663">
      <c r="B3663" s="292"/>
      <c r="C3663" s="181"/>
      <c r="D3663" s="181"/>
      <c r="E3663" s="181"/>
      <c r="F3663" s="181"/>
      <c r="G3663" s="181"/>
      <c r="H3663" s="181"/>
      <c r="I3663" s="181"/>
      <c r="J3663" s="181"/>
      <c r="K3663" s="181"/>
      <c r="L3663" s="181"/>
      <c r="M3663" s="181"/>
      <c r="N3663" s="181"/>
      <c r="O3663" s="181"/>
      <c r="P3663" s="181"/>
    </row>
    <row r="3664">
      <c r="B3664" s="292"/>
      <c r="C3664" s="181"/>
      <c r="D3664" s="181"/>
      <c r="E3664" s="181"/>
      <c r="F3664" s="181"/>
      <c r="G3664" s="181"/>
      <c r="H3664" s="181"/>
      <c r="I3664" s="181"/>
      <c r="J3664" s="181"/>
      <c r="K3664" s="181"/>
      <c r="L3664" s="181"/>
      <c r="M3664" s="181"/>
      <c r="N3664" s="181"/>
      <c r="O3664" s="181"/>
      <c r="P3664" s="181"/>
    </row>
    <row r="3665">
      <c r="B3665" s="292"/>
      <c r="C3665" s="181"/>
      <c r="D3665" s="181"/>
      <c r="E3665" s="181"/>
      <c r="F3665" s="181"/>
      <c r="G3665" s="181"/>
      <c r="H3665" s="181"/>
      <c r="I3665" s="181"/>
      <c r="J3665" s="181"/>
      <c r="K3665" s="181"/>
      <c r="L3665" s="181"/>
      <c r="M3665" s="181"/>
      <c r="N3665" s="181"/>
      <c r="O3665" s="181"/>
      <c r="P3665" s="181"/>
    </row>
    <row r="3666">
      <c r="B3666" s="292"/>
      <c r="C3666" s="181"/>
      <c r="D3666" s="181"/>
      <c r="E3666" s="181"/>
      <c r="F3666" s="181"/>
      <c r="G3666" s="181"/>
      <c r="H3666" s="181"/>
      <c r="I3666" s="181"/>
      <c r="J3666" s="181"/>
      <c r="K3666" s="181"/>
      <c r="L3666" s="181"/>
      <c r="M3666" s="181"/>
      <c r="N3666" s="181"/>
      <c r="O3666" s="181"/>
      <c r="P3666" s="181"/>
    </row>
    <row r="3667">
      <c r="B3667" s="292"/>
      <c r="C3667" s="181"/>
      <c r="D3667" s="181"/>
      <c r="E3667" s="181"/>
      <c r="F3667" s="181"/>
      <c r="G3667" s="181"/>
      <c r="H3667" s="181"/>
      <c r="I3667" s="181"/>
      <c r="J3667" s="181"/>
      <c r="K3667" s="181"/>
      <c r="L3667" s="181"/>
      <c r="M3667" s="181"/>
      <c r="N3667" s="181"/>
      <c r="O3667" s="181"/>
      <c r="P3667" s="181"/>
    </row>
    <row r="3668">
      <c r="B3668" s="292"/>
      <c r="C3668" s="181"/>
      <c r="D3668" s="181"/>
      <c r="E3668" s="181"/>
      <c r="F3668" s="181"/>
      <c r="G3668" s="181"/>
      <c r="H3668" s="181"/>
      <c r="I3668" s="181"/>
      <c r="J3668" s="181"/>
      <c r="K3668" s="181"/>
      <c r="L3668" s="181"/>
      <c r="M3668" s="181"/>
      <c r="N3668" s="181"/>
      <c r="O3668" s="181"/>
      <c r="P3668" s="181"/>
    </row>
    <row r="3669">
      <c r="B3669" s="292"/>
      <c r="C3669" s="181"/>
      <c r="D3669" s="181"/>
      <c r="E3669" s="181"/>
      <c r="F3669" s="181"/>
      <c r="G3669" s="181"/>
      <c r="H3669" s="181"/>
      <c r="I3669" s="181"/>
      <c r="J3669" s="181"/>
      <c r="K3669" s="181"/>
      <c r="L3669" s="181"/>
      <c r="M3669" s="181"/>
      <c r="N3669" s="181"/>
      <c r="O3669" s="181"/>
      <c r="P3669" s="181"/>
    </row>
    <row r="3670">
      <c r="B3670" s="292"/>
      <c r="C3670" s="181"/>
      <c r="D3670" s="181"/>
      <c r="E3670" s="181"/>
      <c r="F3670" s="181"/>
      <c r="G3670" s="181"/>
      <c r="H3670" s="181"/>
      <c r="I3670" s="181"/>
      <c r="J3670" s="181"/>
      <c r="K3670" s="181"/>
      <c r="L3670" s="181"/>
      <c r="M3670" s="181"/>
      <c r="N3670" s="181"/>
      <c r="O3670" s="181"/>
      <c r="P3670" s="181"/>
    </row>
    <row r="3671">
      <c r="B3671" s="292"/>
      <c r="C3671" s="181"/>
      <c r="D3671" s="181"/>
      <c r="E3671" s="181"/>
      <c r="F3671" s="181"/>
      <c r="G3671" s="181"/>
      <c r="H3671" s="181"/>
      <c r="I3671" s="181"/>
      <c r="J3671" s="181"/>
      <c r="K3671" s="181"/>
      <c r="L3671" s="181"/>
      <c r="M3671" s="181"/>
      <c r="N3671" s="181"/>
      <c r="O3671" s="181"/>
      <c r="P3671" s="181"/>
    </row>
    <row r="3672">
      <c r="B3672" s="292"/>
      <c r="C3672" s="181"/>
      <c r="D3672" s="181"/>
      <c r="E3672" s="181"/>
      <c r="F3672" s="181"/>
      <c r="G3672" s="181"/>
      <c r="H3672" s="181"/>
      <c r="I3672" s="181"/>
      <c r="J3672" s="181"/>
      <c r="K3672" s="181"/>
      <c r="L3672" s="181"/>
      <c r="M3672" s="181"/>
      <c r="N3672" s="181"/>
      <c r="O3672" s="181"/>
      <c r="P3672" s="181"/>
    </row>
    <row r="3673">
      <c r="B3673" s="292"/>
      <c r="C3673" s="181"/>
      <c r="D3673" s="181"/>
      <c r="E3673" s="181"/>
      <c r="F3673" s="181"/>
      <c r="G3673" s="181"/>
      <c r="H3673" s="181"/>
      <c r="I3673" s="181"/>
      <c r="J3673" s="181"/>
      <c r="K3673" s="181"/>
      <c r="L3673" s="181"/>
      <c r="M3673" s="181"/>
      <c r="N3673" s="181"/>
      <c r="O3673" s="181"/>
      <c r="P3673" s="181"/>
    </row>
    <row r="3674">
      <c r="B3674" s="292"/>
      <c r="C3674" s="181"/>
      <c r="D3674" s="181"/>
      <c r="E3674" s="181"/>
      <c r="F3674" s="181"/>
      <c r="G3674" s="181"/>
      <c r="H3674" s="181"/>
      <c r="I3674" s="181"/>
      <c r="J3674" s="181"/>
      <c r="K3674" s="181"/>
      <c r="L3674" s="181"/>
      <c r="M3674" s="181"/>
      <c r="N3674" s="181"/>
      <c r="O3674" s="181"/>
      <c r="P3674" s="181"/>
    </row>
    <row r="3675">
      <c r="B3675" s="292"/>
      <c r="C3675" s="181"/>
      <c r="D3675" s="181"/>
      <c r="E3675" s="181"/>
      <c r="F3675" s="181"/>
      <c r="G3675" s="181"/>
      <c r="H3675" s="181"/>
      <c r="I3675" s="181"/>
      <c r="J3675" s="181"/>
      <c r="K3675" s="181"/>
      <c r="L3675" s="181"/>
      <c r="M3675" s="181"/>
      <c r="N3675" s="181"/>
      <c r="O3675" s="181"/>
      <c r="P3675" s="181"/>
    </row>
    <row r="3676">
      <c r="B3676" s="292"/>
      <c r="C3676" s="181"/>
      <c r="D3676" s="181"/>
      <c r="E3676" s="181"/>
      <c r="F3676" s="181"/>
      <c r="G3676" s="181"/>
      <c r="H3676" s="181"/>
      <c r="I3676" s="181"/>
      <c r="J3676" s="181"/>
      <c r="K3676" s="181"/>
      <c r="L3676" s="181"/>
      <c r="M3676" s="181"/>
      <c r="N3676" s="181"/>
      <c r="O3676" s="181"/>
      <c r="P3676" s="181"/>
    </row>
    <row r="3677">
      <c r="B3677" s="292"/>
      <c r="C3677" s="181"/>
      <c r="D3677" s="181"/>
      <c r="E3677" s="181"/>
      <c r="F3677" s="181"/>
      <c r="G3677" s="181"/>
      <c r="H3677" s="181"/>
      <c r="I3677" s="181"/>
      <c r="J3677" s="181"/>
      <c r="K3677" s="181"/>
      <c r="L3677" s="181"/>
      <c r="M3677" s="181"/>
      <c r="N3677" s="181"/>
      <c r="O3677" s="181"/>
      <c r="P3677" s="181"/>
    </row>
    <row r="3678">
      <c r="B3678" s="292"/>
      <c r="C3678" s="181"/>
      <c r="D3678" s="181"/>
      <c r="E3678" s="181"/>
      <c r="F3678" s="181"/>
      <c r="G3678" s="181"/>
      <c r="H3678" s="181"/>
      <c r="I3678" s="181"/>
      <c r="J3678" s="181"/>
      <c r="K3678" s="181"/>
      <c r="L3678" s="181"/>
      <c r="M3678" s="181"/>
      <c r="N3678" s="181"/>
      <c r="O3678" s="181"/>
      <c r="P3678" s="181"/>
    </row>
    <row r="3679">
      <c r="B3679" s="292"/>
      <c r="C3679" s="181"/>
      <c r="D3679" s="181"/>
      <c r="E3679" s="181"/>
      <c r="F3679" s="181"/>
      <c r="G3679" s="181"/>
      <c r="H3679" s="181"/>
      <c r="I3679" s="181"/>
      <c r="J3679" s="181"/>
      <c r="K3679" s="181"/>
      <c r="L3679" s="181"/>
      <c r="M3679" s="181"/>
      <c r="N3679" s="181"/>
      <c r="O3679" s="181"/>
      <c r="P3679" s="181"/>
    </row>
    <row r="3680">
      <c r="B3680" s="292"/>
      <c r="C3680" s="181"/>
      <c r="D3680" s="181"/>
      <c r="E3680" s="181"/>
      <c r="F3680" s="181"/>
      <c r="G3680" s="181"/>
      <c r="H3680" s="181"/>
      <c r="I3680" s="181"/>
      <c r="J3680" s="181"/>
      <c r="K3680" s="181"/>
      <c r="L3680" s="181"/>
      <c r="M3680" s="181"/>
      <c r="N3680" s="181"/>
      <c r="O3680" s="181"/>
      <c r="P3680" s="181"/>
    </row>
    <row r="3681">
      <c r="B3681" s="292"/>
      <c r="C3681" s="181"/>
      <c r="D3681" s="181"/>
      <c r="E3681" s="181"/>
      <c r="F3681" s="181"/>
      <c r="G3681" s="181"/>
      <c r="H3681" s="181"/>
      <c r="I3681" s="181"/>
      <c r="J3681" s="181"/>
      <c r="K3681" s="181"/>
      <c r="L3681" s="181"/>
      <c r="M3681" s="181"/>
      <c r="N3681" s="181"/>
      <c r="O3681" s="181"/>
      <c r="P3681" s="181"/>
    </row>
    <row r="3682">
      <c r="B3682" s="292"/>
      <c r="C3682" s="181"/>
      <c r="D3682" s="181"/>
      <c r="E3682" s="181"/>
      <c r="F3682" s="181"/>
      <c r="G3682" s="181"/>
      <c r="H3682" s="181"/>
      <c r="I3682" s="181"/>
      <c r="J3682" s="181"/>
      <c r="K3682" s="181"/>
      <c r="L3682" s="181"/>
      <c r="M3682" s="181"/>
      <c r="N3682" s="181"/>
      <c r="O3682" s="181"/>
      <c r="P3682" s="181"/>
    </row>
    <row r="3683">
      <c r="B3683" s="292"/>
      <c r="C3683" s="181"/>
      <c r="D3683" s="181"/>
      <c r="E3683" s="181"/>
      <c r="F3683" s="181"/>
      <c r="G3683" s="181"/>
      <c r="H3683" s="181"/>
      <c r="I3683" s="181"/>
      <c r="J3683" s="181"/>
      <c r="K3683" s="181"/>
      <c r="L3683" s="181"/>
      <c r="M3683" s="181"/>
      <c r="N3683" s="181"/>
      <c r="O3683" s="181"/>
      <c r="P3683" s="181"/>
    </row>
    <row r="3684">
      <c r="B3684" s="292"/>
      <c r="C3684" s="181"/>
      <c r="D3684" s="181"/>
      <c r="E3684" s="181"/>
      <c r="F3684" s="181"/>
      <c r="G3684" s="181"/>
      <c r="H3684" s="181"/>
      <c r="I3684" s="181"/>
      <c r="J3684" s="181"/>
      <c r="K3684" s="181"/>
      <c r="L3684" s="181"/>
      <c r="M3684" s="181"/>
      <c r="N3684" s="181"/>
      <c r="O3684" s="181"/>
      <c r="P3684" s="181"/>
    </row>
    <row r="3685">
      <c r="B3685" s="292"/>
      <c r="C3685" s="181"/>
      <c r="D3685" s="181"/>
      <c r="E3685" s="181"/>
      <c r="F3685" s="181"/>
      <c r="G3685" s="181"/>
      <c r="H3685" s="181"/>
      <c r="I3685" s="181"/>
      <c r="J3685" s="181"/>
      <c r="K3685" s="181"/>
      <c r="L3685" s="181"/>
      <c r="M3685" s="181"/>
      <c r="N3685" s="181"/>
      <c r="O3685" s="181"/>
      <c r="P3685" s="181"/>
    </row>
    <row r="3686">
      <c r="B3686" s="292"/>
      <c r="C3686" s="181"/>
      <c r="D3686" s="181"/>
      <c r="E3686" s="181"/>
      <c r="F3686" s="181"/>
      <c r="G3686" s="181"/>
      <c r="H3686" s="181"/>
      <c r="I3686" s="181"/>
      <c r="J3686" s="181"/>
      <c r="K3686" s="181"/>
      <c r="L3686" s="181"/>
      <c r="M3686" s="181"/>
      <c r="N3686" s="181"/>
      <c r="O3686" s="181"/>
      <c r="P3686" s="181"/>
    </row>
    <row r="3687">
      <c r="B3687" s="292"/>
      <c r="C3687" s="181"/>
      <c r="D3687" s="181"/>
      <c r="E3687" s="181"/>
      <c r="F3687" s="181"/>
      <c r="G3687" s="181"/>
      <c r="H3687" s="181"/>
      <c r="I3687" s="181"/>
      <c r="J3687" s="181"/>
      <c r="K3687" s="181"/>
      <c r="L3687" s="181"/>
      <c r="M3687" s="181"/>
      <c r="N3687" s="181"/>
      <c r="O3687" s="181"/>
      <c r="P3687" s="181"/>
    </row>
    <row r="3688">
      <c r="B3688" s="292"/>
      <c r="C3688" s="181"/>
      <c r="D3688" s="181"/>
      <c r="E3688" s="181"/>
      <c r="F3688" s="181"/>
      <c r="G3688" s="181"/>
      <c r="H3688" s="181"/>
      <c r="I3688" s="181"/>
      <c r="J3688" s="181"/>
      <c r="K3688" s="181"/>
      <c r="L3688" s="181"/>
      <c r="M3688" s="181"/>
      <c r="N3688" s="181"/>
      <c r="O3688" s="181"/>
      <c r="P3688" s="181"/>
    </row>
    <row r="3689">
      <c r="B3689" s="292"/>
      <c r="C3689" s="181"/>
      <c r="D3689" s="181"/>
      <c r="E3689" s="181"/>
      <c r="F3689" s="181"/>
      <c r="G3689" s="181"/>
      <c r="H3689" s="181"/>
      <c r="I3689" s="181"/>
      <c r="J3689" s="181"/>
      <c r="K3689" s="181"/>
      <c r="L3689" s="181"/>
      <c r="M3689" s="181"/>
      <c r="N3689" s="181"/>
      <c r="O3689" s="181"/>
      <c r="P3689" s="181"/>
    </row>
    <row r="3690">
      <c r="B3690" s="292"/>
      <c r="C3690" s="181"/>
      <c r="D3690" s="181"/>
      <c r="E3690" s="181"/>
      <c r="F3690" s="181"/>
      <c r="G3690" s="181"/>
      <c r="H3690" s="181"/>
      <c r="I3690" s="181"/>
      <c r="J3690" s="181"/>
      <c r="K3690" s="181"/>
      <c r="L3690" s="181"/>
      <c r="M3690" s="181"/>
      <c r="N3690" s="181"/>
      <c r="O3690" s="181"/>
      <c r="P3690" s="181"/>
    </row>
    <row r="3691">
      <c r="B3691" s="292"/>
      <c r="C3691" s="181"/>
      <c r="D3691" s="181"/>
      <c r="E3691" s="181"/>
      <c r="F3691" s="181"/>
      <c r="G3691" s="181"/>
      <c r="H3691" s="181"/>
      <c r="I3691" s="181"/>
      <c r="J3691" s="181"/>
      <c r="K3691" s="181"/>
      <c r="L3691" s="181"/>
      <c r="M3691" s="181"/>
      <c r="N3691" s="181"/>
      <c r="O3691" s="181"/>
      <c r="P3691" s="181"/>
    </row>
    <row r="3692">
      <c r="B3692" s="292"/>
      <c r="C3692" s="181"/>
      <c r="D3692" s="181"/>
      <c r="E3692" s="181"/>
      <c r="F3692" s="181"/>
      <c r="G3692" s="181"/>
      <c r="H3692" s="181"/>
      <c r="I3692" s="181"/>
      <c r="J3692" s="181"/>
      <c r="K3692" s="181"/>
      <c r="L3692" s="181"/>
      <c r="M3692" s="181"/>
      <c r="N3692" s="181"/>
      <c r="O3692" s="181"/>
      <c r="P3692" s="181"/>
    </row>
    <row r="3693">
      <c r="B3693" s="292"/>
      <c r="C3693" s="181"/>
      <c r="D3693" s="181"/>
      <c r="E3693" s="181"/>
      <c r="F3693" s="181"/>
      <c r="G3693" s="181"/>
      <c r="H3693" s="181"/>
      <c r="I3693" s="181"/>
      <c r="J3693" s="181"/>
      <c r="K3693" s="181"/>
      <c r="L3693" s="181"/>
      <c r="M3693" s="181"/>
      <c r="N3693" s="181"/>
      <c r="O3693" s="181"/>
      <c r="P3693" s="181"/>
    </row>
    <row r="3694">
      <c r="B3694" s="292"/>
      <c r="C3694" s="181"/>
      <c r="D3694" s="181"/>
      <c r="E3694" s="181"/>
      <c r="F3694" s="181"/>
      <c r="G3694" s="181"/>
      <c r="H3694" s="181"/>
      <c r="I3694" s="181"/>
      <c r="J3694" s="181"/>
      <c r="K3694" s="181"/>
      <c r="L3694" s="181"/>
      <c r="M3694" s="181"/>
      <c r="N3694" s="181"/>
      <c r="O3694" s="181"/>
      <c r="P3694" s="181"/>
    </row>
    <row r="3695">
      <c r="B3695" s="292"/>
      <c r="C3695" s="181"/>
      <c r="D3695" s="181"/>
      <c r="E3695" s="181"/>
      <c r="F3695" s="181"/>
      <c r="G3695" s="181"/>
      <c r="H3695" s="181"/>
      <c r="I3695" s="181"/>
      <c r="J3695" s="181"/>
      <c r="K3695" s="181"/>
      <c r="L3695" s="181"/>
      <c r="M3695" s="181"/>
      <c r="N3695" s="181"/>
      <c r="O3695" s="181"/>
      <c r="P3695" s="181"/>
    </row>
    <row r="3696">
      <c r="B3696" s="292"/>
      <c r="C3696" s="181"/>
      <c r="D3696" s="181"/>
      <c r="E3696" s="181"/>
      <c r="F3696" s="181"/>
      <c r="G3696" s="181"/>
      <c r="H3696" s="181"/>
      <c r="I3696" s="181"/>
      <c r="J3696" s="181"/>
      <c r="K3696" s="181"/>
      <c r="L3696" s="181"/>
      <c r="M3696" s="181"/>
      <c r="N3696" s="181"/>
      <c r="O3696" s="181"/>
      <c r="P3696" s="181"/>
    </row>
    <row r="3697">
      <c r="B3697" s="292"/>
      <c r="C3697" s="181"/>
      <c r="D3697" s="181"/>
      <c r="E3697" s="181"/>
      <c r="F3697" s="181"/>
      <c r="G3697" s="181"/>
      <c r="H3697" s="181"/>
      <c r="I3697" s="181"/>
      <c r="J3697" s="181"/>
      <c r="K3697" s="181"/>
      <c r="L3697" s="181"/>
      <c r="M3697" s="181"/>
      <c r="N3697" s="181"/>
      <c r="O3697" s="181"/>
      <c r="P3697" s="181"/>
    </row>
    <row r="3698">
      <c r="B3698" s="292"/>
      <c r="C3698" s="181"/>
      <c r="D3698" s="181"/>
      <c r="E3698" s="181"/>
      <c r="F3698" s="181"/>
      <c r="G3698" s="181"/>
      <c r="H3698" s="181"/>
      <c r="I3698" s="181"/>
      <c r="J3698" s="181"/>
      <c r="K3698" s="181"/>
      <c r="L3698" s="181"/>
      <c r="M3698" s="181"/>
      <c r="N3698" s="181"/>
      <c r="O3698" s="181"/>
      <c r="P3698" s="181"/>
    </row>
    <row r="3699">
      <c r="B3699" s="292"/>
      <c r="C3699" s="181"/>
      <c r="D3699" s="181"/>
      <c r="E3699" s="181"/>
      <c r="F3699" s="181"/>
      <c r="G3699" s="181"/>
      <c r="H3699" s="181"/>
      <c r="I3699" s="181"/>
      <c r="J3699" s="181"/>
      <c r="K3699" s="181"/>
      <c r="L3699" s="181"/>
      <c r="M3699" s="181"/>
      <c r="N3699" s="181"/>
      <c r="O3699" s="181"/>
      <c r="P3699" s="181"/>
    </row>
    <row r="3700">
      <c r="B3700" s="292"/>
      <c r="C3700" s="181"/>
      <c r="D3700" s="181"/>
      <c r="E3700" s="181"/>
      <c r="F3700" s="181"/>
      <c r="G3700" s="181"/>
      <c r="H3700" s="181"/>
      <c r="I3700" s="181"/>
      <c r="J3700" s="181"/>
      <c r="K3700" s="181"/>
      <c r="L3700" s="181"/>
      <c r="M3700" s="181"/>
      <c r="N3700" s="181"/>
      <c r="O3700" s="181"/>
      <c r="P3700" s="181"/>
    </row>
    <row r="3701">
      <c r="B3701" s="292"/>
      <c r="C3701" s="181"/>
      <c r="D3701" s="181"/>
      <c r="E3701" s="181"/>
      <c r="F3701" s="181"/>
      <c r="G3701" s="181"/>
      <c r="H3701" s="181"/>
      <c r="I3701" s="181"/>
      <c r="J3701" s="181"/>
      <c r="K3701" s="181"/>
      <c r="L3701" s="181"/>
      <c r="M3701" s="181"/>
      <c r="N3701" s="181"/>
      <c r="O3701" s="181"/>
      <c r="P3701" s="181"/>
    </row>
    <row r="3702">
      <c r="B3702" s="292"/>
      <c r="C3702" s="181"/>
      <c r="D3702" s="181"/>
      <c r="E3702" s="181"/>
      <c r="F3702" s="181"/>
      <c r="G3702" s="181"/>
      <c r="H3702" s="181"/>
      <c r="I3702" s="181"/>
      <c r="J3702" s="181"/>
      <c r="K3702" s="181"/>
      <c r="L3702" s="181"/>
      <c r="M3702" s="181"/>
      <c r="N3702" s="181"/>
      <c r="O3702" s="181"/>
      <c r="P3702" s="181"/>
    </row>
    <row r="3703">
      <c r="B3703" s="292"/>
      <c r="C3703" s="181"/>
      <c r="D3703" s="181"/>
      <c r="E3703" s="181"/>
      <c r="F3703" s="181"/>
      <c r="G3703" s="181"/>
      <c r="H3703" s="181"/>
      <c r="I3703" s="181"/>
      <c r="J3703" s="181"/>
      <c r="K3703" s="181"/>
      <c r="L3703" s="181"/>
      <c r="M3703" s="181"/>
      <c r="N3703" s="181"/>
      <c r="O3703" s="181"/>
      <c r="P3703" s="181"/>
    </row>
    <row r="3704">
      <c r="B3704" s="292"/>
      <c r="C3704" s="181"/>
      <c r="D3704" s="181"/>
      <c r="E3704" s="181"/>
      <c r="F3704" s="181"/>
      <c r="G3704" s="181"/>
      <c r="H3704" s="181"/>
      <c r="I3704" s="181"/>
      <c r="J3704" s="181"/>
      <c r="K3704" s="181"/>
      <c r="L3704" s="181"/>
      <c r="M3704" s="181"/>
      <c r="N3704" s="181"/>
      <c r="O3704" s="181"/>
      <c r="P3704" s="181"/>
    </row>
    <row r="3705">
      <c r="B3705" s="292"/>
      <c r="C3705" s="181"/>
      <c r="D3705" s="181"/>
      <c r="E3705" s="181"/>
      <c r="F3705" s="181"/>
      <c r="G3705" s="181"/>
      <c r="H3705" s="181"/>
      <c r="I3705" s="181"/>
      <c r="J3705" s="181"/>
      <c r="K3705" s="181"/>
      <c r="L3705" s="181"/>
      <c r="M3705" s="181"/>
      <c r="N3705" s="181"/>
      <c r="O3705" s="181"/>
      <c r="P3705" s="181"/>
    </row>
    <row r="3706">
      <c r="B3706" s="292"/>
      <c r="C3706" s="181"/>
      <c r="D3706" s="181"/>
      <c r="E3706" s="181"/>
      <c r="F3706" s="181"/>
      <c r="G3706" s="181"/>
      <c r="H3706" s="181"/>
      <c r="I3706" s="181"/>
      <c r="J3706" s="181"/>
      <c r="K3706" s="181"/>
      <c r="L3706" s="181"/>
      <c r="M3706" s="181"/>
      <c r="N3706" s="181"/>
      <c r="O3706" s="181"/>
      <c r="P3706" s="181"/>
    </row>
    <row r="3707">
      <c r="B3707" s="292"/>
      <c r="C3707" s="181"/>
      <c r="D3707" s="181"/>
      <c r="E3707" s="181"/>
      <c r="F3707" s="181"/>
      <c r="G3707" s="181"/>
      <c r="H3707" s="181"/>
      <c r="I3707" s="181"/>
      <c r="J3707" s="181"/>
      <c r="K3707" s="181"/>
      <c r="L3707" s="181"/>
      <c r="M3707" s="181"/>
      <c r="N3707" s="181"/>
      <c r="O3707" s="181"/>
      <c r="P3707" s="181"/>
    </row>
    <row r="3708">
      <c r="B3708" s="292"/>
      <c r="C3708" s="181"/>
      <c r="D3708" s="181"/>
      <c r="E3708" s="181"/>
      <c r="F3708" s="181"/>
      <c r="G3708" s="181"/>
      <c r="H3708" s="181"/>
      <c r="I3708" s="181"/>
      <c r="J3708" s="181"/>
      <c r="K3708" s="181"/>
      <c r="L3708" s="181"/>
      <c r="M3708" s="181"/>
      <c r="N3708" s="181"/>
      <c r="O3708" s="181"/>
      <c r="P3708" s="181"/>
    </row>
    <row r="3709">
      <c r="B3709" s="292"/>
      <c r="C3709" s="181"/>
      <c r="D3709" s="181"/>
      <c r="E3709" s="181"/>
      <c r="F3709" s="181"/>
      <c r="G3709" s="181"/>
      <c r="H3709" s="181"/>
      <c r="I3709" s="181"/>
      <c r="J3709" s="181"/>
      <c r="K3709" s="181"/>
      <c r="L3709" s="181"/>
      <c r="M3709" s="181"/>
      <c r="N3709" s="181"/>
      <c r="O3709" s="181"/>
      <c r="P3709" s="181"/>
    </row>
    <row r="3710">
      <c r="B3710" s="292"/>
      <c r="C3710" s="181"/>
      <c r="D3710" s="181"/>
      <c r="E3710" s="181"/>
      <c r="F3710" s="181"/>
      <c r="G3710" s="181"/>
      <c r="H3710" s="181"/>
      <c r="I3710" s="181"/>
      <c r="J3710" s="181"/>
      <c r="K3710" s="181"/>
      <c r="L3710" s="181"/>
      <c r="M3710" s="181"/>
      <c r="N3710" s="181"/>
      <c r="O3710" s="181"/>
      <c r="P3710" s="181"/>
    </row>
    <row r="3711">
      <c r="B3711" s="292"/>
      <c r="C3711" s="181"/>
      <c r="D3711" s="181"/>
      <c r="E3711" s="181"/>
      <c r="F3711" s="181"/>
      <c r="G3711" s="181"/>
      <c r="H3711" s="181"/>
      <c r="I3711" s="181"/>
      <c r="J3711" s="181"/>
      <c r="K3711" s="181"/>
      <c r="L3711" s="181"/>
      <c r="M3711" s="181"/>
      <c r="N3711" s="181"/>
      <c r="O3711" s="181"/>
      <c r="P3711" s="181"/>
    </row>
    <row r="3712">
      <c r="B3712" s="292"/>
      <c r="C3712" s="181"/>
      <c r="D3712" s="181"/>
      <c r="E3712" s="181"/>
      <c r="F3712" s="181"/>
      <c r="G3712" s="181"/>
      <c r="H3712" s="181"/>
      <c r="I3712" s="181"/>
      <c r="J3712" s="181"/>
      <c r="K3712" s="181"/>
      <c r="L3712" s="181"/>
      <c r="M3712" s="181"/>
      <c r="N3712" s="181"/>
      <c r="O3712" s="181"/>
      <c r="P3712" s="181"/>
    </row>
    <row r="3713">
      <c r="B3713" s="292"/>
      <c r="C3713" s="181"/>
      <c r="D3713" s="181"/>
      <c r="E3713" s="181"/>
      <c r="F3713" s="181"/>
      <c r="G3713" s="181"/>
      <c r="H3713" s="181"/>
      <c r="I3713" s="181"/>
      <c r="J3713" s="181"/>
      <c r="K3713" s="181"/>
      <c r="L3713" s="181"/>
      <c r="M3713" s="181"/>
      <c r="N3713" s="181"/>
      <c r="O3713" s="181"/>
      <c r="P3713" s="181"/>
    </row>
    <row r="3714">
      <c r="B3714" s="292"/>
      <c r="C3714" s="181"/>
      <c r="D3714" s="181"/>
      <c r="E3714" s="181"/>
      <c r="F3714" s="181"/>
      <c r="G3714" s="181"/>
      <c r="H3714" s="181"/>
      <c r="I3714" s="181"/>
      <c r="J3714" s="181"/>
      <c r="K3714" s="181"/>
      <c r="L3714" s="181"/>
      <c r="M3714" s="181"/>
      <c r="N3714" s="181"/>
      <c r="O3714" s="181"/>
      <c r="P3714" s="181"/>
    </row>
    <row r="3715">
      <c r="B3715" s="292"/>
      <c r="C3715" s="181"/>
      <c r="D3715" s="181"/>
      <c r="E3715" s="181"/>
      <c r="F3715" s="181"/>
      <c r="G3715" s="181"/>
      <c r="H3715" s="181"/>
      <c r="I3715" s="181"/>
      <c r="J3715" s="181"/>
      <c r="K3715" s="181"/>
      <c r="L3715" s="181"/>
      <c r="M3715" s="181"/>
      <c r="N3715" s="181"/>
      <c r="O3715" s="181"/>
      <c r="P3715" s="181"/>
    </row>
    <row r="3716">
      <c r="B3716" s="292"/>
      <c r="C3716" s="181"/>
      <c r="D3716" s="181"/>
      <c r="E3716" s="181"/>
      <c r="F3716" s="181"/>
      <c r="G3716" s="181"/>
      <c r="H3716" s="181"/>
      <c r="I3716" s="181"/>
      <c r="J3716" s="181"/>
      <c r="K3716" s="181"/>
      <c r="L3716" s="181"/>
      <c r="M3716" s="181"/>
      <c r="N3716" s="181"/>
      <c r="O3716" s="181"/>
      <c r="P3716" s="181"/>
    </row>
    <row r="3717">
      <c r="B3717" s="292"/>
      <c r="C3717" s="181"/>
      <c r="D3717" s="181"/>
      <c r="E3717" s="181"/>
      <c r="F3717" s="181"/>
      <c r="G3717" s="181"/>
      <c r="H3717" s="181"/>
      <c r="I3717" s="181"/>
      <c r="J3717" s="181"/>
      <c r="K3717" s="181"/>
      <c r="L3717" s="181"/>
      <c r="M3717" s="181"/>
      <c r="N3717" s="181"/>
      <c r="O3717" s="181"/>
      <c r="P3717" s="181"/>
    </row>
    <row r="3718">
      <c r="B3718" s="292"/>
      <c r="C3718" s="181"/>
      <c r="D3718" s="181"/>
      <c r="E3718" s="181"/>
      <c r="F3718" s="181"/>
      <c r="G3718" s="181"/>
      <c r="H3718" s="181"/>
      <c r="I3718" s="181"/>
      <c r="J3718" s="181"/>
      <c r="K3718" s="181"/>
      <c r="L3718" s="181"/>
      <c r="M3718" s="181"/>
      <c r="N3718" s="181"/>
      <c r="O3718" s="181"/>
      <c r="P3718" s="181"/>
    </row>
    <row r="3719">
      <c r="B3719" s="292"/>
      <c r="C3719" s="181"/>
      <c r="D3719" s="181"/>
      <c r="E3719" s="181"/>
      <c r="F3719" s="181"/>
      <c r="G3719" s="181"/>
      <c r="H3719" s="181"/>
      <c r="I3719" s="181"/>
      <c r="J3719" s="181"/>
      <c r="K3719" s="181"/>
      <c r="L3719" s="181"/>
      <c r="M3719" s="181"/>
      <c r="N3719" s="181"/>
      <c r="O3719" s="181"/>
      <c r="P3719" s="181"/>
    </row>
    <row r="3720">
      <c r="B3720" s="292"/>
      <c r="C3720" s="181"/>
      <c r="D3720" s="181"/>
      <c r="E3720" s="181"/>
      <c r="F3720" s="181"/>
      <c r="G3720" s="181"/>
      <c r="H3720" s="181"/>
      <c r="I3720" s="181"/>
      <c r="J3720" s="181"/>
      <c r="K3720" s="181"/>
      <c r="L3720" s="181"/>
      <c r="M3720" s="181"/>
      <c r="N3720" s="181"/>
      <c r="O3720" s="181"/>
      <c r="P3720" s="181"/>
    </row>
    <row r="3721">
      <c r="B3721" s="292"/>
      <c r="C3721" s="181"/>
      <c r="D3721" s="181"/>
      <c r="E3721" s="181"/>
      <c r="F3721" s="181"/>
      <c r="G3721" s="181"/>
      <c r="H3721" s="181"/>
      <c r="I3721" s="181"/>
      <c r="J3721" s="181"/>
      <c r="K3721" s="181"/>
      <c r="L3721" s="181"/>
      <c r="M3721" s="181"/>
      <c r="N3721" s="181"/>
      <c r="O3721" s="181"/>
      <c r="P3721" s="181"/>
    </row>
    <row r="3722">
      <c r="B3722" s="292"/>
      <c r="C3722" s="181"/>
      <c r="D3722" s="181"/>
      <c r="E3722" s="181"/>
      <c r="F3722" s="181"/>
      <c r="G3722" s="181"/>
      <c r="H3722" s="181"/>
      <c r="I3722" s="181"/>
      <c r="J3722" s="181"/>
      <c r="K3722" s="181"/>
      <c r="L3722" s="181"/>
      <c r="M3722" s="181"/>
      <c r="N3722" s="181"/>
      <c r="O3722" s="181"/>
      <c r="P3722" s="181"/>
    </row>
    <row r="3723">
      <c r="B3723" s="292"/>
      <c r="C3723" s="181"/>
      <c r="D3723" s="181"/>
      <c r="E3723" s="181"/>
      <c r="F3723" s="181"/>
      <c r="G3723" s="181"/>
      <c r="H3723" s="181"/>
      <c r="I3723" s="181"/>
      <c r="J3723" s="181"/>
      <c r="K3723" s="181"/>
      <c r="L3723" s="181"/>
      <c r="M3723" s="181"/>
      <c r="N3723" s="181"/>
      <c r="O3723" s="181"/>
      <c r="P3723" s="181"/>
    </row>
    <row r="3724">
      <c r="B3724" s="292"/>
      <c r="C3724" s="181"/>
      <c r="D3724" s="181"/>
      <c r="E3724" s="181"/>
      <c r="F3724" s="181"/>
      <c r="G3724" s="181"/>
      <c r="H3724" s="181"/>
      <c r="I3724" s="181"/>
      <c r="J3724" s="181"/>
      <c r="K3724" s="181"/>
      <c r="L3724" s="181"/>
      <c r="M3724" s="181"/>
      <c r="N3724" s="181"/>
      <c r="O3724" s="181"/>
      <c r="P3724" s="181"/>
    </row>
    <row r="3725">
      <c r="B3725" s="292"/>
      <c r="C3725" s="181"/>
      <c r="D3725" s="181"/>
      <c r="E3725" s="181"/>
      <c r="F3725" s="181"/>
      <c r="G3725" s="181"/>
      <c r="H3725" s="181"/>
      <c r="I3725" s="181"/>
      <c r="J3725" s="181"/>
      <c r="K3725" s="181"/>
      <c r="L3725" s="181"/>
      <c r="M3725" s="181"/>
      <c r="N3725" s="181"/>
      <c r="O3725" s="181"/>
      <c r="P3725" s="181"/>
    </row>
    <row r="3726">
      <c r="B3726" s="292"/>
      <c r="C3726" s="181"/>
      <c r="D3726" s="181"/>
      <c r="E3726" s="181"/>
      <c r="F3726" s="181"/>
      <c r="G3726" s="181"/>
      <c r="H3726" s="181"/>
      <c r="I3726" s="181"/>
      <c r="J3726" s="181"/>
      <c r="K3726" s="181"/>
      <c r="L3726" s="181"/>
      <c r="M3726" s="181"/>
      <c r="N3726" s="181"/>
      <c r="O3726" s="181"/>
      <c r="P3726" s="181"/>
    </row>
    <row r="3727">
      <c r="B3727" s="292"/>
      <c r="C3727" s="181"/>
      <c r="D3727" s="181"/>
      <c r="E3727" s="181"/>
      <c r="F3727" s="181"/>
      <c r="G3727" s="181"/>
      <c r="H3727" s="181"/>
      <c r="I3727" s="181"/>
      <c r="J3727" s="181"/>
      <c r="K3727" s="181"/>
      <c r="L3727" s="181"/>
      <c r="M3727" s="181"/>
      <c r="N3727" s="181"/>
      <c r="O3727" s="181"/>
      <c r="P3727" s="181"/>
    </row>
    <row r="3728">
      <c r="B3728" s="292"/>
      <c r="C3728" s="181"/>
      <c r="D3728" s="181"/>
      <c r="E3728" s="181"/>
      <c r="F3728" s="181"/>
      <c r="G3728" s="181"/>
      <c r="H3728" s="181"/>
      <c r="I3728" s="181"/>
      <c r="J3728" s="181"/>
      <c r="K3728" s="181"/>
      <c r="L3728" s="181"/>
      <c r="M3728" s="181"/>
      <c r="N3728" s="181"/>
      <c r="O3728" s="181"/>
      <c r="P3728" s="181"/>
    </row>
    <row r="3729">
      <c r="B3729" s="292"/>
      <c r="C3729" s="181"/>
      <c r="D3729" s="181"/>
      <c r="E3729" s="181"/>
      <c r="F3729" s="181"/>
      <c r="G3729" s="181"/>
      <c r="H3729" s="181"/>
      <c r="I3729" s="181"/>
      <c r="J3729" s="181"/>
      <c r="K3729" s="181"/>
      <c r="L3729" s="181"/>
      <c r="M3729" s="181"/>
      <c r="N3729" s="181"/>
      <c r="O3729" s="181"/>
      <c r="P3729" s="181"/>
    </row>
    <row r="3730">
      <c r="B3730" s="292"/>
      <c r="C3730" s="181"/>
      <c r="D3730" s="181"/>
      <c r="E3730" s="181"/>
      <c r="F3730" s="181"/>
      <c r="G3730" s="181"/>
      <c r="H3730" s="181"/>
      <c r="I3730" s="181"/>
      <c r="J3730" s="181"/>
      <c r="K3730" s="181"/>
      <c r="L3730" s="181"/>
      <c r="M3730" s="181"/>
      <c r="N3730" s="181"/>
      <c r="O3730" s="181"/>
      <c r="P3730" s="181"/>
    </row>
    <row r="3731">
      <c r="B3731" s="292"/>
      <c r="C3731" s="181"/>
      <c r="D3731" s="181"/>
      <c r="E3731" s="181"/>
      <c r="F3731" s="181"/>
      <c r="G3731" s="181"/>
      <c r="H3731" s="181"/>
      <c r="I3731" s="181"/>
      <c r="J3731" s="181"/>
      <c r="K3731" s="181"/>
      <c r="L3731" s="181"/>
      <c r="M3731" s="181"/>
      <c r="N3731" s="181"/>
      <c r="O3731" s="181"/>
      <c r="P3731" s="181"/>
    </row>
    <row r="3732">
      <c r="B3732" s="292"/>
      <c r="C3732" s="181"/>
      <c r="D3732" s="181"/>
      <c r="E3732" s="181"/>
      <c r="F3732" s="181"/>
      <c r="G3732" s="181"/>
      <c r="H3732" s="181"/>
      <c r="I3732" s="181"/>
      <c r="J3732" s="181"/>
      <c r="K3732" s="181"/>
      <c r="L3732" s="181"/>
      <c r="M3732" s="181"/>
      <c r="N3732" s="181"/>
      <c r="O3732" s="181"/>
      <c r="P3732" s="181"/>
    </row>
    <row r="3733">
      <c r="B3733" s="292"/>
      <c r="C3733" s="181"/>
      <c r="D3733" s="181"/>
      <c r="E3733" s="181"/>
      <c r="F3733" s="181"/>
      <c r="G3733" s="181"/>
      <c r="H3733" s="181"/>
      <c r="I3733" s="181"/>
      <c r="J3733" s="181"/>
      <c r="K3733" s="181"/>
      <c r="L3733" s="181"/>
      <c r="M3733" s="181"/>
      <c r="N3733" s="181"/>
      <c r="O3733" s="181"/>
      <c r="P3733" s="181"/>
    </row>
    <row r="3734">
      <c r="B3734" s="292"/>
      <c r="C3734" s="181"/>
      <c r="D3734" s="181"/>
      <c r="E3734" s="181"/>
      <c r="F3734" s="181"/>
      <c r="G3734" s="181"/>
      <c r="H3734" s="181"/>
      <c r="I3734" s="181"/>
      <c r="J3734" s="181"/>
      <c r="K3734" s="181"/>
      <c r="L3734" s="181"/>
      <c r="M3734" s="181"/>
      <c r="N3734" s="181"/>
      <c r="O3734" s="181"/>
      <c r="P3734" s="181"/>
    </row>
    <row r="3735">
      <c r="B3735" s="292"/>
      <c r="C3735" s="181"/>
      <c r="D3735" s="181"/>
      <c r="E3735" s="181"/>
      <c r="F3735" s="181"/>
      <c r="G3735" s="181"/>
      <c r="H3735" s="181"/>
      <c r="I3735" s="181"/>
      <c r="J3735" s="181"/>
      <c r="K3735" s="181"/>
      <c r="L3735" s="181"/>
      <c r="M3735" s="181"/>
      <c r="N3735" s="181"/>
      <c r="O3735" s="181"/>
      <c r="P3735" s="181"/>
    </row>
    <row r="3736">
      <c r="B3736" s="292"/>
      <c r="C3736" s="181"/>
      <c r="D3736" s="181"/>
      <c r="E3736" s="181"/>
      <c r="F3736" s="181"/>
      <c r="G3736" s="181"/>
      <c r="H3736" s="181"/>
      <c r="I3736" s="181"/>
      <c r="J3736" s="181"/>
      <c r="K3736" s="181"/>
      <c r="L3736" s="181"/>
      <c r="M3736" s="181"/>
      <c r="N3736" s="181"/>
      <c r="O3736" s="181"/>
      <c r="P3736" s="181"/>
    </row>
    <row r="3737">
      <c r="B3737" s="292"/>
      <c r="C3737" s="181"/>
      <c r="D3737" s="181"/>
      <c r="E3737" s="181"/>
      <c r="F3737" s="181"/>
      <c r="G3737" s="181"/>
      <c r="H3737" s="181"/>
      <c r="I3737" s="181"/>
      <c r="J3737" s="181"/>
      <c r="K3737" s="181"/>
      <c r="L3737" s="181"/>
      <c r="M3737" s="181"/>
      <c r="N3737" s="181"/>
      <c r="O3737" s="181"/>
      <c r="P3737" s="181"/>
    </row>
    <row r="3738">
      <c r="B3738" s="292"/>
      <c r="C3738" s="181"/>
      <c r="D3738" s="181"/>
      <c r="E3738" s="181"/>
      <c r="F3738" s="181"/>
      <c r="G3738" s="181"/>
      <c r="H3738" s="181"/>
      <c r="I3738" s="181"/>
      <c r="J3738" s="181"/>
      <c r="K3738" s="181"/>
      <c r="L3738" s="181"/>
      <c r="M3738" s="181"/>
      <c r="N3738" s="181"/>
      <c r="O3738" s="181"/>
      <c r="P3738" s="181"/>
    </row>
    <row r="3739">
      <c r="B3739" s="292"/>
      <c r="C3739" s="181"/>
      <c r="D3739" s="181"/>
      <c r="E3739" s="181"/>
      <c r="F3739" s="181"/>
      <c r="G3739" s="181"/>
      <c r="H3739" s="181"/>
      <c r="I3739" s="181"/>
      <c r="J3739" s="181"/>
      <c r="K3739" s="181"/>
      <c r="L3739" s="181"/>
      <c r="M3739" s="181"/>
      <c r="N3739" s="181"/>
      <c r="O3739" s="181"/>
      <c r="P3739" s="181"/>
    </row>
    <row r="3740">
      <c r="B3740" s="292"/>
      <c r="C3740" s="181"/>
      <c r="D3740" s="181"/>
      <c r="E3740" s="181"/>
      <c r="F3740" s="181"/>
      <c r="G3740" s="181"/>
      <c r="H3740" s="181"/>
      <c r="I3740" s="181"/>
      <c r="J3740" s="181"/>
      <c r="K3740" s="181"/>
      <c r="L3740" s="181"/>
      <c r="M3740" s="181"/>
      <c r="N3740" s="181"/>
      <c r="O3740" s="181"/>
      <c r="P3740" s="181"/>
    </row>
    <row r="3741">
      <c r="B3741" s="292"/>
      <c r="C3741" s="181"/>
      <c r="D3741" s="181"/>
      <c r="E3741" s="181"/>
      <c r="F3741" s="181"/>
      <c r="G3741" s="181"/>
      <c r="H3741" s="181"/>
      <c r="I3741" s="181"/>
      <c r="J3741" s="181"/>
      <c r="K3741" s="181"/>
      <c r="L3741" s="181"/>
      <c r="M3741" s="181"/>
      <c r="N3741" s="181"/>
      <c r="O3741" s="181"/>
      <c r="P3741" s="181"/>
    </row>
    <row r="3742">
      <c r="B3742" s="292"/>
      <c r="C3742" s="181"/>
      <c r="D3742" s="181"/>
      <c r="E3742" s="181"/>
      <c r="F3742" s="181"/>
      <c r="G3742" s="181"/>
      <c r="H3742" s="181"/>
      <c r="I3742" s="181"/>
      <c r="J3742" s="181"/>
      <c r="K3742" s="181"/>
      <c r="L3742" s="181"/>
      <c r="M3742" s="181"/>
      <c r="N3742" s="181"/>
      <c r="O3742" s="181"/>
      <c r="P3742" s="181"/>
    </row>
    <row r="3743">
      <c r="B3743" s="292"/>
      <c r="C3743" s="181"/>
      <c r="D3743" s="181"/>
      <c r="E3743" s="181"/>
      <c r="F3743" s="181"/>
      <c r="G3743" s="181"/>
      <c r="H3743" s="181"/>
      <c r="I3743" s="181"/>
      <c r="J3743" s="181"/>
      <c r="K3743" s="181"/>
      <c r="L3743" s="181"/>
      <c r="M3743" s="181"/>
      <c r="N3743" s="181"/>
      <c r="O3743" s="181"/>
      <c r="P3743" s="181"/>
    </row>
    <row r="3744">
      <c r="B3744" s="292"/>
      <c r="C3744" s="181"/>
      <c r="D3744" s="181"/>
      <c r="E3744" s="181"/>
      <c r="F3744" s="181"/>
      <c r="G3744" s="181"/>
      <c r="H3744" s="181"/>
      <c r="I3744" s="181"/>
      <c r="J3744" s="181"/>
      <c r="K3744" s="181"/>
      <c r="L3744" s="181"/>
      <c r="M3744" s="181"/>
      <c r="N3744" s="181"/>
      <c r="O3744" s="181"/>
      <c r="P3744" s="181"/>
    </row>
    <row r="3745">
      <c r="B3745" s="292"/>
      <c r="C3745" s="181"/>
      <c r="D3745" s="181"/>
      <c r="E3745" s="181"/>
      <c r="F3745" s="181"/>
      <c r="G3745" s="181"/>
      <c r="H3745" s="181"/>
      <c r="I3745" s="181"/>
      <c r="J3745" s="181"/>
      <c r="K3745" s="181"/>
      <c r="L3745" s="181"/>
      <c r="M3745" s="181"/>
      <c r="N3745" s="181"/>
      <c r="O3745" s="181"/>
      <c r="P3745" s="181"/>
    </row>
    <row r="3746">
      <c r="B3746" s="292"/>
      <c r="C3746" s="181"/>
      <c r="D3746" s="181"/>
      <c r="E3746" s="181"/>
      <c r="F3746" s="181"/>
      <c r="G3746" s="181"/>
      <c r="H3746" s="181"/>
      <c r="I3746" s="181"/>
      <c r="J3746" s="181"/>
      <c r="K3746" s="181"/>
      <c r="L3746" s="181"/>
      <c r="M3746" s="181"/>
      <c r="N3746" s="181"/>
      <c r="O3746" s="181"/>
      <c r="P3746" s="181"/>
    </row>
    <row r="3747">
      <c r="B3747" s="292"/>
      <c r="C3747" s="181"/>
      <c r="D3747" s="181"/>
      <c r="E3747" s="181"/>
      <c r="F3747" s="181"/>
      <c r="G3747" s="181"/>
      <c r="H3747" s="181"/>
      <c r="I3747" s="181"/>
      <c r="J3747" s="181"/>
      <c r="K3747" s="181"/>
      <c r="L3747" s="181"/>
      <c r="M3747" s="181"/>
      <c r="N3747" s="181"/>
      <c r="O3747" s="181"/>
      <c r="P3747" s="181"/>
    </row>
    <row r="3748">
      <c r="B3748" s="292"/>
      <c r="C3748" s="181"/>
      <c r="D3748" s="181"/>
      <c r="E3748" s="181"/>
      <c r="F3748" s="181"/>
      <c r="G3748" s="181"/>
      <c r="H3748" s="181"/>
      <c r="I3748" s="181"/>
      <c r="J3748" s="181"/>
      <c r="K3748" s="181"/>
      <c r="L3748" s="181"/>
      <c r="M3748" s="181"/>
      <c r="N3748" s="181"/>
      <c r="O3748" s="181"/>
      <c r="P3748" s="181"/>
    </row>
    <row r="3749">
      <c r="B3749" s="292"/>
      <c r="C3749" s="181"/>
      <c r="D3749" s="181"/>
      <c r="E3749" s="181"/>
      <c r="F3749" s="181"/>
      <c r="G3749" s="181"/>
      <c r="H3749" s="181"/>
      <c r="I3749" s="181"/>
      <c r="J3749" s="181"/>
      <c r="K3749" s="181"/>
      <c r="L3749" s="181"/>
      <c r="M3749" s="181"/>
      <c r="N3749" s="181"/>
      <c r="O3749" s="181"/>
      <c r="P3749" s="181"/>
    </row>
    <row r="3750">
      <c r="B3750" s="292"/>
      <c r="C3750" s="181"/>
      <c r="D3750" s="181"/>
      <c r="E3750" s="181"/>
      <c r="F3750" s="181"/>
      <c r="G3750" s="181"/>
      <c r="H3750" s="181"/>
      <c r="I3750" s="181"/>
      <c r="J3750" s="181"/>
      <c r="K3750" s="181"/>
      <c r="L3750" s="181"/>
      <c r="M3750" s="181"/>
      <c r="N3750" s="181"/>
      <c r="O3750" s="181"/>
      <c r="P3750" s="181"/>
    </row>
    <row r="3751">
      <c r="B3751" s="292"/>
      <c r="C3751" s="181"/>
      <c r="D3751" s="181"/>
      <c r="E3751" s="181"/>
      <c r="F3751" s="181"/>
      <c r="G3751" s="181"/>
      <c r="H3751" s="181"/>
      <c r="I3751" s="181"/>
      <c r="J3751" s="181"/>
      <c r="K3751" s="181"/>
      <c r="L3751" s="181"/>
      <c r="M3751" s="181"/>
      <c r="N3751" s="181"/>
      <c r="O3751" s="181"/>
      <c r="P3751" s="181"/>
    </row>
    <row r="3752">
      <c r="B3752" s="292"/>
      <c r="C3752" s="181"/>
      <c r="D3752" s="181"/>
      <c r="E3752" s="181"/>
      <c r="F3752" s="181"/>
      <c r="G3752" s="181"/>
      <c r="H3752" s="181"/>
      <c r="I3752" s="181"/>
      <c r="J3752" s="181"/>
      <c r="K3752" s="181"/>
      <c r="L3752" s="181"/>
      <c r="M3752" s="181"/>
      <c r="N3752" s="181"/>
      <c r="O3752" s="181"/>
      <c r="P3752" s="181"/>
    </row>
    <row r="3753">
      <c r="B3753" s="292"/>
      <c r="C3753" s="181"/>
      <c r="D3753" s="181"/>
      <c r="E3753" s="181"/>
      <c r="F3753" s="181"/>
      <c r="G3753" s="181"/>
      <c r="H3753" s="181"/>
      <c r="I3753" s="181"/>
      <c r="J3753" s="181"/>
      <c r="K3753" s="181"/>
      <c r="L3753" s="181"/>
      <c r="M3753" s="181"/>
      <c r="N3753" s="181"/>
      <c r="O3753" s="181"/>
      <c r="P3753" s="181"/>
    </row>
    <row r="3754">
      <c r="B3754" s="292"/>
      <c r="C3754" s="181"/>
      <c r="D3754" s="181"/>
      <c r="E3754" s="181"/>
      <c r="F3754" s="181"/>
      <c r="G3754" s="181"/>
      <c r="H3754" s="181"/>
      <c r="I3754" s="181"/>
      <c r="J3754" s="181"/>
      <c r="K3754" s="181"/>
      <c r="L3754" s="181"/>
      <c r="M3754" s="181"/>
      <c r="N3754" s="181"/>
      <c r="O3754" s="181"/>
      <c r="P3754" s="181"/>
    </row>
    <row r="3755">
      <c r="B3755" s="292"/>
      <c r="C3755" s="181"/>
      <c r="D3755" s="181"/>
      <c r="E3755" s="181"/>
      <c r="F3755" s="181"/>
      <c r="G3755" s="181"/>
      <c r="H3755" s="181"/>
      <c r="I3755" s="181"/>
      <c r="J3755" s="181"/>
      <c r="K3755" s="181"/>
      <c r="L3755" s="181"/>
      <c r="M3755" s="181"/>
      <c r="N3755" s="181"/>
      <c r="O3755" s="181"/>
      <c r="P3755" s="181"/>
    </row>
    <row r="3756">
      <c r="B3756" s="292"/>
      <c r="C3756" s="181"/>
      <c r="D3756" s="181"/>
      <c r="E3756" s="181"/>
      <c r="F3756" s="181"/>
      <c r="G3756" s="181"/>
      <c r="H3756" s="181"/>
      <c r="I3756" s="181"/>
      <c r="J3756" s="181"/>
      <c r="K3756" s="181"/>
      <c r="L3756" s="181"/>
      <c r="M3756" s="181"/>
      <c r="N3756" s="181"/>
      <c r="O3756" s="181"/>
      <c r="P3756" s="181"/>
    </row>
    <row r="3757">
      <c r="B3757" s="292"/>
      <c r="C3757" s="181"/>
      <c r="D3757" s="181"/>
      <c r="E3757" s="181"/>
      <c r="F3757" s="181"/>
      <c r="G3757" s="181"/>
      <c r="H3757" s="181"/>
      <c r="I3757" s="181"/>
      <c r="J3757" s="181"/>
      <c r="K3757" s="181"/>
      <c r="L3757" s="181"/>
      <c r="M3757" s="181"/>
      <c r="N3757" s="181"/>
      <c r="O3757" s="181"/>
      <c r="P3757" s="181"/>
    </row>
    <row r="3758">
      <c r="B3758" s="292"/>
      <c r="C3758" s="181"/>
      <c r="D3758" s="181"/>
      <c r="E3758" s="181"/>
      <c r="F3758" s="181"/>
      <c r="G3758" s="181"/>
      <c r="H3758" s="181"/>
      <c r="I3758" s="181"/>
      <c r="J3758" s="181"/>
      <c r="K3758" s="181"/>
      <c r="L3758" s="181"/>
      <c r="M3758" s="181"/>
      <c r="N3758" s="181"/>
      <c r="O3758" s="181"/>
      <c r="P3758" s="181"/>
    </row>
    <row r="3759">
      <c r="B3759" s="292"/>
      <c r="C3759" s="181"/>
      <c r="D3759" s="181"/>
      <c r="E3759" s="181"/>
      <c r="F3759" s="181"/>
      <c r="G3759" s="181"/>
      <c r="H3759" s="181"/>
      <c r="I3759" s="181"/>
      <c r="J3759" s="181"/>
      <c r="K3759" s="181"/>
      <c r="L3759" s="181"/>
      <c r="M3759" s="181"/>
      <c r="N3759" s="181"/>
      <c r="O3759" s="181"/>
      <c r="P3759" s="181"/>
    </row>
    <row r="3760">
      <c r="B3760" s="292"/>
      <c r="C3760" s="181"/>
      <c r="D3760" s="181"/>
      <c r="E3760" s="181"/>
      <c r="F3760" s="181"/>
      <c r="G3760" s="181"/>
      <c r="H3760" s="181"/>
      <c r="I3760" s="181"/>
      <c r="J3760" s="181"/>
      <c r="K3760" s="181"/>
      <c r="L3760" s="181"/>
      <c r="M3760" s="181"/>
      <c r="N3760" s="181"/>
      <c r="O3760" s="181"/>
      <c r="P3760" s="181"/>
    </row>
    <row r="3761">
      <c r="B3761" s="292"/>
      <c r="C3761" s="181"/>
      <c r="D3761" s="181"/>
      <c r="E3761" s="181"/>
      <c r="F3761" s="181"/>
      <c r="G3761" s="181"/>
      <c r="H3761" s="181"/>
      <c r="I3761" s="181"/>
      <c r="J3761" s="181"/>
      <c r="K3761" s="181"/>
      <c r="L3761" s="181"/>
      <c r="M3761" s="181"/>
      <c r="N3761" s="181"/>
      <c r="O3761" s="181"/>
      <c r="P3761" s="181"/>
    </row>
    <row r="3762">
      <c r="B3762" s="292"/>
      <c r="C3762" s="181"/>
      <c r="D3762" s="181"/>
      <c r="E3762" s="181"/>
      <c r="F3762" s="181"/>
      <c r="G3762" s="181"/>
      <c r="H3762" s="181"/>
      <c r="I3762" s="181"/>
      <c r="J3762" s="181"/>
      <c r="K3762" s="181"/>
      <c r="L3762" s="181"/>
      <c r="M3762" s="181"/>
      <c r="N3762" s="181"/>
      <c r="O3762" s="181"/>
      <c r="P3762" s="181"/>
    </row>
    <row r="3763">
      <c r="B3763" s="292"/>
      <c r="C3763" s="181"/>
      <c r="D3763" s="181"/>
      <c r="E3763" s="181"/>
      <c r="F3763" s="181"/>
      <c r="G3763" s="181"/>
      <c r="H3763" s="181"/>
      <c r="I3763" s="181"/>
      <c r="J3763" s="181"/>
      <c r="K3763" s="181"/>
      <c r="L3763" s="181"/>
      <c r="M3763" s="181"/>
      <c r="N3763" s="181"/>
      <c r="O3763" s="181"/>
      <c r="P3763" s="181"/>
    </row>
    <row r="3764">
      <c r="B3764" s="292"/>
      <c r="C3764" s="181"/>
      <c r="D3764" s="181"/>
      <c r="E3764" s="181"/>
      <c r="F3764" s="181"/>
      <c r="G3764" s="181"/>
      <c r="H3764" s="181"/>
      <c r="I3764" s="181"/>
      <c r="J3764" s="181"/>
      <c r="K3764" s="181"/>
      <c r="L3764" s="181"/>
      <c r="M3764" s="181"/>
      <c r="N3764" s="181"/>
      <c r="O3764" s="181"/>
      <c r="P3764" s="181"/>
    </row>
    <row r="3765">
      <c r="B3765" s="292"/>
      <c r="C3765" s="181"/>
      <c r="D3765" s="181"/>
      <c r="E3765" s="181"/>
      <c r="F3765" s="181"/>
      <c r="G3765" s="181"/>
      <c r="H3765" s="181"/>
      <c r="I3765" s="181"/>
      <c r="J3765" s="181"/>
      <c r="K3765" s="181"/>
      <c r="L3765" s="181"/>
      <c r="M3765" s="181"/>
      <c r="N3765" s="181"/>
      <c r="O3765" s="181"/>
      <c r="P3765" s="181"/>
    </row>
    <row r="3766">
      <c r="B3766" s="292"/>
      <c r="C3766" s="181"/>
      <c r="D3766" s="181"/>
      <c r="E3766" s="181"/>
      <c r="F3766" s="181"/>
      <c r="G3766" s="181"/>
      <c r="H3766" s="181"/>
      <c r="I3766" s="181"/>
      <c r="J3766" s="181"/>
      <c r="K3766" s="181"/>
      <c r="L3766" s="181"/>
      <c r="M3766" s="181"/>
      <c r="N3766" s="181"/>
      <c r="O3766" s="181"/>
      <c r="P3766" s="181"/>
    </row>
    <row r="3767">
      <c r="B3767" s="292"/>
      <c r="C3767" s="181"/>
      <c r="D3767" s="181"/>
      <c r="E3767" s="181"/>
      <c r="F3767" s="181"/>
      <c r="G3767" s="181"/>
      <c r="H3767" s="181"/>
      <c r="I3767" s="181"/>
      <c r="J3767" s="181"/>
      <c r="K3767" s="181"/>
      <c r="L3767" s="181"/>
      <c r="M3767" s="181"/>
      <c r="N3767" s="181"/>
      <c r="O3767" s="181"/>
      <c r="P3767" s="181"/>
    </row>
    <row r="3768">
      <c r="B3768" s="292"/>
      <c r="C3768" s="181"/>
      <c r="D3768" s="181"/>
      <c r="E3768" s="181"/>
      <c r="F3768" s="181"/>
      <c r="G3768" s="181"/>
      <c r="H3768" s="181"/>
      <c r="I3768" s="181"/>
      <c r="J3768" s="181"/>
      <c r="K3768" s="181"/>
      <c r="L3768" s="181"/>
      <c r="M3768" s="181"/>
      <c r="N3768" s="181"/>
      <c r="O3768" s="181"/>
      <c r="P3768" s="181"/>
    </row>
    <row r="3769">
      <c r="B3769" s="292"/>
      <c r="C3769" s="181"/>
      <c r="D3769" s="181"/>
      <c r="E3769" s="181"/>
      <c r="F3769" s="181"/>
      <c r="G3769" s="181"/>
      <c r="H3769" s="181"/>
      <c r="I3769" s="181"/>
      <c r="J3769" s="181"/>
      <c r="K3769" s="181"/>
      <c r="L3769" s="181"/>
      <c r="M3769" s="181"/>
      <c r="N3769" s="181"/>
      <c r="O3769" s="181"/>
      <c r="P3769" s="181"/>
    </row>
    <row r="3770">
      <c r="B3770" s="292"/>
      <c r="C3770" s="181"/>
      <c r="D3770" s="181"/>
      <c r="E3770" s="181"/>
      <c r="F3770" s="181"/>
      <c r="G3770" s="181"/>
      <c r="H3770" s="181"/>
      <c r="I3770" s="181"/>
      <c r="J3770" s="181"/>
      <c r="K3770" s="181"/>
      <c r="L3770" s="181"/>
      <c r="M3770" s="181"/>
      <c r="N3770" s="181"/>
      <c r="O3770" s="181"/>
      <c r="P3770" s="181"/>
    </row>
    <row r="3771">
      <c r="B3771" s="292"/>
      <c r="C3771" s="181"/>
      <c r="D3771" s="181"/>
      <c r="E3771" s="181"/>
      <c r="F3771" s="181"/>
      <c r="G3771" s="181"/>
      <c r="H3771" s="181"/>
      <c r="I3771" s="181"/>
      <c r="J3771" s="181"/>
      <c r="K3771" s="181"/>
      <c r="L3771" s="181"/>
      <c r="M3771" s="181"/>
      <c r="N3771" s="181"/>
      <c r="O3771" s="181"/>
      <c r="P3771" s="181"/>
    </row>
    <row r="3772">
      <c r="B3772" s="292"/>
      <c r="C3772" s="181"/>
      <c r="D3772" s="181"/>
      <c r="E3772" s="181"/>
      <c r="F3772" s="181"/>
      <c r="G3772" s="181"/>
      <c r="H3772" s="181"/>
      <c r="I3772" s="181"/>
      <c r="J3772" s="181"/>
      <c r="K3772" s="181"/>
      <c r="L3772" s="181"/>
      <c r="M3772" s="181"/>
      <c r="N3772" s="181"/>
      <c r="O3772" s="181"/>
      <c r="P3772" s="181"/>
    </row>
    <row r="3773">
      <c r="B3773" s="292"/>
      <c r="C3773" s="181"/>
      <c r="D3773" s="181"/>
      <c r="E3773" s="181"/>
      <c r="F3773" s="181"/>
      <c r="G3773" s="181"/>
      <c r="H3773" s="181"/>
      <c r="I3773" s="181"/>
      <c r="J3773" s="181"/>
      <c r="K3773" s="181"/>
      <c r="L3773" s="181"/>
      <c r="M3773" s="181"/>
      <c r="N3773" s="181"/>
      <c r="O3773" s="181"/>
      <c r="P3773" s="181"/>
    </row>
    <row r="3774">
      <c r="B3774" s="292"/>
      <c r="C3774" s="181"/>
      <c r="D3774" s="181"/>
      <c r="E3774" s="181"/>
      <c r="F3774" s="181"/>
      <c r="G3774" s="181"/>
      <c r="H3774" s="181"/>
      <c r="I3774" s="181"/>
      <c r="J3774" s="181"/>
      <c r="K3774" s="181"/>
      <c r="L3774" s="181"/>
      <c r="M3774" s="181"/>
      <c r="N3774" s="181"/>
      <c r="O3774" s="181"/>
      <c r="P3774" s="181"/>
    </row>
    <row r="3775">
      <c r="B3775" s="292"/>
      <c r="C3775" s="181"/>
      <c r="D3775" s="181"/>
      <c r="E3775" s="181"/>
      <c r="F3775" s="181"/>
      <c r="G3775" s="181"/>
      <c r="H3775" s="181"/>
      <c r="I3775" s="181"/>
      <c r="J3775" s="181"/>
      <c r="K3775" s="181"/>
      <c r="L3775" s="181"/>
      <c r="M3775" s="181"/>
      <c r="N3775" s="181"/>
      <c r="O3775" s="181"/>
      <c r="P3775" s="181"/>
    </row>
    <row r="3776">
      <c r="B3776" s="292"/>
      <c r="C3776" s="181"/>
      <c r="D3776" s="181"/>
      <c r="E3776" s="181"/>
      <c r="F3776" s="181"/>
      <c r="G3776" s="181"/>
      <c r="H3776" s="181"/>
      <c r="I3776" s="181"/>
      <c r="J3776" s="181"/>
      <c r="K3776" s="181"/>
      <c r="L3776" s="181"/>
      <c r="M3776" s="181"/>
      <c r="N3776" s="181"/>
      <c r="O3776" s="181"/>
      <c r="P3776" s="181"/>
    </row>
    <row r="3777">
      <c r="B3777" s="292"/>
      <c r="C3777" s="181"/>
      <c r="D3777" s="181"/>
      <c r="E3777" s="181"/>
      <c r="F3777" s="181"/>
      <c r="G3777" s="181"/>
      <c r="H3777" s="181"/>
      <c r="I3777" s="181"/>
      <c r="J3777" s="181"/>
      <c r="K3777" s="181"/>
      <c r="L3777" s="181"/>
      <c r="M3777" s="181"/>
      <c r="N3777" s="181"/>
      <c r="O3777" s="181"/>
      <c r="P3777" s="181"/>
    </row>
    <row r="3778">
      <c r="B3778" s="292"/>
      <c r="C3778" s="181"/>
      <c r="D3778" s="181"/>
      <c r="E3778" s="181"/>
      <c r="F3778" s="181"/>
      <c r="G3778" s="181"/>
      <c r="H3778" s="181"/>
      <c r="I3778" s="181"/>
      <c r="J3778" s="181"/>
      <c r="K3778" s="181"/>
      <c r="L3778" s="181"/>
      <c r="M3778" s="181"/>
      <c r="N3778" s="181"/>
      <c r="O3778" s="181"/>
      <c r="P3778" s="181"/>
    </row>
    <row r="3779">
      <c r="B3779" s="292"/>
      <c r="C3779" s="181"/>
      <c r="D3779" s="181"/>
      <c r="E3779" s="181"/>
      <c r="F3779" s="181"/>
      <c r="G3779" s="181"/>
      <c r="H3779" s="181"/>
      <c r="I3779" s="181"/>
      <c r="J3779" s="181"/>
      <c r="K3779" s="181"/>
      <c r="L3779" s="181"/>
      <c r="M3779" s="181"/>
      <c r="N3779" s="181"/>
      <c r="O3779" s="181"/>
      <c r="P3779" s="181"/>
    </row>
    <row r="3780">
      <c r="B3780" s="292"/>
      <c r="C3780" s="181"/>
      <c r="D3780" s="181"/>
      <c r="E3780" s="181"/>
      <c r="F3780" s="181"/>
      <c r="G3780" s="181"/>
      <c r="H3780" s="181"/>
      <c r="I3780" s="181"/>
      <c r="J3780" s="181"/>
      <c r="K3780" s="181"/>
      <c r="L3780" s="181"/>
      <c r="M3780" s="181"/>
      <c r="N3780" s="181"/>
      <c r="O3780" s="181"/>
      <c r="P3780" s="181"/>
    </row>
    <row r="3781">
      <c r="B3781" s="292"/>
      <c r="C3781" s="181"/>
      <c r="D3781" s="181"/>
      <c r="E3781" s="181"/>
      <c r="F3781" s="181"/>
      <c r="G3781" s="181"/>
      <c r="H3781" s="181"/>
      <c r="I3781" s="181"/>
      <c r="J3781" s="181"/>
      <c r="K3781" s="181"/>
      <c r="L3781" s="181"/>
      <c r="M3781" s="181"/>
      <c r="N3781" s="181"/>
      <c r="O3781" s="181"/>
      <c r="P3781" s="181"/>
    </row>
    <row r="3782">
      <c r="B3782" s="292"/>
      <c r="C3782" s="181"/>
      <c r="D3782" s="181"/>
      <c r="E3782" s="181"/>
      <c r="F3782" s="181"/>
      <c r="G3782" s="181"/>
      <c r="H3782" s="181"/>
      <c r="I3782" s="181"/>
      <c r="J3782" s="181"/>
      <c r="K3782" s="181"/>
      <c r="L3782" s="181"/>
      <c r="M3782" s="181"/>
      <c r="N3782" s="181"/>
      <c r="O3782" s="181"/>
      <c r="P3782" s="181"/>
    </row>
    <row r="3783">
      <c r="B3783" s="292"/>
      <c r="C3783" s="181"/>
      <c r="D3783" s="181"/>
      <c r="E3783" s="181"/>
      <c r="F3783" s="181"/>
      <c r="G3783" s="181"/>
      <c r="H3783" s="181"/>
      <c r="I3783" s="181"/>
      <c r="J3783" s="181"/>
      <c r="K3783" s="181"/>
      <c r="L3783" s="181"/>
      <c r="M3783" s="181"/>
      <c r="N3783" s="181"/>
      <c r="O3783" s="181"/>
      <c r="P3783" s="181"/>
    </row>
    <row r="3784">
      <c r="B3784" s="292"/>
      <c r="C3784" s="181"/>
      <c r="D3784" s="181"/>
      <c r="E3784" s="181"/>
      <c r="F3784" s="181"/>
      <c r="G3784" s="181"/>
      <c r="H3784" s="181"/>
      <c r="I3784" s="181"/>
      <c r="J3784" s="181"/>
      <c r="K3784" s="181"/>
      <c r="L3784" s="181"/>
      <c r="M3784" s="181"/>
      <c r="N3784" s="181"/>
      <c r="O3784" s="181"/>
      <c r="P3784" s="181"/>
    </row>
    <row r="3785">
      <c r="B3785" s="292"/>
      <c r="C3785" s="181"/>
      <c r="D3785" s="181"/>
      <c r="E3785" s="181"/>
      <c r="F3785" s="181"/>
      <c r="G3785" s="181"/>
      <c r="H3785" s="181"/>
      <c r="I3785" s="181"/>
      <c r="J3785" s="181"/>
      <c r="K3785" s="181"/>
      <c r="L3785" s="181"/>
      <c r="M3785" s="181"/>
      <c r="N3785" s="181"/>
      <c r="O3785" s="181"/>
      <c r="P3785" s="181"/>
    </row>
    <row r="3786">
      <c r="B3786" s="292"/>
      <c r="C3786" s="181"/>
      <c r="D3786" s="181"/>
      <c r="E3786" s="181"/>
      <c r="F3786" s="181"/>
      <c r="G3786" s="181"/>
      <c r="H3786" s="181"/>
      <c r="I3786" s="181"/>
      <c r="J3786" s="181"/>
      <c r="K3786" s="181"/>
      <c r="L3786" s="181"/>
      <c r="M3786" s="181"/>
      <c r="N3786" s="181"/>
      <c r="O3786" s="181"/>
      <c r="P3786" s="181"/>
    </row>
    <row r="3787">
      <c r="B3787" s="292"/>
      <c r="C3787" s="181"/>
      <c r="D3787" s="181"/>
      <c r="E3787" s="181"/>
      <c r="F3787" s="181"/>
      <c r="G3787" s="181"/>
      <c r="H3787" s="181"/>
      <c r="I3787" s="181"/>
      <c r="J3787" s="181"/>
      <c r="K3787" s="181"/>
      <c r="L3787" s="181"/>
      <c r="M3787" s="181"/>
      <c r="N3787" s="181"/>
      <c r="O3787" s="181"/>
      <c r="P3787" s="181"/>
    </row>
    <row r="3788">
      <c r="B3788" s="292"/>
      <c r="C3788" s="181"/>
      <c r="D3788" s="181"/>
      <c r="E3788" s="181"/>
      <c r="F3788" s="181"/>
      <c r="G3788" s="181"/>
      <c r="H3788" s="181"/>
      <c r="I3788" s="181"/>
      <c r="J3788" s="181"/>
      <c r="K3788" s="181"/>
      <c r="L3788" s="181"/>
      <c r="M3788" s="181"/>
      <c r="N3788" s="181"/>
      <c r="O3788" s="181"/>
      <c r="P3788" s="181"/>
    </row>
    <row r="3789">
      <c r="B3789" s="292"/>
      <c r="C3789" s="181"/>
      <c r="D3789" s="181"/>
      <c r="E3789" s="181"/>
      <c r="F3789" s="181"/>
      <c r="G3789" s="181"/>
      <c r="H3789" s="181"/>
      <c r="I3789" s="181"/>
      <c r="J3789" s="181"/>
      <c r="K3789" s="181"/>
      <c r="L3789" s="181"/>
      <c r="M3789" s="181"/>
      <c r="N3789" s="181"/>
      <c r="O3789" s="181"/>
      <c r="P3789" s="181"/>
    </row>
    <row r="3790">
      <c r="B3790" s="292"/>
      <c r="C3790" s="181"/>
      <c r="D3790" s="181"/>
      <c r="E3790" s="181"/>
      <c r="F3790" s="181"/>
      <c r="G3790" s="181"/>
      <c r="H3790" s="181"/>
      <c r="I3790" s="181"/>
      <c r="J3790" s="181"/>
      <c r="K3790" s="181"/>
      <c r="L3790" s="181"/>
      <c r="M3790" s="181"/>
      <c r="N3790" s="181"/>
      <c r="O3790" s="181"/>
      <c r="P3790" s="181"/>
    </row>
    <row r="3791">
      <c r="B3791" s="292"/>
      <c r="C3791" s="181"/>
      <c r="D3791" s="181"/>
      <c r="E3791" s="181"/>
      <c r="F3791" s="181"/>
      <c r="G3791" s="181"/>
      <c r="H3791" s="181"/>
      <c r="I3791" s="181"/>
      <c r="J3791" s="181"/>
      <c r="K3791" s="181"/>
      <c r="L3791" s="181"/>
      <c r="M3791" s="181"/>
      <c r="N3791" s="181"/>
      <c r="O3791" s="181"/>
      <c r="P3791" s="181"/>
    </row>
    <row r="3792">
      <c r="B3792" s="292"/>
      <c r="C3792" s="181"/>
      <c r="D3792" s="181"/>
      <c r="E3792" s="181"/>
      <c r="F3792" s="181"/>
      <c r="G3792" s="181"/>
      <c r="H3792" s="181"/>
      <c r="I3792" s="181"/>
      <c r="J3792" s="181"/>
      <c r="K3792" s="181"/>
      <c r="L3792" s="181"/>
      <c r="M3792" s="181"/>
      <c r="N3792" s="181"/>
      <c r="O3792" s="181"/>
      <c r="P3792" s="181"/>
    </row>
    <row r="3793">
      <c r="B3793" s="292"/>
      <c r="C3793" s="181"/>
      <c r="D3793" s="181"/>
      <c r="E3793" s="181"/>
      <c r="F3793" s="181"/>
      <c r="G3793" s="181"/>
      <c r="H3793" s="181"/>
      <c r="I3793" s="181"/>
      <c r="J3793" s="181"/>
      <c r="K3793" s="181"/>
      <c r="L3793" s="181"/>
      <c r="M3793" s="181"/>
      <c r="N3793" s="181"/>
      <c r="O3793" s="181"/>
      <c r="P3793" s="181"/>
    </row>
    <row r="3794">
      <c r="B3794" s="292"/>
      <c r="C3794" s="181"/>
      <c r="D3794" s="181"/>
      <c r="E3794" s="181"/>
      <c r="F3794" s="181"/>
      <c r="G3794" s="181"/>
      <c r="H3794" s="181"/>
      <c r="I3794" s="181"/>
      <c r="J3794" s="181"/>
      <c r="K3794" s="181"/>
      <c r="L3794" s="181"/>
      <c r="M3794" s="181"/>
      <c r="N3794" s="181"/>
      <c r="O3794" s="181"/>
      <c r="P3794" s="181"/>
    </row>
    <row r="3795">
      <c r="B3795" s="292"/>
      <c r="C3795" s="181"/>
      <c r="D3795" s="181"/>
      <c r="E3795" s="181"/>
      <c r="F3795" s="181"/>
      <c r="G3795" s="181"/>
      <c r="H3795" s="181"/>
      <c r="I3795" s="181"/>
      <c r="J3795" s="181"/>
      <c r="K3795" s="181"/>
      <c r="L3795" s="181"/>
      <c r="M3795" s="181"/>
      <c r="N3795" s="181"/>
      <c r="O3795" s="181"/>
      <c r="P3795" s="181"/>
    </row>
    <row r="3796">
      <c r="B3796" s="292"/>
      <c r="C3796" s="181"/>
      <c r="D3796" s="181"/>
      <c r="E3796" s="181"/>
      <c r="F3796" s="181"/>
      <c r="G3796" s="181"/>
      <c r="H3796" s="181"/>
      <c r="I3796" s="181"/>
      <c r="J3796" s="181"/>
      <c r="K3796" s="181"/>
      <c r="L3796" s="181"/>
      <c r="M3796" s="181"/>
      <c r="N3796" s="181"/>
      <c r="O3796" s="181"/>
      <c r="P3796" s="181"/>
    </row>
    <row r="3797">
      <c r="B3797" s="292"/>
      <c r="C3797" s="181"/>
      <c r="D3797" s="181"/>
      <c r="E3797" s="181"/>
      <c r="F3797" s="181"/>
      <c r="G3797" s="181"/>
      <c r="H3797" s="181"/>
      <c r="I3797" s="181"/>
      <c r="J3797" s="181"/>
      <c r="K3797" s="181"/>
      <c r="L3797" s="181"/>
      <c r="M3797" s="181"/>
      <c r="N3797" s="181"/>
      <c r="O3797" s="181"/>
      <c r="P3797" s="181"/>
    </row>
    <row r="3798">
      <c r="B3798" s="292"/>
      <c r="C3798" s="181"/>
      <c r="D3798" s="181"/>
      <c r="E3798" s="181"/>
      <c r="F3798" s="181"/>
      <c r="G3798" s="181"/>
      <c r="H3798" s="181"/>
      <c r="I3798" s="181"/>
      <c r="J3798" s="181"/>
      <c r="K3798" s="181"/>
      <c r="L3798" s="181"/>
      <c r="M3798" s="181"/>
      <c r="N3798" s="181"/>
      <c r="O3798" s="181"/>
      <c r="P3798" s="181"/>
    </row>
    <row r="3799">
      <c r="B3799" s="292"/>
      <c r="C3799" s="181"/>
      <c r="D3799" s="181"/>
      <c r="E3799" s="181"/>
      <c r="F3799" s="181"/>
      <c r="G3799" s="181"/>
      <c r="H3799" s="181"/>
      <c r="I3799" s="181"/>
      <c r="J3799" s="181"/>
      <c r="K3799" s="181"/>
      <c r="L3799" s="181"/>
      <c r="M3799" s="181"/>
      <c r="N3799" s="181"/>
      <c r="O3799" s="181"/>
      <c r="P3799" s="181"/>
    </row>
    <row r="3800">
      <c r="B3800" s="292"/>
      <c r="C3800" s="181"/>
      <c r="D3800" s="181"/>
      <c r="E3800" s="181"/>
      <c r="F3800" s="181"/>
      <c r="G3800" s="181"/>
      <c r="H3800" s="181"/>
      <c r="I3800" s="181"/>
      <c r="J3800" s="181"/>
      <c r="K3800" s="181"/>
      <c r="L3800" s="181"/>
      <c r="M3800" s="181"/>
      <c r="N3800" s="181"/>
      <c r="O3800" s="181"/>
      <c r="P3800" s="181"/>
    </row>
    <row r="3801">
      <c r="B3801" s="292"/>
      <c r="C3801" s="181"/>
      <c r="D3801" s="181"/>
      <c r="E3801" s="181"/>
      <c r="F3801" s="181"/>
      <c r="G3801" s="181"/>
      <c r="H3801" s="181"/>
      <c r="I3801" s="181"/>
      <c r="J3801" s="181"/>
      <c r="K3801" s="181"/>
      <c r="L3801" s="181"/>
      <c r="M3801" s="181"/>
      <c r="N3801" s="181"/>
      <c r="O3801" s="181"/>
      <c r="P3801" s="181"/>
    </row>
    <row r="3802">
      <c r="B3802" s="292"/>
      <c r="C3802" s="181"/>
      <c r="D3802" s="181"/>
      <c r="E3802" s="181"/>
      <c r="F3802" s="181"/>
      <c r="G3802" s="181"/>
      <c r="H3802" s="181"/>
      <c r="I3802" s="181"/>
      <c r="J3802" s="181"/>
      <c r="K3802" s="181"/>
      <c r="L3802" s="181"/>
      <c r="M3802" s="181"/>
      <c r="N3802" s="181"/>
      <c r="O3802" s="181"/>
      <c r="P3802" s="181"/>
    </row>
    <row r="3803">
      <c r="B3803" s="292"/>
      <c r="C3803" s="181"/>
      <c r="D3803" s="181"/>
      <c r="E3803" s="181"/>
      <c r="F3803" s="181"/>
      <c r="G3803" s="181"/>
      <c r="H3803" s="181"/>
      <c r="I3803" s="181"/>
      <c r="J3803" s="181"/>
      <c r="K3803" s="181"/>
      <c r="L3803" s="181"/>
      <c r="M3803" s="181"/>
      <c r="N3803" s="181"/>
      <c r="O3803" s="181"/>
      <c r="P3803" s="181"/>
    </row>
    <row r="3804">
      <c r="B3804" s="292"/>
      <c r="C3804" s="181"/>
      <c r="D3804" s="181"/>
      <c r="E3804" s="181"/>
      <c r="F3804" s="181"/>
      <c r="G3804" s="181"/>
      <c r="H3804" s="181"/>
      <c r="I3804" s="181"/>
      <c r="J3804" s="181"/>
      <c r="K3804" s="181"/>
      <c r="L3804" s="181"/>
      <c r="M3804" s="181"/>
      <c r="N3804" s="181"/>
      <c r="O3804" s="181"/>
      <c r="P3804" s="181"/>
    </row>
    <row r="3805">
      <c r="B3805" s="292"/>
      <c r="C3805" s="181"/>
      <c r="D3805" s="181"/>
      <c r="E3805" s="181"/>
      <c r="F3805" s="181"/>
      <c r="G3805" s="181"/>
      <c r="H3805" s="181"/>
      <c r="I3805" s="181"/>
      <c r="J3805" s="181"/>
      <c r="K3805" s="181"/>
      <c r="L3805" s="181"/>
      <c r="M3805" s="181"/>
      <c r="N3805" s="181"/>
      <c r="O3805" s="181"/>
      <c r="P3805" s="181"/>
    </row>
    <row r="3806">
      <c r="B3806" s="292"/>
      <c r="C3806" s="181"/>
      <c r="D3806" s="181"/>
      <c r="E3806" s="181"/>
      <c r="F3806" s="181"/>
      <c r="G3806" s="181"/>
      <c r="H3806" s="181"/>
      <c r="I3806" s="181"/>
      <c r="J3806" s="181"/>
      <c r="K3806" s="181"/>
      <c r="L3806" s="181"/>
      <c r="M3806" s="181"/>
      <c r="N3806" s="181"/>
      <c r="O3806" s="181"/>
      <c r="P3806" s="181"/>
    </row>
    <row r="3807">
      <c r="B3807" s="292"/>
      <c r="C3807" s="181"/>
      <c r="D3807" s="181"/>
      <c r="E3807" s="181"/>
      <c r="F3807" s="181"/>
      <c r="G3807" s="181"/>
      <c r="H3807" s="181"/>
      <c r="I3807" s="181"/>
      <c r="J3807" s="181"/>
      <c r="K3807" s="181"/>
      <c r="L3807" s="181"/>
      <c r="M3807" s="181"/>
      <c r="N3807" s="181"/>
      <c r="O3807" s="181"/>
      <c r="P3807" s="181"/>
    </row>
    <row r="3808">
      <c r="B3808" s="292"/>
      <c r="C3808" s="181"/>
      <c r="D3808" s="181"/>
      <c r="E3808" s="181"/>
      <c r="F3808" s="181"/>
      <c r="G3808" s="181"/>
      <c r="H3808" s="181"/>
      <c r="I3808" s="181"/>
      <c r="J3808" s="181"/>
      <c r="K3808" s="181"/>
      <c r="L3808" s="181"/>
      <c r="M3808" s="181"/>
      <c r="N3808" s="181"/>
      <c r="O3808" s="181"/>
      <c r="P3808" s="181"/>
    </row>
    <row r="3809">
      <c r="B3809" s="292"/>
      <c r="C3809" s="181"/>
      <c r="D3809" s="181"/>
      <c r="E3809" s="181"/>
      <c r="F3809" s="181"/>
      <c r="G3809" s="181"/>
      <c r="H3809" s="181"/>
      <c r="I3809" s="181"/>
      <c r="J3809" s="181"/>
      <c r="K3809" s="181"/>
      <c r="L3809" s="181"/>
      <c r="M3809" s="181"/>
      <c r="N3809" s="181"/>
      <c r="O3809" s="181"/>
      <c r="P3809" s="181"/>
    </row>
    <row r="3810">
      <c r="B3810" s="292"/>
      <c r="C3810" s="181"/>
      <c r="D3810" s="181"/>
      <c r="E3810" s="181"/>
      <c r="F3810" s="181"/>
      <c r="G3810" s="181"/>
      <c r="H3810" s="181"/>
      <c r="I3810" s="181"/>
      <c r="J3810" s="181"/>
      <c r="K3810" s="181"/>
      <c r="L3810" s="181"/>
      <c r="M3810" s="181"/>
      <c r="N3810" s="181"/>
      <c r="O3810" s="181"/>
      <c r="P3810" s="181"/>
    </row>
    <row r="3811">
      <c r="B3811" s="292"/>
      <c r="C3811" s="181"/>
      <c r="D3811" s="181"/>
      <c r="E3811" s="181"/>
      <c r="F3811" s="181"/>
      <c r="G3811" s="181"/>
      <c r="H3811" s="181"/>
      <c r="I3811" s="181"/>
      <c r="J3811" s="181"/>
      <c r="K3811" s="181"/>
      <c r="L3811" s="181"/>
      <c r="M3811" s="181"/>
      <c r="N3811" s="181"/>
      <c r="O3811" s="181"/>
      <c r="P3811" s="181"/>
    </row>
    <row r="3812">
      <c r="B3812" s="292"/>
      <c r="C3812" s="181"/>
      <c r="D3812" s="181"/>
      <c r="E3812" s="181"/>
      <c r="F3812" s="181"/>
      <c r="G3812" s="181"/>
      <c r="H3812" s="181"/>
      <c r="I3812" s="181"/>
      <c r="J3812" s="181"/>
      <c r="K3812" s="181"/>
      <c r="L3812" s="181"/>
      <c r="M3812" s="181"/>
      <c r="N3812" s="181"/>
      <c r="O3812" s="181"/>
      <c r="P3812" s="181"/>
    </row>
    <row r="3813">
      <c r="B3813" s="292"/>
      <c r="C3813" s="181"/>
      <c r="D3813" s="181"/>
      <c r="E3813" s="181"/>
      <c r="F3813" s="181"/>
      <c r="G3813" s="181"/>
      <c r="H3813" s="181"/>
      <c r="I3813" s="181"/>
      <c r="J3813" s="181"/>
      <c r="K3813" s="181"/>
      <c r="L3813" s="181"/>
      <c r="M3813" s="181"/>
      <c r="N3813" s="181"/>
      <c r="O3813" s="181"/>
      <c r="P3813" s="181"/>
    </row>
    <row r="3814">
      <c r="B3814" s="292"/>
      <c r="C3814" s="181"/>
      <c r="D3814" s="181"/>
      <c r="E3814" s="181"/>
      <c r="F3814" s="181"/>
      <c r="G3814" s="181"/>
      <c r="H3814" s="181"/>
      <c r="I3814" s="181"/>
      <c r="J3814" s="181"/>
      <c r="K3814" s="181"/>
      <c r="L3814" s="181"/>
      <c r="M3814" s="181"/>
      <c r="N3814" s="181"/>
      <c r="O3814" s="181"/>
      <c r="P3814" s="181"/>
    </row>
    <row r="3815">
      <c r="B3815" s="292"/>
      <c r="C3815" s="181"/>
      <c r="D3815" s="181"/>
      <c r="E3815" s="181"/>
      <c r="F3815" s="181"/>
      <c r="G3815" s="181"/>
      <c r="H3815" s="181"/>
      <c r="I3815" s="181"/>
      <c r="J3815" s="181"/>
      <c r="K3815" s="181"/>
      <c r="L3815" s="181"/>
      <c r="M3815" s="181"/>
      <c r="N3815" s="181"/>
      <c r="O3815" s="181"/>
      <c r="P3815" s="181"/>
    </row>
    <row r="3816">
      <c r="B3816" s="292"/>
      <c r="C3816" s="181"/>
      <c r="D3816" s="181"/>
      <c r="E3816" s="181"/>
      <c r="F3816" s="181"/>
      <c r="G3816" s="181"/>
      <c r="H3816" s="181"/>
      <c r="I3816" s="181"/>
      <c r="J3816" s="181"/>
      <c r="K3816" s="181"/>
      <c r="L3816" s="181"/>
      <c r="M3816" s="181"/>
      <c r="N3816" s="181"/>
      <c r="O3816" s="181"/>
      <c r="P3816" s="181"/>
    </row>
    <row r="3817">
      <c r="B3817" s="292"/>
      <c r="C3817" s="181"/>
      <c r="D3817" s="181"/>
      <c r="E3817" s="181"/>
      <c r="F3817" s="181"/>
      <c r="G3817" s="181"/>
      <c r="H3817" s="181"/>
      <c r="I3817" s="181"/>
      <c r="J3817" s="181"/>
      <c r="K3817" s="181"/>
      <c r="L3817" s="181"/>
      <c r="M3817" s="181"/>
      <c r="N3817" s="181"/>
      <c r="O3817" s="181"/>
      <c r="P3817" s="181"/>
    </row>
    <row r="3818">
      <c r="B3818" s="292"/>
      <c r="C3818" s="181"/>
      <c r="D3818" s="181"/>
      <c r="E3818" s="181"/>
      <c r="F3818" s="181"/>
      <c r="G3818" s="181"/>
      <c r="H3818" s="181"/>
      <c r="I3818" s="181"/>
      <c r="J3818" s="181"/>
      <c r="K3818" s="181"/>
      <c r="L3818" s="181"/>
      <c r="M3818" s="181"/>
      <c r="N3818" s="181"/>
      <c r="O3818" s="181"/>
      <c r="P3818" s="181"/>
    </row>
    <row r="3819">
      <c r="B3819" s="292"/>
      <c r="C3819" s="181"/>
      <c r="D3819" s="181"/>
      <c r="E3819" s="181"/>
      <c r="F3819" s="181"/>
      <c r="G3819" s="181"/>
      <c r="H3819" s="181"/>
      <c r="I3819" s="181"/>
      <c r="J3819" s="181"/>
      <c r="K3819" s="181"/>
      <c r="L3819" s="181"/>
      <c r="M3819" s="181"/>
      <c r="N3819" s="181"/>
      <c r="O3819" s="181"/>
      <c r="P3819" s="181"/>
    </row>
    <row r="3820">
      <c r="B3820" s="292"/>
      <c r="C3820" s="181"/>
      <c r="D3820" s="181"/>
      <c r="E3820" s="181"/>
      <c r="F3820" s="181"/>
      <c r="G3820" s="181"/>
      <c r="H3820" s="181"/>
      <c r="I3820" s="181"/>
      <c r="J3820" s="181"/>
      <c r="K3820" s="181"/>
      <c r="L3820" s="181"/>
      <c r="M3820" s="181"/>
      <c r="N3820" s="181"/>
      <c r="O3820" s="181"/>
      <c r="P3820" s="181"/>
    </row>
    <row r="3821">
      <c r="B3821" s="292"/>
      <c r="C3821" s="181"/>
      <c r="D3821" s="181"/>
      <c r="E3821" s="181"/>
      <c r="F3821" s="181"/>
      <c r="G3821" s="181"/>
      <c r="H3821" s="181"/>
      <c r="I3821" s="181"/>
      <c r="J3821" s="181"/>
      <c r="K3821" s="181"/>
      <c r="L3821" s="181"/>
      <c r="M3821" s="181"/>
      <c r="N3821" s="181"/>
      <c r="O3821" s="181"/>
      <c r="P3821" s="181"/>
    </row>
    <row r="3822">
      <c r="B3822" s="292"/>
      <c r="C3822" s="181"/>
      <c r="D3822" s="181"/>
      <c r="E3822" s="181"/>
      <c r="F3822" s="181"/>
      <c r="G3822" s="181"/>
      <c r="H3822" s="181"/>
      <c r="I3822" s="181"/>
      <c r="J3822" s="181"/>
      <c r="K3822" s="181"/>
      <c r="L3822" s="181"/>
      <c r="M3822" s="181"/>
      <c r="N3822" s="181"/>
      <c r="O3822" s="181"/>
      <c r="P3822" s="181"/>
    </row>
    <row r="3823">
      <c r="B3823" s="292"/>
      <c r="C3823" s="181"/>
      <c r="D3823" s="181"/>
      <c r="E3823" s="181"/>
      <c r="F3823" s="181"/>
      <c r="G3823" s="181"/>
      <c r="H3823" s="181"/>
      <c r="I3823" s="181"/>
      <c r="J3823" s="181"/>
      <c r="K3823" s="181"/>
      <c r="L3823" s="181"/>
      <c r="M3823" s="181"/>
      <c r="N3823" s="181"/>
      <c r="O3823" s="181"/>
      <c r="P3823" s="181"/>
    </row>
    <row r="3824">
      <c r="B3824" s="292"/>
      <c r="C3824" s="181"/>
      <c r="D3824" s="181"/>
      <c r="E3824" s="181"/>
      <c r="F3824" s="181"/>
      <c r="G3824" s="181"/>
      <c r="H3824" s="181"/>
      <c r="I3824" s="181"/>
      <c r="J3824" s="181"/>
      <c r="K3824" s="181"/>
      <c r="L3824" s="181"/>
      <c r="M3824" s="181"/>
      <c r="N3824" s="181"/>
      <c r="O3824" s="181"/>
      <c r="P3824" s="181"/>
    </row>
    <row r="3825">
      <c r="B3825" s="292"/>
      <c r="C3825" s="181"/>
      <c r="D3825" s="181"/>
      <c r="E3825" s="181"/>
      <c r="F3825" s="181"/>
      <c r="G3825" s="181"/>
      <c r="H3825" s="181"/>
      <c r="I3825" s="181"/>
      <c r="J3825" s="181"/>
      <c r="K3825" s="181"/>
      <c r="L3825" s="181"/>
      <c r="M3825" s="181"/>
      <c r="N3825" s="181"/>
      <c r="O3825" s="181"/>
      <c r="P3825" s="181"/>
    </row>
    <row r="3826">
      <c r="B3826" s="292"/>
      <c r="C3826" s="181"/>
      <c r="D3826" s="181"/>
      <c r="E3826" s="181"/>
      <c r="F3826" s="181"/>
      <c r="G3826" s="181"/>
      <c r="H3826" s="181"/>
      <c r="I3826" s="181"/>
      <c r="J3826" s="181"/>
      <c r="K3826" s="181"/>
      <c r="L3826" s="181"/>
      <c r="M3826" s="181"/>
      <c r="N3826" s="181"/>
      <c r="O3826" s="181"/>
      <c r="P3826" s="181"/>
    </row>
    <row r="3827">
      <c r="B3827" s="292"/>
      <c r="C3827" s="181"/>
      <c r="D3827" s="181"/>
      <c r="E3827" s="181"/>
      <c r="F3827" s="181"/>
      <c r="G3827" s="181"/>
      <c r="H3827" s="181"/>
      <c r="I3827" s="181"/>
      <c r="J3827" s="181"/>
      <c r="K3827" s="181"/>
      <c r="L3827" s="181"/>
      <c r="M3827" s="181"/>
      <c r="N3827" s="181"/>
      <c r="O3827" s="181"/>
      <c r="P3827" s="181"/>
    </row>
    <row r="3828">
      <c r="B3828" s="292"/>
      <c r="C3828" s="181"/>
      <c r="D3828" s="181"/>
      <c r="E3828" s="181"/>
      <c r="F3828" s="181"/>
      <c r="G3828" s="181"/>
      <c r="H3828" s="181"/>
      <c r="I3828" s="181"/>
      <c r="J3828" s="181"/>
      <c r="K3828" s="181"/>
      <c r="L3828" s="181"/>
      <c r="M3828" s="181"/>
      <c r="N3828" s="181"/>
      <c r="O3828" s="181"/>
      <c r="P3828" s="181"/>
    </row>
    <row r="3829">
      <c r="B3829" s="292"/>
      <c r="C3829" s="181"/>
      <c r="D3829" s="181"/>
      <c r="E3829" s="181"/>
      <c r="F3829" s="181"/>
      <c r="G3829" s="181"/>
      <c r="H3829" s="181"/>
      <c r="I3829" s="181"/>
      <c r="J3829" s="181"/>
      <c r="K3829" s="181"/>
      <c r="L3829" s="181"/>
      <c r="M3829" s="181"/>
      <c r="N3829" s="181"/>
      <c r="O3829" s="181"/>
      <c r="P3829" s="181"/>
    </row>
    <row r="3830">
      <c r="B3830" s="292"/>
      <c r="C3830" s="181"/>
      <c r="D3830" s="181"/>
      <c r="E3830" s="181"/>
      <c r="F3830" s="181"/>
      <c r="G3830" s="181"/>
      <c r="H3830" s="181"/>
      <c r="I3830" s="181"/>
      <c r="J3830" s="181"/>
      <c r="K3830" s="181"/>
      <c r="L3830" s="181"/>
      <c r="M3830" s="181"/>
      <c r="N3830" s="181"/>
      <c r="O3830" s="181"/>
      <c r="P3830" s="181"/>
    </row>
    <row r="3831">
      <c r="B3831" s="292"/>
      <c r="C3831" s="181"/>
      <c r="D3831" s="181"/>
      <c r="E3831" s="181"/>
      <c r="F3831" s="181"/>
      <c r="G3831" s="181"/>
      <c r="H3831" s="181"/>
      <c r="I3831" s="181"/>
      <c r="J3831" s="181"/>
      <c r="K3831" s="181"/>
      <c r="L3831" s="181"/>
      <c r="M3831" s="181"/>
      <c r="N3831" s="181"/>
      <c r="O3831" s="181"/>
      <c r="P3831" s="181"/>
    </row>
    <row r="3832">
      <c r="B3832" s="292"/>
      <c r="C3832" s="181"/>
      <c r="D3832" s="181"/>
      <c r="E3832" s="181"/>
      <c r="F3832" s="181"/>
      <c r="G3832" s="181"/>
      <c r="H3832" s="181"/>
      <c r="I3832" s="181"/>
      <c r="J3832" s="181"/>
      <c r="K3832" s="181"/>
      <c r="L3832" s="181"/>
      <c r="M3832" s="181"/>
      <c r="N3832" s="181"/>
      <c r="O3832" s="181"/>
      <c r="P3832" s="181"/>
    </row>
    <row r="3833">
      <c r="B3833" s="292"/>
      <c r="C3833" s="181"/>
      <c r="D3833" s="181"/>
      <c r="E3833" s="181"/>
      <c r="F3833" s="181"/>
      <c r="G3833" s="181"/>
      <c r="H3833" s="181"/>
      <c r="I3833" s="181"/>
      <c r="J3833" s="181"/>
      <c r="K3833" s="181"/>
      <c r="L3833" s="181"/>
      <c r="M3833" s="181"/>
      <c r="N3833" s="181"/>
      <c r="O3833" s="181"/>
      <c r="P3833" s="181"/>
    </row>
    <row r="3834">
      <c r="B3834" s="292"/>
      <c r="C3834" s="181"/>
      <c r="D3834" s="181"/>
      <c r="E3834" s="181"/>
      <c r="F3834" s="181"/>
      <c r="G3834" s="181"/>
      <c r="H3834" s="181"/>
      <c r="I3834" s="181"/>
      <c r="J3834" s="181"/>
      <c r="K3834" s="181"/>
      <c r="L3834" s="181"/>
      <c r="M3834" s="181"/>
      <c r="N3834" s="181"/>
      <c r="O3834" s="181"/>
      <c r="P3834" s="181"/>
    </row>
    <row r="3835">
      <c r="B3835" s="292"/>
      <c r="C3835" s="181"/>
      <c r="D3835" s="181"/>
      <c r="E3835" s="181"/>
      <c r="F3835" s="181"/>
      <c r="G3835" s="181"/>
      <c r="H3835" s="181"/>
      <c r="I3835" s="181"/>
      <c r="J3835" s="181"/>
      <c r="K3835" s="181"/>
      <c r="L3835" s="181"/>
      <c r="M3835" s="181"/>
      <c r="N3835" s="181"/>
      <c r="O3835" s="181"/>
      <c r="P3835" s="181"/>
    </row>
    <row r="3836">
      <c r="B3836" s="292"/>
      <c r="C3836" s="181"/>
      <c r="D3836" s="181"/>
      <c r="E3836" s="181"/>
      <c r="F3836" s="181"/>
      <c r="G3836" s="181"/>
      <c r="H3836" s="181"/>
      <c r="I3836" s="181"/>
      <c r="J3836" s="181"/>
      <c r="K3836" s="181"/>
      <c r="L3836" s="181"/>
      <c r="M3836" s="181"/>
      <c r="N3836" s="181"/>
      <c r="O3836" s="181"/>
      <c r="P3836" s="181"/>
    </row>
    <row r="3837">
      <c r="B3837" s="292"/>
      <c r="C3837" s="181"/>
      <c r="D3837" s="181"/>
      <c r="E3837" s="181"/>
      <c r="F3837" s="181"/>
      <c r="G3837" s="181"/>
      <c r="H3837" s="181"/>
      <c r="I3837" s="181"/>
      <c r="J3837" s="181"/>
      <c r="K3837" s="181"/>
      <c r="L3837" s="181"/>
      <c r="M3837" s="181"/>
      <c r="N3837" s="181"/>
      <c r="O3837" s="181"/>
      <c r="P3837" s="181"/>
    </row>
    <row r="3838">
      <c r="B3838" s="292"/>
      <c r="C3838" s="181"/>
      <c r="D3838" s="181"/>
      <c r="E3838" s="181"/>
      <c r="F3838" s="181"/>
      <c r="G3838" s="181"/>
      <c r="H3838" s="181"/>
      <c r="I3838" s="181"/>
      <c r="J3838" s="181"/>
      <c r="K3838" s="181"/>
      <c r="L3838" s="181"/>
      <c r="M3838" s="181"/>
      <c r="N3838" s="181"/>
      <c r="O3838" s="181"/>
      <c r="P3838" s="181"/>
    </row>
    <row r="3839">
      <c r="B3839" s="292"/>
      <c r="C3839" s="181"/>
      <c r="D3839" s="181"/>
      <c r="E3839" s="181"/>
      <c r="F3839" s="181"/>
      <c r="G3839" s="181"/>
      <c r="H3839" s="181"/>
      <c r="I3839" s="181"/>
      <c r="J3839" s="181"/>
      <c r="K3839" s="181"/>
      <c r="L3839" s="181"/>
      <c r="M3839" s="181"/>
      <c r="N3839" s="181"/>
      <c r="O3839" s="181"/>
      <c r="P3839" s="181"/>
    </row>
    <row r="3840">
      <c r="B3840" s="292"/>
      <c r="C3840" s="181"/>
      <c r="D3840" s="181"/>
      <c r="E3840" s="181"/>
      <c r="F3840" s="181"/>
      <c r="G3840" s="181"/>
      <c r="H3840" s="181"/>
      <c r="I3840" s="181"/>
      <c r="J3840" s="181"/>
      <c r="K3840" s="181"/>
      <c r="L3840" s="181"/>
      <c r="M3840" s="181"/>
      <c r="N3840" s="181"/>
      <c r="O3840" s="181"/>
      <c r="P3840" s="181"/>
    </row>
    <row r="3841">
      <c r="B3841" s="292"/>
      <c r="C3841" s="181"/>
      <c r="D3841" s="181"/>
      <c r="E3841" s="181"/>
      <c r="F3841" s="181"/>
      <c r="G3841" s="181"/>
      <c r="H3841" s="181"/>
      <c r="I3841" s="181"/>
      <c r="J3841" s="181"/>
      <c r="K3841" s="181"/>
      <c r="L3841" s="181"/>
      <c r="M3841" s="181"/>
      <c r="N3841" s="181"/>
      <c r="O3841" s="181"/>
      <c r="P3841" s="181"/>
    </row>
    <row r="3842">
      <c r="B3842" s="292"/>
      <c r="C3842" s="181"/>
      <c r="D3842" s="181"/>
      <c r="E3842" s="181"/>
      <c r="F3842" s="181"/>
      <c r="G3842" s="181"/>
      <c r="H3842" s="181"/>
      <c r="I3842" s="181"/>
      <c r="J3842" s="181"/>
      <c r="K3842" s="181"/>
      <c r="L3842" s="181"/>
      <c r="M3842" s="181"/>
      <c r="N3842" s="181"/>
      <c r="O3842" s="181"/>
      <c r="P3842" s="181"/>
    </row>
    <row r="3843">
      <c r="B3843" s="292"/>
      <c r="C3843" s="181"/>
      <c r="D3843" s="181"/>
      <c r="E3843" s="181"/>
      <c r="F3843" s="181"/>
      <c r="G3843" s="181"/>
      <c r="H3843" s="181"/>
      <c r="I3843" s="181"/>
      <c r="J3843" s="181"/>
      <c r="K3843" s="181"/>
      <c r="L3843" s="181"/>
      <c r="M3843" s="181"/>
      <c r="N3843" s="181"/>
      <c r="O3843" s="181"/>
      <c r="P3843" s="181"/>
    </row>
    <row r="3844">
      <c r="B3844" s="292"/>
      <c r="C3844" s="181"/>
      <c r="D3844" s="181"/>
      <c r="E3844" s="181"/>
      <c r="F3844" s="181"/>
      <c r="G3844" s="181"/>
      <c r="H3844" s="181"/>
      <c r="I3844" s="181"/>
      <c r="J3844" s="181"/>
      <c r="K3844" s="181"/>
      <c r="L3844" s="181"/>
      <c r="M3844" s="181"/>
      <c r="N3844" s="181"/>
      <c r="O3844" s="181"/>
      <c r="P3844" s="181"/>
    </row>
    <row r="3845">
      <c r="B3845" s="292"/>
      <c r="C3845" s="181"/>
      <c r="D3845" s="181"/>
      <c r="E3845" s="181"/>
      <c r="F3845" s="181"/>
      <c r="G3845" s="181"/>
      <c r="H3845" s="181"/>
      <c r="I3845" s="181"/>
      <c r="J3845" s="181"/>
      <c r="K3845" s="181"/>
      <c r="L3845" s="181"/>
      <c r="M3845" s="181"/>
      <c r="N3845" s="181"/>
      <c r="O3845" s="181"/>
      <c r="P3845" s="181"/>
    </row>
    <row r="3846">
      <c r="B3846" s="292"/>
      <c r="C3846" s="181"/>
      <c r="D3846" s="181"/>
      <c r="E3846" s="181"/>
      <c r="F3846" s="181"/>
      <c r="G3846" s="181"/>
      <c r="H3846" s="181"/>
      <c r="I3846" s="181"/>
      <c r="J3846" s="181"/>
      <c r="K3846" s="181"/>
      <c r="L3846" s="181"/>
      <c r="M3846" s="181"/>
      <c r="N3846" s="181"/>
      <c r="O3846" s="181"/>
      <c r="P3846" s="181"/>
    </row>
    <row r="3847">
      <c r="B3847" s="292"/>
      <c r="C3847" s="181"/>
      <c r="D3847" s="181"/>
      <c r="E3847" s="181"/>
      <c r="F3847" s="181"/>
      <c r="G3847" s="181"/>
      <c r="H3847" s="181"/>
      <c r="I3847" s="181"/>
      <c r="J3847" s="181"/>
      <c r="K3847" s="181"/>
      <c r="L3847" s="181"/>
      <c r="M3847" s="181"/>
      <c r="N3847" s="181"/>
      <c r="O3847" s="181"/>
      <c r="P3847" s="181"/>
    </row>
    <row r="3848">
      <c r="B3848" s="292"/>
      <c r="C3848" s="181"/>
      <c r="D3848" s="181"/>
      <c r="E3848" s="181"/>
      <c r="F3848" s="181"/>
      <c r="G3848" s="181"/>
      <c r="H3848" s="181"/>
      <c r="I3848" s="181"/>
      <c r="J3848" s="181"/>
      <c r="K3848" s="181"/>
      <c r="L3848" s="181"/>
      <c r="M3848" s="181"/>
      <c r="N3848" s="181"/>
      <c r="O3848" s="181"/>
      <c r="P3848" s="181"/>
    </row>
    <row r="3849">
      <c r="B3849" s="292"/>
      <c r="C3849" s="181"/>
      <c r="D3849" s="181"/>
      <c r="E3849" s="181"/>
      <c r="F3849" s="181"/>
      <c r="G3849" s="181"/>
      <c r="H3849" s="181"/>
      <c r="I3849" s="181"/>
      <c r="J3849" s="181"/>
      <c r="K3849" s="181"/>
      <c r="L3849" s="181"/>
      <c r="M3849" s="181"/>
      <c r="N3849" s="181"/>
      <c r="O3849" s="181"/>
      <c r="P3849" s="181"/>
    </row>
    <row r="3850">
      <c r="B3850" s="292"/>
      <c r="C3850" s="181"/>
      <c r="D3850" s="181"/>
      <c r="E3850" s="181"/>
      <c r="F3850" s="181"/>
      <c r="G3850" s="181"/>
      <c r="H3850" s="181"/>
      <c r="I3850" s="181"/>
      <c r="J3850" s="181"/>
      <c r="K3850" s="181"/>
      <c r="L3850" s="181"/>
      <c r="M3850" s="181"/>
      <c r="N3850" s="181"/>
      <c r="O3850" s="181"/>
      <c r="P3850" s="181"/>
    </row>
    <row r="3851">
      <c r="B3851" s="292"/>
      <c r="C3851" s="181"/>
      <c r="D3851" s="181"/>
      <c r="E3851" s="181"/>
      <c r="F3851" s="181"/>
      <c r="G3851" s="181"/>
      <c r="H3851" s="181"/>
      <c r="I3851" s="181"/>
      <c r="J3851" s="181"/>
      <c r="K3851" s="181"/>
      <c r="L3851" s="181"/>
      <c r="M3851" s="181"/>
      <c r="N3851" s="181"/>
      <c r="O3851" s="181"/>
      <c r="P3851" s="181"/>
    </row>
    <row r="3852">
      <c r="B3852" s="292"/>
      <c r="C3852" s="181"/>
      <c r="D3852" s="181"/>
      <c r="E3852" s="181"/>
      <c r="F3852" s="181"/>
      <c r="G3852" s="181"/>
      <c r="H3852" s="181"/>
      <c r="I3852" s="181"/>
      <c r="J3852" s="181"/>
      <c r="K3852" s="181"/>
      <c r="L3852" s="181"/>
      <c r="M3852" s="181"/>
      <c r="N3852" s="181"/>
      <c r="O3852" s="181"/>
      <c r="P3852" s="181"/>
    </row>
    <row r="3853">
      <c r="B3853" s="292"/>
      <c r="C3853" s="181"/>
      <c r="D3853" s="181"/>
      <c r="E3853" s="181"/>
      <c r="F3853" s="181"/>
      <c r="G3853" s="181"/>
      <c r="H3853" s="181"/>
      <c r="I3853" s="181"/>
      <c r="J3853" s="181"/>
      <c r="K3853" s="181"/>
      <c r="L3853" s="181"/>
      <c r="M3853" s="181"/>
      <c r="N3853" s="181"/>
      <c r="O3853" s="181"/>
      <c r="P3853" s="181"/>
    </row>
    <row r="3854">
      <c r="B3854" s="292"/>
      <c r="C3854" s="181"/>
      <c r="D3854" s="181"/>
      <c r="E3854" s="181"/>
      <c r="F3854" s="181"/>
      <c r="G3854" s="181"/>
      <c r="H3854" s="181"/>
      <c r="I3854" s="181"/>
      <c r="J3854" s="181"/>
      <c r="K3854" s="181"/>
      <c r="L3854" s="181"/>
      <c r="M3854" s="181"/>
      <c r="N3854" s="181"/>
      <c r="O3854" s="181"/>
      <c r="P3854" s="181"/>
    </row>
    <row r="3855">
      <c r="B3855" s="292"/>
      <c r="C3855" s="181"/>
      <c r="D3855" s="181"/>
      <c r="E3855" s="181"/>
      <c r="F3855" s="181"/>
      <c r="G3855" s="181"/>
      <c r="H3855" s="181"/>
      <c r="I3855" s="181"/>
      <c r="J3855" s="181"/>
      <c r="K3855" s="181"/>
      <c r="L3855" s="181"/>
      <c r="M3855" s="181"/>
      <c r="N3855" s="181"/>
      <c r="O3855" s="181"/>
      <c r="P3855" s="181"/>
    </row>
    <row r="3856">
      <c r="B3856" s="292"/>
      <c r="C3856" s="181"/>
      <c r="D3856" s="181"/>
      <c r="E3856" s="181"/>
      <c r="F3856" s="181"/>
      <c r="G3856" s="181"/>
      <c r="H3856" s="181"/>
      <c r="I3856" s="181"/>
      <c r="J3856" s="181"/>
      <c r="K3856" s="181"/>
      <c r="L3856" s="181"/>
      <c r="M3856" s="181"/>
      <c r="N3856" s="181"/>
      <c r="O3856" s="181"/>
      <c r="P3856" s="181"/>
    </row>
    <row r="3857">
      <c r="B3857" s="292"/>
      <c r="C3857" s="181"/>
      <c r="D3857" s="181"/>
      <c r="E3857" s="181"/>
      <c r="F3857" s="181"/>
      <c r="G3857" s="181"/>
      <c r="H3857" s="181"/>
      <c r="I3857" s="181"/>
      <c r="J3857" s="181"/>
      <c r="K3857" s="181"/>
      <c r="L3857" s="181"/>
      <c r="M3857" s="181"/>
      <c r="N3857" s="181"/>
      <c r="O3857" s="181"/>
      <c r="P3857" s="181"/>
    </row>
    <row r="3858">
      <c r="B3858" s="292"/>
      <c r="C3858" s="181"/>
      <c r="D3858" s="181"/>
      <c r="E3858" s="181"/>
      <c r="F3858" s="181"/>
      <c r="G3858" s="181"/>
      <c r="H3858" s="181"/>
      <c r="I3858" s="181"/>
      <c r="J3858" s="181"/>
      <c r="K3858" s="181"/>
      <c r="L3858" s="181"/>
      <c r="M3858" s="181"/>
      <c r="N3858" s="181"/>
      <c r="O3858" s="181"/>
      <c r="P3858" s="181"/>
    </row>
    <row r="3859">
      <c r="B3859" s="292"/>
      <c r="C3859" s="181"/>
      <c r="D3859" s="181"/>
      <c r="E3859" s="181"/>
      <c r="F3859" s="181"/>
      <c r="G3859" s="181"/>
      <c r="H3859" s="181"/>
      <c r="I3859" s="181"/>
      <c r="J3859" s="181"/>
      <c r="K3859" s="181"/>
      <c r="L3859" s="181"/>
      <c r="M3859" s="181"/>
      <c r="N3859" s="181"/>
      <c r="O3859" s="181"/>
      <c r="P3859" s="181"/>
    </row>
    <row r="3860">
      <c r="B3860" s="292"/>
      <c r="C3860" s="181"/>
      <c r="D3860" s="181"/>
      <c r="E3860" s="181"/>
      <c r="F3860" s="181"/>
      <c r="G3860" s="181"/>
      <c r="H3860" s="181"/>
      <c r="I3860" s="181"/>
      <c r="J3860" s="181"/>
      <c r="K3860" s="181"/>
      <c r="L3860" s="181"/>
      <c r="M3860" s="181"/>
      <c r="N3860" s="181"/>
      <c r="O3860" s="181"/>
      <c r="P3860" s="181"/>
    </row>
    <row r="3861">
      <c r="B3861" s="292"/>
      <c r="C3861" s="181"/>
      <c r="D3861" s="181"/>
      <c r="E3861" s="181"/>
      <c r="F3861" s="181"/>
      <c r="G3861" s="181"/>
      <c r="H3861" s="181"/>
      <c r="I3861" s="181"/>
      <c r="J3861" s="181"/>
      <c r="K3861" s="181"/>
      <c r="L3861" s="181"/>
      <c r="M3861" s="181"/>
      <c r="N3861" s="181"/>
      <c r="O3861" s="181"/>
      <c r="P3861" s="181"/>
    </row>
    <row r="3862">
      <c r="B3862" s="292"/>
      <c r="C3862" s="181"/>
      <c r="D3862" s="181"/>
      <c r="E3862" s="181"/>
      <c r="F3862" s="181"/>
      <c r="G3862" s="181"/>
      <c r="H3862" s="181"/>
      <c r="I3862" s="181"/>
      <c r="J3862" s="181"/>
      <c r="K3862" s="181"/>
      <c r="L3862" s="181"/>
      <c r="M3862" s="181"/>
      <c r="N3862" s="181"/>
      <c r="O3862" s="181"/>
      <c r="P3862" s="181"/>
    </row>
    <row r="3863">
      <c r="B3863" s="292"/>
      <c r="C3863" s="181"/>
      <c r="D3863" s="181"/>
      <c r="E3863" s="181"/>
      <c r="F3863" s="181"/>
      <c r="G3863" s="181"/>
      <c r="H3863" s="181"/>
      <c r="I3863" s="181"/>
      <c r="J3863" s="181"/>
      <c r="K3863" s="181"/>
      <c r="L3863" s="181"/>
      <c r="M3863" s="181"/>
      <c r="N3863" s="181"/>
      <c r="O3863" s="181"/>
      <c r="P3863" s="181"/>
    </row>
    <row r="3864">
      <c r="B3864" s="292"/>
      <c r="C3864" s="181"/>
      <c r="D3864" s="181"/>
      <c r="E3864" s="181"/>
      <c r="F3864" s="181"/>
      <c r="G3864" s="181"/>
      <c r="H3864" s="181"/>
      <c r="I3864" s="181"/>
      <c r="J3864" s="181"/>
      <c r="K3864" s="181"/>
      <c r="L3864" s="181"/>
      <c r="M3864" s="181"/>
      <c r="N3864" s="181"/>
      <c r="O3864" s="181"/>
      <c r="P3864" s="181"/>
    </row>
    <row r="3865">
      <c r="B3865" s="292"/>
      <c r="C3865" s="181"/>
      <c r="D3865" s="181"/>
      <c r="E3865" s="181"/>
      <c r="F3865" s="181"/>
      <c r="G3865" s="181"/>
      <c r="H3865" s="181"/>
      <c r="I3865" s="181"/>
      <c r="J3865" s="181"/>
      <c r="K3865" s="181"/>
      <c r="L3865" s="181"/>
      <c r="M3865" s="181"/>
      <c r="N3865" s="181"/>
      <c r="O3865" s="181"/>
      <c r="P3865" s="181"/>
    </row>
    <row r="3866">
      <c r="B3866" s="292"/>
      <c r="C3866" s="181"/>
      <c r="D3866" s="181"/>
      <c r="E3866" s="181"/>
      <c r="F3866" s="181"/>
      <c r="G3866" s="181"/>
      <c r="H3866" s="181"/>
      <c r="I3866" s="181"/>
      <c r="J3866" s="181"/>
      <c r="K3866" s="181"/>
      <c r="L3866" s="181"/>
      <c r="M3866" s="181"/>
      <c r="N3866" s="181"/>
      <c r="O3866" s="181"/>
      <c r="P3866" s="181"/>
    </row>
    <row r="3867">
      <c r="B3867" s="292"/>
      <c r="C3867" s="181"/>
      <c r="D3867" s="181"/>
      <c r="E3867" s="181"/>
      <c r="F3867" s="181"/>
      <c r="G3867" s="181"/>
      <c r="H3867" s="181"/>
      <c r="I3867" s="181"/>
      <c r="J3867" s="181"/>
      <c r="K3867" s="181"/>
      <c r="L3867" s="181"/>
      <c r="M3867" s="181"/>
      <c r="N3867" s="181"/>
      <c r="O3867" s="181"/>
      <c r="P3867" s="181"/>
    </row>
    <row r="3868">
      <c r="B3868" s="292"/>
      <c r="C3868" s="181"/>
      <c r="D3868" s="181"/>
      <c r="E3868" s="181"/>
      <c r="F3868" s="181"/>
      <c r="G3868" s="181"/>
      <c r="H3868" s="181"/>
      <c r="I3868" s="181"/>
      <c r="J3868" s="181"/>
      <c r="K3868" s="181"/>
      <c r="L3868" s="181"/>
      <c r="M3868" s="181"/>
      <c r="N3868" s="181"/>
      <c r="O3868" s="181"/>
      <c r="P3868" s="181"/>
    </row>
    <row r="3869">
      <c r="B3869" s="292"/>
      <c r="C3869" s="181"/>
      <c r="D3869" s="181"/>
      <c r="E3869" s="181"/>
      <c r="F3869" s="181"/>
      <c r="G3869" s="181"/>
      <c r="H3869" s="181"/>
      <c r="I3869" s="181"/>
      <c r="J3869" s="181"/>
      <c r="K3869" s="181"/>
      <c r="L3869" s="181"/>
      <c r="M3869" s="181"/>
      <c r="N3869" s="181"/>
      <c r="O3869" s="181"/>
      <c r="P3869" s="181"/>
    </row>
    <row r="3870">
      <c r="B3870" s="292"/>
      <c r="C3870" s="181"/>
      <c r="D3870" s="181"/>
      <c r="E3870" s="181"/>
      <c r="F3870" s="181"/>
      <c r="G3870" s="181"/>
      <c r="H3870" s="181"/>
      <c r="I3870" s="181"/>
      <c r="J3870" s="181"/>
      <c r="K3870" s="181"/>
      <c r="L3870" s="181"/>
      <c r="M3870" s="181"/>
      <c r="N3870" s="181"/>
      <c r="O3870" s="181"/>
      <c r="P3870" s="181"/>
    </row>
    <row r="3871">
      <c r="B3871" s="292"/>
      <c r="C3871" s="181"/>
      <c r="D3871" s="181"/>
      <c r="E3871" s="181"/>
      <c r="F3871" s="181"/>
      <c r="G3871" s="181"/>
      <c r="H3871" s="181"/>
      <c r="I3871" s="181"/>
      <c r="J3871" s="181"/>
      <c r="K3871" s="181"/>
      <c r="L3871" s="181"/>
      <c r="M3871" s="181"/>
      <c r="N3871" s="181"/>
      <c r="O3871" s="181"/>
      <c r="P3871" s="181"/>
    </row>
    <row r="3872">
      <c r="B3872" s="292"/>
      <c r="C3872" s="181"/>
      <c r="D3872" s="181"/>
      <c r="E3872" s="181"/>
      <c r="F3872" s="181"/>
      <c r="G3872" s="181"/>
      <c r="H3872" s="181"/>
      <c r="I3872" s="181"/>
      <c r="J3872" s="181"/>
      <c r="K3872" s="181"/>
      <c r="L3872" s="181"/>
      <c r="M3872" s="181"/>
      <c r="N3872" s="181"/>
      <c r="O3872" s="181"/>
      <c r="P3872" s="181"/>
    </row>
    <row r="3873">
      <c r="B3873" s="292"/>
      <c r="C3873" s="181"/>
      <c r="D3873" s="181"/>
      <c r="E3873" s="181"/>
      <c r="F3873" s="181"/>
      <c r="G3873" s="181"/>
      <c r="H3873" s="181"/>
      <c r="I3873" s="181"/>
      <c r="J3873" s="181"/>
      <c r="K3873" s="181"/>
      <c r="L3873" s="181"/>
      <c r="M3873" s="181"/>
      <c r="N3873" s="181"/>
      <c r="O3873" s="181"/>
      <c r="P3873" s="181"/>
    </row>
    <row r="3874">
      <c r="B3874" s="292"/>
      <c r="C3874" s="181"/>
      <c r="D3874" s="181"/>
      <c r="E3874" s="181"/>
      <c r="F3874" s="181"/>
      <c r="G3874" s="181"/>
      <c r="H3874" s="181"/>
      <c r="I3874" s="181"/>
      <c r="J3874" s="181"/>
      <c r="K3874" s="181"/>
      <c r="L3874" s="181"/>
      <c r="M3874" s="181"/>
      <c r="N3874" s="181"/>
      <c r="O3874" s="181"/>
      <c r="P3874" s="181"/>
    </row>
    <row r="3875">
      <c r="B3875" s="292"/>
      <c r="C3875" s="181"/>
      <c r="D3875" s="181"/>
      <c r="E3875" s="181"/>
      <c r="F3875" s="181"/>
      <c r="G3875" s="181"/>
      <c r="H3875" s="181"/>
      <c r="I3875" s="181"/>
      <c r="J3875" s="181"/>
      <c r="K3875" s="181"/>
      <c r="L3875" s="181"/>
      <c r="M3875" s="181"/>
      <c r="N3875" s="181"/>
      <c r="O3875" s="181"/>
      <c r="P3875" s="181"/>
    </row>
    <row r="3876">
      <c r="B3876" s="292"/>
      <c r="C3876" s="181"/>
      <c r="D3876" s="181"/>
      <c r="E3876" s="181"/>
      <c r="F3876" s="181"/>
      <c r="G3876" s="181"/>
      <c r="H3876" s="181"/>
      <c r="I3876" s="181"/>
      <c r="J3876" s="181"/>
      <c r="K3876" s="181"/>
      <c r="L3876" s="181"/>
      <c r="M3876" s="181"/>
      <c r="N3876" s="181"/>
      <c r="O3876" s="181"/>
      <c r="P3876" s="181"/>
    </row>
    <row r="3877">
      <c r="B3877" s="292"/>
      <c r="C3877" s="181"/>
      <c r="D3877" s="181"/>
      <c r="E3877" s="181"/>
      <c r="F3877" s="181"/>
      <c r="G3877" s="181"/>
      <c r="H3877" s="181"/>
      <c r="I3877" s="181"/>
      <c r="J3877" s="181"/>
      <c r="K3877" s="181"/>
      <c r="L3877" s="181"/>
      <c r="M3877" s="181"/>
      <c r="N3877" s="181"/>
      <c r="O3877" s="181"/>
      <c r="P3877" s="181"/>
    </row>
    <row r="3878">
      <c r="B3878" s="292"/>
      <c r="C3878" s="181"/>
      <c r="D3878" s="181"/>
      <c r="E3878" s="181"/>
      <c r="F3878" s="181"/>
      <c r="G3878" s="181"/>
      <c r="H3878" s="181"/>
      <c r="I3878" s="181"/>
      <c r="J3878" s="181"/>
      <c r="K3878" s="181"/>
      <c r="L3878" s="181"/>
      <c r="M3878" s="181"/>
      <c r="N3878" s="181"/>
      <c r="O3878" s="181"/>
      <c r="P3878" s="181"/>
    </row>
    <row r="3879">
      <c r="B3879" s="292"/>
      <c r="C3879" s="181"/>
      <c r="D3879" s="181"/>
      <c r="E3879" s="181"/>
      <c r="F3879" s="181"/>
      <c r="G3879" s="181"/>
      <c r="H3879" s="181"/>
      <c r="I3879" s="181"/>
      <c r="J3879" s="181"/>
      <c r="K3879" s="181"/>
      <c r="L3879" s="181"/>
      <c r="M3879" s="181"/>
      <c r="N3879" s="181"/>
      <c r="O3879" s="181"/>
      <c r="P3879" s="181"/>
    </row>
    <row r="3880">
      <c r="B3880" s="292"/>
      <c r="C3880" s="181"/>
      <c r="D3880" s="181"/>
      <c r="E3880" s="181"/>
      <c r="F3880" s="181"/>
      <c r="G3880" s="181"/>
      <c r="H3880" s="181"/>
      <c r="I3880" s="181"/>
      <c r="J3880" s="181"/>
      <c r="K3880" s="181"/>
      <c r="L3880" s="181"/>
      <c r="M3880" s="181"/>
      <c r="N3880" s="181"/>
      <c r="O3880" s="181"/>
      <c r="P3880" s="181"/>
    </row>
    <row r="3881">
      <c r="B3881" s="292"/>
      <c r="C3881" s="181"/>
      <c r="D3881" s="181"/>
      <c r="E3881" s="181"/>
      <c r="F3881" s="181"/>
      <c r="G3881" s="181"/>
      <c r="H3881" s="181"/>
      <c r="I3881" s="181"/>
      <c r="J3881" s="181"/>
      <c r="K3881" s="181"/>
      <c r="L3881" s="181"/>
      <c r="M3881" s="181"/>
      <c r="N3881" s="181"/>
      <c r="O3881" s="181"/>
      <c r="P3881" s="181"/>
    </row>
    <row r="3882">
      <c r="B3882" s="292"/>
      <c r="C3882" s="181"/>
      <c r="D3882" s="181"/>
      <c r="E3882" s="181"/>
      <c r="F3882" s="181"/>
      <c r="G3882" s="181"/>
      <c r="H3882" s="181"/>
      <c r="I3882" s="181"/>
      <c r="J3882" s="181"/>
      <c r="K3882" s="181"/>
      <c r="L3882" s="181"/>
      <c r="M3882" s="181"/>
      <c r="N3882" s="181"/>
      <c r="O3882" s="181"/>
      <c r="P3882" s="181"/>
    </row>
    <row r="3883">
      <c r="B3883" s="292"/>
      <c r="C3883" s="181"/>
      <c r="D3883" s="181"/>
      <c r="E3883" s="181"/>
      <c r="F3883" s="181"/>
      <c r="G3883" s="181"/>
      <c r="H3883" s="181"/>
      <c r="I3883" s="181"/>
      <c r="J3883" s="181"/>
      <c r="K3883" s="181"/>
      <c r="L3883" s="181"/>
      <c r="M3883" s="181"/>
      <c r="N3883" s="181"/>
      <c r="O3883" s="181"/>
      <c r="P3883" s="181"/>
    </row>
    <row r="3884">
      <c r="B3884" s="292"/>
      <c r="C3884" s="181"/>
      <c r="D3884" s="181"/>
      <c r="E3884" s="181"/>
      <c r="F3884" s="181"/>
      <c r="G3884" s="181"/>
      <c r="H3884" s="181"/>
      <c r="I3884" s="181"/>
      <c r="J3884" s="181"/>
      <c r="K3884" s="181"/>
      <c r="L3884" s="181"/>
      <c r="M3884" s="181"/>
      <c r="N3884" s="181"/>
      <c r="O3884" s="181"/>
      <c r="P3884" s="181"/>
    </row>
    <row r="3885">
      <c r="B3885" s="292"/>
      <c r="C3885" s="181"/>
      <c r="D3885" s="181"/>
      <c r="E3885" s="181"/>
      <c r="F3885" s="181"/>
      <c r="G3885" s="181"/>
      <c r="H3885" s="181"/>
      <c r="I3885" s="181"/>
      <c r="J3885" s="181"/>
      <c r="K3885" s="181"/>
      <c r="L3885" s="181"/>
      <c r="M3885" s="181"/>
      <c r="N3885" s="181"/>
      <c r="O3885" s="181"/>
      <c r="P3885" s="181"/>
    </row>
    <row r="3886">
      <c r="B3886" s="292"/>
      <c r="C3886" s="181"/>
      <c r="D3886" s="181"/>
      <c r="E3886" s="181"/>
      <c r="F3886" s="181"/>
      <c r="G3886" s="181"/>
      <c r="H3886" s="181"/>
      <c r="I3886" s="181"/>
      <c r="J3886" s="181"/>
      <c r="K3886" s="181"/>
      <c r="L3886" s="181"/>
      <c r="M3886" s="181"/>
      <c r="N3886" s="181"/>
      <c r="O3886" s="181"/>
      <c r="P3886" s="181"/>
    </row>
    <row r="3887">
      <c r="B3887" s="292"/>
      <c r="C3887" s="181"/>
      <c r="D3887" s="181"/>
      <c r="E3887" s="181"/>
      <c r="F3887" s="181"/>
      <c r="G3887" s="181"/>
      <c r="H3887" s="181"/>
      <c r="I3887" s="181"/>
      <c r="J3887" s="181"/>
      <c r="K3887" s="181"/>
      <c r="L3887" s="181"/>
      <c r="M3887" s="181"/>
      <c r="N3887" s="181"/>
      <c r="O3887" s="181"/>
      <c r="P3887" s="181"/>
    </row>
    <row r="3888">
      <c r="B3888" s="292"/>
      <c r="C3888" s="181"/>
      <c r="D3888" s="181"/>
      <c r="E3888" s="181"/>
      <c r="F3888" s="181"/>
      <c r="G3888" s="181"/>
      <c r="H3888" s="181"/>
      <c r="I3888" s="181"/>
      <c r="J3888" s="181"/>
      <c r="K3888" s="181"/>
      <c r="L3888" s="181"/>
      <c r="M3888" s="181"/>
      <c r="N3888" s="181"/>
      <c r="O3888" s="181"/>
      <c r="P3888" s="181"/>
    </row>
    <row r="3889">
      <c r="B3889" s="292"/>
      <c r="C3889" s="181"/>
      <c r="D3889" s="181"/>
      <c r="E3889" s="181"/>
      <c r="F3889" s="181"/>
      <c r="G3889" s="181"/>
      <c r="H3889" s="181"/>
      <c r="I3889" s="181"/>
      <c r="J3889" s="181"/>
      <c r="K3889" s="181"/>
      <c r="L3889" s="181"/>
      <c r="M3889" s="181"/>
      <c r="N3889" s="181"/>
      <c r="O3889" s="181"/>
      <c r="P3889" s="181"/>
    </row>
    <row r="3890">
      <c r="B3890" s="292"/>
      <c r="C3890" s="181"/>
      <c r="D3890" s="181"/>
      <c r="E3890" s="181"/>
      <c r="F3890" s="181"/>
      <c r="G3890" s="181"/>
      <c r="H3890" s="181"/>
      <c r="I3890" s="181"/>
      <c r="J3890" s="181"/>
      <c r="K3890" s="181"/>
      <c r="L3890" s="181"/>
      <c r="M3890" s="181"/>
      <c r="N3890" s="181"/>
      <c r="O3890" s="181"/>
      <c r="P3890" s="181"/>
    </row>
    <row r="3891">
      <c r="B3891" s="292"/>
      <c r="C3891" s="181"/>
      <c r="D3891" s="181"/>
      <c r="E3891" s="181"/>
      <c r="F3891" s="181"/>
      <c r="G3891" s="181"/>
      <c r="H3891" s="181"/>
      <c r="I3891" s="181"/>
      <c r="J3891" s="181"/>
      <c r="K3891" s="181"/>
      <c r="L3891" s="181"/>
      <c r="M3891" s="181"/>
      <c r="N3891" s="181"/>
      <c r="O3891" s="181"/>
      <c r="P3891" s="181"/>
    </row>
    <row r="3892">
      <c r="B3892" s="292"/>
      <c r="C3892" s="181"/>
      <c r="D3892" s="181"/>
      <c r="E3892" s="181"/>
      <c r="F3892" s="181"/>
      <c r="G3892" s="181"/>
      <c r="H3892" s="181"/>
      <c r="I3892" s="181"/>
      <c r="J3892" s="181"/>
      <c r="K3892" s="181"/>
      <c r="L3892" s="181"/>
      <c r="M3892" s="181"/>
      <c r="N3892" s="181"/>
      <c r="O3892" s="181"/>
      <c r="P3892" s="181"/>
    </row>
    <row r="3893">
      <c r="B3893" s="292"/>
      <c r="C3893" s="181"/>
      <c r="D3893" s="181"/>
      <c r="E3893" s="181"/>
      <c r="F3893" s="181"/>
      <c r="G3893" s="181"/>
      <c r="H3893" s="181"/>
      <c r="I3893" s="181"/>
      <c r="J3893" s="181"/>
      <c r="K3893" s="181"/>
      <c r="L3893" s="181"/>
      <c r="M3893" s="181"/>
      <c r="N3893" s="181"/>
      <c r="O3893" s="181"/>
      <c r="P3893" s="181"/>
    </row>
    <row r="3894">
      <c r="B3894" s="292"/>
      <c r="C3894" s="181"/>
      <c r="D3894" s="181"/>
      <c r="E3894" s="181"/>
      <c r="F3894" s="181"/>
      <c r="G3894" s="181"/>
      <c r="H3894" s="181"/>
      <c r="I3894" s="181"/>
      <c r="J3894" s="181"/>
      <c r="K3894" s="181"/>
      <c r="L3894" s="181"/>
      <c r="M3894" s="181"/>
      <c r="N3894" s="181"/>
      <c r="O3894" s="181"/>
      <c r="P3894" s="181"/>
    </row>
    <row r="3895">
      <c r="B3895" s="292"/>
      <c r="C3895" s="181"/>
      <c r="D3895" s="181"/>
      <c r="E3895" s="181"/>
      <c r="F3895" s="181"/>
      <c r="G3895" s="181"/>
      <c r="H3895" s="181"/>
      <c r="I3895" s="181"/>
      <c r="J3895" s="181"/>
      <c r="K3895" s="181"/>
      <c r="L3895" s="181"/>
      <c r="M3895" s="181"/>
      <c r="N3895" s="181"/>
      <c r="O3895" s="181"/>
      <c r="P3895" s="181"/>
    </row>
    <row r="3896">
      <c r="B3896" s="292"/>
      <c r="C3896" s="181"/>
      <c r="D3896" s="181"/>
      <c r="E3896" s="181"/>
      <c r="F3896" s="181"/>
      <c r="G3896" s="181"/>
      <c r="H3896" s="181"/>
      <c r="I3896" s="181"/>
      <c r="J3896" s="181"/>
      <c r="K3896" s="181"/>
      <c r="L3896" s="181"/>
      <c r="M3896" s="181"/>
      <c r="N3896" s="181"/>
      <c r="O3896" s="181"/>
      <c r="P3896" s="181"/>
    </row>
    <row r="3897">
      <c r="B3897" s="292"/>
      <c r="C3897" s="181"/>
      <c r="D3897" s="181"/>
      <c r="E3897" s="181"/>
      <c r="F3897" s="181"/>
      <c r="G3897" s="181"/>
      <c r="H3897" s="181"/>
      <c r="I3897" s="181"/>
      <c r="J3897" s="181"/>
      <c r="K3897" s="181"/>
      <c r="L3897" s="181"/>
      <c r="M3897" s="181"/>
      <c r="N3897" s="181"/>
      <c r="O3897" s="181"/>
      <c r="P3897" s="181"/>
    </row>
    <row r="3898">
      <c r="B3898" s="292"/>
      <c r="C3898" s="181"/>
      <c r="D3898" s="181"/>
      <c r="E3898" s="181"/>
      <c r="F3898" s="181"/>
      <c r="G3898" s="181"/>
      <c r="H3898" s="181"/>
      <c r="I3898" s="181"/>
      <c r="J3898" s="181"/>
      <c r="K3898" s="181"/>
      <c r="L3898" s="181"/>
      <c r="M3898" s="181"/>
      <c r="N3898" s="181"/>
      <c r="O3898" s="181"/>
      <c r="P3898" s="181"/>
    </row>
    <row r="3899">
      <c r="B3899" s="292"/>
      <c r="C3899" s="181"/>
      <c r="D3899" s="181"/>
      <c r="E3899" s="181"/>
      <c r="F3899" s="181"/>
      <c r="G3899" s="181"/>
      <c r="H3899" s="181"/>
      <c r="I3899" s="181"/>
      <c r="J3899" s="181"/>
      <c r="K3899" s="181"/>
      <c r="L3899" s="181"/>
      <c r="M3899" s="181"/>
      <c r="N3899" s="181"/>
      <c r="O3899" s="181"/>
      <c r="P3899" s="181"/>
    </row>
    <row r="3900">
      <c r="B3900" s="292"/>
      <c r="C3900" s="181"/>
      <c r="D3900" s="181"/>
      <c r="E3900" s="181"/>
      <c r="F3900" s="181"/>
      <c r="G3900" s="181"/>
      <c r="H3900" s="181"/>
      <c r="I3900" s="181"/>
      <c r="J3900" s="181"/>
      <c r="K3900" s="181"/>
      <c r="L3900" s="181"/>
      <c r="M3900" s="181"/>
      <c r="N3900" s="181"/>
      <c r="O3900" s="181"/>
      <c r="P3900" s="181"/>
    </row>
    <row r="3901">
      <c r="B3901" s="292"/>
      <c r="C3901" s="181"/>
      <c r="D3901" s="181"/>
      <c r="E3901" s="181"/>
      <c r="F3901" s="181"/>
      <c r="G3901" s="181"/>
      <c r="H3901" s="181"/>
      <c r="I3901" s="181"/>
      <c r="J3901" s="181"/>
      <c r="K3901" s="181"/>
      <c r="L3901" s="181"/>
      <c r="M3901" s="181"/>
      <c r="N3901" s="181"/>
      <c r="O3901" s="181"/>
      <c r="P3901" s="181"/>
    </row>
    <row r="3902">
      <c r="B3902" s="292"/>
      <c r="C3902" s="181"/>
      <c r="D3902" s="181"/>
      <c r="E3902" s="181"/>
      <c r="F3902" s="181"/>
      <c r="G3902" s="181"/>
      <c r="H3902" s="181"/>
      <c r="I3902" s="181"/>
      <c r="J3902" s="181"/>
      <c r="K3902" s="181"/>
      <c r="L3902" s="181"/>
      <c r="M3902" s="181"/>
      <c r="N3902" s="181"/>
      <c r="O3902" s="181"/>
      <c r="P3902" s="181"/>
    </row>
    <row r="3903">
      <c r="B3903" s="292"/>
      <c r="C3903" s="181"/>
      <c r="D3903" s="181"/>
      <c r="E3903" s="181"/>
      <c r="F3903" s="181"/>
      <c r="G3903" s="181"/>
      <c r="H3903" s="181"/>
      <c r="I3903" s="181"/>
      <c r="J3903" s="181"/>
      <c r="K3903" s="181"/>
      <c r="L3903" s="181"/>
      <c r="M3903" s="181"/>
      <c r="N3903" s="181"/>
      <c r="O3903" s="181"/>
      <c r="P3903" s="181"/>
    </row>
    <row r="3904">
      <c r="B3904" s="292"/>
      <c r="C3904" s="181"/>
      <c r="D3904" s="181"/>
      <c r="E3904" s="181"/>
      <c r="F3904" s="181"/>
      <c r="G3904" s="181"/>
      <c r="H3904" s="181"/>
      <c r="I3904" s="181"/>
      <c r="J3904" s="181"/>
      <c r="K3904" s="181"/>
      <c r="L3904" s="181"/>
      <c r="M3904" s="181"/>
      <c r="N3904" s="181"/>
      <c r="O3904" s="181"/>
      <c r="P3904" s="181"/>
    </row>
    <row r="3905">
      <c r="B3905" s="292"/>
      <c r="C3905" s="181"/>
      <c r="D3905" s="181"/>
      <c r="E3905" s="181"/>
      <c r="F3905" s="181"/>
      <c r="G3905" s="181"/>
      <c r="H3905" s="181"/>
      <c r="I3905" s="181"/>
      <c r="J3905" s="181"/>
      <c r="K3905" s="181"/>
      <c r="L3905" s="181"/>
      <c r="M3905" s="181"/>
      <c r="N3905" s="181"/>
      <c r="O3905" s="181"/>
      <c r="P3905" s="181"/>
    </row>
    <row r="3906">
      <c r="B3906" s="292"/>
      <c r="C3906" s="181"/>
      <c r="D3906" s="181"/>
      <c r="E3906" s="181"/>
      <c r="F3906" s="181"/>
      <c r="G3906" s="181"/>
      <c r="H3906" s="181"/>
      <c r="I3906" s="181"/>
      <c r="J3906" s="181"/>
      <c r="K3906" s="181"/>
      <c r="L3906" s="181"/>
      <c r="M3906" s="181"/>
      <c r="N3906" s="181"/>
      <c r="O3906" s="181"/>
      <c r="P3906" s="181"/>
    </row>
    <row r="3907">
      <c r="B3907" s="292"/>
      <c r="C3907" s="181"/>
      <c r="D3907" s="181"/>
      <c r="E3907" s="181"/>
      <c r="F3907" s="181"/>
      <c r="G3907" s="181"/>
      <c r="H3907" s="181"/>
      <c r="I3907" s="181"/>
      <c r="J3907" s="181"/>
      <c r="K3907" s="181"/>
      <c r="L3907" s="181"/>
      <c r="M3907" s="181"/>
      <c r="N3907" s="181"/>
      <c r="O3907" s="181"/>
      <c r="P3907" s="181"/>
    </row>
    <row r="3908">
      <c r="B3908" s="292"/>
      <c r="C3908" s="181"/>
      <c r="D3908" s="181"/>
      <c r="E3908" s="181"/>
      <c r="F3908" s="181"/>
      <c r="G3908" s="181"/>
      <c r="H3908" s="181"/>
      <c r="I3908" s="181"/>
      <c r="J3908" s="181"/>
      <c r="K3908" s="181"/>
      <c r="L3908" s="181"/>
      <c r="M3908" s="181"/>
      <c r="N3908" s="181"/>
      <c r="O3908" s="181"/>
      <c r="P3908" s="181"/>
    </row>
    <row r="3909">
      <c r="B3909" s="292"/>
      <c r="C3909" s="181"/>
      <c r="D3909" s="181"/>
      <c r="E3909" s="181"/>
      <c r="F3909" s="181"/>
      <c r="G3909" s="181"/>
      <c r="H3909" s="181"/>
      <c r="I3909" s="181"/>
      <c r="J3909" s="181"/>
      <c r="K3909" s="181"/>
      <c r="L3909" s="181"/>
      <c r="M3909" s="181"/>
      <c r="N3909" s="181"/>
      <c r="O3909" s="181"/>
      <c r="P3909" s="181"/>
    </row>
    <row r="3910">
      <c r="B3910" s="292"/>
      <c r="C3910" s="181"/>
      <c r="D3910" s="181"/>
      <c r="E3910" s="181"/>
      <c r="F3910" s="181"/>
      <c r="G3910" s="181"/>
      <c r="H3910" s="181"/>
      <c r="I3910" s="181"/>
      <c r="J3910" s="181"/>
      <c r="K3910" s="181"/>
      <c r="L3910" s="181"/>
      <c r="M3910" s="181"/>
      <c r="N3910" s="181"/>
      <c r="O3910" s="181"/>
      <c r="P3910" s="181"/>
    </row>
    <row r="3911">
      <c r="B3911" s="292"/>
      <c r="C3911" s="181"/>
      <c r="D3911" s="181"/>
      <c r="E3911" s="181"/>
      <c r="F3911" s="181"/>
      <c r="G3911" s="181"/>
      <c r="H3911" s="181"/>
      <c r="I3911" s="181"/>
      <c r="J3911" s="181"/>
      <c r="K3911" s="181"/>
      <c r="L3911" s="181"/>
      <c r="M3911" s="181"/>
      <c r="N3911" s="181"/>
      <c r="O3911" s="181"/>
      <c r="P3911" s="181"/>
    </row>
    <row r="3912">
      <c r="B3912" s="292"/>
      <c r="C3912" s="181"/>
      <c r="D3912" s="181"/>
      <c r="E3912" s="181"/>
      <c r="F3912" s="181"/>
      <c r="G3912" s="181"/>
      <c r="H3912" s="181"/>
      <c r="I3912" s="181"/>
      <c r="J3912" s="181"/>
      <c r="K3912" s="181"/>
      <c r="L3912" s="181"/>
      <c r="M3912" s="181"/>
      <c r="N3912" s="181"/>
      <c r="O3912" s="181"/>
      <c r="P3912" s="181"/>
    </row>
    <row r="3913">
      <c r="B3913" s="292"/>
      <c r="C3913" s="181"/>
      <c r="D3913" s="181"/>
      <c r="E3913" s="181"/>
      <c r="F3913" s="181"/>
      <c r="G3913" s="181"/>
      <c r="H3913" s="181"/>
      <c r="I3913" s="181"/>
      <c r="J3913" s="181"/>
      <c r="K3913" s="181"/>
      <c r="L3913" s="181"/>
      <c r="M3913" s="181"/>
      <c r="N3913" s="181"/>
      <c r="O3913" s="181"/>
      <c r="P3913" s="181"/>
    </row>
    <row r="3914">
      <c r="B3914" s="292"/>
      <c r="C3914" s="181"/>
      <c r="D3914" s="181"/>
      <c r="E3914" s="181"/>
      <c r="F3914" s="181"/>
      <c r="G3914" s="181"/>
      <c r="H3914" s="181"/>
      <c r="I3914" s="181"/>
      <c r="J3914" s="181"/>
      <c r="K3914" s="181"/>
      <c r="L3914" s="181"/>
      <c r="M3914" s="181"/>
      <c r="N3914" s="181"/>
      <c r="O3914" s="181"/>
      <c r="P3914" s="181"/>
    </row>
    <row r="3915">
      <c r="B3915" s="292"/>
      <c r="C3915" s="181"/>
      <c r="D3915" s="181"/>
      <c r="E3915" s="181"/>
      <c r="F3915" s="181"/>
      <c r="G3915" s="181"/>
      <c r="H3915" s="181"/>
      <c r="I3915" s="181"/>
      <c r="J3915" s="181"/>
      <c r="K3915" s="181"/>
      <c r="L3915" s="181"/>
      <c r="M3915" s="181"/>
      <c r="N3915" s="181"/>
      <c r="O3915" s="181"/>
      <c r="P3915" s="181"/>
    </row>
    <row r="3916">
      <c r="B3916" s="292"/>
      <c r="C3916" s="181"/>
      <c r="D3916" s="181"/>
      <c r="E3916" s="181"/>
      <c r="F3916" s="181"/>
      <c r="G3916" s="181"/>
      <c r="H3916" s="181"/>
      <c r="I3916" s="181"/>
      <c r="J3916" s="181"/>
      <c r="K3916" s="181"/>
      <c r="L3916" s="181"/>
      <c r="M3916" s="181"/>
      <c r="N3916" s="181"/>
      <c r="O3916" s="181"/>
      <c r="P3916" s="181"/>
    </row>
    <row r="3917">
      <c r="B3917" s="292"/>
      <c r="C3917" s="181"/>
      <c r="D3917" s="181"/>
      <c r="E3917" s="181"/>
      <c r="F3917" s="181"/>
      <c r="G3917" s="181"/>
      <c r="H3917" s="181"/>
      <c r="I3917" s="181"/>
      <c r="J3917" s="181"/>
      <c r="K3917" s="181"/>
      <c r="L3917" s="181"/>
      <c r="M3917" s="181"/>
      <c r="N3917" s="181"/>
      <c r="O3917" s="181"/>
      <c r="P3917" s="181"/>
    </row>
    <row r="3918">
      <c r="B3918" s="292"/>
      <c r="C3918" s="181"/>
      <c r="D3918" s="181"/>
      <c r="E3918" s="181"/>
      <c r="F3918" s="181"/>
      <c r="G3918" s="181"/>
      <c r="H3918" s="181"/>
      <c r="I3918" s="181"/>
      <c r="J3918" s="181"/>
      <c r="K3918" s="181"/>
      <c r="L3918" s="181"/>
      <c r="M3918" s="181"/>
      <c r="N3918" s="181"/>
      <c r="O3918" s="181"/>
      <c r="P3918" s="181"/>
    </row>
    <row r="3919">
      <c r="B3919" s="292"/>
      <c r="C3919" s="181"/>
      <c r="D3919" s="181"/>
      <c r="E3919" s="181"/>
      <c r="F3919" s="181"/>
      <c r="G3919" s="181"/>
      <c r="H3919" s="181"/>
      <c r="I3919" s="181"/>
      <c r="J3919" s="181"/>
      <c r="K3919" s="181"/>
      <c r="L3919" s="181"/>
      <c r="M3919" s="181"/>
      <c r="N3919" s="181"/>
      <c r="O3919" s="181"/>
      <c r="P3919" s="181"/>
    </row>
    <row r="3920">
      <c r="B3920" s="292"/>
      <c r="C3920" s="181"/>
      <c r="D3920" s="181"/>
      <c r="E3920" s="181"/>
      <c r="F3920" s="181"/>
      <c r="G3920" s="181"/>
      <c r="H3920" s="181"/>
      <c r="I3920" s="181"/>
      <c r="J3920" s="181"/>
      <c r="K3920" s="181"/>
      <c r="L3920" s="181"/>
      <c r="M3920" s="181"/>
      <c r="N3920" s="181"/>
      <c r="O3920" s="181"/>
      <c r="P3920" s="181"/>
    </row>
    <row r="3921">
      <c r="B3921" s="292"/>
      <c r="C3921" s="181"/>
      <c r="D3921" s="181"/>
      <c r="E3921" s="181"/>
      <c r="F3921" s="181"/>
      <c r="G3921" s="181"/>
      <c r="H3921" s="181"/>
      <c r="I3921" s="181"/>
      <c r="J3921" s="181"/>
      <c r="K3921" s="181"/>
      <c r="L3921" s="181"/>
      <c r="M3921" s="181"/>
      <c r="N3921" s="181"/>
      <c r="O3921" s="181"/>
      <c r="P3921" s="181"/>
    </row>
    <row r="3922">
      <c r="B3922" s="292"/>
      <c r="C3922" s="181"/>
      <c r="D3922" s="181"/>
      <c r="E3922" s="181"/>
      <c r="F3922" s="181"/>
      <c r="G3922" s="181"/>
      <c r="H3922" s="181"/>
      <c r="I3922" s="181"/>
      <c r="J3922" s="181"/>
      <c r="K3922" s="181"/>
      <c r="L3922" s="181"/>
      <c r="M3922" s="181"/>
      <c r="N3922" s="181"/>
      <c r="O3922" s="181"/>
      <c r="P3922" s="181"/>
    </row>
    <row r="3923">
      <c r="B3923" s="292"/>
      <c r="C3923" s="181"/>
      <c r="D3923" s="181"/>
      <c r="E3923" s="181"/>
      <c r="F3923" s="181"/>
      <c r="G3923" s="181"/>
      <c r="H3923" s="181"/>
      <c r="I3923" s="181"/>
      <c r="J3923" s="181"/>
      <c r="K3923" s="181"/>
      <c r="L3923" s="181"/>
      <c r="M3923" s="181"/>
      <c r="N3923" s="181"/>
      <c r="O3923" s="181"/>
      <c r="P3923" s="181"/>
    </row>
    <row r="3924">
      <c r="B3924" s="292"/>
      <c r="C3924" s="181"/>
      <c r="D3924" s="181"/>
      <c r="E3924" s="181"/>
      <c r="F3924" s="181"/>
      <c r="G3924" s="181"/>
      <c r="H3924" s="181"/>
      <c r="I3924" s="181"/>
      <c r="J3924" s="181"/>
      <c r="K3924" s="181"/>
      <c r="L3924" s="181"/>
      <c r="M3924" s="181"/>
      <c r="N3924" s="181"/>
      <c r="O3924" s="181"/>
      <c r="P3924" s="181"/>
    </row>
    <row r="3925">
      <c r="B3925" s="292"/>
      <c r="C3925" s="181"/>
      <c r="D3925" s="181"/>
      <c r="E3925" s="181"/>
      <c r="F3925" s="181"/>
      <c r="G3925" s="181"/>
      <c r="H3925" s="181"/>
      <c r="I3925" s="181"/>
      <c r="J3925" s="181"/>
      <c r="K3925" s="181"/>
      <c r="L3925" s="181"/>
      <c r="M3925" s="181"/>
      <c r="N3925" s="181"/>
      <c r="O3925" s="181"/>
      <c r="P3925" s="181"/>
    </row>
    <row r="3926">
      <c r="B3926" s="292"/>
      <c r="C3926" s="181"/>
      <c r="D3926" s="181"/>
      <c r="E3926" s="181"/>
      <c r="F3926" s="181"/>
      <c r="G3926" s="181"/>
      <c r="H3926" s="181"/>
      <c r="I3926" s="181"/>
      <c r="J3926" s="181"/>
      <c r="K3926" s="181"/>
      <c r="L3926" s="181"/>
      <c r="M3926" s="181"/>
      <c r="N3926" s="181"/>
      <c r="O3926" s="181"/>
      <c r="P3926" s="181"/>
    </row>
    <row r="3927">
      <c r="B3927" s="292"/>
      <c r="C3927" s="181"/>
      <c r="D3927" s="181"/>
      <c r="E3927" s="181"/>
      <c r="F3927" s="181"/>
      <c r="G3927" s="181"/>
      <c r="H3927" s="181"/>
      <c r="I3927" s="181"/>
      <c r="J3927" s="181"/>
      <c r="K3927" s="181"/>
      <c r="L3927" s="181"/>
      <c r="M3927" s="181"/>
      <c r="N3927" s="181"/>
      <c r="O3927" s="181"/>
      <c r="P3927" s="181"/>
    </row>
    <row r="3928">
      <c r="B3928" s="292"/>
      <c r="C3928" s="181"/>
      <c r="D3928" s="181"/>
      <c r="E3928" s="181"/>
      <c r="F3928" s="181"/>
      <c r="G3928" s="181"/>
      <c r="H3928" s="181"/>
      <c r="I3928" s="181"/>
      <c r="J3928" s="181"/>
      <c r="K3928" s="181"/>
      <c r="L3928" s="181"/>
      <c r="M3928" s="181"/>
      <c r="N3928" s="181"/>
      <c r="O3928" s="181"/>
      <c r="P3928" s="181"/>
    </row>
    <row r="3929">
      <c r="B3929" s="292"/>
      <c r="C3929" s="181"/>
      <c r="D3929" s="181"/>
      <c r="E3929" s="181"/>
      <c r="F3929" s="181"/>
      <c r="G3929" s="181"/>
      <c r="H3929" s="181"/>
      <c r="I3929" s="181"/>
      <c r="J3929" s="181"/>
      <c r="K3929" s="181"/>
      <c r="L3929" s="181"/>
      <c r="M3929" s="181"/>
      <c r="N3929" s="181"/>
      <c r="O3929" s="181"/>
      <c r="P3929" s="181"/>
    </row>
    <row r="3930">
      <c r="B3930" s="292"/>
      <c r="C3930" s="181"/>
      <c r="D3930" s="181"/>
      <c r="E3930" s="181"/>
      <c r="F3930" s="181"/>
      <c r="G3930" s="181"/>
      <c r="H3930" s="181"/>
      <c r="I3930" s="181"/>
      <c r="J3930" s="181"/>
      <c r="K3930" s="181"/>
      <c r="L3930" s="181"/>
      <c r="M3930" s="181"/>
      <c r="N3930" s="181"/>
      <c r="O3930" s="181"/>
      <c r="P3930" s="181"/>
    </row>
    <row r="3931">
      <c r="B3931" s="292"/>
      <c r="C3931" s="181"/>
      <c r="D3931" s="181"/>
      <c r="E3931" s="181"/>
      <c r="F3931" s="181"/>
      <c r="G3931" s="181"/>
      <c r="H3931" s="181"/>
      <c r="I3931" s="181"/>
      <c r="J3931" s="181"/>
      <c r="K3931" s="181"/>
      <c r="L3931" s="181"/>
      <c r="M3931" s="181"/>
      <c r="N3931" s="181"/>
      <c r="O3931" s="181"/>
      <c r="P3931" s="181"/>
    </row>
    <row r="3932">
      <c r="B3932" s="292"/>
      <c r="C3932" s="181"/>
      <c r="D3932" s="181"/>
      <c r="E3932" s="181"/>
      <c r="F3932" s="181"/>
      <c r="G3932" s="181"/>
      <c r="H3932" s="181"/>
      <c r="I3932" s="181"/>
      <c r="J3932" s="181"/>
      <c r="K3932" s="181"/>
      <c r="L3932" s="181"/>
      <c r="M3932" s="181"/>
      <c r="N3932" s="181"/>
      <c r="O3932" s="181"/>
      <c r="P3932" s="181"/>
    </row>
    <row r="3933">
      <c r="B3933" s="292"/>
      <c r="C3933" s="181"/>
      <c r="D3933" s="181"/>
      <c r="E3933" s="181"/>
      <c r="F3933" s="181"/>
      <c r="G3933" s="181"/>
      <c r="H3933" s="181"/>
      <c r="I3933" s="181"/>
      <c r="J3933" s="181"/>
      <c r="K3933" s="181"/>
      <c r="L3933" s="181"/>
      <c r="M3933" s="181"/>
      <c r="N3933" s="181"/>
      <c r="O3933" s="181"/>
      <c r="P3933" s="181"/>
    </row>
    <row r="3934">
      <c r="B3934" s="292"/>
      <c r="C3934" s="181"/>
      <c r="D3934" s="181"/>
      <c r="E3934" s="181"/>
      <c r="F3934" s="181"/>
      <c r="G3934" s="181"/>
      <c r="H3934" s="181"/>
      <c r="I3934" s="181"/>
      <c r="J3934" s="181"/>
      <c r="K3934" s="181"/>
      <c r="L3934" s="181"/>
      <c r="M3934" s="181"/>
      <c r="N3934" s="181"/>
      <c r="O3934" s="181"/>
      <c r="P3934" s="181"/>
    </row>
    <row r="3935">
      <c r="B3935" s="292"/>
      <c r="C3935" s="181"/>
      <c r="D3935" s="181"/>
      <c r="E3935" s="181"/>
      <c r="F3935" s="181"/>
      <c r="G3935" s="181"/>
      <c r="H3935" s="181"/>
      <c r="I3935" s="181"/>
      <c r="J3935" s="181"/>
      <c r="K3935" s="181"/>
      <c r="L3935" s="181"/>
      <c r="M3935" s="181"/>
      <c r="N3935" s="181"/>
      <c r="O3935" s="181"/>
      <c r="P3935" s="181"/>
    </row>
    <row r="3936">
      <c r="B3936" s="292"/>
      <c r="C3936" s="181"/>
      <c r="D3936" s="181"/>
      <c r="E3936" s="181"/>
      <c r="F3936" s="181"/>
      <c r="G3936" s="181"/>
      <c r="H3936" s="181"/>
      <c r="I3936" s="181"/>
      <c r="J3936" s="181"/>
      <c r="K3936" s="181"/>
      <c r="L3936" s="181"/>
      <c r="M3936" s="181"/>
      <c r="N3936" s="181"/>
      <c r="O3936" s="181"/>
      <c r="P3936" s="181"/>
    </row>
    <row r="3937">
      <c r="B3937" s="292"/>
      <c r="C3937" s="181"/>
      <c r="D3937" s="181"/>
      <c r="E3937" s="181"/>
      <c r="F3937" s="181"/>
      <c r="G3937" s="181"/>
      <c r="H3937" s="181"/>
      <c r="I3937" s="181"/>
      <c r="J3937" s="181"/>
      <c r="K3937" s="181"/>
      <c r="L3937" s="181"/>
      <c r="M3937" s="181"/>
      <c r="N3937" s="181"/>
      <c r="O3937" s="181"/>
      <c r="P3937" s="181"/>
    </row>
    <row r="3938">
      <c r="B3938" s="292"/>
      <c r="C3938" s="181"/>
      <c r="D3938" s="181"/>
      <c r="E3938" s="181"/>
      <c r="F3938" s="181"/>
      <c r="G3938" s="181"/>
      <c r="H3938" s="181"/>
      <c r="I3938" s="181"/>
      <c r="J3938" s="181"/>
      <c r="K3938" s="181"/>
      <c r="L3938" s="181"/>
      <c r="M3938" s="181"/>
      <c r="N3938" s="181"/>
      <c r="O3938" s="181"/>
      <c r="P3938" s="181"/>
    </row>
    <row r="3939">
      <c r="B3939" s="292"/>
      <c r="C3939" s="181"/>
      <c r="D3939" s="181"/>
      <c r="E3939" s="181"/>
      <c r="F3939" s="181"/>
      <c r="G3939" s="181"/>
      <c r="H3939" s="181"/>
      <c r="I3939" s="181"/>
      <c r="J3939" s="181"/>
      <c r="K3939" s="181"/>
      <c r="L3939" s="181"/>
      <c r="M3939" s="181"/>
      <c r="N3939" s="181"/>
      <c r="O3939" s="181"/>
      <c r="P3939" s="181"/>
    </row>
    <row r="3940">
      <c r="B3940" s="292"/>
      <c r="C3940" s="181"/>
      <c r="D3940" s="181"/>
      <c r="E3940" s="181"/>
      <c r="F3940" s="181"/>
      <c r="G3940" s="181"/>
      <c r="H3940" s="181"/>
      <c r="I3940" s="181"/>
      <c r="J3940" s="181"/>
      <c r="K3940" s="181"/>
      <c r="L3940" s="181"/>
      <c r="M3940" s="181"/>
      <c r="N3940" s="181"/>
      <c r="O3940" s="181"/>
      <c r="P3940" s="181"/>
    </row>
    <row r="3941">
      <c r="B3941" s="292"/>
      <c r="C3941" s="181"/>
      <c r="D3941" s="181"/>
      <c r="E3941" s="181"/>
      <c r="F3941" s="181"/>
      <c r="G3941" s="181"/>
      <c r="H3941" s="181"/>
      <c r="I3941" s="181"/>
      <c r="J3941" s="181"/>
      <c r="K3941" s="181"/>
      <c r="L3941" s="181"/>
      <c r="M3941" s="181"/>
      <c r="N3941" s="181"/>
      <c r="O3941" s="181"/>
      <c r="P3941" s="181"/>
    </row>
    <row r="3942">
      <c r="B3942" s="292"/>
      <c r="C3942" s="181"/>
      <c r="D3942" s="181"/>
      <c r="E3942" s="181"/>
      <c r="F3942" s="181"/>
      <c r="G3942" s="181"/>
      <c r="H3942" s="181"/>
      <c r="I3942" s="181"/>
      <c r="J3942" s="181"/>
      <c r="K3942" s="181"/>
      <c r="L3942" s="181"/>
      <c r="M3942" s="181"/>
      <c r="N3942" s="181"/>
      <c r="O3942" s="181"/>
      <c r="P3942" s="181"/>
    </row>
    <row r="3943">
      <c r="B3943" s="292"/>
      <c r="C3943" s="181"/>
      <c r="D3943" s="181"/>
      <c r="E3943" s="181"/>
      <c r="F3943" s="181"/>
      <c r="G3943" s="181"/>
      <c r="H3943" s="181"/>
      <c r="I3943" s="181"/>
      <c r="J3943" s="181"/>
      <c r="K3943" s="181"/>
      <c r="L3943" s="181"/>
      <c r="M3943" s="181"/>
      <c r="N3943" s="181"/>
      <c r="O3943" s="181"/>
      <c r="P3943" s="181"/>
    </row>
    <row r="3944">
      <c r="B3944" s="292"/>
      <c r="C3944" s="181"/>
      <c r="D3944" s="181"/>
      <c r="E3944" s="181"/>
      <c r="F3944" s="181"/>
      <c r="G3944" s="181"/>
      <c r="H3944" s="181"/>
      <c r="I3944" s="181"/>
      <c r="J3944" s="181"/>
      <c r="K3944" s="181"/>
      <c r="L3944" s="181"/>
      <c r="M3944" s="181"/>
      <c r="N3944" s="181"/>
      <c r="O3944" s="181"/>
      <c r="P3944" s="181"/>
    </row>
    <row r="3945">
      <c r="B3945" s="292"/>
      <c r="C3945" s="181"/>
      <c r="D3945" s="181"/>
      <c r="E3945" s="181"/>
      <c r="F3945" s="181"/>
      <c r="G3945" s="181"/>
      <c r="H3945" s="181"/>
      <c r="I3945" s="181"/>
      <c r="J3945" s="181"/>
      <c r="K3945" s="181"/>
      <c r="L3945" s="181"/>
      <c r="M3945" s="181"/>
      <c r="N3945" s="181"/>
      <c r="O3945" s="181"/>
      <c r="P3945" s="181"/>
    </row>
    <row r="3946">
      <c r="B3946" s="292"/>
      <c r="C3946" s="181"/>
      <c r="D3946" s="181"/>
      <c r="E3946" s="181"/>
      <c r="F3946" s="181"/>
      <c r="G3946" s="181"/>
      <c r="H3946" s="181"/>
      <c r="I3946" s="181"/>
      <c r="J3946" s="181"/>
      <c r="K3946" s="181"/>
      <c r="L3946" s="181"/>
      <c r="M3946" s="181"/>
      <c r="N3946" s="181"/>
      <c r="O3946" s="181"/>
      <c r="P3946" s="181"/>
    </row>
    <row r="3947">
      <c r="B3947" s="292"/>
      <c r="C3947" s="181"/>
      <c r="D3947" s="181"/>
      <c r="E3947" s="181"/>
      <c r="F3947" s="181"/>
      <c r="G3947" s="181"/>
      <c r="H3947" s="181"/>
      <c r="I3947" s="181"/>
      <c r="J3947" s="181"/>
      <c r="K3947" s="181"/>
      <c r="L3947" s="181"/>
      <c r="M3947" s="181"/>
      <c r="N3947" s="181"/>
      <c r="O3947" s="181"/>
      <c r="P3947" s="181"/>
    </row>
    <row r="3948">
      <c r="B3948" s="292"/>
      <c r="C3948" s="181"/>
      <c r="D3948" s="181"/>
      <c r="E3948" s="181"/>
      <c r="F3948" s="181"/>
      <c r="G3948" s="181"/>
      <c r="H3948" s="181"/>
      <c r="I3948" s="181"/>
      <c r="J3948" s="181"/>
      <c r="K3948" s="181"/>
      <c r="L3948" s="181"/>
      <c r="M3948" s="181"/>
      <c r="N3948" s="181"/>
      <c r="O3948" s="181"/>
      <c r="P3948" s="181"/>
    </row>
    <row r="3949">
      <c r="B3949" s="292"/>
      <c r="C3949" s="181"/>
      <c r="D3949" s="181"/>
      <c r="E3949" s="181"/>
      <c r="F3949" s="181"/>
      <c r="G3949" s="181"/>
      <c r="H3949" s="181"/>
      <c r="I3949" s="181"/>
      <c r="J3949" s="181"/>
      <c r="K3949" s="181"/>
      <c r="L3949" s="181"/>
      <c r="M3949" s="181"/>
      <c r="N3949" s="181"/>
      <c r="O3949" s="181"/>
      <c r="P3949" s="181"/>
    </row>
    <row r="3950">
      <c r="B3950" s="292"/>
      <c r="C3950" s="181"/>
      <c r="D3950" s="181"/>
      <c r="E3950" s="181"/>
      <c r="F3950" s="181"/>
      <c r="G3950" s="181"/>
      <c r="H3950" s="181"/>
      <c r="I3950" s="181"/>
      <c r="J3950" s="181"/>
      <c r="K3950" s="181"/>
      <c r="L3950" s="181"/>
      <c r="M3950" s="181"/>
      <c r="N3950" s="181"/>
      <c r="O3950" s="181"/>
      <c r="P3950" s="181"/>
    </row>
    <row r="3951">
      <c r="B3951" s="292"/>
      <c r="C3951" s="181"/>
      <c r="D3951" s="181"/>
      <c r="E3951" s="181"/>
      <c r="F3951" s="181"/>
      <c r="G3951" s="181"/>
      <c r="H3951" s="181"/>
      <c r="I3951" s="181"/>
      <c r="J3951" s="181"/>
      <c r="K3951" s="181"/>
      <c r="L3951" s="181"/>
      <c r="M3951" s="181"/>
      <c r="N3951" s="181"/>
      <c r="O3951" s="181"/>
      <c r="P3951" s="181"/>
    </row>
    <row r="3952">
      <c r="B3952" s="292"/>
      <c r="C3952" s="181"/>
      <c r="D3952" s="181"/>
      <c r="E3952" s="181"/>
      <c r="F3952" s="181"/>
      <c r="G3952" s="181"/>
      <c r="H3952" s="181"/>
      <c r="I3952" s="181"/>
      <c r="J3952" s="181"/>
      <c r="K3952" s="181"/>
      <c r="L3952" s="181"/>
      <c r="M3952" s="181"/>
      <c r="N3952" s="181"/>
      <c r="O3952" s="181"/>
      <c r="P3952" s="181"/>
    </row>
    <row r="3953">
      <c r="B3953" s="292"/>
      <c r="C3953" s="181"/>
      <c r="D3953" s="181"/>
      <c r="E3953" s="181"/>
      <c r="F3953" s="181"/>
      <c r="G3953" s="181"/>
      <c r="H3953" s="181"/>
      <c r="I3953" s="181"/>
      <c r="J3953" s="181"/>
      <c r="K3953" s="181"/>
      <c r="L3953" s="181"/>
      <c r="M3953" s="181"/>
      <c r="N3953" s="181"/>
      <c r="O3953" s="181"/>
      <c r="P3953" s="181"/>
    </row>
    <row r="3954">
      <c r="B3954" s="292"/>
      <c r="C3954" s="181"/>
      <c r="D3954" s="181"/>
      <c r="E3954" s="181"/>
      <c r="F3954" s="181"/>
      <c r="G3954" s="181"/>
      <c r="H3954" s="181"/>
      <c r="I3954" s="181"/>
      <c r="J3954" s="181"/>
      <c r="K3954" s="181"/>
      <c r="L3954" s="181"/>
      <c r="M3954" s="181"/>
      <c r="N3954" s="181"/>
      <c r="O3954" s="181"/>
      <c r="P3954" s="181"/>
    </row>
    <row r="3955">
      <c r="B3955" s="292"/>
      <c r="C3955" s="181"/>
      <c r="D3955" s="181"/>
      <c r="E3955" s="181"/>
      <c r="F3955" s="181"/>
      <c r="G3955" s="181"/>
      <c r="H3955" s="181"/>
      <c r="I3955" s="181"/>
      <c r="J3955" s="181"/>
      <c r="K3955" s="181"/>
      <c r="L3955" s="181"/>
      <c r="M3955" s="181"/>
      <c r="N3955" s="181"/>
      <c r="O3955" s="181"/>
      <c r="P3955" s="181"/>
    </row>
    <row r="3956">
      <c r="B3956" s="292"/>
      <c r="C3956" s="181"/>
      <c r="D3956" s="181"/>
      <c r="E3956" s="181"/>
      <c r="F3956" s="181"/>
      <c r="G3956" s="181"/>
      <c r="H3956" s="181"/>
      <c r="I3956" s="181"/>
      <c r="J3956" s="181"/>
      <c r="K3956" s="181"/>
      <c r="L3956" s="181"/>
      <c r="M3956" s="181"/>
      <c r="N3956" s="181"/>
      <c r="O3956" s="181"/>
      <c r="P3956" s="181"/>
    </row>
    <row r="3957">
      <c r="B3957" s="292"/>
      <c r="C3957" s="181"/>
      <c r="D3957" s="181"/>
      <c r="E3957" s="181"/>
      <c r="F3957" s="181"/>
      <c r="G3957" s="181"/>
      <c r="H3957" s="181"/>
      <c r="I3957" s="181"/>
      <c r="J3957" s="181"/>
      <c r="K3957" s="181"/>
      <c r="L3957" s="181"/>
      <c r="M3957" s="181"/>
      <c r="N3957" s="181"/>
      <c r="O3957" s="181"/>
      <c r="P3957" s="181"/>
    </row>
    <row r="3958">
      <c r="B3958" s="292"/>
      <c r="C3958" s="181"/>
      <c r="D3958" s="181"/>
      <c r="E3958" s="181"/>
      <c r="F3958" s="181"/>
      <c r="G3958" s="181"/>
      <c r="H3958" s="181"/>
      <c r="I3958" s="181"/>
      <c r="J3958" s="181"/>
      <c r="K3958" s="181"/>
      <c r="L3958" s="181"/>
      <c r="M3958" s="181"/>
      <c r="N3958" s="181"/>
      <c r="O3958" s="181"/>
      <c r="P3958" s="181"/>
    </row>
    <row r="3959">
      <c r="B3959" s="292"/>
      <c r="C3959" s="181"/>
      <c r="D3959" s="181"/>
      <c r="E3959" s="181"/>
      <c r="F3959" s="181"/>
      <c r="G3959" s="181"/>
      <c r="H3959" s="181"/>
      <c r="I3959" s="181"/>
      <c r="J3959" s="181"/>
      <c r="K3959" s="181"/>
      <c r="L3959" s="181"/>
      <c r="M3959" s="181"/>
      <c r="N3959" s="181"/>
      <c r="O3959" s="181"/>
      <c r="P3959" s="181"/>
    </row>
    <row r="3960">
      <c r="B3960" s="292"/>
      <c r="C3960" s="181"/>
      <c r="D3960" s="181"/>
      <c r="E3960" s="181"/>
      <c r="F3960" s="181"/>
      <c r="G3960" s="181"/>
      <c r="H3960" s="181"/>
      <c r="I3960" s="181"/>
      <c r="J3960" s="181"/>
      <c r="K3960" s="181"/>
      <c r="L3960" s="181"/>
      <c r="M3960" s="181"/>
      <c r="N3960" s="181"/>
      <c r="O3960" s="181"/>
      <c r="P3960" s="181"/>
    </row>
    <row r="3961">
      <c r="B3961" s="292"/>
      <c r="C3961" s="181"/>
      <c r="D3961" s="181"/>
      <c r="E3961" s="181"/>
      <c r="F3961" s="181"/>
      <c r="G3961" s="181"/>
      <c r="H3961" s="181"/>
      <c r="I3961" s="181"/>
      <c r="J3961" s="181"/>
      <c r="K3961" s="181"/>
      <c r="L3961" s="181"/>
      <c r="M3961" s="181"/>
      <c r="N3961" s="181"/>
      <c r="O3961" s="181"/>
      <c r="P3961" s="181"/>
    </row>
    <row r="3962">
      <c r="B3962" s="292"/>
      <c r="C3962" s="181"/>
      <c r="D3962" s="181"/>
      <c r="E3962" s="181"/>
      <c r="F3962" s="181"/>
      <c r="G3962" s="181"/>
      <c r="H3962" s="181"/>
      <c r="I3962" s="181"/>
      <c r="J3962" s="181"/>
      <c r="K3962" s="181"/>
      <c r="L3962" s="181"/>
      <c r="M3962" s="181"/>
      <c r="N3962" s="181"/>
      <c r="O3962" s="181"/>
      <c r="P3962" s="181"/>
    </row>
    <row r="3963">
      <c r="B3963" s="292"/>
      <c r="C3963" s="181"/>
      <c r="D3963" s="181"/>
      <c r="E3963" s="181"/>
      <c r="F3963" s="181"/>
      <c r="G3963" s="181"/>
      <c r="H3963" s="181"/>
      <c r="I3963" s="181"/>
      <c r="J3963" s="181"/>
      <c r="K3963" s="181"/>
      <c r="L3963" s="181"/>
      <c r="M3963" s="181"/>
      <c r="N3963" s="181"/>
      <c r="O3963" s="181"/>
      <c r="P3963" s="181"/>
    </row>
    <row r="3964">
      <c r="B3964" s="292"/>
      <c r="C3964" s="181"/>
      <c r="D3964" s="181"/>
      <c r="E3964" s="181"/>
      <c r="F3964" s="181"/>
      <c r="G3964" s="181"/>
      <c r="H3964" s="181"/>
      <c r="I3964" s="181"/>
      <c r="J3964" s="181"/>
      <c r="K3964" s="181"/>
      <c r="L3964" s="181"/>
      <c r="M3964" s="181"/>
      <c r="N3964" s="181"/>
      <c r="O3964" s="181"/>
      <c r="P3964" s="181"/>
    </row>
    <row r="3965">
      <c r="B3965" s="292"/>
      <c r="C3965" s="181"/>
      <c r="D3965" s="181"/>
      <c r="E3965" s="181"/>
      <c r="F3965" s="181"/>
      <c r="G3965" s="181"/>
      <c r="H3965" s="181"/>
      <c r="I3965" s="181"/>
      <c r="J3965" s="181"/>
      <c r="K3965" s="181"/>
      <c r="L3965" s="181"/>
      <c r="M3965" s="181"/>
      <c r="N3965" s="181"/>
      <c r="O3965" s="181"/>
      <c r="P3965" s="181"/>
    </row>
    <row r="3966">
      <c r="B3966" s="292"/>
      <c r="C3966" s="181"/>
      <c r="D3966" s="181"/>
      <c r="E3966" s="181"/>
      <c r="F3966" s="181"/>
      <c r="G3966" s="181"/>
      <c r="H3966" s="181"/>
      <c r="I3966" s="181"/>
      <c r="J3966" s="181"/>
      <c r="K3966" s="181"/>
      <c r="L3966" s="181"/>
      <c r="M3966" s="181"/>
      <c r="N3966" s="181"/>
      <c r="O3966" s="181"/>
      <c r="P3966" s="181"/>
    </row>
    <row r="3967">
      <c r="B3967" s="292"/>
      <c r="C3967" s="181"/>
      <c r="D3967" s="181"/>
      <c r="E3967" s="181"/>
      <c r="F3967" s="181"/>
      <c r="G3967" s="181"/>
      <c r="H3967" s="181"/>
      <c r="I3967" s="181"/>
      <c r="J3967" s="181"/>
      <c r="K3967" s="181"/>
      <c r="L3967" s="181"/>
      <c r="M3967" s="181"/>
      <c r="N3967" s="181"/>
      <c r="O3967" s="181"/>
      <c r="P3967" s="181"/>
    </row>
    <row r="3968">
      <c r="B3968" s="292"/>
      <c r="C3968" s="181"/>
      <c r="D3968" s="181"/>
      <c r="E3968" s="181"/>
      <c r="F3968" s="181"/>
      <c r="G3968" s="181"/>
      <c r="H3968" s="181"/>
      <c r="I3968" s="181"/>
      <c r="J3968" s="181"/>
      <c r="K3968" s="181"/>
      <c r="L3968" s="181"/>
      <c r="M3968" s="181"/>
      <c r="N3968" s="181"/>
      <c r="O3968" s="181"/>
      <c r="P3968" s="181"/>
    </row>
    <row r="3969">
      <c r="B3969" s="292"/>
      <c r="C3969" s="181"/>
      <c r="D3969" s="181"/>
      <c r="E3969" s="181"/>
      <c r="F3969" s="181"/>
      <c r="G3969" s="181"/>
      <c r="H3969" s="181"/>
      <c r="I3969" s="181"/>
      <c r="J3969" s="181"/>
      <c r="K3969" s="181"/>
      <c r="L3969" s="181"/>
      <c r="M3969" s="181"/>
      <c r="N3969" s="181"/>
      <c r="O3969" s="181"/>
      <c r="P3969" s="181"/>
    </row>
    <row r="3970">
      <c r="B3970" s="292"/>
      <c r="C3970" s="181"/>
      <c r="D3970" s="181"/>
      <c r="E3970" s="181"/>
      <c r="F3970" s="181"/>
      <c r="G3970" s="181"/>
      <c r="H3970" s="181"/>
      <c r="I3970" s="181"/>
      <c r="J3970" s="181"/>
      <c r="K3970" s="181"/>
      <c r="L3970" s="181"/>
      <c r="M3970" s="181"/>
      <c r="N3970" s="181"/>
      <c r="O3970" s="181"/>
      <c r="P3970" s="181"/>
    </row>
    <row r="3971">
      <c r="B3971" s="292"/>
      <c r="C3971" s="181"/>
      <c r="D3971" s="181"/>
      <c r="E3971" s="181"/>
      <c r="F3971" s="181"/>
      <c r="G3971" s="181"/>
      <c r="H3971" s="181"/>
      <c r="I3971" s="181"/>
      <c r="J3971" s="181"/>
      <c r="K3971" s="181"/>
      <c r="L3971" s="181"/>
      <c r="M3971" s="181"/>
      <c r="N3971" s="181"/>
      <c r="O3971" s="181"/>
      <c r="P3971" s="181"/>
    </row>
    <row r="3972">
      <c r="B3972" s="292"/>
      <c r="C3972" s="181"/>
      <c r="D3972" s="181"/>
      <c r="E3972" s="181"/>
      <c r="F3972" s="181"/>
      <c r="G3972" s="181"/>
      <c r="H3972" s="181"/>
      <c r="I3972" s="181"/>
      <c r="J3972" s="181"/>
      <c r="K3972" s="181"/>
      <c r="L3972" s="181"/>
      <c r="M3972" s="181"/>
      <c r="N3972" s="181"/>
      <c r="O3972" s="181"/>
      <c r="P3972" s="181"/>
    </row>
    <row r="3973">
      <c r="B3973" s="292"/>
      <c r="C3973" s="181"/>
      <c r="D3973" s="181"/>
      <c r="E3973" s="181"/>
      <c r="F3973" s="181"/>
      <c r="G3973" s="181"/>
      <c r="H3973" s="181"/>
      <c r="I3973" s="181"/>
      <c r="J3973" s="181"/>
      <c r="K3973" s="181"/>
      <c r="L3973" s="181"/>
      <c r="M3973" s="181"/>
      <c r="N3973" s="181"/>
      <c r="O3973" s="181"/>
      <c r="P3973" s="181"/>
    </row>
    <row r="3974">
      <c r="B3974" s="292"/>
      <c r="C3974" s="181"/>
      <c r="D3974" s="181"/>
      <c r="E3974" s="181"/>
      <c r="F3974" s="181"/>
      <c r="G3974" s="181"/>
      <c r="H3974" s="181"/>
      <c r="I3974" s="181"/>
      <c r="J3974" s="181"/>
      <c r="K3974" s="181"/>
      <c r="L3974" s="181"/>
      <c r="M3974" s="181"/>
      <c r="N3974" s="181"/>
      <c r="O3974" s="181"/>
      <c r="P3974" s="181"/>
    </row>
    <row r="3975">
      <c r="B3975" s="292"/>
      <c r="C3975" s="181"/>
      <c r="D3975" s="181"/>
      <c r="E3975" s="181"/>
      <c r="F3975" s="181"/>
      <c r="G3975" s="181"/>
      <c r="H3975" s="181"/>
      <c r="I3975" s="181"/>
      <c r="J3975" s="181"/>
      <c r="K3975" s="181"/>
      <c r="L3975" s="181"/>
      <c r="M3975" s="181"/>
      <c r="N3975" s="181"/>
      <c r="O3975" s="181"/>
      <c r="P3975" s="181"/>
    </row>
    <row r="3976">
      <c r="B3976" s="292"/>
      <c r="C3976" s="181"/>
      <c r="D3976" s="181"/>
      <c r="E3976" s="181"/>
      <c r="F3976" s="181"/>
      <c r="G3976" s="181"/>
      <c r="H3976" s="181"/>
      <c r="I3976" s="181"/>
      <c r="J3976" s="181"/>
      <c r="K3976" s="181"/>
      <c r="L3976" s="181"/>
      <c r="M3976" s="181"/>
      <c r="N3976" s="181"/>
      <c r="O3976" s="181"/>
      <c r="P3976" s="181"/>
    </row>
    <row r="3977">
      <c r="B3977" s="292"/>
      <c r="C3977" s="181"/>
      <c r="D3977" s="181"/>
      <c r="E3977" s="181"/>
      <c r="F3977" s="181"/>
      <c r="G3977" s="181"/>
      <c r="H3977" s="181"/>
      <c r="I3977" s="181"/>
      <c r="J3977" s="181"/>
      <c r="K3977" s="181"/>
      <c r="L3977" s="181"/>
      <c r="M3977" s="181"/>
      <c r="N3977" s="181"/>
      <c r="O3977" s="181"/>
      <c r="P3977" s="181"/>
    </row>
    <row r="3978">
      <c r="B3978" s="292"/>
      <c r="C3978" s="181"/>
      <c r="D3978" s="181"/>
      <c r="E3978" s="181"/>
      <c r="F3978" s="181"/>
      <c r="G3978" s="181"/>
      <c r="H3978" s="181"/>
      <c r="I3978" s="181"/>
      <c r="J3978" s="181"/>
      <c r="K3978" s="181"/>
      <c r="L3978" s="181"/>
      <c r="M3978" s="181"/>
      <c r="N3978" s="181"/>
      <c r="O3978" s="181"/>
      <c r="P3978" s="181"/>
    </row>
    <row r="3979">
      <c r="B3979" s="292"/>
      <c r="C3979" s="181"/>
      <c r="D3979" s="181"/>
      <c r="E3979" s="181"/>
      <c r="F3979" s="181"/>
      <c r="G3979" s="181"/>
      <c r="H3979" s="181"/>
      <c r="I3979" s="181"/>
      <c r="J3979" s="181"/>
      <c r="K3979" s="181"/>
      <c r="L3979" s="181"/>
      <c r="M3979" s="181"/>
      <c r="N3979" s="181"/>
      <c r="O3979" s="181"/>
      <c r="P3979" s="181"/>
    </row>
    <row r="3980">
      <c r="B3980" s="292"/>
      <c r="C3980" s="181"/>
      <c r="D3980" s="181"/>
      <c r="E3980" s="181"/>
      <c r="F3980" s="181"/>
      <c r="G3980" s="181"/>
      <c r="H3980" s="181"/>
      <c r="I3980" s="181"/>
      <c r="J3980" s="181"/>
      <c r="K3980" s="181"/>
      <c r="L3980" s="181"/>
      <c r="M3980" s="181"/>
      <c r="N3980" s="181"/>
      <c r="O3980" s="181"/>
      <c r="P3980" s="181"/>
    </row>
    <row r="3981">
      <c r="B3981" s="292"/>
      <c r="C3981" s="181"/>
      <c r="D3981" s="181"/>
      <c r="E3981" s="181"/>
      <c r="F3981" s="181"/>
      <c r="G3981" s="181"/>
      <c r="H3981" s="181"/>
      <c r="I3981" s="181"/>
      <c r="J3981" s="181"/>
      <c r="K3981" s="181"/>
      <c r="L3981" s="181"/>
      <c r="M3981" s="181"/>
      <c r="N3981" s="181"/>
      <c r="O3981" s="181"/>
      <c r="P3981" s="181"/>
    </row>
    <row r="3982">
      <c r="B3982" s="292"/>
      <c r="C3982" s="181"/>
      <c r="D3982" s="181"/>
      <c r="E3982" s="181"/>
      <c r="F3982" s="181"/>
      <c r="G3982" s="181"/>
      <c r="H3982" s="181"/>
      <c r="I3982" s="181"/>
      <c r="J3982" s="181"/>
      <c r="K3982" s="181"/>
      <c r="L3982" s="181"/>
      <c r="M3982" s="181"/>
      <c r="N3982" s="181"/>
      <c r="O3982" s="181"/>
      <c r="P3982" s="181"/>
    </row>
    <row r="3983">
      <c r="B3983" s="292"/>
      <c r="C3983" s="181"/>
      <c r="D3983" s="181"/>
      <c r="E3983" s="181"/>
      <c r="F3983" s="181"/>
      <c r="G3983" s="181"/>
      <c r="H3983" s="181"/>
      <c r="I3983" s="181"/>
      <c r="J3983" s="181"/>
      <c r="K3983" s="181"/>
      <c r="L3983" s="181"/>
      <c r="M3983" s="181"/>
      <c r="N3983" s="181"/>
      <c r="O3983" s="181"/>
      <c r="P3983" s="181"/>
    </row>
    <row r="3984">
      <c r="B3984" s="292"/>
      <c r="C3984" s="181"/>
      <c r="D3984" s="181"/>
      <c r="E3984" s="181"/>
      <c r="F3984" s="181"/>
      <c r="G3984" s="181"/>
      <c r="H3984" s="181"/>
      <c r="I3984" s="181"/>
      <c r="J3984" s="181"/>
      <c r="K3984" s="181"/>
      <c r="L3984" s="181"/>
      <c r="M3984" s="181"/>
      <c r="N3984" s="181"/>
      <c r="O3984" s="181"/>
      <c r="P3984" s="181"/>
    </row>
    <row r="3985">
      <c r="B3985" s="292"/>
      <c r="C3985" s="181"/>
      <c r="D3985" s="181"/>
      <c r="E3985" s="181"/>
      <c r="F3985" s="181"/>
      <c r="G3985" s="181"/>
      <c r="H3985" s="181"/>
      <c r="I3985" s="181"/>
      <c r="J3985" s="181"/>
      <c r="K3985" s="181"/>
      <c r="L3985" s="181"/>
      <c r="M3985" s="181"/>
      <c r="N3985" s="181"/>
      <c r="O3985" s="181"/>
      <c r="P3985" s="181"/>
    </row>
    <row r="3986">
      <c r="B3986" s="292"/>
      <c r="C3986" s="181"/>
      <c r="D3986" s="181"/>
      <c r="E3986" s="181"/>
      <c r="F3986" s="181"/>
      <c r="G3986" s="181"/>
      <c r="H3986" s="181"/>
      <c r="I3986" s="181"/>
      <c r="J3986" s="181"/>
      <c r="K3986" s="181"/>
      <c r="L3986" s="181"/>
      <c r="M3986" s="181"/>
      <c r="N3986" s="181"/>
      <c r="O3986" s="181"/>
      <c r="P3986" s="181"/>
    </row>
    <row r="3987">
      <c r="B3987" s="292"/>
      <c r="C3987" s="181"/>
      <c r="D3987" s="181"/>
      <c r="E3987" s="181"/>
      <c r="F3987" s="181"/>
      <c r="G3987" s="181"/>
      <c r="H3987" s="181"/>
      <c r="I3987" s="181"/>
      <c r="J3987" s="181"/>
      <c r="K3987" s="181"/>
      <c r="L3987" s="181"/>
      <c r="M3987" s="181"/>
      <c r="N3987" s="181"/>
      <c r="O3987" s="181"/>
      <c r="P3987" s="181"/>
    </row>
    <row r="3988">
      <c r="B3988" s="292"/>
      <c r="C3988" s="181"/>
      <c r="D3988" s="181"/>
      <c r="E3988" s="181"/>
      <c r="F3988" s="181"/>
      <c r="G3988" s="181"/>
      <c r="H3988" s="181"/>
      <c r="I3988" s="181"/>
      <c r="J3988" s="181"/>
      <c r="K3988" s="181"/>
      <c r="L3988" s="181"/>
      <c r="M3988" s="181"/>
      <c r="N3988" s="181"/>
      <c r="O3988" s="181"/>
      <c r="P3988" s="181"/>
    </row>
    <row r="3989">
      <c r="B3989" s="292"/>
      <c r="C3989" s="181"/>
      <c r="D3989" s="181"/>
      <c r="E3989" s="181"/>
      <c r="F3989" s="181"/>
      <c r="G3989" s="181"/>
      <c r="H3989" s="181"/>
      <c r="I3989" s="181"/>
      <c r="J3989" s="181"/>
      <c r="K3989" s="181"/>
      <c r="L3989" s="181"/>
      <c r="M3989" s="181"/>
      <c r="N3989" s="181"/>
      <c r="O3989" s="181"/>
      <c r="P3989" s="181"/>
    </row>
    <row r="3990">
      <c r="B3990" s="292"/>
      <c r="C3990" s="181"/>
      <c r="D3990" s="181"/>
      <c r="E3990" s="181"/>
      <c r="F3990" s="181"/>
      <c r="G3990" s="181"/>
      <c r="H3990" s="181"/>
      <c r="I3990" s="181"/>
      <c r="J3990" s="181"/>
      <c r="K3990" s="181"/>
      <c r="L3990" s="181"/>
      <c r="M3990" s="181"/>
      <c r="N3990" s="181"/>
      <c r="O3990" s="181"/>
      <c r="P3990" s="181"/>
    </row>
    <row r="3991">
      <c r="B3991" s="292"/>
      <c r="C3991" s="181"/>
      <c r="D3991" s="181"/>
      <c r="E3991" s="181"/>
      <c r="F3991" s="181"/>
      <c r="G3991" s="181"/>
      <c r="H3991" s="181"/>
      <c r="I3991" s="181"/>
      <c r="J3991" s="181"/>
      <c r="K3991" s="181"/>
      <c r="L3991" s="181"/>
      <c r="M3991" s="181"/>
      <c r="N3991" s="181"/>
      <c r="O3991" s="181"/>
      <c r="P3991" s="181"/>
    </row>
    <row r="3992">
      <c r="B3992" s="292"/>
      <c r="C3992" s="181"/>
      <c r="D3992" s="181"/>
      <c r="E3992" s="181"/>
      <c r="F3992" s="181"/>
      <c r="G3992" s="181"/>
      <c r="H3992" s="181"/>
      <c r="I3992" s="181"/>
      <c r="J3992" s="181"/>
      <c r="K3992" s="181"/>
      <c r="L3992" s="181"/>
      <c r="M3992" s="181"/>
      <c r="N3992" s="181"/>
      <c r="O3992" s="181"/>
      <c r="P3992" s="181"/>
    </row>
    <row r="3993">
      <c r="B3993" s="292"/>
      <c r="C3993" s="181"/>
      <c r="D3993" s="181"/>
      <c r="E3993" s="181"/>
      <c r="F3993" s="181"/>
      <c r="G3993" s="181"/>
      <c r="H3993" s="181"/>
      <c r="I3993" s="181"/>
      <c r="J3993" s="181"/>
      <c r="K3993" s="181"/>
      <c r="L3993" s="181"/>
      <c r="M3993" s="181"/>
      <c r="N3993" s="181"/>
      <c r="O3993" s="181"/>
      <c r="P3993" s="181"/>
    </row>
    <row r="3994">
      <c r="B3994" s="292"/>
      <c r="C3994" s="181"/>
      <c r="D3994" s="181"/>
      <c r="E3994" s="181"/>
      <c r="F3994" s="181"/>
      <c r="G3994" s="181"/>
      <c r="H3994" s="181"/>
      <c r="I3994" s="181"/>
      <c r="J3994" s="181"/>
      <c r="K3994" s="181"/>
      <c r="L3994" s="181"/>
      <c r="M3994" s="181"/>
      <c r="N3994" s="181"/>
      <c r="O3994" s="181"/>
      <c r="P3994" s="181"/>
    </row>
    <row r="3995">
      <c r="B3995" s="292"/>
      <c r="C3995" s="181"/>
      <c r="D3995" s="181"/>
      <c r="E3995" s="181"/>
      <c r="F3995" s="181"/>
      <c r="G3995" s="181"/>
      <c r="H3995" s="181"/>
      <c r="I3995" s="181"/>
      <c r="J3995" s="181"/>
      <c r="K3995" s="181"/>
      <c r="L3995" s="181"/>
      <c r="M3995" s="181"/>
      <c r="N3995" s="181"/>
      <c r="O3995" s="181"/>
      <c r="P3995" s="181"/>
    </row>
    <row r="3996">
      <c r="B3996" s="292"/>
      <c r="C3996" s="181"/>
      <c r="D3996" s="181"/>
      <c r="E3996" s="181"/>
      <c r="F3996" s="181"/>
      <c r="G3996" s="181"/>
      <c r="H3996" s="181"/>
      <c r="I3996" s="181"/>
      <c r="J3996" s="181"/>
      <c r="K3996" s="181"/>
      <c r="L3996" s="181"/>
      <c r="M3996" s="181"/>
      <c r="N3996" s="181"/>
      <c r="O3996" s="181"/>
      <c r="P3996" s="181"/>
    </row>
    <row r="3997">
      <c r="B3997" s="292"/>
      <c r="C3997" s="181"/>
      <c r="D3997" s="181"/>
      <c r="E3997" s="181"/>
      <c r="F3997" s="181"/>
      <c r="G3997" s="181"/>
      <c r="H3997" s="181"/>
      <c r="I3997" s="181"/>
      <c r="J3997" s="181"/>
      <c r="K3997" s="181"/>
      <c r="L3997" s="181"/>
      <c r="M3997" s="181"/>
      <c r="N3997" s="181"/>
      <c r="O3997" s="181"/>
      <c r="P3997" s="181"/>
    </row>
    <row r="3998">
      <c r="B3998" s="292"/>
      <c r="C3998" s="181"/>
      <c r="D3998" s="181"/>
      <c r="E3998" s="181"/>
      <c r="F3998" s="181"/>
      <c r="G3998" s="181"/>
      <c r="H3998" s="181"/>
      <c r="I3998" s="181"/>
      <c r="J3998" s="181"/>
      <c r="K3998" s="181"/>
      <c r="L3998" s="181"/>
      <c r="M3998" s="181"/>
      <c r="N3998" s="181"/>
      <c r="O3998" s="181"/>
      <c r="P3998" s="181"/>
    </row>
    <row r="3999">
      <c r="B3999" s="292"/>
      <c r="C3999" s="181"/>
      <c r="D3999" s="181"/>
      <c r="E3999" s="181"/>
      <c r="F3999" s="181"/>
      <c r="G3999" s="181"/>
      <c r="H3999" s="181"/>
      <c r="I3999" s="181"/>
      <c r="J3999" s="181"/>
      <c r="K3999" s="181"/>
      <c r="L3999" s="181"/>
      <c r="M3999" s="181"/>
      <c r="N3999" s="181"/>
      <c r="O3999" s="181"/>
      <c r="P3999" s="181"/>
    </row>
    <row r="4000">
      <c r="B4000" s="292"/>
      <c r="C4000" s="181"/>
      <c r="D4000" s="181"/>
      <c r="E4000" s="181"/>
      <c r="F4000" s="181"/>
      <c r="G4000" s="181"/>
      <c r="H4000" s="181"/>
      <c r="I4000" s="181"/>
      <c r="J4000" s="181"/>
      <c r="K4000" s="181"/>
      <c r="L4000" s="181"/>
      <c r="M4000" s="181"/>
      <c r="N4000" s="181"/>
      <c r="O4000" s="181"/>
      <c r="P4000" s="181"/>
    </row>
    <row r="4001">
      <c r="B4001" s="292"/>
      <c r="C4001" s="181"/>
      <c r="D4001" s="181"/>
      <c r="E4001" s="181"/>
      <c r="F4001" s="181"/>
      <c r="G4001" s="181"/>
      <c r="H4001" s="181"/>
      <c r="I4001" s="181"/>
      <c r="J4001" s="181"/>
      <c r="K4001" s="181"/>
      <c r="L4001" s="181"/>
      <c r="M4001" s="181"/>
      <c r="N4001" s="181"/>
      <c r="O4001" s="181"/>
      <c r="P4001" s="181"/>
    </row>
    <row r="4002">
      <c r="B4002" s="292"/>
      <c r="C4002" s="181"/>
      <c r="D4002" s="181"/>
      <c r="E4002" s="181"/>
      <c r="F4002" s="181"/>
      <c r="G4002" s="181"/>
      <c r="H4002" s="181"/>
      <c r="I4002" s="181"/>
      <c r="J4002" s="181"/>
      <c r="K4002" s="181"/>
      <c r="L4002" s="181"/>
      <c r="M4002" s="181"/>
      <c r="N4002" s="181"/>
      <c r="O4002" s="181"/>
      <c r="P4002" s="181"/>
    </row>
    <row r="4003">
      <c r="B4003" s="292"/>
      <c r="C4003" s="181"/>
      <c r="D4003" s="181"/>
      <c r="E4003" s="181"/>
      <c r="F4003" s="181"/>
      <c r="G4003" s="181"/>
      <c r="H4003" s="181"/>
      <c r="I4003" s="181"/>
      <c r="J4003" s="181"/>
      <c r="K4003" s="181"/>
      <c r="L4003" s="181"/>
      <c r="M4003" s="181"/>
      <c r="N4003" s="181"/>
      <c r="O4003" s="181"/>
      <c r="P4003" s="181"/>
    </row>
    <row r="4004">
      <c r="B4004" s="292"/>
      <c r="C4004" s="181"/>
      <c r="D4004" s="181"/>
      <c r="E4004" s="181"/>
      <c r="F4004" s="181"/>
      <c r="G4004" s="181"/>
      <c r="H4004" s="181"/>
      <c r="I4004" s="181"/>
      <c r="J4004" s="181"/>
      <c r="K4004" s="181"/>
      <c r="L4004" s="181"/>
      <c r="M4004" s="181"/>
      <c r="N4004" s="181"/>
      <c r="O4004" s="181"/>
      <c r="P4004" s="181"/>
    </row>
    <row r="4005">
      <c r="B4005" s="292"/>
      <c r="C4005" s="181"/>
      <c r="D4005" s="181"/>
      <c r="E4005" s="181"/>
      <c r="F4005" s="181"/>
      <c r="G4005" s="181"/>
      <c r="H4005" s="181"/>
      <c r="I4005" s="181"/>
      <c r="J4005" s="181"/>
      <c r="K4005" s="181"/>
      <c r="L4005" s="181"/>
      <c r="M4005" s="181"/>
      <c r="N4005" s="181"/>
      <c r="O4005" s="181"/>
      <c r="P4005" s="181"/>
    </row>
    <row r="4006">
      <c r="B4006" s="292"/>
      <c r="C4006" s="181"/>
      <c r="D4006" s="181"/>
      <c r="E4006" s="181"/>
      <c r="F4006" s="181"/>
      <c r="G4006" s="181"/>
      <c r="H4006" s="181"/>
      <c r="I4006" s="181"/>
      <c r="J4006" s="181"/>
      <c r="K4006" s="181"/>
      <c r="L4006" s="181"/>
      <c r="M4006" s="181"/>
      <c r="N4006" s="181"/>
      <c r="O4006" s="181"/>
      <c r="P4006" s="181"/>
    </row>
    <row r="4007">
      <c r="B4007" s="292"/>
      <c r="C4007" s="181"/>
      <c r="D4007" s="181"/>
      <c r="E4007" s="181"/>
      <c r="F4007" s="181"/>
      <c r="G4007" s="181"/>
      <c r="H4007" s="181"/>
      <c r="I4007" s="181"/>
      <c r="J4007" s="181"/>
      <c r="K4007" s="181"/>
      <c r="L4007" s="181"/>
      <c r="M4007" s="181"/>
      <c r="N4007" s="181"/>
      <c r="O4007" s="181"/>
      <c r="P4007" s="181"/>
    </row>
    <row r="4008">
      <c r="B4008" s="292"/>
      <c r="C4008" s="181"/>
      <c r="D4008" s="181"/>
      <c r="E4008" s="181"/>
      <c r="F4008" s="181"/>
      <c r="G4008" s="181"/>
      <c r="H4008" s="181"/>
      <c r="I4008" s="181"/>
      <c r="J4008" s="181"/>
      <c r="K4008" s="181"/>
      <c r="L4008" s="181"/>
      <c r="M4008" s="181"/>
      <c r="N4008" s="181"/>
      <c r="O4008" s="181"/>
      <c r="P4008" s="181"/>
    </row>
    <row r="4009">
      <c r="B4009" s="292"/>
      <c r="C4009" s="181"/>
      <c r="D4009" s="181"/>
      <c r="E4009" s="181"/>
      <c r="F4009" s="181"/>
      <c r="G4009" s="181"/>
      <c r="H4009" s="181"/>
      <c r="I4009" s="181"/>
      <c r="J4009" s="181"/>
      <c r="K4009" s="181"/>
      <c r="L4009" s="181"/>
      <c r="M4009" s="181"/>
      <c r="N4009" s="181"/>
      <c r="O4009" s="181"/>
      <c r="P4009" s="181"/>
    </row>
    <row r="4010">
      <c r="B4010" s="292"/>
      <c r="C4010" s="181"/>
      <c r="D4010" s="181"/>
      <c r="E4010" s="181"/>
      <c r="F4010" s="181"/>
      <c r="G4010" s="181"/>
      <c r="H4010" s="181"/>
      <c r="I4010" s="181"/>
      <c r="J4010" s="181"/>
      <c r="K4010" s="181"/>
      <c r="L4010" s="181"/>
      <c r="M4010" s="181"/>
      <c r="N4010" s="181"/>
      <c r="O4010" s="181"/>
      <c r="P4010" s="181"/>
    </row>
    <row r="4011">
      <c r="B4011" s="292"/>
      <c r="C4011" s="181"/>
      <c r="D4011" s="181"/>
      <c r="E4011" s="181"/>
      <c r="F4011" s="181"/>
      <c r="G4011" s="181"/>
      <c r="H4011" s="181"/>
      <c r="I4011" s="181"/>
      <c r="J4011" s="181"/>
      <c r="K4011" s="181"/>
      <c r="L4011" s="181"/>
      <c r="M4011" s="181"/>
      <c r="N4011" s="181"/>
      <c r="O4011" s="181"/>
      <c r="P4011" s="181"/>
    </row>
    <row r="4012">
      <c r="B4012" s="292"/>
      <c r="C4012" s="181"/>
      <c r="D4012" s="181"/>
      <c r="E4012" s="181"/>
      <c r="F4012" s="181"/>
      <c r="G4012" s="181"/>
      <c r="H4012" s="181"/>
      <c r="I4012" s="181"/>
      <c r="J4012" s="181"/>
      <c r="K4012" s="181"/>
      <c r="L4012" s="181"/>
      <c r="M4012" s="181"/>
      <c r="N4012" s="181"/>
      <c r="O4012" s="181"/>
      <c r="P4012" s="181"/>
    </row>
    <row r="4013">
      <c r="B4013" s="292"/>
      <c r="C4013" s="181"/>
      <c r="D4013" s="181"/>
      <c r="E4013" s="181"/>
      <c r="F4013" s="181"/>
      <c r="G4013" s="181"/>
      <c r="H4013" s="181"/>
      <c r="I4013" s="181"/>
      <c r="J4013" s="181"/>
      <c r="K4013" s="181"/>
      <c r="L4013" s="181"/>
      <c r="M4013" s="181"/>
      <c r="N4013" s="181"/>
      <c r="O4013" s="181"/>
      <c r="P4013" s="181"/>
    </row>
    <row r="4014">
      <c r="B4014" s="292"/>
      <c r="C4014" s="181"/>
      <c r="D4014" s="181"/>
      <c r="E4014" s="181"/>
      <c r="F4014" s="181"/>
      <c r="G4014" s="181"/>
      <c r="H4014" s="181"/>
      <c r="I4014" s="181"/>
      <c r="J4014" s="181"/>
      <c r="K4014" s="181"/>
      <c r="L4014" s="181"/>
      <c r="M4014" s="181"/>
      <c r="N4014" s="181"/>
      <c r="O4014" s="181"/>
      <c r="P4014" s="181"/>
    </row>
    <row r="4015">
      <c r="B4015" s="292"/>
      <c r="C4015" s="181"/>
      <c r="D4015" s="181"/>
      <c r="E4015" s="181"/>
      <c r="F4015" s="181"/>
      <c r="G4015" s="181"/>
      <c r="H4015" s="181"/>
      <c r="I4015" s="181"/>
      <c r="J4015" s="181"/>
      <c r="K4015" s="181"/>
      <c r="L4015" s="181"/>
      <c r="M4015" s="181"/>
      <c r="N4015" s="181"/>
      <c r="O4015" s="181"/>
      <c r="P4015" s="181"/>
    </row>
    <row r="4016">
      <c r="B4016" s="292"/>
      <c r="C4016" s="181"/>
      <c r="D4016" s="181"/>
      <c r="E4016" s="181"/>
      <c r="F4016" s="181"/>
      <c r="G4016" s="181"/>
      <c r="H4016" s="181"/>
      <c r="I4016" s="181"/>
      <c r="J4016" s="181"/>
      <c r="K4016" s="181"/>
      <c r="L4016" s="181"/>
      <c r="M4016" s="181"/>
      <c r="N4016" s="181"/>
      <c r="O4016" s="181"/>
      <c r="P4016" s="181"/>
    </row>
    <row r="4017">
      <c r="B4017" s="292"/>
      <c r="C4017" s="181"/>
      <c r="D4017" s="181"/>
      <c r="E4017" s="181"/>
      <c r="F4017" s="181"/>
      <c r="G4017" s="181"/>
      <c r="H4017" s="181"/>
      <c r="I4017" s="181"/>
      <c r="J4017" s="181"/>
      <c r="K4017" s="181"/>
      <c r="L4017" s="181"/>
      <c r="M4017" s="181"/>
      <c r="N4017" s="181"/>
      <c r="O4017" s="181"/>
      <c r="P4017" s="181"/>
    </row>
    <row r="4018">
      <c r="B4018" s="292"/>
      <c r="C4018" s="181"/>
      <c r="D4018" s="181"/>
      <c r="E4018" s="181"/>
      <c r="F4018" s="181"/>
      <c r="G4018" s="181"/>
      <c r="H4018" s="181"/>
      <c r="I4018" s="181"/>
      <c r="J4018" s="181"/>
      <c r="K4018" s="181"/>
      <c r="L4018" s="181"/>
      <c r="M4018" s="181"/>
      <c r="N4018" s="181"/>
      <c r="O4018" s="181"/>
      <c r="P4018" s="181"/>
    </row>
    <row r="4019">
      <c r="B4019" s="292"/>
      <c r="C4019" s="181"/>
      <c r="D4019" s="181"/>
      <c r="E4019" s="181"/>
      <c r="F4019" s="181"/>
      <c r="G4019" s="181"/>
      <c r="H4019" s="181"/>
      <c r="I4019" s="181"/>
      <c r="J4019" s="181"/>
      <c r="K4019" s="181"/>
      <c r="L4019" s="181"/>
      <c r="M4019" s="181"/>
      <c r="N4019" s="181"/>
      <c r="O4019" s="181"/>
      <c r="P4019" s="181"/>
    </row>
    <row r="4020">
      <c r="B4020" s="292"/>
      <c r="C4020" s="181"/>
      <c r="D4020" s="181"/>
      <c r="E4020" s="181"/>
      <c r="F4020" s="181"/>
      <c r="G4020" s="181"/>
      <c r="H4020" s="181"/>
      <c r="I4020" s="181"/>
      <c r="J4020" s="181"/>
      <c r="K4020" s="181"/>
      <c r="L4020" s="181"/>
      <c r="M4020" s="181"/>
      <c r="N4020" s="181"/>
      <c r="O4020" s="181"/>
      <c r="P4020" s="181"/>
    </row>
    <row r="4021">
      <c r="B4021" s="292"/>
      <c r="C4021" s="181"/>
      <c r="D4021" s="181"/>
      <c r="E4021" s="181"/>
      <c r="F4021" s="181"/>
      <c r="G4021" s="181"/>
      <c r="H4021" s="181"/>
      <c r="I4021" s="181"/>
      <c r="J4021" s="181"/>
      <c r="K4021" s="181"/>
      <c r="L4021" s="181"/>
      <c r="M4021" s="181"/>
      <c r="N4021" s="181"/>
      <c r="O4021" s="181"/>
      <c r="P4021" s="181"/>
    </row>
    <row r="4022">
      <c r="B4022" s="292"/>
      <c r="C4022" s="181"/>
      <c r="D4022" s="181"/>
      <c r="E4022" s="181"/>
      <c r="F4022" s="181"/>
      <c r="G4022" s="181"/>
      <c r="H4022" s="181"/>
      <c r="I4022" s="181"/>
      <c r="J4022" s="181"/>
      <c r="K4022" s="181"/>
      <c r="L4022" s="181"/>
      <c r="M4022" s="181"/>
      <c r="N4022" s="181"/>
      <c r="O4022" s="181"/>
      <c r="P4022" s="181"/>
    </row>
    <row r="4023">
      <c r="B4023" s="292"/>
      <c r="C4023" s="181"/>
      <c r="D4023" s="181"/>
      <c r="E4023" s="181"/>
      <c r="F4023" s="181"/>
      <c r="G4023" s="181"/>
      <c r="H4023" s="181"/>
      <c r="I4023" s="181"/>
      <c r="J4023" s="181"/>
      <c r="K4023" s="181"/>
      <c r="L4023" s="181"/>
      <c r="M4023" s="181"/>
      <c r="N4023" s="181"/>
      <c r="O4023" s="181"/>
      <c r="P4023" s="181"/>
    </row>
    <row r="4024">
      <c r="B4024" s="292"/>
      <c r="C4024" s="181"/>
      <c r="D4024" s="181"/>
      <c r="E4024" s="181"/>
      <c r="F4024" s="181"/>
      <c r="G4024" s="181"/>
      <c r="H4024" s="181"/>
      <c r="I4024" s="181"/>
      <c r="J4024" s="181"/>
      <c r="K4024" s="181"/>
      <c r="L4024" s="181"/>
      <c r="M4024" s="181"/>
      <c r="N4024" s="181"/>
      <c r="O4024" s="181"/>
      <c r="P4024" s="181"/>
    </row>
    <row r="4025">
      <c r="B4025" s="292"/>
      <c r="C4025" s="181"/>
      <c r="D4025" s="181"/>
      <c r="E4025" s="181"/>
      <c r="F4025" s="181"/>
      <c r="G4025" s="181"/>
      <c r="H4025" s="181"/>
      <c r="I4025" s="181"/>
      <c r="J4025" s="181"/>
      <c r="K4025" s="181"/>
      <c r="L4025" s="181"/>
      <c r="M4025" s="181"/>
      <c r="N4025" s="181"/>
      <c r="O4025" s="181"/>
      <c r="P4025" s="181"/>
    </row>
    <row r="4026">
      <c r="B4026" s="292"/>
      <c r="C4026" s="181"/>
      <c r="D4026" s="181"/>
      <c r="E4026" s="181"/>
      <c r="F4026" s="181"/>
      <c r="G4026" s="181"/>
      <c r="H4026" s="181"/>
      <c r="I4026" s="181"/>
      <c r="J4026" s="181"/>
      <c r="K4026" s="181"/>
      <c r="L4026" s="181"/>
      <c r="M4026" s="181"/>
      <c r="N4026" s="181"/>
      <c r="O4026" s="181"/>
      <c r="P4026" s="181"/>
    </row>
    <row r="4027">
      <c r="B4027" s="292"/>
      <c r="C4027" s="181"/>
      <c r="D4027" s="181"/>
      <c r="E4027" s="181"/>
      <c r="F4027" s="181"/>
      <c r="G4027" s="181"/>
      <c r="H4027" s="181"/>
      <c r="I4027" s="181"/>
      <c r="J4027" s="181"/>
      <c r="K4027" s="181"/>
      <c r="L4027" s="181"/>
      <c r="M4027" s="181"/>
      <c r="N4027" s="181"/>
      <c r="O4027" s="181"/>
      <c r="P4027" s="181"/>
    </row>
    <row r="4028">
      <c r="B4028" s="292"/>
      <c r="C4028" s="181"/>
      <c r="D4028" s="181"/>
      <c r="E4028" s="181"/>
      <c r="F4028" s="181"/>
      <c r="G4028" s="181"/>
      <c r="H4028" s="181"/>
      <c r="I4028" s="181"/>
      <c r="J4028" s="181"/>
      <c r="K4028" s="181"/>
      <c r="L4028" s="181"/>
      <c r="M4028" s="181"/>
      <c r="N4028" s="181"/>
      <c r="O4028" s="181"/>
      <c r="P4028" s="181"/>
    </row>
    <row r="4029">
      <c r="B4029" s="292"/>
      <c r="C4029" s="181"/>
      <c r="D4029" s="181"/>
      <c r="E4029" s="181"/>
      <c r="F4029" s="181"/>
      <c r="G4029" s="181"/>
      <c r="H4029" s="181"/>
      <c r="I4029" s="181"/>
      <c r="J4029" s="181"/>
      <c r="K4029" s="181"/>
      <c r="L4029" s="181"/>
      <c r="M4029" s="181"/>
      <c r="N4029" s="181"/>
      <c r="O4029" s="181"/>
      <c r="P4029" s="181"/>
    </row>
    <row r="4030">
      <c r="B4030" s="292"/>
      <c r="C4030" s="181"/>
      <c r="D4030" s="181"/>
      <c r="E4030" s="181"/>
      <c r="F4030" s="181"/>
      <c r="G4030" s="181"/>
      <c r="H4030" s="181"/>
      <c r="I4030" s="181"/>
      <c r="J4030" s="181"/>
      <c r="K4030" s="181"/>
      <c r="L4030" s="181"/>
      <c r="M4030" s="181"/>
      <c r="N4030" s="181"/>
      <c r="O4030" s="181"/>
      <c r="P4030" s="181"/>
    </row>
    <row r="4031">
      <c r="B4031" s="292"/>
      <c r="C4031" s="181"/>
      <c r="D4031" s="181"/>
      <c r="E4031" s="181"/>
      <c r="F4031" s="181"/>
      <c r="G4031" s="181"/>
      <c r="H4031" s="181"/>
      <c r="I4031" s="181"/>
      <c r="J4031" s="181"/>
      <c r="K4031" s="181"/>
      <c r="L4031" s="181"/>
      <c r="M4031" s="181"/>
      <c r="N4031" s="181"/>
      <c r="O4031" s="181"/>
      <c r="P4031" s="181"/>
    </row>
    <row r="4032">
      <c r="B4032" s="292"/>
      <c r="C4032" s="181"/>
      <c r="D4032" s="181"/>
      <c r="E4032" s="181"/>
      <c r="F4032" s="181"/>
      <c r="G4032" s="181"/>
      <c r="H4032" s="181"/>
      <c r="I4032" s="181"/>
      <c r="J4032" s="181"/>
      <c r="K4032" s="181"/>
      <c r="L4032" s="181"/>
      <c r="M4032" s="181"/>
      <c r="N4032" s="181"/>
      <c r="O4032" s="181"/>
      <c r="P4032" s="181"/>
    </row>
    <row r="4033">
      <c r="B4033" s="292"/>
      <c r="C4033" s="181"/>
      <c r="D4033" s="181"/>
      <c r="E4033" s="181"/>
      <c r="F4033" s="181"/>
      <c r="G4033" s="181"/>
      <c r="H4033" s="181"/>
      <c r="I4033" s="181"/>
      <c r="J4033" s="181"/>
      <c r="K4033" s="181"/>
      <c r="L4033" s="181"/>
      <c r="M4033" s="181"/>
      <c r="N4033" s="181"/>
      <c r="O4033" s="181"/>
      <c r="P4033" s="181"/>
    </row>
    <row r="4034">
      <c r="B4034" s="292"/>
      <c r="C4034" s="181"/>
      <c r="D4034" s="181"/>
      <c r="E4034" s="181"/>
      <c r="F4034" s="181"/>
      <c r="G4034" s="181"/>
      <c r="H4034" s="181"/>
      <c r="I4034" s="181"/>
      <c r="J4034" s="181"/>
      <c r="K4034" s="181"/>
      <c r="L4034" s="181"/>
      <c r="M4034" s="181"/>
      <c r="N4034" s="181"/>
      <c r="O4034" s="181"/>
      <c r="P4034" s="181"/>
    </row>
    <row r="4035">
      <c r="B4035" s="292"/>
      <c r="C4035" s="181"/>
      <c r="D4035" s="181"/>
      <c r="E4035" s="181"/>
      <c r="F4035" s="181"/>
      <c r="G4035" s="181"/>
      <c r="H4035" s="181"/>
      <c r="I4035" s="181"/>
      <c r="J4035" s="181"/>
      <c r="K4035" s="181"/>
      <c r="L4035" s="181"/>
      <c r="M4035" s="181"/>
      <c r="N4035" s="181"/>
      <c r="O4035" s="181"/>
      <c r="P4035" s="181"/>
    </row>
    <row r="4036">
      <c r="B4036" s="292"/>
      <c r="C4036" s="181"/>
      <c r="D4036" s="181"/>
      <c r="E4036" s="181"/>
      <c r="F4036" s="181"/>
      <c r="G4036" s="181"/>
      <c r="H4036" s="181"/>
      <c r="I4036" s="181"/>
      <c r="J4036" s="181"/>
      <c r="K4036" s="181"/>
      <c r="L4036" s="181"/>
      <c r="M4036" s="181"/>
      <c r="N4036" s="181"/>
      <c r="O4036" s="181"/>
      <c r="P4036" s="181"/>
    </row>
    <row r="4037">
      <c r="B4037" s="292"/>
      <c r="C4037" s="181"/>
      <c r="D4037" s="181"/>
      <c r="E4037" s="181"/>
      <c r="F4037" s="181"/>
      <c r="G4037" s="181"/>
      <c r="H4037" s="181"/>
      <c r="I4037" s="181"/>
      <c r="J4037" s="181"/>
      <c r="K4037" s="181"/>
      <c r="L4037" s="181"/>
      <c r="M4037" s="181"/>
      <c r="N4037" s="181"/>
      <c r="O4037" s="181"/>
      <c r="P4037" s="181"/>
    </row>
    <row r="4038">
      <c r="B4038" s="292"/>
      <c r="C4038" s="181"/>
      <c r="D4038" s="181"/>
      <c r="E4038" s="181"/>
      <c r="F4038" s="181"/>
      <c r="G4038" s="181"/>
      <c r="H4038" s="181"/>
      <c r="I4038" s="181"/>
      <c r="J4038" s="181"/>
      <c r="K4038" s="181"/>
      <c r="L4038" s="181"/>
      <c r="M4038" s="181"/>
      <c r="N4038" s="181"/>
      <c r="O4038" s="181"/>
      <c r="P4038" s="181"/>
    </row>
    <row r="4039">
      <c r="B4039" s="292"/>
      <c r="C4039" s="181"/>
      <c r="D4039" s="181"/>
      <c r="E4039" s="181"/>
      <c r="F4039" s="181"/>
      <c r="G4039" s="181"/>
      <c r="H4039" s="181"/>
      <c r="I4039" s="181"/>
      <c r="J4039" s="181"/>
      <c r="K4039" s="181"/>
      <c r="L4039" s="181"/>
      <c r="M4039" s="181"/>
      <c r="N4039" s="181"/>
      <c r="O4039" s="181"/>
      <c r="P4039" s="181"/>
    </row>
    <row r="4040">
      <c r="B4040" s="292"/>
      <c r="C4040" s="181"/>
      <c r="D4040" s="181"/>
      <c r="E4040" s="181"/>
      <c r="F4040" s="181"/>
      <c r="G4040" s="181"/>
      <c r="H4040" s="181"/>
      <c r="I4040" s="181"/>
      <c r="J4040" s="181"/>
      <c r="K4040" s="181"/>
      <c r="L4040" s="181"/>
      <c r="M4040" s="181"/>
      <c r="N4040" s="181"/>
      <c r="O4040" s="181"/>
      <c r="P4040" s="181"/>
    </row>
    <row r="4041">
      <c r="B4041" s="292"/>
      <c r="C4041" s="181"/>
      <c r="D4041" s="181"/>
      <c r="E4041" s="181"/>
      <c r="F4041" s="181"/>
      <c r="G4041" s="181"/>
      <c r="H4041" s="181"/>
      <c r="I4041" s="181"/>
      <c r="J4041" s="181"/>
      <c r="K4041" s="181"/>
      <c r="L4041" s="181"/>
      <c r="M4041" s="181"/>
      <c r="N4041" s="181"/>
      <c r="O4041" s="181"/>
      <c r="P4041" s="181"/>
    </row>
    <row r="4042">
      <c r="B4042" s="292"/>
      <c r="C4042" s="181"/>
      <c r="D4042" s="181"/>
      <c r="E4042" s="181"/>
      <c r="F4042" s="181"/>
      <c r="G4042" s="181"/>
      <c r="H4042" s="181"/>
      <c r="I4042" s="181"/>
      <c r="J4042" s="181"/>
      <c r="K4042" s="181"/>
      <c r="L4042" s="181"/>
      <c r="M4042" s="181"/>
      <c r="N4042" s="181"/>
      <c r="O4042" s="181"/>
      <c r="P4042" s="181"/>
    </row>
    <row r="4043">
      <c r="B4043" s="292"/>
      <c r="C4043" s="181"/>
      <c r="D4043" s="181"/>
      <c r="E4043" s="181"/>
      <c r="F4043" s="181"/>
      <c r="G4043" s="181"/>
      <c r="H4043" s="181"/>
      <c r="I4043" s="181"/>
      <c r="J4043" s="181"/>
      <c r="K4043" s="181"/>
      <c r="L4043" s="181"/>
      <c r="M4043" s="181"/>
      <c r="N4043" s="181"/>
      <c r="O4043" s="181"/>
      <c r="P4043" s="181"/>
    </row>
    <row r="4044">
      <c r="B4044" s="292"/>
      <c r="C4044" s="181"/>
      <c r="D4044" s="181"/>
      <c r="E4044" s="181"/>
      <c r="F4044" s="181"/>
      <c r="G4044" s="181"/>
      <c r="H4044" s="181"/>
      <c r="I4044" s="181"/>
      <c r="J4044" s="181"/>
      <c r="K4044" s="181"/>
      <c r="L4044" s="181"/>
      <c r="M4044" s="181"/>
      <c r="N4044" s="181"/>
      <c r="O4044" s="181"/>
      <c r="P4044" s="181"/>
    </row>
    <row r="4045">
      <c r="B4045" s="292"/>
      <c r="C4045" s="181"/>
      <c r="D4045" s="181"/>
      <c r="E4045" s="181"/>
      <c r="F4045" s="181"/>
      <c r="G4045" s="181"/>
      <c r="H4045" s="181"/>
      <c r="I4045" s="181"/>
      <c r="J4045" s="181"/>
      <c r="K4045" s="181"/>
      <c r="L4045" s="181"/>
      <c r="M4045" s="181"/>
      <c r="N4045" s="181"/>
      <c r="O4045" s="181"/>
      <c r="P4045" s="181"/>
    </row>
    <row r="4046">
      <c r="B4046" s="292"/>
      <c r="C4046" s="181"/>
      <c r="D4046" s="181"/>
      <c r="E4046" s="181"/>
      <c r="F4046" s="181"/>
      <c r="G4046" s="181"/>
      <c r="H4046" s="181"/>
      <c r="I4046" s="181"/>
      <c r="J4046" s="181"/>
      <c r="K4046" s="181"/>
      <c r="L4046" s="181"/>
      <c r="M4046" s="181"/>
      <c r="N4046" s="181"/>
      <c r="O4046" s="181"/>
      <c r="P4046" s="181"/>
    </row>
    <row r="4047">
      <c r="B4047" s="292"/>
      <c r="C4047" s="181"/>
      <c r="D4047" s="181"/>
      <c r="E4047" s="181"/>
      <c r="F4047" s="181"/>
      <c r="G4047" s="181"/>
      <c r="H4047" s="181"/>
      <c r="I4047" s="181"/>
      <c r="J4047" s="181"/>
      <c r="K4047" s="181"/>
      <c r="L4047" s="181"/>
      <c r="M4047" s="181"/>
      <c r="N4047" s="181"/>
      <c r="O4047" s="181"/>
      <c r="P4047" s="181"/>
    </row>
    <row r="4048">
      <c r="B4048" s="292"/>
      <c r="C4048" s="181"/>
      <c r="D4048" s="181"/>
      <c r="E4048" s="181"/>
      <c r="F4048" s="181"/>
      <c r="G4048" s="181"/>
      <c r="H4048" s="181"/>
      <c r="I4048" s="181"/>
      <c r="J4048" s="181"/>
      <c r="K4048" s="181"/>
      <c r="L4048" s="181"/>
      <c r="M4048" s="181"/>
      <c r="N4048" s="181"/>
      <c r="O4048" s="181"/>
      <c r="P4048" s="181"/>
    </row>
    <row r="4049">
      <c r="B4049" s="292"/>
      <c r="C4049" s="181"/>
      <c r="D4049" s="181"/>
      <c r="E4049" s="181"/>
      <c r="F4049" s="181"/>
      <c r="G4049" s="181"/>
      <c r="H4049" s="181"/>
      <c r="I4049" s="181"/>
      <c r="J4049" s="181"/>
      <c r="K4049" s="181"/>
      <c r="L4049" s="181"/>
      <c r="M4049" s="181"/>
      <c r="N4049" s="181"/>
      <c r="O4049" s="181"/>
      <c r="P4049" s="181"/>
    </row>
    <row r="4050">
      <c r="B4050" s="292"/>
      <c r="C4050" s="181"/>
      <c r="D4050" s="181"/>
      <c r="E4050" s="181"/>
      <c r="F4050" s="181"/>
      <c r="G4050" s="181"/>
      <c r="H4050" s="181"/>
      <c r="I4050" s="181"/>
      <c r="J4050" s="181"/>
      <c r="K4050" s="181"/>
      <c r="L4050" s="181"/>
      <c r="M4050" s="181"/>
      <c r="N4050" s="181"/>
      <c r="O4050" s="181"/>
      <c r="P4050" s="181"/>
    </row>
    <row r="4051">
      <c r="B4051" s="292"/>
      <c r="C4051" s="181"/>
      <c r="D4051" s="181"/>
      <c r="E4051" s="181"/>
      <c r="F4051" s="181"/>
      <c r="G4051" s="181"/>
      <c r="H4051" s="181"/>
      <c r="I4051" s="181"/>
      <c r="J4051" s="181"/>
      <c r="K4051" s="181"/>
      <c r="L4051" s="181"/>
      <c r="M4051" s="181"/>
      <c r="N4051" s="181"/>
      <c r="O4051" s="181"/>
      <c r="P4051" s="181"/>
    </row>
    <row r="4052">
      <c r="B4052" s="292"/>
      <c r="C4052" s="181"/>
      <c r="D4052" s="181"/>
      <c r="E4052" s="181"/>
      <c r="F4052" s="181"/>
      <c r="G4052" s="181"/>
      <c r="H4052" s="181"/>
      <c r="I4052" s="181"/>
      <c r="J4052" s="181"/>
      <c r="K4052" s="181"/>
      <c r="L4052" s="181"/>
      <c r="M4052" s="181"/>
      <c r="N4052" s="181"/>
      <c r="O4052" s="181"/>
      <c r="P4052" s="181"/>
    </row>
    <row r="4053">
      <c r="B4053" s="292"/>
      <c r="C4053" s="181"/>
      <c r="D4053" s="181"/>
      <c r="E4053" s="181"/>
      <c r="F4053" s="181"/>
      <c r="G4053" s="181"/>
      <c r="H4053" s="181"/>
      <c r="I4053" s="181"/>
      <c r="J4053" s="181"/>
      <c r="K4053" s="181"/>
      <c r="L4053" s="181"/>
      <c r="M4053" s="181"/>
      <c r="N4053" s="181"/>
      <c r="O4053" s="181"/>
      <c r="P4053" s="181"/>
    </row>
    <row r="4054">
      <c r="B4054" s="292"/>
      <c r="C4054" s="181"/>
      <c r="D4054" s="181"/>
      <c r="E4054" s="181"/>
      <c r="F4054" s="181"/>
      <c r="G4054" s="181"/>
      <c r="H4054" s="181"/>
      <c r="I4054" s="181"/>
      <c r="J4054" s="181"/>
      <c r="K4054" s="181"/>
      <c r="L4054" s="181"/>
      <c r="M4054" s="181"/>
      <c r="N4054" s="181"/>
      <c r="O4054" s="181"/>
      <c r="P4054" s="181"/>
    </row>
    <row r="4055">
      <c r="B4055" s="292"/>
      <c r="C4055" s="181"/>
      <c r="D4055" s="181"/>
      <c r="E4055" s="181"/>
      <c r="F4055" s="181"/>
      <c r="G4055" s="181"/>
      <c r="H4055" s="181"/>
      <c r="I4055" s="181"/>
      <c r="J4055" s="181"/>
      <c r="K4055" s="181"/>
      <c r="L4055" s="181"/>
      <c r="M4055" s="181"/>
      <c r="N4055" s="181"/>
      <c r="O4055" s="181"/>
      <c r="P4055" s="181"/>
    </row>
    <row r="4056">
      <c r="B4056" s="292"/>
      <c r="C4056" s="181"/>
      <c r="D4056" s="181"/>
      <c r="E4056" s="181"/>
      <c r="F4056" s="181"/>
      <c r="G4056" s="181"/>
      <c r="H4056" s="181"/>
      <c r="I4056" s="181"/>
      <c r="J4056" s="181"/>
      <c r="K4056" s="181"/>
      <c r="L4056" s="181"/>
      <c r="M4056" s="181"/>
      <c r="N4056" s="181"/>
      <c r="O4056" s="181"/>
      <c r="P4056" s="181"/>
    </row>
    <row r="4057">
      <c r="B4057" s="292"/>
      <c r="C4057" s="181"/>
      <c r="D4057" s="181"/>
      <c r="E4057" s="181"/>
      <c r="F4057" s="181"/>
      <c r="G4057" s="181"/>
      <c r="H4057" s="181"/>
      <c r="I4057" s="181"/>
      <c r="J4057" s="181"/>
      <c r="K4057" s="181"/>
      <c r="L4057" s="181"/>
      <c r="M4057" s="181"/>
      <c r="N4057" s="181"/>
      <c r="O4057" s="181"/>
      <c r="P4057" s="181"/>
    </row>
    <row r="4058">
      <c r="B4058" s="292"/>
      <c r="C4058" s="181"/>
      <c r="D4058" s="181"/>
      <c r="E4058" s="181"/>
      <c r="F4058" s="181"/>
      <c r="G4058" s="181"/>
      <c r="H4058" s="181"/>
      <c r="I4058" s="181"/>
      <c r="J4058" s="181"/>
      <c r="K4058" s="181"/>
      <c r="L4058" s="181"/>
      <c r="M4058" s="181"/>
      <c r="N4058" s="181"/>
      <c r="O4058" s="181"/>
      <c r="P4058" s="181"/>
    </row>
    <row r="4059">
      <c r="B4059" s="292"/>
      <c r="C4059" s="181"/>
      <c r="D4059" s="181"/>
      <c r="E4059" s="181"/>
      <c r="F4059" s="181"/>
      <c r="G4059" s="181"/>
      <c r="H4059" s="181"/>
      <c r="I4059" s="181"/>
      <c r="J4059" s="181"/>
      <c r="K4059" s="181"/>
      <c r="L4059" s="181"/>
      <c r="M4059" s="181"/>
      <c r="N4059" s="181"/>
      <c r="O4059" s="181"/>
      <c r="P4059" s="181"/>
    </row>
    <row r="4060">
      <c r="B4060" s="292"/>
      <c r="C4060" s="181"/>
      <c r="D4060" s="181"/>
      <c r="E4060" s="181"/>
      <c r="F4060" s="181"/>
      <c r="G4060" s="181"/>
      <c r="H4060" s="181"/>
      <c r="I4060" s="181"/>
      <c r="J4060" s="181"/>
      <c r="K4060" s="181"/>
      <c r="L4060" s="181"/>
      <c r="M4060" s="181"/>
      <c r="N4060" s="181"/>
      <c r="O4060" s="181"/>
      <c r="P4060" s="181"/>
    </row>
    <row r="4061">
      <c r="B4061" s="292"/>
      <c r="C4061" s="181"/>
      <c r="D4061" s="181"/>
      <c r="E4061" s="181"/>
      <c r="F4061" s="181"/>
      <c r="G4061" s="181"/>
      <c r="H4061" s="181"/>
      <c r="I4061" s="181"/>
      <c r="J4061" s="181"/>
      <c r="K4061" s="181"/>
      <c r="L4061" s="181"/>
      <c r="M4061" s="181"/>
      <c r="N4061" s="181"/>
      <c r="O4061" s="181"/>
      <c r="P4061" s="181"/>
    </row>
    <row r="4062">
      <c r="B4062" s="292"/>
      <c r="C4062" s="181"/>
      <c r="D4062" s="181"/>
      <c r="E4062" s="181"/>
      <c r="F4062" s="181"/>
      <c r="G4062" s="181"/>
      <c r="H4062" s="181"/>
      <c r="I4062" s="181"/>
      <c r="J4062" s="181"/>
      <c r="K4062" s="181"/>
      <c r="L4062" s="181"/>
      <c r="M4062" s="181"/>
      <c r="N4062" s="181"/>
      <c r="O4062" s="181"/>
      <c r="P4062" s="181"/>
    </row>
    <row r="4063">
      <c r="B4063" s="292"/>
      <c r="C4063" s="181"/>
      <c r="D4063" s="181"/>
      <c r="E4063" s="181"/>
      <c r="F4063" s="181"/>
      <c r="G4063" s="181"/>
      <c r="H4063" s="181"/>
      <c r="I4063" s="181"/>
      <c r="J4063" s="181"/>
      <c r="K4063" s="181"/>
      <c r="L4063" s="181"/>
      <c r="M4063" s="181"/>
      <c r="N4063" s="181"/>
      <c r="O4063" s="181"/>
      <c r="P4063" s="181"/>
    </row>
    <row r="4064">
      <c r="B4064" s="292"/>
      <c r="C4064" s="181"/>
      <c r="D4064" s="181"/>
      <c r="E4064" s="181"/>
      <c r="F4064" s="181"/>
      <c r="G4064" s="181"/>
      <c r="H4064" s="181"/>
      <c r="I4064" s="181"/>
      <c r="J4064" s="181"/>
      <c r="K4064" s="181"/>
      <c r="L4064" s="181"/>
      <c r="M4064" s="181"/>
      <c r="N4064" s="181"/>
      <c r="O4064" s="181"/>
      <c r="P4064" s="181"/>
    </row>
    <row r="4065">
      <c r="B4065" s="292"/>
      <c r="C4065" s="181"/>
      <c r="D4065" s="181"/>
      <c r="E4065" s="181"/>
      <c r="F4065" s="181"/>
      <c r="G4065" s="181"/>
      <c r="H4065" s="181"/>
      <c r="I4065" s="181"/>
      <c r="J4065" s="181"/>
      <c r="K4065" s="181"/>
      <c r="L4065" s="181"/>
      <c r="M4065" s="181"/>
      <c r="N4065" s="181"/>
      <c r="O4065" s="181"/>
      <c r="P4065" s="181"/>
    </row>
    <row r="4066">
      <c r="B4066" s="292"/>
      <c r="C4066" s="181"/>
      <c r="D4066" s="181"/>
      <c r="E4066" s="181"/>
      <c r="F4066" s="181"/>
      <c r="G4066" s="181"/>
      <c r="H4066" s="181"/>
      <c r="I4066" s="181"/>
      <c r="J4066" s="181"/>
      <c r="K4066" s="181"/>
      <c r="L4066" s="181"/>
      <c r="M4066" s="181"/>
      <c r="N4066" s="181"/>
      <c r="O4066" s="181"/>
      <c r="P4066" s="181"/>
    </row>
    <row r="4067">
      <c r="B4067" s="292"/>
      <c r="C4067" s="181"/>
      <c r="D4067" s="181"/>
      <c r="E4067" s="181"/>
      <c r="F4067" s="181"/>
      <c r="G4067" s="181"/>
      <c r="H4067" s="181"/>
      <c r="I4067" s="181"/>
      <c r="J4067" s="181"/>
      <c r="K4067" s="181"/>
      <c r="L4067" s="181"/>
      <c r="M4067" s="181"/>
      <c r="N4067" s="181"/>
      <c r="O4067" s="181"/>
      <c r="P4067" s="181"/>
    </row>
    <row r="4068">
      <c r="B4068" s="292"/>
      <c r="C4068" s="181"/>
      <c r="D4068" s="181"/>
      <c r="E4068" s="181"/>
      <c r="F4068" s="181"/>
      <c r="G4068" s="181"/>
      <c r="H4068" s="181"/>
      <c r="I4068" s="181"/>
      <c r="J4068" s="181"/>
      <c r="K4068" s="181"/>
      <c r="L4068" s="181"/>
      <c r="M4068" s="181"/>
      <c r="N4068" s="181"/>
      <c r="O4068" s="181"/>
      <c r="P4068" s="181"/>
    </row>
    <row r="4069">
      <c r="B4069" s="292"/>
      <c r="C4069" s="181"/>
      <c r="D4069" s="181"/>
      <c r="E4069" s="181"/>
      <c r="F4069" s="181"/>
      <c r="G4069" s="181"/>
      <c r="H4069" s="181"/>
      <c r="I4069" s="181"/>
      <c r="J4069" s="181"/>
      <c r="K4069" s="181"/>
      <c r="L4069" s="181"/>
      <c r="M4069" s="181"/>
      <c r="N4069" s="181"/>
      <c r="O4069" s="181"/>
      <c r="P4069" s="181"/>
    </row>
    <row r="4070">
      <c r="B4070" s="292"/>
      <c r="C4070" s="181"/>
      <c r="D4070" s="181"/>
      <c r="E4070" s="181"/>
      <c r="F4070" s="181"/>
      <c r="G4070" s="181"/>
      <c r="H4070" s="181"/>
      <c r="I4070" s="181"/>
      <c r="J4070" s="181"/>
      <c r="K4070" s="181"/>
      <c r="L4070" s="181"/>
      <c r="M4070" s="181"/>
      <c r="N4070" s="181"/>
      <c r="O4070" s="181"/>
      <c r="P4070" s="181"/>
    </row>
    <row r="4071">
      <c r="B4071" s="292"/>
      <c r="C4071" s="181"/>
      <c r="D4071" s="181"/>
      <c r="E4071" s="181"/>
      <c r="F4071" s="181"/>
      <c r="G4071" s="181"/>
      <c r="H4071" s="181"/>
      <c r="I4071" s="181"/>
      <c r="J4071" s="181"/>
      <c r="K4071" s="181"/>
      <c r="L4071" s="181"/>
      <c r="M4071" s="181"/>
      <c r="N4071" s="181"/>
      <c r="O4071" s="181"/>
      <c r="P4071" s="181"/>
    </row>
    <row r="4072">
      <c r="B4072" s="292"/>
      <c r="C4072" s="181"/>
      <c r="D4072" s="181"/>
      <c r="E4072" s="181"/>
      <c r="F4072" s="181"/>
      <c r="G4072" s="181"/>
      <c r="H4072" s="181"/>
      <c r="I4072" s="181"/>
      <c r="J4072" s="181"/>
      <c r="K4072" s="181"/>
      <c r="L4072" s="181"/>
      <c r="M4072" s="181"/>
      <c r="N4072" s="181"/>
      <c r="O4072" s="181"/>
      <c r="P4072" s="181"/>
    </row>
    <row r="4073">
      <c r="B4073" s="292"/>
      <c r="C4073" s="181"/>
      <c r="D4073" s="181"/>
      <c r="E4073" s="181"/>
      <c r="F4073" s="181"/>
      <c r="G4073" s="181"/>
      <c r="H4073" s="181"/>
      <c r="I4073" s="181"/>
      <c r="J4073" s="181"/>
      <c r="K4073" s="181"/>
      <c r="L4073" s="181"/>
      <c r="M4073" s="181"/>
      <c r="N4073" s="181"/>
      <c r="O4073" s="181"/>
      <c r="P4073" s="181"/>
    </row>
    <row r="4074">
      <c r="B4074" s="292"/>
      <c r="C4074" s="181"/>
      <c r="D4074" s="181"/>
      <c r="E4074" s="181"/>
      <c r="F4074" s="181"/>
      <c r="G4074" s="181"/>
      <c r="H4074" s="181"/>
      <c r="I4074" s="181"/>
      <c r="J4074" s="181"/>
      <c r="K4074" s="181"/>
      <c r="L4074" s="181"/>
      <c r="M4074" s="181"/>
      <c r="N4074" s="181"/>
      <c r="O4074" s="181"/>
      <c r="P4074" s="181"/>
    </row>
    <row r="4075">
      <c r="B4075" s="292"/>
      <c r="C4075" s="181"/>
      <c r="D4075" s="181"/>
      <c r="E4075" s="181"/>
      <c r="F4075" s="181"/>
      <c r="G4075" s="181"/>
      <c r="H4075" s="181"/>
      <c r="I4075" s="181"/>
      <c r="J4075" s="181"/>
      <c r="K4075" s="181"/>
      <c r="L4075" s="181"/>
      <c r="M4075" s="181"/>
      <c r="N4075" s="181"/>
      <c r="O4075" s="181"/>
      <c r="P4075" s="181"/>
    </row>
    <row r="4076">
      <c r="B4076" s="292"/>
      <c r="C4076" s="181"/>
      <c r="D4076" s="181"/>
      <c r="E4076" s="181"/>
      <c r="F4076" s="181"/>
      <c r="G4076" s="181"/>
      <c r="H4076" s="181"/>
      <c r="I4076" s="181"/>
      <c r="J4076" s="181"/>
      <c r="K4076" s="181"/>
      <c r="L4076" s="181"/>
      <c r="M4076" s="181"/>
      <c r="N4076" s="181"/>
      <c r="O4076" s="181"/>
      <c r="P4076" s="181"/>
    </row>
    <row r="4077">
      <c r="B4077" s="292"/>
      <c r="C4077" s="181"/>
      <c r="D4077" s="181"/>
      <c r="E4077" s="181"/>
      <c r="F4077" s="181"/>
      <c r="G4077" s="181"/>
      <c r="H4077" s="181"/>
      <c r="I4077" s="181"/>
      <c r="J4077" s="181"/>
      <c r="K4077" s="181"/>
      <c r="L4077" s="181"/>
      <c r="M4077" s="181"/>
      <c r="N4077" s="181"/>
      <c r="O4077" s="181"/>
      <c r="P4077" s="181"/>
    </row>
    <row r="4078">
      <c r="B4078" s="292"/>
      <c r="C4078" s="181"/>
      <c r="D4078" s="181"/>
      <c r="E4078" s="181"/>
      <c r="F4078" s="181"/>
      <c r="G4078" s="181"/>
      <c r="H4078" s="181"/>
      <c r="I4078" s="181"/>
      <c r="J4078" s="181"/>
      <c r="K4078" s="181"/>
      <c r="L4078" s="181"/>
      <c r="M4078" s="181"/>
      <c r="N4078" s="181"/>
      <c r="O4078" s="181"/>
      <c r="P4078" s="181"/>
    </row>
    <row r="4079">
      <c r="B4079" s="292"/>
      <c r="C4079" s="181"/>
      <c r="D4079" s="181"/>
      <c r="E4079" s="181"/>
      <c r="F4079" s="181"/>
      <c r="G4079" s="181"/>
      <c r="H4079" s="181"/>
      <c r="I4079" s="181"/>
      <c r="J4079" s="181"/>
      <c r="K4079" s="181"/>
      <c r="L4079" s="181"/>
      <c r="M4079" s="181"/>
      <c r="N4079" s="181"/>
      <c r="O4079" s="181"/>
      <c r="P4079" s="181"/>
    </row>
    <row r="4080">
      <c r="B4080" s="292"/>
      <c r="C4080" s="181"/>
      <c r="D4080" s="181"/>
      <c r="E4080" s="181"/>
      <c r="F4080" s="181"/>
      <c r="G4080" s="181"/>
      <c r="H4080" s="181"/>
      <c r="I4080" s="181"/>
      <c r="J4080" s="181"/>
      <c r="K4080" s="181"/>
      <c r="L4080" s="181"/>
      <c r="M4080" s="181"/>
      <c r="N4080" s="181"/>
      <c r="O4080" s="181"/>
      <c r="P4080" s="181"/>
    </row>
    <row r="4081">
      <c r="B4081" s="292"/>
      <c r="C4081" s="181"/>
      <c r="D4081" s="181"/>
      <c r="E4081" s="181"/>
      <c r="F4081" s="181"/>
      <c r="G4081" s="181"/>
      <c r="H4081" s="181"/>
      <c r="I4081" s="181"/>
      <c r="J4081" s="181"/>
      <c r="K4081" s="181"/>
      <c r="L4081" s="181"/>
      <c r="M4081" s="181"/>
      <c r="N4081" s="181"/>
      <c r="O4081" s="181"/>
      <c r="P4081" s="181"/>
    </row>
    <row r="4082">
      <c r="B4082" s="292"/>
      <c r="C4082" s="181"/>
      <c r="D4082" s="181"/>
      <c r="E4082" s="181"/>
      <c r="F4082" s="181"/>
      <c r="G4082" s="181"/>
      <c r="H4082" s="181"/>
      <c r="I4082" s="181"/>
      <c r="J4082" s="181"/>
      <c r="K4082" s="181"/>
      <c r="L4082" s="181"/>
      <c r="M4082" s="181"/>
      <c r="N4082" s="181"/>
      <c r="O4082" s="181"/>
      <c r="P4082" s="181"/>
    </row>
    <row r="4083">
      <c r="B4083" s="292"/>
      <c r="C4083" s="181"/>
      <c r="D4083" s="181"/>
      <c r="E4083" s="181"/>
      <c r="F4083" s="181"/>
      <c r="G4083" s="181"/>
      <c r="H4083" s="181"/>
      <c r="I4083" s="181"/>
      <c r="J4083" s="181"/>
      <c r="K4083" s="181"/>
      <c r="L4083" s="181"/>
      <c r="M4083" s="181"/>
      <c r="N4083" s="181"/>
      <c r="O4083" s="181"/>
      <c r="P4083" s="181"/>
    </row>
    <row r="4084">
      <c r="B4084" s="292"/>
      <c r="C4084" s="181"/>
      <c r="D4084" s="181"/>
      <c r="E4084" s="181"/>
      <c r="F4084" s="181"/>
      <c r="G4084" s="181"/>
      <c r="H4084" s="181"/>
      <c r="I4084" s="181"/>
      <c r="J4084" s="181"/>
      <c r="K4084" s="181"/>
      <c r="L4084" s="181"/>
      <c r="M4084" s="181"/>
      <c r="N4084" s="181"/>
      <c r="O4084" s="181"/>
      <c r="P4084" s="181"/>
    </row>
    <row r="4085">
      <c r="B4085" s="292"/>
      <c r="C4085" s="181"/>
      <c r="D4085" s="181"/>
      <c r="E4085" s="181"/>
      <c r="F4085" s="181"/>
      <c r="G4085" s="181"/>
      <c r="H4085" s="181"/>
      <c r="I4085" s="181"/>
      <c r="J4085" s="181"/>
      <c r="K4085" s="181"/>
      <c r="L4085" s="181"/>
      <c r="M4085" s="181"/>
      <c r="N4085" s="181"/>
      <c r="O4085" s="181"/>
      <c r="P4085" s="181"/>
    </row>
    <row r="4086">
      <c r="B4086" s="292"/>
      <c r="C4086" s="181"/>
      <c r="D4086" s="181"/>
      <c r="E4086" s="181"/>
      <c r="F4086" s="181"/>
      <c r="G4086" s="181"/>
      <c r="H4086" s="181"/>
      <c r="I4086" s="181"/>
      <c r="J4086" s="181"/>
      <c r="K4086" s="181"/>
      <c r="L4086" s="181"/>
      <c r="M4086" s="181"/>
      <c r="N4086" s="181"/>
      <c r="O4086" s="181"/>
      <c r="P4086" s="181"/>
    </row>
    <row r="4087">
      <c r="B4087" s="292"/>
      <c r="C4087" s="181"/>
      <c r="D4087" s="181"/>
      <c r="E4087" s="181"/>
      <c r="F4087" s="181"/>
      <c r="G4087" s="181"/>
      <c r="H4087" s="181"/>
      <c r="I4087" s="181"/>
      <c r="J4087" s="181"/>
      <c r="K4087" s="181"/>
      <c r="L4087" s="181"/>
      <c r="M4087" s="181"/>
      <c r="N4087" s="181"/>
      <c r="O4087" s="181"/>
      <c r="P4087" s="181"/>
    </row>
    <row r="4088">
      <c r="B4088" s="292"/>
      <c r="C4088" s="181"/>
      <c r="D4088" s="181"/>
      <c r="E4088" s="181"/>
      <c r="F4088" s="181"/>
      <c r="G4088" s="181"/>
      <c r="H4088" s="181"/>
      <c r="I4088" s="181"/>
      <c r="J4088" s="181"/>
      <c r="K4088" s="181"/>
      <c r="L4088" s="181"/>
      <c r="M4088" s="181"/>
      <c r="N4088" s="181"/>
      <c r="O4088" s="181"/>
      <c r="P4088" s="181"/>
    </row>
    <row r="4089">
      <c r="B4089" s="292"/>
      <c r="C4089" s="181"/>
      <c r="D4089" s="181"/>
      <c r="E4089" s="181"/>
      <c r="F4089" s="181"/>
      <c r="G4089" s="181"/>
      <c r="H4089" s="181"/>
      <c r="I4089" s="181"/>
      <c r="J4089" s="181"/>
      <c r="K4089" s="181"/>
      <c r="L4089" s="181"/>
      <c r="M4089" s="181"/>
      <c r="N4089" s="181"/>
      <c r="O4089" s="181"/>
      <c r="P4089" s="181"/>
    </row>
    <row r="4090">
      <c r="B4090" s="292"/>
      <c r="C4090" s="181"/>
      <c r="D4090" s="181"/>
      <c r="E4090" s="181"/>
      <c r="F4090" s="181"/>
      <c r="G4090" s="181"/>
      <c r="H4090" s="181"/>
      <c r="I4090" s="181"/>
      <c r="J4090" s="181"/>
      <c r="K4090" s="181"/>
      <c r="L4090" s="181"/>
      <c r="M4090" s="181"/>
      <c r="N4090" s="181"/>
      <c r="O4090" s="181"/>
      <c r="P4090" s="181"/>
    </row>
    <row r="4091">
      <c r="B4091" s="292"/>
      <c r="C4091" s="181"/>
      <c r="D4091" s="181"/>
      <c r="E4091" s="181"/>
      <c r="F4091" s="181"/>
      <c r="G4091" s="181"/>
      <c r="H4091" s="181"/>
      <c r="I4091" s="181"/>
      <c r="J4091" s="181"/>
      <c r="K4091" s="181"/>
      <c r="L4091" s="181"/>
      <c r="M4091" s="181"/>
      <c r="N4091" s="181"/>
      <c r="O4091" s="181"/>
      <c r="P4091" s="181"/>
    </row>
    <row r="4092">
      <c r="B4092" s="292"/>
      <c r="C4092" s="181"/>
      <c r="D4092" s="181"/>
      <c r="E4092" s="181"/>
      <c r="F4092" s="181"/>
      <c r="G4092" s="181"/>
      <c r="H4092" s="181"/>
      <c r="I4092" s="181"/>
      <c r="J4092" s="181"/>
      <c r="K4092" s="181"/>
      <c r="L4092" s="181"/>
      <c r="M4092" s="181"/>
      <c r="N4092" s="181"/>
      <c r="O4092" s="181"/>
      <c r="P4092" s="181"/>
    </row>
    <row r="4093">
      <c r="B4093" s="292"/>
      <c r="C4093" s="181"/>
      <c r="D4093" s="181"/>
      <c r="E4093" s="181"/>
      <c r="F4093" s="181"/>
      <c r="G4093" s="181"/>
      <c r="H4093" s="181"/>
      <c r="I4093" s="181"/>
      <c r="J4093" s="181"/>
      <c r="K4093" s="181"/>
      <c r="L4093" s="181"/>
      <c r="M4093" s="181"/>
      <c r="N4093" s="181"/>
      <c r="O4093" s="181"/>
      <c r="P4093" s="181"/>
    </row>
    <row r="4094">
      <c r="B4094" s="292"/>
      <c r="C4094" s="181"/>
      <c r="D4094" s="181"/>
      <c r="E4094" s="181"/>
      <c r="F4094" s="181"/>
      <c r="G4094" s="181"/>
      <c r="H4094" s="181"/>
      <c r="I4094" s="181"/>
      <c r="J4094" s="181"/>
      <c r="K4094" s="181"/>
      <c r="L4094" s="181"/>
      <c r="M4094" s="181"/>
      <c r="N4094" s="181"/>
      <c r="O4094" s="181"/>
      <c r="P4094" s="181"/>
    </row>
    <row r="4095">
      <c r="B4095" s="292"/>
      <c r="C4095" s="181"/>
      <c r="D4095" s="181"/>
      <c r="E4095" s="181"/>
      <c r="F4095" s="181"/>
      <c r="G4095" s="181"/>
      <c r="H4095" s="181"/>
      <c r="I4095" s="181"/>
      <c r="J4095" s="181"/>
      <c r="K4095" s="181"/>
      <c r="L4095" s="181"/>
      <c r="M4095" s="181"/>
      <c r="N4095" s="181"/>
      <c r="O4095" s="181"/>
      <c r="P4095" s="181"/>
    </row>
    <row r="4096">
      <c r="B4096" s="292"/>
      <c r="C4096" s="181"/>
      <c r="D4096" s="181"/>
      <c r="E4096" s="181"/>
      <c r="F4096" s="181"/>
      <c r="G4096" s="181"/>
      <c r="H4096" s="181"/>
      <c r="I4096" s="181"/>
      <c r="J4096" s="181"/>
      <c r="K4096" s="181"/>
      <c r="L4096" s="181"/>
      <c r="M4096" s="181"/>
      <c r="N4096" s="181"/>
      <c r="O4096" s="181"/>
      <c r="P4096" s="181"/>
    </row>
    <row r="4097">
      <c r="B4097" s="292"/>
      <c r="C4097" s="181"/>
      <c r="D4097" s="181"/>
      <c r="E4097" s="181"/>
      <c r="F4097" s="181"/>
      <c r="G4097" s="181"/>
      <c r="H4097" s="181"/>
      <c r="I4097" s="181"/>
      <c r="J4097" s="181"/>
      <c r="K4097" s="181"/>
      <c r="L4097" s="181"/>
      <c r="M4097" s="181"/>
      <c r="N4097" s="181"/>
      <c r="O4097" s="181"/>
      <c r="P4097" s="181"/>
    </row>
    <row r="4098">
      <c r="B4098" s="292"/>
      <c r="C4098" s="181"/>
      <c r="D4098" s="181"/>
      <c r="E4098" s="181"/>
      <c r="F4098" s="181"/>
      <c r="G4098" s="181"/>
      <c r="H4098" s="181"/>
      <c r="I4098" s="181"/>
      <c r="J4098" s="181"/>
      <c r="K4098" s="181"/>
      <c r="L4098" s="181"/>
      <c r="M4098" s="181"/>
      <c r="N4098" s="181"/>
      <c r="O4098" s="181"/>
      <c r="P4098" s="181"/>
    </row>
    <row r="4099">
      <c r="B4099" s="292"/>
      <c r="C4099" s="181"/>
      <c r="D4099" s="181"/>
      <c r="E4099" s="181"/>
      <c r="F4099" s="181"/>
      <c r="G4099" s="181"/>
      <c r="H4099" s="181"/>
      <c r="I4099" s="181"/>
      <c r="J4099" s="181"/>
      <c r="K4099" s="181"/>
      <c r="L4099" s="181"/>
      <c r="M4099" s="181"/>
      <c r="N4099" s="181"/>
      <c r="O4099" s="181"/>
      <c r="P4099" s="181"/>
    </row>
    <row r="4100">
      <c r="B4100" s="292"/>
      <c r="C4100" s="181"/>
      <c r="D4100" s="181"/>
      <c r="E4100" s="181"/>
      <c r="F4100" s="181"/>
      <c r="G4100" s="181"/>
      <c r="H4100" s="181"/>
      <c r="I4100" s="181"/>
      <c r="J4100" s="181"/>
      <c r="K4100" s="181"/>
      <c r="L4100" s="181"/>
      <c r="M4100" s="181"/>
      <c r="N4100" s="181"/>
      <c r="O4100" s="181"/>
      <c r="P4100" s="181"/>
    </row>
    <row r="4101">
      <c r="B4101" s="292"/>
      <c r="C4101" s="181"/>
      <c r="D4101" s="181"/>
      <c r="E4101" s="181"/>
      <c r="F4101" s="181"/>
      <c r="G4101" s="181"/>
      <c r="H4101" s="181"/>
      <c r="I4101" s="181"/>
      <c r="J4101" s="181"/>
      <c r="K4101" s="181"/>
      <c r="L4101" s="181"/>
      <c r="M4101" s="181"/>
      <c r="N4101" s="181"/>
      <c r="O4101" s="181"/>
      <c r="P4101" s="181"/>
    </row>
    <row r="4102">
      <c r="B4102" s="292"/>
      <c r="C4102" s="181"/>
      <c r="D4102" s="181"/>
      <c r="E4102" s="181"/>
      <c r="F4102" s="181"/>
      <c r="G4102" s="181"/>
      <c r="H4102" s="181"/>
      <c r="I4102" s="181"/>
      <c r="J4102" s="181"/>
      <c r="K4102" s="181"/>
      <c r="L4102" s="181"/>
      <c r="M4102" s="181"/>
      <c r="N4102" s="181"/>
      <c r="O4102" s="181"/>
      <c r="P4102" s="181"/>
    </row>
    <row r="4103">
      <c r="B4103" s="292"/>
      <c r="C4103" s="181"/>
      <c r="D4103" s="181"/>
      <c r="E4103" s="181"/>
      <c r="F4103" s="181"/>
      <c r="G4103" s="181"/>
      <c r="H4103" s="181"/>
      <c r="I4103" s="181"/>
      <c r="J4103" s="181"/>
      <c r="K4103" s="181"/>
      <c r="L4103" s="181"/>
      <c r="M4103" s="181"/>
      <c r="N4103" s="181"/>
      <c r="O4103" s="181"/>
      <c r="P4103" s="181"/>
    </row>
    <row r="4104">
      <c r="B4104" s="292"/>
      <c r="C4104" s="181"/>
      <c r="D4104" s="181"/>
      <c r="E4104" s="181"/>
      <c r="F4104" s="181"/>
      <c r="G4104" s="181"/>
      <c r="H4104" s="181"/>
      <c r="I4104" s="181"/>
      <c r="J4104" s="181"/>
      <c r="K4104" s="181"/>
      <c r="L4104" s="181"/>
      <c r="M4104" s="181"/>
      <c r="N4104" s="181"/>
      <c r="O4104" s="181"/>
      <c r="P4104" s="181"/>
    </row>
    <row r="4105">
      <c r="B4105" s="292"/>
      <c r="C4105" s="181"/>
      <c r="D4105" s="181"/>
      <c r="E4105" s="181"/>
      <c r="F4105" s="181"/>
      <c r="G4105" s="181"/>
      <c r="H4105" s="181"/>
      <c r="I4105" s="181"/>
      <c r="J4105" s="181"/>
      <c r="K4105" s="181"/>
      <c r="L4105" s="181"/>
      <c r="M4105" s="181"/>
      <c r="N4105" s="181"/>
      <c r="O4105" s="181"/>
      <c r="P4105" s="181"/>
    </row>
    <row r="4106">
      <c r="B4106" s="292"/>
      <c r="C4106" s="181"/>
      <c r="D4106" s="181"/>
      <c r="E4106" s="181"/>
      <c r="F4106" s="181"/>
      <c r="G4106" s="181"/>
      <c r="H4106" s="181"/>
      <c r="I4106" s="181"/>
      <c r="J4106" s="181"/>
      <c r="K4106" s="181"/>
      <c r="L4106" s="181"/>
      <c r="M4106" s="181"/>
      <c r="N4106" s="181"/>
      <c r="O4106" s="181"/>
      <c r="P4106" s="181"/>
    </row>
    <row r="4107">
      <c r="B4107" s="292"/>
      <c r="C4107" s="181"/>
      <c r="D4107" s="181"/>
      <c r="E4107" s="181"/>
      <c r="F4107" s="181"/>
      <c r="G4107" s="181"/>
      <c r="H4107" s="181"/>
      <c r="I4107" s="181"/>
      <c r="J4107" s="181"/>
      <c r="K4107" s="181"/>
      <c r="L4107" s="181"/>
      <c r="M4107" s="181"/>
      <c r="N4107" s="181"/>
      <c r="O4107" s="181"/>
      <c r="P4107" s="181"/>
    </row>
    <row r="4108">
      <c r="B4108" s="292"/>
      <c r="C4108" s="181"/>
      <c r="D4108" s="181"/>
      <c r="E4108" s="181"/>
      <c r="F4108" s="181"/>
      <c r="G4108" s="181"/>
      <c r="H4108" s="181"/>
      <c r="I4108" s="181"/>
      <c r="J4108" s="181"/>
      <c r="K4108" s="181"/>
      <c r="L4108" s="181"/>
      <c r="M4108" s="181"/>
      <c r="N4108" s="181"/>
      <c r="O4108" s="181"/>
      <c r="P4108" s="181"/>
    </row>
    <row r="4109">
      <c r="B4109" s="292"/>
      <c r="C4109" s="181"/>
      <c r="D4109" s="181"/>
      <c r="E4109" s="181"/>
      <c r="F4109" s="181"/>
      <c r="G4109" s="181"/>
      <c r="H4109" s="181"/>
      <c r="I4109" s="181"/>
      <c r="J4109" s="181"/>
      <c r="K4109" s="181"/>
      <c r="L4109" s="181"/>
      <c r="M4109" s="181"/>
      <c r="N4109" s="181"/>
      <c r="O4109" s="181"/>
      <c r="P4109" s="181"/>
    </row>
    <row r="4110">
      <c r="B4110" s="292"/>
      <c r="C4110" s="181"/>
      <c r="D4110" s="181"/>
      <c r="E4110" s="181"/>
      <c r="F4110" s="181"/>
      <c r="G4110" s="181"/>
      <c r="H4110" s="181"/>
      <c r="I4110" s="181"/>
      <c r="J4110" s="181"/>
      <c r="K4110" s="181"/>
      <c r="L4110" s="181"/>
      <c r="M4110" s="181"/>
      <c r="N4110" s="181"/>
      <c r="O4110" s="181"/>
      <c r="P4110" s="181"/>
    </row>
    <row r="4111">
      <c r="B4111" s="292"/>
      <c r="C4111" s="181"/>
      <c r="D4111" s="181"/>
      <c r="E4111" s="181"/>
      <c r="F4111" s="181"/>
      <c r="G4111" s="181"/>
      <c r="H4111" s="181"/>
      <c r="I4111" s="181"/>
      <c r="J4111" s="181"/>
      <c r="K4111" s="181"/>
      <c r="L4111" s="181"/>
      <c r="M4111" s="181"/>
      <c r="N4111" s="181"/>
      <c r="O4111" s="181"/>
      <c r="P4111" s="181"/>
    </row>
    <row r="4112">
      <c r="B4112" s="292"/>
      <c r="C4112" s="181"/>
      <c r="D4112" s="181"/>
      <c r="E4112" s="181"/>
      <c r="F4112" s="181"/>
      <c r="G4112" s="181"/>
      <c r="H4112" s="181"/>
      <c r="I4112" s="181"/>
      <c r="J4112" s="181"/>
      <c r="K4112" s="181"/>
      <c r="L4112" s="181"/>
      <c r="M4112" s="181"/>
      <c r="N4112" s="181"/>
      <c r="O4112" s="181"/>
      <c r="P4112" s="181"/>
    </row>
    <row r="4113">
      <c r="B4113" s="292"/>
      <c r="C4113" s="181"/>
      <c r="D4113" s="181"/>
      <c r="E4113" s="181"/>
      <c r="F4113" s="181"/>
      <c r="G4113" s="181"/>
      <c r="H4113" s="181"/>
      <c r="I4113" s="181"/>
      <c r="J4113" s="181"/>
      <c r="K4113" s="181"/>
      <c r="L4113" s="181"/>
      <c r="M4113" s="181"/>
      <c r="N4113" s="181"/>
      <c r="O4113" s="181"/>
      <c r="P4113" s="181"/>
    </row>
    <row r="4114">
      <c r="B4114" s="292"/>
      <c r="C4114" s="181"/>
      <c r="D4114" s="181"/>
      <c r="E4114" s="181"/>
      <c r="F4114" s="181"/>
      <c r="G4114" s="181"/>
      <c r="H4114" s="181"/>
      <c r="I4114" s="181"/>
      <c r="J4114" s="181"/>
      <c r="K4114" s="181"/>
      <c r="L4114" s="181"/>
      <c r="M4114" s="181"/>
      <c r="N4114" s="181"/>
      <c r="O4114" s="181"/>
      <c r="P4114" s="181"/>
    </row>
    <row r="4115">
      <c r="B4115" s="292"/>
      <c r="C4115" s="181"/>
      <c r="D4115" s="181"/>
      <c r="E4115" s="181"/>
      <c r="F4115" s="181"/>
      <c r="G4115" s="181"/>
      <c r="H4115" s="181"/>
      <c r="I4115" s="181"/>
      <c r="J4115" s="181"/>
      <c r="K4115" s="181"/>
      <c r="L4115" s="181"/>
      <c r="M4115" s="181"/>
      <c r="N4115" s="181"/>
      <c r="O4115" s="181"/>
      <c r="P4115" s="181"/>
    </row>
    <row r="4116">
      <c r="B4116" s="292"/>
      <c r="C4116" s="181"/>
      <c r="D4116" s="181"/>
      <c r="E4116" s="181"/>
      <c r="F4116" s="181"/>
      <c r="G4116" s="181"/>
      <c r="H4116" s="181"/>
      <c r="I4116" s="181"/>
      <c r="J4116" s="181"/>
      <c r="K4116" s="181"/>
      <c r="L4116" s="181"/>
      <c r="M4116" s="181"/>
      <c r="N4116" s="181"/>
      <c r="O4116" s="181"/>
      <c r="P4116" s="181"/>
    </row>
    <row r="4117">
      <c r="B4117" s="292"/>
      <c r="C4117" s="181"/>
      <c r="D4117" s="181"/>
      <c r="E4117" s="181"/>
      <c r="F4117" s="181"/>
      <c r="G4117" s="181"/>
      <c r="H4117" s="181"/>
      <c r="I4117" s="181"/>
      <c r="J4117" s="181"/>
      <c r="K4117" s="181"/>
      <c r="L4117" s="181"/>
      <c r="M4117" s="181"/>
      <c r="N4117" s="181"/>
      <c r="O4117" s="181"/>
      <c r="P4117" s="181"/>
    </row>
    <row r="4118">
      <c r="B4118" s="292"/>
      <c r="C4118" s="181"/>
      <c r="D4118" s="181"/>
      <c r="E4118" s="181"/>
      <c r="F4118" s="181"/>
      <c r="G4118" s="181"/>
      <c r="H4118" s="181"/>
      <c r="I4118" s="181"/>
      <c r="J4118" s="181"/>
      <c r="K4118" s="181"/>
      <c r="L4118" s="181"/>
      <c r="M4118" s="181"/>
      <c r="N4118" s="181"/>
      <c r="O4118" s="181"/>
      <c r="P4118" s="181"/>
    </row>
    <row r="4119">
      <c r="B4119" s="292"/>
      <c r="C4119" s="181"/>
      <c r="D4119" s="181"/>
      <c r="E4119" s="181"/>
      <c r="F4119" s="181"/>
      <c r="G4119" s="181"/>
      <c r="H4119" s="181"/>
      <c r="I4119" s="181"/>
      <c r="J4119" s="181"/>
      <c r="K4119" s="181"/>
      <c r="L4119" s="181"/>
      <c r="M4119" s="181"/>
      <c r="N4119" s="181"/>
      <c r="O4119" s="181"/>
      <c r="P4119" s="181"/>
    </row>
    <row r="4120">
      <c r="B4120" s="292"/>
      <c r="C4120" s="181"/>
      <c r="D4120" s="181"/>
      <c r="E4120" s="181"/>
      <c r="F4120" s="181"/>
      <c r="G4120" s="181"/>
      <c r="H4120" s="181"/>
      <c r="I4120" s="181"/>
      <c r="J4120" s="181"/>
      <c r="K4120" s="181"/>
      <c r="L4120" s="181"/>
      <c r="M4120" s="181"/>
      <c r="N4120" s="181"/>
      <c r="O4120" s="181"/>
      <c r="P4120" s="181"/>
    </row>
    <row r="4121">
      <c r="B4121" s="292"/>
      <c r="C4121" s="181"/>
      <c r="D4121" s="181"/>
      <c r="E4121" s="181"/>
      <c r="F4121" s="181"/>
      <c r="G4121" s="181"/>
      <c r="H4121" s="181"/>
      <c r="I4121" s="181"/>
      <c r="J4121" s="181"/>
      <c r="K4121" s="181"/>
      <c r="L4121" s="181"/>
      <c r="M4121" s="181"/>
      <c r="N4121" s="181"/>
      <c r="O4121" s="181"/>
      <c r="P4121" s="181"/>
    </row>
    <row r="4122">
      <c r="B4122" s="292"/>
      <c r="C4122" s="181"/>
      <c r="D4122" s="181"/>
      <c r="E4122" s="181"/>
      <c r="F4122" s="181"/>
      <c r="G4122" s="181"/>
      <c r="H4122" s="181"/>
      <c r="I4122" s="181"/>
      <c r="J4122" s="181"/>
      <c r="K4122" s="181"/>
      <c r="L4122" s="181"/>
      <c r="M4122" s="181"/>
      <c r="N4122" s="181"/>
      <c r="O4122" s="181"/>
      <c r="P4122" s="181"/>
    </row>
    <row r="4123">
      <c r="B4123" s="292"/>
      <c r="C4123" s="181"/>
      <c r="D4123" s="181"/>
      <c r="E4123" s="181"/>
      <c r="F4123" s="181"/>
      <c r="G4123" s="181"/>
      <c r="H4123" s="181"/>
      <c r="I4123" s="181"/>
      <c r="J4123" s="181"/>
      <c r="K4123" s="181"/>
      <c r="L4123" s="181"/>
      <c r="M4123" s="181"/>
      <c r="N4123" s="181"/>
      <c r="O4123" s="181"/>
      <c r="P4123" s="181"/>
    </row>
    <row r="4124">
      <c r="B4124" s="292"/>
      <c r="C4124" s="181"/>
      <c r="D4124" s="181"/>
      <c r="E4124" s="181"/>
      <c r="F4124" s="181"/>
      <c r="G4124" s="181"/>
      <c r="H4124" s="181"/>
      <c r="I4124" s="181"/>
      <c r="J4124" s="181"/>
      <c r="K4124" s="181"/>
      <c r="L4124" s="181"/>
      <c r="M4124" s="181"/>
      <c r="N4124" s="181"/>
      <c r="O4124" s="181"/>
      <c r="P4124" s="181"/>
    </row>
    <row r="4125">
      <c r="B4125" s="292"/>
      <c r="C4125" s="181"/>
      <c r="D4125" s="181"/>
      <c r="E4125" s="181"/>
      <c r="F4125" s="181"/>
      <c r="G4125" s="181"/>
      <c r="H4125" s="181"/>
      <c r="I4125" s="181"/>
      <c r="J4125" s="181"/>
      <c r="K4125" s="181"/>
      <c r="L4125" s="181"/>
      <c r="M4125" s="181"/>
      <c r="N4125" s="181"/>
      <c r="O4125" s="181"/>
      <c r="P4125" s="181"/>
    </row>
    <row r="4126">
      <c r="B4126" s="292"/>
      <c r="C4126" s="181"/>
      <c r="D4126" s="181"/>
      <c r="E4126" s="181"/>
      <c r="F4126" s="181"/>
      <c r="G4126" s="181"/>
      <c r="H4126" s="181"/>
      <c r="I4126" s="181"/>
      <c r="J4126" s="181"/>
      <c r="K4126" s="181"/>
      <c r="L4126" s="181"/>
      <c r="M4126" s="181"/>
      <c r="N4126" s="181"/>
      <c r="O4126" s="181"/>
      <c r="P4126" s="181"/>
    </row>
    <row r="4127">
      <c r="B4127" s="292"/>
      <c r="C4127" s="181"/>
      <c r="D4127" s="181"/>
      <c r="E4127" s="181"/>
      <c r="F4127" s="181"/>
      <c r="G4127" s="181"/>
      <c r="H4127" s="181"/>
      <c r="I4127" s="181"/>
      <c r="J4127" s="181"/>
      <c r="K4127" s="181"/>
      <c r="L4127" s="181"/>
      <c r="M4127" s="181"/>
      <c r="N4127" s="181"/>
      <c r="O4127" s="181"/>
      <c r="P4127" s="181"/>
    </row>
    <row r="4128">
      <c r="B4128" s="292"/>
      <c r="C4128" s="181"/>
      <c r="D4128" s="181"/>
      <c r="E4128" s="181"/>
      <c r="F4128" s="181"/>
      <c r="G4128" s="181"/>
      <c r="H4128" s="181"/>
      <c r="I4128" s="181"/>
      <c r="J4128" s="181"/>
      <c r="K4128" s="181"/>
      <c r="L4128" s="181"/>
      <c r="M4128" s="181"/>
      <c r="N4128" s="181"/>
      <c r="O4128" s="181"/>
      <c r="P4128" s="181"/>
    </row>
    <row r="4129">
      <c r="B4129" s="292"/>
      <c r="C4129" s="181"/>
      <c r="D4129" s="181"/>
      <c r="E4129" s="181"/>
      <c r="F4129" s="181"/>
      <c r="G4129" s="181"/>
      <c r="H4129" s="181"/>
      <c r="I4129" s="181"/>
      <c r="J4129" s="181"/>
      <c r="K4129" s="181"/>
      <c r="L4129" s="181"/>
      <c r="M4129" s="181"/>
      <c r="N4129" s="181"/>
      <c r="O4129" s="181"/>
      <c r="P4129" s="181"/>
    </row>
    <row r="4130">
      <c r="B4130" s="292"/>
      <c r="C4130" s="181"/>
      <c r="D4130" s="181"/>
      <c r="E4130" s="181"/>
      <c r="F4130" s="181"/>
      <c r="G4130" s="181"/>
      <c r="H4130" s="181"/>
      <c r="I4130" s="181"/>
      <c r="J4130" s="181"/>
      <c r="K4130" s="181"/>
      <c r="L4130" s="181"/>
      <c r="M4130" s="181"/>
      <c r="N4130" s="181"/>
      <c r="O4130" s="181"/>
      <c r="P4130" s="181"/>
    </row>
    <row r="4131">
      <c r="B4131" s="292"/>
      <c r="C4131" s="181"/>
      <c r="D4131" s="181"/>
      <c r="E4131" s="181"/>
      <c r="F4131" s="181"/>
      <c r="G4131" s="181"/>
      <c r="H4131" s="181"/>
      <c r="I4131" s="181"/>
      <c r="J4131" s="181"/>
      <c r="K4131" s="181"/>
      <c r="L4131" s="181"/>
      <c r="M4131" s="181"/>
      <c r="N4131" s="181"/>
      <c r="O4131" s="181"/>
      <c r="P4131" s="181"/>
    </row>
    <row r="4132">
      <c r="B4132" s="292"/>
      <c r="C4132" s="181"/>
      <c r="D4132" s="181"/>
      <c r="E4132" s="181"/>
      <c r="F4132" s="181"/>
      <c r="G4132" s="181"/>
      <c r="H4132" s="181"/>
      <c r="I4132" s="181"/>
      <c r="J4132" s="181"/>
      <c r="K4132" s="181"/>
      <c r="L4132" s="181"/>
      <c r="M4132" s="181"/>
      <c r="N4132" s="181"/>
      <c r="O4132" s="181"/>
      <c r="P4132" s="181"/>
    </row>
    <row r="4133">
      <c r="B4133" s="292"/>
      <c r="C4133" s="181"/>
      <c r="D4133" s="181"/>
      <c r="E4133" s="181"/>
      <c r="F4133" s="181"/>
      <c r="G4133" s="181"/>
      <c r="H4133" s="181"/>
      <c r="I4133" s="181"/>
      <c r="J4133" s="181"/>
      <c r="K4133" s="181"/>
      <c r="L4133" s="181"/>
      <c r="M4133" s="181"/>
      <c r="N4133" s="181"/>
      <c r="O4133" s="181"/>
      <c r="P4133" s="181"/>
    </row>
    <row r="4134">
      <c r="B4134" s="292"/>
      <c r="C4134" s="181"/>
      <c r="D4134" s="181"/>
      <c r="E4134" s="181"/>
      <c r="F4134" s="181"/>
      <c r="G4134" s="181"/>
      <c r="H4134" s="181"/>
      <c r="I4134" s="181"/>
      <c r="J4134" s="181"/>
      <c r="K4134" s="181"/>
      <c r="L4134" s="181"/>
      <c r="M4134" s="181"/>
      <c r="N4134" s="181"/>
      <c r="O4134" s="181"/>
      <c r="P4134" s="181"/>
    </row>
    <row r="4135">
      <c r="B4135" s="292"/>
      <c r="C4135" s="181"/>
      <c r="D4135" s="181"/>
      <c r="E4135" s="181"/>
      <c r="F4135" s="181"/>
      <c r="G4135" s="181"/>
      <c r="H4135" s="181"/>
      <c r="I4135" s="181"/>
      <c r="J4135" s="181"/>
      <c r="K4135" s="181"/>
      <c r="L4135" s="181"/>
      <c r="M4135" s="181"/>
      <c r="N4135" s="181"/>
      <c r="O4135" s="181"/>
      <c r="P4135" s="181"/>
    </row>
    <row r="4136">
      <c r="B4136" s="292"/>
      <c r="C4136" s="181"/>
      <c r="D4136" s="181"/>
      <c r="E4136" s="181"/>
      <c r="F4136" s="181"/>
      <c r="G4136" s="181"/>
      <c r="H4136" s="181"/>
      <c r="I4136" s="181"/>
      <c r="J4136" s="181"/>
      <c r="K4136" s="181"/>
      <c r="L4136" s="181"/>
      <c r="M4136" s="181"/>
      <c r="N4136" s="181"/>
      <c r="O4136" s="181"/>
      <c r="P4136" s="181"/>
    </row>
    <row r="4137">
      <c r="B4137" s="292"/>
      <c r="C4137" s="181"/>
      <c r="D4137" s="181"/>
      <c r="E4137" s="181"/>
      <c r="F4137" s="181"/>
      <c r="G4137" s="181"/>
      <c r="H4137" s="181"/>
      <c r="I4137" s="181"/>
      <c r="J4137" s="181"/>
      <c r="K4137" s="181"/>
      <c r="L4137" s="181"/>
      <c r="M4137" s="181"/>
      <c r="N4137" s="181"/>
      <c r="O4137" s="181"/>
      <c r="P4137" s="181"/>
    </row>
    <row r="4138">
      <c r="B4138" s="292"/>
      <c r="C4138" s="181"/>
      <c r="D4138" s="181"/>
      <c r="E4138" s="181"/>
      <c r="F4138" s="181"/>
      <c r="G4138" s="181"/>
      <c r="H4138" s="181"/>
      <c r="I4138" s="181"/>
      <c r="J4138" s="181"/>
      <c r="K4138" s="181"/>
      <c r="L4138" s="181"/>
      <c r="M4138" s="181"/>
      <c r="N4138" s="181"/>
      <c r="O4138" s="181"/>
      <c r="P4138" s="181"/>
    </row>
    <row r="4139">
      <c r="B4139" s="292"/>
      <c r="C4139" s="181"/>
      <c r="D4139" s="181"/>
      <c r="E4139" s="181"/>
      <c r="F4139" s="181"/>
      <c r="G4139" s="181"/>
      <c r="H4139" s="181"/>
      <c r="I4139" s="181"/>
      <c r="J4139" s="181"/>
      <c r="K4139" s="181"/>
      <c r="L4139" s="181"/>
      <c r="M4139" s="181"/>
      <c r="N4139" s="181"/>
      <c r="O4139" s="181"/>
      <c r="P4139" s="181"/>
    </row>
    <row r="4140">
      <c r="B4140" s="292"/>
      <c r="C4140" s="181"/>
      <c r="D4140" s="181"/>
      <c r="E4140" s="181"/>
      <c r="F4140" s="181"/>
      <c r="G4140" s="181"/>
      <c r="H4140" s="181"/>
      <c r="I4140" s="181"/>
      <c r="J4140" s="181"/>
      <c r="K4140" s="181"/>
      <c r="L4140" s="181"/>
      <c r="M4140" s="181"/>
      <c r="N4140" s="181"/>
      <c r="O4140" s="181"/>
      <c r="P4140" s="181"/>
    </row>
    <row r="4141">
      <c r="B4141" s="292"/>
      <c r="C4141" s="181"/>
      <c r="D4141" s="181"/>
      <c r="E4141" s="181"/>
      <c r="F4141" s="181"/>
      <c r="G4141" s="181"/>
      <c r="H4141" s="181"/>
      <c r="I4141" s="181"/>
      <c r="J4141" s="181"/>
      <c r="K4141" s="181"/>
      <c r="L4141" s="181"/>
      <c r="M4141" s="181"/>
      <c r="N4141" s="181"/>
      <c r="O4141" s="181"/>
      <c r="P4141" s="181"/>
    </row>
    <row r="4142">
      <c r="B4142" s="292"/>
      <c r="C4142" s="181"/>
      <c r="D4142" s="181"/>
      <c r="E4142" s="181"/>
      <c r="F4142" s="181"/>
      <c r="G4142" s="181"/>
      <c r="H4142" s="181"/>
      <c r="I4142" s="181"/>
      <c r="J4142" s="181"/>
      <c r="K4142" s="181"/>
      <c r="L4142" s="181"/>
      <c r="M4142" s="181"/>
      <c r="N4142" s="181"/>
      <c r="O4142" s="181"/>
      <c r="P4142" s="181"/>
    </row>
    <row r="4143">
      <c r="B4143" s="292"/>
      <c r="C4143" s="181"/>
      <c r="D4143" s="181"/>
      <c r="E4143" s="181"/>
      <c r="F4143" s="181"/>
      <c r="G4143" s="181"/>
      <c r="H4143" s="181"/>
      <c r="I4143" s="181"/>
      <c r="J4143" s="181"/>
      <c r="K4143" s="181"/>
      <c r="L4143" s="181"/>
      <c r="M4143" s="181"/>
      <c r="N4143" s="181"/>
      <c r="O4143" s="181"/>
      <c r="P4143" s="181"/>
    </row>
    <row r="4144">
      <c r="B4144" s="292"/>
      <c r="C4144" s="181"/>
      <c r="D4144" s="181"/>
      <c r="E4144" s="181"/>
      <c r="F4144" s="181"/>
      <c r="G4144" s="181"/>
      <c r="H4144" s="181"/>
      <c r="I4144" s="181"/>
      <c r="J4144" s="181"/>
      <c r="K4144" s="181"/>
      <c r="L4144" s="181"/>
      <c r="M4144" s="181"/>
      <c r="N4144" s="181"/>
      <c r="O4144" s="181"/>
      <c r="P4144" s="181"/>
    </row>
    <row r="4145">
      <c r="B4145" s="292"/>
      <c r="C4145" s="181"/>
      <c r="D4145" s="181"/>
      <c r="E4145" s="181"/>
      <c r="F4145" s="181"/>
      <c r="G4145" s="181"/>
      <c r="H4145" s="181"/>
      <c r="I4145" s="181"/>
      <c r="J4145" s="181"/>
      <c r="K4145" s="181"/>
      <c r="L4145" s="181"/>
      <c r="M4145" s="181"/>
      <c r="N4145" s="181"/>
      <c r="O4145" s="181"/>
      <c r="P4145" s="181"/>
    </row>
    <row r="4146">
      <c r="B4146" s="292"/>
      <c r="C4146" s="181"/>
      <c r="D4146" s="181"/>
      <c r="E4146" s="181"/>
      <c r="F4146" s="181"/>
      <c r="G4146" s="181"/>
      <c r="H4146" s="181"/>
      <c r="I4146" s="181"/>
      <c r="J4146" s="181"/>
      <c r="K4146" s="181"/>
      <c r="L4146" s="181"/>
      <c r="M4146" s="181"/>
      <c r="N4146" s="181"/>
      <c r="O4146" s="181"/>
      <c r="P4146" s="181"/>
    </row>
    <row r="4147">
      <c r="B4147" s="292"/>
      <c r="C4147" s="181"/>
      <c r="D4147" s="181"/>
      <c r="E4147" s="181"/>
      <c r="F4147" s="181"/>
      <c r="G4147" s="181"/>
      <c r="H4147" s="181"/>
      <c r="I4147" s="181"/>
      <c r="J4147" s="181"/>
      <c r="K4147" s="181"/>
      <c r="L4147" s="181"/>
      <c r="M4147" s="181"/>
      <c r="N4147" s="181"/>
      <c r="O4147" s="181"/>
      <c r="P4147" s="181"/>
    </row>
    <row r="4148">
      <c r="B4148" s="292"/>
      <c r="C4148" s="181"/>
      <c r="D4148" s="181"/>
      <c r="E4148" s="181"/>
      <c r="F4148" s="181"/>
      <c r="G4148" s="181"/>
      <c r="H4148" s="181"/>
      <c r="I4148" s="181"/>
      <c r="J4148" s="181"/>
      <c r="K4148" s="181"/>
      <c r="L4148" s="181"/>
      <c r="M4148" s="181"/>
      <c r="N4148" s="181"/>
      <c r="O4148" s="181"/>
      <c r="P4148" s="181"/>
    </row>
    <row r="4149">
      <c r="B4149" s="292"/>
      <c r="C4149" s="181"/>
      <c r="D4149" s="181"/>
      <c r="E4149" s="181"/>
      <c r="F4149" s="181"/>
      <c r="G4149" s="181"/>
      <c r="H4149" s="181"/>
      <c r="I4149" s="181"/>
      <c r="J4149" s="181"/>
      <c r="K4149" s="181"/>
      <c r="L4149" s="181"/>
      <c r="M4149" s="181"/>
      <c r="N4149" s="181"/>
      <c r="O4149" s="181"/>
      <c r="P4149" s="181"/>
    </row>
    <row r="4150">
      <c r="B4150" s="292"/>
      <c r="C4150" s="181"/>
      <c r="D4150" s="181"/>
      <c r="E4150" s="181"/>
      <c r="F4150" s="181"/>
      <c r="G4150" s="181"/>
      <c r="H4150" s="181"/>
      <c r="I4150" s="181"/>
      <c r="J4150" s="181"/>
      <c r="K4150" s="181"/>
      <c r="L4150" s="181"/>
      <c r="M4150" s="181"/>
      <c r="N4150" s="181"/>
      <c r="O4150" s="181"/>
      <c r="P4150" s="181"/>
    </row>
    <row r="4151">
      <c r="B4151" s="292"/>
      <c r="C4151" s="181"/>
      <c r="D4151" s="181"/>
      <c r="E4151" s="181"/>
      <c r="F4151" s="181"/>
      <c r="G4151" s="181"/>
      <c r="H4151" s="181"/>
      <c r="I4151" s="181"/>
      <c r="J4151" s="181"/>
      <c r="K4151" s="181"/>
      <c r="L4151" s="181"/>
      <c r="M4151" s="181"/>
      <c r="N4151" s="181"/>
      <c r="O4151" s="181"/>
      <c r="P4151" s="181"/>
    </row>
    <row r="4152">
      <c r="B4152" s="292"/>
      <c r="C4152" s="181"/>
      <c r="D4152" s="181"/>
      <c r="E4152" s="181"/>
      <c r="F4152" s="181"/>
      <c r="G4152" s="181"/>
      <c r="H4152" s="181"/>
      <c r="I4152" s="181"/>
      <c r="J4152" s="181"/>
      <c r="K4152" s="181"/>
      <c r="L4152" s="181"/>
      <c r="M4152" s="181"/>
      <c r="N4152" s="181"/>
      <c r="O4152" s="181"/>
      <c r="P4152" s="181"/>
    </row>
    <row r="4153">
      <c r="B4153" s="292"/>
      <c r="C4153" s="181"/>
      <c r="D4153" s="181"/>
      <c r="E4153" s="181"/>
      <c r="F4153" s="181"/>
      <c r="G4153" s="181"/>
      <c r="H4153" s="181"/>
      <c r="I4153" s="181"/>
      <c r="J4153" s="181"/>
      <c r="K4153" s="181"/>
      <c r="L4153" s="181"/>
      <c r="M4153" s="181"/>
      <c r="N4153" s="181"/>
      <c r="O4153" s="181"/>
      <c r="P4153" s="181"/>
    </row>
    <row r="4154">
      <c r="B4154" s="292"/>
      <c r="C4154" s="181"/>
      <c r="D4154" s="181"/>
      <c r="E4154" s="181"/>
      <c r="F4154" s="181"/>
      <c r="G4154" s="181"/>
      <c r="H4154" s="181"/>
      <c r="I4154" s="181"/>
      <c r="J4154" s="181"/>
      <c r="K4154" s="181"/>
      <c r="L4154" s="181"/>
      <c r="M4154" s="181"/>
      <c r="N4154" s="181"/>
      <c r="O4154" s="181"/>
      <c r="P4154" s="181"/>
    </row>
    <row r="4155">
      <c r="B4155" s="292"/>
      <c r="C4155" s="181"/>
      <c r="D4155" s="181"/>
      <c r="E4155" s="181"/>
      <c r="F4155" s="181"/>
      <c r="G4155" s="181"/>
      <c r="H4155" s="181"/>
      <c r="I4155" s="181"/>
      <c r="J4155" s="181"/>
      <c r="K4155" s="181"/>
      <c r="L4155" s="181"/>
      <c r="M4155" s="181"/>
      <c r="N4155" s="181"/>
      <c r="O4155" s="181"/>
      <c r="P4155" s="181"/>
    </row>
    <row r="4156">
      <c r="B4156" s="292"/>
      <c r="C4156" s="181"/>
      <c r="D4156" s="181"/>
      <c r="E4156" s="181"/>
      <c r="F4156" s="181"/>
      <c r="G4156" s="181"/>
      <c r="H4156" s="181"/>
      <c r="I4156" s="181"/>
      <c r="J4156" s="181"/>
      <c r="K4156" s="181"/>
      <c r="L4156" s="181"/>
      <c r="M4156" s="181"/>
      <c r="N4156" s="181"/>
      <c r="O4156" s="181"/>
      <c r="P4156" s="181"/>
    </row>
    <row r="4157">
      <c r="B4157" s="292"/>
      <c r="C4157" s="181"/>
      <c r="D4157" s="181"/>
      <c r="E4157" s="181"/>
      <c r="F4157" s="181"/>
      <c r="G4157" s="181"/>
      <c r="H4157" s="181"/>
      <c r="I4157" s="181"/>
      <c r="J4157" s="181"/>
      <c r="K4157" s="181"/>
      <c r="L4157" s="181"/>
      <c r="M4157" s="181"/>
      <c r="N4157" s="181"/>
      <c r="O4157" s="181"/>
      <c r="P4157" s="181"/>
    </row>
    <row r="4158">
      <c r="B4158" s="292"/>
      <c r="C4158" s="181"/>
      <c r="D4158" s="181"/>
      <c r="E4158" s="181"/>
      <c r="F4158" s="181"/>
      <c r="G4158" s="181"/>
      <c r="H4158" s="181"/>
      <c r="I4158" s="181"/>
      <c r="J4158" s="181"/>
      <c r="K4158" s="181"/>
      <c r="L4158" s="181"/>
      <c r="M4158" s="181"/>
      <c r="N4158" s="181"/>
      <c r="O4158" s="181"/>
      <c r="P4158" s="181"/>
    </row>
    <row r="4159">
      <c r="B4159" s="292"/>
      <c r="C4159" s="181"/>
      <c r="D4159" s="181"/>
      <c r="E4159" s="181"/>
      <c r="F4159" s="181"/>
      <c r="G4159" s="181"/>
      <c r="H4159" s="181"/>
      <c r="I4159" s="181"/>
      <c r="J4159" s="181"/>
      <c r="K4159" s="181"/>
      <c r="L4159" s="181"/>
      <c r="M4159" s="181"/>
      <c r="N4159" s="181"/>
      <c r="O4159" s="181"/>
      <c r="P4159" s="181"/>
    </row>
    <row r="4160">
      <c r="B4160" s="292"/>
      <c r="C4160" s="181"/>
      <c r="D4160" s="181"/>
      <c r="E4160" s="181"/>
      <c r="F4160" s="181"/>
      <c r="G4160" s="181"/>
      <c r="H4160" s="181"/>
      <c r="I4160" s="181"/>
      <c r="J4160" s="181"/>
      <c r="K4160" s="181"/>
      <c r="L4160" s="181"/>
      <c r="M4160" s="181"/>
      <c r="N4160" s="181"/>
      <c r="O4160" s="181"/>
      <c r="P4160" s="181"/>
    </row>
    <row r="4161">
      <c r="B4161" s="292"/>
      <c r="C4161" s="181"/>
      <c r="D4161" s="181"/>
      <c r="E4161" s="181"/>
      <c r="F4161" s="181"/>
      <c r="G4161" s="181"/>
      <c r="H4161" s="181"/>
      <c r="I4161" s="181"/>
      <c r="J4161" s="181"/>
      <c r="K4161" s="181"/>
      <c r="L4161" s="181"/>
      <c r="M4161" s="181"/>
      <c r="N4161" s="181"/>
      <c r="O4161" s="181"/>
      <c r="P4161" s="181"/>
    </row>
    <row r="4162">
      <c r="B4162" s="292"/>
      <c r="C4162" s="181"/>
      <c r="D4162" s="181"/>
      <c r="E4162" s="181"/>
      <c r="F4162" s="181"/>
      <c r="G4162" s="181"/>
      <c r="H4162" s="181"/>
      <c r="I4162" s="181"/>
      <c r="J4162" s="181"/>
      <c r="K4162" s="181"/>
      <c r="L4162" s="181"/>
      <c r="M4162" s="181"/>
      <c r="N4162" s="181"/>
      <c r="O4162" s="181"/>
      <c r="P4162" s="181"/>
    </row>
    <row r="4163">
      <c r="B4163" s="292"/>
      <c r="C4163" s="181"/>
      <c r="D4163" s="181"/>
      <c r="E4163" s="181"/>
      <c r="F4163" s="181"/>
      <c r="G4163" s="181"/>
      <c r="H4163" s="181"/>
      <c r="I4163" s="181"/>
      <c r="J4163" s="181"/>
      <c r="K4163" s="181"/>
      <c r="L4163" s="181"/>
      <c r="M4163" s="181"/>
      <c r="N4163" s="181"/>
      <c r="O4163" s="181"/>
      <c r="P4163" s="181"/>
    </row>
    <row r="4164">
      <c r="B4164" s="292"/>
      <c r="C4164" s="181"/>
      <c r="D4164" s="181"/>
      <c r="E4164" s="181"/>
      <c r="F4164" s="181"/>
      <c r="G4164" s="181"/>
      <c r="H4164" s="181"/>
      <c r="I4164" s="181"/>
      <c r="J4164" s="181"/>
      <c r="K4164" s="181"/>
      <c r="L4164" s="181"/>
      <c r="M4164" s="181"/>
      <c r="N4164" s="181"/>
      <c r="O4164" s="181"/>
      <c r="P4164" s="181"/>
    </row>
    <row r="4165">
      <c r="B4165" s="292"/>
      <c r="C4165" s="181"/>
      <c r="D4165" s="181"/>
      <c r="E4165" s="181"/>
      <c r="F4165" s="181"/>
      <c r="G4165" s="181"/>
      <c r="H4165" s="181"/>
      <c r="I4165" s="181"/>
      <c r="J4165" s="181"/>
      <c r="K4165" s="181"/>
      <c r="L4165" s="181"/>
      <c r="M4165" s="181"/>
      <c r="N4165" s="181"/>
      <c r="O4165" s="181"/>
      <c r="P4165" s="181"/>
    </row>
    <row r="4166">
      <c r="B4166" s="292"/>
      <c r="C4166" s="181"/>
      <c r="D4166" s="181"/>
      <c r="E4166" s="181"/>
      <c r="F4166" s="181"/>
      <c r="G4166" s="181"/>
      <c r="H4166" s="181"/>
      <c r="I4166" s="181"/>
      <c r="J4166" s="181"/>
      <c r="K4166" s="181"/>
      <c r="L4166" s="181"/>
      <c r="M4166" s="181"/>
      <c r="N4166" s="181"/>
      <c r="O4166" s="181"/>
      <c r="P4166" s="181"/>
    </row>
    <row r="4167">
      <c r="B4167" s="292"/>
      <c r="C4167" s="181"/>
      <c r="D4167" s="181"/>
      <c r="E4167" s="181"/>
      <c r="F4167" s="181"/>
      <c r="G4167" s="181"/>
      <c r="H4167" s="181"/>
      <c r="I4167" s="181"/>
      <c r="J4167" s="181"/>
      <c r="K4167" s="181"/>
      <c r="L4167" s="181"/>
      <c r="M4167" s="181"/>
      <c r="N4167" s="181"/>
      <c r="O4167" s="181"/>
      <c r="P4167" s="181"/>
    </row>
    <row r="4168">
      <c r="B4168" s="292"/>
      <c r="C4168" s="181"/>
      <c r="D4168" s="181"/>
      <c r="E4168" s="181"/>
      <c r="F4168" s="181"/>
      <c r="G4168" s="181"/>
      <c r="H4168" s="181"/>
      <c r="I4168" s="181"/>
      <c r="J4168" s="181"/>
      <c r="K4168" s="181"/>
      <c r="L4168" s="181"/>
      <c r="M4168" s="181"/>
      <c r="N4168" s="181"/>
      <c r="O4168" s="181"/>
      <c r="P4168" s="181"/>
    </row>
    <row r="4169">
      <c r="B4169" s="292"/>
      <c r="C4169" s="181"/>
      <c r="D4169" s="181"/>
      <c r="E4169" s="181"/>
      <c r="F4169" s="181"/>
      <c r="G4169" s="181"/>
      <c r="H4169" s="181"/>
      <c r="I4169" s="181"/>
      <c r="J4169" s="181"/>
      <c r="K4169" s="181"/>
      <c r="L4169" s="181"/>
      <c r="M4169" s="181"/>
      <c r="N4169" s="181"/>
      <c r="O4169" s="181"/>
      <c r="P4169" s="181"/>
    </row>
    <row r="4170">
      <c r="B4170" s="292"/>
      <c r="C4170" s="181"/>
      <c r="D4170" s="181"/>
      <c r="E4170" s="181"/>
      <c r="F4170" s="181"/>
      <c r="G4170" s="181"/>
      <c r="H4170" s="181"/>
      <c r="I4170" s="181"/>
      <c r="J4170" s="181"/>
      <c r="K4170" s="181"/>
      <c r="L4170" s="181"/>
      <c r="M4170" s="181"/>
      <c r="N4170" s="181"/>
      <c r="O4170" s="181"/>
      <c r="P4170" s="181"/>
    </row>
    <row r="4171">
      <c r="B4171" s="292"/>
      <c r="C4171" s="181"/>
      <c r="D4171" s="181"/>
      <c r="E4171" s="181"/>
      <c r="F4171" s="181"/>
      <c r="G4171" s="181"/>
      <c r="H4171" s="181"/>
      <c r="I4171" s="181"/>
      <c r="J4171" s="181"/>
      <c r="K4171" s="181"/>
      <c r="L4171" s="181"/>
      <c r="M4171" s="181"/>
      <c r="N4171" s="181"/>
      <c r="O4171" s="181"/>
      <c r="P4171" s="181"/>
    </row>
    <row r="4172">
      <c r="B4172" s="292"/>
      <c r="C4172" s="181"/>
      <c r="D4172" s="181"/>
      <c r="E4172" s="181"/>
      <c r="F4172" s="181"/>
      <c r="G4172" s="181"/>
      <c r="H4172" s="181"/>
      <c r="I4172" s="181"/>
      <c r="J4172" s="181"/>
      <c r="K4172" s="181"/>
      <c r="L4172" s="181"/>
      <c r="M4172" s="181"/>
      <c r="N4172" s="181"/>
      <c r="O4172" s="181"/>
      <c r="P4172" s="181"/>
    </row>
    <row r="4173">
      <c r="B4173" s="292"/>
      <c r="C4173" s="181"/>
      <c r="D4173" s="181"/>
      <c r="E4173" s="181"/>
      <c r="F4173" s="181"/>
      <c r="G4173" s="181"/>
      <c r="H4173" s="181"/>
      <c r="I4173" s="181"/>
      <c r="J4173" s="181"/>
      <c r="K4173" s="181"/>
      <c r="L4173" s="181"/>
      <c r="M4173" s="181"/>
      <c r="N4173" s="181"/>
      <c r="O4173" s="181"/>
      <c r="P4173" s="181"/>
    </row>
    <row r="4174">
      <c r="B4174" s="292"/>
      <c r="C4174" s="181"/>
      <c r="D4174" s="181"/>
      <c r="E4174" s="181"/>
      <c r="F4174" s="181"/>
      <c r="G4174" s="181"/>
      <c r="H4174" s="181"/>
      <c r="I4174" s="181"/>
      <c r="J4174" s="181"/>
      <c r="K4174" s="181"/>
      <c r="L4174" s="181"/>
      <c r="M4174" s="181"/>
      <c r="N4174" s="181"/>
      <c r="O4174" s="181"/>
      <c r="P4174" s="181"/>
    </row>
    <row r="4175">
      <c r="B4175" s="292"/>
      <c r="C4175" s="181"/>
      <c r="D4175" s="181"/>
      <c r="E4175" s="181"/>
      <c r="F4175" s="181"/>
      <c r="G4175" s="181"/>
      <c r="H4175" s="181"/>
      <c r="I4175" s="181"/>
      <c r="J4175" s="181"/>
      <c r="K4175" s="181"/>
      <c r="L4175" s="181"/>
      <c r="M4175" s="181"/>
      <c r="N4175" s="181"/>
      <c r="O4175" s="181"/>
      <c r="P4175" s="181"/>
    </row>
    <row r="4176">
      <c r="B4176" s="292"/>
      <c r="C4176" s="181"/>
      <c r="D4176" s="181"/>
      <c r="E4176" s="181"/>
      <c r="F4176" s="181"/>
      <c r="G4176" s="181"/>
      <c r="H4176" s="181"/>
      <c r="I4176" s="181"/>
      <c r="J4176" s="181"/>
      <c r="K4176" s="181"/>
      <c r="L4176" s="181"/>
      <c r="M4176" s="181"/>
      <c r="N4176" s="181"/>
      <c r="O4176" s="181"/>
      <c r="P4176" s="181"/>
    </row>
    <row r="4177">
      <c r="B4177" s="292"/>
      <c r="C4177" s="181"/>
      <c r="D4177" s="181"/>
      <c r="E4177" s="181"/>
      <c r="F4177" s="181"/>
      <c r="G4177" s="181"/>
      <c r="H4177" s="181"/>
      <c r="I4177" s="181"/>
      <c r="J4177" s="181"/>
      <c r="K4177" s="181"/>
      <c r="L4177" s="181"/>
      <c r="M4177" s="181"/>
      <c r="N4177" s="181"/>
      <c r="O4177" s="181"/>
      <c r="P4177" s="181"/>
    </row>
    <row r="4178">
      <c r="B4178" s="292"/>
      <c r="C4178" s="181"/>
      <c r="D4178" s="181"/>
      <c r="E4178" s="181"/>
      <c r="F4178" s="181"/>
      <c r="G4178" s="181"/>
      <c r="H4178" s="181"/>
      <c r="I4178" s="181"/>
      <c r="J4178" s="181"/>
      <c r="K4178" s="181"/>
      <c r="L4178" s="181"/>
      <c r="M4178" s="181"/>
      <c r="N4178" s="181"/>
      <c r="O4178" s="181"/>
      <c r="P4178" s="181"/>
    </row>
    <row r="4179">
      <c r="B4179" s="292"/>
      <c r="C4179" s="181"/>
      <c r="D4179" s="181"/>
      <c r="E4179" s="181"/>
      <c r="F4179" s="181"/>
      <c r="G4179" s="181"/>
      <c r="H4179" s="181"/>
      <c r="I4179" s="181"/>
      <c r="J4179" s="181"/>
      <c r="K4179" s="181"/>
      <c r="L4179" s="181"/>
      <c r="M4179" s="181"/>
      <c r="N4179" s="181"/>
      <c r="O4179" s="181"/>
      <c r="P4179" s="181"/>
    </row>
    <row r="4180">
      <c r="B4180" s="292"/>
      <c r="C4180" s="181"/>
      <c r="D4180" s="181"/>
      <c r="E4180" s="181"/>
      <c r="F4180" s="181"/>
      <c r="G4180" s="181"/>
      <c r="H4180" s="181"/>
      <c r="I4180" s="181"/>
      <c r="J4180" s="181"/>
      <c r="K4180" s="181"/>
      <c r="L4180" s="181"/>
      <c r="M4180" s="181"/>
      <c r="N4180" s="181"/>
      <c r="O4180" s="181"/>
      <c r="P4180" s="181"/>
    </row>
    <row r="4181">
      <c r="B4181" s="292"/>
      <c r="C4181" s="181"/>
      <c r="D4181" s="181"/>
      <c r="E4181" s="181"/>
      <c r="F4181" s="181"/>
      <c r="G4181" s="181"/>
      <c r="H4181" s="181"/>
      <c r="I4181" s="181"/>
      <c r="J4181" s="181"/>
      <c r="K4181" s="181"/>
      <c r="L4181" s="181"/>
      <c r="M4181" s="181"/>
      <c r="N4181" s="181"/>
      <c r="O4181" s="181"/>
      <c r="P4181" s="181"/>
    </row>
    <row r="4182">
      <c r="B4182" s="292"/>
      <c r="C4182" s="181"/>
      <c r="D4182" s="181"/>
      <c r="E4182" s="181"/>
      <c r="F4182" s="181"/>
      <c r="G4182" s="181"/>
      <c r="H4182" s="181"/>
      <c r="I4182" s="181"/>
      <c r="J4182" s="181"/>
      <c r="K4182" s="181"/>
      <c r="L4182" s="181"/>
      <c r="M4182" s="181"/>
      <c r="N4182" s="181"/>
      <c r="O4182" s="181"/>
      <c r="P4182" s="181"/>
    </row>
    <row r="4183">
      <c r="B4183" s="292"/>
      <c r="C4183" s="181"/>
      <c r="D4183" s="181"/>
      <c r="E4183" s="181"/>
      <c r="F4183" s="181"/>
      <c r="G4183" s="181"/>
      <c r="H4183" s="181"/>
      <c r="I4183" s="181"/>
      <c r="J4183" s="181"/>
      <c r="K4183" s="181"/>
      <c r="L4183" s="181"/>
      <c r="M4183" s="181"/>
      <c r="N4183" s="181"/>
      <c r="O4183" s="181"/>
      <c r="P4183" s="181"/>
    </row>
    <row r="4184">
      <c r="B4184" s="292"/>
      <c r="C4184" s="181"/>
      <c r="D4184" s="181"/>
      <c r="E4184" s="181"/>
      <c r="F4184" s="181"/>
      <c r="G4184" s="181"/>
      <c r="H4184" s="181"/>
      <c r="I4184" s="181"/>
      <c r="J4184" s="181"/>
      <c r="K4184" s="181"/>
      <c r="L4184" s="181"/>
      <c r="M4184" s="181"/>
      <c r="N4184" s="181"/>
      <c r="O4184" s="181"/>
      <c r="P4184" s="181"/>
    </row>
    <row r="4185">
      <c r="B4185" s="292"/>
      <c r="C4185" s="181"/>
      <c r="D4185" s="181"/>
      <c r="E4185" s="181"/>
      <c r="F4185" s="181"/>
      <c r="G4185" s="181"/>
      <c r="H4185" s="181"/>
      <c r="I4185" s="181"/>
      <c r="J4185" s="181"/>
      <c r="K4185" s="181"/>
      <c r="L4185" s="181"/>
      <c r="M4185" s="181"/>
      <c r="N4185" s="181"/>
      <c r="O4185" s="181"/>
      <c r="P4185" s="181"/>
    </row>
    <row r="4186">
      <c r="B4186" s="292"/>
      <c r="C4186" s="181"/>
      <c r="D4186" s="181"/>
      <c r="E4186" s="181"/>
      <c r="F4186" s="181"/>
      <c r="G4186" s="181"/>
      <c r="H4186" s="181"/>
      <c r="I4186" s="181"/>
      <c r="J4186" s="181"/>
      <c r="K4186" s="181"/>
      <c r="L4186" s="181"/>
      <c r="M4186" s="181"/>
      <c r="N4186" s="181"/>
      <c r="O4186" s="181"/>
      <c r="P4186" s="181"/>
    </row>
    <row r="4187">
      <c r="B4187" s="292"/>
      <c r="C4187" s="181"/>
      <c r="D4187" s="181"/>
      <c r="E4187" s="181"/>
      <c r="F4187" s="181"/>
      <c r="G4187" s="181"/>
      <c r="H4187" s="181"/>
      <c r="I4187" s="181"/>
      <c r="J4187" s="181"/>
      <c r="K4187" s="181"/>
      <c r="L4187" s="181"/>
      <c r="M4187" s="181"/>
      <c r="N4187" s="181"/>
      <c r="O4187" s="181"/>
      <c r="P4187" s="181"/>
    </row>
    <row r="4188">
      <c r="B4188" s="292"/>
      <c r="C4188" s="181"/>
      <c r="D4188" s="181"/>
      <c r="E4188" s="181"/>
      <c r="F4188" s="181"/>
      <c r="G4188" s="181"/>
      <c r="H4188" s="181"/>
      <c r="I4188" s="181"/>
      <c r="J4188" s="181"/>
      <c r="K4188" s="181"/>
      <c r="L4188" s="181"/>
      <c r="M4188" s="181"/>
      <c r="N4188" s="181"/>
      <c r="O4188" s="181"/>
      <c r="P4188" s="181"/>
    </row>
    <row r="4189">
      <c r="B4189" s="292"/>
      <c r="C4189" s="181"/>
      <c r="D4189" s="181"/>
      <c r="E4189" s="181"/>
      <c r="F4189" s="181"/>
      <c r="G4189" s="181"/>
      <c r="H4189" s="181"/>
      <c r="I4189" s="181"/>
      <c r="J4189" s="181"/>
      <c r="K4189" s="181"/>
      <c r="L4189" s="181"/>
      <c r="M4189" s="181"/>
      <c r="N4189" s="181"/>
      <c r="O4189" s="181"/>
      <c r="P4189" s="181"/>
    </row>
    <row r="4190">
      <c r="B4190" s="292"/>
      <c r="C4190" s="181"/>
      <c r="D4190" s="181"/>
      <c r="E4190" s="181"/>
      <c r="F4190" s="181"/>
      <c r="G4190" s="181"/>
      <c r="H4190" s="181"/>
      <c r="I4190" s="181"/>
      <c r="J4190" s="181"/>
      <c r="K4190" s="181"/>
      <c r="L4190" s="181"/>
      <c r="M4190" s="181"/>
      <c r="N4190" s="181"/>
      <c r="O4190" s="181"/>
      <c r="P4190" s="181"/>
    </row>
    <row r="4191">
      <c r="B4191" s="292"/>
      <c r="C4191" s="181"/>
      <c r="D4191" s="181"/>
      <c r="E4191" s="181"/>
      <c r="F4191" s="181"/>
      <c r="G4191" s="181"/>
      <c r="H4191" s="181"/>
      <c r="I4191" s="181"/>
      <c r="J4191" s="181"/>
      <c r="K4191" s="181"/>
      <c r="L4191" s="181"/>
      <c r="M4191" s="181"/>
      <c r="N4191" s="181"/>
      <c r="O4191" s="181"/>
      <c r="P4191" s="181"/>
    </row>
    <row r="4192">
      <c r="B4192" s="292"/>
      <c r="C4192" s="181"/>
      <c r="D4192" s="181"/>
      <c r="E4192" s="181"/>
      <c r="F4192" s="181"/>
      <c r="G4192" s="181"/>
      <c r="H4192" s="181"/>
      <c r="I4192" s="181"/>
      <c r="J4192" s="181"/>
      <c r="K4192" s="181"/>
      <c r="L4192" s="181"/>
      <c r="M4192" s="181"/>
      <c r="N4192" s="181"/>
      <c r="O4192" s="181"/>
      <c r="P4192" s="181"/>
    </row>
    <row r="4193">
      <c r="B4193" s="292"/>
      <c r="C4193" s="181"/>
      <c r="D4193" s="181"/>
      <c r="E4193" s="181"/>
      <c r="F4193" s="181"/>
      <c r="G4193" s="181"/>
      <c r="H4193" s="181"/>
      <c r="I4193" s="181"/>
      <c r="J4193" s="181"/>
      <c r="K4193" s="181"/>
      <c r="L4193" s="181"/>
      <c r="M4193" s="181"/>
      <c r="N4193" s="181"/>
      <c r="O4193" s="181"/>
      <c r="P4193" s="181"/>
    </row>
    <row r="4194">
      <c r="B4194" s="292"/>
      <c r="C4194" s="181"/>
      <c r="D4194" s="181"/>
      <c r="E4194" s="181"/>
      <c r="F4194" s="181"/>
      <c r="G4194" s="181"/>
      <c r="H4194" s="181"/>
      <c r="I4194" s="181"/>
      <c r="J4194" s="181"/>
      <c r="K4194" s="181"/>
      <c r="L4194" s="181"/>
      <c r="M4194" s="181"/>
      <c r="N4194" s="181"/>
      <c r="O4194" s="181"/>
      <c r="P4194" s="181"/>
    </row>
    <row r="4195">
      <c r="B4195" s="292"/>
      <c r="C4195" s="181"/>
      <c r="D4195" s="181"/>
      <c r="E4195" s="181"/>
      <c r="F4195" s="181"/>
      <c r="G4195" s="181"/>
      <c r="H4195" s="181"/>
      <c r="I4195" s="181"/>
      <c r="J4195" s="181"/>
      <c r="K4195" s="181"/>
      <c r="L4195" s="181"/>
      <c r="M4195" s="181"/>
      <c r="N4195" s="181"/>
      <c r="O4195" s="181"/>
      <c r="P4195" s="181"/>
    </row>
    <row r="4196">
      <c r="B4196" s="292"/>
      <c r="C4196" s="181"/>
      <c r="D4196" s="181"/>
      <c r="E4196" s="181"/>
      <c r="F4196" s="181"/>
      <c r="G4196" s="181"/>
      <c r="H4196" s="181"/>
      <c r="I4196" s="181"/>
      <c r="J4196" s="181"/>
      <c r="K4196" s="181"/>
      <c r="L4196" s="181"/>
      <c r="M4196" s="181"/>
      <c r="N4196" s="181"/>
      <c r="O4196" s="181"/>
      <c r="P4196" s="181"/>
    </row>
    <row r="4197">
      <c r="B4197" s="292"/>
      <c r="C4197" s="181"/>
      <c r="D4197" s="181"/>
      <c r="E4197" s="181"/>
      <c r="F4197" s="181"/>
      <c r="G4197" s="181"/>
      <c r="H4197" s="181"/>
      <c r="I4197" s="181"/>
      <c r="J4197" s="181"/>
      <c r="K4197" s="181"/>
      <c r="L4197" s="181"/>
      <c r="M4197" s="181"/>
      <c r="N4197" s="181"/>
      <c r="O4197" s="181"/>
      <c r="P4197" s="181"/>
    </row>
    <row r="4198">
      <c r="B4198" s="292"/>
      <c r="C4198" s="181"/>
      <c r="D4198" s="181"/>
      <c r="E4198" s="181"/>
      <c r="F4198" s="181"/>
      <c r="G4198" s="181"/>
      <c r="H4198" s="181"/>
      <c r="I4198" s="181"/>
      <c r="J4198" s="181"/>
      <c r="K4198" s="181"/>
      <c r="L4198" s="181"/>
      <c r="M4198" s="181"/>
      <c r="N4198" s="181"/>
      <c r="O4198" s="181"/>
      <c r="P4198" s="181"/>
    </row>
    <row r="4199">
      <c r="B4199" s="292"/>
      <c r="C4199" s="181"/>
      <c r="D4199" s="181"/>
      <c r="E4199" s="181"/>
      <c r="F4199" s="181"/>
      <c r="G4199" s="181"/>
      <c r="H4199" s="181"/>
      <c r="I4199" s="181"/>
      <c r="J4199" s="181"/>
      <c r="K4199" s="181"/>
      <c r="L4199" s="181"/>
      <c r="M4199" s="181"/>
      <c r="N4199" s="181"/>
      <c r="O4199" s="181"/>
      <c r="P4199" s="181"/>
    </row>
    <row r="4200">
      <c r="B4200" s="292"/>
      <c r="C4200" s="181"/>
      <c r="D4200" s="181"/>
      <c r="E4200" s="181"/>
      <c r="F4200" s="181"/>
      <c r="G4200" s="181"/>
      <c r="H4200" s="181"/>
      <c r="I4200" s="181"/>
      <c r="J4200" s="181"/>
      <c r="K4200" s="181"/>
      <c r="L4200" s="181"/>
      <c r="M4200" s="181"/>
      <c r="N4200" s="181"/>
      <c r="O4200" s="181"/>
      <c r="P4200" s="181"/>
    </row>
    <row r="4201">
      <c r="B4201" s="292"/>
      <c r="C4201" s="181"/>
      <c r="D4201" s="181"/>
      <c r="E4201" s="181"/>
      <c r="F4201" s="181"/>
      <c r="G4201" s="181"/>
      <c r="H4201" s="181"/>
      <c r="I4201" s="181"/>
      <c r="J4201" s="181"/>
      <c r="K4201" s="181"/>
      <c r="L4201" s="181"/>
      <c r="M4201" s="181"/>
      <c r="N4201" s="181"/>
      <c r="O4201" s="181"/>
      <c r="P4201" s="181"/>
    </row>
    <row r="4202">
      <c r="B4202" s="292"/>
      <c r="C4202" s="181"/>
      <c r="D4202" s="181"/>
      <c r="E4202" s="181"/>
      <c r="F4202" s="181"/>
      <c r="G4202" s="181"/>
      <c r="H4202" s="181"/>
      <c r="I4202" s="181"/>
      <c r="J4202" s="181"/>
      <c r="K4202" s="181"/>
      <c r="L4202" s="181"/>
      <c r="M4202" s="181"/>
      <c r="N4202" s="181"/>
      <c r="O4202" s="181"/>
      <c r="P4202" s="181"/>
    </row>
    <row r="4203">
      <c r="B4203" s="292"/>
      <c r="C4203" s="181"/>
      <c r="D4203" s="181"/>
      <c r="E4203" s="181"/>
      <c r="F4203" s="181"/>
      <c r="G4203" s="181"/>
      <c r="H4203" s="181"/>
      <c r="I4203" s="181"/>
      <c r="J4203" s="181"/>
      <c r="K4203" s="181"/>
      <c r="L4203" s="181"/>
      <c r="M4203" s="181"/>
      <c r="N4203" s="181"/>
      <c r="O4203" s="181"/>
      <c r="P4203" s="181"/>
    </row>
    <row r="4204">
      <c r="B4204" s="292"/>
      <c r="C4204" s="181"/>
      <c r="D4204" s="181"/>
      <c r="E4204" s="181"/>
      <c r="F4204" s="181"/>
      <c r="G4204" s="181"/>
      <c r="H4204" s="181"/>
      <c r="I4204" s="181"/>
      <c r="J4204" s="181"/>
      <c r="K4204" s="181"/>
      <c r="L4204" s="181"/>
      <c r="M4204" s="181"/>
      <c r="N4204" s="181"/>
      <c r="O4204" s="181"/>
      <c r="P4204" s="181"/>
    </row>
    <row r="4205">
      <c r="B4205" s="292"/>
      <c r="C4205" s="181"/>
      <c r="D4205" s="181"/>
      <c r="E4205" s="181"/>
      <c r="F4205" s="181"/>
      <c r="G4205" s="181"/>
      <c r="H4205" s="181"/>
      <c r="I4205" s="181"/>
      <c r="J4205" s="181"/>
      <c r="K4205" s="181"/>
      <c r="L4205" s="181"/>
      <c r="M4205" s="181"/>
      <c r="N4205" s="181"/>
      <c r="O4205" s="181"/>
      <c r="P4205" s="181"/>
    </row>
    <row r="4206">
      <c r="B4206" s="292"/>
      <c r="C4206" s="181"/>
      <c r="D4206" s="181"/>
      <c r="E4206" s="181"/>
      <c r="F4206" s="181"/>
      <c r="G4206" s="181"/>
      <c r="H4206" s="181"/>
      <c r="I4206" s="181"/>
      <c r="J4206" s="181"/>
      <c r="K4206" s="181"/>
      <c r="L4206" s="181"/>
      <c r="M4206" s="181"/>
      <c r="N4206" s="181"/>
      <c r="O4206" s="181"/>
      <c r="P4206" s="181"/>
    </row>
    <row r="4207">
      <c r="B4207" s="292"/>
      <c r="C4207" s="181"/>
      <c r="D4207" s="181"/>
      <c r="E4207" s="181"/>
      <c r="F4207" s="181"/>
      <c r="G4207" s="181"/>
      <c r="H4207" s="181"/>
      <c r="I4207" s="181"/>
      <c r="J4207" s="181"/>
      <c r="K4207" s="181"/>
      <c r="L4207" s="181"/>
      <c r="M4207" s="181"/>
      <c r="N4207" s="181"/>
      <c r="O4207" s="181"/>
      <c r="P4207" s="181"/>
    </row>
    <row r="4208">
      <c r="B4208" s="292"/>
      <c r="C4208" s="181"/>
      <c r="D4208" s="181"/>
      <c r="E4208" s="181"/>
      <c r="F4208" s="181"/>
      <c r="G4208" s="181"/>
      <c r="H4208" s="181"/>
      <c r="I4208" s="181"/>
      <c r="J4208" s="181"/>
      <c r="K4208" s="181"/>
      <c r="L4208" s="181"/>
      <c r="M4208" s="181"/>
      <c r="N4208" s="181"/>
      <c r="O4208" s="181"/>
      <c r="P4208" s="181"/>
    </row>
    <row r="4209">
      <c r="B4209" s="292"/>
      <c r="C4209" s="181"/>
      <c r="D4209" s="181"/>
      <c r="E4209" s="181"/>
      <c r="F4209" s="181"/>
      <c r="G4209" s="181"/>
      <c r="H4209" s="181"/>
      <c r="I4209" s="181"/>
      <c r="J4209" s="181"/>
      <c r="K4209" s="181"/>
      <c r="L4209" s="181"/>
      <c r="M4209" s="181"/>
      <c r="N4209" s="181"/>
      <c r="O4209" s="181"/>
      <c r="P4209" s="181"/>
    </row>
    <row r="4210">
      <c r="B4210" s="292"/>
      <c r="C4210" s="181"/>
      <c r="D4210" s="181"/>
      <c r="E4210" s="181"/>
      <c r="F4210" s="181"/>
      <c r="G4210" s="181"/>
      <c r="H4210" s="181"/>
      <c r="I4210" s="181"/>
      <c r="J4210" s="181"/>
      <c r="K4210" s="181"/>
      <c r="L4210" s="181"/>
      <c r="M4210" s="181"/>
      <c r="N4210" s="181"/>
      <c r="O4210" s="181"/>
      <c r="P4210" s="181"/>
    </row>
    <row r="4211">
      <c r="B4211" s="292"/>
      <c r="C4211" s="181"/>
      <c r="D4211" s="181"/>
      <c r="E4211" s="181"/>
      <c r="F4211" s="181"/>
      <c r="G4211" s="181"/>
      <c r="H4211" s="181"/>
      <c r="I4211" s="181"/>
      <c r="J4211" s="181"/>
      <c r="K4211" s="181"/>
      <c r="L4211" s="181"/>
      <c r="M4211" s="181"/>
      <c r="N4211" s="181"/>
      <c r="O4211" s="181"/>
      <c r="P4211" s="181"/>
    </row>
    <row r="4212">
      <c r="B4212" s="292"/>
      <c r="C4212" s="181"/>
      <c r="D4212" s="181"/>
      <c r="E4212" s="181"/>
      <c r="F4212" s="181"/>
      <c r="G4212" s="181"/>
      <c r="H4212" s="181"/>
      <c r="I4212" s="181"/>
      <c r="J4212" s="181"/>
      <c r="K4212" s="181"/>
      <c r="L4212" s="181"/>
      <c r="M4212" s="181"/>
      <c r="N4212" s="181"/>
      <c r="O4212" s="181"/>
      <c r="P4212" s="181"/>
    </row>
    <row r="4213">
      <c r="B4213" s="292"/>
      <c r="C4213" s="181"/>
      <c r="D4213" s="181"/>
      <c r="E4213" s="181"/>
      <c r="F4213" s="181"/>
      <c r="G4213" s="181"/>
      <c r="H4213" s="181"/>
      <c r="I4213" s="181"/>
      <c r="J4213" s="181"/>
      <c r="K4213" s="181"/>
      <c r="L4213" s="181"/>
      <c r="M4213" s="181"/>
      <c r="N4213" s="181"/>
      <c r="O4213" s="181"/>
      <c r="P4213" s="181"/>
    </row>
    <row r="4214">
      <c r="B4214" s="292"/>
      <c r="C4214" s="181"/>
      <c r="D4214" s="181"/>
      <c r="E4214" s="181"/>
      <c r="F4214" s="181"/>
      <c r="G4214" s="181"/>
      <c r="H4214" s="181"/>
      <c r="I4214" s="181"/>
      <c r="J4214" s="181"/>
      <c r="K4214" s="181"/>
      <c r="L4214" s="181"/>
      <c r="M4214" s="181"/>
      <c r="N4214" s="181"/>
      <c r="O4214" s="181"/>
      <c r="P4214" s="181"/>
    </row>
    <row r="4215">
      <c r="B4215" s="292"/>
      <c r="C4215" s="181"/>
      <c r="D4215" s="181"/>
      <c r="E4215" s="181"/>
      <c r="F4215" s="181"/>
      <c r="G4215" s="181"/>
      <c r="H4215" s="181"/>
      <c r="I4215" s="181"/>
      <c r="J4215" s="181"/>
      <c r="K4215" s="181"/>
      <c r="L4215" s="181"/>
      <c r="M4215" s="181"/>
      <c r="N4215" s="181"/>
      <c r="O4215" s="181"/>
      <c r="P4215" s="181"/>
    </row>
    <row r="4216">
      <c r="B4216" s="292"/>
      <c r="C4216" s="181"/>
      <c r="D4216" s="181"/>
      <c r="E4216" s="181"/>
      <c r="F4216" s="181"/>
      <c r="G4216" s="181"/>
      <c r="H4216" s="181"/>
      <c r="I4216" s="181"/>
      <c r="J4216" s="181"/>
      <c r="K4216" s="181"/>
      <c r="L4216" s="181"/>
      <c r="M4216" s="181"/>
      <c r="N4216" s="181"/>
      <c r="O4216" s="181"/>
      <c r="P4216" s="181"/>
    </row>
    <row r="4217">
      <c r="B4217" s="292"/>
      <c r="C4217" s="181"/>
      <c r="D4217" s="181"/>
      <c r="E4217" s="181"/>
      <c r="F4217" s="181"/>
      <c r="G4217" s="181"/>
      <c r="H4217" s="181"/>
      <c r="I4217" s="181"/>
      <c r="J4217" s="181"/>
      <c r="K4217" s="181"/>
      <c r="L4217" s="181"/>
      <c r="M4217" s="181"/>
      <c r="N4217" s="181"/>
      <c r="O4217" s="181"/>
      <c r="P4217" s="181"/>
    </row>
    <row r="4218">
      <c r="B4218" s="292"/>
      <c r="C4218" s="181"/>
      <c r="D4218" s="181"/>
      <c r="E4218" s="181"/>
      <c r="F4218" s="181"/>
      <c r="G4218" s="181"/>
      <c r="H4218" s="181"/>
      <c r="I4218" s="181"/>
      <c r="J4218" s="181"/>
      <c r="K4218" s="181"/>
      <c r="L4218" s="181"/>
      <c r="M4218" s="181"/>
      <c r="N4218" s="181"/>
      <c r="O4218" s="181"/>
      <c r="P4218" s="181"/>
    </row>
    <row r="4219">
      <c r="B4219" s="292"/>
      <c r="C4219" s="181"/>
      <c r="D4219" s="181"/>
      <c r="E4219" s="181"/>
      <c r="F4219" s="181"/>
      <c r="G4219" s="181"/>
      <c r="H4219" s="181"/>
      <c r="I4219" s="181"/>
      <c r="J4219" s="181"/>
      <c r="K4219" s="181"/>
      <c r="L4219" s="181"/>
      <c r="M4219" s="181"/>
      <c r="N4219" s="181"/>
      <c r="O4219" s="181"/>
      <c r="P4219" s="181"/>
    </row>
    <row r="4220">
      <c r="B4220" s="292"/>
      <c r="C4220" s="181"/>
      <c r="D4220" s="181"/>
      <c r="E4220" s="181"/>
      <c r="F4220" s="181"/>
      <c r="G4220" s="181"/>
      <c r="H4220" s="181"/>
      <c r="I4220" s="181"/>
      <c r="J4220" s="181"/>
      <c r="K4220" s="181"/>
      <c r="L4220" s="181"/>
      <c r="M4220" s="181"/>
      <c r="N4220" s="181"/>
      <c r="O4220" s="181"/>
      <c r="P4220" s="181"/>
    </row>
    <row r="4221">
      <c r="B4221" s="292"/>
      <c r="C4221" s="181"/>
      <c r="D4221" s="181"/>
      <c r="E4221" s="181"/>
      <c r="F4221" s="181"/>
      <c r="G4221" s="181"/>
      <c r="H4221" s="181"/>
      <c r="I4221" s="181"/>
      <c r="J4221" s="181"/>
      <c r="K4221" s="181"/>
      <c r="L4221" s="181"/>
      <c r="M4221" s="181"/>
      <c r="N4221" s="181"/>
      <c r="O4221" s="181"/>
      <c r="P4221" s="181"/>
    </row>
    <row r="4222">
      <c r="B4222" s="292"/>
      <c r="C4222" s="181"/>
      <c r="D4222" s="181"/>
      <c r="E4222" s="181"/>
      <c r="F4222" s="181"/>
      <c r="G4222" s="181"/>
      <c r="H4222" s="181"/>
      <c r="I4222" s="181"/>
      <c r="J4222" s="181"/>
      <c r="K4222" s="181"/>
      <c r="L4222" s="181"/>
      <c r="M4222" s="181"/>
      <c r="N4222" s="181"/>
      <c r="O4222" s="181"/>
      <c r="P4222" s="181"/>
    </row>
    <row r="4223">
      <c r="B4223" s="292"/>
      <c r="C4223" s="181"/>
      <c r="D4223" s="181"/>
      <c r="E4223" s="181"/>
      <c r="F4223" s="181"/>
      <c r="G4223" s="181"/>
      <c r="H4223" s="181"/>
      <c r="I4223" s="181"/>
      <c r="J4223" s="181"/>
      <c r="K4223" s="181"/>
      <c r="L4223" s="181"/>
      <c r="M4223" s="181"/>
      <c r="N4223" s="181"/>
      <c r="O4223" s="181"/>
      <c r="P4223" s="181"/>
    </row>
    <row r="4224">
      <c r="B4224" s="292"/>
      <c r="C4224" s="181"/>
      <c r="D4224" s="181"/>
      <c r="E4224" s="181"/>
      <c r="F4224" s="181"/>
      <c r="G4224" s="181"/>
      <c r="H4224" s="181"/>
      <c r="I4224" s="181"/>
      <c r="J4224" s="181"/>
      <c r="K4224" s="181"/>
      <c r="L4224" s="181"/>
      <c r="M4224" s="181"/>
      <c r="N4224" s="181"/>
      <c r="O4224" s="181"/>
      <c r="P4224" s="181"/>
    </row>
    <row r="4225">
      <c r="B4225" s="292"/>
      <c r="C4225" s="181"/>
      <c r="D4225" s="181"/>
      <c r="E4225" s="181"/>
      <c r="F4225" s="181"/>
      <c r="G4225" s="181"/>
      <c r="H4225" s="181"/>
      <c r="I4225" s="181"/>
      <c r="J4225" s="181"/>
      <c r="K4225" s="181"/>
      <c r="L4225" s="181"/>
      <c r="M4225" s="181"/>
      <c r="N4225" s="181"/>
      <c r="O4225" s="181"/>
      <c r="P4225" s="181"/>
    </row>
    <row r="4226">
      <c r="B4226" s="292"/>
      <c r="C4226" s="181"/>
      <c r="D4226" s="181"/>
      <c r="E4226" s="181"/>
      <c r="F4226" s="181"/>
      <c r="G4226" s="181"/>
      <c r="H4226" s="181"/>
      <c r="I4226" s="181"/>
      <c r="J4226" s="181"/>
      <c r="K4226" s="181"/>
      <c r="L4226" s="181"/>
      <c r="M4226" s="181"/>
      <c r="N4226" s="181"/>
      <c r="O4226" s="181"/>
      <c r="P4226" s="181"/>
    </row>
    <row r="4227">
      <c r="B4227" s="292"/>
      <c r="C4227" s="181"/>
      <c r="D4227" s="181"/>
      <c r="E4227" s="181"/>
      <c r="F4227" s="181"/>
      <c r="G4227" s="181"/>
      <c r="H4227" s="181"/>
      <c r="I4227" s="181"/>
      <c r="J4227" s="181"/>
      <c r="K4227" s="181"/>
      <c r="L4227" s="181"/>
      <c r="M4227" s="181"/>
      <c r="N4227" s="181"/>
      <c r="O4227" s="181"/>
      <c r="P4227" s="181"/>
    </row>
    <row r="4228">
      <c r="B4228" s="292"/>
      <c r="C4228" s="181"/>
      <c r="D4228" s="181"/>
      <c r="E4228" s="181"/>
      <c r="F4228" s="181"/>
      <c r="G4228" s="181"/>
      <c r="H4228" s="181"/>
      <c r="I4228" s="181"/>
      <c r="J4228" s="181"/>
      <c r="K4228" s="181"/>
      <c r="L4228" s="181"/>
      <c r="M4228" s="181"/>
      <c r="N4228" s="181"/>
      <c r="O4228" s="181"/>
      <c r="P4228" s="181"/>
    </row>
    <row r="4229">
      <c r="B4229" s="292"/>
      <c r="C4229" s="181"/>
      <c r="D4229" s="181"/>
      <c r="E4229" s="181"/>
      <c r="F4229" s="181"/>
      <c r="G4229" s="181"/>
      <c r="H4229" s="181"/>
      <c r="I4229" s="181"/>
      <c r="J4229" s="181"/>
      <c r="K4229" s="181"/>
      <c r="L4229" s="181"/>
      <c r="M4229" s="181"/>
      <c r="N4229" s="181"/>
      <c r="O4229" s="181"/>
      <c r="P4229" s="181"/>
    </row>
    <row r="4230">
      <c r="B4230" s="292"/>
      <c r="C4230" s="181"/>
      <c r="D4230" s="181"/>
      <c r="E4230" s="181"/>
      <c r="F4230" s="181"/>
      <c r="G4230" s="181"/>
      <c r="H4230" s="181"/>
      <c r="I4230" s="181"/>
      <c r="J4230" s="181"/>
      <c r="K4230" s="181"/>
      <c r="L4230" s="181"/>
      <c r="M4230" s="181"/>
      <c r="N4230" s="181"/>
      <c r="O4230" s="181"/>
      <c r="P4230" s="181"/>
    </row>
    <row r="4231">
      <c r="B4231" s="292"/>
      <c r="C4231" s="181"/>
      <c r="D4231" s="181"/>
      <c r="E4231" s="181"/>
      <c r="F4231" s="181"/>
      <c r="G4231" s="181"/>
      <c r="H4231" s="181"/>
      <c r="I4231" s="181"/>
      <c r="J4231" s="181"/>
      <c r="K4231" s="181"/>
      <c r="L4231" s="181"/>
      <c r="M4231" s="181"/>
      <c r="N4231" s="181"/>
      <c r="O4231" s="181"/>
      <c r="P4231" s="181"/>
    </row>
    <row r="4232">
      <c r="B4232" s="292"/>
      <c r="C4232" s="181"/>
      <c r="D4232" s="181"/>
      <c r="E4232" s="181"/>
      <c r="F4232" s="181"/>
      <c r="G4232" s="181"/>
      <c r="H4232" s="181"/>
      <c r="I4232" s="181"/>
      <c r="J4232" s="181"/>
      <c r="K4232" s="181"/>
      <c r="L4232" s="181"/>
      <c r="M4232" s="181"/>
      <c r="N4232" s="181"/>
      <c r="O4232" s="181"/>
      <c r="P4232" s="181"/>
    </row>
    <row r="4233">
      <c r="B4233" s="292"/>
      <c r="C4233" s="181"/>
      <c r="D4233" s="181"/>
      <c r="E4233" s="181"/>
      <c r="F4233" s="181"/>
      <c r="G4233" s="181"/>
      <c r="H4233" s="181"/>
      <c r="I4233" s="181"/>
      <c r="J4233" s="181"/>
      <c r="K4233" s="181"/>
      <c r="L4233" s="181"/>
      <c r="M4233" s="181"/>
      <c r="N4233" s="181"/>
      <c r="O4233" s="181"/>
      <c r="P4233" s="181"/>
    </row>
    <row r="4234">
      <c r="B4234" s="292"/>
      <c r="C4234" s="181"/>
      <c r="D4234" s="181"/>
      <c r="E4234" s="181"/>
      <c r="F4234" s="181"/>
      <c r="G4234" s="181"/>
      <c r="H4234" s="181"/>
      <c r="I4234" s="181"/>
      <c r="J4234" s="181"/>
      <c r="K4234" s="181"/>
      <c r="L4234" s="181"/>
      <c r="M4234" s="181"/>
      <c r="N4234" s="181"/>
      <c r="O4234" s="181"/>
      <c r="P4234" s="181"/>
    </row>
    <row r="4235">
      <c r="B4235" s="292"/>
      <c r="C4235" s="181"/>
      <c r="D4235" s="181"/>
      <c r="E4235" s="181"/>
      <c r="F4235" s="181"/>
      <c r="G4235" s="181"/>
      <c r="H4235" s="181"/>
      <c r="I4235" s="181"/>
      <c r="J4235" s="181"/>
      <c r="K4235" s="181"/>
      <c r="L4235" s="181"/>
      <c r="M4235" s="181"/>
      <c r="N4235" s="181"/>
      <c r="O4235" s="181"/>
      <c r="P4235" s="181"/>
    </row>
    <row r="4236">
      <c r="B4236" s="292"/>
      <c r="C4236" s="181"/>
      <c r="D4236" s="181"/>
      <c r="E4236" s="181"/>
      <c r="F4236" s="181"/>
      <c r="G4236" s="181"/>
      <c r="H4236" s="181"/>
      <c r="I4236" s="181"/>
      <c r="J4236" s="181"/>
      <c r="K4236" s="181"/>
      <c r="L4236" s="181"/>
      <c r="M4236" s="181"/>
      <c r="N4236" s="181"/>
      <c r="O4236" s="181"/>
      <c r="P4236" s="181"/>
    </row>
    <row r="4237">
      <c r="B4237" s="292"/>
      <c r="C4237" s="181"/>
      <c r="D4237" s="181"/>
      <c r="E4237" s="181"/>
      <c r="F4237" s="181"/>
      <c r="G4237" s="181"/>
      <c r="H4237" s="181"/>
      <c r="I4237" s="181"/>
      <c r="J4237" s="181"/>
      <c r="K4237" s="181"/>
      <c r="L4237" s="181"/>
      <c r="M4237" s="181"/>
      <c r="N4237" s="181"/>
      <c r="O4237" s="181"/>
      <c r="P4237" s="181"/>
    </row>
    <row r="4238">
      <c r="B4238" s="292"/>
      <c r="C4238" s="181"/>
      <c r="D4238" s="181"/>
      <c r="E4238" s="181"/>
      <c r="F4238" s="181"/>
      <c r="G4238" s="181"/>
      <c r="H4238" s="181"/>
      <c r="I4238" s="181"/>
      <c r="J4238" s="181"/>
      <c r="K4238" s="181"/>
      <c r="L4238" s="181"/>
      <c r="M4238" s="181"/>
      <c r="N4238" s="181"/>
      <c r="O4238" s="181"/>
      <c r="P4238" s="181"/>
    </row>
    <row r="4239">
      <c r="B4239" s="292"/>
      <c r="C4239" s="181"/>
      <c r="D4239" s="181"/>
      <c r="E4239" s="181"/>
      <c r="F4239" s="181"/>
      <c r="G4239" s="181"/>
      <c r="H4239" s="181"/>
      <c r="I4239" s="181"/>
      <c r="J4239" s="181"/>
      <c r="K4239" s="181"/>
      <c r="L4239" s="181"/>
      <c r="M4239" s="181"/>
      <c r="N4239" s="181"/>
      <c r="O4239" s="181"/>
      <c r="P4239" s="181"/>
    </row>
    <row r="4240">
      <c r="B4240" s="292"/>
      <c r="C4240" s="181"/>
      <c r="D4240" s="181"/>
      <c r="E4240" s="181"/>
      <c r="F4240" s="181"/>
      <c r="G4240" s="181"/>
      <c r="H4240" s="181"/>
      <c r="I4240" s="181"/>
      <c r="J4240" s="181"/>
      <c r="K4240" s="181"/>
      <c r="L4240" s="181"/>
      <c r="M4240" s="181"/>
      <c r="N4240" s="181"/>
      <c r="O4240" s="181"/>
      <c r="P4240" s="181"/>
    </row>
    <row r="4241">
      <c r="B4241" s="292"/>
      <c r="C4241" s="181"/>
      <c r="D4241" s="181"/>
      <c r="E4241" s="181"/>
      <c r="F4241" s="181"/>
      <c r="G4241" s="181"/>
      <c r="H4241" s="181"/>
      <c r="I4241" s="181"/>
      <c r="J4241" s="181"/>
      <c r="K4241" s="181"/>
      <c r="L4241" s="181"/>
      <c r="M4241" s="181"/>
      <c r="N4241" s="181"/>
      <c r="O4241" s="181"/>
      <c r="P4241" s="181"/>
    </row>
    <row r="4242">
      <c r="B4242" s="292"/>
      <c r="C4242" s="181"/>
      <c r="D4242" s="181"/>
      <c r="E4242" s="181"/>
      <c r="F4242" s="181"/>
      <c r="G4242" s="181"/>
      <c r="H4242" s="181"/>
      <c r="I4242" s="181"/>
      <c r="J4242" s="181"/>
      <c r="K4242" s="181"/>
      <c r="L4242" s="181"/>
      <c r="M4242" s="181"/>
      <c r="N4242" s="181"/>
      <c r="O4242" s="181"/>
      <c r="P4242" s="181"/>
    </row>
    <row r="4243">
      <c r="B4243" s="292"/>
      <c r="C4243" s="181"/>
      <c r="D4243" s="181"/>
      <c r="E4243" s="181"/>
      <c r="F4243" s="181"/>
      <c r="G4243" s="181"/>
      <c r="H4243" s="181"/>
      <c r="I4243" s="181"/>
      <c r="J4243" s="181"/>
      <c r="K4243" s="181"/>
      <c r="L4243" s="181"/>
      <c r="M4243" s="181"/>
      <c r="N4243" s="181"/>
      <c r="O4243" s="181"/>
      <c r="P4243" s="181"/>
    </row>
    <row r="4244">
      <c r="B4244" s="292"/>
      <c r="C4244" s="181"/>
      <c r="D4244" s="181"/>
      <c r="E4244" s="181"/>
      <c r="F4244" s="181"/>
      <c r="G4244" s="181"/>
      <c r="H4244" s="181"/>
      <c r="I4244" s="181"/>
      <c r="J4244" s="181"/>
      <c r="K4244" s="181"/>
      <c r="L4244" s="181"/>
      <c r="M4244" s="181"/>
      <c r="N4244" s="181"/>
      <c r="O4244" s="181"/>
      <c r="P4244" s="181"/>
    </row>
    <row r="4245">
      <c r="B4245" s="292"/>
      <c r="C4245" s="181"/>
      <c r="D4245" s="181"/>
      <c r="E4245" s="181"/>
      <c r="F4245" s="181"/>
      <c r="G4245" s="181"/>
      <c r="H4245" s="181"/>
      <c r="I4245" s="181"/>
      <c r="J4245" s="181"/>
      <c r="K4245" s="181"/>
      <c r="L4245" s="181"/>
      <c r="M4245" s="181"/>
      <c r="N4245" s="181"/>
      <c r="O4245" s="181"/>
      <c r="P4245" s="181"/>
    </row>
    <row r="4246">
      <c r="B4246" s="292"/>
      <c r="C4246" s="181"/>
      <c r="D4246" s="181"/>
      <c r="E4246" s="181"/>
      <c r="F4246" s="181"/>
      <c r="G4246" s="181"/>
      <c r="H4246" s="181"/>
      <c r="I4246" s="181"/>
      <c r="J4246" s="181"/>
      <c r="K4246" s="181"/>
      <c r="L4246" s="181"/>
      <c r="M4246" s="181"/>
      <c r="N4246" s="181"/>
      <c r="O4246" s="181"/>
      <c r="P4246" s="181"/>
    </row>
    <row r="4247">
      <c r="B4247" s="292"/>
      <c r="C4247" s="181"/>
      <c r="D4247" s="181"/>
      <c r="E4247" s="181"/>
      <c r="F4247" s="181"/>
      <c r="G4247" s="181"/>
      <c r="H4247" s="181"/>
      <c r="I4247" s="181"/>
      <c r="J4247" s="181"/>
      <c r="K4247" s="181"/>
      <c r="L4247" s="181"/>
      <c r="M4247" s="181"/>
      <c r="N4247" s="181"/>
      <c r="O4247" s="181"/>
      <c r="P4247" s="181"/>
    </row>
    <row r="4248">
      <c r="B4248" s="292"/>
      <c r="C4248" s="181"/>
      <c r="D4248" s="181"/>
      <c r="E4248" s="181"/>
      <c r="F4248" s="181"/>
      <c r="G4248" s="181"/>
      <c r="H4248" s="181"/>
      <c r="I4248" s="181"/>
      <c r="J4248" s="181"/>
      <c r="K4248" s="181"/>
      <c r="L4248" s="181"/>
      <c r="M4248" s="181"/>
      <c r="N4248" s="181"/>
      <c r="O4248" s="181"/>
      <c r="P4248" s="181"/>
    </row>
    <row r="4249">
      <c r="B4249" s="292"/>
      <c r="C4249" s="181"/>
      <c r="D4249" s="181"/>
      <c r="E4249" s="181"/>
      <c r="F4249" s="181"/>
      <c r="G4249" s="181"/>
      <c r="H4249" s="181"/>
      <c r="I4249" s="181"/>
      <c r="J4249" s="181"/>
      <c r="K4249" s="181"/>
      <c r="L4249" s="181"/>
      <c r="M4249" s="181"/>
      <c r="N4249" s="181"/>
      <c r="O4249" s="181"/>
      <c r="P4249" s="181"/>
    </row>
    <row r="4250">
      <c r="B4250" s="292"/>
      <c r="C4250" s="181"/>
      <c r="D4250" s="181"/>
      <c r="E4250" s="181"/>
      <c r="F4250" s="181"/>
      <c r="G4250" s="181"/>
      <c r="H4250" s="181"/>
      <c r="I4250" s="181"/>
      <c r="J4250" s="181"/>
      <c r="K4250" s="181"/>
      <c r="L4250" s="181"/>
      <c r="M4250" s="181"/>
      <c r="N4250" s="181"/>
      <c r="O4250" s="181"/>
      <c r="P4250" s="181"/>
    </row>
    <row r="4251">
      <c r="B4251" s="292"/>
      <c r="C4251" s="181"/>
      <c r="D4251" s="181"/>
      <c r="E4251" s="181"/>
      <c r="F4251" s="181"/>
      <c r="G4251" s="181"/>
      <c r="H4251" s="181"/>
      <c r="I4251" s="181"/>
      <c r="J4251" s="181"/>
      <c r="K4251" s="181"/>
      <c r="L4251" s="181"/>
      <c r="M4251" s="181"/>
      <c r="N4251" s="181"/>
      <c r="O4251" s="181"/>
      <c r="P4251" s="181"/>
    </row>
    <row r="4252">
      <c r="B4252" s="292"/>
      <c r="C4252" s="181"/>
      <c r="D4252" s="181"/>
      <c r="E4252" s="181"/>
      <c r="F4252" s="181"/>
      <c r="G4252" s="181"/>
      <c r="H4252" s="181"/>
      <c r="I4252" s="181"/>
      <c r="J4252" s="181"/>
      <c r="K4252" s="181"/>
      <c r="L4252" s="181"/>
      <c r="M4252" s="181"/>
      <c r="N4252" s="181"/>
      <c r="O4252" s="181"/>
      <c r="P4252" s="181"/>
    </row>
    <row r="4253">
      <c r="B4253" s="292"/>
      <c r="C4253" s="181"/>
      <c r="D4253" s="181"/>
      <c r="E4253" s="181"/>
      <c r="F4253" s="181"/>
      <c r="G4253" s="181"/>
      <c r="H4253" s="181"/>
      <c r="I4253" s="181"/>
      <c r="J4253" s="181"/>
      <c r="K4253" s="181"/>
      <c r="L4253" s="181"/>
      <c r="M4253" s="181"/>
      <c r="N4253" s="181"/>
      <c r="O4253" s="181"/>
      <c r="P4253" s="181"/>
    </row>
    <row r="4254">
      <c r="B4254" s="292"/>
      <c r="C4254" s="181"/>
      <c r="D4254" s="181"/>
      <c r="E4254" s="181"/>
      <c r="F4254" s="181"/>
      <c r="G4254" s="181"/>
      <c r="H4254" s="181"/>
      <c r="I4254" s="181"/>
      <c r="J4254" s="181"/>
      <c r="K4254" s="181"/>
      <c r="L4254" s="181"/>
      <c r="M4254" s="181"/>
      <c r="N4254" s="181"/>
      <c r="O4254" s="181"/>
      <c r="P4254" s="181"/>
    </row>
    <row r="4255">
      <c r="B4255" s="292"/>
      <c r="C4255" s="181"/>
      <c r="D4255" s="181"/>
      <c r="E4255" s="181"/>
      <c r="F4255" s="181"/>
      <c r="G4255" s="181"/>
      <c r="H4255" s="181"/>
      <c r="I4255" s="181"/>
      <c r="J4255" s="181"/>
      <c r="K4255" s="181"/>
      <c r="L4255" s="181"/>
      <c r="M4255" s="181"/>
      <c r="N4255" s="181"/>
      <c r="O4255" s="181"/>
      <c r="P4255" s="181"/>
    </row>
    <row r="4256">
      <c r="B4256" s="292"/>
      <c r="C4256" s="181"/>
      <c r="D4256" s="181"/>
      <c r="E4256" s="181"/>
      <c r="F4256" s="181"/>
      <c r="G4256" s="181"/>
      <c r="H4256" s="181"/>
      <c r="I4256" s="181"/>
      <c r="J4256" s="181"/>
      <c r="K4256" s="181"/>
      <c r="L4256" s="181"/>
      <c r="M4256" s="181"/>
      <c r="N4256" s="181"/>
      <c r="O4256" s="181"/>
      <c r="P4256" s="181"/>
    </row>
    <row r="4257">
      <c r="B4257" s="292"/>
      <c r="C4257" s="181"/>
      <c r="D4257" s="181"/>
      <c r="E4257" s="181"/>
      <c r="F4257" s="181"/>
      <c r="G4257" s="181"/>
      <c r="H4257" s="181"/>
      <c r="I4257" s="181"/>
      <c r="J4257" s="181"/>
      <c r="K4257" s="181"/>
      <c r="L4257" s="181"/>
      <c r="M4257" s="181"/>
      <c r="N4257" s="181"/>
      <c r="O4257" s="181"/>
      <c r="P4257" s="181"/>
    </row>
    <row r="4258">
      <c r="B4258" s="292"/>
      <c r="C4258" s="181"/>
      <c r="D4258" s="181"/>
      <c r="E4258" s="181"/>
      <c r="F4258" s="181"/>
      <c r="G4258" s="181"/>
      <c r="H4258" s="181"/>
      <c r="I4258" s="181"/>
      <c r="J4258" s="181"/>
      <c r="K4258" s="181"/>
      <c r="L4258" s="181"/>
      <c r="M4258" s="181"/>
      <c r="N4258" s="181"/>
      <c r="O4258" s="181"/>
      <c r="P4258" s="181"/>
    </row>
    <row r="4259">
      <c r="B4259" s="292"/>
      <c r="C4259" s="181"/>
      <c r="D4259" s="181"/>
      <c r="E4259" s="181"/>
      <c r="F4259" s="181"/>
      <c r="G4259" s="181"/>
      <c r="H4259" s="181"/>
      <c r="I4259" s="181"/>
      <c r="J4259" s="181"/>
      <c r="K4259" s="181"/>
      <c r="L4259" s="181"/>
      <c r="M4259" s="181"/>
      <c r="N4259" s="181"/>
      <c r="O4259" s="181"/>
      <c r="P4259" s="181"/>
    </row>
    <row r="4260">
      <c r="B4260" s="292"/>
      <c r="C4260" s="181"/>
      <c r="D4260" s="181"/>
      <c r="E4260" s="181"/>
      <c r="F4260" s="181"/>
      <c r="G4260" s="181"/>
      <c r="H4260" s="181"/>
      <c r="I4260" s="181"/>
      <c r="J4260" s="181"/>
      <c r="K4260" s="181"/>
      <c r="L4260" s="181"/>
      <c r="M4260" s="181"/>
      <c r="N4260" s="181"/>
      <c r="O4260" s="181"/>
      <c r="P4260" s="181"/>
    </row>
    <row r="4261">
      <c r="B4261" s="292"/>
      <c r="C4261" s="181"/>
      <c r="D4261" s="181"/>
      <c r="E4261" s="181"/>
      <c r="F4261" s="181"/>
      <c r="G4261" s="181"/>
      <c r="H4261" s="181"/>
      <c r="I4261" s="181"/>
      <c r="J4261" s="181"/>
      <c r="K4261" s="181"/>
      <c r="L4261" s="181"/>
      <c r="M4261" s="181"/>
      <c r="N4261" s="181"/>
      <c r="O4261" s="181"/>
      <c r="P4261" s="181"/>
    </row>
    <row r="4262">
      <c r="B4262" s="292"/>
      <c r="C4262" s="181"/>
      <c r="D4262" s="181"/>
      <c r="E4262" s="181"/>
      <c r="F4262" s="181"/>
      <c r="G4262" s="181"/>
      <c r="H4262" s="181"/>
      <c r="I4262" s="181"/>
      <c r="J4262" s="181"/>
      <c r="K4262" s="181"/>
      <c r="L4262" s="181"/>
      <c r="M4262" s="181"/>
      <c r="N4262" s="181"/>
      <c r="O4262" s="181"/>
      <c r="P4262" s="181"/>
    </row>
    <row r="4263">
      <c r="B4263" s="292"/>
      <c r="C4263" s="181"/>
      <c r="D4263" s="181"/>
      <c r="E4263" s="181"/>
      <c r="F4263" s="181"/>
      <c r="G4263" s="181"/>
      <c r="H4263" s="181"/>
      <c r="I4263" s="181"/>
      <c r="J4263" s="181"/>
      <c r="K4263" s="181"/>
      <c r="L4263" s="181"/>
      <c r="M4263" s="181"/>
      <c r="N4263" s="181"/>
      <c r="O4263" s="181"/>
      <c r="P4263" s="181"/>
    </row>
    <row r="4264">
      <c r="B4264" s="292"/>
      <c r="C4264" s="181"/>
      <c r="D4264" s="181"/>
      <c r="E4264" s="181"/>
      <c r="F4264" s="181"/>
      <c r="G4264" s="181"/>
      <c r="H4264" s="181"/>
      <c r="I4264" s="181"/>
      <c r="J4264" s="181"/>
      <c r="K4264" s="181"/>
      <c r="L4264" s="181"/>
      <c r="M4264" s="181"/>
      <c r="N4264" s="181"/>
      <c r="O4264" s="181"/>
      <c r="P4264" s="181"/>
    </row>
    <row r="4265">
      <c r="B4265" s="292"/>
      <c r="C4265" s="181"/>
      <c r="D4265" s="181"/>
      <c r="E4265" s="181"/>
      <c r="F4265" s="181"/>
      <c r="G4265" s="181"/>
      <c r="H4265" s="181"/>
      <c r="I4265" s="181"/>
      <c r="J4265" s="181"/>
      <c r="K4265" s="181"/>
      <c r="L4265" s="181"/>
      <c r="M4265" s="181"/>
      <c r="N4265" s="181"/>
      <c r="O4265" s="181"/>
      <c r="P4265" s="181"/>
    </row>
    <row r="4266">
      <c r="B4266" s="292"/>
      <c r="C4266" s="181"/>
      <c r="D4266" s="181"/>
      <c r="E4266" s="181"/>
      <c r="F4266" s="181"/>
      <c r="G4266" s="181"/>
      <c r="H4266" s="181"/>
      <c r="I4266" s="181"/>
      <c r="J4266" s="181"/>
      <c r="K4266" s="181"/>
      <c r="L4266" s="181"/>
      <c r="M4266" s="181"/>
      <c r="N4266" s="181"/>
      <c r="O4266" s="181"/>
      <c r="P4266" s="181"/>
    </row>
    <row r="4267">
      <c r="B4267" s="292"/>
      <c r="C4267" s="181"/>
      <c r="D4267" s="181"/>
      <c r="E4267" s="181"/>
      <c r="F4267" s="181"/>
      <c r="G4267" s="181"/>
      <c r="H4267" s="181"/>
      <c r="I4267" s="181"/>
      <c r="J4267" s="181"/>
      <c r="K4267" s="181"/>
      <c r="L4267" s="181"/>
      <c r="M4267" s="181"/>
      <c r="N4267" s="181"/>
      <c r="O4267" s="181"/>
      <c r="P4267" s="181"/>
    </row>
    <row r="4268">
      <c r="B4268" s="292"/>
      <c r="C4268" s="181"/>
      <c r="D4268" s="181"/>
      <c r="E4268" s="181"/>
      <c r="F4268" s="181"/>
      <c r="G4268" s="181"/>
      <c r="H4268" s="181"/>
      <c r="I4268" s="181"/>
      <c r="J4268" s="181"/>
      <c r="K4268" s="181"/>
      <c r="L4268" s="181"/>
      <c r="M4268" s="181"/>
      <c r="N4268" s="181"/>
      <c r="O4268" s="181"/>
      <c r="P4268" s="181"/>
    </row>
    <row r="4269">
      <c r="B4269" s="292"/>
      <c r="C4269" s="181"/>
      <c r="D4269" s="181"/>
      <c r="E4269" s="181"/>
      <c r="F4269" s="181"/>
      <c r="G4269" s="181"/>
      <c r="H4269" s="181"/>
      <c r="I4269" s="181"/>
      <c r="J4269" s="181"/>
      <c r="K4269" s="181"/>
      <c r="L4269" s="181"/>
      <c r="M4269" s="181"/>
      <c r="N4269" s="181"/>
      <c r="O4269" s="181"/>
      <c r="P4269" s="181"/>
    </row>
    <row r="4270">
      <c r="B4270" s="292"/>
      <c r="C4270" s="181"/>
      <c r="D4270" s="181"/>
      <c r="E4270" s="181"/>
      <c r="F4270" s="181"/>
      <c r="G4270" s="181"/>
      <c r="H4270" s="181"/>
      <c r="I4270" s="181"/>
      <c r="J4270" s="181"/>
      <c r="K4270" s="181"/>
      <c r="L4270" s="181"/>
      <c r="M4270" s="181"/>
      <c r="N4270" s="181"/>
      <c r="O4270" s="181"/>
      <c r="P4270" s="181"/>
    </row>
    <row r="4271">
      <c r="B4271" s="292"/>
      <c r="C4271" s="181"/>
      <c r="D4271" s="181"/>
      <c r="E4271" s="181"/>
      <c r="F4271" s="181"/>
      <c r="G4271" s="181"/>
      <c r="H4271" s="181"/>
      <c r="I4271" s="181"/>
      <c r="J4271" s="181"/>
      <c r="K4271" s="181"/>
      <c r="L4271" s="181"/>
      <c r="M4271" s="181"/>
      <c r="N4271" s="181"/>
      <c r="O4271" s="181"/>
      <c r="P4271" s="181"/>
    </row>
    <row r="4272">
      <c r="B4272" s="292"/>
      <c r="C4272" s="181"/>
      <c r="D4272" s="181"/>
      <c r="E4272" s="181"/>
      <c r="F4272" s="181"/>
      <c r="G4272" s="181"/>
      <c r="H4272" s="181"/>
      <c r="I4272" s="181"/>
      <c r="J4272" s="181"/>
      <c r="K4272" s="181"/>
      <c r="L4272" s="181"/>
      <c r="M4272" s="181"/>
      <c r="N4272" s="181"/>
      <c r="O4272" s="181"/>
      <c r="P4272" s="181"/>
    </row>
    <row r="4273">
      <c r="B4273" s="292"/>
      <c r="C4273" s="181"/>
      <c r="D4273" s="181"/>
      <c r="E4273" s="181"/>
      <c r="F4273" s="181"/>
      <c r="G4273" s="181"/>
      <c r="H4273" s="181"/>
      <c r="I4273" s="181"/>
      <c r="J4273" s="181"/>
      <c r="K4273" s="181"/>
      <c r="L4273" s="181"/>
      <c r="M4273" s="181"/>
      <c r="N4273" s="181"/>
      <c r="O4273" s="181"/>
      <c r="P4273" s="181"/>
    </row>
    <row r="4274">
      <c r="B4274" s="292"/>
      <c r="C4274" s="181"/>
      <c r="D4274" s="181"/>
      <c r="E4274" s="181"/>
      <c r="F4274" s="181"/>
      <c r="G4274" s="181"/>
      <c r="H4274" s="181"/>
      <c r="I4274" s="181"/>
      <c r="J4274" s="181"/>
      <c r="K4274" s="181"/>
      <c r="L4274" s="181"/>
      <c r="M4274" s="181"/>
      <c r="N4274" s="181"/>
      <c r="O4274" s="181"/>
      <c r="P4274" s="181"/>
    </row>
    <row r="4275">
      <c r="B4275" s="292"/>
      <c r="C4275" s="181"/>
      <c r="D4275" s="181"/>
      <c r="E4275" s="181"/>
      <c r="F4275" s="181"/>
      <c r="G4275" s="181"/>
      <c r="H4275" s="181"/>
      <c r="I4275" s="181"/>
      <c r="J4275" s="181"/>
      <c r="K4275" s="181"/>
      <c r="L4275" s="181"/>
      <c r="M4275" s="181"/>
      <c r="N4275" s="181"/>
      <c r="O4275" s="181"/>
      <c r="P4275" s="181"/>
    </row>
    <row r="4276">
      <c r="B4276" s="292"/>
      <c r="C4276" s="181"/>
      <c r="D4276" s="181"/>
      <c r="E4276" s="181"/>
      <c r="F4276" s="181"/>
      <c r="G4276" s="181"/>
      <c r="H4276" s="181"/>
      <c r="I4276" s="181"/>
      <c r="J4276" s="181"/>
      <c r="K4276" s="181"/>
      <c r="L4276" s="181"/>
      <c r="M4276" s="181"/>
      <c r="N4276" s="181"/>
      <c r="O4276" s="181"/>
      <c r="P4276" s="181"/>
    </row>
    <row r="4277">
      <c r="B4277" s="292"/>
      <c r="C4277" s="181"/>
      <c r="D4277" s="181"/>
      <c r="E4277" s="181"/>
      <c r="F4277" s="181"/>
      <c r="G4277" s="181"/>
      <c r="H4277" s="181"/>
      <c r="I4277" s="181"/>
      <c r="J4277" s="181"/>
      <c r="K4277" s="181"/>
      <c r="L4277" s="181"/>
      <c r="M4277" s="181"/>
      <c r="N4277" s="181"/>
      <c r="O4277" s="181"/>
      <c r="P4277" s="181"/>
    </row>
    <row r="4278">
      <c r="B4278" s="292"/>
      <c r="C4278" s="181"/>
      <c r="D4278" s="181"/>
      <c r="E4278" s="181"/>
      <c r="F4278" s="181"/>
      <c r="G4278" s="181"/>
      <c r="H4278" s="181"/>
      <c r="I4278" s="181"/>
      <c r="J4278" s="181"/>
      <c r="K4278" s="181"/>
      <c r="L4278" s="181"/>
      <c r="M4278" s="181"/>
      <c r="N4278" s="181"/>
      <c r="O4278" s="181"/>
      <c r="P4278" s="181"/>
    </row>
    <row r="4279">
      <c r="B4279" s="292"/>
      <c r="C4279" s="181"/>
      <c r="D4279" s="181"/>
      <c r="E4279" s="181"/>
      <c r="F4279" s="181"/>
      <c r="G4279" s="181"/>
      <c r="H4279" s="181"/>
      <c r="I4279" s="181"/>
      <c r="J4279" s="181"/>
      <c r="K4279" s="181"/>
      <c r="L4279" s="181"/>
      <c r="M4279" s="181"/>
      <c r="N4279" s="181"/>
      <c r="O4279" s="181"/>
      <c r="P4279" s="181"/>
    </row>
    <row r="4280">
      <c r="B4280" s="292"/>
      <c r="C4280" s="181"/>
      <c r="D4280" s="181"/>
      <c r="E4280" s="181"/>
      <c r="F4280" s="181"/>
      <c r="G4280" s="181"/>
      <c r="H4280" s="181"/>
      <c r="I4280" s="181"/>
      <c r="J4280" s="181"/>
      <c r="K4280" s="181"/>
      <c r="L4280" s="181"/>
      <c r="M4280" s="181"/>
      <c r="N4280" s="181"/>
      <c r="O4280" s="181"/>
      <c r="P4280" s="181"/>
    </row>
    <row r="4281">
      <c r="B4281" s="292"/>
      <c r="C4281" s="181"/>
      <c r="D4281" s="181"/>
      <c r="E4281" s="181"/>
      <c r="F4281" s="181"/>
      <c r="G4281" s="181"/>
      <c r="H4281" s="181"/>
      <c r="I4281" s="181"/>
      <c r="J4281" s="181"/>
      <c r="K4281" s="181"/>
      <c r="L4281" s="181"/>
      <c r="M4281" s="181"/>
      <c r="N4281" s="181"/>
      <c r="O4281" s="181"/>
      <c r="P4281" s="181"/>
    </row>
    <row r="4282">
      <c r="B4282" s="292"/>
      <c r="C4282" s="181"/>
      <c r="D4282" s="181"/>
      <c r="E4282" s="181"/>
      <c r="F4282" s="181"/>
      <c r="G4282" s="181"/>
      <c r="H4282" s="181"/>
      <c r="I4282" s="181"/>
      <c r="J4282" s="181"/>
      <c r="K4282" s="181"/>
      <c r="L4282" s="181"/>
      <c r="M4282" s="181"/>
      <c r="N4282" s="181"/>
      <c r="O4282" s="181"/>
      <c r="P4282" s="181"/>
    </row>
    <row r="4283">
      <c r="B4283" s="292"/>
      <c r="C4283" s="181"/>
      <c r="D4283" s="181"/>
      <c r="E4283" s="181"/>
      <c r="F4283" s="181"/>
      <c r="G4283" s="181"/>
      <c r="H4283" s="181"/>
      <c r="I4283" s="181"/>
      <c r="J4283" s="181"/>
      <c r="K4283" s="181"/>
      <c r="L4283" s="181"/>
      <c r="M4283" s="181"/>
      <c r="N4283" s="181"/>
      <c r="O4283" s="181"/>
      <c r="P4283" s="181"/>
    </row>
    <row r="4284">
      <c r="B4284" s="292"/>
      <c r="C4284" s="181"/>
      <c r="D4284" s="181"/>
      <c r="E4284" s="181"/>
      <c r="F4284" s="181"/>
      <c r="G4284" s="181"/>
      <c r="H4284" s="181"/>
      <c r="I4284" s="181"/>
      <c r="J4284" s="181"/>
      <c r="K4284" s="181"/>
      <c r="L4284" s="181"/>
      <c r="M4284" s="181"/>
      <c r="N4284" s="181"/>
      <c r="O4284" s="181"/>
      <c r="P4284" s="181"/>
    </row>
    <row r="4285">
      <c r="B4285" s="292"/>
      <c r="C4285" s="181"/>
      <c r="D4285" s="181"/>
      <c r="E4285" s="181"/>
      <c r="F4285" s="181"/>
      <c r="G4285" s="181"/>
      <c r="H4285" s="181"/>
      <c r="I4285" s="181"/>
      <c r="J4285" s="181"/>
      <c r="K4285" s="181"/>
      <c r="L4285" s="181"/>
      <c r="M4285" s="181"/>
      <c r="N4285" s="181"/>
      <c r="O4285" s="181"/>
      <c r="P4285" s="181"/>
    </row>
    <row r="4286">
      <c r="B4286" s="292"/>
      <c r="C4286" s="181"/>
      <c r="D4286" s="181"/>
      <c r="E4286" s="181"/>
      <c r="F4286" s="181"/>
      <c r="G4286" s="181"/>
      <c r="H4286" s="181"/>
      <c r="I4286" s="181"/>
      <c r="J4286" s="181"/>
      <c r="K4286" s="181"/>
      <c r="L4286" s="181"/>
      <c r="M4286" s="181"/>
      <c r="N4286" s="181"/>
      <c r="O4286" s="181"/>
      <c r="P4286" s="181"/>
    </row>
    <row r="4287">
      <c r="B4287" s="292"/>
      <c r="C4287" s="181"/>
      <c r="D4287" s="181"/>
      <c r="E4287" s="181"/>
      <c r="F4287" s="181"/>
      <c r="G4287" s="181"/>
      <c r="H4287" s="181"/>
      <c r="I4287" s="181"/>
      <c r="J4287" s="181"/>
      <c r="K4287" s="181"/>
      <c r="L4287" s="181"/>
      <c r="M4287" s="181"/>
      <c r="N4287" s="181"/>
      <c r="O4287" s="181"/>
      <c r="P4287" s="181"/>
    </row>
    <row r="4288">
      <c r="B4288" s="292"/>
      <c r="C4288" s="181"/>
      <c r="D4288" s="181"/>
      <c r="E4288" s="181"/>
      <c r="F4288" s="181"/>
      <c r="G4288" s="181"/>
      <c r="H4288" s="181"/>
      <c r="I4288" s="181"/>
      <c r="J4288" s="181"/>
      <c r="K4288" s="181"/>
      <c r="L4288" s="181"/>
      <c r="M4288" s="181"/>
      <c r="N4288" s="181"/>
      <c r="O4288" s="181"/>
      <c r="P4288" s="181"/>
    </row>
    <row r="4289">
      <c r="B4289" s="292"/>
      <c r="C4289" s="181"/>
      <c r="D4289" s="181"/>
      <c r="E4289" s="181"/>
      <c r="F4289" s="181"/>
      <c r="G4289" s="181"/>
      <c r="H4289" s="181"/>
      <c r="I4289" s="181"/>
      <c r="J4289" s="181"/>
      <c r="K4289" s="181"/>
      <c r="L4289" s="181"/>
      <c r="M4289" s="181"/>
      <c r="N4289" s="181"/>
      <c r="O4289" s="181"/>
      <c r="P4289" s="181"/>
    </row>
    <row r="4290">
      <c r="B4290" s="292"/>
      <c r="C4290" s="181"/>
      <c r="D4290" s="181"/>
      <c r="E4290" s="181"/>
      <c r="F4290" s="181"/>
      <c r="G4290" s="181"/>
      <c r="H4290" s="181"/>
      <c r="I4290" s="181"/>
      <c r="J4290" s="181"/>
      <c r="K4290" s="181"/>
      <c r="L4290" s="181"/>
      <c r="M4290" s="181"/>
      <c r="N4290" s="181"/>
      <c r="O4290" s="181"/>
      <c r="P4290" s="181"/>
    </row>
    <row r="4291">
      <c r="B4291" s="292"/>
      <c r="C4291" s="181"/>
      <c r="D4291" s="181"/>
      <c r="E4291" s="181"/>
      <c r="F4291" s="181"/>
      <c r="G4291" s="181"/>
      <c r="H4291" s="181"/>
      <c r="I4291" s="181"/>
      <c r="J4291" s="181"/>
      <c r="K4291" s="181"/>
      <c r="L4291" s="181"/>
      <c r="M4291" s="181"/>
      <c r="N4291" s="181"/>
      <c r="O4291" s="181"/>
      <c r="P4291" s="181"/>
    </row>
    <row r="4292">
      <c r="B4292" s="292"/>
      <c r="C4292" s="181"/>
      <c r="D4292" s="181"/>
      <c r="E4292" s="181"/>
      <c r="F4292" s="181"/>
      <c r="G4292" s="181"/>
      <c r="H4292" s="181"/>
      <c r="I4292" s="181"/>
      <c r="J4292" s="181"/>
      <c r="K4292" s="181"/>
      <c r="L4292" s="181"/>
      <c r="M4292" s="181"/>
      <c r="N4292" s="181"/>
      <c r="O4292" s="181"/>
      <c r="P4292" s="181"/>
    </row>
    <row r="4293">
      <c r="B4293" s="292"/>
      <c r="C4293" s="181"/>
      <c r="D4293" s="181"/>
      <c r="E4293" s="181"/>
      <c r="F4293" s="181"/>
      <c r="G4293" s="181"/>
      <c r="H4293" s="181"/>
      <c r="I4293" s="181"/>
      <c r="J4293" s="181"/>
      <c r="K4293" s="181"/>
      <c r="L4293" s="181"/>
      <c r="M4293" s="181"/>
      <c r="N4293" s="181"/>
      <c r="O4293" s="181"/>
      <c r="P4293" s="181"/>
    </row>
    <row r="4294">
      <c r="B4294" s="292"/>
      <c r="C4294" s="181"/>
      <c r="D4294" s="181"/>
      <c r="E4294" s="181"/>
      <c r="F4294" s="181"/>
      <c r="G4294" s="181"/>
      <c r="H4294" s="181"/>
      <c r="I4294" s="181"/>
      <c r="J4294" s="181"/>
      <c r="K4294" s="181"/>
      <c r="L4294" s="181"/>
      <c r="M4294" s="181"/>
      <c r="N4294" s="181"/>
      <c r="O4294" s="181"/>
      <c r="P4294" s="181"/>
    </row>
    <row r="4295">
      <c r="B4295" s="292"/>
      <c r="C4295" s="181"/>
      <c r="D4295" s="181"/>
      <c r="E4295" s="181"/>
      <c r="F4295" s="181"/>
      <c r="G4295" s="181"/>
      <c r="H4295" s="181"/>
      <c r="I4295" s="181"/>
      <c r="J4295" s="181"/>
      <c r="K4295" s="181"/>
      <c r="L4295" s="181"/>
      <c r="M4295" s="181"/>
      <c r="N4295" s="181"/>
      <c r="O4295" s="181"/>
      <c r="P4295" s="181"/>
    </row>
    <row r="4296">
      <c r="B4296" s="292"/>
      <c r="C4296" s="181"/>
      <c r="D4296" s="181"/>
      <c r="E4296" s="181"/>
      <c r="F4296" s="181"/>
      <c r="G4296" s="181"/>
      <c r="H4296" s="181"/>
      <c r="I4296" s="181"/>
      <c r="J4296" s="181"/>
      <c r="K4296" s="181"/>
      <c r="L4296" s="181"/>
      <c r="M4296" s="181"/>
      <c r="N4296" s="181"/>
      <c r="O4296" s="181"/>
      <c r="P4296" s="181"/>
    </row>
    <row r="4297">
      <c r="B4297" s="292"/>
      <c r="C4297" s="181"/>
      <c r="D4297" s="181"/>
      <c r="E4297" s="181"/>
      <c r="F4297" s="181"/>
      <c r="G4297" s="181"/>
      <c r="H4297" s="181"/>
      <c r="I4297" s="181"/>
      <c r="J4297" s="181"/>
      <c r="K4297" s="181"/>
      <c r="L4297" s="181"/>
      <c r="M4297" s="181"/>
      <c r="N4297" s="181"/>
      <c r="O4297" s="181"/>
      <c r="P4297" s="181"/>
    </row>
    <row r="4298">
      <c r="B4298" s="292"/>
      <c r="C4298" s="181"/>
      <c r="D4298" s="181"/>
      <c r="E4298" s="181"/>
      <c r="F4298" s="181"/>
      <c r="G4298" s="181"/>
      <c r="H4298" s="181"/>
      <c r="I4298" s="181"/>
      <c r="J4298" s="181"/>
      <c r="K4298" s="181"/>
      <c r="L4298" s="181"/>
      <c r="M4298" s="181"/>
      <c r="N4298" s="181"/>
      <c r="O4298" s="181"/>
      <c r="P4298" s="181"/>
    </row>
    <row r="4299">
      <c r="B4299" s="292"/>
      <c r="C4299" s="181"/>
      <c r="D4299" s="181"/>
      <c r="E4299" s="181"/>
      <c r="F4299" s="181"/>
      <c r="G4299" s="181"/>
      <c r="H4299" s="181"/>
      <c r="I4299" s="181"/>
      <c r="J4299" s="181"/>
      <c r="K4299" s="181"/>
      <c r="L4299" s="181"/>
      <c r="M4299" s="181"/>
      <c r="N4299" s="181"/>
      <c r="O4299" s="181"/>
      <c r="P4299" s="181"/>
    </row>
    <row r="4300">
      <c r="B4300" s="292"/>
      <c r="C4300" s="181"/>
      <c r="D4300" s="181"/>
      <c r="E4300" s="181"/>
      <c r="F4300" s="181"/>
      <c r="G4300" s="181"/>
      <c r="H4300" s="181"/>
      <c r="I4300" s="181"/>
      <c r="J4300" s="181"/>
      <c r="K4300" s="181"/>
      <c r="L4300" s="181"/>
      <c r="M4300" s="181"/>
      <c r="N4300" s="181"/>
      <c r="O4300" s="181"/>
      <c r="P4300" s="181"/>
    </row>
    <row r="4301">
      <c r="B4301" s="292"/>
      <c r="C4301" s="181"/>
      <c r="D4301" s="181"/>
      <c r="E4301" s="181"/>
      <c r="F4301" s="181"/>
      <c r="G4301" s="181"/>
      <c r="H4301" s="181"/>
      <c r="I4301" s="181"/>
      <c r="J4301" s="181"/>
      <c r="K4301" s="181"/>
      <c r="L4301" s="181"/>
      <c r="M4301" s="181"/>
      <c r="N4301" s="181"/>
      <c r="O4301" s="181"/>
      <c r="P4301" s="181"/>
    </row>
    <row r="4302">
      <c r="B4302" s="292"/>
      <c r="C4302" s="181"/>
      <c r="D4302" s="181"/>
      <c r="E4302" s="181"/>
      <c r="F4302" s="181"/>
      <c r="G4302" s="181"/>
      <c r="H4302" s="181"/>
      <c r="I4302" s="181"/>
      <c r="J4302" s="181"/>
      <c r="K4302" s="181"/>
      <c r="L4302" s="181"/>
      <c r="M4302" s="181"/>
      <c r="N4302" s="181"/>
      <c r="O4302" s="181"/>
      <c r="P4302" s="181"/>
    </row>
    <row r="4303">
      <c r="B4303" s="292"/>
      <c r="C4303" s="181"/>
      <c r="D4303" s="181"/>
      <c r="E4303" s="181"/>
      <c r="F4303" s="181"/>
      <c r="G4303" s="181"/>
      <c r="H4303" s="181"/>
      <c r="I4303" s="181"/>
      <c r="J4303" s="181"/>
      <c r="K4303" s="181"/>
      <c r="L4303" s="181"/>
      <c r="M4303" s="181"/>
      <c r="N4303" s="181"/>
      <c r="O4303" s="181"/>
      <c r="P4303" s="181"/>
    </row>
    <row r="4304">
      <c r="B4304" s="292"/>
      <c r="C4304" s="181"/>
      <c r="D4304" s="181"/>
      <c r="E4304" s="181"/>
      <c r="F4304" s="181"/>
      <c r="G4304" s="181"/>
      <c r="H4304" s="181"/>
      <c r="I4304" s="181"/>
      <c r="J4304" s="181"/>
      <c r="K4304" s="181"/>
      <c r="L4304" s="181"/>
      <c r="M4304" s="181"/>
      <c r="N4304" s="181"/>
      <c r="O4304" s="181"/>
      <c r="P4304" s="181"/>
    </row>
    <row r="4305">
      <c r="B4305" s="292"/>
      <c r="C4305" s="181"/>
      <c r="D4305" s="181"/>
      <c r="E4305" s="181"/>
      <c r="F4305" s="181"/>
      <c r="G4305" s="181"/>
      <c r="H4305" s="181"/>
      <c r="I4305" s="181"/>
      <c r="J4305" s="181"/>
      <c r="K4305" s="181"/>
      <c r="L4305" s="181"/>
      <c r="M4305" s="181"/>
      <c r="N4305" s="181"/>
      <c r="O4305" s="181"/>
      <c r="P4305" s="181"/>
    </row>
    <row r="4306">
      <c r="B4306" s="292"/>
      <c r="C4306" s="181"/>
      <c r="D4306" s="181"/>
      <c r="E4306" s="181"/>
      <c r="F4306" s="181"/>
      <c r="G4306" s="181"/>
      <c r="H4306" s="181"/>
      <c r="I4306" s="181"/>
      <c r="J4306" s="181"/>
      <c r="K4306" s="181"/>
      <c r="L4306" s="181"/>
      <c r="M4306" s="181"/>
      <c r="N4306" s="181"/>
      <c r="O4306" s="181"/>
      <c r="P4306" s="181"/>
    </row>
    <row r="4307">
      <c r="B4307" s="292"/>
      <c r="C4307" s="181"/>
      <c r="D4307" s="181"/>
      <c r="E4307" s="181"/>
      <c r="F4307" s="181"/>
      <c r="G4307" s="181"/>
      <c r="H4307" s="181"/>
      <c r="I4307" s="181"/>
      <c r="J4307" s="181"/>
      <c r="K4307" s="181"/>
      <c r="L4307" s="181"/>
      <c r="M4307" s="181"/>
      <c r="N4307" s="181"/>
      <c r="O4307" s="181"/>
      <c r="P4307" s="181"/>
    </row>
    <row r="4308">
      <c r="B4308" s="292"/>
      <c r="C4308" s="181"/>
      <c r="D4308" s="181"/>
      <c r="E4308" s="181"/>
      <c r="F4308" s="181"/>
      <c r="G4308" s="181"/>
      <c r="H4308" s="181"/>
      <c r="I4308" s="181"/>
      <c r="J4308" s="181"/>
      <c r="K4308" s="181"/>
      <c r="L4308" s="181"/>
      <c r="M4308" s="181"/>
      <c r="N4308" s="181"/>
      <c r="O4308" s="181"/>
      <c r="P4308" s="181"/>
    </row>
    <row r="4309">
      <c r="B4309" s="292"/>
      <c r="C4309" s="181"/>
      <c r="D4309" s="181"/>
      <c r="E4309" s="181"/>
      <c r="F4309" s="181"/>
      <c r="G4309" s="181"/>
      <c r="H4309" s="181"/>
      <c r="I4309" s="181"/>
      <c r="J4309" s="181"/>
      <c r="K4309" s="181"/>
      <c r="L4309" s="181"/>
      <c r="M4309" s="181"/>
      <c r="N4309" s="181"/>
      <c r="O4309" s="181"/>
      <c r="P4309" s="181"/>
    </row>
    <row r="4310">
      <c r="B4310" s="292"/>
      <c r="C4310" s="181"/>
      <c r="D4310" s="181"/>
      <c r="E4310" s="181"/>
      <c r="F4310" s="181"/>
      <c r="G4310" s="181"/>
      <c r="H4310" s="181"/>
      <c r="I4310" s="181"/>
      <c r="J4310" s="181"/>
      <c r="K4310" s="181"/>
      <c r="L4310" s="181"/>
      <c r="M4310" s="181"/>
      <c r="N4310" s="181"/>
      <c r="O4310" s="181"/>
      <c r="P4310" s="181"/>
    </row>
    <row r="4311">
      <c r="B4311" s="292"/>
      <c r="C4311" s="181"/>
      <c r="D4311" s="181"/>
      <c r="E4311" s="181"/>
      <c r="F4311" s="181"/>
      <c r="G4311" s="181"/>
      <c r="H4311" s="181"/>
      <c r="I4311" s="181"/>
      <c r="J4311" s="181"/>
      <c r="K4311" s="181"/>
      <c r="L4311" s="181"/>
      <c r="M4311" s="181"/>
      <c r="N4311" s="181"/>
      <c r="O4311" s="181"/>
      <c r="P4311" s="181"/>
    </row>
    <row r="4312">
      <c r="B4312" s="292"/>
      <c r="C4312" s="181"/>
      <c r="D4312" s="181"/>
      <c r="E4312" s="181"/>
      <c r="F4312" s="181"/>
      <c r="G4312" s="181"/>
      <c r="H4312" s="181"/>
      <c r="I4312" s="181"/>
      <c r="J4312" s="181"/>
      <c r="K4312" s="181"/>
      <c r="L4312" s="181"/>
      <c r="M4312" s="181"/>
      <c r="N4312" s="181"/>
      <c r="O4312" s="181"/>
      <c r="P4312" s="181"/>
    </row>
    <row r="4313">
      <c r="B4313" s="292"/>
      <c r="C4313" s="181"/>
      <c r="D4313" s="181"/>
      <c r="E4313" s="181"/>
      <c r="F4313" s="181"/>
      <c r="G4313" s="181"/>
      <c r="H4313" s="181"/>
      <c r="I4313" s="181"/>
      <c r="J4313" s="181"/>
      <c r="K4313" s="181"/>
      <c r="L4313" s="181"/>
      <c r="M4313" s="181"/>
      <c r="N4313" s="181"/>
      <c r="O4313" s="181"/>
      <c r="P4313" s="181"/>
    </row>
    <row r="4314">
      <c r="B4314" s="292"/>
      <c r="C4314" s="181"/>
      <c r="D4314" s="181"/>
      <c r="E4314" s="181"/>
      <c r="F4314" s="181"/>
      <c r="G4314" s="181"/>
      <c r="H4314" s="181"/>
      <c r="I4314" s="181"/>
      <c r="J4314" s="181"/>
      <c r="K4314" s="181"/>
      <c r="L4314" s="181"/>
      <c r="M4314" s="181"/>
      <c r="N4314" s="181"/>
      <c r="O4314" s="181"/>
      <c r="P4314" s="181"/>
    </row>
    <row r="4315">
      <c r="B4315" s="292"/>
      <c r="C4315" s="181"/>
      <c r="D4315" s="181"/>
      <c r="E4315" s="181"/>
      <c r="F4315" s="181"/>
      <c r="G4315" s="181"/>
      <c r="H4315" s="181"/>
      <c r="I4315" s="181"/>
      <c r="J4315" s="181"/>
      <c r="K4315" s="181"/>
      <c r="L4315" s="181"/>
      <c r="M4315" s="181"/>
      <c r="N4315" s="181"/>
      <c r="O4315" s="181"/>
      <c r="P4315" s="181"/>
    </row>
    <row r="4316">
      <c r="B4316" s="292"/>
      <c r="C4316" s="181"/>
      <c r="D4316" s="181"/>
      <c r="E4316" s="181"/>
      <c r="F4316" s="181"/>
      <c r="G4316" s="181"/>
      <c r="H4316" s="181"/>
      <c r="I4316" s="181"/>
      <c r="J4316" s="181"/>
      <c r="K4316" s="181"/>
      <c r="L4316" s="181"/>
      <c r="M4316" s="181"/>
      <c r="N4316" s="181"/>
      <c r="O4316" s="181"/>
      <c r="P4316" s="181"/>
    </row>
    <row r="4317">
      <c r="B4317" s="292"/>
      <c r="C4317" s="181"/>
      <c r="D4317" s="181"/>
      <c r="E4317" s="181"/>
      <c r="F4317" s="181"/>
      <c r="G4317" s="181"/>
      <c r="H4317" s="181"/>
      <c r="I4317" s="181"/>
      <c r="J4317" s="181"/>
      <c r="K4317" s="181"/>
      <c r="L4317" s="181"/>
      <c r="M4317" s="181"/>
      <c r="N4317" s="181"/>
      <c r="O4317" s="181"/>
      <c r="P4317" s="181"/>
    </row>
    <row r="4318">
      <c r="B4318" s="292"/>
      <c r="C4318" s="181"/>
      <c r="D4318" s="181"/>
      <c r="E4318" s="181"/>
      <c r="F4318" s="181"/>
      <c r="G4318" s="181"/>
      <c r="H4318" s="181"/>
      <c r="I4318" s="181"/>
      <c r="J4318" s="181"/>
      <c r="K4318" s="181"/>
      <c r="L4318" s="181"/>
      <c r="M4318" s="181"/>
      <c r="N4318" s="181"/>
      <c r="O4318" s="181"/>
      <c r="P4318" s="181"/>
    </row>
    <row r="4319">
      <c r="B4319" s="292"/>
      <c r="C4319" s="181"/>
      <c r="D4319" s="181"/>
      <c r="E4319" s="181"/>
      <c r="F4319" s="181"/>
      <c r="G4319" s="181"/>
      <c r="H4319" s="181"/>
      <c r="I4319" s="181"/>
      <c r="J4319" s="181"/>
      <c r="K4319" s="181"/>
      <c r="L4319" s="181"/>
      <c r="M4319" s="181"/>
      <c r="N4319" s="181"/>
      <c r="O4319" s="181"/>
      <c r="P4319" s="181"/>
    </row>
    <row r="4320">
      <c r="B4320" s="292"/>
      <c r="C4320" s="181"/>
      <c r="D4320" s="181"/>
      <c r="E4320" s="181"/>
      <c r="F4320" s="181"/>
      <c r="G4320" s="181"/>
      <c r="H4320" s="181"/>
      <c r="I4320" s="181"/>
      <c r="J4320" s="181"/>
      <c r="K4320" s="181"/>
      <c r="L4320" s="181"/>
      <c r="M4320" s="181"/>
      <c r="N4320" s="181"/>
      <c r="O4320" s="181"/>
      <c r="P4320" s="181"/>
    </row>
    <row r="4321">
      <c r="B4321" s="292"/>
      <c r="C4321" s="181"/>
      <c r="D4321" s="181"/>
      <c r="E4321" s="181"/>
      <c r="F4321" s="181"/>
      <c r="G4321" s="181"/>
      <c r="H4321" s="181"/>
      <c r="I4321" s="181"/>
      <c r="J4321" s="181"/>
      <c r="K4321" s="181"/>
      <c r="L4321" s="181"/>
      <c r="M4321" s="181"/>
      <c r="N4321" s="181"/>
      <c r="O4321" s="181"/>
      <c r="P4321" s="181"/>
    </row>
    <row r="4322">
      <c r="B4322" s="292"/>
      <c r="C4322" s="181"/>
      <c r="D4322" s="181"/>
      <c r="E4322" s="181"/>
      <c r="F4322" s="181"/>
      <c r="G4322" s="181"/>
      <c r="H4322" s="181"/>
      <c r="I4322" s="181"/>
      <c r="J4322" s="181"/>
      <c r="K4322" s="181"/>
      <c r="L4322" s="181"/>
      <c r="M4322" s="181"/>
      <c r="N4322" s="181"/>
      <c r="O4322" s="181"/>
      <c r="P4322" s="181"/>
    </row>
    <row r="4323">
      <c r="B4323" s="292"/>
      <c r="C4323" s="181"/>
      <c r="D4323" s="181"/>
      <c r="E4323" s="181"/>
      <c r="F4323" s="181"/>
      <c r="G4323" s="181"/>
      <c r="H4323" s="181"/>
      <c r="I4323" s="181"/>
      <c r="J4323" s="181"/>
      <c r="K4323" s="181"/>
      <c r="L4323" s="181"/>
      <c r="M4323" s="181"/>
      <c r="N4323" s="181"/>
      <c r="O4323" s="181"/>
      <c r="P4323" s="181"/>
    </row>
    <row r="4324">
      <c r="B4324" s="292"/>
      <c r="C4324" s="181"/>
      <c r="D4324" s="181"/>
      <c r="E4324" s="181"/>
      <c r="F4324" s="181"/>
      <c r="G4324" s="181"/>
      <c r="H4324" s="181"/>
      <c r="I4324" s="181"/>
      <c r="J4324" s="181"/>
      <c r="K4324" s="181"/>
      <c r="L4324" s="181"/>
      <c r="M4324" s="181"/>
      <c r="N4324" s="181"/>
      <c r="O4324" s="181"/>
      <c r="P4324" s="181"/>
    </row>
    <row r="4325">
      <c r="B4325" s="292"/>
      <c r="C4325" s="181"/>
      <c r="D4325" s="181"/>
      <c r="E4325" s="181"/>
      <c r="F4325" s="181"/>
      <c r="G4325" s="181"/>
      <c r="H4325" s="181"/>
      <c r="I4325" s="181"/>
      <c r="J4325" s="181"/>
      <c r="K4325" s="181"/>
      <c r="L4325" s="181"/>
      <c r="M4325" s="181"/>
      <c r="N4325" s="181"/>
      <c r="O4325" s="181"/>
      <c r="P4325" s="181"/>
    </row>
    <row r="4326">
      <c r="B4326" s="292"/>
      <c r="C4326" s="181"/>
      <c r="D4326" s="181"/>
      <c r="E4326" s="181"/>
      <c r="F4326" s="181"/>
      <c r="G4326" s="181"/>
      <c r="H4326" s="181"/>
      <c r="I4326" s="181"/>
      <c r="J4326" s="181"/>
      <c r="K4326" s="181"/>
      <c r="L4326" s="181"/>
      <c r="M4326" s="181"/>
      <c r="N4326" s="181"/>
      <c r="O4326" s="181"/>
      <c r="P4326" s="181"/>
    </row>
    <row r="4327">
      <c r="B4327" s="292"/>
      <c r="C4327" s="181"/>
      <c r="D4327" s="181"/>
      <c r="E4327" s="181"/>
      <c r="F4327" s="181"/>
      <c r="G4327" s="181"/>
      <c r="H4327" s="181"/>
      <c r="I4327" s="181"/>
      <c r="J4327" s="181"/>
      <c r="K4327" s="181"/>
      <c r="L4327" s="181"/>
      <c r="M4327" s="181"/>
      <c r="N4327" s="181"/>
      <c r="O4327" s="181"/>
      <c r="P4327" s="181"/>
    </row>
    <row r="4328">
      <c r="B4328" s="292"/>
      <c r="C4328" s="181"/>
      <c r="D4328" s="181"/>
      <c r="E4328" s="181"/>
      <c r="F4328" s="181"/>
      <c r="G4328" s="181"/>
      <c r="H4328" s="181"/>
      <c r="I4328" s="181"/>
      <c r="J4328" s="181"/>
      <c r="K4328" s="181"/>
      <c r="L4328" s="181"/>
      <c r="M4328" s="181"/>
      <c r="N4328" s="181"/>
      <c r="O4328" s="181"/>
      <c r="P4328" s="181"/>
    </row>
    <row r="4329">
      <c r="B4329" s="292"/>
      <c r="C4329" s="181"/>
      <c r="D4329" s="181"/>
      <c r="E4329" s="181"/>
      <c r="F4329" s="181"/>
      <c r="G4329" s="181"/>
      <c r="H4329" s="181"/>
      <c r="I4329" s="181"/>
      <c r="J4329" s="181"/>
      <c r="K4329" s="181"/>
      <c r="L4329" s="181"/>
      <c r="M4329" s="181"/>
      <c r="N4329" s="181"/>
      <c r="O4329" s="181"/>
      <c r="P4329" s="181"/>
    </row>
    <row r="4330">
      <c r="B4330" s="292"/>
      <c r="C4330" s="181"/>
      <c r="D4330" s="181"/>
      <c r="E4330" s="181"/>
      <c r="F4330" s="181"/>
      <c r="G4330" s="181"/>
      <c r="H4330" s="181"/>
      <c r="I4330" s="181"/>
      <c r="J4330" s="181"/>
      <c r="K4330" s="181"/>
      <c r="L4330" s="181"/>
      <c r="M4330" s="181"/>
      <c r="N4330" s="181"/>
      <c r="O4330" s="181"/>
      <c r="P4330" s="181"/>
    </row>
    <row r="4331">
      <c r="B4331" s="292"/>
      <c r="C4331" s="181"/>
      <c r="D4331" s="181"/>
      <c r="E4331" s="181"/>
      <c r="F4331" s="181"/>
      <c r="G4331" s="181"/>
      <c r="H4331" s="181"/>
      <c r="I4331" s="181"/>
      <c r="J4331" s="181"/>
      <c r="K4331" s="181"/>
      <c r="L4331" s="181"/>
      <c r="M4331" s="181"/>
      <c r="N4331" s="181"/>
      <c r="O4331" s="181"/>
      <c r="P4331" s="181"/>
    </row>
    <row r="4332">
      <c r="B4332" s="292"/>
      <c r="C4332" s="181"/>
      <c r="D4332" s="181"/>
      <c r="E4332" s="181"/>
      <c r="F4332" s="181"/>
      <c r="G4332" s="181"/>
      <c r="H4332" s="181"/>
      <c r="I4332" s="181"/>
      <c r="J4332" s="181"/>
      <c r="K4332" s="181"/>
      <c r="L4332" s="181"/>
      <c r="M4332" s="181"/>
      <c r="N4332" s="181"/>
      <c r="O4332" s="181"/>
      <c r="P4332" s="181"/>
    </row>
    <row r="4333">
      <c r="B4333" s="292"/>
      <c r="C4333" s="181"/>
      <c r="D4333" s="181"/>
      <c r="E4333" s="181"/>
      <c r="F4333" s="181"/>
      <c r="G4333" s="181"/>
      <c r="H4333" s="181"/>
      <c r="I4333" s="181"/>
      <c r="J4333" s="181"/>
      <c r="K4333" s="181"/>
      <c r="L4333" s="181"/>
      <c r="M4333" s="181"/>
      <c r="N4333" s="181"/>
      <c r="O4333" s="181"/>
      <c r="P4333" s="181"/>
    </row>
    <row r="4334">
      <c r="B4334" s="292"/>
      <c r="C4334" s="181"/>
      <c r="D4334" s="181"/>
      <c r="E4334" s="181"/>
      <c r="F4334" s="181"/>
      <c r="G4334" s="181"/>
      <c r="H4334" s="181"/>
      <c r="I4334" s="181"/>
      <c r="J4334" s="181"/>
      <c r="K4334" s="181"/>
      <c r="L4334" s="181"/>
      <c r="M4334" s="181"/>
      <c r="N4334" s="181"/>
      <c r="O4334" s="181"/>
      <c r="P4334" s="181"/>
    </row>
    <row r="4335">
      <c r="B4335" s="292"/>
      <c r="C4335" s="181"/>
      <c r="D4335" s="181"/>
      <c r="E4335" s="181"/>
      <c r="F4335" s="181"/>
      <c r="G4335" s="181"/>
      <c r="H4335" s="181"/>
      <c r="I4335" s="181"/>
      <c r="J4335" s="181"/>
      <c r="K4335" s="181"/>
      <c r="L4335" s="181"/>
      <c r="M4335" s="181"/>
      <c r="N4335" s="181"/>
      <c r="O4335" s="181"/>
      <c r="P4335" s="181"/>
    </row>
    <row r="4336">
      <c r="B4336" s="292"/>
      <c r="C4336" s="181"/>
      <c r="D4336" s="181"/>
      <c r="E4336" s="181"/>
      <c r="F4336" s="181"/>
      <c r="G4336" s="181"/>
      <c r="H4336" s="181"/>
      <c r="I4336" s="181"/>
      <c r="J4336" s="181"/>
      <c r="K4336" s="181"/>
      <c r="L4336" s="181"/>
      <c r="M4336" s="181"/>
      <c r="N4336" s="181"/>
      <c r="O4336" s="181"/>
      <c r="P4336" s="181"/>
    </row>
    <row r="4337">
      <c r="B4337" s="292"/>
      <c r="C4337" s="181"/>
      <c r="D4337" s="181"/>
      <c r="E4337" s="181"/>
      <c r="F4337" s="181"/>
      <c r="G4337" s="181"/>
      <c r="H4337" s="181"/>
      <c r="I4337" s="181"/>
      <c r="J4337" s="181"/>
      <c r="K4337" s="181"/>
      <c r="L4337" s="181"/>
      <c r="M4337" s="181"/>
      <c r="N4337" s="181"/>
      <c r="O4337" s="181"/>
      <c r="P4337" s="181"/>
    </row>
    <row r="4338">
      <c r="B4338" s="292"/>
      <c r="C4338" s="181"/>
      <c r="D4338" s="181"/>
      <c r="E4338" s="181"/>
      <c r="F4338" s="181"/>
      <c r="G4338" s="181"/>
      <c r="H4338" s="181"/>
      <c r="I4338" s="181"/>
      <c r="J4338" s="181"/>
      <c r="K4338" s="181"/>
      <c r="L4338" s="181"/>
      <c r="M4338" s="181"/>
      <c r="N4338" s="181"/>
      <c r="O4338" s="181"/>
      <c r="P4338" s="181"/>
    </row>
    <row r="4339">
      <c r="B4339" s="292"/>
      <c r="C4339" s="181"/>
      <c r="D4339" s="181"/>
      <c r="E4339" s="181"/>
      <c r="F4339" s="181"/>
      <c r="G4339" s="181"/>
      <c r="H4339" s="181"/>
      <c r="I4339" s="181"/>
      <c r="J4339" s="181"/>
      <c r="K4339" s="181"/>
      <c r="L4339" s="181"/>
      <c r="M4339" s="181"/>
      <c r="N4339" s="181"/>
      <c r="O4339" s="181"/>
      <c r="P4339" s="181"/>
    </row>
    <row r="4340">
      <c r="B4340" s="292"/>
      <c r="C4340" s="181"/>
      <c r="D4340" s="181"/>
      <c r="E4340" s="181"/>
      <c r="F4340" s="181"/>
      <c r="G4340" s="181"/>
      <c r="H4340" s="181"/>
      <c r="I4340" s="181"/>
      <c r="J4340" s="181"/>
      <c r="K4340" s="181"/>
      <c r="L4340" s="181"/>
      <c r="M4340" s="181"/>
      <c r="N4340" s="181"/>
      <c r="O4340" s="181"/>
      <c r="P4340" s="181"/>
    </row>
    <row r="4341">
      <c r="B4341" s="292"/>
      <c r="C4341" s="181"/>
      <c r="D4341" s="181"/>
      <c r="E4341" s="181"/>
      <c r="F4341" s="181"/>
      <c r="G4341" s="181"/>
      <c r="H4341" s="181"/>
      <c r="I4341" s="181"/>
      <c r="J4341" s="181"/>
      <c r="K4341" s="181"/>
      <c r="L4341" s="181"/>
      <c r="M4341" s="181"/>
      <c r="N4341" s="181"/>
      <c r="O4341" s="181"/>
      <c r="P4341" s="181"/>
    </row>
    <row r="4342">
      <c r="B4342" s="292"/>
      <c r="C4342" s="181"/>
      <c r="D4342" s="181"/>
      <c r="E4342" s="181"/>
      <c r="F4342" s="181"/>
      <c r="G4342" s="181"/>
      <c r="H4342" s="181"/>
      <c r="I4342" s="181"/>
      <c r="J4342" s="181"/>
      <c r="K4342" s="181"/>
      <c r="L4342" s="181"/>
      <c r="M4342" s="181"/>
      <c r="N4342" s="181"/>
      <c r="O4342" s="181"/>
      <c r="P4342" s="181"/>
    </row>
    <row r="4343">
      <c r="B4343" s="292"/>
      <c r="C4343" s="181"/>
      <c r="D4343" s="181"/>
      <c r="E4343" s="181"/>
      <c r="F4343" s="181"/>
      <c r="G4343" s="181"/>
      <c r="H4343" s="181"/>
      <c r="I4343" s="181"/>
      <c r="J4343" s="181"/>
      <c r="K4343" s="181"/>
      <c r="L4343" s="181"/>
      <c r="M4343" s="181"/>
      <c r="N4343" s="181"/>
      <c r="O4343" s="181"/>
      <c r="P4343" s="181"/>
    </row>
    <row r="4344">
      <c r="B4344" s="292"/>
      <c r="C4344" s="181"/>
      <c r="D4344" s="181"/>
      <c r="E4344" s="181"/>
      <c r="F4344" s="181"/>
      <c r="G4344" s="181"/>
      <c r="H4344" s="181"/>
      <c r="I4344" s="181"/>
      <c r="J4344" s="181"/>
      <c r="K4344" s="181"/>
      <c r="L4344" s="181"/>
      <c r="M4344" s="181"/>
      <c r="N4344" s="181"/>
      <c r="O4344" s="181"/>
      <c r="P4344" s="181"/>
    </row>
    <row r="4345">
      <c r="B4345" s="292"/>
      <c r="C4345" s="181"/>
      <c r="D4345" s="181"/>
      <c r="E4345" s="181"/>
      <c r="F4345" s="181"/>
      <c r="G4345" s="181"/>
      <c r="H4345" s="181"/>
      <c r="I4345" s="181"/>
      <c r="J4345" s="181"/>
      <c r="K4345" s="181"/>
      <c r="L4345" s="181"/>
      <c r="M4345" s="181"/>
      <c r="N4345" s="181"/>
      <c r="O4345" s="181"/>
      <c r="P4345" s="181"/>
    </row>
    <row r="4346">
      <c r="B4346" s="292"/>
      <c r="C4346" s="181"/>
      <c r="D4346" s="181"/>
      <c r="E4346" s="181"/>
      <c r="F4346" s="181"/>
      <c r="G4346" s="181"/>
      <c r="H4346" s="181"/>
      <c r="I4346" s="181"/>
      <c r="J4346" s="181"/>
      <c r="K4346" s="181"/>
      <c r="L4346" s="181"/>
      <c r="M4346" s="181"/>
      <c r="N4346" s="181"/>
      <c r="O4346" s="181"/>
      <c r="P4346" s="181"/>
    </row>
    <row r="4347">
      <c r="B4347" s="292"/>
      <c r="C4347" s="181"/>
      <c r="D4347" s="181"/>
      <c r="E4347" s="181"/>
      <c r="F4347" s="181"/>
      <c r="G4347" s="181"/>
      <c r="H4347" s="181"/>
      <c r="I4347" s="181"/>
      <c r="J4347" s="181"/>
      <c r="K4347" s="181"/>
      <c r="L4347" s="181"/>
      <c r="M4347" s="181"/>
      <c r="N4347" s="181"/>
      <c r="O4347" s="181"/>
      <c r="P4347" s="181"/>
    </row>
    <row r="4348">
      <c r="B4348" s="292"/>
      <c r="C4348" s="181"/>
      <c r="D4348" s="181"/>
      <c r="E4348" s="181"/>
      <c r="F4348" s="181"/>
      <c r="G4348" s="181"/>
      <c r="H4348" s="181"/>
      <c r="I4348" s="181"/>
      <c r="J4348" s="181"/>
      <c r="K4348" s="181"/>
      <c r="L4348" s="181"/>
      <c r="M4348" s="181"/>
      <c r="N4348" s="181"/>
      <c r="O4348" s="181"/>
      <c r="P4348" s="181"/>
    </row>
    <row r="4349">
      <c r="B4349" s="292"/>
      <c r="C4349" s="181"/>
      <c r="D4349" s="181"/>
      <c r="E4349" s="181"/>
      <c r="F4349" s="181"/>
      <c r="G4349" s="181"/>
      <c r="H4349" s="181"/>
      <c r="I4349" s="181"/>
      <c r="J4349" s="181"/>
      <c r="K4349" s="181"/>
      <c r="L4349" s="181"/>
      <c r="M4349" s="181"/>
      <c r="N4349" s="181"/>
      <c r="O4349" s="181"/>
      <c r="P4349" s="181"/>
    </row>
    <row r="4350">
      <c r="B4350" s="292"/>
      <c r="C4350" s="181"/>
      <c r="D4350" s="181"/>
      <c r="E4350" s="181"/>
      <c r="F4350" s="181"/>
      <c r="G4350" s="181"/>
      <c r="H4350" s="181"/>
      <c r="I4350" s="181"/>
      <c r="J4350" s="181"/>
      <c r="K4350" s="181"/>
      <c r="L4350" s="181"/>
      <c r="M4350" s="181"/>
      <c r="N4350" s="181"/>
      <c r="O4350" s="181"/>
      <c r="P4350" s="181"/>
    </row>
    <row r="4351">
      <c r="B4351" s="292"/>
      <c r="C4351" s="181"/>
      <c r="D4351" s="181"/>
      <c r="E4351" s="181"/>
      <c r="F4351" s="181"/>
      <c r="G4351" s="181"/>
      <c r="H4351" s="181"/>
      <c r="I4351" s="181"/>
      <c r="J4351" s="181"/>
      <c r="K4351" s="181"/>
      <c r="L4351" s="181"/>
      <c r="M4351" s="181"/>
      <c r="N4351" s="181"/>
      <c r="O4351" s="181"/>
      <c r="P4351" s="181"/>
    </row>
    <row r="4352">
      <c r="B4352" s="292"/>
      <c r="C4352" s="181"/>
      <c r="D4352" s="181"/>
      <c r="E4352" s="181"/>
      <c r="F4352" s="181"/>
      <c r="G4352" s="181"/>
      <c r="H4352" s="181"/>
      <c r="I4352" s="181"/>
      <c r="J4352" s="181"/>
      <c r="K4352" s="181"/>
      <c r="L4352" s="181"/>
      <c r="M4352" s="181"/>
      <c r="N4352" s="181"/>
      <c r="O4352" s="181"/>
      <c r="P4352" s="181"/>
    </row>
    <row r="4353">
      <c r="B4353" s="292"/>
      <c r="C4353" s="181"/>
      <c r="D4353" s="181"/>
      <c r="E4353" s="181"/>
      <c r="F4353" s="181"/>
      <c r="G4353" s="181"/>
      <c r="H4353" s="181"/>
      <c r="I4353" s="181"/>
      <c r="J4353" s="181"/>
      <c r="K4353" s="181"/>
      <c r="L4353" s="181"/>
      <c r="M4353" s="181"/>
      <c r="N4353" s="181"/>
      <c r="O4353" s="181"/>
      <c r="P4353" s="181"/>
    </row>
    <row r="4354">
      <c r="B4354" s="292"/>
      <c r="C4354" s="181"/>
      <c r="D4354" s="181"/>
      <c r="E4354" s="181"/>
      <c r="F4354" s="181"/>
      <c r="G4354" s="181"/>
      <c r="H4354" s="181"/>
      <c r="I4354" s="181"/>
      <c r="J4354" s="181"/>
      <c r="K4354" s="181"/>
      <c r="L4354" s="181"/>
      <c r="M4354" s="181"/>
      <c r="N4354" s="181"/>
      <c r="O4354" s="181"/>
      <c r="P4354" s="181"/>
    </row>
    <row r="4355">
      <c r="B4355" s="292"/>
      <c r="C4355" s="181"/>
      <c r="D4355" s="181"/>
      <c r="E4355" s="181"/>
      <c r="F4355" s="181"/>
      <c r="G4355" s="181"/>
      <c r="H4355" s="181"/>
      <c r="I4355" s="181"/>
      <c r="J4355" s="181"/>
      <c r="K4355" s="181"/>
      <c r="L4355" s="181"/>
      <c r="M4355" s="181"/>
      <c r="N4355" s="181"/>
      <c r="O4355" s="181"/>
      <c r="P4355" s="181"/>
    </row>
    <row r="4356">
      <c r="B4356" s="292"/>
      <c r="C4356" s="181"/>
      <c r="D4356" s="181"/>
      <c r="E4356" s="181"/>
      <c r="F4356" s="181"/>
      <c r="G4356" s="181"/>
      <c r="H4356" s="181"/>
      <c r="I4356" s="181"/>
      <c r="J4356" s="181"/>
      <c r="K4356" s="181"/>
      <c r="L4356" s="181"/>
      <c r="M4356" s="181"/>
      <c r="N4356" s="181"/>
      <c r="O4356" s="181"/>
      <c r="P4356" s="181"/>
    </row>
    <row r="4357">
      <c r="B4357" s="292"/>
      <c r="C4357" s="181"/>
      <c r="D4357" s="181"/>
      <c r="E4357" s="181"/>
      <c r="F4357" s="181"/>
      <c r="G4357" s="181"/>
      <c r="H4357" s="181"/>
      <c r="I4357" s="181"/>
      <c r="J4357" s="181"/>
      <c r="K4357" s="181"/>
      <c r="L4357" s="181"/>
      <c r="M4357" s="181"/>
      <c r="N4357" s="181"/>
      <c r="O4357" s="181"/>
      <c r="P4357" s="181"/>
    </row>
    <row r="4358">
      <c r="B4358" s="292"/>
      <c r="C4358" s="181"/>
      <c r="D4358" s="181"/>
      <c r="E4358" s="181"/>
      <c r="F4358" s="181"/>
      <c r="G4358" s="181"/>
      <c r="H4358" s="181"/>
      <c r="I4358" s="181"/>
      <c r="J4358" s="181"/>
      <c r="K4358" s="181"/>
      <c r="L4358" s="181"/>
      <c r="M4358" s="181"/>
      <c r="N4358" s="181"/>
      <c r="O4358" s="181"/>
      <c r="P4358" s="181"/>
    </row>
    <row r="4359">
      <c r="B4359" s="292"/>
      <c r="C4359" s="181"/>
      <c r="D4359" s="181"/>
      <c r="E4359" s="181"/>
      <c r="F4359" s="181"/>
      <c r="G4359" s="181"/>
      <c r="H4359" s="181"/>
      <c r="I4359" s="181"/>
      <c r="J4359" s="181"/>
      <c r="K4359" s="181"/>
      <c r="L4359" s="181"/>
      <c r="M4359" s="181"/>
      <c r="N4359" s="181"/>
      <c r="O4359" s="181"/>
      <c r="P4359" s="181"/>
    </row>
    <row r="4360">
      <c r="B4360" s="292"/>
      <c r="C4360" s="181"/>
      <c r="D4360" s="181"/>
      <c r="E4360" s="181"/>
      <c r="F4360" s="181"/>
      <c r="G4360" s="181"/>
      <c r="H4360" s="181"/>
      <c r="I4360" s="181"/>
      <c r="J4360" s="181"/>
      <c r="K4360" s="181"/>
      <c r="L4360" s="181"/>
      <c r="M4360" s="181"/>
      <c r="N4360" s="181"/>
      <c r="O4360" s="181"/>
      <c r="P4360" s="181"/>
    </row>
    <row r="4361">
      <c r="B4361" s="292"/>
      <c r="C4361" s="181"/>
      <c r="D4361" s="181"/>
      <c r="E4361" s="181"/>
      <c r="F4361" s="181"/>
      <c r="G4361" s="181"/>
      <c r="H4361" s="181"/>
      <c r="I4361" s="181"/>
      <c r="J4361" s="181"/>
      <c r="K4361" s="181"/>
      <c r="L4361" s="181"/>
      <c r="M4361" s="181"/>
      <c r="N4361" s="181"/>
      <c r="O4361" s="181"/>
      <c r="P4361" s="181"/>
    </row>
    <row r="4362">
      <c r="B4362" s="292"/>
      <c r="C4362" s="181"/>
      <c r="D4362" s="181"/>
      <c r="E4362" s="181"/>
      <c r="F4362" s="181"/>
      <c r="G4362" s="181"/>
      <c r="H4362" s="181"/>
      <c r="I4362" s="181"/>
      <c r="J4362" s="181"/>
      <c r="K4362" s="181"/>
      <c r="L4362" s="181"/>
      <c r="M4362" s="181"/>
      <c r="N4362" s="181"/>
      <c r="O4362" s="181"/>
      <c r="P4362" s="181"/>
    </row>
    <row r="4363">
      <c r="B4363" s="292"/>
      <c r="C4363" s="181"/>
      <c r="D4363" s="181"/>
      <c r="E4363" s="181"/>
      <c r="F4363" s="181"/>
      <c r="G4363" s="181"/>
      <c r="H4363" s="181"/>
      <c r="I4363" s="181"/>
      <c r="J4363" s="181"/>
      <c r="K4363" s="181"/>
      <c r="L4363" s="181"/>
      <c r="M4363" s="181"/>
      <c r="N4363" s="181"/>
      <c r="O4363" s="181"/>
      <c r="P4363" s="181"/>
    </row>
    <row r="4364">
      <c r="B4364" s="292"/>
      <c r="C4364" s="181"/>
      <c r="D4364" s="181"/>
      <c r="E4364" s="181"/>
      <c r="F4364" s="181"/>
      <c r="G4364" s="181"/>
      <c r="H4364" s="181"/>
      <c r="I4364" s="181"/>
      <c r="J4364" s="181"/>
      <c r="K4364" s="181"/>
      <c r="L4364" s="181"/>
      <c r="M4364" s="181"/>
      <c r="N4364" s="181"/>
      <c r="O4364" s="181"/>
      <c r="P4364" s="181"/>
    </row>
    <row r="4365">
      <c r="B4365" s="292"/>
      <c r="C4365" s="181"/>
      <c r="D4365" s="181"/>
      <c r="E4365" s="181"/>
      <c r="F4365" s="181"/>
      <c r="G4365" s="181"/>
      <c r="H4365" s="181"/>
      <c r="I4365" s="181"/>
      <c r="J4365" s="181"/>
      <c r="K4365" s="181"/>
      <c r="L4365" s="181"/>
      <c r="M4365" s="181"/>
      <c r="N4365" s="181"/>
      <c r="O4365" s="181"/>
      <c r="P4365" s="181"/>
    </row>
    <row r="4366">
      <c r="B4366" s="292"/>
      <c r="C4366" s="181"/>
      <c r="D4366" s="181"/>
      <c r="E4366" s="181"/>
      <c r="F4366" s="181"/>
      <c r="G4366" s="181"/>
      <c r="H4366" s="181"/>
      <c r="I4366" s="181"/>
      <c r="J4366" s="181"/>
      <c r="K4366" s="181"/>
      <c r="L4366" s="181"/>
      <c r="M4366" s="181"/>
      <c r="N4366" s="181"/>
      <c r="O4366" s="181"/>
      <c r="P4366" s="181"/>
    </row>
    <row r="4367">
      <c r="B4367" s="292"/>
      <c r="C4367" s="181"/>
      <c r="D4367" s="181"/>
      <c r="E4367" s="181"/>
      <c r="F4367" s="181"/>
      <c r="G4367" s="181"/>
      <c r="H4367" s="181"/>
      <c r="I4367" s="181"/>
      <c r="J4367" s="181"/>
      <c r="K4367" s="181"/>
      <c r="L4367" s="181"/>
      <c r="M4367" s="181"/>
      <c r="N4367" s="181"/>
      <c r="O4367" s="181"/>
      <c r="P4367" s="181"/>
    </row>
    <row r="4368">
      <c r="B4368" s="292"/>
      <c r="C4368" s="181"/>
      <c r="D4368" s="181"/>
      <c r="E4368" s="181"/>
      <c r="F4368" s="181"/>
      <c r="G4368" s="181"/>
      <c r="H4368" s="181"/>
      <c r="I4368" s="181"/>
      <c r="J4368" s="181"/>
      <c r="K4368" s="181"/>
      <c r="L4368" s="181"/>
      <c r="M4368" s="181"/>
      <c r="N4368" s="181"/>
      <c r="O4368" s="181"/>
      <c r="P4368" s="181"/>
    </row>
    <row r="4369">
      <c r="B4369" s="292"/>
      <c r="C4369" s="181"/>
      <c r="D4369" s="181"/>
      <c r="E4369" s="181"/>
      <c r="F4369" s="181"/>
      <c r="G4369" s="181"/>
      <c r="H4369" s="181"/>
      <c r="I4369" s="181"/>
      <c r="J4369" s="181"/>
      <c r="K4369" s="181"/>
      <c r="L4369" s="181"/>
      <c r="M4369" s="181"/>
      <c r="N4369" s="181"/>
      <c r="O4369" s="181"/>
      <c r="P4369" s="181"/>
    </row>
    <row r="4370">
      <c r="B4370" s="292"/>
      <c r="C4370" s="181"/>
      <c r="D4370" s="181"/>
      <c r="E4370" s="181"/>
      <c r="F4370" s="181"/>
      <c r="G4370" s="181"/>
      <c r="H4370" s="181"/>
      <c r="I4370" s="181"/>
      <c r="J4370" s="181"/>
      <c r="K4370" s="181"/>
      <c r="L4370" s="181"/>
      <c r="M4370" s="181"/>
      <c r="N4370" s="181"/>
      <c r="O4370" s="181"/>
      <c r="P4370" s="181"/>
    </row>
    <row r="4371">
      <c r="B4371" s="292"/>
      <c r="C4371" s="181"/>
      <c r="D4371" s="181"/>
      <c r="E4371" s="181"/>
      <c r="F4371" s="181"/>
      <c r="G4371" s="181"/>
      <c r="H4371" s="181"/>
      <c r="I4371" s="181"/>
      <c r="J4371" s="181"/>
      <c r="K4371" s="181"/>
      <c r="L4371" s="181"/>
      <c r="M4371" s="181"/>
      <c r="N4371" s="181"/>
      <c r="O4371" s="181"/>
      <c r="P4371" s="181"/>
    </row>
    <row r="4372">
      <c r="B4372" s="292"/>
      <c r="C4372" s="181"/>
      <c r="D4372" s="181"/>
      <c r="E4372" s="181"/>
      <c r="F4372" s="181"/>
      <c r="G4372" s="181"/>
      <c r="H4372" s="181"/>
      <c r="I4372" s="181"/>
      <c r="J4372" s="181"/>
      <c r="K4372" s="181"/>
      <c r="L4372" s="181"/>
      <c r="M4372" s="181"/>
      <c r="N4372" s="181"/>
      <c r="O4372" s="181"/>
      <c r="P4372" s="181"/>
    </row>
    <row r="4373">
      <c r="B4373" s="292"/>
      <c r="C4373" s="181"/>
      <c r="D4373" s="181"/>
      <c r="E4373" s="181"/>
      <c r="F4373" s="181"/>
      <c r="G4373" s="181"/>
      <c r="H4373" s="181"/>
      <c r="I4373" s="181"/>
      <c r="J4373" s="181"/>
      <c r="K4373" s="181"/>
      <c r="L4373" s="181"/>
      <c r="M4373" s="181"/>
      <c r="N4373" s="181"/>
      <c r="O4373" s="181"/>
      <c r="P4373" s="181"/>
    </row>
    <row r="4374">
      <c r="B4374" s="292"/>
      <c r="C4374" s="181"/>
      <c r="D4374" s="181"/>
      <c r="E4374" s="181"/>
      <c r="F4374" s="181"/>
      <c r="G4374" s="181"/>
      <c r="H4374" s="181"/>
      <c r="I4374" s="181"/>
      <c r="J4374" s="181"/>
      <c r="K4374" s="181"/>
      <c r="L4374" s="181"/>
      <c r="M4374" s="181"/>
      <c r="N4374" s="181"/>
      <c r="O4374" s="181"/>
      <c r="P4374" s="181"/>
    </row>
    <row r="4375">
      <c r="B4375" s="292"/>
      <c r="C4375" s="181"/>
      <c r="D4375" s="181"/>
      <c r="E4375" s="181"/>
      <c r="F4375" s="181"/>
      <c r="G4375" s="181"/>
      <c r="H4375" s="181"/>
      <c r="I4375" s="181"/>
      <c r="J4375" s="181"/>
      <c r="K4375" s="181"/>
      <c r="L4375" s="181"/>
      <c r="M4375" s="181"/>
      <c r="N4375" s="181"/>
      <c r="O4375" s="181"/>
      <c r="P4375" s="181"/>
    </row>
    <row r="4376">
      <c r="B4376" s="292"/>
      <c r="C4376" s="181"/>
      <c r="D4376" s="181"/>
      <c r="E4376" s="181"/>
      <c r="F4376" s="181"/>
      <c r="G4376" s="181"/>
      <c r="H4376" s="181"/>
      <c r="I4376" s="181"/>
      <c r="J4376" s="181"/>
      <c r="K4376" s="181"/>
      <c r="L4376" s="181"/>
      <c r="M4376" s="181"/>
      <c r="N4376" s="181"/>
      <c r="O4376" s="181"/>
      <c r="P4376" s="181"/>
    </row>
    <row r="4377">
      <c r="B4377" s="292"/>
      <c r="C4377" s="181"/>
      <c r="D4377" s="181"/>
      <c r="E4377" s="181"/>
      <c r="F4377" s="181"/>
      <c r="G4377" s="181"/>
      <c r="H4377" s="181"/>
      <c r="I4377" s="181"/>
      <c r="J4377" s="181"/>
      <c r="K4377" s="181"/>
      <c r="L4377" s="181"/>
      <c r="M4377" s="181"/>
      <c r="N4377" s="181"/>
      <c r="O4377" s="181"/>
      <c r="P4377" s="181"/>
    </row>
    <row r="4378">
      <c r="B4378" s="292"/>
      <c r="C4378" s="181"/>
      <c r="D4378" s="181"/>
      <c r="E4378" s="181"/>
      <c r="F4378" s="181"/>
      <c r="G4378" s="181"/>
      <c r="H4378" s="181"/>
      <c r="I4378" s="181"/>
      <c r="J4378" s="181"/>
      <c r="K4378" s="181"/>
      <c r="L4378" s="181"/>
      <c r="M4378" s="181"/>
      <c r="N4378" s="181"/>
      <c r="O4378" s="181"/>
      <c r="P4378" s="181"/>
    </row>
    <row r="4379">
      <c r="B4379" s="292"/>
      <c r="C4379" s="181"/>
      <c r="D4379" s="181"/>
      <c r="E4379" s="181"/>
      <c r="F4379" s="181"/>
      <c r="G4379" s="181"/>
      <c r="H4379" s="181"/>
      <c r="I4379" s="181"/>
      <c r="J4379" s="181"/>
      <c r="K4379" s="181"/>
      <c r="L4379" s="181"/>
      <c r="M4379" s="181"/>
      <c r="N4379" s="181"/>
      <c r="O4379" s="181"/>
      <c r="P4379" s="181"/>
    </row>
    <row r="4380">
      <c r="B4380" s="292"/>
      <c r="C4380" s="181"/>
      <c r="D4380" s="181"/>
      <c r="E4380" s="181"/>
      <c r="F4380" s="181"/>
      <c r="G4380" s="181"/>
      <c r="H4380" s="181"/>
      <c r="I4380" s="181"/>
      <c r="J4380" s="181"/>
      <c r="K4380" s="181"/>
      <c r="L4380" s="181"/>
      <c r="M4380" s="181"/>
      <c r="N4380" s="181"/>
      <c r="O4380" s="181"/>
      <c r="P4380" s="181"/>
    </row>
    <row r="4381">
      <c r="B4381" s="292"/>
      <c r="C4381" s="181"/>
      <c r="D4381" s="181"/>
      <c r="E4381" s="181"/>
      <c r="F4381" s="181"/>
      <c r="G4381" s="181"/>
      <c r="H4381" s="181"/>
      <c r="I4381" s="181"/>
      <c r="J4381" s="181"/>
      <c r="K4381" s="181"/>
      <c r="L4381" s="181"/>
      <c r="M4381" s="181"/>
      <c r="N4381" s="181"/>
      <c r="O4381" s="181"/>
      <c r="P4381" s="181"/>
    </row>
    <row r="4382">
      <c r="B4382" s="292"/>
      <c r="C4382" s="181"/>
      <c r="D4382" s="181"/>
      <c r="E4382" s="181"/>
      <c r="F4382" s="181"/>
      <c r="G4382" s="181"/>
      <c r="H4382" s="181"/>
      <c r="I4382" s="181"/>
      <c r="J4382" s="181"/>
      <c r="K4382" s="181"/>
      <c r="L4382" s="181"/>
      <c r="M4382" s="181"/>
      <c r="N4382" s="181"/>
      <c r="O4382" s="181"/>
      <c r="P4382" s="181"/>
    </row>
    <row r="4383">
      <c r="B4383" s="292"/>
      <c r="C4383" s="181"/>
      <c r="D4383" s="181"/>
      <c r="E4383" s="181"/>
      <c r="F4383" s="181"/>
      <c r="G4383" s="181"/>
      <c r="H4383" s="181"/>
      <c r="I4383" s="181"/>
      <c r="J4383" s="181"/>
      <c r="K4383" s="181"/>
      <c r="L4383" s="181"/>
      <c r="M4383" s="181"/>
      <c r="N4383" s="181"/>
      <c r="O4383" s="181"/>
      <c r="P4383" s="181"/>
    </row>
    <row r="4384">
      <c r="B4384" s="292"/>
      <c r="C4384" s="181"/>
      <c r="D4384" s="181"/>
      <c r="E4384" s="181"/>
      <c r="F4384" s="181"/>
      <c r="G4384" s="181"/>
      <c r="H4384" s="181"/>
      <c r="I4384" s="181"/>
      <c r="J4384" s="181"/>
      <c r="K4384" s="181"/>
      <c r="L4384" s="181"/>
      <c r="M4384" s="181"/>
      <c r="N4384" s="181"/>
      <c r="O4384" s="181"/>
      <c r="P4384" s="181"/>
    </row>
    <row r="4385">
      <c r="B4385" s="292"/>
      <c r="C4385" s="181"/>
      <c r="D4385" s="181"/>
      <c r="E4385" s="181"/>
      <c r="F4385" s="181"/>
      <c r="G4385" s="181"/>
      <c r="H4385" s="181"/>
      <c r="I4385" s="181"/>
      <c r="J4385" s="181"/>
      <c r="K4385" s="181"/>
      <c r="L4385" s="181"/>
      <c r="M4385" s="181"/>
      <c r="N4385" s="181"/>
      <c r="O4385" s="181"/>
      <c r="P4385" s="181"/>
    </row>
    <row r="4386">
      <c r="B4386" s="292"/>
      <c r="C4386" s="181"/>
      <c r="D4386" s="181"/>
      <c r="E4386" s="181"/>
      <c r="F4386" s="181"/>
      <c r="G4386" s="181"/>
      <c r="H4386" s="181"/>
      <c r="I4386" s="181"/>
      <c r="J4386" s="181"/>
      <c r="K4386" s="181"/>
      <c r="L4386" s="181"/>
      <c r="M4386" s="181"/>
      <c r="N4386" s="181"/>
      <c r="O4386" s="181"/>
      <c r="P4386" s="181"/>
    </row>
    <row r="4387">
      <c r="B4387" s="292"/>
      <c r="C4387" s="181"/>
      <c r="D4387" s="181"/>
      <c r="E4387" s="181"/>
      <c r="F4387" s="181"/>
      <c r="G4387" s="181"/>
      <c r="H4387" s="181"/>
      <c r="I4387" s="181"/>
      <c r="J4387" s="181"/>
      <c r="K4387" s="181"/>
      <c r="L4387" s="181"/>
      <c r="M4387" s="181"/>
      <c r="N4387" s="181"/>
      <c r="O4387" s="181"/>
      <c r="P4387" s="181"/>
    </row>
    <row r="4388">
      <c r="B4388" s="292"/>
      <c r="C4388" s="181"/>
      <c r="D4388" s="181"/>
      <c r="E4388" s="181"/>
      <c r="F4388" s="181"/>
      <c r="G4388" s="181"/>
      <c r="H4388" s="181"/>
      <c r="I4388" s="181"/>
      <c r="J4388" s="181"/>
      <c r="K4388" s="181"/>
      <c r="L4388" s="181"/>
      <c r="M4388" s="181"/>
      <c r="N4388" s="181"/>
      <c r="O4388" s="181"/>
      <c r="P4388" s="181"/>
    </row>
    <row r="4389">
      <c r="B4389" s="292"/>
      <c r="C4389" s="181"/>
      <c r="D4389" s="181"/>
      <c r="E4389" s="181"/>
      <c r="F4389" s="181"/>
      <c r="G4389" s="181"/>
      <c r="H4389" s="181"/>
      <c r="I4389" s="181"/>
      <c r="J4389" s="181"/>
      <c r="K4389" s="181"/>
      <c r="L4389" s="181"/>
      <c r="M4389" s="181"/>
      <c r="N4389" s="181"/>
      <c r="O4389" s="181"/>
      <c r="P4389" s="181"/>
    </row>
    <row r="4390">
      <c r="B4390" s="292"/>
      <c r="C4390" s="181"/>
      <c r="D4390" s="181"/>
      <c r="E4390" s="181"/>
      <c r="F4390" s="181"/>
      <c r="G4390" s="181"/>
      <c r="H4390" s="181"/>
      <c r="I4390" s="181"/>
      <c r="J4390" s="181"/>
      <c r="K4390" s="181"/>
      <c r="L4390" s="181"/>
      <c r="M4390" s="181"/>
      <c r="N4390" s="181"/>
      <c r="O4390" s="181"/>
      <c r="P4390" s="181"/>
    </row>
    <row r="4391">
      <c r="B4391" s="292"/>
      <c r="C4391" s="181"/>
      <c r="D4391" s="181"/>
      <c r="E4391" s="181"/>
      <c r="F4391" s="181"/>
      <c r="G4391" s="181"/>
      <c r="H4391" s="181"/>
      <c r="I4391" s="181"/>
      <c r="J4391" s="181"/>
      <c r="K4391" s="181"/>
      <c r="L4391" s="181"/>
      <c r="M4391" s="181"/>
      <c r="N4391" s="181"/>
      <c r="O4391" s="181"/>
      <c r="P4391" s="181"/>
    </row>
    <row r="4392">
      <c r="B4392" s="292"/>
      <c r="C4392" s="181"/>
      <c r="D4392" s="181"/>
      <c r="E4392" s="181"/>
      <c r="F4392" s="181"/>
      <c r="G4392" s="181"/>
      <c r="H4392" s="181"/>
      <c r="I4392" s="181"/>
      <c r="J4392" s="181"/>
      <c r="K4392" s="181"/>
      <c r="L4392" s="181"/>
      <c r="M4392" s="181"/>
      <c r="N4392" s="181"/>
      <c r="O4392" s="181"/>
      <c r="P4392" s="181"/>
    </row>
    <row r="4393">
      <c r="B4393" s="292"/>
      <c r="C4393" s="181"/>
      <c r="D4393" s="181"/>
      <c r="E4393" s="181"/>
      <c r="F4393" s="181"/>
      <c r="G4393" s="181"/>
      <c r="H4393" s="181"/>
      <c r="I4393" s="181"/>
      <c r="J4393" s="181"/>
      <c r="K4393" s="181"/>
      <c r="L4393" s="181"/>
      <c r="M4393" s="181"/>
      <c r="N4393" s="181"/>
      <c r="O4393" s="181"/>
      <c r="P4393" s="181"/>
    </row>
    <row r="4394">
      <c r="B4394" s="292"/>
      <c r="C4394" s="181"/>
      <c r="D4394" s="181"/>
      <c r="E4394" s="181"/>
      <c r="F4394" s="181"/>
      <c r="G4394" s="181"/>
      <c r="H4394" s="181"/>
      <c r="I4394" s="181"/>
      <c r="J4394" s="181"/>
      <c r="K4394" s="181"/>
      <c r="L4394" s="181"/>
      <c r="M4394" s="181"/>
      <c r="N4394" s="181"/>
      <c r="O4394" s="181"/>
      <c r="P4394" s="181"/>
    </row>
    <row r="4395">
      <c r="B4395" s="292"/>
      <c r="C4395" s="181"/>
      <c r="D4395" s="181"/>
      <c r="E4395" s="181"/>
      <c r="F4395" s="181"/>
      <c r="G4395" s="181"/>
      <c r="H4395" s="181"/>
      <c r="I4395" s="181"/>
      <c r="J4395" s="181"/>
      <c r="K4395" s="181"/>
      <c r="L4395" s="181"/>
      <c r="M4395" s="181"/>
      <c r="N4395" s="181"/>
      <c r="O4395" s="181"/>
      <c r="P4395" s="181"/>
    </row>
    <row r="4396">
      <c r="B4396" s="292"/>
      <c r="C4396" s="181"/>
      <c r="D4396" s="181"/>
      <c r="E4396" s="181"/>
      <c r="F4396" s="181"/>
      <c r="G4396" s="181"/>
      <c r="H4396" s="181"/>
      <c r="I4396" s="181"/>
      <c r="J4396" s="181"/>
      <c r="K4396" s="181"/>
      <c r="L4396" s="181"/>
      <c r="M4396" s="181"/>
      <c r="N4396" s="181"/>
      <c r="O4396" s="181"/>
      <c r="P4396" s="181"/>
    </row>
    <row r="4397">
      <c r="B4397" s="292"/>
      <c r="C4397" s="181"/>
      <c r="D4397" s="181"/>
      <c r="E4397" s="181"/>
      <c r="F4397" s="181"/>
      <c r="G4397" s="181"/>
      <c r="H4397" s="181"/>
      <c r="I4397" s="181"/>
      <c r="J4397" s="181"/>
      <c r="K4397" s="181"/>
      <c r="L4397" s="181"/>
      <c r="M4397" s="181"/>
      <c r="N4397" s="181"/>
      <c r="O4397" s="181"/>
      <c r="P4397" s="181"/>
    </row>
    <row r="4398">
      <c r="B4398" s="292"/>
      <c r="C4398" s="181"/>
      <c r="D4398" s="181"/>
      <c r="E4398" s="181"/>
      <c r="F4398" s="181"/>
      <c r="G4398" s="181"/>
      <c r="H4398" s="181"/>
      <c r="I4398" s="181"/>
      <c r="J4398" s="181"/>
      <c r="K4398" s="181"/>
      <c r="L4398" s="181"/>
      <c r="M4398" s="181"/>
      <c r="N4398" s="181"/>
      <c r="O4398" s="181"/>
      <c r="P4398" s="181"/>
    </row>
    <row r="4399">
      <c r="B4399" s="292"/>
      <c r="C4399" s="181"/>
      <c r="D4399" s="181"/>
      <c r="E4399" s="181"/>
      <c r="F4399" s="181"/>
      <c r="G4399" s="181"/>
      <c r="H4399" s="181"/>
      <c r="I4399" s="181"/>
      <c r="J4399" s="181"/>
      <c r="K4399" s="181"/>
      <c r="L4399" s="181"/>
      <c r="M4399" s="181"/>
      <c r="N4399" s="181"/>
      <c r="O4399" s="181"/>
      <c r="P4399" s="181"/>
    </row>
    <row r="4400">
      <c r="B4400" s="292"/>
      <c r="C4400" s="181"/>
      <c r="D4400" s="181"/>
      <c r="E4400" s="181"/>
      <c r="F4400" s="181"/>
      <c r="G4400" s="181"/>
      <c r="H4400" s="181"/>
      <c r="I4400" s="181"/>
      <c r="J4400" s="181"/>
      <c r="K4400" s="181"/>
      <c r="L4400" s="181"/>
      <c r="M4400" s="181"/>
      <c r="N4400" s="181"/>
      <c r="O4400" s="181"/>
      <c r="P4400" s="181"/>
    </row>
    <row r="4401">
      <c r="B4401" s="292"/>
      <c r="C4401" s="181"/>
      <c r="D4401" s="181"/>
      <c r="E4401" s="181"/>
      <c r="F4401" s="181"/>
      <c r="G4401" s="181"/>
      <c r="H4401" s="181"/>
      <c r="I4401" s="181"/>
      <c r="J4401" s="181"/>
      <c r="K4401" s="181"/>
      <c r="L4401" s="181"/>
      <c r="M4401" s="181"/>
      <c r="N4401" s="181"/>
      <c r="O4401" s="181"/>
      <c r="P4401" s="181"/>
    </row>
    <row r="4402">
      <c r="B4402" s="292"/>
      <c r="C4402" s="181"/>
      <c r="D4402" s="181"/>
      <c r="E4402" s="181"/>
      <c r="F4402" s="181"/>
      <c r="G4402" s="181"/>
      <c r="H4402" s="181"/>
      <c r="I4402" s="181"/>
      <c r="J4402" s="181"/>
      <c r="K4402" s="181"/>
      <c r="L4402" s="181"/>
      <c r="M4402" s="181"/>
      <c r="N4402" s="181"/>
      <c r="O4402" s="181"/>
      <c r="P4402" s="181"/>
    </row>
    <row r="4403">
      <c r="B4403" s="292"/>
      <c r="C4403" s="181"/>
      <c r="D4403" s="181"/>
      <c r="E4403" s="181"/>
      <c r="F4403" s="181"/>
      <c r="G4403" s="181"/>
      <c r="H4403" s="181"/>
      <c r="I4403" s="181"/>
      <c r="J4403" s="181"/>
      <c r="K4403" s="181"/>
      <c r="L4403" s="181"/>
      <c r="M4403" s="181"/>
      <c r="N4403" s="181"/>
      <c r="O4403" s="181"/>
      <c r="P4403" s="181"/>
    </row>
    <row r="4404">
      <c r="B4404" s="292"/>
      <c r="C4404" s="181"/>
      <c r="D4404" s="181"/>
      <c r="E4404" s="181"/>
      <c r="F4404" s="181"/>
      <c r="G4404" s="181"/>
      <c r="H4404" s="181"/>
      <c r="I4404" s="181"/>
      <c r="J4404" s="181"/>
      <c r="K4404" s="181"/>
      <c r="L4404" s="181"/>
      <c r="M4404" s="181"/>
      <c r="N4404" s="181"/>
      <c r="O4404" s="181"/>
      <c r="P4404" s="181"/>
    </row>
    <row r="4405">
      <c r="B4405" s="292"/>
      <c r="C4405" s="181"/>
      <c r="D4405" s="181"/>
      <c r="E4405" s="181"/>
      <c r="F4405" s="181"/>
      <c r="G4405" s="181"/>
      <c r="H4405" s="181"/>
      <c r="I4405" s="181"/>
      <c r="J4405" s="181"/>
      <c r="K4405" s="181"/>
      <c r="L4405" s="181"/>
      <c r="M4405" s="181"/>
      <c r="N4405" s="181"/>
      <c r="O4405" s="181"/>
      <c r="P4405" s="181"/>
    </row>
    <row r="4406">
      <c r="B4406" s="292"/>
      <c r="C4406" s="181"/>
      <c r="D4406" s="181"/>
      <c r="E4406" s="181"/>
      <c r="F4406" s="181"/>
      <c r="G4406" s="181"/>
      <c r="H4406" s="181"/>
      <c r="I4406" s="181"/>
      <c r="J4406" s="181"/>
      <c r="K4406" s="181"/>
      <c r="L4406" s="181"/>
      <c r="M4406" s="181"/>
      <c r="N4406" s="181"/>
      <c r="O4406" s="181"/>
      <c r="P4406" s="181"/>
    </row>
    <row r="4407">
      <c r="B4407" s="292"/>
      <c r="C4407" s="181"/>
      <c r="D4407" s="181"/>
      <c r="E4407" s="181"/>
      <c r="F4407" s="181"/>
      <c r="G4407" s="181"/>
      <c r="H4407" s="181"/>
      <c r="I4407" s="181"/>
      <c r="J4407" s="181"/>
      <c r="K4407" s="181"/>
      <c r="L4407" s="181"/>
      <c r="M4407" s="181"/>
      <c r="N4407" s="181"/>
      <c r="O4407" s="181"/>
      <c r="P4407" s="181"/>
    </row>
    <row r="4408">
      <c r="B4408" s="292"/>
      <c r="C4408" s="181"/>
      <c r="D4408" s="181"/>
      <c r="E4408" s="181"/>
      <c r="F4408" s="181"/>
      <c r="G4408" s="181"/>
      <c r="H4408" s="181"/>
      <c r="I4408" s="181"/>
      <c r="J4408" s="181"/>
      <c r="K4408" s="181"/>
      <c r="L4408" s="181"/>
      <c r="M4408" s="181"/>
      <c r="N4408" s="181"/>
      <c r="O4408" s="181"/>
      <c r="P4408" s="181"/>
    </row>
    <row r="4409">
      <c r="B4409" s="292"/>
      <c r="C4409" s="181"/>
      <c r="D4409" s="181"/>
      <c r="E4409" s="181"/>
      <c r="F4409" s="181"/>
      <c r="G4409" s="181"/>
      <c r="H4409" s="181"/>
      <c r="I4409" s="181"/>
      <c r="J4409" s="181"/>
      <c r="K4409" s="181"/>
      <c r="L4409" s="181"/>
      <c r="M4409" s="181"/>
      <c r="N4409" s="181"/>
      <c r="O4409" s="181"/>
      <c r="P4409" s="181"/>
    </row>
    <row r="4410">
      <c r="B4410" s="292"/>
      <c r="C4410" s="181"/>
      <c r="D4410" s="181"/>
      <c r="E4410" s="181"/>
      <c r="F4410" s="181"/>
      <c r="G4410" s="181"/>
      <c r="H4410" s="181"/>
      <c r="I4410" s="181"/>
      <c r="J4410" s="181"/>
      <c r="K4410" s="181"/>
      <c r="L4410" s="181"/>
      <c r="M4410" s="181"/>
      <c r="N4410" s="181"/>
      <c r="O4410" s="181"/>
      <c r="P4410" s="181"/>
    </row>
    <row r="4411">
      <c r="B4411" s="292"/>
      <c r="C4411" s="181"/>
      <c r="D4411" s="181"/>
      <c r="E4411" s="181"/>
      <c r="F4411" s="181"/>
      <c r="G4411" s="181"/>
      <c r="H4411" s="181"/>
      <c r="I4411" s="181"/>
      <c r="J4411" s="181"/>
      <c r="K4411" s="181"/>
      <c r="L4411" s="181"/>
      <c r="M4411" s="181"/>
      <c r="N4411" s="181"/>
      <c r="O4411" s="181"/>
      <c r="P4411" s="181"/>
    </row>
    <row r="4412">
      <c r="B4412" s="292"/>
      <c r="C4412" s="181"/>
      <c r="D4412" s="181"/>
      <c r="E4412" s="181"/>
      <c r="F4412" s="181"/>
      <c r="G4412" s="181"/>
      <c r="H4412" s="181"/>
      <c r="I4412" s="181"/>
      <c r="J4412" s="181"/>
      <c r="K4412" s="181"/>
      <c r="L4412" s="181"/>
      <c r="M4412" s="181"/>
      <c r="N4412" s="181"/>
      <c r="O4412" s="181"/>
      <c r="P4412" s="181"/>
    </row>
    <row r="4413">
      <c r="B4413" s="292"/>
      <c r="C4413" s="181"/>
      <c r="D4413" s="181"/>
      <c r="E4413" s="181"/>
      <c r="F4413" s="181"/>
      <c r="G4413" s="181"/>
      <c r="H4413" s="181"/>
      <c r="I4413" s="181"/>
      <c r="J4413" s="181"/>
      <c r="K4413" s="181"/>
      <c r="L4413" s="181"/>
      <c r="M4413" s="181"/>
      <c r="N4413" s="181"/>
      <c r="O4413" s="181"/>
      <c r="P4413" s="181"/>
    </row>
    <row r="4414">
      <c r="B4414" s="292"/>
      <c r="C4414" s="181"/>
      <c r="D4414" s="181"/>
      <c r="E4414" s="181"/>
      <c r="F4414" s="181"/>
      <c r="G4414" s="181"/>
      <c r="H4414" s="181"/>
      <c r="I4414" s="181"/>
      <c r="J4414" s="181"/>
      <c r="K4414" s="181"/>
      <c r="L4414" s="181"/>
      <c r="M4414" s="181"/>
      <c r="N4414" s="181"/>
      <c r="O4414" s="181"/>
      <c r="P4414" s="181"/>
    </row>
    <row r="4415">
      <c r="B4415" s="292"/>
      <c r="C4415" s="181"/>
      <c r="D4415" s="181"/>
      <c r="E4415" s="181"/>
      <c r="F4415" s="181"/>
      <c r="G4415" s="181"/>
      <c r="H4415" s="181"/>
      <c r="I4415" s="181"/>
      <c r="J4415" s="181"/>
      <c r="K4415" s="181"/>
      <c r="L4415" s="181"/>
      <c r="M4415" s="181"/>
      <c r="N4415" s="181"/>
      <c r="O4415" s="181"/>
      <c r="P4415" s="181"/>
    </row>
    <row r="4416">
      <c r="B4416" s="292"/>
      <c r="C4416" s="181"/>
      <c r="D4416" s="181"/>
      <c r="E4416" s="181"/>
      <c r="F4416" s="181"/>
      <c r="G4416" s="181"/>
      <c r="H4416" s="181"/>
      <c r="I4416" s="181"/>
      <c r="J4416" s="181"/>
      <c r="K4416" s="181"/>
      <c r="L4416" s="181"/>
      <c r="M4416" s="181"/>
      <c r="N4416" s="181"/>
      <c r="O4416" s="181"/>
      <c r="P4416" s="181"/>
    </row>
    <row r="4417">
      <c r="B4417" s="292"/>
      <c r="C4417" s="181"/>
      <c r="D4417" s="181"/>
      <c r="E4417" s="181"/>
      <c r="F4417" s="181"/>
      <c r="G4417" s="181"/>
      <c r="H4417" s="181"/>
      <c r="I4417" s="181"/>
      <c r="J4417" s="181"/>
      <c r="K4417" s="181"/>
      <c r="L4417" s="181"/>
      <c r="M4417" s="181"/>
      <c r="N4417" s="181"/>
      <c r="O4417" s="181"/>
      <c r="P4417" s="181"/>
    </row>
    <row r="4418">
      <c r="B4418" s="292"/>
      <c r="C4418" s="181"/>
      <c r="D4418" s="181"/>
      <c r="E4418" s="181"/>
      <c r="F4418" s="181"/>
      <c r="G4418" s="181"/>
      <c r="H4418" s="181"/>
      <c r="I4418" s="181"/>
      <c r="J4418" s="181"/>
      <c r="K4418" s="181"/>
      <c r="L4418" s="181"/>
      <c r="M4418" s="181"/>
      <c r="N4418" s="181"/>
      <c r="O4418" s="181"/>
      <c r="P4418" s="181"/>
    </row>
    <row r="4419">
      <c r="B4419" s="292"/>
      <c r="C4419" s="181"/>
      <c r="D4419" s="181"/>
      <c r="E4419" s="181"/>
      <c r="F4419" s="181"/>
      <c r="G4419" s="181"/>
      <c r="H4419" s="181"/>
      <c r="I4419" s="181"/>
      <c r="J4419" s="181"/>
      <c r="K4419" s="181"/>
      <c r="L4419" s="181"/>
      <c r="M4419" s="181"/>
      <c r="N4419" s="181"/>
      <c r="O4419" s="181"/>
      <c r="P4419" s="181"/>
    </row>
    <row r="4420">
      <c r="B4420" s="292"/>
      <c r="C4420" s="181"/>
      <c r="D4420" s="181"/>
      <c r="E4420" s="181"/>
      <c r="F4420" s="181"/>
      <c r="G4420" s="181"/>
      <c r="H4420" s="181"/>
      <c r="I4420" s="181"/>
      <c r="J4420" s="181"/>
      <c r="K4420" s="181"/>
      <c r="L4420" s="181"/>
      <c r="M4420" s="181"/>
      <c r="N4420" s="181"/>
      <c r="O4420" s="181"/>
      <c r="P4420" s="181"/>
    </row>
    <row r="4421">
      <c r="B4421" s="292"/>
      <c r="C4421" s="181"/>
      <c r="D4421" s="181"/>
      <c r="E4421" s="181"/>
      <c r="F4421" s="181"/>
      <c r="G4421" s="181"/>
      <c r="H4421" s="181"/>
      <c r="I4421" s="181"/>
      <c r="J4421" s="181"/>
      <c r="K4421" s="181"/>
      <c r="L4421" s="181"/>
      <c r="M4421" s="181"/>
      <c r="N4421" s="181"/>
      <c r="O4421" s="181"/>
      <c r="P4421" s="181"/>
    </row>
    <row r="4422">
      <c r="B4422" s="292"/>
      <c r="C4422" s="181"/>
      <c r="D4422" s="181"/>
      <c r="E4422" s="181"/>
      <c r="F4422" s="181"/>
      <c r="G4422" s="181"/>
      <c r="H4422" s="181"/>
      <c r="I4422" s="181"/>
      <c r="J4422" s="181"/>
      <c r="K4422" s="181"/>
      <c r="L4422" s="181"/>
      <c r="M4422" s="181"/>
      <c r="N4422" s="181"/>
      <c r="O4422" s="181"/>
      <c r="P4422" s="181"/>
    </row>
    <row r="4423">
      <c r="B4423" s="292"/>
      <c r="C4423" s="181"/>
      <c r="D4423" s="181"/>
      <c r="E4423" s="181"/>
      <c r="F4423" s="181"/>
      <c r="G4423" s="181"/>
      <c r="H4423" s="181"/>
      <c r="I4423" s="181"/>
      <c r="J4423" s="181"/>
      <c r="K4423" s="181"/>
      <c r="L4423" s="181"/>
      <c r="M4423" s="181"/>
      <c r="N4423" s="181"/>
      <c r="O4423" s="181"/>
      <c r="P4423" s="181"/>
    </row>
    <row r="4424">
      <c r="B4424" s="292"/>
      <c r="C4424" s="181"/>
      <c r="D4424" s="181"/>
      <c r="E4424" s="181"/>
      <c r="F4424" s="181"/>
      <c r="G4424" s="181"/>
      <c r="H4424" s="181"/>
      <c r="I4424" s="181"/>
      <c r="J4424" s="181"/>
      <c r="K4424" s="181"/>
      <c r="L4424" s="181"/>
      <c r="M4424" s="181"/>
      <c r="N4424" s="181"/>
      <c r="O4424" s="181"/>
      <c r="P4424" s="181"/>
    </row>
    <row r="4425">
      <c r="B4425" s="292"/>
      <c r="C4425" s="181"/>
      <c r="D4425" s="181"/>
      <c r="E4425" s="181"/>
      <c r="F4425" s="181"/>
      <c r="G4425" s="181"/>
      <c r="H4425" s="181"/>
      <c r="I4425" s="181"/>
      <c r="J4425" s="181"/>
      <c r="K4425" s="181"/>
      <c r="L4425" s="181"/>
      <c r="M4425" s="181"/>
      <c r="N4425" s="181"/>
      <c r="O4425" s="181"/>
      <c r="P4425" s="181"/>
    </row>
    <row r="4426">
      <c r="B4426" s="292"/>
      <c r="C4426" s="181"/>
      <c r="D4426" s="181"/>
      <c r="E4426" s="181"/>
      <c r="F4426" s="181"/>
      <c r="G4426" s="181"/>
      <c r="H4426" s="181"/>
      <c r="I4426" s="181"/>
      <c r="J4426" s="181"/>
      <c r="K4426" s="181"/>
      <c r="L4426" s="181"/>
      <c r="M4426" s="181"/>
      <c r="N4426" s="181"/>
      <c r="O4426" s="181"/>
      <c r="P4426" s="181"/>
    </row>
    <row r="4427">
      <c r="B4427" s="292"/>
      <c r="C4427" s="181"/>
      <c r="D4427" s="181"/>
      <c r="E4427" s="181"/>
      <c r="F4427" s="181"/>
      <c r="G4427" s="181"/>
      <c r="H4427" s="181"/>
      <c r="I4427" s="181"/>
      <c r="J4427" s="181"/>
      <c r="K4427" s="181"/>
      <c r="L4427" s="181"/>
      <c r="M4427" s="181"/>
      <c r="N4427" s="181"/>
      <c r="O4427" s="181"/>
      <c r="P4427" s="181"/>
    </row>
    <row r="4428">
      <c r="B4428" s="292"/>
      <c r="C4428" s="181"/>
      <c r="D4428" s="181"/>
      <c r="E4428" s="181"/>
      <c r="F4428" s="181"/>
      <c r="G4428" s="181"/>
      <c r="H4428" s="181"/>
      <c r="I4428" s="181"/>
      <c r="J4428" s="181"/>
      <c r="K4428" s="181"/>
      <c r="L4428" s="181"/>
      <c r="M4428" s="181"/>
      <c r="N4428" s="181"/>
      <c r="O4428" s="181"/>
      <c r="P4428" s="181"/>
    </row>
    <row r="4429">
      <c r="B4429" s="292"/>
      <c r="C4429" s="181"/>
      <c r="D4429" s="181"/>
      <c r="E4429" s="181"/>
      <c r="F4429" s="181"/>
      <c r="G4429" s="181"/>
      <c r="H4429" s="181"/>
      <c r="I4429" s="181"/>
      <c r="J4429" s="181"/>
      <c r="K4429" s="181"/>
      <c r="L4429" s="181"/>
      <c r="M4429" s="181"/>
      <c r="N4429" s="181"/>
      <c r="O4429" s="181"/>
      <c r="P4429" s="181"/>
    </row>
    <row r="4430">
      <c r="B4430" s="292"/>
      <c r="C4430" s="181"/>
      <c r="D4430" s="181"/>
      <c r="E4430" s="181"/>
      <c r="F4430" s="181"/>
      <c r="G4430" s="181"/>
      <c r="H4430" s="181"/>
      <c r="I4430" s="181"/>
      <c r="J4430" s="181"/>
      <c r="K4430" s="181"/>
      <c r="L4430" s="181"/>
      <c r="M4430" s="181"/>
      <c r="N4430" s="181"/>
      <c r="O4430" s="181"/>
      <c r="P4430" s="181"/>
    </row>
    <row r="4431">
      <c r="B4431" s="292"/>
      <c r="C4431" s="181"/>
      <c r="D4431" s="181"/>
      <c r="E4431" s="181"/>
      <c r="F4431" s="181"/>
      <c r="G4431" s="181"/>
      <c r="H4431" s="181"/>
      <c r="I4431" s="181"/>
      <c r="J4431" s="181"/>
      <c r="K4431" s="181"/>
      <c r="L4431" s="181"/>
      <c r="M4431" s="181"/>
      <c r="N4431" s="181"/>
      <c r="O4431" s="181"/>
      <c r="P4431" s="181"/>
    </row>
    <row r="4432">
      <c r="B4432" s="292"/>
      <c r="C4432" s="181"/>
      <c r="D4432" s="181"/>
      <c r="E4432" s="181"/>
      <c r="F4432" s="181"/>
      <c r="G4432" s="181"/>
      <c r="H4432" s="181"/>
      <c r="I4432" s="181"/>
      <c r="J4432" s="181"/>
      <c r="K4432" s="181"/>
      <c r="L4432" s="181"/>
      <c r="M4432" s="181"/>
      <c r="N4432" s="181"/>
      <c r="O4432" s="181"/>
      <c r="P4432" s="181"/>
    </row>
    <row r="4433">
      <c r="B4433" s="292"/>
      <c r="C4433" s="181"/>
      <c r="D4433" s="181"/>
      <c r="E4433" s="181"/>
      <c r="F4433" s="181"/>
      <c r="G4433" s="181"/>
      <c r="H4433" s="181"/>
      <c r="I4433" s="181"/>
      <c r="J4433" s="181"/>
      <c r="K4433" s="181"/>
      <c r="L4433" s="181"/>
      <c r="M4433" s="181"/>
      <c r="N4433" s="181"/>
      <c r="O4433" s="181"/>
      <c r="P4433" s="181"/>
    </row>
    <row r="4434">
      <c r="B4434" s="292"/>
      <c r="C4434" s="181"/>
      <c r="D4434" s="181"/>
      <c r="E4434" s="181"/>
      <c r="F4434" s="181"/>
      <c r="G4434" s="181"/>
      <c r="H4434" s="181"/>
      <c r="I4434" s="181"/>
      <c r="J4434" s="181"/>
      <c r="K4434" s="181"/>
      <c r="L4434" s="181"/>
      <c r="M4434" s="181"/>
      <c r="N4434" s="181"/>
      <c r="O4434" s="181"/>
      <c r="P4434" s="181"/>
    </row>
    <row r="4435">
      <c r="B4435" s="292"/>
      <c r="C4435" s="181"/>
      <c r="D4435" s="181"/>
      <c r="E4435" s="181"/>
      <c r="F4435" s="181"/>
      <c r="G4435" s="181"/>
      <c r="H4435" s="181"/>
      <c r="I4435" s="181"/>
      <c r="J4435" s="181"/>
      <c r="K4435" s="181"/>
      <c r="L4435" s="181"/>
      <c r="M4435" s="181"/>
      <c r="N4435" s="181"/>
      <c r="O4435" s="181"/>
      <c r="P4435" s="181"/>
    </row>
    <row r="4436">
      <c r="B4436" s="292"/>
      <c r="C4436" s="181"/>
      <c r="D4436" s="181"/>
      <c r="E4436" s="181"/>
      <c r="F4436" s="181"/>
      <c r="G4436" s="181"/>
      <c r="H4436" s="181"/>
      <c r="I4436" s="181"/>
      <c r="J4436" s="181"/>
      <c r="K4436" s="181"/>
      <c r="L4436" s="181"/>
      <c r="M4436" s="181"/>
      <c r="N4436" s="181"/>
      <c r="O4436" s="181"/>
      <c r="P4436" s="181"/>
    </row>
    <row r="4437">
      <c r="B4437" s="292"/>
      <c r="C4437" s="181"/>
      <c r="D4437" s="181"/>
      <c r="E4437" s="181"/>
      <c r="F4437" s="181"/>
      <c r="G4437" s="181"/>
      <c r="H4437" s="181"/>
      <c r="I4437" s="181"/>
      <c r="J4437" s="181"/>
      <c r="K4437" s="181"/>
      <c r="L4437" s="181"/>
      <c r="M4437" s="181"/>
      <c r="N4437" s="181"/>
      <c r="O4437" s="181"/>
      <c r="P4437" s="181"/>
    </row>
    <row r="4438">
      <c r="B4438" s="292"/>
      <c r="C4438" s="181"/>
      <c r="D4438" s="181"/>
      <c r="E4438" s="181"/>
      <c r="F4438" s="181"/>
      <c r="G4438" s="181"/>
      <c r="H4438" s="181"/>
      <c r="I4438" s="181"/>
      <c r="J4438" s="181"/>
      <c r="K4438" s="181"/>
      <c r="L4438" s="181"/>
      <c r="M4438" s="181"/>
      <c r="N4438" s="181"/>
      <c r="O4438" s="181"/>
      <c r="P4438" s="181"/>
    </row>
    <row r="4439">
      <c r="B4439" s="292"/>
      <c r="C4439" s="181"/>
      <c r="D4439" s="181"/>
      <c r="E4439" s="181"/>
      <c r="F4439" s="181"/>
      <c r="G4439" s="181"/>
      <c r="H4439" s="181"/>
      <c r="I4439" s="181"/>
      <c r="J4439" s="181"/>
      <c r="K4439" s="181"/>
      <c r="L4439" s="181"/>
      <c r="M4439" s="181"/>
      <c r="N4439" s="181"/>
      <c r="O4439" s="181"/>
      <c r="P4439" s="181"/>
    </row>
    <row r="4440">
      <c r="B4440" s="292"/>
      <c r="C4440" s="181"/>
      <c r="D4440" s="181"/>
      <c r="E4440" s="181"/>
      <c r="F4440" s="181"/>
      <c r="G4440" s="181"/>
      <c r="H4440" s="181"/>
      <c r="I4440" s="181"/>
      <c r="J4440" s="181"/>
      <c r="K4440" s="181"/>
      <c r="L4440" s="181"/>
      <c r="M4440" s="181"/>
      <c r="N4440" s="181"/>
      <c r="O4440" s="181"/>
      <c r="P4440" s="181"/>
    </row>
    <row r="4441">
      <c r="B4441" s="292"/>
      <c r="C4441" s="181"/>
      <c r="D4441" s="181"/>
      <c r="E4441" s="181"/>
      <c r="F4441" s="181"/>
      <c r="G4441" s="181"/>
      <c r="H4441" s="181"/>
      <c r="I4441" s="181"/>
      <c r="J4441" s="181"/>
      <c r="K4441" s="181"/>
      <c r="L4441" s="181"/>
      <c r="M4441" s="181"/>
      <c r="N4441" s="181"/>
      <c r="O4441" s="181"/>
      <c r="P4441" s="181"/>
    </row>
    <row r="4442">
      <c r="B4442" s="292"/>
      <c r="C4442" s="181"/>
      <c r="D4442" s="181"/>
      <c r="E4442" s="181"/>
      <c r="F4442" s="181"/>
      <c r="G4442" s="181"/>
      <c r="H4442" s="181"/>
      <c r="I4442" s="181"/>
      <c r="J4442" s="181"/>
      <c r="K4442" s="181"/>
      <c r="L4442" s="181"/>
      <c r="M4442" s="181"/>
      <c r="N4442" s="181"/>
      <c r="O4442" s="181"/>
      <c r="P4442" s="181"/>
    </row>
    <row r="4443">
      <c r="B4443" s="292"/>
      <c r="C4443" s="181"/>
      <c r="D4443" s="181"/>
      <c r="E4443" s="181"/>
      <c r="F4443" s="181"/>
      <c r="G4443" s="181"/>
      <c r="H4443" s="181"/>
      <c r="I4443" s="181"/>
      <c r="J4443" s="181"/>
      <c r="K4443" s="181"/>
      <c r="L4443" s="181"/>
      <c r="M4443" s="181"/>
      <c r="N4443" s="181"/>
      <c r="O4443" s="181"/>
      <c r="P4443" s="181"/>
    </row>
    <row r="4444">
      <c r="B4444" s="292"/>
      <c r="C4444" s="181"/>
      <c r="D4444" s="181"/>
      <c r="E4444" s="181"/>
      <c r="F4444" s="181"/>
      <c r="G4444" s="181"/>
      <c r="H4444" s="181"/>
      <c r="I4444" s="181"/>
      <c r="J4444" s="181"/>
      <c r="K4444" s="181"/>
      <c r="L4444" s="181"/>
      <c r="M4444" s="181"/>
      <c r="N4444" s="181"/>
      <c r="O4444" s="181"/>
      <c r="P4444" s="181"/>
    </row>
    <row r="4445">
      <c r="B4445" s="292"/>
      <c r="C4445" s="181"/>
      <c r="D4445" s="181"/>
      <c r="E4445" s="181"/>
      <c r="F4445" s="181"/>
      <c r="G4445" s="181"/>
      <c r="H4445" s="181"/>
      <c r="I4445" s="181"/>
      <c r="J4445" s="181"/>
      <c r="K4445" s="181"/>
      <c r="L4445" s="181"/>
      <c r="M4445" s="181"/>
      <c r="N4445" s="181"/>
      <c r="O4445" s="181"/>
      <c r="P4445" s="181"/>
    </row>
    <row r="4446">
      <c r="B4446" s="292"/>
      <c r="C4446" s="181"/>
      <c r="D4446" s="181"/>
      <c r="E4446" s="181"/>
      <c r="F4446" s="181"/>
      <c r="G4446" s="181"/>
      <c r="H4446" s="181"/>
      <c r="I4446" s="181"/>
      <c r="J4446" s="181"/>
      <c r="K4446" s="181"/>
      <c r="L4446" s="181"/>
      <c r="M4446" s="181"/>
      <c r="N4446" s="181"/>
      <c r="O4446" s="181"/>
      <c r="P4446" s="181"/>
    </row>
    <row r="4447">
      <c r="B4447" s="292"/>
      <c r="C4447" s="181"/>
      <c r="D4447" s="181"/>
      <c r="E4447" s="181"/>
      <c r="F4447" s="181"/>
      <c r="G4447" s="181"/>
      <c r="H4447" s="181"/>
      <c r="I4447" s="181"/>
      <c r="J4447" s="181"/>
      <c r="K4447" s="181"/>
      <c r="L4447" s="181"/>
      <c r="M4447" s="181"/>
      <c r="N4447" s="181"/>
      <c r="O4447" s="181"/>
      <c r="P4447" s="181"/>
    </row>
    <row r="4448">
      <c r="B4448" s="292"/>
      <c r="C4448" s="181"/>
      <c r="D4448" s="181"/>
      <c r="E4448" s="181"/>
      <c r="F4448" s="181"/>
      <c r="G4448" s="181"/>
      <c r="H4448" s="181"/>
      <c r="I4448" s="181"/>
      <c r="J4448" s="181"/>
      <c r="K4448" s="181"/>
      <c r="L4448" s="181"/>
      <c r="M4448" s="181"/>
      <c r="N4448" s="181"/>
      <c r="O4448" s="181"/>
      <c r="P4448" s="181"/>
    </row>
    <row r="4449">
      <c r="B4449" s="292"/>
      <c r="C4449" s="181"/>
      <c r="D4449" s="181"/>
      <c r="E4449" s="181"/>
      <c r="F4449" s="181"/>
      <c r="G4449" s="181"/>
      <c r="H4449" s="181"/>
      <c r="I4449" s="181"/>
      <c r="J4449" s="181"/>
      <c r="K4449" s="181"/>
      <c r="L4449" s="181"/>
      <c r="M4449" s="181"/>
      <c r="N4449" s="181"/>
      <c r="O4449" s="181"/>
      <c r="P4449" s="181"/>
    </row>
    <row r="4450">
      <c r="B4450" s="292"/>
      <c r="C4450" s="181"/>
      <c r="D4450" s="181"/>
      <c r="E4450" s="181"/>
      <c r="F4450" s="181"/>
      <c r="G4450" s="181"/>
      <c r="H4450" s="181"/>
      <c r="I4450" s="181"/>
      <c r="J4450" s="181"/>
      <c r="K4450" s="181"/>
      <c r="L4450" s="181"/>
      <c r="M4450" s="181"/>
      <c r="N4450" s="181"/>
      <c r="O4450" s="181"/>
      <c r="P4450" s="181"/>
    </row>
    <row r="4451">
      <c r="B4451" s="292"/>
      <c r="C4451" s="181"/>
      <c r="D4451" s="181"/>
      <c r="E4451" s="181"/>
      <c r="F4451" s="181"/>
      <c r="G4451" s="181"/>
      <c r="H4451" s="181"/>
      <c r="I4451" s="181"/>
      <c r="J4451" s="181"/>
      <c r="K4451" s="181"/>
      <c r="L4451" s="181"/>
      <c r="M4451" s="181"/>
      <c r="N4451" s="181"/>
      <c r="O4451" s="181"/>
      <c r="P4451" s="181"/>
    </row>
    <row r="4452">
      <c r="B4452" s="292"/>
      <c r="C4452" s="181"/>
      <c r="D4452" s="181"/>
      <c r="E4452" s="181"/>
      <c r="F4452" s="181"/>
      <c r="G4452" s="181"/>
      <c r="H4452" s="181"/>
      <c r="I4452" s="181"/>
      <c r="J4452" s="181"/>
      <c r="K4452" s="181"/>
      <c r="L4452" s="181"/>
      <c r="M4452" s="181"/>
      <c r="N4452" s="181"/>
      <c r="O4452" s="181"/>
      <c r="P4452" s="181"/>
    </row>
    <row r="4453">
      <c r="B4453" s="292"/>
      <c r="C4453" s="181"/>
      <c r="D4453" s="181"/>
      <c r="E4453" s="181"/>
      <c r="F4453" s="181"/>
      <c r="G4453" s="181"/>
      <c r="H4453" s="181"/>
      <c r="I4453" s="181"/>
      <c r="J4453" s="181"/>
      <c r="K4453" s="181"/>
      <c r="L4453" s="181"/>
      <c r="M4453" s="181"/>
      <c r="N4453" s="181"/>
      <c r="O4453" s="181"/>
      <c r="P4453" s="181"/>
    </row>
    <row r="4454">
      <c r="B4454" s="292"/>
      <c r="C4454" s="181"/>
      <c r="D4454" s="181"/>
      <c r="E4454" s="181"/>
      <c r="F4454" s="181"/>
      <c r="G4454" s="181"/>
      <c r="H4454" s="181"/>
      <c r="I4454" s="181"/>
      <c r="J4454" s="181"/>
      <c r="K4454" s="181"/>
      <c r="L4454" s="181"/>
      <c r="M4454" s="181"/>
      <c r="N4454" s="181"/>
      <c r="O4454" s="181"/>
      <c r="P4454" s="181"/>
    </row>
    <row r="4455">
      <c r="B4455" s="292"/>
      <c r="C4455" s="181"/>
      <c r="D4455" s="181"/>
      <c r="E4455" s="181"/>
      <c r="F4455" s="181"/>
      <c r="G4455" s="181"/>
      <c r="H4455" s="181"/>
      <c r="I4455" s="181"/>
      <c r="J4455" s="181"/>
      <c r="K4455" s="181"/>
      <c r="L4455" s="181"/>
      <c r="M4455" s="181"/>
      <c r="N4455" s="181"/>
      <c r="O4455" s="181"/>
      <c r="P4455" s="181"/>
    </row>
    <row r="4456">
      <c r="B4456" s="292"/>
      <c r="C4456" s="181"/>
      <c r="D4456" s="181"/>
      <c r="E4456" s="181"/>
      <c r="F4456" s="181"/>
      <c r="G4456" s="181"/>
      <c r="H4456" s="181"/>
      <c r="I4456" s="181"/>
      <c r="J4456" s="181"/>
      <c r="K4456" s="181"/>
      <c r="L4456" s="181"/>
      <c r="M4456" s="181"/>
      <c r="N4456" s="181"/>
      <c r="O4456" s="181"/>
      <c r="P4456" s="181"/>
    </row>
    <row r="4457">
      <c r="B4457" s="292"/>
      <c r="C4457" s="181"/>
      <c r="D4457" s="181"/>
      <c r="E4457" s="181"/>
      <c r="F4457" s="181"/>
      <c r="G4457" s="181"/>
      <c r="H4457" s="181"/>
      <c r="I4457" s="181"/>
      <c r="J4457" s="181"/>
      <c r="K4457" s="181"/>
      <c r="L4457" s="181"/>
      <c r="M4457" s="181"/>
      <c r="N4457" s="181"/>
      <c r="O4457" s="181"/>
      <c r="P4457" s="181"/>
    </row>
    <row r="4458">
      <c r="B4458" s="292"/>
      <c r="C4458" s="181"/>
      <c r="D4458" s="181"/>
      <c r="E4458" s="181"/>
      <c r="F4458" s="181"/>
      <c r="G4458" s="181"/>
      <c r="H4458" s="181"/>
      <c r="I4458" s="181"/>
      <c r="J4458" s="181"/>
      <c r="K4458" s="181"/>
      <c r="L4458" s="181"/>
      <c r="M4458" s="181"/>
      <c r="N4458" s="181"/>
      <c r="O4458" s="181"/>
      <c r="P4458" s="181"/>
    </row>
    <row r="4459">
      <c r="B4459" s="292"/>
      <c r="C4459" s="181"/>
      <c r="D4459" s="181"/>
      <c r="E4459" s="181"/>
      <c r="F4459" s="181"/>
      <c r="G4459" s="181"/>
      <c r="H4459" s="181"/>
      <c r="I4459" s="181"/>
      <c r="J4459" s="181"/>
      <c r="K4459" s="181"/>
      <c r="L4459" s="181"/>
      <c r="M4459" s="181"/>
      <c r="N4459" s="181"/>
      <c r="O4459" s="181"/>
      <c r="P4459" s="181"/>
    </row>
    <row r="4460">
      <c r="B4460" s="292"/>
      <c r="C4460" s="181"/>
      <c r="D4460" s="181"/>
      <c r="E4460" s="181"/>
      <c r="F4460" s="181"/>
      <c r="G4460" s="181"/>
      <c r="H4460" s="181"/>
      <c r="I4460" s="181"/>
      <c r="J4460" s="181"/>
      <c r="K4460" s="181"/>
      <c r="L4460" s="181"/>
      <c r="M4460" s="181"/>
      <c r="N4460" s="181"/>
      <c r="O4460" s="181"/>
      <c r="P4460" s="181"/>
    </row>
    <row r="4461">
      <c r="B4461" s="292"/>
      <c r="C4461" s="181"/>
      <c r="D4461" s="181"/>
      <c r="E4461" s="181"/>
      <c r="F4461" s="181"/>
      <c r="G4461" s="181"/>
      <c r="H4461" s="181"/>
      <c r="I4461" s="181"/>
      <c r="J4461" s="181"/>
      <c r="K4461" s="181"/>
      <c r="L4461" s="181"/>
      <c r="M4461" s="181"/>
      <c r="N4461" s="181"/>
      <c r="O4461" s="181"/>
      <c r="P4461" s="181"/>
    </row>
    <row r="4462">
      <c r="B4462" s="292"/>
      <c r="C4462" s="181"/>
      <c r="D4462" s="181"/>
      <c r="E4462" s="181"/>
      <c r="F4462" s="181"/>
      <c r="G4462" s="181"/>
      <c r="H4462" s="181"/>
      <c r="I4462" s="181"/>
      <c r="J4462" s="181"/>
      <c r="K4462" s="181"/>
      <c r="L4462" s="181"/>
      <c r="M4462" s="181"/>
      <c r="N4462" s="181"/>
      <c r="O4462" s="181"/>
      <c r="P4462" s="181"/>
    </row>
    <row r="4463">
      <c r="B4463" s="292"/>
      <c r="C4463" s="181"/>
      <c r="D4463" s="181"/>
      <c r="E4463" s="181"/>
      <c r="F4463" s="181"/>
      <c r="G4463" s="181"/>
      <c r="H4463" s="181"/>
      <c r="I4463" s="181"/>
      <c r="J4463" s="181"/>
      <c r="K4463" s="181"/>
      <c r="L4463" s="181"/>
      <c r="M4463" s="181"/>
      <c r="N4463" s="181"/>
      <c r="O4463" s="181"/>
      <c r="P4463" s="181"/>
    </row>
    <row r="4464">
      <c r="B4464" s="292"/>
      <c r="C4464" s="181"/>
      <c r="D4464" s="181"/>
      <c r="E4464" s="181"/>
      <c r="F4464" s="181"/>
      <c r="G4464" s="181"/>
      <c r="H4464" s="181"/>
      <c r="I4464" s="181"/>
      <c r="J4464" s="181"/>
      <c r="K4464" s="181"/>
      <c r="L4464" s="181"/>
      <c r="M4464" s="181"/>
      <c r="N4464" s="181"/>
      <c r="O4464" s="181"/>
      <c r="P4464" s="181"/>
    </row>
    <row r="4465">
      <c r="B4465" s="292"/>
      <c r="C4465" s="181"/>
      <c r="D4465" s="181"/>
      <c r="E4465" s="181"/>
      <c r="F4465" s="181"/>
      <c r="G4465" s="181"/>
      <c r="H4465" s="181"/>
      <c r="I4465" s="181"/>
      <c r="J4465" s="181"/>
      <c r="K4465" s="181"/>
      <c r="L4465" s="181"/>
      <c r="M4465" s="181"/>
      <c r="N4465" s="181"/>
      <c r="O4465" s="181"/>
      <c r="P4465" s="181"/>
    </row>
    <row r="4466">
      <c r="B4466" s="292"/>
      <c r="C4466" s="181"/>
      <c r="D4466" s="181"/>
      <c r="E4466" s="181"/>
      <c r="F4466" s="181"/>
      <c r="G4466" s="181"/>
      <c r="H4466" s="181"/>
      <c r="I4466" s="181"/>
      <c r="J4466" s="181"/>
      <c r="K4466" s="181"/>
      <c r="L4466" s="181"/>
      <c r="M4466" s="181"/>
      <c r="N4466" s="181"/>
      <c r="O4466" s="181"/>
      <c r="P4466" s="181"/>
    </row>
    <row r="4467">
      <c r="B4467" s="292"/>
      <c r="C4467" s="181"/>
      <c r="D4467" s="181"/>
      <c r="E4467" s="181"/>
      <c r="F4467" s="181"/>
      <c r="G4467" s="181"/>
      <c r="H4467" s="181"/>
      <c r="I4467" s="181"/>
      <c r="J4467" s="181"/>
      <c r="K4467" s="181"/>
      <c r="L4467" s="181"/>
      <c r="M4467" s="181"/>
      <c r="N4467" s="181"/>
      <c r="O4467" s="181"/>
      <c r="P4467" s="181"/>
    </row>
    <row r="4468">
      <c r="B4468" s="292"/>
      <c r="C4468" s="181"/>
      <c r="D4468" s="181"/>
      <c r="E4468" s="181"/>
      <c r="F4468" s="181"/>
      <c r="G4468" s="181"/>
      <c r="H4468" s="181"/>
      <c r="I4468" s="181"/>
      <c r="J4468" s="181"/>
      <c r="K4468" s="181"/>
      <c r="L4468" s="181"/>
      <c r="M4468" s="181"/>
      <c r="N4468" s="181"/>
      <c r="O4468" s="181"/>
      <c r="P4468" s="181"/>
    </row>
    <row r="4469">
      <c r="B4469" s="292"/>
      <c r="C4469" s="181"/>
      <c r="D4469" s="181"/>
      <c r="E4469" s="181"/>
      <c r="F4469" s="181"/>
      <c r="G4469" s="181"/>
      <c r="H4469" s="181"/>
      <c r="I4469" s="181"/>
      <c r="J4469" s="181"/>
      <c r="K4469" s="181"/>
      <c r="L4469" s="181"/>
      <c r="M4469" s="181"/>
      <c r="N4469" s="181"/>
      <c r="O4469" s="181"/>
      <c r="P4469" s="181"/>
    </row>
    <row r="4470">
      <c r="B4470" s="292"/>
      <c r="C4470" s="181"/>
      <c r="D4470" s="181"/>
      <c r="E4470" s="181"/>
      <c r="F4470" s="181"/>
      <c r="G4470" s="181"/>
      <c r="H4470" s="181"/>
      <c r="I4470" s="181"/>
      <c r="J4470" s="181"/>
      <c r="K4470" s="181"/>
      <c r="L4470" s="181"/>
      <c r="M4470" s="181"/>
      <c r="N4470" s="181"/>
      <c r="O4470" s="181"/>
      <c r="P4470" s="181"/>
    </row>
    <row r="4471">
      <c r="B4471" s="292"/>
      <c r="C4471" s="181"/>
      <c r="D4471" s="181"/>
      <c r="E4471" s="181"/>
      <c r="F4471" s="181"/>
      <c r="G4471" s="181"/>
      <c r="H4471" s="181"/>
      <c r="I4471" s="181"/>
      <c r="J4471" s="181"/>
      <c r="K4471" s="181"/>
      <c r="L4471" s="181"/>
      <c r="M4471" s="181"/>
      <c r="N4471" s="181"/>
      <c r="O4471" s="181"/>
      <c r="P4471" s="181"/>
    </row>
    <row r="4472">
      <c r="B4472" s="292"/>
      <c r="C4472" s="181"/>
      <c r="D4472" s="181"/>
      <c r="E4472" s="181"/>
      <c r="F4472" s="181"/>
      <c r="G4472" s="181"/>
      <c r="H4472" s="181"/>
      <c r="I4472" s="181"/>
      <c r="J4472" s="181"/>
      <c r="K4472" s="181"/>
      <c r="L4472" s="181"/>
      <c r="M4472" s="181"/>
      <c r="N4472" s="181"/>
      <c r="O4472" s="181"/>
      <c r="P4472" s="181"/>
    </row>
    <row r="4473">
      <c r="B4473" s="292"/>
      <c r="C4473" s="181"/>
      <c r="D4473" s="181"/>
      <c r="E4473" s="181"/>
      <c r="F4473" s="181"/>
      <c r="G4473" s="181"/>
      <c r="H4473" s="181"/>
      <c r="I4473" s="181"/>
      <c r="J4473" s="181"/>
      <c r="K4473" s="181"/>
      <c r="L4473" s="181"/>
      <c r="M4473" s="181"/>
      <c r="N4473" s="181"/>
      <c r="O4473" s="181"/>
      <c r="P4473" s="181"/>
    </row>
    <row r="4474">
      <c r="B4474" s="292"/>
      <c r="C4474" s="181"/>
      <c r="D4474" s="181"/>
      <c r="E4474" s="181"/>
      <c r="F4474" s="181"/>
      <c r="G4474" s="181"/>
      <c r="H4474" s="181"/>
      <c r="I4474" s="181"/>
      <c r="J4474" s="181"/>
      <c r="K4474" s="181"/>
      <c r="L4474" s="181"/>
      <c r="M4474" s="181"/>
      <c r="N4474" s="181"/>
      <c r="O4474" s="181"/>
      <c r="P4474" s="181"/>
    </row>
    <row r="4475">
      <c r="B4475" s="292"/>
      <c r="C4475" s="181"/>
      <c r="D4475" s="181"/>
      <c r="E4475" s="181"/>
      <c r="F4475" s="181"/>
      <c r="G4475" s="181"/>
      <c r="H4475" s="181"/>
      <c r="I4475" s="181"/>
      <c r="J4475" s="181"/>
      <c r="K4475" s="181"/>
      <c r="L4475" s="181"/>
      <c r="M4475" s="181"/>
      <c r="N4475" s="181"/>
      <c r="O4475" s="181"/>
      <c r="P4475" s="181"/>
    </row>
    <row r="4476">
      <c r="B4476" s="292"/>
      <c r="C4476" s="181"/>
      <c r="D4476" s="181"/>
      <c r="E4476" s="181"/>
      <c r="F4476" s="181"/>
      <c r="G4476" s="181"/>
      <c r="H4476" s="181"/>
      <c r="I4476" s="181"/>
      <c r="J4476" s="181"/>
      <c r="K4476" s="181"/>
      <c r="L4476" s="181"/>
      <c r="M4476" s="181"/>
      <c r="N4476" s="181"/>
      <c r="O4476" s="181"/>
      <c r="P4476" s="181"/>
    </row>
    <row r="4477">
      <c r="B4477" s="292"/>
      <c r="C4477" s="181"/>
      <c r="D4477" s="181"/>
      <c r="E4477" s="181"/>
      <c r="F4477" s="181"/>
      <c r="G4477" s="181"/>
      <c r="H4477" s="181"/>
      <c r="I4477" s="181"/>
      <c r="J4477" s="181"/>
      <c r="K4477" s="181"/>
      <c r="L4477" s="181"/>
      <c r="M4477" s="181"/>
      <c r="N4477" s="181"/>
      <c r="O4477" s="181"/>
      <c r="P4477" s="181"/>
    </row>
    <row r="4478">
      <c r="B4478" s="292"/>
      <c r="C4478" s="181"/>
      <c r="D4478" s="181"/>
      <c r="E4478" s="181"/>
      <c r="F4478" s="181"/>
      <c r="G4478" s="181"/>
      <c r="H4478" s="181"/>
      <c r="I4478" s="181"/>
      <c r="J4478" s="181"/>
      <c r="K4478" s="181"/>
      <c r="L4478" s="181"/>
      <c r="M4478" s="181"/>
      <c r="N4478" s="181"/>
      <c r="O4478" s="181"/>
      <c r="P4478" s="181"/>
    </row>
    <row r="4479">
      <c r="B4479" s="292"/>
      <c r="C4479" s="181"/>
      <c r="D4479" s="181"/>
      <c r="E4479" s="181"/>
      <c r="F4479" s="181"/>
      <c r="G4479" s="181"/>
      <c r="H4479" s="181"/>
      <c r="I4479" s="181"/>
      <c r="J4479" s="181"/>
      <c r="K4479" s="181"/>
      <c r="L4479" s="181"/>
      <c r="M4479" s="181"/>
      <c r="N4479" s="181"/>
      <c r="O4479" s="181"/>
      <c r="P4479" s="181"/>
    </row>
    <row r="4480">
      <c r="B4480" s="292"/>
      <c r="C4480" s="181"/>
      <c r="D4480" s="181"/>
      <c r="E4480" s="181"/>
      <c r="F4480" s="181"/>
      <c r="G4480" s="181"/>
      <c r="H4480" s="181"/>
      <c r="I4480" s="181"/>
      <c r="J4480" s="181"/>
      <c r="K4480" s="181"/>
      <c r="L4480" s="181"/>
      <c r="M4480" s="181"/>
      <c r="N4480" s="181"/>
      <c r="O4480" s="181"/>
      <c r="P4480" s="181"/>
    </row>
    <row r="4481">
      <c r="B4481" s="292"/>
      <c r="C4481" s="181"/>
      <c r="D4481" s="181"/>
      <c r="E4481" s="181"/>
      <c r="F4481" s="181"/>
      <c r="G4481" s="181"/>
      <c r="H4481" s="181"/>
      <c r="I4481" s="181"/>
      <c r="J4481" s="181"/>
      <c r="K4481" s="181"/>
      <c r="L4481" s="181"/>
      <c r="M4481" s="181"/>
      <c r="N4481" s="181"/>
      <c r="O4481" s="181"/>
      <c r="P4481" s="181"/>
    </row>
    <row r="4482">
      <c r="B4482" s="292"/>
      <c r="C4482" s="181"/>
      <c r="D4482" s="181"/>
      <c r="E4482" s="181"/>
      <c r="F4482" s="181"/>
      <c r="G4482" s="181"/>
      <c r="H4482" s="181"/>
      <c r="I4482" s="181"/>
      <c r="J4482" s="181"/>
      <c r="K4482" s="181"/>
      <c r="L4482" s="181"/>
      <c r="M4482" s="181"/>
      <c r="N4482" s="181"/>
      <c r="O4482" s="181"/>
      <c r="P4482" s="181"/>
    </row>
    <row r="4483">
      <c r="B4483" s="292"/>
      <c r="C4483" s="181"/>
      <c r="D4483" s="181"/>
      <c r="E4483" s="181"/>
      <c r="F4483" s="181"/>
      <c r="G4483" s="181"/>
      <c r="H4483" s="181"/>
      <c r="I4483" s="181"/>
      <c r="J4483" s="181"/>
      <c r="K4483" s="181"/>
      <c r="L4483" s="181"/>
      <c r="M4483" s="181"/>
      <c r="N4483" s="181"/>
      <c r="O4483" s="181"/>
      <c r="P4483" s="181"/>
    </row>
    <row r="4484">
      <c r="B4484" s="292"/>
      <c r="C4484" s="181"/>
      <c r="D4484" s="181"/>
      <c r="E4484" s="181"/>
      <c r="F4484" s="181"/>
      <c r="G4484" s="181"/>
      <c r="H4484" s="181"/>
      <c r="I4484" s="181"/>
      <c r="J4484" s="181"/>
      <c r="K4484" s="181"/>
      <c r="L4484" s="181"/>
      <c r="M4484" s="181"/>
      <c r="N4484" s="181"/>
      <c r="O4484" s="181"/>
      <c r="P4484" s="181"/>
    </row>
    <row r="4485">
      <c r="B4485" s="292"/>
      <c r="C4485" s="181"/>
      <c r="D4485" s="181"/>
      <c r="E4485" s="181"/>
      <c r="F4485" s="181"/>
      <c r="G4485" s="181"/>
      <c r="H4485" s="181"/>
      <c r="I4485" s="181"/>
      <c r="J4485" s="181"/>
      <c r="K4485" s="181"/>
      <c r="L4485" s="181"/>
      <c r="M4485" s="181"/>
      <c r="N4485" s="181"/>
      <c r="O4485" s="181"/>
      <c r="P4485" s="181"/>
    </row>
    <row r="4486">
      <c r="B4486" s="292"/>
      <c r="C4486" s="181"/>
      <c r="D4486" s="181"/>
      <c r="E4486" s="181"/>
      <c r="F4486" s="181"/>
      <c r="G4486" s="181"/>
      <c r="H4486" s="181"/>
      <c r="I4486" s="181"/>
      <c r="J4486" s="181"/>
      <c r="K4486" s="181"/>
      <c r="L4486" s="181"/>
      <c r="M4486" s="181"/>
      <c r="N4486" s="181"/>
      <c r="O4486" s="181"/>
      <c r="P4486" s="181"/>
    </row>
    <row r="4487">
      <c r="B4487" s="292"/>
      <c r="C4487" s="181"/>
      <c r="D4487" s="181"/>
      <c r="E4487" s="181"/>
      <c r="F4487" s="181"/>
      <c r="G4487" s="181"/>
      <c r="H4487" s="181"/>
      <c r="I4487" s="181"/>
      <c r="J4487" s="181"/>
      <c r="K4487" s="181"/>
      <c r="L4487" s="181"/>
      <c r="M4487" s="181"/>
      <c r="N4487" s="181"/>
      <c r="O4487" s="181"/>
      <c r="P4487" s="181"/>
    </row>
    <row r="4488">
      <c r="B4488" s="292"/>
      <c r="C4488" s="181"/>
      <c r="D4488" s="181"/>
      <c r="E4488" s="181"/>
      <c r="F4488" s="181"/>
      <c r="G4488" s="181"/>
      <c r="H4488" s="181"/>
      <c r="I4488" s="181"/>
      <c r="J4488" s="181"/>
      <c r="K4488" s="181"/>
      <c r="L4488" s="181"/>
      <c r="M4488" s="181"/>
      <c r="N4488" s="181"/>
      <c r="O4488" s="181"/>
      <c r="P4488" s="181"/>
    </row>
    <row r="4489">
      <c r="B4489" s="292"/>
      <c r="C4489" s="181"/>
      <c r="D4489" s="181"/>
      <c r="E4489" s="181"/>
      <c r="F4489" s="181"/>
      <c r="G4489" s="181"/>
      <c r="H4489" s="181"/>
      <c r="I4489" s="181"/>
      <c r="J4489" s="181"/>
      <c r="K4489" s="181"/>
      <c r="L4489" s="181"/>
      <c r="M4489" s="181"/>
      <c r="N4489" s="181"/>
      <c r="O4489" s="181"/>
      <c r="P4489" s="181"/>
    </row>
    <row r="4490">
      <c r="B4490" s="292"/>
      <c r="C4490" s="181"/>
      <c r="D4490" s="181"/>
      <c r="E4490" s="181"/>
      <c r="F4490" s="181"/>
      <c r="G4490" s="181"/>
      <c r="H4490" s="181"/>
      <c r="I4490" s="181"/>
      <c r="J4490" s="181"/>
      <c r="K4490" s="181"/>
      <c r="L4490" s="181"/>
      <c r="M4490" s="181"/>
      <c r="N4490" s="181"/>
      <c r="O4490" s="181"/>
      <c r="P4490" s="181"/>
    </row>
    <row r="4491">
      <c r="B4491" s="292"/>
      <c r="C4491" s="181"/>
      <c r="D4491" s="181"/>
      <c r="E4491" s="181"/>
      <c r="F4491" s="181"/>
      <c r="G4491" s="181"/>
      <c r="H4491" s="181"/>
      <c r="I4491" s="181"/>
      <c r="J4491" s="181"/>
      <c r="K4491" s="181"/>
      <c r="L4491" s="181"/>
      <c r="M4491" s="181"/>
      <c r="N4491" s="181"/>
      <c r="O4491" s="181"/>
      <c r="P4491" s="181"/>
    </row>
    <row r="4492">
      <c r="B4492" s="292"/>
      <c r="C4492" s="181"/>
      <c r="D4492" s="181"/>
      <c r="E4492" s="181"/>
      <c r="F4492" s="181"/>
      <c r="G4492" s="181"/>
      <c r="H4492" s="181"/>
      <c r="I4492" s="181"/>
      <c r="J4492" s="181"/>
      <c r="K4492" s="181"/>
      <c r="L4492" s="181"/>
      <c r="M4492" s="181"/>
      <c r="N4492" s="181"/>
      <c r="O4492" s="181"/>
      <c r="P4492" s="181"/>
    </row>
    <row r="4493">
      <c r="B4493" s="292"/>
      <c r="C4493" s="181"/>
      <c r="D4493" s="181"/>
      <c r="E4493" s="181"/>
      <c r="F4493" s="181"/>
      <c r="G4493" s="181"/>
      <c r="H4493" s="181"/>
      <c r="I4493" s="181"/>
      <c r="J4493" s="181"/>
      <c r="K4493" s="181"/>
      <c r="L4493" s="181"/>
      <c r="M4493" s="181"/>
      <c r="N4493" s="181"/>
      <c r="O4493" s="181"/>
      <c r="P4493" s="181"/>
    </row>
    <row r="4494">
      <c r="B4494" s="292"/>
      <c r="C4494" s="181"/>
      <c r="D4494" s="181"/>
      <c r="E4494" s="181"/>
      <c r="F4494" s="181"/>
      <c r="G4494" s="181"/>
      <c r="H4494" s="181"/>
      <c r="I4494" s="181"/>
      <c r="J4494" s="181"/>
      <c r="K4494" s="181"/>
      <c r="L4494" s="181"/>
      <c r="M4494" s="181"/>
      <c r="N4494" s="181"/>
      <c r="O4494" s="181"/>
      <c r="P4494" s="181"/>
    </row>
    <row r="4495">
      <c r="B4495" s="292"/>
      <c r="C4495" s="181"/>
      <c r="D4495" s="181"/>
      <c r="E4495" s="181"/>
      <c r="F4495" s="181"/>
      <c r="G4495" s="181"/>
      <c r="H4495" s="181"/>
      <c r="I4495" s="181"/>
      <c r="J4495" s="181"/>
      <c r="K4495" s="181"/>
      <c r="L4495" s="181"/>
      <c r="M4495" s="181"/>
      <c r="N4495" s="181"/>
      <c r="O4495" s="181"/>
      <c r="P4495" s="181"/>
    </row>
    <row r="4496">
      <c r="B4496" s="292"/>
      <c r="C4496" s="181"/>
      <c r="D4496" s="181"/>
      <c r="E4496" s="181"/>
      <c r="F4496" s="181"/>
      <c r="G4496" s="181"/>
      <c r="H4496" s="181"/>
      <c r="I4496" s="181"/>
      <c r="J4496" s="181"/>
      <c r="K4496" s="181"/>
      <c r="L4496" s="181"/>
      <c r="M4496" s="181"/>
      <c r="N4496" s="181"/>
      <c r="O4496" s="181"/>
      <c r="P4496" s="181"/>
    </row>
    <row r="4497">
      <c r="B4497" s="292"/>
      <c r="C4497" s="181"/>
      <c r="D4497" s="181"/>
      <c r="E4497" s="181"/>
      <c r="F4497" s="181"/>
      <c r="G4497" s="181"/>
      <c r="H4497" s="181"/>
      <c r="I4497" s="181"/>
      <c r="J4497" s="181"/>
      <c r="K4497" s="181"/>
      <c r="L4497" s="181"/>
      <c r="M4497" s="181"/>
      <c r="N4497" s="181"/>
      <c r="O4497" s="181"/>
      <c r="P4497" s="181"/>
    </row>
    <row r="4498">
      <c r="B4498" s="292"/>
      <c r="C4498" s="181"/>
      <c r="D4498" s="181"/>
      <c r="E4498" s="181"/>
      <c r="F4498" s="181"/>
      <c r="G4498" s="181"/>
      <c r="H4498" s="181"/>
      <c r="I4498" s="181"/>
      <c r="J4498" s="181"/>
      <c r="K4498" s="181"/>
      <c r="L4498" s="181"/>
      <c r="M4498" s="181"/>
      <c r="N4498" s="181"/>
      <c r="O4498" s="181"/>
      <c r="P4498" s="181"/>
    </row>
    <row r="4499">
      <c r="B4499" s="292"/>
      <c r="C4499" s="181"/>
      <c r="D4499" s="181"/>
      <c r="E4499" s="181"/>
      <c r="F4499" s="181"/>
      <c r="G4499" s="181"/>
      <c r="H4499" s="181"/>
      <c r="I4499" s="181"/>
      <c r="J4499" s="181"/>
      <c r="K4499" s="181"/>
      <c r="L4499" s="181"/>
      <c r="M4499" s="181"/>
      <c r="N4499" s="181"/>
      <c r="O4499" s="181"/>
      <c r="P4499" s="181"/>
    </row>
    <row r="4500">
      <c r="B4500" s="292"/>
      <c r="C4500" s="181"/>
      <c r="D4500" s="181"/>
      <c r="E4500" s="181"/>
      <c r="F4500" s="181"/>
      <c r="G4500" s="181"/>
      <c r="H4500" s="181"/>
      <c r="I4500" s="181"/>
      <c r="J4500" s="181"/>
      <c r="K4500" s="181"/>
      <c r="L4500" s="181"/>
      <c r="M4500" s="181"/>
      <c r="N4500" s="181"/>
      <c r="O4500" s="181"/>
      <c r="P4500" s="181"/>
    </row>
    <row r="4501">
      <c r="B4501" s="292"/>
      <c r="C4501" s="181"/>
      <c r="D4501" s="181"/>
      <c r="E4501" s="181"/>
      <c r="F4501" s="181"/>
      <c r="G4501" s="181"/>
      <c r="H4501" s="181"/>
      <c r="I4501" s="181"/>
      <c r="J4501" s="181"/>
      <c r="K4501" s="181"/>
      <c r="L4501" s="181"/>
      <c r="M4501" s="181"/>
      <c r="N4501" s="181"/>
      <c r="O4501" s="181"/>
      <c r="P4501" s="181"/>
    </row>
    <row r="4502">
      <c r="B4502" s="292"/>
      <c r="C4502" s="181"/>
      <c r="D4502" s="181"/>
      <c r="E4502" s="181"/>
      <c r="F4502" s="181"/>
      <c r="G4502" s="181"/>
      <c r="H4502" s="181"/>
      <c r="I4502" s="181"/>
      <c r="J4502" s="181"/>
      <c r="K4502" s="181"/>
      <c r="L4502" s="181"/>
      <c r="M4502" s="181"/>
      <c r="N4502" s="181"/>
      <c r="O4502" s="181"/>
      <c r="P4502" s="181"/>
    </row>
    <row r="4503">
      <c r="B4503" s="292"/>
      <c r="C4503" s="181"/>
      <c r="D4503" s="181"/>
      <c r="E4503" s="181"/>
      <c r="F4503" s="181"/>
      <c r="G4503" s="181"/>
      <c r="H4503" s="181"/>
      <c r="I4503" s="181"/>
      <c r="J4503" s="181"/>
      <c r="K4503" s="181"/>
      <c r="L4503" s="181"/>
      <c r="M4503" s="181"/>
      <c r="N4503" s="181"/>
      <c r="O4503" s="181"/>
      <c r="P4503" s="181"/>
    </row>
    <row r="4504">
      <c r="B4504" s="292"/>
      <c r="C4504" s="181"/>
      <c r="D4504" s="181"/>
      <c r="E4504" s="181"/>
      <c r="F4504" s="181"/>
      <c r="G4504" s="181"/>
      <c r="H4504" s="181"/>
      <c r="I4504" s="181"/>
      <c r="J4504" s="181"/>
      <c r="K4504" s="181"/>
      <c r="L4504" s="181"/>
      <c r="M4504" s="181"/>
      <c r="N4504" s="181"/>
      <c r="O4504" s="181"/>
      <c r="P4504" s="181"/>
    </row>
    <row r="4505">
      <c r="B4505" s="292"/>
      <c r="C4505" s="181"/>
      <c r="D4505" s="181"/>
      <c r="E4505" s="181"/>
      <c r="F4505" s="181"/>
      <c r="G4505" s="181"/>
      <c r="H4505" s="181"/>
      <c r="I4505" s="181"/>
      <c r="J4505" s="181"/>
      <c r="K4505" s="181"/>
      <c r="L4505" s="181"/>
      <c r="M4505" s="181"/>
      <c r="N4505" s="181"/>
      <c r="O4505" s="181"/>
      <c r="P4505" s="181"/>
    </row>
    <row r="4506">
      <c r="B4506" s="292"/>
      <c r="C4506" s="181"/>
      <c r="D4506" s="181"/>
      <c r="E4506" s="181"/>
      <c r="F4506" s="181"/>
      <c r="G4506" s="181"/>
      <c r="H4506" s="181"/>
      <c r="I4506" s="181"/>
      <c r="J4506" s="181"/>
      <c r="K4506" s="181"/>
      <c r="L4506" s="181"/>
      <c r="M4506" s="181"/>
      <c r="N4506" s="181"/>
      <c r="O4506" s="181"/>
      <c r="P4506" s="181"/>
    </row>
    <row r="4507">
      <c r="B4507" s="292"/>
      <c r="C4507" s="181"/>
      <c r="D4507" s="181"/>
      <c r="E4507" s="181"/>
      <c r="F4507" s="181"/>
      <c r="G4507" s="181"/>
      <c r="H4507" s="181"/>
      <c r="I4507" s="181"/>
      <c r="J4507" s="181"/>
      <c r="K4507" s="181"/>
      <c r="L4507" s="181"/>
      <c r="M4507" s="181"/>
      <c r="N4507" s="181"/>
      <c r="O4507" s="181"/>
      <c r="P4507" s="181"/>
    </row>
    <row r="4508">
      <c r="B4508" s="292"/>
      <c r="C4508" s="181"/>
      <c r="D4508" s="181"/>
      <c r="E4508" s="181"/>
      <c r="F4508" s="181"/>
      <c r="G4508" s="181"/>
      <c r="H4508" s="181"/>
      <c r="I4508" s="181"/>
      <c r="J4508" s="181"/>
      <c r="K4508" s="181"/>
      <c r="L4508" s="181"/>
      <c r="M4508" s="181"/>
      <c r="N4508" s="181"/>
      <c r="O4508" s="181"/>
      <c r="P4508" s="181"/>
    </row>
    <row r="4509">
      <c r="B4509" s="292"/>
      <c r="C4509" s="181"/>
      <c r="D4509" s="181"/>
      <c r="E4509" s="181"/>
      <c r="F4509" s="181"/>
      <c r="G4509" s="181"/>
      <c r="H4509" s="181"/>
      <c r="I4509" s="181"/>
      <c r="J4509" s="181"/>
      <c r="K4509" s="181"/>
      <c r="L4509" s="181"/>
      <c r="M4509" s="181"/>
      <c r="N4509" s="181"/>
      <c r="O4509" s="181"/>
      <c r="P4509" s="181"/>
    </row>
    <row r="4510">
      <c r="B4510" s="292"/>
      <c r="C4510" s="181"/>
      <c r="D4510" s="181"/>
      <c r="E4510" s="181"/>
      <c r="F4510" s="181"/>
      <c r="G4510" s="181"/>
      <c r="H4510" s="181"/>
      <c r="I4510" s="181"/>
      <c r="J4510" s="181"/>
      <c r="K4510" s="181"/>
      <c r="L4510" s="181"/>
      <c r="M4510" s="181"/>
      <c r="N4510" s="181"/>
      <c r="O4510" s="181"/>
      <c r="P4510" s="181"/>
    </row>
    <row r="4511">
      <c r="B4511" s="292"/>
      <c r="C4511" s="181"/>
      <c r="D4511" s="181"/>
      <c r="E4511" s="181"/>
      <c r="F4511" s="181"/>
      <c r="G4511" s="181"/>
      <c r="H4511" s="181"/>
      <c r="I4511" s="181"/>
      <c r="J4511" s="181"/>
      <c r="K4511" s="181"/>
      <c r="L4511" s="181"/>
      <c r="M4511" s="181"/>
      <c r="N4511" s="181"/>
      <c r="O4511" s="181"/>
      <c r="P4511" s="181"/>
    </row>
    <row r="4512">
      <c r="B4512" s="292"/>
      <c r="C4512" s="181"/>
      <c r="D4512" s="181"/>
      <c r="E4512" s="181"/>
      <c r="F4512" s="181"/>
      <c r="G4512" s="181"/>
      <c r="H4512" s="181"/>
      <c r="I4512" s="181"/>
      <c r="J4512" s="181"/>
      <c r="K4512" s="181"/>
      <c r="L4512" s="181"/>
      <c r="M4512" s="181"/>
      <c r="N4512" s="181"/>
      <c r="O4512" s="181"/>
      <c r="P4512" s="181"/>
    </row>
    <row r="4513">
      <c r="B4513" s="292"/>
      <c r="C4513" s="181"/>
      <c r="D4513" s="181"/>
      <c r="E4513" s="181"/>
      <c r="F4513" s="181"/>
      <c r="G4513" s="181"/>
      <c r="H4513" s="181"/>
      <c r="I4513" s="181"/>
      <c r="J4513" s="181"/>
      <c r="K4513" s="181"/>
      <c r="L4513" s="181"/>
      <c r="M4513" s="181"/>
      <c r="N4513" s="181"/>
      <c r="O4513" s="181"/>
      <c r="P4513" s="181"/>
    </row>
    <row r="4514">
      <c r="B4514" s="292"/>
      <c r="C4514" s="181"/>
      <c r="D4514" s="181"/>
      <c r="E4514" s="181"/>
      <c r="F4514" s="181"/>
      <c r="G4514" s="181"/>
      <c r="H4514" s="181"/>
      <c r="I4514" s="181"/>
      <c r="J4514" s="181"/>
      <c r="K4514" s="181"/>
      <c r="L4514" s="181"/>
      <c r="M4514" s="181"/>
      <c r="N4514" s="181"/>
      <c r="O4514" s="181"/>
      <c r="P4514" s="181"/>
    </row>
    <row r="4515">
      <c r="B4515" s="292"/>
      <c r="C4515" s="181"/>
      <c r="D4515" s="181"/>
      <c r="E4515" s="181"/>
      <c r="F4515" s="181"/>
      <c r="G4515" s="181"/>
      <c r="H4515" s="181"/>
      <c r="I4515" s="181"/>
      <c r="J4515" s="181"/>
      <c r="K4515" s="181"/>
      <c r="L4515" s="181"/>
      <c r="M4515" s="181"/>
      <c r="N4515" s="181"/>
      <c r="O4515" s="181"/>
      <c r="P4515" s="181"/>
    </row>
    <row r="4516">
      <c r="B4516" s="292"/>
      <c r="C4516" s="181"/>
      <c r="D4516" s="181"/>
      <c r="E4516" s="181"/>
      <c r="F4516" s="181"/>
      <c r="G4516" s="181"/>
      <c r="H4516" s="181"/>
      <c r="I4516" s="181"/>
      <c r="J4516" s="181"/>
      <c r="K4516" s="181"/>
      <c r="L4516" s="181"/>
      <c r="M4516" s="181"/>
      <c r="N4516" s="181"/>
      <c r="O4516" s="181"/>
      <c r="P4516" s="181"/>
    </row>
    <row r="4517">
      <c r="B4517" s="292"/>
      <c r="C4517" s="181"/>
      <c r="D4517" s="181"/>
      <c r="E4517" s="181"/>
      <c r="F4517" s="181"/>
      <c r="G4517" s="181"/>
      <c r="H4517" s="181"/>
      <c r="I4517" s="181"/>
      <c r="J4517" s="181"/>
      <c r="K4517" s="181"/>
      <c r="L4517" s="181"/>
      <c r="M4517" s="181"/>
      <c r="N4517" s="181"/>
      <c r="O4517" s="181"/>
      <c r="P4517" s="181"/>
    </row>
    <row r="4518">
      <c r="B4518" s="292"/>
      <c r="C4518" s="181"/>
      <c r="D4518" s="181"/>
      <c r="E4518" s="181"/>
      <c r="F4518" s="181"/>
      <c r="G4518" s="181"/>
      <c r="H4518" s="181"/>
      <c r="I4518" s="181"/>
      <c r="J4518" s="181"/>
      <c r="K4518" s="181"/>
      <c r="L4518" s="181"/>
      <c r="M4518" s="181"/>
      <c r="N4518" s="181"/>
      <c r="O4518" s="181"/>
      <c r="P4518" s="181"/>
    </row>
    <row r="4519">
      <c r="B4519" s="292"/>
      <c r="C4519" s="181"/>
      <c r="D4519" s="181"/>
      <c r="E4519" s="181"/>
      <c r="F4519" s="181"/>
      <c r="G4519" s="181"/>
      <c r="H4519" s="181"/>
      <c r="I4519" s="181"/>
      <c r="J4519" s="181"/>
      <c r="K4519" s="181"/>
      <c r="L4519" s="181"/>
      <c r="M4519" s="181"/>
      <c r="N4519" s="181"/>
      <c r="O4519" s="181"/>
      <c r="P4519" s="181"/>
    </row>
    <row r="4520">
      <c r="B4520" s="292"/>
      <c r="C4520" s="181"/>
      <c r="D4520" s="181"/>
      <c r="E4520" s="181"/>
      <c r="F4520" s="181"/>
      <c r="G4520" s="181"/>
      <c r="H4520" s="181"/>
      <c r="I4520" s="181"/>
      <c r="J4520" s="181"/>
      <c r="K4520" s="181"/>
      <c r="L4520" s="181"/>
      <c r="M4520" s="181"/>
      <c r="N4520" s="181"/>
      <c r="O4520" s="181"/>
      <c r="P4520" s="181"/>
    </row>
    <row r="4521">
      <c r="B4521" s="292"/>
      <c r="C4521" s="181"/>
      <c r="D4521" s="181"/>
      <c r="E4521" s="181"/>
      <c r="F4521" s="181"/>
      <c r="G4521" s="181"/>
      <c r="H4521" s="181"/>
      <c r="I4521" s="181"/>
      <c r="J4521" s="181"/>
      <c r="K4521" s="181"/>
      <c r="L4521" s="181"/>
      <c r="M4521" s="181"/>
      <c r="N4521" s="181"/>
      <c r="O4521" s="181"/>
      <c r="P4521" s="181"/>
    </row>
    <row r="4522">
      <c r="B4522" s="292"/>
      <c r="C4522" s="181"/>
      <c r="D4522" s="181"/>
      <c r="E4522" s="181"/>
      <c r="F4522" s="181"/>
      <c r="G4522" s="181"/>
      <c r="H4522" s="181"/>
      <c r="I4522" s="181"/>
      <c r="J4522" s="181"/>
      <c r="K4522" s="181"/>
      <c r="L4522" s="181"/>
      <c r="M4522" s="181"/>
      <c r="N4522" s="181"/>
      <c r="O4522" s="181"/>
      <c r="P4522" s="181"/>
    </row>
    <row r="4523">
      <c r="B4523" s="292"/>
      <c r="C4523" s="181"/>
      <c r="D4523" s="181"/>
      <c r="E4523" s="181"/>
      <c r="F4523" s="181"/>
      <c r="G4523" s="181"/>
      <c r="H4523" s="181"/>
      <c r="I4523" s="181"/>
      <c r="J4523" s="181"/>
      <c r="K4523" s="181"/>
      <c r="L4523" s="181"/>
      <c r="M4523" s="181"/>
      <c r="N4523" s="181"/>
      <c r="O4523" s="181"/>
      <c r="P4523" s="181"/>
    </row>
    <row r="4524">
      <c r="B4524" s="292"/>
      <c r="C4524" s="181"/>
      <c r="D4524" s="181"/>
      <c r="E4524" s="181"/>
      <c r="F4524" s="181"/>
      <c r="G4524" s="181"/>
      <c r="H4524" s="181"/>
      <c r="I4524" s="181"/>
      <c r="J4524" s="181"/>
      <c r="K4524" s="181"/>
      <c r="L4524" s="181"/>
      <c r="M4524" s="181"/>
      <c r="N4524" s="181"/>
      <c r="O4524" s="181"/>
      <c r="P4524" s="181"/>
    </row>
    <row r="4525">
      <c r="B4525" s="292"/>
      <c r="C4525" s="181"/>
      <c r="D4525" s="181"/>
      <c r="E4525" s="181"/>
      <c r="F4525" s="181"/>
      <c r="G4525" s="181"/>
      <c r="H4525" s="181"/>
      <c r="I4525" s="181"/>
      <c r="J4525" s="181"/>
      <c r="K4525" s="181"/>
      <c r="L4525" s="181"/>
      <c r="M4525" s="181"/>
      <c r="N4525" s="181"/>
      <c r="O4525" s="181"/>
      <c r="P4525" s="181"/>
    </row>
    <row r="4526">
      <c r="B4526" s="292"/>
      <c r="C4526" s="181"/>
      <c r="D4526" s="181"/>
      <c r="E4526" s="181"/>
      <c r="F4526" s="181"/>
      <c r="G4526" s="181"/>
      <c r="H4526" s="181"/>
      <c r="I4526" s="181"/>
      <c r="J4526" s="181"/>
      <c r="K4526" s="181"/>
      <c r="L4526" s="181"/>
      <c r="M4526" s="181"/>
      <c r="N4526" s="181"/>
      <c r="O4526" s="181"/>
      <c r="P4526" s="181"/>
    </row>
    <row r="4527">
      <c r="B4527" s="292"/>
      <c r="C4527" s="181"/>
      <c r="D4527" s="181"/>
      <c r="E4527" s="181"/>
      <c r="F4527" s="181"/>
      <c r="G4527" s="181"/>
      <c r="H4527" s="181"/>
      <c r="I4527" s="181"/>
      <c r="J4527" s="181"/>
      <c r="K4527" s="181"/>
      <c r="L4527" s="181"/>
      <c r="M4527" s="181"/>
      <c r="N4527" s="181"/>
      <c r="O4527" s="181"/>
      <c r="P4527" s="181"/>
    </row>
    <row r="4528">
      <c r="B4528" s="292"/>
      <c r="C4528" s="181"/>
      <c r="D4528" s="181"/>
      <c r="E4528" s="181"/>
      <c r="F4528" s="181"/>
      <c r="G4528" s="181"/>
      <c r="H4528" s="181"/>
      <c r="I4528" s="181"/>
      <c r="J4528" s="181"/>
      <c r="K4528" s="181"/>
      <c r="L4528" s="181"/>
      <c r="M4528" s="181"/>
      <c r="N4528" s="181"/>
      <c r="O4528" s="181"/>
      <c r="P4528" s="181"/>
    </row>
    <row r="4529">
      <c r="B4529" s="292"/>
      <c r="C4529" s="181"/>
      <c r="D4529" s="181"/>
      <c r="E4529" s="181"/>
      <c r="F4529" s="181"/>
      <c r="G4529" s="181"/>
      <c r="H4529" s="181"/>
      <c r="I4529" s="181"/>
      <c r="J4529" s="181"/>
      <c r="K4529" s="181"/>
      <c r="L4529" s="181"/>
      <c r="M4529" s="181"/>
      <c r="N4529" s="181"/>
      <c r="O4529" s="181"/>
      <c r="P4529" s="181"/>
    </row>
    <row r="4530">
      <c r="B4530" s="292"/>
      <c r="C4530" s="181"/>
      <c r="D4530" s="181"/>
      <c r="E4530" s="181"/>
      <c r="F4530" s="181"/>
      <c r="G4530" s="181"/>
      <c r="H4530" s="181"/>
      <c r="I4530" s="181"/>
      <c r="J4530" s="181"/>
      <c r="K4530" s="181"/>
      <c r="L4530" s="181"/>
      <c r="M4530" s="181"/>
      <c r="N4530" s="181"/>
      <c r="O4530" s="181"/>
      <c r="P4530" s="181"/>
    </row>
    <row r="4531">
      <c r="B4531" s="292"/>
      <c r="C4531" s="181"/>
      <c r="D4531" s="181"/>
      <c r="E4531" s="181"/>
      <c r="F4531" s="181"/>
      <c r="G4531" s="181"/>
      <c r="H4531" s="181"/>
      <c r="I4531" s="181"/>
      <c r="J4531" s="181"/>
      <c r="K4531" s="181"/>
      <c r="L4531" s="181"/>
      <c r="M4531" s="181"/>
      <c r="N4531" s="181"/>
      <c r="O4531" s="181"/>
      <c r="P4531" s="181"/>
    </row>
    <row r="4532">
      <c r="B4532" s="292"/>
      <c r="C4532" s="181"/>
      <c r="D4532" s="181"/>
      <c r="E4532" s="181"/>
      <c r="F4532" s="181"/>
      <c r="G4532" s="181"/>
      <c r="H4532" s="181"/>
      <c r="I4532" s="181"/>
      <c r="J4532" s="181"/>
      <c r="K4532" s="181"/>
      <c r="L4532" s="181"/>
      <c r="M4532" s="181"/>
      <c r="N4532" s="181"/>
      <c r="O4532" s="181"/>
      <c r="P4532" s="181"/>
    </row>
    <row r="4533">
      <c r="B4533" s="292"/>
      <c r="C4533" s="181"/>
      <c r="D4533" s="181"/>
      <c r="E4533" s="181"/>
      <c r="F4533" s="181"/>
      <c r="G4533" s="181"/>
      <c r="H4533" s="181"/>
      <c r="I4533" s="181"/>
      <c r="J4533" s="181"/>
      <c r="K4533" s="181"/>
      <c r="L4533" s="181"/>
      <c r="M4533" s="181"/>
      <c r="N4533" s="181"/>
      <c r="O4533" s="181"/>
      <c r="P4533" s="181"/>
    </row>
    <row r="4534">
      <c r="B4534" s="292"/>
      <c r="C4534" s="181"/>
      <c r="D4534" s="181"/>
      <c r="E4534" s="181"/>
      <c r="F4534" s="181"/>
      <c r="G4534" s="181"/>
      <c r="H4534" s="181"/>
      <c r="I4534" s="181"/>
      <c r="J4534" s="181"/>
      <c r="K4534" s="181"/>
      <c r="L4534" s="181"/>
      <c r="M4534" s="181"/>
      <c r="N4534" s="181"/>
      <c r="O4534" s="181"/>
      <c r="P4534" s="181"/>
    </row>
    <row r="4535">
      <c r="B4535" s="292"/>
      <c r="C4535" s="181"/>
      <c r="D4535" s="181"/>
      <c r="E4535" s="181"/>
      <c r="F4535" s="181"/>
      <c r="G4535" s="181"/>
      <c r="H4535" s="181"/>
      <c r="I4535" s="181"/>
      <c r="J4535" s="181"/>
      <c r="K4535" s="181"/>
      <c r="L4535" s="181"/>
      <c r="M4535" s="181"/>
      <c r="N4535" s="181"/>
      <c r="O4535" s="181"/>
      <c r="P4535" s="181"/>
    </row>
    <row r="4536">
      <c r="B4536" s="292"/>
      <c r="C4536" s="181"/>
      <c r="D4536" s="181"/>
      <c r="E4536" s="181"/>
      <c r="F4536" s="181"/>
      <c r="G4536" s="181"/>
      <c r="H4536" s="181"/>
      <c r="I4536" s="181"/>
      <c r="J4536" s="181"/>
      <c r="K4536" s="181"/>
      <c r="L4536" s="181"/>
      <c r="M4536" s="181"/>
      <c r="N4536" s="181"/>
      <c r="O4536" s="181"/>
      <c r="P4536" s="181"/>
    </row>
    <row r="4537">
      <c r="B4537" s="292"/>
      <c r="C4537" s="181"/>
      <c r="D4537" s="181"/>
      <c r="E4537" s="181"/>
      <c r="F4537" s="181"/>
      <c r="G4537" s="181"/>
      <c r="H4537" s="181"/>
      <c r="I4537" s="181"/>
      <c r="J4537" s="181"/>
      <c r="K4537" s="181"/>
      <c r="L4537" s="181"/>
      <c r="M4537" s="181"/>
      <c r="N4537" s="181"/>
      <c r="O4537" s="181"/>
      <c r="P4537" s="181"/>
    </row>
    <row r="4538">
      <c r="B4538" s="292"/>
      <c r="C4538" s="181"/>
      <c r="D4538" s="181"/>
      <c r="E4538" s="181"/>
      <c r="F4538" s="181"/>
      <c r="G4538" s="181"/>
      <c r="H4538" s="181"/>
      <c r="I4538" s="181"/>
      <c r="J4538" s="181"/>
      <c r="K4538" s="181"/>
      <c r="L4538" s="181"/>
      <c r="M4538" s="181"/>
      <c r="N4538" s="181"/>
      <c r="O4538" s="181"/>
      <c r="P4538" s="181"/>
    </row>
    <row r="4539">
      <c r="B4539" s="292"/>
      <c r="C4539" s="181"/>
      <c r="D4539" s="181"/>
      <c r="E4539" s="181"/>
      <c r="F4539" s="181"/>
      <c r="G4539" s="181"/>
      <c r="H4539" s="181"/>
      <c r="I4539" s="181"/>
      <c r="J4539" s="181"/>
      <c r="K4539" s="181"/>
      <c r="L4539" s="181"/>
      <c r="M4539" s="181"/>
      <c r="N4539" s="181"/>
      <c r="O4539" s="181"/>
      <c r="P4539" s="181"/>
    </row>
    <row r="4540">
      <c r="B4540" s="292"/>
      <c r="C4540" s="181"/>
      <c r="D4540" s="181"/>
      <c r="E4540" s="181"/>
      <c r="F4540" s="181"/>
      <c r="G4540" s="181"/>
      <c r="H4540" s="181"/>
      <c r="I4540" s="181"/>
      <c r="J4540" s="181"/>
      <c r="K4540" s="181"/>
      <c r="L4540" s="181"/>
      <c r="M4540" s="181"/>
      <c r="N4540" s="181"/>
      <c r="O4540" s="181"/>
      <c r="P4540" s="181"/>
    </row>
    <row r="4541">
      <c r="B4541" s="292"/>
      <c r="C4541" s="181"/>
      <c r="D4541" s="181"/>
      <c r="E4541" s="181"/>
      <c r="F4541" s="181"/>
      <c r="G4541" s="181"/>
      <c r="H4541" s="181"/>
      <c r="I4541" s="181"/>
      <c r="J4541" s="181"/>
      <c r="K4541" s="181"/>
      <c r="L4541" s="181"/>
      <c r="M4541" s="181"/>
      <c r="N4541" s="181"/>
      <c r="O4541" s="181"/>
      <c r="P4541" s="181"/>
    </row>
    <row r="4542">
      <c r="B4542" s="292"/>
      <c r="C4542" s="181"/>
      <c r="D4542" s="181"/>
      <c r="E4542" s="181"/>
      <c r="F4542" s="181"/>
      <c r="G4542" s="181"/>
      <c r="H4542" s="181"/>
      <c r="I4542" s="181"/>
      <c r="J4542" s="181"/>
      <c r="K4542" s="181"/>
      <c r="L4542" s="181"/>
      <c r="M4542" s="181"/>
      <c r="N4542" s="181"/>
      <c r="O4542" s="181"/>
      <c r="P4542" s="181"/>
    </row>
    <row r="4543">
      <c r="B4543" s="292"/>
      <c r="C4543" s="181"/>
      <c r="D4543" s="181"/>
      <c r="E4543" s="181"/>
      <c r="F4543" s="181"/>
      <c r="G4543" s="181"/>
      <c r="H4543" s="181"/>
      <c r="I4543" s="181"/>
      <c r="J4543" s="181"/>
      <c r="K4543" s="181"/>
      <c r="L4543" s="181"/>
      <c r="M4543" s="181"/>
      <c r="N4543" s="181"/>
      <c r="O4543" s="181"/>
      <c r="P4543" s="181"/>
    </row>
    <row r="4544">
      <c r="B4544" s="292"/>
      <c r="C4544" s="181"/>
      <c r="D4544" s="181"/>
      <c r="E4544" s="181"/>
      <c r="F4544" s="181"/>
      <c r="G4544" s="181"/>
      <c r="H4544" s="181"/>
      <c r="I4544" s="181"/>
      <c r="J4544" s="181"/>
      <c r="K4544" s="181"/>
      <c r="L4544" s="181"/>
      <c r="M4544" s="181"/>
      <c r="N4544" s="181"/>
      <c r="O4544" s="181"/>
      <c r="P4544" s="181"/>
    </row>
    <row r="4545">
      <c r="B4545" s="292"/>
      <c r="C4545" s="181"/>
      <c r="D4545" s="181"/>
      <c r="E4545" s="181"/>
      <c r="F4545" s="181"/>
      <c r="G4545" s="181"/>
      <c r="H4545" s="181"/>
      <c r="I4545" s="181"/>
      <c r="J4545" s="181"/>
      <c r="K4545" s="181"/>
      <c r="L4545" s="181"/>
      <c r="M4545" s="181"/>
      <c r="N4545" s="181"/>
      <c r="O4545" s="181"/>
      <c r="P4545" s="181"/>
    </row>
    <row r="4546">
      <c r="B4546" s="292"/>
      <c r="C4546" s="181"/>
      <c r="D4546" s="181"/>
      <c r="E4546" s="181"/>
      <c r="F4546" s="181"/>
      <c r="G4546" s="181"/>
      <c r="H4546" s="181"/>
      <c r="I4546" s="181"/>
      <c r="J4546" s="181"/>
      <c r="K4546" s="181"/>
      <c r="L4546" s="181"/>
      <c r="M4546" s="181"/>
      <c r="N4546" s="181"/>
      <c r="O4546" s="181"/>
      <c r="P4546" s="181"/>
    </row>
    <row r="4547">
      <c r="B4547" s="292"/>
      <c r="C4547" s="181"/>
      <c r="D4547" s="181"/>
      <c r="E4547" s="181"/>
      <c r="F4547" s="181"/>
      <c r="G4547" s="181"/>
      <c r="H4547" s="181"/>
      <c r="I4547" s="181"/>
      <c r="J4547" s="181"/>
      <c r="K4547" s="181"/>
      <c r="L4547" s="181"/>
      <c r="M4547" s="181"/>
      <c r="N4547" s="181"/>
      <c r="O4547" s="181"/>
      <c r="P4547" s="181"/>
    </row>
    <row r="4548">
      <c r="B4548" s="292"/>
      <c r="C4548" s="181"/>
      <c r="D4548" s="181"/>
      <c r="E4548" s="181"/>
      <c r="F4548" s="181"/>
      <c r="G4548" s="181"/>
      <c r="H4548" s="181"/>
      <c r="I4548" s="181"/>
      <c r="J4548" s="181"/>
      <c r="K4548" s="181"/>
      <c r="L4548" s="181"/>
      <c r="M4548" s="181"/>
      <c r="N4548" s="181"/>
      <c r="O4548" s="181"/>
      <c r="P4548" s="181"/>
    </row>
    <row r="4549">
      <c r="B4549" s="292"/>
      <c r="C4549" s="181"/>
      <c r="D4549" s="181"/>
      <c r="E4549" s="181"/>
      <c r="F4549" s="181"/>
      <c r="G4549" s="181"/>
      <c r="H4549" s="181"/>
      <c r="I4549" s="181"/>
      <c r="J4549" s="181"/>
      <c r="K4549" s="181"/>
      <c r="L4549" s="181"/>
      <c r="M4549" s="181"/>
      <c r="N4549" s="181"/>
      <c r="O4549" s="181"/>
      <c r="P4549" s="181"/>
    </row>
    <row r="4550">
      <c r="B4550" s="292"/>
      <c r="C4550" s="181"/>
      <c r="D4550" s="181"/>
      <c r="E4550" s="181"/>
      <c r="F4550" s="181"/>
      <c r="G4550" s="181"/>
      <c r="H4550" s="181"/>
      <c r="I4550" s="181"/>
      <c r="J4550" s="181"/>
      <c r="K4550" s="181"/>
      <c r="L4550" s="181"/>
      <c r="M4550" s="181"/>
      <c r="N4550" s="181"/>
      <c r="O4550" s="181"/>
      <c r="P4550" s="181"/>
    </row>
    <row r="4551">
      <c r="B4551" s="292"/>
      <c r="C4551" s="181"/>
      <c r="D4551" s="181"/>
      <c r="E4551" s="181"/>
      <c r="F4551" s="181"/>
      <c r="G4551" s="181"/>
      <c r="H4551" s="181"/>
      <c r="I4551" s="181"/>
      <c r="J4551" s="181"/>
      <c r="K4551" s="181"/>
      <c r="L4551" s="181"/>
      <c r="M4551" s="181"/>
      <c r="N4551" s="181"/>
      <c r="O4551" s="181"/>
      <c r="P4551" s="181"/>
    </row>
    <row r="4552">
      <c r="B4552" s="292"/>
      <c r="C4552" s="181"/>
      <c r="D4552" s="181"/>
      <c r="E4552" s="181"/>
      <c r="F4552" s="181"/>
      <c r="G4552" s="181"/>
      <c r="H4552" s="181"/>
      <c r="I4552" s="181"/>
      <c r="J4552" s="181"/>
      <c r="K4552" s="181"/>
      <c r="L4552" s="181"/>
      <c r="M4552" s="181"/>
      <c r="N4552" s="181"/>
      <c r="O4552" s="181"/>
      <c r="P4552" s="181"/>
    </row>
    <row r="4553">
      <c r="B4553" s="292"/>
      <c r="C4553" s="181"/>
      <c r="D4553" s="181"/>
      <c r="E4553" s="181"/>
      <c r="F4553" s="181"/>
      <c r="G4553" s="181"/>
      <c r="H4553" s="181"/>
      <c r="I4553" s="181"/>
      <c r="J4553" s="181"/>
      <c r="K4553" s="181"/>
      <c r="L4553" s="181"/>
      <c r="M4553" s="181"/>
      <c r="N4553" s="181"/>
      <c r="O4553" s="181"/>
      <c r="P4553" s="181"/>
    </row>
    <row r="4554">
      <c r="B4554" s="292"/>
      <c r="C4554" s="181"/>
      <c r="D4554" s="181"/>
      <c r="E4554" s="181"/>
      <c r="F4554" s="181"/>
      <c r="G4554" s="181"/>
      <c r="H4554" s="181"/>
      <c r="I4554" s="181"/>
      <c r="J4554" s="181"/>
      <c r="K4554" s="181"/>
      <c r="L4554" s="181"/>
      <c r="M4554" s="181"/>
      <c r="N4554" s="181"/>
      <c r="O4554" s="181"/>
      <c r="P4554" s="181"/>
    </row>
    <row r="4555">
      <c r="B4555" s="292"/>
      <c r="C4555" s="181"/>
      <c r="D4555" s="181"/>
      <c r="E4555" s="181"/>
      <c r="F4555" s="181"/>
      <c r="G4555" s="181"/>
      <c r="H4555" s="181"/>
      <c r="I4555" s="181"/>
      <c r="J4555" s="181"/>
      <c r="K4555" s="181"/>
      <c r="L4555" s="181"/>
      <c r="M4555" s="181"/>
      <c r="N4555" s="181"/>
      <c r="O4555" s="181"/>
      <c r="P4555" s="181"/>
    </row>
    <row r="4556">
      <c r="B4556" s="292"/>
      <c r="C4556" s="181"/>
      <c r="D4556" s="181"/>
      <c r="E4556" s="181"/>
      <c r="F4556" s="181"/>
      <c r="G4556" s="181"/>
      <c r="H4556" s="181"/>
      <c r="I4556" s="181"/>
      <c r="J4556" s="181"/>
      <c r="K4556" s="181"/>
      <c r="L4556" s="181"/>
      <c r="M4556" s="181"/>
      <c r="N4556" s="181"/>
      <c r="O4556" s="181"/>
      <c r="P4556" s="181"/>
    </row>
    <row r="4557">
      <c r="B4557" s="292"/>
      <c r="C4557" s="181"/>
      <c r="D4557" s="181"/>
      <c r="E4557" s="181"/>
      <c r="F4557" s="181"/>
      <c r="G4557" s="181"/>
      <c r="H4557" s="181"/>
      <c r="I4557" s="181"/>
      <c r="J4557" s="181"/>
      <c r="K4557" s="181"/>
      <c r="L4557" s="181"/>
      <c r="M4557" s="181"/>
      <c r="N4557" s="181"/>
      <c r="O4557" s="181"/>
      <c r="P4557" s="181"/>
    </row>
    <row r="4558">
      <c r="B4558" s="292"/>
      <c r="C4558" s="181"/>
      <c r="D4558" s="181"/>
      <c r="E4558" s="181"/>
      <c r="F4558" s="181"/>
      <c r="G4558" s="181"/>
      <c r="H4558" s="181"/>
      <c r="I4558" s="181"/>
      <c r="J4558" s="181"/>
      <c r="K4558" s="181"/>
      <c r="L4558" s="181"/>
      <c r="M4558" s="181"/>
      <c r="N4558" s="181"/>
      <c r="O4558" s="181"/>
      <c r="P4558" s="181"/>
    </row>
    <row r="4559">
      <c r="B4559" s="292"/>
      <c r="C4559" s="181"/>
      <c r="D4559" s="181"/>
      <c r="E4559" s="181"/>
      <c r="F4559" s="181"/>
      <c r="G4559" s="181"/>
      <c r="H4559" s="181"/>
      <c r="I4559" s="181"/>
      <c r="J4559" s="181"/>
      <c r="K4559" s="181"/>
      <c r="L4559" s="181"/>
      <c r="M4559" s="181"/>
      <c r="N4559" s="181"/>
      <c r="O4559" s="181"/>
      <c r="P4559" s="181"/>
    </row>
    <row r="4560">
      <c r="B4560" s="292"/>
      <c r="C4560" s="181"/>
      <c r="D4560" s="181"/>
      <c r="E4560" s="181"/>
      <c r="F4560" s="181"/>
      <c r="G4560" s="181"/>
      <c r="H4560" s="181"/>
      <c r="I4560" s="181"/>
      <c r="J4560" s="181"/>
      <c r="K4560" s="181"/>
      <c r="L4560" s="181"/>
      <c r="M4560" s="181"/>
      <c r="N4560" s="181"/>
      <c r="O4560" s="181"/>
      <c r="P4560" s="181"/>
    </row>
    <row r="4561">
      <c r="B4561" s="292"/>
      <c r="C4561" s="181"/>
      <c r="D4561" s="181"/>
      <c r="E4561" s="181"/>
      <c r="F4561" s="181"/>
      <c r="G4561" s="181"/>
      <c r="H4561" s="181"/>
      <c r="I4561" s="181"/>
      <c r="J4561" s="181"/>
      <c r="K4561" s="181"/>
      <c r="L4561" s="181"/>
      <c r="M4561" s="181"/>
      <c r="N4561" s="181"/>
      <c r="O4561" s="181"/>
      <c r="P4561" s="181"/>
    </row>
    <row r="4562">
      <c r="B4562" s="292"/>
      <c r="C4562" s="181"/>
      <c r="D4562" s="181"/>
      <c r="E4562" s="181"/>
      <c r="F4562" s="181"/>
      <c r="G4562" s="181"/>
      <c r="H4562" s="181"/>
      <c r="I4562" s="181"/>
      <c r="J4562" s="181"/>
      <c r="K4562" s="181"/>
      <c r="L4562" s="181"/>
      <c r="M4562" s="181"/>
      <c r="N4562" s="181"/>
      <c r="O4562" s="181"/>
      <c r="P4562" s="181"/>
    </row>
    <row r="4563">
      <c r="B4563" s="292"/>
      <c r="C4563" s="181"/>
      <c r="D4563" s="181"/>
      <c r="E4563" s="181"/>
      <c r="F4563" s="181"/>
      <c r="G4563" s="181"/>
      <c r="H4563" s="181"/>
      <c r="I4563" s="181"/>
      <c r="J4563" s="181"/>
      <c r="K4563" s="181"/>
      <c r="L4563" s="181"/>
      <c r="M4563" s="181"/>
      <c r="N4563" s="181"/>
      <c r="O4563" s="181"/>
      <c r="P4563" s="181"/>
    </row>
    <row r="4564">
      <c r="B4564" s="292"/>
      <c r="C4564" s="181"/>
      <c r="D4564" s="181"/>
      <c r="E4564" s="181"/>
      <c r="F4564" s="181"/>
      <c r="G4564" s="181"/>
      <c r="H4564" s="181"/>
      <c r="I4564" s="181"/>
      <c r="J4564" s="181"/>
      <c r="K4564" s="181"/>
      <c r="L4564" s="181"/>
      <c r="M4564" s="181"/>
      <c r="N4564" s="181"/>
      <c r="O4564" s="181"/>
      <c r="P4564" s="181"/>
    </row>
    <row r="4565">
      <c r="B4565" s="292"/>
      <c r="C4565" s="181"/>
      <c r="D4565" s="181"/>
      <c r="E4565" s="181"/>
      <c r="F4565" s="181"/>
      <c r="G4565" s="181"/>
      <c r="H4565" s="181"/>
      <c r="I4565" s="181"/>
      <c r="J4565" s="181"/>
      <c r="K4565" s="181"/>
      <c r="L4565" s="181"/>
      <c r="M4565" s="181"/>
      <c r="N4565" s="181"/>
      <c r="O4565" s="181"/>
      <c r="P4565" s="181"/>
    </row>
    <row r="4566">
      <c r="B4566" s="292"/>
      <c r="C4566" s="181"/>
      <c r="D4566" s="181"/>
      <c r="E4566" s="181"/>
      <c r="F4566" s="181"/>
      <c r="G4566" s="181"/>
      <c r="H4566" s="181"/>
      <c r="I4566" s="181"/>
      <c r="J4566" s="181"/>
      <c r="K4566" s="181"/>
      <c r="L4566" s="181"/>
      <c r="M4566" s="181"/>
      <c r="N4566" s="181"/>
      <c r="O4566" s="181"/>
      <c r="P4566" s="181"/>
    </row>
    <row r="4567">
      <c r="B4567" s="292"/>
      <c r="C4567" s="181"/>
      <c r="D4567" s="181"/>
      <c r="E4567" s="181"/>
      <c r="F4567" s="181"/>
      <c r="G4567" s="181"/>
      <c r="H4567" s="181"/>
      <c r="I4567" s="181"/>
      <c r="J4567" s="181"/>
      <c r="K4567" s="181"/>
      <c r="L4567" s="181"/>
      <c r="M4567" s="181"/>
      <c r="N4567" s="181"/>
      <c r="O4567" s="181"/>
      <c r="P4567" s="181"/>
    </row>
    <row r="4568">
      <c r="B4568" s="292"/>
      <c r="C4568" s="181"/>
      <c r="D4568" s="181"/>
      <c r="E4568" s="181"/>
      <c r="F4568" s="181"/>
      <c r="G4568" s="181"/>
      <c r="H4568" s="181"/>
      <c r="I4568" s="181"/>
      <c r="J4568" s="181"/>
      <c r="K4568" s="181"/>
      <c r="L4568" s="181"/>
      <c r="M4568" s="181"/>
      <c r="N4568" s="181"/>
      <c r="O4568" s="181"/>
      <c r="P4568" s="181"/>
    </row>
    <row r="4569">
      <c r="B4569" s="292"/>
      <c r="C4569" s="181"/>
      <c r="D4569" s="181"/>
      <c r="E4569" s="181"/>
      <c r="F4569" s="181"/>
      <c r="G4569" s="181"/>
      <c r="H4569" s="181"/>
      <c r="I4569" s="181"/>
      <c r="J4569" s="181"/>
      <c r="K4569" s="181"/>
      <c r="L4569" s="181"/>
      <c r="M4569" s="181"/>
      <c r="N4569" s="181"/>
      <c r="O4569" s="181"/>
      <c r="P4569" s="181"/>
    </row>
    <row r="4570">
      <c r="B4570" s="292"/>
      <c r="C4570" s="181"/>
      <c r="D4570" s="181"/>
      <c r="E4570" s="181"/>
      <c r="F4570" s="181"/>
      <c r="G4570" s="181"/>
      <c r="H4570" s="181"/>
      <c r="I4570" s="181"/>
      <c r="J4570" s="181"/>
      <c r="K4570" s="181"/>
      <c r="L4570" s="181"/>
      <c r="M4570" s="181"/>
      <c r="N4570" s="181"/>
      <c r="O4570" s="181"/>
      <c r="P4570" s="181"/>
    </row>
    <row r="4571">
      <c r="B4571" s="292"/>
      <c r="C4571" s="181"/>
      <c r="D4571" s="181"/>
      <c r="E4571" s="181"/>
      <c r="F4571" s="181"/>
      <c r="G4571" s="181"/>
      <c r="H4571" s="181"/>
      <c r="I4571" s="181"/>
      <c r="J4571" s="181"/>
      <c r="K4571" s="181"/>
      <c r="L4571" s="181"/>
      <c r="M4571" s="181"/>
      <c r="N4571" s="181"/>
      <c r="O4571" s="181"/>
      <c r="P4571" s="181"/>
    </row>
    <row r="4572">
      <c r="B4572" s="292"/>
      <c r="C4572" s="181"/>
      <c r="D4572" s="181"/>
      <c r="E4572" s="181"/>
      <c r="F4572" s="181"/>
      <c r="G4572" s="181"/>
      <c r="H4572" s="181"/>
      <c r="I4572" s="181"/>
      <c r="J4572" s="181"/>
      <c r="K4572" s="181"/>
      <c r="L4572" s="181"/>
      <c r="M4572" s="181"/>
      <c r="N4572" s="181"/>
      <c r="O4572" s="181"/>
      <c r="P4572" s="181"/>
    </row>
    <row r="4573">
      <c r="B4573" s="292"/>
      <c r="C4573" s="181"/>
      <c r="D4573" s="181"/>
      <c r="E4573" s="181"/>
      <c r="F4573" s="181"/>
      <c r="G4573" s="181"/>
      <c r="H4573" s="181"/>
      <c r="I4573" s="181"/>
      <c r="J4573" s="181"/>
      <c r="K4573" s="181"/>
      <c r="L4573" s="181"/>
      <c r="M4573" s="181"/>
      <c r="N4573" s="181"/>
      <c r="O4573" s="181"/>
      <c r="P4573" s="181"/>
    </row>
    <row r="4574">
      <c r="B4574" s="292"/>
      <c r="C4574" s="181"/>
      <c r="D4574" s="181"/>
      <c r="E4574" s="181"/>
      <c r="F4574" s="181"/>
      <c r="G4574" s="181"/>
      <c r="H4574" s="181"/>
      <c r="I4574" s="181"/>
      <c r="J4574" s="181"/>
      <c r="K4574" s="181"/>
      <c r="L4574" s="181"/>
      <c r="M4574" s="181"/>
      <c r="N4574" s="181"/>
      <c r="O4574" s="181"/>
      <c r="P4574" s="181"/>
    </row>
    <row r="4575">
      <c r="B4575" s="292"/>
      <c r="C4575" s="181"/>
      <c r="D4575" s="181"/>
      <c r="E4575" s="181"/>
      <c r="F4575" s="181"/>
      <c r="G4575" s="181"/>
      <c r="H4575" s="181"/>
      <c r="I4575" s="181"/>
      <c r="J4575" s="181"/>
      <c r="K4575" s="181"/>
      <c r="L4575" s="181"/>
      <c r="M4575" s="181"/>
      <c r="N4575" s="181"/>
      <c r="O4575" s="181"/>
      <c r="P4575" s="181"/>
    </row>
    <row r="4576">
      <c r="B4576" s="292"/>
      <c r="C4576" s="181"/>
      <c r="D4576" s="181"/>
      <c r="E4576" s="181"/>
      <c r="F4576" s="181"/>
      <c r="G4576" s="181"/>
      <c r="H4576" s="181"/>
      <c r="I4576" s="181"/>
      <c r="J4576" s="181"/>
      <c r="K4576" s="181"/>
      <c r="L4576" s="181"/>
      <c r="M4576" s="181"/>
      <c r="N4576" s="181"/>
      <c r="O4576" s="181"/>
      <c r="P4576" s="181"/>
    </row>
    <row r="4577">
      <c r="B4577" s="292"/>
      <c r="C4577" s="181"/>
      <c r="D4577" s="181"/>
      <c r="E4577" s="181"/>
      <c r="F4577" s="181"/>
      <c r="G4577" s="181"/>
      <c r="H4577" s="181"/>
      <c r="I4577" s="181"/>
      <c r="J4577" s="181"/>
      <c r="K4577" s="181"/>
      <c r="L4577" s="181"/>
      <c r="M4577" s="181"/>
      <c r="N4577" s="181"/>
      <c r="O4577" s="181"/>
      <c r="P4577" s="181"/>
    </row>
    <row r="4578">
      <c r="B4578" s="292"/>
      <c r="C4578" s="181"/>
      <c r="D4578" s="181"/>
      <c r="E4578" s="181"/>
      <c r="F4578" s="181"/>
      <c r="G4578" s="181"/>
      <c r="H4578" s="181"/>
      <c r="I4578" s="181"/>
      <c r="J4578" s="181"/>
      <c r="K4578" s="181"/>
      <c r="L4578" s="181"/>
      <c r="M4578" s="181"/>
      <c r="N4578" s="181"/>
      <c r="O4578" s="181"/>
      <c r="P4578" s="181"/>
    </row>
    <row r="4579">
      <c r="B4579" s="292"/>
      <c r="C4579" s="181"/>
      <c r="D4579" s="181"/>
      <c r="E4579" s="181"/>
      <c r="F4579" s="181"/>
      <c r="G4579" s="181"/>
      <c r="H4579" s="181"/>
      <c r="I4579" s="181"/>
      <c r="J4579" s="181"/>
      <c r="K4579" s="181"/>
      <c r="L4579" s="181"/>
      <c r="M4579" s="181"/>
      <c r="N4579" s="181"/>
      <c r="O4579" s="181"/>
      <c r="P4579" s="181"/>
    </row>
    <row r="4580">
      <c r="B4580" s="292"/>
      <c r="C4580" s="181"/>
      <c r="D4580" s="181"/>
      <c r="E4580" s="181"/>
      <c r="F4580" s="181"/>
      <c r="G4580" s="181"/>
      <c r="H4580" s="181"/>
      <c r="I4580" s="181"/>
      <c r="J4580" s="181"/>
      <c r="K4580" s="181"/>
      <c r="L4580" s="181"/>
      <c r="M4580" s="181"/>
      <c r="N4580" s="181"/>
      <c r="O4580" s="181"/>
      <c r="P4580" s="181"/>
    </row>
    <row r="4581">
      <c r="B4581" s="292"/>
      <c r="C4581" s="181"/>
      <c r="D4581" s="181"/>
      <c r="E4581" s="181"/>
      <c r="F4581" s="181"/>
      <c r="G4581" s="181"/>
      <c r="H4581" s="181"/>
      <c r="I4581" s="181"/>
      <c r="J4581" s="181"/>
      <c r="K4581" s="181"/>
      <c r="L4581" s="181"/>
      <c r="M4581" s="181"/>
      <c r="N4581" s="181"/>
      <c r="O4581" s="181"/>
      <c r="P4581" s="181"/>
    </row>
    <row r="4582">
      <c r="B4582" s="292"/>
      <c r="C4582" s="181"/>
      <c r="D4582" s="181"/>
      <c r="E4582" s="181"/>
      <c r="F4582" s="181"/>
      <c r="G4582" s="181"/>
      <c r="H4582" s="181"/>
      <c r="I4582" s="181"/>
      <c r="J4582" s="181"/>
      <c r="K4582" s="181"/>
      <c r="L4582" s="181"/>
      <c r="M4582" s="181"/>
      <c r="N4582" s="181"/>
      <c r="O4582" s="181"/>
      <c r="P4582" s="181"/>
    </row>
    <row r="4583">
      <c r="B4583" s="292"/>
      <c r="C4583" s="181"/>
      <c r="D4583" s="181"/>
      <c r="E4583" s="181"/>
      <c r="F4583" s="181"/>
      <c r="G4583" s="181"/>
      <c r="H4583" s="181"/>
      <c r="I4583" s="181"/>
      <c r="J4583" s="181"/>
      <c r="K4583" s="181"/>
      <c r="L4583" s="181"/>
      <c r="M4583" s="181"/>
      <c r="N4583" s="181"/>
      <c r="O4583" s="181"/>
      <c r="P4583" s="181"/>
    </row>
    <row r="4584">
      <c r="B4584" s="292"/>
      <c r="C4584" s="181"/>
      <c r="D4584" s="181"/>
      <c r="E4584" s="181"/>
      <c r="F4584" s="181"/>
      <c r="G4584" s="181"/>
      <c r="H4584" s="181"/>
      <c r="I4584" s="181"/>
      <c r="J4584" s="181"/>
      <c r="K4584" s="181"/>
      <c r="L4584" s="181"/>
      <c r="M4584" s="181"/>
      <c r="N4584" s="181"/>
      <c r="O4584" s="181"/>
      <c r="P4584" s="181"/>
    </row>
    <row r="4585">
      <c r="B4585" s="292"/>
      <c r="C4585" s="181"/>
      <c r="D4585" s="181"/>
      <c r="E4585" s="181"/>
      <c r="F4585" s="181"/>
      <c r="G4585" s="181"/>
      <c r="H4585" s="181"/>
      <c r="I4585" s="181"/>
      <c r="J4585" s="181"/>
      <c r="K4585" s="181"/>
      <c r="L4585" s="181"/>
      <c r="M4585" s="181"/>
      <c r="N4585" s="181"/>
      <c r="O4585" s="181"/>
      <c r="P4585" s="181"/>
    </row>
    <row r="4586">
      <c r="B4586" s="292"/>
      <c r="C4586" s="181"/>
      <c r="D4586" s="181"/>
      <c r="E4586" s="181"/>
      <c r="F4586" s="181"/>
      <c r="G4586" s="181"/>
      <c r="H4586" s="181"/>
      <c r="I4586" s="181"/>
      <c r="J4586" s="181"/>
      <c r="K4586" s="181"/>
      <c r="L4586" s="181"/>
      <c r="M4586" s="181"/>
      <c r="N4586" s="181"/>
      <c r="O4586" s="181"/>
      <c r="P4586" s="181"/>
    </row>
    <row r="4587">
      <c r="B4587" s="292"/>
      <c r="C4587" s="181"/>
      <c r="D4587" s="181"/>
      <c r="E4587" s="181"/>
      <c r="F4587" s="181"/>
      <c r="G4587" s="181"/>
      <c r="H4587" s="181"/>
      <c r="I4587" s="181"/>
      <c r="J4587" s="181"/>
      <c r="K4587" s="181"/>
      <c r="L4587" s="181"/>
      <c r="M4587" s="181"/>
      <c r="N4587" s="181"/>
      <c r="O4587" s="181"/>
      <c r="P4587" s="181"/>
    </row>
    <row r="4588">
      <c r="B4588" s="292"/>
      <c r="C4588" s="181"/>
      <c r="D4588" s="181"/>
      <c r="E4588" s="181"/>
      <c r="F4588" s="181"/>
      <c r="G4588" s="181"/>
      <c r="H4588" s="181"/>
      <c r="I4588" s="181"/>
      <c r="J4588" s="181"/>
      <c r="K4588" s="181"/>
      <c r="L4588" s="181"/>
      <c r="M4588" s="181"/>
      <c r="N4588" s="181"/>
      <c r="O4588" s="181"/>
      <c r="P4588" s="181"/>
    </row>
    <row r="4589">
      <c r="B4589" s="292"/>
      <c r="C4589" s="181"/>
      <c r="D4589" s="181"/>
      <c r="E4589" s="181"/>
      <c r="F4589" s="181"/>
      <c r="G4589" s="181"/>
      <c r="H4589" s="181"/>
      <c r="I4589" s="181"/>
      <c r="J4589" s="181"/>
      <c r="K4589" s="181"/>
      <c r="L4589" s="181"/>
      <c r="M4589" s="181"/>
      <c r="N4589" s="181"/>
      <c r="O4589" s="181"/>
      <c r="P4589" s="181"/>
    </row>
    <row r="4590">
      <c r="B4590" s="292"/>
      <c r="C4590" s="181"/>
      <c r="D4590" s="181"/>
      <c r="E4590" s="181"/>
      <c r="F4590" s="181"/>
      <c r="G4590" s="181"/>
      <c r="H4590" s="181"/>
      <c r="I4590" s="181"/>
      <c r="J4590" s="181"/>
      <c r="K4590" s="181"/>
      <c r="L4590" s="181"/>
      <c r="M4590" s="181"/>
      <c r="N4590" s="181"/>
      <c r="O4590" s="181"/>
      <c r="P4590" s="181"/>
    </row>
    <row r="4591">
      <c r="B4591" s="292"/>
      <c r="C4591" s="181"/>
      <c r="D4591" s="181"/>
      <c r="E4591" s="181"/>
      <c r="F4591" s="181"/>
      <c r="G4591" s="181"/>
      <c r="H4591" s="181"/>
      <c r="I4591" s="181"/>
      <c r="J4591" s="181"/>
      <c r="K4591" s="181"/>
      <c r="L4591" s="181"/>
      <c r="M4591" s="181"/>
      <c r="N4591" s="181"/>
      <c r="O4591" s="181"/>
      <c r="P4591" s="181"/>
    </row>
    <row r="4592">
      <c r="B4592" s="292"/>
      <c r="C4592" s="181"/>
      <c r="D4592" s="181"/>
      <c r="E4592" s="181"/>
      <c r="F4592" s="181"/>
      <c r="G4592" s="181"/>
      <c r="H4592" s="181"/>
      <c r="I4592" s="181"/>
      <c r="J4592" s="181"/>
      <c r="K4592" s="181"/>
      <c r="L4592" s="181"/>
      <c r="M4592" s="181"/>
      <c r="N4592" s="181"/>
      <c r="O4592" s="181"/>
      <c r="P4592" s="181"/>
    </row>
    <row r="4593">
      <c r="B4593" s="292"/>
      <c r="C4593" s="181"/>
      <c r="D4593" s="181"/>
      <c r="E4593" s="181"/>
      <c r="F4593" s="181"/>
      <c r="G4593" s="181"/>
      <c r="H4593" s="181"/>
      <c r="I4593" s="181"/>
      <c r="J4593" s="181"/>
      <c r="K4593" s="181"/>
      <c r="L4593" s="181"/>
      <c r="M4593" s="181"/>
      <c r="N4593" s="181"/>
      <c r="O4593" s="181"/>
      <c r="P4593" s="181"/>
    </row>
    <row r="4594">
      <c r="B4594" s="292"/>
      <c r="C4594" s="181"/>
      <c r="D4594" s="181"/>
      <c r="E4594" s="181"/>
      <c r="F4594" s="181"/>
      <c r="G4594" s="181"/>
      <c r="H4594" s="181"/>
      <c r="I4594" s="181"/>
      <c r="J4594" s="181"/>
      <c r="K4594" s="181"/>
      <c r="L4594" s="181"/>
      <c r="M4594" s="181"/>
      <c r="N4594" s="181"/>
      <c r="O4594" s="181"/>
      <c r="P4594" s="181"/>
    </row>
    <row r="4595">
      <c r="B4595" s="292"/>
      <c r="C4595" s="181"/>
      <c r="D4595" s="181"/>
      <c r="E4595" s="181"/>
      <c r="F4595" s="181"/>
      <c r="G4595" s="181"/>
      <c r="H4595" s="181"/>
      <c r="I4595" s="181"/>
      <c r="J4595" s="181"/>
      <c r="K4595" s="181"/>
      <c r="L4595" s="181"/>
      <c r="M4595" s="181"/>
      <c r="N4595" s="181"/>
      <c r="O4595" s="181"/>
      <c r="P4595" s="181"/>
    </row>
    <row r="4596">
      <c r="B4596" s="292"/>
      <c r="C4596" s="181"/>
      <c r="D4596" s="181"/>
      <c r="E4596" s="181"/>
      <c r="F4596" s="181"/>
      <c r="G4596" s="181"/>
      <c r="H4596" s="181"/>
      <c r="I4596" s="181"/>
      <c r="J4596" s="181"/>
      <c r="K4596" s="181"/>
      <c r="L4596" s="181"/>
      <c r="M4596" s="181"/>
      <c r="N4596" s="181"/>
      <c r="O4596" s="181"/>
      <c r="P4596" s="181"/>
    </row>
    <row r="4597">
      <c r="B4597" s="292"/>
      <c r="C4597" s="181"/>
      <c r="D4597" s="181"/>
      <c r="E4597" s="181"/>
      <c r="F4597" s="181"/>
      <c r="G4597" s="181"/>
      <c r="H4597" s="181"/>
      <c r="I4597" s="181"/>
      <c r="J4597" s="181"/>
      <c r="K4597" s="181"/>
      <c r="L4597" s="181"/>
      <c r="M4597" s="181"/>
      <c r="N4597" s="181"/>
      <c r="O4597" s="181"/>
      <c r="P4597" s="181"/>
    </row>
    <row r="4598">
      <c r="B4598" s="292"/>
      <c r="C4598" s="181"/>
      <c r="D4598" s="181"/>
      <c r="E4598" s="181"/>
      <c r="F4598" s="181"/>
      <c r="G4598" s="181"/>
      <c r="H4598" s="181"/>
      <c r="I4598" s="181"/>
      <c r="J4598" s="181"/>
      <c r="K4598" s="181"/>
      <c r="L4598" s="181"/>
      <c r="M4598" s="181"/>
      <c r="N4598" s="181"/>
      <c r="O4598" s="181"/>
      <c r="P4598" s="181"/>
    </row>
    <row r="4599">
      <c r="B4599" s="292"/>
      <c r="C4599" s="181"/>
      <c r="D4599" s="181"/>
      <c r="E4599" s="181"/>
      <c r="F4599" s="181"/>
      <c r="G4599" s="181"/>
      <c r="H4599" s="181"/>
      <c r="I4599" s="181"/>
      <c r="J4599" s="181"/>
      <c r="K4599" s="181"/>
      <c r="L4599" s="181"/>
      <c r="M4599" s="181"/>
      <c r="N4599" s="181"/>
      <c r="O4599" s="181"/>
      <c r="P4599" s="181"/>
    </row>
    <row r="4600">
      <c r="B4600" s="292"/>
      <c r="C4600" s="181"/>
      <c r="D4600" s="181"/>
      <c r="E4600" s="181"/>
      <c r="F4600" s="181"/>
      <c r="G4600" s="181"/>
      <c r="H4600" s="181"/>
      <c r="I4600" s="181"/>
      <c r="J4600" s="181"/>
      <c r="K4600" s="181"/>
      <c r="L4600" s="181"/>
      <c r="M4600" s="181"/>
      <c r="N4600" s="181"/>
      <c r="O4600" s="181"/>
      <c r="P4600" s="181"/>
    </row>
    <row r="4601">
      <c r="B4601" s="292"/>
      <c r="C4601" s="181"/>
      <c r="D4601" s="181"/>
      <c r="E4601" s="181"/>
      <c r="F4601" s="181"/>
      <c r="G4601" s="181"/>
      <c r="H4601" s="181"/>
      <c r="I4601" s="181"/>
      <c r="J4601" s="181"/>
      <c r="K4601" s="181"/>
      <c r="L4601" s="181"/>
      <c r="M4601" s="181"/>
      <c r="N4601" s="181"/>
      <c r="O4601" s="181"/>
      <c r="P4601" s="181"/>
    </row>
    <row r="4602">
      <c r="B4602" s="292"/>
      <c r="C4602" s="181"/>
      <c r="D4602" s="181"/>
      <c r="E4602" s="181"/>
      <c r="F4602" s="181"/>
      <c r="G4602" s="181"/>
      <c r="H4602" s="181"/>
      <c r="I4602" s="181"/>
      <c r="J4602" s="181"/>
      <c r="K4602" s="181"/>
      <c r="L4602" s="181"/>
      <c r="M4602" s="181"/>
      <c r="N4602" s="181"/>
      <c r="O4602" s="181"/>
      <c r="P4602" s="181"/>
    </row>
    <row r="4603">
      <c r="B4603" s="292"/>
      <c r="C4603" s="181"/>
      <c r="D4603" s="181"/>
      <c r="E4603" s="181"/>
      <c r="F4603" s="181"/>
      <c r="G4603" s="181"/>
      <c r="H4603" s="181"/>
      <c r="I4603" s="181"/>
      <c r="J4603" s="181"/>
      <c r="K4603" s="181"/>
      <c r="L4603" s="181"/>
      <c r="M4603" s="181"/>
      <c r="N4603" s="181"/>
      <c r="O4603" s="181"/>
      <c r="P4603" s="181"/>
    </row>
    <row r="4604">
      <c r="B4604" s="292"/>
      <c r="C4604" s="181"/>
      <c r="D4604" s="181"/>
      <c r="E4604" s="181"/>
      <c r="F4604" s="181"/>
      <c r="G4604" s="181"/>
      <c r="H4604" s="181"/>
      <c r="I4604" s="181"/>
      <c r="J4604" s="181"/>
      <c r="K4604" s="181"/>
      <c r="L4604" s="181"/>
      <c r="M4604" s="181"/>
      <c r="N4604" s="181"/>
      <c r="O4604" s="181"/>
      <c r="P4604" s="181"/>
    </row>
    <row r="4605">
      <c r="B4605" s="292"/>
      <c r="C4605" s="181"/>
      <c r="D4605" s="181"/>
      <c r="E4605" s="181"/>
      <c r="F4605" s="181"/>
      <c r="G4605" s="181"/>
      <c r="H4605" s="181"/>
      <c r="I4605" s="181"/>
      <c r="J4605" s="181"/>
      <c r="K4605" s="181"/>
      <c r="L4605" s="181"/>
      <c r="M4605" s="181"/>
      <c r="N4605" s="181"/>
      <c r="O4605" s="181"/>
      <c r="P4605" s="181"/>
    </row>
    <row r="4606">
      <c r="B4606" s="292"/>
      <c r="C4606" s="181"/>
      <c r="D4606" s="181"/>
      <c r="E4606" s="181"/>
      <c r="F4606" s="181"/>
      <c r="G4606" s="181"/>
      <c r="H4606" s="181"/>
      <c r="I4606" s="181"/>
      <c r="J4606" s="181"/>
      <c r="K4606" s="181"/>
      <c r="L4606" s="181"/>
      <c r="M4606" s="181"/>
      <c r="N4606" s="181"/>
      <c r="O4606" s="181"/>
      <c r="P4606" s="181"/>
    </row>
    <row r="4607">
      <c r="B4607" s="292"/>
      <c r="C4607" s="181"/>
      <c r="D4607" s="181"/>
      <c r="E4607" s="181"/>
      <c r="F4607" s="181"/>
      <c r="G4607" s="181"/>
      <c r="H4607" s="181"/>
      <c r="I4607" s="181"/>
      <c r="J4607" s="181"/>
      <c r="K4607" s="181"/>
      <c r="L4607" s="181"/>
      <c r="M4607" s="181"/>
      <c r="N4607" s="181"/>
      <c r="O4607" s="181"/>
      <c r="P4607" s="181"/>
    </row>
    <row r="4608">
      <c r="B4608" s="292"/>
      <c r="C4608" s="181"/>
      <c r="D4608" s="181"/>
      <c r="E4608" s="181"/>
      <c r="F4608" s="181"/>
      <c r="G4608" s="181"/>
      <c r="H4608" s="181"/>
      <c r="I4608" s="181"/>
      <c r="J4608" s="181"/>
      <c r="K4608" s="181"/>
      <c r="L4608" s="181"/>
      <c r="M4608" s="181"/>
      <c r="N4608" s="181"/>
      <c r="O4608" s="181"/>
      <c r="P4608" s="181"/>
    </row>
    <row r="4609">
      <c r="B4609" s="292"/>
      <c r="C4609" s="181"/>
      <c r="D4609" s="181"/>
      <c r="E4609" s="181"/>
      <c r="F4609" s="181"/>
      <c r="G4609" s="181"/>
      <c r="H4609" s="181"/>
      <c r="I4609" s="181"/>
      <c r="J4609" s="181"/>
      <c r="K4609" s="181"/>
      <c r="L4609" s="181"/>
      <c r="M4609" s="181"/>
      <c r="N4609" s="181"/>
      <c r="O4609" s="181"/>
      <c r="P4609" s="181"/>
    </row>
    <row r="4610">
      <c r="B4610" s="292"/>
      <c r="C4610" s="181"/>
      <c r="D4610" s="181"/>
      <c r="E4610" s="181"/>
      <c r="F4610" s="181"/>
      <c r="G4610" s="181"/>
      <c r="H4610" s="181"/>
      <c r="I4610" s="181"/>
      <c r="J4610" s="181"/>
      <c r="K4610" s="181"/>
      <c r="L4610" s="181"/>
      <c r="M4610" s="181"/>
      <c r="N4610" s="181"/>
      <c r="O4610" s="181"/>
      <c r="P4610" s="181"/>
    </row>
    <row r="4611">
      <c r="B4611" s="292"/>
      <c r="C4611" s="181"/>
      <c r="D4611" s="181"/>
      <c r="E4611" s="181"/>
      <c r="F4611" s="181"/>
      <c r="G4611" s="181"/>
      <c r="H4611" s="181"/>
      <c r="I4611" s="181"/>
      <c r="J4611" s="181"/>
      <c r="K4611" s="181"/>
      <c r="L4611" s="181"/>
      <c r="M4611" s="181"/>
      <c r="N4611" s="181"/>
      <c r="O4611" s="181"/>
      <c r="P4611" s="181"/>
    </row>
    <row r="4612">
      <c r="B4612" s="292"/>
      <c r="C4612" s="181"/>
      <c r="D4612" s="181"/>
      <c r="E4612" s="181"/>
      <c r="F4612" s="181"/>
      <c r="G4612" s="181"/>
      <c r="H4612" s="181"/>
      <c r="I4612" s="181"/>
      <c r="J4612" s="181"/>
      <c r="K4612" s="181"/>
      <c r="L4612" s="181"/>
      <c r="M4612" s="181"/>
      <c r="N4612" s="181"/>
      <c r="O4612" s="181"/>
      <c r="P4612" s="181"/>
    </row>
    <row r="4613">
      <c r="B4613" s="292"/>
      <c r="C4613" s="181"/>
      <c r="D4613" s="181"/>
      <c r="E4613" s="181"/>
      <c r="F4613" s="181"/>
      <c r="G4613" s="181"/>
      <c r="H4613" s="181"/>
      <c r="I4613" s="181"/>
      <c r="J4613" s="181"/>
      <c r="K4613" s="181"/>
      <c r="L4613" s="181"/>
      <c r="M4613" s="181"/>
      <c r="N4613" s="181"/>
      <c r="O4613" s="181"/>
      <c r="P4613" s="181"/>
    </row>
    <row r="4614">
      <c r="B4614" s="292"/>
      <c r="C4614" s="181"/>
      <c r="D4614" s="181"/>
      <c r="E4614" s="181"/>
      <c r="F4614" s="181"/>
      <c r="G4614" s="181"/>
      <c r="H4614" s="181"/>
      <c r="I4614" s="181"/>
      <c r="J4614" s="181"/>
      <c r="K4614" s="181"/>
      <c r="L4614" s="181"/>
      <c r="M4614" s="181"/>
      <c r="N4614" s="181"/>
      <c r="O4614" s="181"/>
      <c r="P4614" s="181"/>
    </row>
    <row r="4615">
      <c r="B4615" s="292"/>
      <c r="C4615" s="181"/>
      <c r="D4615" s="181"/>
      <c r="E4615" s="181"/>
      <c r="F4615" s="181"/>
      <c r="G4615" s="181"/>
      <c r="H4615" s="181"/>
      <c r="I4615" s="181"/>
      <c r="J4615" s="181"/>
      <c r="K4615" s="181"/>
      <c r="L4615" s="181"/>
      <c r="M4615" s="181"/>
      <c r="N4615" s="181"/>
      <c r="O4615" s="181"/>
      <c r="P4615" s="181"/>
    </row>
    <row r="4616">
      <c r="B4616" s="292"/>
      <c r="C4616" s="181"/>
      <c r="D4616" s="181"/>
      <c r="E4616" s="181"/>
      <c r="F4616" s="181"/>
      <c r="G4616" s="181"/>
      <c r="H4616" s="181"/>
      <c r="I4616" s="181"/>
      <c r="J4616" s="181"/>
      <c r="K4616" s="181"/>
      <c r="L4616" s="181"/>
      <c r="M4616" s="181"/>
      <c r="N4616" s="181"/>
      <c r="O4616" s="181"/>
      <c r="P4616" s="181"/>
    </row>
    <row r="4617">
      <c r="B4617" s="292"/>
      <c r="C4617" s="181"/>
      <c r="D4617" s="181"/>
      <c r="E4617" s="181"/>
      <c r="F4617" s="181"/>
      <c r="G4617" s="181"/>
      <c r="H4617" s="181"/>
      <c r="I4617" s="181"/>
      <c r="J4617" s="181"/>
      <c r="K4617" s="181"/>
      <c r="L4617" s="181"/>
      <c r="M4617" s="181"/>
      <c r="N4617" s="181"/>
      <c r="O4617" s="181"/>
      <c r="P4617" s="181"/>
    </row>
    <row r="4618">
      <c r="B4618" s="292"/>
      <c r="C4618" s="181"/>
      <c r="D4618" s="181"/>
      <c r="E4618" s="181"/>
      <c r="F4618" s="181"/>
      <c r="G4618" s="181"/>
      <c r="H4618" s="181"/>
      <c r="I4618" s="181"/>
      <c r="J4618" s="181"/>
      <c r="K4618" s="181"/>
      <c r="L4618" s="181"/>
      <c r="M4618" s="181"/>
      <c r="N4618" s="181"/>
      <c r="O4618" s="181"/>
      <c r="P4618" s="181"/>
    </row>
    <row r="4619">
      <c r="B4619" s="292"/>
      <c r="C4619" s="181"/>
      <c r="D4619" s="181"/>
      <c r="E4619" s="181"/>
      <c r="F4619" s="181"/>
      <c r="G4619" s="181"/>
      <c r="H4619" s="181"/>
      <c r="I4619" s="181"/>
      <c r="J4619" s="181"/>
      <c r="K4619" s="181"/>
      <c r="L4619" s="181"/>
      <c r="M4619" s="181"/>
      <c r="N4619" s="181"/>
      <c r="O4619" s="181"/>
      <c r="P4619" s="181"/>
    </row>
    <row r="4620">
      <c r="B4620" s="292"/>
      <c r="C4620" s="181"/>
      <c r="D4620" s="181"/>
      <c r="E4620" s="181"/>
      <c r="F4620" s="181"/>
      <c r="G4620" s="181"/>
      <c r="H4620" s="181"/>
      <c r="I4620" s="181"/>
      <c r="J4620" s="181"/>
      <c r="K4620" s="181"/>
      <c r="L4620" s="181"/>
      <c r="M4620" s="181"/>
      <c r="N4620" s="181"/>
      <c r="O4620" s="181"/>
      <c r="P4620" s="181"/>
    </row>
    <row r="4621">
      <c r="B4621" s="292"/>
      <c r="C4621" s="181"/>
      <c r="D4621" s="181"/>
      <c r="E4621" s="181"/>
      <c r="F4621" s="181"/>
      <c r="G4621" s="181"/>
      <c r="H4621" s="181"/>
      <c r="I4621" s="181"/>
      <c r="J4621" s="181"/>
      <c r="K4621" s="181"/>
      <c r="L4621" s="181"/>
      <c r="M4621" s="181"/>
      <c r="N4621" s="181"/>
      <c r="O4621" s="181"/>
      <c r="P4621" s="181"/>
    </row>
    <row r="4622">
      <c r="B4622" s="292"/>
      <c r="C4622" s="181"/>
      <c r="D4622" s="181"/>
      <c r="E4622" s="181"/>
      <c r="F4622" s="181"/>
      <c r="G4622" s="181"/>
      <c r="H4622" s="181"/>
      <c r="I4622" s="181"/>
      <c r="J4622" s="181"/>
      <c r="K4622" s="181"/>
      <c r="L4622" s="181"/>
      <c r="M4622" s="181"/>
      <c r="N4622" s="181"/>
      <c r="O4622" s="181"/>
      <c r="P4622" s="181"/>
    </row>
    <row r="4623">
      <c r="B4623" s="292"/>
      <c r="C4623" s="181"/>
      <c r="D4623" s="181"/>
      <c r="E4623" s="181"/>
      <c r="F4623" s="181"/>
      <c r="G4623" s="181"/>
      <c r="H4623" s="181"/>
      <c r="I4623" s="181"/>
      <c r="J4623" s="181"/>
      <c r="K4623" s="181"/>
      <c r="L4623" s="181"/>
      <c r="M4623" s="181"/>
      <c r="N4623" s="181"/>
      <c r="O4623" s="181"/>
      <c r="P4623" s="181"/>
    </row>
    <row r="4624">
      <c r="B4624" s="292"/>
      <c r="C4624" s="181"/>
      <c r="D4624" s="181"/>
      <c r="E4624" s="181"/>
      <c r="F4624" s="181"/>
      <c r="G4624" s="181"/>
      <c r="H4624" s="181"/>
      <c r="I4624" s="181"/>
      <c r="J4624" s="181"/>
      <c r="K4624" s="181"/>
      <c r="L4624" s="181"/>
      <c r="M4624" s="181"/>
      <c r="N4624" s="181"/>
      <c r="O4624" s="181"/>
      <c r="P4624" s="181"/>
    </row>
    <row r="4625">
      <c r="B4625" s="292"/>
      <c r="C4625" s="181"/>
      <c r="D4625" s="181"/>
      <c r="E4625" s="181"/>
      <c r="F4625" s="181"/>
      <c r="G4625" s="181"/>
      <c r="H4625" s="181"/>
      <c r="I4625" s="181"/>
      <c r="J4625" s="181"/>
      <c r="K4625" s="181"/>
      <c r="L4625" s="181"/>
      <c r="M4625" s="181"/>
      <c r="N4625" s="181"/>
      <c r="O4625" s="181"/>
      <c r="P4625" s="181"/>
    </row>
    <row r="4626">
      <c r="B4626" s="292"/>
      <c r="C4626" s="181"/>
      <c r="D4626" s="181"/>
      <c r="E4626" s="181"/>
      <c r="F4626" s="181"/>
      <c r="G4626" s="181"/>
      <c r="H4626" s="181"/>
      <c r="I4626" s="181"/>
      <c r="J4626" s="181"/>
      <c r="K4626" s="181"/>
      <c r="L4626" s="181"/>
      <c r="M4626" s="181"/>
      <c r="N4626" s="181"/>
      <c r="O4626" s="181"/>
      <c r="P4626" s="181"/>
    </row>
    <row r="4627">
      <c r="B4627" s="292"/>
      <c r="C4627" s="181"/>
      <c r="D4627" s="181"/>
      <c r="E4627" s="181"/>
      <c r="F4627" s="181"/>
      <c r="G4627" s="181"/>
      <c r="H4627" s="181"/>
      <c r="I4627" s="181"/>
      <c r="J4627" s="181"/>
      <c r="K4627" s="181"/>
      <c r="L4627" s="181"/>
      <c r="M4627" s="181"/>
      <c r="N4627" s="181"/>
      <c r="O4627" s="181"/>
      <c r="P4627" s="181"/>
    </row>
    <row r="4628">
      <c r="B4628" s="292"/>
      <c r="C4628" s="181"/>
      <c r="D4628" s="181"/>
      <c r="E4628" s="181"/>
      <c r="F4628" s="181"/>
      <c r="G4628" s="181"/>
      <c r="H4628" s="181"/>
      <c r="I4628" s="181"/>
      <c r="J4628" s="181"/>
      <c r="K4628" s="181"/>
      <c r="L4628" s="181"/>
      <c r="M4628" s="181"/>
      <c r="N4628" s="181"/>
      <c r="O4628" s="181"/>
      <c r="P4628" s="181"/>
    </row>
    <row r="4629">
      <c r="B4629" s="292"/>
      <c r="C4629" s="181"/>
      <c r="D4629" s="181"/>
      <c r="E4629" s="181"/>
      <c r="F4629" s="181"/>
      <c r="G4629" s="181"/>
      <c r="H4629" s="181"/>
      <c r="I4629" s="181"/>
      <c r="J4629" s="181"/>
      <c r="K4629" s="181"/>
      <c r="L4629" s="181"/>
      <c r="M4629" s="181"/>
      <c r="N4629" s="181"/>
      <c r="O4629" s="181"/>
      <c r="P4629" s="181"/>
    </row>
    <row r="4630">
      <c r="B4630" s="292"/>
      <c r="C4630" s="181"/>
      <c r="D4630" s="181"/>
      <c r="E4630" s="181"/>
      <c r="F4630" s="181"/>
      <c r="G4630" s="181"/>
      <c r="H4630" s="181"/>
      <c r="I4630" s="181"/>
      <c r="J4630" s="181"/>
      <c r="K4630" s="181"/>
      <c r="L4630" s="181"/>
      <c r="M4630" s="181"/>
      <c r="N4630" s="181"/>
      <c r="O4630" s="181"/>
      <c r="P4630" s="181"/>
    </row>
    <row r="4631">
      <c r="B4631" s="292"/>
      <c r="C4631" s="181"/>
      <c r="D4631" s="181"/>
      <c r="E4631" s="181"/>
      <c r="F4631" s="181"/>
      <c r="G4631" s="181"/>
      <c r="H4631" s="181"/>
      <c r="I4631" s="181"/>
      <c r="J4631" s="181"/>
      <c r="K4631" s="181"/>
      <c r="L4631" s="181"/>
      <c r="M4631" s="181"/>
      <c r="N4631" s="181"/>
      <c r="O4631" s="181"/>
      <c r="P4631" s="181"/>
    </row>
    <row r="4632">
      <c r="B4632" s="292"/>
      <c r="C4632" s="181"/>
      <c r="D4632" s="181"/>
      <c r="E4632" s="181"/>
      <c r="F4632" s="181"/>
      <c r="G4632" s="181"/>
      <c r="H4632" s="181"/>
      <c r="I4632" s="181"/>
      <c r="J4632" s="181"/>
      <c r="K4632" s="181"/>
      <c r="L4632" s="181"/>
      <c r="M4632" s="181"/>
      <c r="N4632" s="181"/>
      <c r="O4632" s="181"/>
      <c r="P4632" s="181"/>
    </row>
    <row r="4633">
      <c r="B4633" s="292"/>
      <c r="C4633" s="181"/>
      <c r="D4633" s="181"/>
      <c r="E4633" s="181"/>
      <c r="F4633" s="181"/>
      <c r="G4633" s="181"/>
      <c r="H4633" s="181"/>
      <c r="I4633" s="181"/>
      <c r="J4633" s="181"/>
      <c r="K4633" s="181"/>
      <c r="L4633" s="181"/>
      <c r="M4633" s="181"/>
      <c r="N4633" s="181"/>
      <c r="O4633" s="181"/>
      <c r="P4633" s="181"/>
    </row>
    <row r="4634">
      <c r="B4634" s="292"/>
      <c r="C4634" s="181"/>
      <c r="D4634" s="181"/>
      <c r="E4634" s="181"/>
      <c r="F4634" s="181"/>
      <c r="G4634" s="181"/>
      <c r="H4634" s="181"/>
      <c r="I4634" s="181"/>
      <c r="J4634" s="181"/>
      <c r="K4634" s="181"/>
      <c r="L4634" s="181"/>
      <c r="M4634" s="181"/>
      <c r="N4634" s="181"/>
      <c r="O4634" s="181"/>
      <c r="P4634" s="181"/>
    </row>
    <row r="4635">
      <c r="B4635" s="292"/>
      <c r="C4635" s="181"/>
      <c r="D4635" s="181"/>
      <c r="E4635" s="181"/>
      <c r="F4635" s="181"/>
      <c r="G4635" s="181"/>
      <c r="H4635" s="181"/>
      <c r="I4635" s="181"/>
      <c r="J4635" s="181"/>
      <c r="K4635" s="181"/>
      <c r="L4635" s="181"/>
      <c r="M4635" s="181"/>
      <c r="N4635" s="181"/>
      <c r="O4635" s="181"/>
      <c r="P4635" s="181"/>
    </row>
    <row r="4636">
      <c r="B4636" s="292"/>
      <c r="C4636" s="181"/>
      <c r="D4636" s="181"/>
      <c r="E4636" s="181"/>
      <c r="F4636" s="181"/>
      <c r="G4636" s="181"/>
      <c r="H4636" s="181"/>
      <c r="I4636" s="181"/>
      <c r="J4636" s="181"/>
      <c r="K4636" s="181"/>
      <c r="L4636" s="181"/>
      <c r="M4636" s="181"/>
      <c r="N4636" s="181"/>
      <c r="O4636" s="181"/>
      <c r="P4636" s="181"/>
    </row>
    <row r="4637">
      <c r="B4637" s="292"/>
      <c r="C4637" s="181"/>
      <c r="D4637" s="181"/>
      <c r="E4637" s="181"/>
      <c r="F4637" s="181"/>
      <c r="G4637" s="181"/>
      <c r="H4637" s="181"/>
      <c r="I4637" s="181"/>
      <c r="J4637" s="181"/>
      <c r="K4637" s="181"/>
      <c r="L4637" s="181"/>
      <c r="M4637" s="181"/>
      <c r="N4637" s="181"/>
      <c r="O4637" s="181"/>
      <c r="P4637" s="181"/>
    </row>
    <row r="4638">
      <c r="B4638" s="292"/>
      <c r="C4638" s="181"/>
      <c r="D4638" s="181"/>
      <c r="E4638" s="181"/>
      <c r="F4638" s="181"/>
      <c r="G4638" s="181"/>
      <c r="H4638" s="181"/>
      <c r="I4638" s="181"/>
      <c r="J4638" s="181"/>
      <c r="K4638" s="181"/>
      <c r="L4638" s="181"/>
      <c r="M4638" s="181"/>
      <c r="N4638" s="181"/>
      <c r="O4638" s="181"/>
      <c r="P4638" s="181"/>
    </row>
    <row r="4639">
      <c r="B4639" s="292"/>
      <c r="C4639" s="181"/>
      <c r="D4639" s="181"/>
      <c r="E4639" s="181"/>
      <c r="F4639" s="181"/>
      <c r="G4639" s="181"/>
      <c r="H4639" s="181"/>
      <c r="I4639" s="181"/>
      <c r="J4639" s="181"/>
      <c r="K4639" s="181"/>
      <c r="L4639" s="181"/>
      <c r="M4639" s="181"/>
      <c r="N4639" s="181"/>
      <c r="O4639" s="181"/>
      <c r="P4639" s="181"/>
    </row>
    <row r="4640">
      <c r="B4640" s="292"/>
      <c r="C4640" s="181"/>
      <c r="D4640" s="181"/>
      <c r="E4640" s="181"/>
      <c r="F4640" s="181"/>
      <c r="G4640" s="181"/>
      <c r="H4640" s="181"/>
      <c r="I4640" s="181"/>
      <c r="J4640" s="181"/>
      <c r="K4640" s="181"/>
      <c r="L4640" s="181"/>
      <c r="M4640" s="181"/>
      <c r="N4640" s="181"/>
      <c r="O4640" s="181"/>
      <c r="P4640" s="181"/>
    </row>
    <row r="4641">
      <c r="B4641" s="292"/>
      <c r="C4641" s="181"/>
      <c r="D4641" s="181"/>
      <c r="E4641" s="181"/>
      <c r="F4641" s="181"/>
      <c r="G4641" s="181"/>
      <c r="H4641" s="181"/>
      <c r="I4641" s="181"/>
      <c r="J4641" s="181"/>
      <c r="K4641" s="181"/>
      <c r="L4641" s="181"/>
      <c r="M4641" s="181"/>
      <c r="N4641" s="181"/>
      <c r="O4641" s="181"/>
      <c r="P4641" s="181"/>
    </row>
    <row r="4642">
      <c r="B4642" s="292"/>
      <c r="C4642" s="181"/>
      <c r="D4642" s="181"/>
      <c r="E4642" s="181"/>
      <c r="F4642" s="181"/>
      <c r="G4642" s="181"/>
      <c r="H4642" s="181"/>
      <c r="I4642" s="181"/>
      <c r="J4642" s="181"/>
      <c r="K4642" s="181"/>
      <c r="L4642" s="181"/>
      <c r="M4642" s="181"/>
      <c r="N4642" s="181"/>
      <c r="O4642" s="181"/>
      <c r="P4642" s="181"/>
    </row>
    <row r="4643">
      <c r="B4643" s="292"/>
      <c r="C4643" s="181"/>
      <c r="D4643" s="181"/>
      <c r="E4643" s="181"/>
      <c r="F4643" s="181"/>
      <c r="G4643" s="181"/>
      <c r="H4643" s="181"/>
      <c r="I4643" s="181"/>
      <c r="J4643" s="181"/>
      <c r="K4643" s="181"/>
      <c r="L4643" s="181"/>
      <c r="M4643" s="181"/>
      <c r="N4643" s="181"/>
      <c r="O4643" s="181"/>
      <c r="P4643" s="181"/>
    </row>
    <row r="4644">
      <c r="B4644" s="292"/>
      <c r="C4644" s="181"/>
      <c r="D4644" s="181"/>
      <c r="E4644" s="181"/>
      <c r="F4644" s="181"/>
      <c r="G4644" s="181"/>
      <c r="H4644" s="181"/>
      <c r="I4644" s="181"/>
      <c r="J4644" s="181"/>
      <c r="K4644" s="181"/>
      <c r="L4644" s="181"/>
      <c r="M4644" s="181"/>
      <c r="N4644" s="181"/>
      <c r="O4644" s="181"/>
      <c r="P4644" s="181"/>
    </row>
    <row r="4645">
      <c r="B4645" s="292"/>
      <c r="C4645" s="181"/>
      <c r="D4645" s="181"/>
      <c r="E4645" s="181"/>
      <c r="F4645" s="181"/>
      <c r="G4645" s="181"/>
      <c r="H4645" s="181"/>
      <c r="I4645" s="181"/>
      <c r="J4645" s="181"/>
      <c r="K4645" s="181"/>
      <c r="L4645" s="181"/>
      <c r="M4645" s="181"/>
      <c r="N4645" s="181"/>
      <c r="O4645" s="181"/>
      <c r="P4645" s="181"/>
    </row>
    <row r="4646">
      <c r="B4646" s="292"/>
      <c r="C4646" s="181"/>
      <c r="D4646" s="181"/>
      <c r="E4646" s="181"/>
      <c r="F4646" s="181"/>
      <c r="G4646" s="181"/>
      <c r="H4646" s="181"/>
      <c r="I4646" s="181"/>
      <c r="J4646" s="181"/>
      <c r="K4646" s="181"/>
      <c r="L4646" s="181"/>
      <c r="M4646" s="181"/>
      <c r="N4646" s="181"/>
      <c r="O4646" s="181"/>
      <c r="P4646" s="181"/>
    </row>
    <row r="4647">
      <c r="B4647" s="292"/>
      <c r="C4647" s="181"/>
      <c r="D4647" s="181"/>
      <c r="E4647" s="181"/>
      <c r="F4647" s="181"/>
      <c r="G4647" s="181"/>
      <c r="H4647" s="181"/>
      <c r="I4647" s="181"/>
      <c r="J4647" s="181"/>
      <c r="K4647" s="181"/>
      <c r="L4647" s="181"/>
      <c r="M4647" s="181"/>
      <c r="N4647" s="181"/>
      <c r="O4647" s="181"/>
      <c r="P4647" s="181"/>
    </row>
    <row r="4648">
      <c r="B4648" s="292"/>
      <c r="C4648" s="181"/>
      <c r="D4648" s="181"/>
      <c r="E4648" s="181"/>
      <c r="F4648" s="181"/>
      <c r="G4648" s="181"/>
      <c r="H4648" s="181"/>
      <c r="I4648" s="181"/>
      <c r="J4648" s="181"/>
      <c r="K4648" s="181"/>
      <c r="L4648" s="181"/>
      <c r="M4648" s="181"/>
      <c r="N4648" s="181"/>
      <c r="O4648" s="181"/>
      <c r="P4648" s="181"/>
    </row>
    <row r="4649">
      <c r="B4649" s="292"/>
      <c r="C4649" s="181"/>
      <c r="D4649" s="181"/>
      <c r="E4649" s="181"/>
      <c r="F4649" s="181"/>
      <c r="G4649" s="181"/>
      <c r="H4649" s="181"/>
      <c r="I4649" s="181"/>
      <c r="J4649" s="181"/>
      <c r="K4649" s="181"/>
      <c r="L4649" s="181"/>
      <c r="M4649" s="181"/>
      <c r="N4649" s="181"/>
      <c r="O4649" s="181"/>
      <c r="P4649" s="181"/>
    </row>
    <row r="4650">
      <c r="B4650" s="292"/>
      <c r="C4650" s="181"/>
      <c r="D4650" s="181"/>
      <c r="E4650" s="181"/>
      <c r="F4650" s="181"/>
      <c r="G4650" s="181"/>
      <c r="H4650" s="181"/>
      <c r="I4650" s="181"/>
      <c r="J4650" s="181"/>
      <c r="K4650" s="181"/>
      <c r="L4650" s="181"/>
      <c r="M4650" s="181"/>
      <c r="N4650" s="181"/>
      <c r="O4650" s="181"/>
      <c r="P4650" s="181"/>
    </row>
    <row r="4651">
      <c r="B4651" s="292"/>
      <c r="C4651" s="181"/>
      <c r="D4651" s="181"/>
      <c r="E4651" s="181"/>
      <c r="F4651" s="181"/>
      <c r="G4651" s="181"/>
      <c r="H4651" s="181"/>
      <c r="I4651" s="181"/>
      <c r="J4651" s="181"/>
      <c r="K4651" s="181"/>
      <c r="L4651" s="181"/>
      <c r="M4651" s="181"/>
      <c r="N4651" s="181"/>
      <c r="O4651" s="181"/>
      <c r="P4651" s="181"/>
    </row>
    <row r="4652">
      <c r="B4652" s="292"/>
      <c r="C4652" s="181"/>
      <c r="D4652" s="181"/>
      <c r="E4652" s="181"/>
      <c r="F4652" s="181"/>
      <c r="G4652" s="181"/>
      <c r="H4652" s="181"/>
      <c r="I4652" s="181"/>
      <c r="J4652" s="181"/>
      <c r="K4652" s="181"/>
      <c r="L4652" s="181"/>
      <c r="M4652" s="181"/>
      <c r="N4652" s="181"/>
      <c r="O4652" s="181"/>
      <c r="P4652" s="181"/>
    </row>
    <row r="4653">
      <c r="B4653" s="292"/>
      <c r="C4653" s="181"/>
      <c r="D4653" s="181"/>
      <c r="E4653" s="181"/>
      <c r="F4653" s="181"/>
      <c r="G4653" s="181"/>
      <c r="H4653" s="181"/>
      <c r="I4653" s="181"/>
      <c r="J4653" s="181"/>
      <c r="K4653" s="181"/>
      <c r="L4653" s="181"/>
      <c r="M4653" s="181"/>
      <c r="N4653" s="181"/>
      <c r="O4653" s="181"/>
      <c r="P4653" s="181"/>
    </row>
    <row r="4654">
      <c r="B4654" s="292"/>
      <c r="C4654" s="181"/>
      <c r="D4654" s="181"/>
      <c r="E4654" s="181"/>
      <c r="F4654" s="181"/>
      <c r="G4654" s="181"/>
      <c r="H4654" s="181"/>
      <c r="I4654" s="181"/>
      <c r="J4654" s="181"/>
      <c r="K4654" s="181"/>
      <c r="L4654" s="181"/>
      <c r="M4654" s="181"/>
      <c r="N4654" s="181"/>
      <c r="O4654" s="181"/>
      <c r="P4654" s="181"/>
    </row>
    <row r="4655">
      <c r="B4655" s="292"/>
      <c r="C4655" s="181"/>
      <c r="D4655" s="181"/>
      <c r="E4655" s="181"/>
      <c r="F4655" s="181"/>
      <c r="G4655" s="181"/>
      <c r="H4655" s="181"/>
      <c r="I4655" s="181"/>
      <c r="J4655" s="181"/>
      <c r="K4655" s="181"/>
      <c r="L4655" s="181"/>
      <c r="M4655" s="181"/>
      <c r="N4655" s="181"/>
      <c r="O4655" s="181"/>
      <c r="P4655" s="181"/>
    </row>
    <row r="4656">
      <c r="B4656" s="292"/>
      <c r="C4656" s="181"/>
      <c r="D4656" s="181"/>
      <c r="E4656" s="181"/>
      <c r="F4656" s="181"/>
      <c r="G4656" s="181"/>
      <c r="H4656" s="181"/>
      <c r="I4656" s="181"/>
      <c r="J4656" s="181"/>
      <c r="K4656" s="181"/>
      <c r="L4656" s="181"/>
      <c r="M4656" s="181"/>
      <c r="N4656" s="181"/>
      <c r="O4656" s="181"/>
      <c r="P4656" s="181"/>
    </row>
    <row r="4657">
      <c r="B4657" s="292"/>
      <c r="C4657" s="181"/>
      <c r="D4657" s="181"/>
      <c r="E4657" s="181"/>
      <c r="F4657" s="181"/>
      <c r="G4657" s="181"/>
      <c r="H4657" s="181"/>
      <c r="I4657" s="181"/>
      <c r="J4657" s="181"/>
      <c r="K4657" s="181"/>
      <c r="L4657" s="181"/>
      <c r="M4657" s="181"/>
      <c r="N4657" s="181"/>
      <c r="O4657" s="181"/>
      <c r="P4657" s="181"/>
    </row>
    <row r="4658">
      <c r="B4658" s="292"/>
      <c r="C4658" s="181"/>
      <c r="D4658" s="181"/>
      <c r="E4658" s="181"/>
      <c r="F4658" s="181"/>
      <c r="G4658" s="181"/>
      <c r="H4658" s="181"/>
      <c r="I4658" s="181"/>
      <c r="J4658" s="181"/>
      <c r="K4658" s="181"/>
      <c r="L4658" s="181"/>
      <c r="M4658" s="181"/>
      <c r="N4658" s="181"/>
      <c r="O4658" s="181"/>
      <c r="P4658" s="181"/>
    </row>
    <row r="4659">
      <c r="B4659" s="292"/>
      <c r="C4659" s="181"/>
      <c r="D4659" s="181"/>
      <c r="E4659" s="181"/>
      <c r="F4659" s="181"/>
      <c r="G4659" s="181"/>
      <c r="H4659" s="181"/>
      <c r="I4659" s="181"/>
      <c r="J4659" s="181"/>
      <c r="K4659" s="181"/>
      <c r="L4659" s="181"/>
      <c r="M4659" s="181"/>
      <c r="N4659" s="181"/>
      <c r="O4659" s="181"/>
      <c r="P4659" s="181"/>
    </row>
    <row r="4660">
      <c r="B4660" s="292"/>
      <c r="C4660" s="181"/>
      <c r="D4660" s="181"/>
      <c r="E4660" s="181"/>
      <c r="F4660" s="181"/>
      <c r="G4660" s="181"/>
      <c r="H4660" s="181"/>
      <c r="I4660" s="181"/>
      <c r="J4660" s="181"/>
      <c r="K4660" s="181"/>
      <c r="L4660" s="181"/>
      <c r="M4660" s="181"/>
      <c r="N4660" s="181"/>
      <c r="O4660" s="181"/>
      <c r="P4660" s="181"/>
    </row>
    <row r="4661">
      <c r="B4661" s="292"/>
      <c r="C4661" s="181"/>
      <c r="D4661" s="181"/>
      <c r="E4661" s="181"/>
      <c r="F4661" s="181"/>
      <c r="G4661" s="181"/>
      <c r="H4661" s="181"/>
      <c r="I4661" s="181"/>
      <c r="J4661" s="181"/>
      <c r="K4661" s="181"/>
      <c r="L4661" s="181"/>
      <c r="M4661" s="181"/>
      <c r="N4661" s="181"/>
      <c r="O4661" s="181"/>
      <c r="P4661" s="181"/>
    </row>
    <row r="4662">
      <c r="B4662" s="292"/>
      <c r="C4662" s="181"/>
      <c r="D4662" s="181"/>
      <c r="E4662" s="181"/>
      <c r="F4662" s="181"/>
      <c r="G4662" s="181"/>
      <c r="H4662" s="181"/>
      <c r="I4662" s="181"/>
      <c r="J4662" s="181"/>
      <c r="K4662" s="181"/>
      <c r="L4662" s="181"/>
      <c r="M4662" s="181"/>
      <c r="N4662" s="181"/>
      <c r="O4662" s="181"/>
      <c r="P4662" s="181"/>
    </row>
    <row r="4663">
      <c r="B4663" s="292"/>
      <c r="C4663" s="181"/>
      <c r="D4663" s="181"/>
      <c r="E4663" s="181"/>
      <c r="F4663" s="181"/>
      <c r="G4663" s="181"/>
      <c r="H4663" s="181"/>
      <c r="I4663" s="181"/>
      <c r="J4663" s="181"/>
      <c r="K4663" s="181"/>
      <c r="L4663" s="181"/>
      <c r="M4663" s="181"/>
      <c r="N4663" s="181"/>
      <c r="O4663" s="181"/>
      <c r="P4663" s="181"/>
    </row>
    <row r="4664">
      <c r="B4664" s="292"/>
      <c r="C4664" s="181"/>
      <c r="D4664" s="181"/>
      <c r="E4664" s="181"/>
      <c r="F4664" s="181"/>
      <c r="G4664" s="181"/>
      <c r="H4664" s="181"/>
      <c r="I4664" s="181"/>
      <c r="J4664" s="181"/>
      <c r="K4664" s="181"/>
      <c r="L4664" s="181"/>
      <c r="M4664" s="181"/>
      <c r="N4664" s="181"/>
      <c r="O4664" s="181"/>
      <c r="P4664" s="181"/>
    </row>
    <row r="4665">
      <c r="B4665" s="292"/>
      <c r="C4665" s="181"/>
      <c r="D4665" s="181"/>
      <c r="E4665" s="181"/>
      <c r="F4665" s="181"/>
      <c r="G4665" s="181"/>
      <c r="H4665" s="181"/>
      <c r="I4665" s="181"/>
      <c r="J4665" s="181"/>
      <c r="K4665" s="181"/>
      <c r="L4665" s="181"/>
      <c r="M4665" s="181"/>
      <c r="N4665" s="181"/>
      <c r="O4665" s="181"/>
      <c r="P4665" s="181"/>
    </row>
    <row r="4666">
      <c r="B4666" s="292"/>
      <c r="C4666" s="181"/>
      <c r="D4666" s="181"/>
      <c r="E4666" s="181"/>
      <c r="F4666" s="181"/>
      <c r="G4666" s="181"/>
      <c r="H4666" s="181"/>
      <c r="I4666" s="181"/>
      <c r="J4666" s="181"/>
      <c r="K4666" s="181"/>
      <c r="L4666" s="181"/>
      <c r="M4666" s="181"/>
      <c r="N4666" s="181"/>
      <c r="O4666" s="181"/>
      <c r="P4666" s="181"/>
    </row>
    <row r="4667">
      <c r="B4667" s="292"/>
      <c r="C4667" s="181"/>
      <c r="D4667" s="181"/>
      <c r="E4667" s="181"/>
      <c r="F4667" s="181"/>
      <c r="G4667" s="181"/>
      <c r="H4667" s="181"/>
      <c r="I4667" s="181"/>
      <c r="J4667" s="181"/>
      <c r="K4667" s="181"/>
      <c r="L4667" s="181"/>
      <c r="M4667" s="181"/>
      <c r="N4667" s="181"/>
      <c r="O4667" s="181"/>
      <c r="P4667" s="181"/>
    </row>
    <row r="4668">
      <c r="B4668" s="292"/>
      <c r="C4668" s="181"/>
      <c r="D4668" s="181"/>
      <c r="E4668" s="181"/>
      <c r="F4668" s="181"/>
      <c r="G4668" s="181"/>
      <c r="H4668" s="181"/>
      <c r="I4668" s="181"/>
      <c r="J4668" s="181"/>
      <c r="K4668" s="181"/>
      <c r="L4668" s="181"/>
      <c r="M4668" s="181"/>
      <c r="N4668" s="181"/>
      <c r="O4668" s="181"/>
      <c r="P4668" s="181"/>
    </row>
    <row r="4669">
      <c r="B4669" s="292"/>
      <c r="C4669" s="181"/>
      <c r="D4669" s="181"/>
      <c r="E4669" s="181"/>
      <c r="F4669" s="181"/>
      <c r="G4669" s="181"/>
      <c r="H4669" s="181"/>
      <c r="I4669" s="181"/>
      <c r="J4669" s="181"/>
      <c r="K4669" s="181"/>
      <c r="L4669" s="181"/>
      <c r="M4669" s="181"/>
      <c r="N4669" s="181"/>
      <c r="O4669" s="181"/>
      <c r="P4669" s="181"/>
    </row>
    <row r="4670">
      <c r="B4670" s="292"/>
      <c r="C4670" s="181"/>
      <c r="D4670" s="181"/>
      <c r="E4670" s="181"/>
      <c r="F4670" s="181"/>
      <c r="G4670" s="181"/>
      <c r="H4670" s="181"/>
      <c r="I4670" s="181"/>
      <c r="J4670" s="181"/>
      <c r="K4670" s="181"/>
      <c r="L4670" s="181"/>
      <c r="M4670" s="181"/>
      <c r="N4670" s="181"/>
      <c r="O4670" s="181"/>
      <c r="P4670" s="181"/>
    </row>
    <row r="4671">
      <c r="B4671" s="292"/>
      <c r="C4671" s="181"/>
      <c r="D4671" s="181"/>
      <c r="E4671" s="181"/>
      <c r="F4671" s="181"/>
      <c r="G4671" s="181"/>
      <c r="H4671" s="181"/>
      <c r="I4671" s="181"/>
      <c r="J4671" s="181"/>
      <c r="K4671" s="181"/>
      <c r="L4671" s="181"/>
      <c r="M4671" s="181"/>
      <c r="N4671" s="181"/>
      <c r="O4671" s="181"/>
      <c r="P4671" s="181"/>
    </row>
    <row r="4672">
      <c r="B4672" s="292"/>
      <c r="C4672" s="181"/>
      <c r="D4672" s="181"/>
      <c r="E4672" s="181"/>
      <c r="F4672" s="181"/>
      <c r="G4672" s="181"/>
      <c r="H4672" s="181"/>
      <c r="I4672" s="181"/>
      <c r="J4672" s="181"/>
      <c r="K4672" s="181"/>
      <c r="L4672" s="181"/>
      <c r="M4672" s="181"/>
      <c r="N4672" s="181"/>
      <c r="O4672" s="181"/>
      <c r="P4672" s="181"/>
    </row>
    <row r="4673">
      <c r="B4673" s="292"/>
      <c r="C4673" s="181"/>
      <c r="D4673" s="181"/>
      <c r="E4673" s="181"/>
      <c r="F4673" s="181"/>
      <c r="G4673" s="181"/>
      <c r="H4673" s="181"/>
      <c r="I4673" s="181"/>
      <c r="J4673" s="181"/>
      <c r="K4673" s="181"/>
      <c r="L4673" s="181"/>
      <c r="M4673" s="181"/>
      <c r="N4673" s="181"/>
      <c r="O4673" s="181"/>
      <c r="P4673" s="181"/>
    </row>
    <row r="4674">
      <c r="B4674" s="292"/>
      <c r="C4674" s="181"/>
      <c r="D4674" s="181"/>
      <c r="E4674" s="181"/>
      <c r="F4674" s="181"/>
      <c r="G4674" s="181"/>
      <c r="H4674" s="181"/>
      <c r="I4674" s="181"/>
      <c r="J4674" s="181"/>
      <c r="K4674" s="181"/>
      <c r="L4674" s="181"/>
      <c r="M4674" s="181"/>
      <c r="N4674" s="181"/>
      <c r="O4674" s="181"/>
      <c r="P4674" s="181"/>
    </row>
    <row r="4675">
      <c r="B4675" s="292"/>
      <c r="C4675" s="181"/>
      <c r="D4675" s="181"/>
      <c r="E4675" s="181"/>
      <c r="F4675" s="181"/>
      <c r="G4675" s="181"/>
      <c r="H4675" s="181"/>
      <c r="I4675" s="181"/>
      <c r="J4675" s="181"/>
      <c r="K4675" s="181"/>
      <c r="L4675" s="181"/>
      <c r="M4675" s="181"/>
      <c r="N4675" s="181"/>
      <c r="O4675" s="181"/>
      <c r="P4675" s="181"/>
    </row>
    <row r="4676">
      <c r="B4676" s="292"/>
      <c r="C4676" s="181"/>
      <c r="D4676" s="181"/>
      <c r="E4676" s="181"/>
      <c r="F4676" s="181"/>
      <c r="G4676" s="181"/>
      <c r="H4676" s="181"/>
      <c r="I4676" s="181"/>
      <c r="J4676" s="181"/>
      <c r="K4676" s="181"/>
      <c r="L4676" s="181"/>
      <c r="M4676" s="181"/>
      <c r="N4676" s="181"/>
      <c r="O4676" s="181"/>
      <c r="P4676" s="181"/>
    </row>
    <row r="4677">
      <c r="B4677" s="292"/>
      <c r="C4677" s="181"/>
      <c r="D4677" s="181"/>
      <c r="E4677" s="181"/>
      <c r="F4677" s="181"/>
      <c r="G4677" s="181"/>
      <c r="H4677" s="181"/>
      <c r="I4677" s="181"/>
      <c r="J4677" s="181"/>
      <c r="K4677" s="181"/>
      <c r="L4677" s="181"/>
      <c r="M4677" s="181"/>
      <c r="N4677" s="181"/>
      <c r="O4677" s="181"/>
      <c r="P4677" s="181"/>
    </row>
    <row r="4678">
      <c r="B4678" s="292"/>
      <c r="C4678" s="181"/>
      <c r="D4678" s="181"/>
      <c r="E4678" s="181"/>
      <c r="F4678" s="181"/>
      <c r="G4678" s="181"/>
      <c r="H4678" s="181"/>
      <c r="I4678" s="181"/>
      <c r="J4678" s="181"/>
      <c r="K4678" s="181"/>
      <c r="L4678" s="181"/>
      <c r="M4678" s="181"/>
      <c r="N4678" s="181"/>
      <c r="O4678" s="181"/>
      <c r="P4678" s="181"/>
    </row>
    <row r="4679">
      <c r="B4679" s="292"/>
      <c r="C4679" s="181"/>
      <c r="D4679" s="181"/>
      <c r="E4679" s="181"/>
      <c r="F4679" s="181"/>
      <c r="G4679" s="181"/>
      <c r="H4679" s="181"/>
      <c r="I4679" s="181"/>
      <c r="J4679" s="181"/>
      <c r="K4679" s="181"/>
      <c r="L4679" s="181"/>
      <c r="M4679" s="181"/>
      <c r="N4679" s="181"/>
      <c r="O4679" s="181"/>
      <c r="P4679" s="181"/>
    </row>
    <row r="4680">
      <c r="B4680" s="292"/>
      <c r="C4680" s="181"/>
      <c r="D4680" s="181"/>
      <c r="E4680" s="181"/>
      <c r="F4680" s="181"/>
      <c r="G4680" s="181"/>
      <c r="H4680" s="181"/>
      <c r="I4680" s="181"/>
      <c r="J4680" s="181"/>
      <c r="K4680" s="181"/>
      <c r="L4680" s="181"/>
      <c r="M4680" s="181"/>
      <c r="N4680" s="181"/>
      <c r="O4680" s="181"/>
      <c r="P4680" s="181"/>
    </row>
    <row r="4681">
      <c r="B4681" s="292"/>
      <c r="C4681" s="181"/>
      <c r="D4681" s="181"/>
      <c r="E4681" s="181"/>
      <c r="F4681" s="181"/>
      <c r="G4681" s="181"/>
      <c r="H4681" s="181"/>
      <c r="I4681" s="181"/>
      <c r="J4681" s="181"/>
      <c r="K4681" s="181"/>
      <c r="L4681" s="181"/>
      <c r="M4681" s="181"/>
      <c r="N4681" s="181"/>
      <c r="O4681" s="181"/>
      <c r="P4681" s="181"/>
    </row>
    <row r="4682">
      <c r="B4682" s="292"/>
      <c r="C4682" s="181"/>
      <c r="D4682" s="181"/>
      <c r="E4682" s="181"/>
      <c r="F4682" s="181"/>
      <c r="G4682" s="181"/>
      <c r="H4682" s="181"/>
      <c r="I4682" s="181"/>
      <c r="J4682" s="181"/>
      <c r="K4682" s="181"/>
      <c r="L4682" s="181"/>
      <c r="M4682" s="181"/>
      <c r="N4682" s="181"/>
      <c r="O4682" s="181"/>
      <c r="P4682" s="181"/>
    </row>
    <row r="4683">
      <c r="B4683" s="292"/>
      <c r="C4683" s="181"/>
      <c r="D4683" s="181"/>
      <c r="E4683" s="181"/>
      <c r="F4683" s="181"/>
      <c r="G4683" s="181"/>
      <c r="H4683" s="181"/>
      <c r="I4683" s="181"/>
      <c r="J4683" s="181"/>
      <c r="K4683" s="181"/>
      <c r="L4683" s="181"/>
      <c r="M4683" s="181"/>
      <c r="N4683" s="181"/>
      <c r="O4683" s="181"/>
      <c r="P4683" s="181"/>
    </row>
    <row r="4684">
      <c r="B4684" s="292"/>
      <c r="C4684" s="181"/>
      <c r="D4684" s="181"/>
      <c r="E4684" s="181"/>
      <c r="F4684" s="181"/>
      <c r="G4684" s="181"/>
      <c r="H4684" s="181"/>
      <c r="I4684" s="181"/>
      <c r="J4684" s="181"/>
      <c r="K4684" s="181"/>
      <c r="L4684" s="181"/>
      <c r="M4684" s="181"/>
      <c r="N4684" s="181"/>
      <c r="O4684" s="181"/>
      <c r="P4684" s="181"/>
    </row>
    <row r="4685">
      <c r="B4685" s="292"/>
      <c r="C4685" s="181"/>
      <c r="D4685" s="181"/>
      <c r="E4685" s="181"/>
      <c r="F4685" s="181"/>
      <c r="G4685" s="181"/>
      <c r="H4685" s="181"/>
      <c r="I4685" s="181"/>
      <c r="J4685" s="181"/>
      <c r="K4685" s="181"/>
      <c r="L4685" s="181"/>
      <c r="M4685" s="181"/>
      <c r="N4685" s="181"/>
      <c r="O4685" s="181"/>
      <c r="P4685" s="181"/>
    </row>
    <row r="4686">
      <c r="B4686" s="292"/>
      <c r="C4686" s="181"/>
      <c r="D4686" s="181"/>
      <c r="E4686" s="181"/>
      <c r="F4686" s="181"/>
      <c r="G4686" s="181"/>
      <c r="H4686" s="181"/>
      <c r="I4686" s="181"/>
      <c r="J4686" s="181"/>
      <c r="K4686" s="181"/>
      <c r="L4686" s="181"/>
      <c r="M4686" s="181"/>
      <c r="N4686" s="181"/>
      <c r="O4686" s="181"/>
      <c r="P4686" s="181"/>
    </row>
    <row r="4687">
      <c r="B4687" s="292"/>
      <c r="C4687" s="181"/>
      <c r="D4687" s="181"/>
      <c r="E4687" s="181"/>
      <c r="F4687" s="181"/>
      <c r="G4687" s="181"/>
      <c r="H4687" s="181"/>
      <c r="I4687" s="181"/>
      <c r="J4687" s="181"/>
      <c r="K4687" s="181"/>
      <c r="L4687" s="181"/>
      <c r="M4687" s="181"/>
      <c r="N4687" s="181"/>
      <c r="O4687" s="181"/>
      <c r="P4687" s="181"/>
    </row>
    <row r="4688">
      <c r="B4688" s="292"/>
      <c r="C4688" s="181"/>
      <c r="D4688" s="181"/>
      <c r="E4688" s="181"/>
      <c r="F4688" s="181"/>
      <c r="G4688" s="181"/>
      <c r="H4688" s="181"/>
      <c r="I4688" s="181"/>
      <c r="J4688" s="181"/>
      <c r="K4688" s="181"/>
      <c r="L4688" s="181"/>
      <c r="M4688" s="181"/>
      <c r="N4688" s="181"/>
      <c r="O4688" s="181"/>
      <c r="P4688" s="181"/>
    </row>
    <row r="4689">
      <c r="B4689" s="292"/>
      <c r="C4689" s="181"/>
      <c r="D4689" s="181"/>
      <c r="E4689" s="181"/>
      <c r="F4689" s="181"/>
      <c r="G4689" s="181"/>
      <c r="H4689" s="181"/>
      <c r="I4689" s="181"/>
      <c r="J4689" s="181"/>
      <c r="K4689" s="181"/>
      <c r="L4689" s="181"/>
      <c r="M4689" s="181"/>
      <c r="N4689" s="181"/>
      <c r="O4689" s="181"/>
      <c r="P4689" s="181"/>
    </row>
    <row r="4690">
      <c r="B4690" s="292"/>
      <c r="C4690" s="181"/>
      <c r="D4690" s="181"/>
      <c r="E4690" s="181"/>
      <c r="F4690" s="181"/>
      <c r="G4690" s="181"/>
      <c r="H4690" s="181"/>
      <c r="I4690" s="181"/>
      <c r="J4690" s="181"/>
      <c r="K4690" s="181"/>
      <c r="L4690" s="181"/>
      <c r="M4690" s="181"/>
      <c r="N4690" s="181"/>
      <c r="O4690" s="181"/>
      <c r="P4690" s="181"/>
    </row>
    <row r="4691">
      <c r="B4691" s="292"/>
      <c r="C4691" s="181"/>
      <c r="D4691" s="181"/>
      <c r="E4691" s="181"/>
      <c r="F4691" s="181"/>
      <c r="G4691" s="181"/>
      <c r="H4691" s="181"/>
      <c r="I4691" s="181"/>
      <c r="J4691" s="181"/>
      <c r="K4691" s="181"/>
      <c r="L4691" s="181"/>
      <c r="M4691" s="181"/>
      <c r="N4691" s="181"/>
      <c r="O4691" s="181"/>
      <c r="P4691" s="181"/>
    </row>
    <row r="4692">
      <c r="B4692" s="292"/>
      <c r="C4692" s="181"/>
      <c r="D4692" s="181"/>
      <c r="E4692" s="181"/>
      <c r="F4692" s="181"/>
      <c r="G4692" s="181"/>
      <c r="H4692" s="181"/>
      <c r="I4692" s="181"/>
      <c r="J4692" s="181"/>
      <c r="K4692" s="181"/>
      <c r="L4692" s="181"/>
      <c r="M4692" s="181"/>
      <c r="N4692" s="181"/>
      <c r="O4692" s="181"/>
      <c r="P4692" s="181"/>
    </row>
    <row r="4693">
      <c r="B4693" s="292"/>
      <c r="C4693" s="181"/>
      <c r="D4693" s="181"/>
      <c r="E4693" s="181"/>
      <c r="F4693" s="181"/>
      <c r="G4693" s="181"/>
      <c r="H4693" s="181"/>
      <c r="I4693" s="181"/>
      <c r="J4693" s="181"/>
      <c r="K4693" s="181"/>
      <c r="L4693" s="181"/>
      <c r="M4693" s="181"/>
      <c r="N4693" s="181"/>
      <c r="O4693" s="181"/>
      <c r="P4693" s="181"/>
    </row>
    <row r="4694">
      <c r="B4694" s="292"/>
      <c r="C4694" s="181"/>
      <c r="D4694" s="181"/>
      <c r="E4694" s="181"/>
      <c r="F4694" s="181"/>
      <c r="G4694" s="181"/>
      <c r="H4694" s="181"/>
      <c r="I4694" s="181"/>
      <c r="J4694" s="181"/>
      <c r="K4694" s="181"/>
      <c r="L4694" s="181"/>
      <c r="M4694" s="181"/>
      <c r="N4694" s="181"/>
      <c r="O4694" s="181"/>
      <c r="P4694" s="181"/>
    </row>
    <row r="4695">
      <c r="B4695" s="292"/>
      <c r="C4695" s="181"/>
      <c r="D4695" s="181"/>
      <c r="E4695" s="181"/>
      <c r="F4695" s="181"/>
      <c r="G4695" s="181"/>
      <c r="H4695" s="181"/>
      <c r="I4695" s="181"/>
      <c r="J4695" s="181"/>
      <c r="K4695" s="181"/>
      <c r="L4695" s="181"/>
      <c r="M4695" s="181"/>
      <c r="N4695" s="181"/>
      <c r="O4695" s="181"/>
      <c r="P4695" s="181"/>
    </row>
    <row r="4696">
      <c r="B4696" s="292"/>
      <c r="C4696" s="181"/>
      <c r="D4696" s="181"/>
      <c r="E4696" s="181"/>
      <c r="F4696" s="181"/>
      <c r="G4696" s="181"/>
      <c r="H4696" s="181"/>
      <c r="I4696" s="181"/>
      <c r="J4696" s="181"/>
      <c r="K4696" s="181"/>
      <c r="L4696" s="181"/>
      <c r="M4696" s="181"/>
      <c r="N4696" s="181"/>
      <c r="O4696" s="181"/>
      <c r="P4696" s="181"/>
    </row>
    <row r="4697">
      <c r="B4697" s="292"/>
      <c r="C4697" s="181"/>
      <c r="D4697" s="181"/>
      <c r="E4697" s="181"/>
      <c r="F4697" s="181"/>
      <c r="G4697" s="181"/>
      <c r="H4697" s="181"/>
      <c r="I4697" s="181"/>
      <c r="J4697" s="181"/>
      <c r="K4697" s="181"/>
      <c r="L4697" s="181"/>
      <c r="M4697" s="181"/>
      <c r="N4697" s="181"/>
      <c r="O4697" s="181"/>
      <c r="P4697" s="181"/>
    </row>
    <row r="4698">
      <c r="B4698" s="292"/>
      <c r="C4698" s="181"/>
      <c r="D4698" s="181"/>
      <c r="E4698" s="181"/>
      <c r="F4698" s="181"/>
      <c r="G4698" s="181"/>
      <c r="H4698" s="181"/>
      <c r="I4698" s="181"/>
      <c r="J4698" s="181"/>
      <c r="K4698" s="181"/>
      <c r="L4698" s="181"/>
      <c r="M4698" s="181"/>
      <c r="N4698" s="181"/>
      <c r="O4698" s="181"/>
      <c r="P4698" s="181"/>
    </row>
    <row r="4699">
      <c r="B4699" s="292"/>
      <c r="C4699" s="181"/>
      <c r="D4699" s="181"/>
      <c r="E4699" s="181"/>
      <c r="F4699" s="181"/>
      <c r="G4699" s="181"/>
      <c r="H4699" s="181"/>
      <c r="I4699" s="181"/>
      <c r="J4699" s="181"/>
      <c r="K4699" s="181"/>
      <c r="L4699" s="181"/>
      <c r="M4699" s="181"/>
      <c r="N4699" s="181"/>
      <c r="O4699" s="181"/>
      <c r="P4699" s="181"/>
    </row>
    <row r="4700">
      <c r="B4700" s="292"/>
      <c r="C4700" s="181"/>
      <c r="D4700" s="181"/>
      <c r="E4700" s="181"/>
      <c r="F4700" s="181"/>
      <c r="G4700" s="181"/>
      <c r="H4700" s="181"/>
      <c r="I4700" s="181"/>
      <c r="J4700" s="181"/>
      <c r="K4700" s="181"/>
      <c r="L4700" s="181"/>
      <c r="M4700" s="181"/>
      <c r="N4700" s="181"/>
      <c r="O4700" s="181"/>
      <c r="P4700" s="181"/>
    </row>
    <row r="4701">
      <c r="B4701" s="292"/>
      <c r="C4701" s="181"/>
      <c r="D4701" s="181"/>
      <c r="E4701" s="181"/>
      <c r="F4701" s="181"/>
      <c r="G4701" s="181"/>
      <c r="H4701" s="181"/>
      <c r="I4701" s="181"/>
      <c r="J4701" s="181"/>
      <c r="K4701" s="181"/>
      <c r="L4701" s="181"/>
      <c r="M4701" s="181"/>
      <c r="N4701" s="181"/>
      <c r="O4701" s="181"/>
      <c r="P4701" s="181"/>
    </row>
    <row r="4702">
      <c r="B4702" s="292"/>
      <c r="C4702" s="181"/>
      <c r="D4702" s="181"/>
      <c r="E4702" s="181"/>
      <c r="F4702" s="181"/>
      <c r="G4702" s="181"/>
      <c r="H4702" s="181"/>
      <c r="I4702" s="181"/>
      <c r="J4702" s="181"/>
      <c r="K4702" s="181"/>
      <c r="L4702" s="181"/>
      <c r="M4702" s="181"/>
      <c r="N4702" s="181"/>
      <c r="O4702" s="181"/>
      <c r="P4702" s="181"/>
    </row>
    <row r="4703">
      <c r="B4703" s="292"/>
      <c r="C4703" s="181"/>
      <c r="D4703" s="181"/>
      <c r="E4703" s="181"/>
      <c r="F4703" s="181"/>
      <c r="G4703" s="181"/>
      <c r="H4703" s="181"/>
      <c r="I4703" s="181"/>
      <c r="J4703" s="181"/>
      <c r="K4703" s="181"/>
      <c r="L4703" s="181"/>
      <c r="M4703" s="181"/>
      <c r="N4703" s="181"/>
      <c r="O4703" s="181"/>
      <c r="P4703" s="181"/>
    </row>
    <row r="4704">
      <c r="B4704" s="292"/>
      <c r="C4704" s="181"/>
      <c r="D4704" s="181"/>
      <c r="E4704" s="181"/>
      <c r="F4704" s="181"/>
      <c r="G4704" s="181"/>
      <c r="H4704" s="181"/>
      <c r="I4704" s="181"/>
      <c r="J4704" s="181"/>
      <c r="K4704" s="181"/>
      <c r="L4704" s="181"/>
      <c r="M4704" s="181"/>
      <c r="N4704" s="181"/>
      <c r="O4704" s="181"/>
      <c r="P4704" s="181"/>
    </row>
    <row r="4705">
      <c r="B4705" s="292"/>
      <c r="C4705" s="181"/>
      <c r="D4705" s="181"/>
      <c r="E4705" s="181"/>
      <c r="F4705" s="181"/>
      <c r="G4705" s="181"/>
      <c r="H4705" s="181"/>
      <c r="I4705" s="181"/>
      <c r="J4705" s="181"/>
      <c r="K4705" s="181"/>
      <c r="L4705" s="181"/>
      <c r="M4705" s="181"/>
      <c r="N4705" s="181"/>
      <c r="O4705" s="181"/>
      <c r="P4705" s="181"/>
    </row>
    <row r="4706">
      <c r="B4706" s="292"/>
      <c r="C4706" s="181"/>
      <c r="D4706" s="181"/>
      <c r="E4706" s="181"/>
      <c r="F4706" s="181"/>
      <c r="G4706" s="181"/>
      <c r="H4706" s="181"/>
      <c r="I4706" s="181"/>
      <c r="J4706" s="181"/>
      <c r="K4706" s="181"/>
      <c r="L4706" s="181"/>
      <c r="M4706" s="181"/>
      <c r="N4706" s="181"/>
      <c r="O4706" s="181"/>
      <c r="P4706" s="181"/>
    </row>
    <row r="4707">
      <c r="B4707" s="292"/>
      <c r="C4707" s="181"/>
      <c r="D4707" s="181"/>
      <c r="E4707" s="181"/>
      <c r="F4707" s="181"/>
      <c r="G4707" s="181"/>
      <c r="H4707" s="181"/>
      <c r="I4707" s="181"/>
      <c r="J4707" s="181"/>
      <c r="K4707" s="181"/>
      <c r="L4707" s="181"/>
      <c r="M4707" s="181"/>
      <c r="N4707" s="181"/>
      <c r="O4707" s="181"/>
      <c r="P4707" s="181"/>
    </row>
    <row r="4708">
      <c r="B4708" s="292"/>
      <c r="C4708" s="181"/>
      <c r="D4708" s="181"/>
      <c r="E4708" s="181"/>
      <c r="F4708" s="181"/>
      <c r="G4708" s="181"/>
      <c r="H4708" s="181"/>
      <c r="I4708" s="181"/>
      <c r="J4708" s="181"/>
      <c r="K4708" s="181"/>
      <c r="L4708" s="181"/>
      <c r="M4708" s="181"/>
      <c r="N4708" s="181"/>
      <c r="O4708" s="181"/>
      <c r="P4708" s="181"/>
    </row>
    <row r="4709">
      <c r="B4709" s="292"/>
      <c r="C4709" s="181"/>
      <c r="D4709" s="181"/>
      <c r="E4709" s="181"/>
      <c r="F4709" s="181"/>
      <c r="G4709" s="181"/>
      <c r="H4709" s="181"/>
      <c r="I4709" s="181"/>
      <c r="J4709" s="181"/>
      <c r="K4709" s="181"/>
      <c r="L4709" s="181"/>
      <c r="M4709" s="181"/>
      <c r="N4709" s="181"/>
      <c r="O4709" s="181"/>
      <c r="P4709" s="181"/>
    </row>
    <row r="4710">
      <c r="B4710" s="292"/>
      <c r="C4710" s="181"/>
      <c r="D4710" s="181"/>
      <c r="E4710" s="181"/>
      <c r="F4710" s="181"/>
      <c r="G4710" s="181"/>
      <c r="H4710" s="181"/>
      <c r="I4710" s="181"/>
      <c r="J4710" s="181"/>
      <c r="K4710" s="181"/>
      <c r="L4710" s="181"/>
      <c r="M4710" s="181"/>
      <c r="N4710" s="181"/>
      <c r="O4710" s="181"/>
      <c r="P4710" s="181"/>
    </row>
    <row r="4711">
      <c r="B4711" s="292"/>
      <c r="C4711" s="181"/>
      <c r="D4711" s="181"/>
      <c r="E4711" s="181"/>
      <c r="F4711" s="181"/>
      <c r="G4711" s="181"/>
      <c r="H4711" s="181"/>
      <c r="I4711" s="181"/>
      <c r="J4711" s="181"/>
      <c r="K4711" s="181"/>
      <c r="L4711" s="181"/>
      <c r="M4711" s="181"/>
      <c r="N4711" s="181"/>
      <c r="O4711" s="181"/>
      <c r="P4711" s="181"/>
    </row>
    <row r="4712">
      <c r="B4712" s="292"/>
      <c r="C4712" s="181"/>
      <c r="D4712" s="181"/>
      <c r="E4712" s="181"/>
      <c r="F4712" s="181"/>
      <c r="G4712" s="181"/>
      <c r="H4712" s="181"/>
      <c r="I4712" s="181"/>
      <c r="J4712" s="181"/>
      <c r="K4712" s="181"/>
      <c r="L4712" s="181"/>
      <c r="M4712" s="181"/>
      <c r="N4712" s="181"/>
      <c r="O4712" s="181"/>
      <c r="P4712" s="181"/>
    </row>
    <row r="4713">
      <c r="B4713" s="292"/>
      <c r="C4713" s="181"/>
      <c r="D4713" s="181"/>
      <c r="E4713" s="181"/>
      <c r="F4713" s="181"/>
      <c r="G4713" s="181"/>
      <c r="H4713" s="181"/>
      <c r="I4713" s="181"/>
      <c r="J4713" s="181"/>
      <c r="K4713" s="181"/>
      <c r="L4713" s="181"/>
      <c r="M4713" s="181"/>
      <c r="N4713" s="181"/>
      <c r="O4713" s="181"/>
      <c r="P4713" s="181"/>
    </row>
    <row r="4714">
      <c r="B4714" s="292"/>
      <c r="C4714" s="181"/>
      <c r="D4714" s="181"/>
      <c r="E4714" s="181"/>
      <c r="F4714" s="181"/>
      <c r="G4714" s="181"/>
      <c r="H4714" s="181"/>
      <c r="I4714" s="181"/>
      <c r="J4714" s="181"/>
      <c r="K4714" s="181"/>
      <c r="L4714" s="181"/>
      <c r="M4714" s="181"/>
      <c r="N4714" s="181"/>
      <c r="O4714" s="181"/>
      <c r="P4714" s="181"/>
    </row>
    <row r="4715">
      <c r="B4715" s="292"/>
      <c r="C4715" s="181"/>
      <c r="D4715" s="181"/>
      <c r="E4715" s="181"/>
      <c r="F4715" s="181"/>
      <c r="G4715" s="181"/>
      <c r="H4715" s="181"/>
      <c r="I4715" s="181"/>
      <c r="J4715" s="181"/>
      <c r="K4715" s="181"/>
      <c r="L4715" s="181"/>
      <c r="M4715" s="181"/>
      <c r="N4715" s="181"/>
      <c r="O4715" s="181"/>
      <c r="P4715" s="181"/>
    </row>
    <row r="4716">
      <c r="B4716" s="292"/>
      <c r="C4716" s="181"/>
      <c r="D4716" s="181"/>
      <c r="E4716" s="181"/>
      <c r="F4716" s="181"/>
      <c r="G4716" s="181"/>
      <c r="H4716" s="181"/>
      <c r="I4716" s="181"/>
      <c r="J4716" s="181"/>
      <c r="K4716" s="181"/>
      <c r="L4716" s="181"/>
      <c r="M4716" s="181"/>
      <c r="N4716" s="181"/>
      <c r="O4716" s="181"/>
      <c r="P4716" s="181"/>
    </row>
    <row r="4717">
      <c r="B4717" s="292"/>
      <c r="C4717" s="181"/>
      <c r="D4717" s="181"/>
      <c r="E4717" s="181"/>
      <c r="F4717" s="181"/>
      <c r="G4717" s="181"/>
      <c r="H4717" s="181"/>
      <c r="I4717" s="181"/>
      <c r="J4717" s="181"/>
      <c r="K4717" s="181"/>
      <c r="L4717" s="181"/>
      <c r="M4717" s="181"/>
      <c r="N4717" s="181"/>
      <c r="O4717" s="181"/>
      <c r="P4717" s="181"/>
    </row>
    <row r="4718">
      <c r="B4718" s="292"/>
      <c r="C4718" s="181"/>
      <c r="D4718" s="181"/>
      <c r="E4718" s="181"/>
      <c r="F4718" s="181"/>
      <c r="G4718" s="181"/>
      <c r="H4718" s="181"/>
      <c r="I4718" s="181"/>
      <c r="J4718" s="181"/>
      <c r="K4718" s="181"/>
      <c r="L4718" s="181"/>
      <c r="M4718" s="181"/>
      <c r="N4718" s="181"/>
      <c r="O4718" s="181"/>
      <c r="P4718" s="181"/>
    </row>
    <row r="4719">
      <c r="B4719" s="292"/>
      <c r="C4719" s="181"/>
      <c r="D4719" s="181"/>
      <c r="E4719" s="181"/>
      <c r="F4719" s="181"/>
      <c r="G4719" s="181"/>
      <c r="H4719" s="181"/>
      <c r="I4719" s="181"/>
      <c r="J4719" s="181"/>
      <c r="K4719" s="181"/>
      <c r="L4719" s="181"/>
      <c r="M4719" s="181"/>
      <c r="N4719" s="181"/>
      <c r="O4719" s="181"/>
      <c r="P4719" s="181"/>
    </row>
    <row r="4720">
      <c r="B4720" s="292"/>
      <c r="C4720" s="181"/>
      <c r="D4720" s="181"/>
      <c r="E4720" s="181"/>
      <c r="F4720" s="181"/>
      <c r="G4720" s="181"/>
      <c r="H4720" s="181"/>
      <c r="I4720" s="181"/>
      <c r="J4720" s="181"/>
      <c r="K4720" s="181"/>
      <c r="L4720" s="181"/>
      <c r="M4720" s="181"/>
      <c r="N4720" s="181"/>
      <c r="O4720" s="181"/>
      <c r="P4720" s="181"/>
    </row>
    <row r="4721">
      <c r="B4721" s="292"/>
      <c r="C4721" s="181"/>
      <c r="D4721" s="181"/>
      <c r="E4721" s="181"/>
      <c r="F4721" s="181"/>
      <c r="G4721" s="181"/>
      <c r="H4721" s="181"/>
      <c r="I4721" s="181"/>
      <c r="J4721" s="181"/>
      <c r="K4721" s="181"/>
      <c r="L4721" s="181"/>
      <c r="M4721" s="181"/>
      <c r="N4721" s="181"/>
      <c r="O4721" s="181"/>
      <c r="P4721" s="181"/>
    </row>
    <row r="4722">
      <c r="B4722" s="292"/>
      <c r="C4722" s="181"/>
      <c r="D4722" s="181"/>
      <c r="E4722" s="181"/>
      <c r="F4722" s="181"/>
      <c r="G4722" s="181"/>
      <c r="H4722" s="181"/>
      <c r="I4722" s="181"/>
      <c r="J4722" s="181"/>
      <c r="K4722" s="181"/>
      <c r="L4722" s="181"/>
      <c r="M4722" s="181"/>
      <c r="N4722" s="181"/>
      <c r="O4722" s="181"/>
      <c r="P4722" s="181"/>
    </row>
    <row r="4723">
      <c r="B4723" s="292"/>
      <c r="C4723" s="181"/>
      <c r="D4723" s="181"/>
      <c r="E4723" s="181"/>
      <c r="F4723" s="181"/>
      <c r="G4723" s="181"/>
      <c r="H4723" s="181"/>
      <c r="I4723" s="181"/>
      <c r="J4723" s="181"/>
      <c r="K4723" s="181"/>
      <c r="L4723" s="181"/>
      <c r="M4723" s="181"/>
      <c r="N4723" s="181"/>
      <c r="O4723" s="181"/>
      <c r="P4723" s="181"/>
    </row>
    <row r="4724">
      <c r="B4724" s="292"/>
      <c r="C4724" s="181"/>
      <c r="D4724" s="181"/>
      <c r="E4724" s="181"/>
      <c r="F4724" s="181"/>
      <c r="G4724" s="181"/>
      <c r="H4724" s="181"/>
      <c r="I4724" s="181"/>
      <c r="J4724" s="181"/>
      <c r="K4724" s="181"/>
      <c r="L4724" s="181"/>
      <c r="M4724" s="181"/>
      <c r="N4724" s="181"/>
      <c r="O4724" s="181"/>
      <c r="P4724" s="181"/>
    </row>
    <row r="4725">
      <c r="B4725" s="292"/>
      <c r="C4725" s="181"/>
      <c r="D4725" s="181"/>
      <c r="E4725" s="181"/>
      <c r="F4725" s="181"/>
      <c r="G4725" s="181"/>
      <c r="H4725" s="181"/>
      <c r="I4725" s="181"/>
      <c r="J4725" s="181"/>
      <c r="K4725" s="181"/>
      <c r="L4725" s="181"/>
      <c r="M4725" s="181"/>
      <c r="N4725" s="181"/>
      <c r="O4725" s="181"/>
      <c r="P4725" s="181"/>
    </row>
    <row r="4726">
      <c r="B4726" s="292"/>
      <c r="C4726" s="181"/>
      <c r="D4726" s="181"/>
      <c r="E4726" s="181"/>
      <c r="F4726" s="181"/>
      <c r="G4726" s="181"/>
      <c r="H4726" s="181"/>
      <c r="I4726" s="181"/>
      <c r="J4726" s="181"/>
      <c r="K4726" s="181"/>
      <c r="L4726" s="181"/>
      <c r="M4726" s="181"/>
      <c r="N4726" s="181"/>
      <c r="O4726" s="181"/>
      <c r="P4726" s="181"/>
    </row>
    <row r="4727">
      <c r="B4727" s="292"/>
      <c r="C4727" s="181"/>
      <c r="D4727" s="181"/>
      <c r="E4727" s="181"/>
      <c r="F4727" s="181"/>
      <c r="G4727" s="181"/>
      <c r="H4727" s="181"/>
      <c r="I4727" s="181"/>
      <c r="J4727" s="181"/>
      <c r="K4727" s="181"/>
      <c r="L4727" s="181"/>
      <c r="M4727" s="181"/>
      <c r="N4727" s="181"/>
      <c r="O4727" s="181"/>
      <c r="P4727" s="181"/>
    </row>
    <row r="4728">
      <c r="B4728" s="292"/>
      <c r="C4728" s="181"/>
      <c r="D4728" s="181"/>
      <c r="E4728" s="181"/>
      <c r="F4728" s="181"/>
      <c r="G4728" s="181"/>
      <c r="H4728" s="181"/>
      <c r="I4728" s="181"/>
      <c r="J4728" s="181"/>
      <c r="K4728" s="181"/>
      <c r="L4728" s="181"/>
      <c r="M4728" s="181"/>
      <c r="N4728" s="181"/>
      <c r="O4728" s="181"/>
      <c r="P4728" s="181"/>
    </row>
    <row r="4729">
      <c r="B4729" s="292"/>
      <c r="C4729" s="181"/>
      <c r="D4729" s="181"/>
      <c r="E4729" s="181"/>
      <c r="F4729" s="181"/>
      <c r="G4729" s="181"/>
      <c r="H4729" s="181"/>
      <c r="I4729" s="181"/>
      <c r="J4729" s="181"/>
      <c r="K4729" s="181"/>
      <c r="L4729" s="181"/>
      <c r="M4729" s="181"/>
      <c r="N4729" s="181"/>
      <c r="O4729" s="181"/>
      <c r="P4729" s="181"/>
    </row>
    <row r="4730">
      <c r="B4730" s="292"/>
      <c r="C4730" s="181"/>
      <c r="D4730" s="181"/>
      <c r="E4730" s="181"/>
      <c r="F4730" s="181"/>
      <c r="G4730" s="181"/>
      <c r="H4730" s="181"/>
      <c r="I4730" s="181"/>
      <c r="J4730" s="181"/>
      <c r="K4730" s="181"/>
      <c r="L4730" s="181"/>
      <c r="M4730" s="181"/>
      <c r="N4730" s="181"/>
      <c r="O4730" s="181"/>
      <c r="P4730" s="181"/>
    </row>
    <row r="4731">
      <c r="B4731" s="292"/>
      <c r="C4731" s="181"/>
      <c r="D4731" s="181"/>
      <c r="E4731" s="181"/>
      <c r="F4731" s="181"/>
      <c r="G4731" s="181"/>
      <c r="H4731" s="181"/>
      <c r="I4731" s="181"/>
      <c r="J4731" s="181"/>
      <c r="K4731" s="181"/>
      <c r="L4731" s="181"/>
      <c r="M4731" s="181"/>
      <c r="N4731" s="181"/>
      <c r="O4731" s="181"/>
      <c r="P4731" s="181"/>
    </row>
    <row r="4732">
      <c r="B4732" s="292"/>
      <c r="C4732" s="181"/>
      <c r="D4732" s="181"/>
      <c r="E4732" s="181"/>
      <c r="F4732" s="181"/>
      <c r="G4732" s="181"/>
      <c r="H4732" s="181"/>
      <c r="I4732" s="181"/>
      <c r="J4732" s="181"/>
      <c r="K4732" s="181"/>
      <c r="L4732" s="181"/>
      <c r="M4732" s="181"/>
      <c r="N4732" s="181"/>
      <c r="O4732" s="181"/>
      <c r="P4732" s="181"/>
    </row>
    <row r="4733">
      <c r="B4733" s="292"/>
      <c r="C4733" s="181"/>
      <c r="D4733" s="181"/>
      <c r="E4733" s="181"/>
      <c r="F4733" s="181"/>
      <c r="G4733" s="181"/>
      <c r="H4733" s="181"/>
      <c r="I4733" s="181"/>
      <c r="J4733" s="181"/>
      <c r="K4733" s="181"/>
      <c r="L4733" s="181"/>
      <c r="M4733" s="181"/>
      <c r="N4733" s="181"/>
      <c r="O4733" s="181"/>
      <c r="P4733" s="181"/>
    </row>
    <row r="4734">
      <c r="B4734" s="292"/>
      <c r="C4734" s="181"/>
      <c r="D4734" s="181"/>
      <c r="E4734" s="181"/>
      <c r="F4734" s="181"/>
      <c r="G4734" s="181"/>
      <c r="H4734" s="181"/>
      <c r="I4734" s="181"/>
      <c r="J4734" s="181"/>
      <c r="K4734" s="181"/>
      <c r="L4734" s="181"/>
      <c r="M4734" s="181"/>
      <c r="N4734" s="181"/>
      <c r="O4734" s="181"/>
      <c r="P4734" s="181"/>
    </row>
    <row r="4735">
      <c r="B4735" s="292"/>
      <c r="C4735" s="181"/>
      <c r="D4735" s="181"/>
      <c r="E4735" s="181"/>
      <c r="F4735" s="181"/>
      <c r="G4735" s="181"/>
      <c r="H4735" s="181"/>
      <c r="I4735" s="181"/>
      <c r="J4735" s="181"/>
      <c r="K4735" s="181"/>
      <c r="L4735" s="181"/>
      <c r="M4735" s="181"/>
      <c r="N4735" s="181"/>
      <c r="O4735" s="181"/>
      <c r="P4735" s="181"/>
    </row>
    <row r="4736">
      <c r="B4736" s="292"/>
      <c r="C4736" s="181"/>
      <c r="D4736" s="181"/>
      <c r="E4736" s="181"/>
      <c r="F4736" s="181"/>
      <c r="G4736" s="181"/>
      <c r="H4736" s="181"/>
      <c r="I4736" s="181"/>
      <c r="J4736" s="181"/>
      <c r="K4736" s="181"/>
      <c r="L4736" s="181"/>
      <c r="M4736" s="181"/>
      <c r="N4736" s="181"/>
      <c r="O4736" s="181"/>
      <c r="P4736" s="181"/>
    </row>
    <row r="4737">
      <c r="B4737" s="292"/>
      <c r="C4737" s="181"/>
      <c r="D4737" s="181"/>
      <c r="E4737" s="181"/>
      <c r="F4737" s="181"/>
      <c r="G4737" s="181"/>
      <c r="H4737" s="181"/>
      <c r="I4737" s="181"/>
      <c r="J4737" s="181"/>
      <c r="K4737" s="181"/>
      <c r="L4737" s="181"/>
      <c r="M4737" s="181"/>
      <c r="N4737" s="181"/>
      <c r="O4737" s="181"/>
      <c r="P4737" s="181"/>
    </row>
    <row r="4738">
      <c r="B4738" s="292"/>
      <c r="C4738" s="181"/>
      <c r="D4738" s="181"/>
      <c r="E4738" s="181"/>
      <c r="F4738" s="181"/>
      <c r="G4738" s="181"/>
      <c r="H4738" s="181"/>
      <c r="I4738" s="181"/>
      <c r="J4738" s="181"/>
      <c r="K4738" s="181"/>
      <c r="L4738" s="181"/>
      <c r="M4738" s="181"/>
      <c r="N4738" s="181"/>
      <c r="O4738" s="181"/>
      <c r="P4738" s="181"/>
    </row>
    <row r="4739">
      <c r="B4739" s="292"/>
      <c r="C4739" s="181"/>
      <c r="D4739" s="181"/>
      <c r="E4739" s="181"/>
      <c r="F4739" s="181"/>
      <c r="G4739" s="181"/>
      <c r="H4739" s="181"/>
      <c r="I4739" s="181"/>
      <c r="J4739" s="181"/>
      <c r="K4739" s="181"/>
      <c r="L4739" s="181"/>
      <c r="M4739" s="181"/>
      <c r="N4739" s="181"/>
      <c r="O4739" s="181"/>
      <c r="P4739" s="181"/>
    </row>
    <row r="4740">
      <c r="B4740" s="292"/>
      <c r="C4740" s="181"/>
      <c r="D4740" s="181"/>
      <c r="E4740" s="181"/>
      <c r="F4740" s="181"/>
      <c r="G4740" s="181"/>
      <c r="H4740" s="181"/>
      <c r="I4740" s="181"/>
      <c r="J4740" s="181"/>
      <c r="K4740" s="181"/>
      <c r="L4740" s="181"/>
      <c r="M4740" s="181"/>
      <c r="N4740" s="181"/>
      <c r="O4740" s="181"/>
      <c r="P4740" s="181"/>
    </row>
    <row r="4741">
      <c r="B4741" s="292"/>
      <c r="C4741" s="181"/>
      <c r="D4741" s="181"/>
      <c r="E4741" s="181"/>
      <c r="F4741" s="181"/>
      <c r="G4741" s="181"/>
      <c r="H4741" s="181"/>
      <c r="I4741" s="181"/>
      <c r="J4741" s="181"/>
      <c r="K4741" s="181"/>
      <c r="L4741" s="181"/>
      <c r="M4741" s="181"/>
      <c r="N4741" s="181"/>
      <c r="O4741" s="181"/>
      <c r="P4741" s="181"/>
    </row>
    <row r="4742">
      <c r="B4742" s="292"/>
      <c r="C4742" s="181"/>
      <c r="D4742" s="181"/>
      <c r="E4742" s="181"/>
      <c r="F4742" s="181"/>
      <c r="G4742" s="181"/>
      <c r="H4742" s="181"/>
      <c r="I4742" s="181"/>
      <c r="J4742" s="181"/>
      <c r="K4742" s="181"/>
      <c r="L4742" s="181"/>
      <c r="M4742" s="181"/>
      <c r="N4742" s="181"/>
      <c r="O4742" s="181"/>
      <c r="P4742" s="181"/>
    </row>
    <row r="4743">
      <c r="B4743" s="292"/>
      <c r="C4743" s="181"/>
      <c r="D4743" s="181"/>
      <c r="E4743" s="181"/>
      <c r="F4743" s="181"/>
      <c r="G4743" s="181"/>
      <c r="H4743" s="181"/>
      <c r="I4743" s="181"/>
      <c r="J4743" s="181"/>
      <c r="K4743" s="181"/>
      <c r="L4743" s="181"/>
      <c r="M4743" s="181"/>
      <c r="N4743" s="181"/>
      <c r="O4743" s="181"/>
      <c r="P4743" s="181"/>
    </row>
    <row r="4744">
      <c r="B4744" s="292"/>
      <c r="C4744" s="181"/>
      <c r="D4744" s="181"/>
      <c r="E4744" s="181"/>
      <c r="F4744" s="181"/>
      <c r="G4744" s="181"/>
      <c r="H4744" s="181"/>
      <c r="I4744" s="181"/>
      <c r="J4744" s="181"/>
      <c r="K4744" s="181"/>
      <c r="L4744" s="181"/>
      <c r="M4744" s="181"/>
      <c r="N4744" s="181"/>
      <c r="O4744" s="181"/>
      <c r="P4744" s="181"/>
    </row>
    <row r="4745">
      <c r="B4745" s="292"/>
      <c r="C4745" s="181"/>
      <c r="D4745" s="181"/>
      <c r="E4745" s="181"/>
      <c r="F4745" s="181"/>
      <c r="G4745" s="181"/>
      <c r="H4745" s="181"/>
      <c r="I4745" s="181"/>
      <c r="J4745" s="181"/>
      <c r="K4745" s="181"/>
      <c r="L4745" s="181"/>
      <c r="M4745" s="181"/>
      <c r="N4745" s="181"/>
      <c r="O4745" s="181"/>
      <c r="P4745" s="181"/>
    </row>
    <row r="4746">
      <c r="B4746" s="292"/>
      <c r="C4746" s="181"/>
      <c r="D4746" s="181"/>
      <c r="E4746" s="181"/>
      <c r="F4746" s="181"/>
      <c r="G4746" s="181"/>
      <c r="H4746" s="181"/>
      <c r="I4746" s="181"/>
      <c r="J4746" s="181"/>
      <c r="K4746" s="181"/>
      <c r="L4746" s="181"/>
      <c r="M4746" s="181"/>
      <c r="N4746" s="181"/>
      <c r="O4746" s="181"/>
      <c r="P4746" s="181"/>
    </row>
    <row r="4747">
      <c r="B4747" s="292"/>
      <c r="C4747" s="181"/>
      <c r="D4747" s="181"/>
      <c r="E4747" s="181"/>
      <c r="F4747" s="181"/>
      <c r="G4747" s="181"/>
      <c r="H4747" s="181"/>
      <c r="I4747" s="181"/>
      <c r="J4747" s="181"/>
      <c r="K4747" s="181"/>
      <c r="L4747" s="181"/>
      <c r="M4747" s="181"/>
      <c r="N4747" s="181"/>
      <c r="O4747" s="181"/>
      <c r="P4747" s="181"/>
    </row>
    <row r="4748">
      <c r="B4748" s="292"/>
      <c r="C4748" s="181"/>
      <c r="D4748" s="181"/>
      <c r="E4748" s="181"/>
      <c r="F4748" s="181"/>
      <c r="G4748" s="181"/>
      <c r="H4748" s="181"/>
      <c r="I4748" s="181"/>
      <c r="J4748" s="181"/>
      <c r="K4748" s="181"/>
      <c r="L4748" s="181"/>
      <c r="M4748" s="181"/>
      <c r="N4748" s="181"/>
      <c r="O4748" s="181"/>
      <c r="P4748" s="181"/>
    </row>
    <row r="4749">
      <c r="B4749" s="292"/>
      <c r="C4749" s="181"/>
      <c r="D4749" s="181"/>
      <c r="E4749" s="181"/>
      <c r="F4749" s="181"/>
      <c r="G4749" s="181"/>
      <c r="H4749" s="181"/>
      <c r="I4749" s="181"/>
      <c r="J4749" s="181"/>
      <c r="K4749" s="181"/>
      <c r="L4749" s="181"/>
      <c r="M4749" s="181"/>
      <c r="N4749" s="181"/>
      <c r="O4749" s="181"/>
      <c r="P4749" s="181"/>
    </row>
    <row r="4750">
      <c r="B4750" s="292"/>
      <c r="C4750" s="181"/>
      <c r="D4750" s="181"/>
      <c r="E4750" s="181"/>
      <c r="F4750" s="181"/>
      <c r="G4750" s="181"/>
      <c r="H4750" s="181"/>
      <c r="I4750" s="181"/>
      <c r="J4750" s="181"/>
      <c r="K4750" s="181"/>
      <c r="L4750" s="181"/>
      <c r="M4750" s="181"/>
      <c r="N4750" s="181"/>
      <c r="O4750" s="181"/>
      <c r="P4750" s="181"/>
    </row>
    <row r="4751">
      <c r="B4751" s="292"/>
      <c r="C4751" s="181"/>
      <c r="D4751" s="181"/>
      <c r="E4751" s="181"/>
      <c r="F4751" s="181"/>
      <c r="G4751" s="181"/>
      <c r="H4751" s="181"/>
      <c r="I4751" s="181"/>
      <c r="J4751" s="181"/>
      <c r="K4751" s="181"/>
      <c r="L4751" s="181"/>
      <c r="M4751" s="181"/>
      <c r="N4751" s="181"/>
      <c r="O4751" s="181"/>
      <c r="P4751" s="181"/>
    </row>
    <row r="4752">
      <c r="B4752" s="292"/>
      <c r="C4752" s="181"/>
      <c r="D4752" s="181"/>
      <c r="E4752" s="181"/>
      <c r="F4752" s="181"/>
      <c r="G4752" s="181"/>
      <c r="H4752" s="181"/>
      <c r="I4752" s="181"/>
      <c r="J4752" s="181"/>
      <c r="K4752" s="181"/>
      <c r="L4752" s="181"/>
      <c r="M4752" s="181"/>
      <c r="N4752" s="181"/>
      <c r="O4752" s="181"/>
      <c r="P4752" s="181"/>
    </row>
    <row r="4753">
      <c r="B4753" s="292"/>
      <c r="C4753" s="181"/>
      <c r="D4753" s="181"/>
      <c r="E4753" s="181"/>
      <c r="F4753" s="181"/>
      <c r="G4753" s="181"/>
      <c r="H4753" s="181"/>
      <c r="I4753" s="181"/>
      <c r="J4753" s="181"/>
      <c r="K4753" s="181"/>
      <c r="L4753" s="181"/>
      <c r="M4753" s="181"/>
      <c r="N4753" s="181"/>
      <c r="O4753" s="181"/>
      <c r="P4753" s="181"/>
    </row>
    <row r="4754">
      <c r="B4754" s="292"/>
      <c r="C4754" s="181"/>
      <c r="D4754" s="181"/>
      <c r="E4754" s="181"/>
      <c r="F4754" s="181"/>
      <c r="G4754" s="181"/>
      <c r="H4754" s="181"/>
      <c r="I4754" s="181"/>
      <c r="J4754" s="181"/>
      <c r="K4754" s="181"/>
      <c r="L4754" s="181"/>
      <c r="M4754" s="181"/>
      <c r="N4754" s="181"/>
      <c r="O4754" s="181"/>
      <c r="P4754" s="181"/>
    </row>
    <row r="4755">
      <c r="B4755" s="292"/>
      <c r="C4755" s="181"/>
      <c r="D4755" s="181"/>
      <c r="E4755" s="181"/>
      <c r="F4755" s="181"/>
      <c r="G4755" s="181"/>
      <c r="H4755" s="181"/>
      <c r="I4755" s="181"/>
      <c r="J4755" s="181"/>
      <c r="K4755" s="181"/>
      <c r="L4755" s="181"/>
      <c r="M4755" s="181"/>
      <c r="N4755" s="181"/>
      <c r="O4755" s="181"/>
      <c r="P4755" s="181"/>
    </row>
    <row r="4756">
      <c r="B4756" s="292"/>
      <c r="C4756" s="181"/>
      <c r="D4756" s="181"/>
      <c r="E4756" s="181"/>
      <c r="F4756" s="181"/>
      <c r="G4756" s="181"/>
      <c r="H4756" s="181"/>
      <c r="I4756" s="181"/>
      <c r="J4756" s="181"/>
      <c r="K4756" s="181"/>
      <c r="L4756" s="181"/>
      <c r="M4756" s="181"/>
      <c r="N4756" s="181"/>
      <c r="O4756" s="181"/>
      <c r="P4756" s="181"/>
    </row>
    <row r="4757">
      <c r="B4757" s="292"/>
      <c r="C4757" s="181"/>
      <c r="D4757" s="181"/>
      <c r="E4757" s="181"/>
      <c r="F4757" s="181"/>
      <c r="G4757" s="181"/>
      <c r="H4757" s="181"/>
      <c r="I4757" s="181"/>
      <c r="J4757" s="181"/>
      <c r="K4757" s="181"/>
      <c r="L4757" s="181"/>
      <c r="M4757" s="181"/>
      <c r="N4757" s="181"/>
      <c r="O4757" s="181"/>
      <c r="P4757" s="181"/>
    </row>
    <row r="4758">
      <c r="B4758" s="292"/>
      <c r="C4758" s="181"/>
      <c r="D4758" s="181"/>
      <c r="E4758" s="181"/>
      <c r="F4758" s="181"/>
      <c r="G4758" s="181"/>
      <c r="H4758" s="181"/>
      <c r="I4758" s="181"/>
      <c r="J4758" s="181"/>
      <c r="K4758" s="181"/>
      <c r="L4758" s="181"/>
      <c r="M4758" s="181"/>
      <c r="N4758" s="181"/>
      <c r="O4758" s="181"/>
      <c r="P4758" s="181"/>
    </row>
    <row r="4759">
      <c r="B4759" s="292"/>
      <c r="C4759" s="181"/>
      <c r="D4759" s="181"/>
      <c r="E4759" s="181"/>
      <c r="F4759" s="181"/>
      <c r="G4759" s="181"/>
      <c r="H4759" s="181"/>
      <c r="I4759" s="181"/>
      <c r="J4759" s="181"/>
      <c r="K4759" s="181"/>
      <c r="L4759" s="181"/>
      <c r="M4759" s="181"/>
      <c r="N4759" s="181"/>
      <c r="O4759" s="181"/>
      <c r="P4759" s="181"/>
    </row>
    <row r="4760">
      <c r="B4760" s="292"/>
      <c r="C4760" s="181"/>
      <c r="D4760" s="181"/>
      <c r="E4760" s="181"/>
      <c r="F4760" s="181"/>
      <c r="G4760" s="181"/>
      <c r="H4760" s="181"/>
      <c r="I4760" s="181"/>
      <c r="J4760" s="181"/>
      <c r="K4760" s="181"/>
      <c r="L4760" s="181"/>
      <c r="M4760" s="181"/>
      <c r="N4760" s="181"/>
      <c r="O4760" s="181"/>
      <c r="P4760" s="181"/>
    </row>
    <row r="4761">
      <c r="B4761" s="292"/>
      <c r="C4761" s="181"/>
      <c r="D4761" s="181"/>
      <c r="E4761" s="181"/>
      <c r="F4761" s="181"/>
      <c r="G4761" s="181"/>
      <c r="H4761" s="181"/>
      <c r="I4761" s="181"/>
      <c r="J4761" s="181"/>
      <c r="K4761" s="181"/>
      <c r="L4761" s="181"/>
      <c r="M4761" s="181"/>
      <c r="N4761" s="181"/>
      <c r="O4761" s="181"/>
      <c r="P4761" s="181"/>
    </row>
    <row r="4762">
      <c r="B4762" s="292"/>
      <c r="C4762" s="181"/>
      <c r="D4762" s="181"/>
      <c r="E4762" s="181"/>
      <c r="F4762" s="181"/>
      <c r="G4762" s="181"/>
      <c r="H4762" s="181"/>
      <c r="I4762" s="181"/>
      <c r="J4762" s="181"/>
      <c r="K4762" s="181"/>
      <c r="L4762" s="181"/>
      <c r="M4762" s="181"/>
      <c r="N4762" s="181"/>
      <c r="O4762" s="181"/>
      <c r="P4762" s="181"/>
    </row>
    <row r="4763">
      <c r="B4763" s="292"/>
      <c r="C4763" s="181"/>
      <c r="D4763" s="181"/>
      <c r="E4763" s="181"/>
      <c r="F4763" s="181"/>
      <c r="G4763" s="181"/>
      <c r="H4763" s="181"/>
      <c r="I4763" s="181"/>
      <c r="J4763" s="181"/>
      <c r="K4763" s="181"/>
      <c r="L4763" s="181"/>
      <c r="M4763" s="181"/>
      <c r="N4763" s="181"/>
      <c r="O4763" s="181"/>
      <c r="P4763" s="181"/>
    </row>
    <row r="4764">
      <c r="B4764" s="292"/>
      <c r="C4764" s="181"/>
      <c r="D4764" s="181"/>
      <c r="E4764" s="181"/>
      <c r="F4764" s="181"/>
      <c r="G4764" s="181"/>
      <c r="H4764" s="181"/>
      <c r="I4764" s="181"/>
      <c r="J4764" s="181"/>
      <c r="K4764" s="181"/>
      <c r="L4764" s="181"/>
      <c r="M4764" s="181"/>
      <c r="N4764" s="181"/>
      <c r="O4764" s="181"/>
      <c r="P4764" s="181"/>
    </row>
    <row r="4765">
      <c r="B4765" s="292"/>
      <c r="C4765" s="181"/>
      <c r="D4765" s="181"/>
      <c r="E4765" s="181"/>
      <c r="F4765" s="181"/>
      <c r="G4765" s="181"/>
      <c r="H4765" s="181"/>
      <c r="I4765" s="181"/>
      <c r="J4765" s="181"/>
      <c r="K4765" s="181"/>
      <c r="L4765" s="181"/>
      <c r="M4765" s="181"/>
      <c r="N4765" s="181"/>
      <c r="O4765" s="181"/>
      <c r="P4765" s="181"/>
    </row>
    <row r="4766">
      <c r="B4766" s="292"/>
      <c r="C4766" s="181"/>
      <c r="D4766" s="181"/>
      <c r="E4766" s="181"/>
      <c r="F4766" s="181"/>
      <c r="G4766" s="181"/>
      <c r="H4766" s="181"/>
      <c r="I4766" s="181"/>
      <c r="J4766" s="181"/>
      <c r="K4766" s="181"/>
      <c r="L4766" s="181"/>
      <c r="M4766" s="181"/>
      <c r="N4766" s="181"/>
      <c r="O4766" s="181"/>
      <c r="P4766" s="181"/>
    </row>
    <row r="4767">
      <c r="B4767" s="292"/>
      <c r="C4767" s="181"/>
      <c r="D4767" s="181"/>
      <c r="E4767" s="181"/>
      <c r="F4767" s="181"/>
      <c r="G4767" s="181"/>
      <c r="H4767" s="181"/>
      <c r="I4767" s="181"/>
      <c r="J4767" s="181"/>
      <c r="K4767" s="181"/>
      <c r="L4767" s="181"/>
      <c r="M4767" s="181"/>
      <c r="N4767" s="181"/>
      <c r="O4767" s="181"/>
      <c r="P4767" s="181"/>
    </row>
    <row r="4768">
      <c r="B4768" s="292"/>
      <c r="C4768" s="181"/>
      <c r="D4768" s="181"/>
      <c r="E4768" s="181"/>
      <c r="F4768" s="181"/>
      <c r="G4768" s="181"/>
      <c r="H4768" s="181"/>
      <c r="I4768" s="181"/>
      <c r="J4768" s="181"/>
      <c r="K4768" s="181"/>
      <c r="L4768" s="181"/>
      <c r="M4768" s="181"/>
      <c r="N4768" s="181"/>
      <c r="O4768" s="181"/>
      <c r="P4768" s="181"/>
    </row>
    <row r="4769">
      <c r="B4769" s="292"/>
      <c r="C4769" s="181"/>
      <c r="D4769" s="181"/>
      <c r="E4769" s="181"/>
      <c r="F4769" s="181"/>
      <c r="G4769" s="181"/>
      <c r="H4769" s="181"/>
      <c r="I4769" s="181"/>
      <c r="J4769" s="181"/>
      <c r="K4769" s="181"/>
      <c r="L4769" s="181"/>
      <c r="M4769" s="181"/>
      <c r="N4769" s="181"/>
      <c r="O4769" s="181"/>
      <c r="P4769" s="181"/>
    </row>
    <row r="4770">
      <c r="B4770" s="292"/>
      <c r="C4770" s="181"/>
      <c r="D4770" s="181"/>
      <c r="E4770" s="181"/>
      <c r="F4770" s="181"/>
      <c r="G4770" s="181"/>
      <c r="H4770" s="181"/>
      <c r="I4770" s="181"/>
      <c r="J4770" s="181"/>
      <c r="K4770" s="181"/>
      <c r="L4770" s="181"/>
      <c r="M4770" s="181"/>
      <c r="N4770" s="181"/>
      <c r="O4770" s="181"/>
      <c r="P4770" s="181"/>
    </row>
    <row r="4771">
      <c r="B4771" s="292"/>
      <c r="C4771" s="181"/>
      <c r="D4771" s="181"/>
      <c r="E4771" s="181"/>
      <c r="F4771" s="181"/>
      <c r="G4771" s="181"/>
      <c r="H4771" s="181"/>
      <c r="I4771" s="181"/>
      <c r="J4771" s="181"/>
      <c r="K4771" s="181"/>
      <c r="L4771" s="181"/>
      <c r="M4771" s="181"/>
      <c r="N4771" s="181"/>
      <c r="O4771" s="181"/>
      <c r="P4771" s="181"/>
    </row>
    <row r="4772">
      <c r="B4772" s="292"/>
      <c r="C4772" s="181"/>
      <c r="D4772" s="181"/>
      <c r="E4772" s="181"/>
      <c r="F4772" s="181"/>
      <c r="G4772" s="181"/>
      <c r="H4772" s="181"/>
      <c r="I4772" s="181"/>
      <c r="J4772" s="181"/>
      <c r="K4772" s="181"/>
      <c r="L4772" s="181"/>
      <c r="M4772" s="181"/>
      <c r="N4772" s="181"/>
      <c r="O4772" s="181"/>
      <c r="P4772" s="181"/>
    </row>
    <row r="4773">
      <c r="B4773" s="292"/>
      <c r="C4773" s="181"/>
      <c r="D4773" s="181"/>
      <c r="E4773" s="181"/>
      <c r="F4773" s="181"/>
      <c r="G4773" s="181"/>
      <c r="H4773" s="181"/>
      <c r="I4773" s="181"/>
      <c r="J4773" s="181"/>
      <c r="K4773" s="181"/>
      <c r="L4773" s="181"/>
      <c r="M4773" s="181"/>
      <c r="N4773" s="181"/>
      <c r="O4773" s="181"/>
      <c r="P4773" s="181"/>
    </row>
    <row r="4774">
      <c r="B4774" s="292"/>
      <c r="C4774" s="181"/>
      <c r="D4774" s="181"/>
      <c r="E4774" s="181"/>
      <c r="F4774" s="181"/>
      <c r="G4774" s="181"/>
      <c r="H4774" s="181"/>
      <c r="I4774" s="181"/>
      <c r="J4774" s="181"/>
      <c r="K4774" s="181"/>
      <c r="L4774" s="181"/>
      <c r="M4774" s="181"/>
      <c r="N4774" s="181"/>
      <c r="O4774" s="181"/>
      <c r="P4774" s="181"/>
    </row>
    <row r="4775">
      <c r="B4775" s="292"/>
      <c r="C4775" s="181"/>
      <c r="D4775" s="181"/>
      <c r="E4775" s="181"/>
      <c r="F4775" s="181"/>
      <c r="G4775" s="181"/>
      <c r="H4775" s="181"/>
      <c r="I4775" s="181"/>
      <c r="J4775" s="181"/>
      <c r="K4775" s="181"/>
      <c r="L4775" s="181"/>
      <c r="M4775" s="181"/>
      <c r="N4775" s="181"/>
      <c r="O4775" s="181"/>
      <c r="P4775" s="181"/>
    </row>
    <row r="4776">
      <c r="B4776" s="292"/>
      <c r="C4776" s="181"/>
      <c r="D4776" s="181"/>
      <c r="E4776" s="181"/>
      <c r="F4776" s="181"/>
      <c r="G4776" s="181"/>
      <c r="H4776" s="181"/>
      <c r="I4776" s="181"/>
      <c r="J4776" s="181"/>
      <c r="K4776" s="181"/>
      <c r="L4776" s="181"/>
      <c r="M4776" s="181"/>
      <c r="N4776" s="181"/>
      <c r="O4776" s="181"/>
      <c r="P4776" s="181"/>
    </row>
    <row r="4777">
      <c r="B4777" s="292"/>
      <c r="C4777" s="181"/>
      <c r="D4777" s="181"/>
      <c r="E4777" s="181"/>
      <c r="F4777" s="181"/>
      <c r="G4777" s="181"/>
      <c r="H4777" s="181"/>
      <c r="I4777" s="181"/>
      <c r="J4777" s="181"/>
      <c r="K4777" s="181"/>
      <c r="L4777" s="181"/>
      <c r="M4777" s="181"/>
      <c r="N4777" s="181"/>
      <c r="O4777" s="181"/>
      <c r="P4777" s="181"/>
    </row>
    <row r="4778">
      <c r="B4778" s="292"/>
      <c r="C4778" s="181"/>
      <c r="D4778" s="181"/>
      <c r="E4778" s="181"/>
      <c r="F4778" s="181"/>
      <c r="G4778" s="181"/>
      <c r="H4778" s="181"/>
      <c r="I4778" s="181"/>
      <c r="J4778" s="181"/>
      <c r="K4778" s="181"/>
      <c r="L4778" s="181"/>
      <c r="M4778" s="181"/>
      <c r="N4778" s="181"/>
      <c r="O4778" s="181"/>
      <c r="P4778" s="181"/>
    </row>
    <row r="4779">
      <c r="B4779" s="292"/>
      <c r="C4779" s="181"/>
      <c r="D4779" s="181"/>
      <c r="E4779" s="181"/>
      <c r="F4779" s="181"/>
      <c r="G4779" s="181"/>
      <c r="H4779" s="181"/>
      <c r="I4779" s="181"/>
      <c r="J4779" s="181"/>
      <c r="K4779" s="181"/>
      <c r="L4779" s="181"/>
      <c r="M4779" s="181"/>
      <c r="N4779" s="181"/>
      <c r="O4779" s="181"/>
      <c r="P4779" s="181"/>
    </row>
    <row r="4780">
      <c r="B4780" s="292"/>
      <c r="C4780" s="181"/>
      <c r="D4780" s="181"/>
      <c r="E4780" s="181"/>
      <c r="F4780" s="181"/>
      <c r="G4780" s="181"/>
      <c r="H4780" s="181"/>
      <c r="I4780" s="181"/>
      <c r="J4780" s="181"/>
      <c r="K4780" s="181"/>
      <c r="L4780" s="181"/>
      <c r="M4780" s="181"/>
      <c r="N4780" s="181"/>
      <c r="O4780" s="181"/>
      <c r="P4780" s="181"/>
    </row>
    <row r="4781">
      <c r="B4781" s="292"/>
      <c r="C4781" s="181"/>
      <c r="D4781" s="181"/>
      <c r="E4781" s="181"/>
      <c r="F4781" s="181"/>
      <c r="G4781" s="181"/>
      <c r="H4781" s="181"/>
      <c r="I4781" s="181"/>
      <c r="J4781" s="181"/>
      <c r="K4781" s="181"/>
      <c r="L4781" s="181"/>
      <c r="M4781" s="181"/>
      <c r="N4781" s="181"/>
      <c r="O4781" s="181"/>
      <c r="P4781" s="181"/>
    </row>
    <row r="4782">
      <c r="B4782" s="292"/>
      <c r="C4782" s="181"/>
      <c r="D4782" s="181"/>
      <c r="E4782" s="181"/>
      <c r="F4782" s="181"/>
      <c r="G4782" s="181"/>
      <c r="H4782" s="181"/>
      <c r="I4782" s="181"/>
      <c r="J4782" s="181"/>
      <c r="K4782" s="181"/>
      <c r="L4782" s="181"/>
      <c r="M4782" s="181"/>
      <c r="N4782" s="181"/>
      <c r="O4782" s="181"/>
      <c r="P4782" s="181"/>
    </row>
    <row r="4783">
      <c r="B4783" s="292"/>
      <c r="C4783" s="181"/>
      <c r="D4783" s="181"/>
      <c r="E4783" s="181"/>
      <c r="F4783" s="181"/>
      <c r="G4783" s="181"/>
      <c r="H4783" s="181"/>
      <c r="I4783" s="181"/>
      <c r="J4783" s="181"/>
      <c r="K4783" s="181"/>
      <c r="L4783" s="181"/>
      <c r="M4783" s="181"/>
      <c r="N4783" s="181"/>
      <c r="O4783" s="181"/>
      <c r="P4783" s="181"/>
    </row>
    <row r="4784">
      <c r="B4784" s="292"/>
      <c r="C4784" s="181"/>
      <c r="D4784" s="181"/>
      <c r="E4784" s="181"/>
      <c r="F4784" s="181"/>
      <c r="G4784" s="181"/>
      <c r="H4784" s="181"/>
      <c r="I4784" s="181"/>
      <c r="J4784" s="181"/>
      <c r="K4784" s="181"/>
      <c r="L4784" s="181"/>
      <c r="M4784" s="181"/>
      <c r="N4784" s="181"/>
      <c r="O4784" s="181"/>
      <c r="P4784" s="181"/>
    </row>
    <row r="4785">
      <c r="B4785" s="292"/>
      <c r="C4785" s="181"/>
      <c r="D4785" s="181"/>
      <c r="E4785" s="181"/>
      <c r="F4785" s="181"/>
      <c r="G4785" s="181"/>
      <c r="H4785" s="181"/>
      <c r="I4785" s="181"/>
      <c r="J4785" s="181"/>
      <c r="K4785" s="181"/>
      <c r="L4785" s="181"/>
      <c r="M4785" s="181"/>
      <c r="N4785" s="181"/>
      <c r="O4785" s="181"/>
      <c r="P4785" s="181"/>
    </row>
    <row r="4786">
      <c r="B4786" s="292"/>
      <c r="C4786" s="181"/>
      <c r="D4786" s="181"/>
      <c r="E4786" s="181"/>
      <c r="F4786" s="181"/>
      <c r="G4786" s="181"/>
      <c r="H4786" s="181"/>
      <c r="I4786" s="181"/>
      <c r="J4786" s="181"/>
      <c r="K4786" s="181"/>
      <c r="L4786" s="181"/>
      <c r="M4786" s="181"/>
      <c r="N4786" s="181"/>
      <c r="O4786" s="181"/>
      <c r="P4786" s="181"/>
    </row>
    <row r="4787">
      <c r="B4787" s="292"/>
      <c r="C4787" s="181"/>
      <c r="D4787" s="181"/>
      <c r="E4787" s="181"/>
      <c r="F4787" s="181"/>
      <c r="G4787" s="181"/>
      <c r="H4787" s="181"/>
      <c r="I4787" s="181"/>
      <c r="J4787" s="181"/>
      <c r="K4787" s="181"/>
      <c r="L4787" s="181"/>
      <c r="M4787" s="181"/>
      <c r="N4787" s="181"/>
      <c r="O4787" s="181"/>
      <c r="P4787" s="181"/>
    </row>
    <row r="4788">
      <c r="B4788" s="292"/>
      <c r="C4788" s="181"/>
      <c r="D4788" s="181"/>
      <c r="E4788" s="181"/>
      <c r="F4788" s="181"/>
      <c r="G4788" s="181"/>
      <c r="H4788" s="181"/>
      <c r="I4788" s="181"/>
      <c r="J4788" s="181"/>
      <c r="K4788" s="181"/>
      <c r="L4788" s="181"/>
      <c r="M4788" s="181"/>
      <c r="N4788" s="181"/>
      <c r="O4788" s="181"/>
      <c r="P4788" s="181"/>
    </row>
    <row r="4789">
      <c r="B4789" s="292"/>
      <c r="C4789" s="181"/>
      <c r="D4789" s="181"/>
      <c r="E4789" s="181"/>
      <c r="F4789" s="181"/>
      <c r="G4789" s="181"/>
      <c r="H4789" s="181"/>
      <c r="I4789" s="181"/>
      <c r="J4789" s="181"/>
      <c r="K4789" s="181"/>
      <c r="L4789" s="181"/>
      <c r="M4789" s="181"/>
      <c r="N4789" s="181"/>
      <c r="O4789" s="181"/>
      <c r="P4789" s="181"/>
    </row>
    <row r="4790">
      <c r="B4790" s="292"/>
      <c r="C4790" s="181"/>
      <c r="D4790" s="181"/>
      <c r="E4790" s="181"/>
      <c r="F4790" s="181"/>
      <c r="G4790" s="181"/>
      <c r="H4790" s="181"/>
      <c r="I4790" s="181"/>
      <c r="J4790" s="181"/>
      <c r="K4790" s="181"/>
      <c r="L4790" s="181"/>
      <c r="M4790" s="181"/>
      <c r="N4790" s="181"/>
      <c r="O4790" s="181"/>
      <c r="P4790" s="181"/>
    </row>
    <row r="4791">
      <c r="B4791" s="292"/>
      <c r="C4791" s="181"/>
      <c r="D4791" s="181"/>
      <c r="E4791" s="181"/>
      <c r="F4791" s="181"/>
      <c r="G4791" s="181"/>
      <c r="H4791" s="181"/>
      <c r="I4791" s="181"/>
      <c r="J4791" s="181"/>
      <c r="K4791" s="181"/>
      <c r="L4791" s="181"/>
      <c r="M4791" s="181"/>
      <c r="N4791" s="181"/>
      <c r="O4791" s="181"/>
      <c r="P4791" s="181"/>
    </row>
    <row r="4792">
      <c r="B4792" s="292"/>
      <c r="C4792" s="181"/>
      <c r="D4792" s="181"/>
      <c r="E4792" s="181"/>
      <c r="F4792" s="181"/>
      <c r="G4792" s="181"/>
      <c r="H4792" s="181"/>
      <c r="I4792" s="181"/>
      <c r="J4792" s="181"/>
      <c r="K4792" s="181"/>
      <c r="L4792" s="181"/>
      <c r="M4792" s="181"/>
      <c r="N4792" s="181"/>
      <c r="O4792" s="181"/>
      <c r="P4792" s="181"/>
    </row>
    <row r="4793">
      <c r="B4793" s="292"/>
      <c r="C4793" s="181"/>
      <c r="D4793" s="181"/>
      <c r="E4793" s="181"/>
      <c r="F4793" s="181"/>
      <c r="G4793" s="181"/>
      <c r="H4793" s="181"/>
      <c r="I4793" s="181"/>
      <c r="J4793" s="181"/>
      <c r="K4793" s="181"/>
      <c r="L4793" s="181"/>
      <c r="M4793" s="181"/>
      <c r="N4793" s="181"/>
      <c r="O4793" s="181"/>
      <c r="P4793" s="181"/>
    </row>
    <row r="4794">
      <c r="B4794" s="292"/>
      <c r="C4794" s="181"/>
      <c r="D4794" s="181"/>
      <c r="E4794" s="181"/>
      <c r="F4794" s="181"/>
      <c r="G4794" s="181"/>
      <c r="H4794" s="181"/>
      <c r="I4794" s="181"/>
      <c r="J4794" s="181"/>
      <c r="K4794" s="181"/>
      <c r="L4794" s="181"/>
      <c r="M4794" s="181"/>
      <c r="N4794" s="181"/>
      <c r="O4794" s="181"/>
      <c r="P4794" s="181"/>
    </row>
    <row r="4795">
      <c r="B4795" s="292"/>
      <c r="C4795" s="181"/>
      <c r="D4795" s="181"/>
      <c r="E4795" s="181"/>
      <c r="F4795" s="181"/>
      <c r="G4795" s="181"/>
      <c r="H4795" s="181"/>
      <c r="I4795" s="181"/>
      <c r="J4795" s="181"/>
      <c r="K4795" s="181"/>
      <c r="L4795" s="181"/>
      <c r="M4795" s="181"/>
      <c r="N4795" s="181"/>
      <c r="O4795" s="181"/>
      <c r="P4795" s="181"/>
    </row>
    <row r="4796">
      <c r="B4796" s="292"/>
      <c r="C4796" s="181"/>
      <c r="D4796" s="181"/>
      <c r="E4796" s="181"/>
      <c r="F4796" s="181"/>
      <c r="G4796" s="181"/>
      <c r="H4796" s="181"/>
      <c r="I4796" s="181"/>
      <c r="J4796" s="181"/>
      <c r="K4796" s="181"/>
      <c r="L4796" s="181"/>
      <c r="M4796" s="181"/>
      <c r="N4796" s="181"/>
      <c r="O4796" s="181"/>
      <c r="P4796" s="181"/>
    </row>
    <row r="4797">
      <c r="B4797" s="292"/>
      <c r="C4797" s="181"/>
      <c r="D4797" s="181"/>
      <c r="E4797" s="181"/>
      <c r="F4797" s="181"/>
      <c r="G4797" s="181"/>
      <c r="H4797" s="181"/>
      <c r="I4797" s="181"/>
      <c r="J4797" s="181"/>
      <c r="K4797" s="181"/>
      <c r="L4797" s="181"/>
      <c r="M4797" s="181"/>
      <c r="N4797" s="181"/>
      <c r="O4797" s="181"/>
      <c r="P4797" s="181"/>
    </row>
    <row r="4798">
      <c r="B4798" s="292"/>
      <c r="C4798" s="181"/>
      <c r="D4798" s="181"/>
      <c r="E4798" s="181"/>
      <c r="F4798" s="181"/>
      <c r="G4798" s="181"/>
      <c r="H4798" s="181"/>
      <c r="I4798" s="181"/>
      <c r="J4798" s="181"/>
      <c r="K4798" s="181"/>
      <c r="L4798" s="181"/>
      <c r="M4798" s="181"/>
      <c r="N4798" s="181"/>
      <c r="O4798" s="181"/>
      <c r="P4798" s="181"/>
    </row>
    <row r="4799">
      <c r="B4799" s="292"/>
      <c r="C4799" s="181"/>
      <c r="D4799" s="181"/>
      <c r="E4799" s="181"/>
      <c r="F4799" s="181"/>
      <c r="G4799" s="181"/>
      <c r="H4799" s="181"/>
      <c r="I4799" s="181"/>
      <c r="J4799" s="181"/>
      <c r="K4799" s="181"/>
      <c r="L4799" s="181"/>
      <c r="M4799" s="181"/>
      <c r="N4799" s="181"/>
      <c r="O4799" s="181"/>
      <c r="P4799" s="181"/>
    </row>
    <row r="4800">
      <c r="B4800" s="292"/>
      <c r="C4800" s="181"/>
      <c r="D4800" s="181"/>
      <c r="E4800" s="181"/>
      <c r="F4800" s="181"/>
      <c r="G4800" s="181"/>
      <c r="H4800" s="181"/>
      <c r="I4800" s="181"/>
      <c r="J4800" s="181"/>
      <c r="K4800" s="181"/>
      <c r="L4800" s="181"/>
      <c r="M4800" s="181"/>
      <c r="N4800" s="181"/>
      <c r="O4800" s="181"/>
      <c r="P4800" s="181"/>
    </row>
    <row r="4801">
      <c r="B4801" s="292"/>
      <c r="C4801" s="181"/>
      <c r="D4801" s="181"/>
      <c r="E4801" s="181"/>
      <c r="F4801" s="181"/>
      <c r="G4801" s="181"/>
      <c r="H4801" s="181"/>
      <c r="I4801" s="181"/>
      <c r="J4801" s="181"/>
      <c r="K4801" s="181"/>
      <c r="L4801" s="181"/>
      <c r="M4801" s="181"/>
      <c r="N4801" s="181"/>
      <c r="O4801" s="181"/>
      <c r="P4801" s="181"/>
    </row>
    <row r="4802">
      <c r="B4802" s="292"/>
      <c r="C4802" s="181"/>
      <c r="D4802" s="181"/>
      <c r="E4802" s="181"/>
      <c r="F4802" s="181"/>
      <c r="G4802" s="181"/>
      <c r="H4802" s="181"/>
      <c r="I4802" s="181"/>
      <c r="J4802" s="181"/>
      <c r="K4802" s="181"/>
      <c r="L4802" s="181"/>
      <c r="M4802" s="181"/>
      <c r="N4802" s="181"/>
      <c r="O4802" s="181"/>
      <c r="P4802" s="181"/>
    </row>
    <row r="4803">
      <c r="B4803" s="292"/>
      <c r="C4803" s="181"/>
      <c r="D4803" s="181"/>
      <c r="E4803" s="181"/>
      <c r="F4803" s="181"/>
      <c r="G4803" s="181"/>
      <c r="H4803" s="181"/>
      <c r="I4803" s="181"/>
      <c r="J4803" s="181"/>
      <c r="K4803" s="181"/>
      <c r="L4803" s="181"/>
      <c r="M4803" s="181"/>
      <c r="N4803" s="181"/>
      <c r="O4803" s="181"/>
      <c r="P4803" s="181"/>
    </row>
    <row r="4804">
      <c r="B4804" s="292"/>
      <c r="C4804" s="181"/>
      <c r="D4804" s="181"/>
      <c r="E4804" s="181"/>
      <c r="F4804" s="181"/>
      <c r="G4804" s="181"/>
      <c r="H4804" s="181"/>
      <c r="I4804" s="181"/>
      <c r="J4804" s="181"/>
      <c r="K4804" s="181"/>
      <c r="L4804" s="181"/>
      <c r="M4804" s="181"/>
      <c r="N4804" s="181"/>
      <c r="O4804" s="181"/>
      <c r="P4804" s="181"/>
    </row>
    <row r="4805">
      <c r="B4805" s="292"/>
      <c r="C4805" s="181"/>
      <c r="D4805" s="181"/>
      <c r="E4805" s="181"/>
      <c r="F4805" s="181"/>
      <c r="G4805" s="181"/>
      <c r="H4805" s="181"/>
      <c r="I4805" s="181"/>
      <c r="J4805" s="181"/>
      <c r="K4805" s="181"/>
      <c r="L4805" s="181"/>
      <c r="M4805" s="181"/>
      <c r="N4805" s="181"/>
      <c r="O4805" s="181"/>
      <c r="P4805" s="181"/>
    </row>
    <row r="4806">
      <c r="B4806" s="292"/>
      <c r="C4806" s="181"/>
      <c r="D4806" s="181"/>
      <c r="E4806" s="181"/>
      <c r="F4806" s="181"/>
      <c r="G4806" s="181"/>
      <c r="H4806" s="181"/>
      <c r="I4806" s="181"/>
      <c r="J4806" s="181"/>
      <c r="K4806" s="181"/>
      <c r="L4806" s="181"/>
      <c r="M4806" s="181"/>
      <c r="N4806" s="181"/>
      <c r="O4806" s="181"/>
      <c r="P4806" s="181"/>
    </row>
    <row r="4807">
      <c r="B4807" s="292"/>
      <c r="C4807" s="181"/>
      <c r="D4807" s="181"/>
      <c r="E4807" s="181"/>
      <c r="F4807" s="181"/>
      <c r="G4807" s="181"/>
      <c r="H4807" s="181"/>
      <c r="I4807" s="181"/>
      <c r="J4807" s="181"/>
      <c r="K4807" s="181"/>
      <c r="L4807" s="181"/>
      <c r="M4807" s="181"/>
      <c r="N4807" s="181"/>
      <c r="O4807" s="181"/>
      <c r="P4807" s="181"/>
    </row>
    <row r="4808">
      <c r="B4808" s="292"/>
      <c r="C4808" s="181"/>
      <c r="D4808" s="181"/>
      <c r="E4808" s="181"/>
      <c r="F4808" s="181"/>
      <c r="G4808" s="181"/>
      <c r="H4808" s="181"/>
      <c r="I4808" s="181"/>
      <c r="J4808" s="181"/>
      <c r="K4808" s="181"/>
      <c r="L4808" s="181"/>
      <c r="M4808" s="181"/>
      <c r="N4808" s="181"/>
      <c r="O4808" s="181"/>
      <c r="P4808" s="181"/>
    </row>
    <row r="4809">
      <c r="B4809" s="292"/>
      <c r="C4809" s="181"/>
      <c r="D4809" s="181"/>
      <c r="E4809" s="181"/>
      <c r="F4809" s="181"/>
      <c r="G4809" s="181"/>
      <c r="H4809" s="181"/>
      <c r="I4809" s="181"/>
      <c r="J4809" s="181"/>
      <c r="K4809" s="181"/>
      <c r="L4809" s="181"/>
      <c r="M4809" s="181"/>
      <c r="N4809" s="181"/>
      <c r="O4809" s="181"/>
      <c r="P4809" s="181"/>
    </row>
    <row r="4810">
      <c r="B4810" s="292"/>
      <c r="C4810" s="181"/>
      <c r="D4810" s="181"/>
      <c r="E4810" s="181"/>
      <c r="F4810" s="181"/>
      <c r="G4810" s="181"/>
      <c r="H4810" s="181"/>
      <c r="I4810" s="181"/>
      <c r="J4810" s="181"/>
      <c r="K4810" s="181"/>
      <c r="L4810" s="181"/>
      <c r="M4810" s="181"/>
      <c r="N4810" s="181"/>
      <c r="O4810" s="181"/>
      <c r="P4810" s="181"/>
    </row>
    <row r="4811">
      <c r="B4811" s="292"/>
      <c r="C4811" s="181"/>
      <c r="D4811" s="181"/>
      <c r="E4811" s="181"/>
      <c r="F4811" s="181"/>
      <c r="G4811" s="181"/>
      <c r="H4811" s="181"/>
      <c r="I4811" s="181"/>
      <c r="J4811" s="181"/>
      <c r="K4811" s="181"/>
      <c r="L4811" s="181"/>
      <c r="M4811" s="181"/>
      <c r="N4811" s="181"/>
      <c r="O4811" s="181"/>
      <c r="P4811" s="181"/>
    </row>
    <row r="4812">
      <c r="B4812" s="292"/>
      <c r="C4812" s="181"/>
      <c r="D4812" s="181"/>
      <c r="E4812" s="181"/>
      <c r="F4812" s="181"/>
      <c r="G4812" s="181"/>
      <c r="H4812" s="181"/>
      <c r="I4812" s="181"/>
      <c r="J4812" s="181"/>
      <c r="K4812" s="181"/>
      <c r="L4812" s="181"/>
      <c r="M4812" s="181"/>
      <c r="N4812" s="181"/>
      <c r="O4812" s="181"/>
      <c r="P4812" s="181"/>
    </row>
    <row r="4813">
      <c r="B4813" s="292"/>
      <c r="C4813" s="181"/>
      <c r="D4813" s="181"/>
      <c r="E4813" s="181"/>
      <c r="F4813" s="181"/>
      <c r="G4813" s="181"/>
      <c r="H4813" s="181"/>
      <c r="I4813" s="181"/>
      <c r="J4813" s="181"/>
      <c r="K4813" s="181"/>
      <c r="L4813" s="181"/>
      <c r="M4813" s="181"/>
      <c r="N4813" s="181"/>
      <c r="O4813" s="181"/>
      <c r="P4813" s="181"/>
    </row>
    <row r="4814">
      <c r="B4814" s="292"/>
      <c r="C4814" s="181"/>
      <c r="D4814" s="181"/>
      <c r="E4814" s="181"/>
      <c r="F4814" s="181"/>
      <c r="G4814" s="181"/>
      <c r="H4814" s="181"/>
      <c r="I4814" s="181"/>
      <c r="J4814" s="181"/>
      <c r="K4814" s="181"/>
      <c r="L4814" s="181"/>
      <c r="M4814" s="181"/>
      <c r="N4814" s="181"/>
      <c r="O4814" s="181"/>
      <c r="P4814" s="181"/>
    </row>
    <row r="4815">
      <c r="B4815" s="292"/>
      <c r="C4815" s="181"/>
      <c r="D4815" s="181"/>
      <c r="E4815" s="181"/>
      <c r="F4815" s="181"/>
      <c r="G4815" s="181"/>
      <c r="H4815" s="181"/>
      <c r="I4815" s="181"/>
      <c r="J4815" s="181"/>
      <c r="K4815" s="181"/>
      <c r="L4815" s="181"/>
      <c r="M4815" s="181"/>
      <c r="N4815" s="181"/>
      <c r="O4815" s="181"/>
      <c r="P4815" s="181"/>
    </row>
    <row r="4816">
      <c r="B4816" s="292"/>
      <c r="C4816" s="181"/>
      <c r="D4816" s="181"/>
      <c r="E4816" s="181"/>
      <c r="F4816" s="181"/>
      <c r="G4816" s="181"/>
      <c r="H4816" s="181"/>
      <c r="I4816" s="181"/>
      <c r="J4816" s="181"/>
      <c r="K4816" s="181"/>
      <c r="L4816" s="181"/>
      <c r="M4816" s="181"/>
      <c r="N4816" s="181"/>
      <c r="O4816" s="181"/>
      <c r="P4816" s="181"/>
    </row>
    <row r="4817">
      <c r="B4817" s="292"/>
      <c r="C4817" s="181"/>
      <c r="D4817" s="181"/>
      <c r="E4817" s="181"/>
      <c r="F4817" s="181"/>
      <c r="G4817" s="181"/>
      <c r="H4817" s="181"/>
      <c r="I4817" s="181"/>
      <c r="J4817" s="181"/>
      <c r="K4817" s="181"/>
      <c r="L4817" s="181"/>
      <c r="M4817" s="181"/>
      <c r="N4817" s="181"/>
      <c r="O4817" s="181"/>
      <c r="P4817" s="181"/>
    </row>
    <row r="4818">
      <c r="B4818" s="292"/>
      <c r="C4818" s="181"/>
      <c r="D4818" s="181"/>
      <c r="E4818" s="181"/>
      <c r="F4818" s="181"/>
      <c r="G4818" s="181"/>
      <c r="H4818" s="181"/>
      <c r="I4818" s="181"/>
      <c r="J4818" s="181"/>
      <c r="K4818" s="181"/>
      <c r="L4818" s="181"/>
      <c r="M4818" s="181"/>
      <c r="N4818" s="181"/>
      <c r="O4818" s="181"/>
      <c r="P4818" s="181"/>
    </row>
    <row r="4819">
      <c r="B4819" s="292"/>
      <c r="C4819" s="181"/>
      <c r="D4819" s="181"/>
      <c r="E4819" s="181"/>
      <c r="F4819" s="181"/>
      <c r="G4819" s="181"/>
      <c r="H4819" s="181"/>
      <c r="I4819" s="181"/>
      <c r="J4819" s="181"/>
      <c r="K4819" s="181"/>
      <c r="L4819" s="181"/>
      <c r="M4819" s="181"/>
      <c r="N4819" s="181"/>
      <c r="O4819" s="181"/>
      <c r="P4819" s="181"/>
    </row>
    <row r="4820">
      <c r="B4820" s="292"/>
      <c r="C4820" s="181"/>
      <c r="D4820" s="181"/>
      <c r="E4820" s="181"/>
      <c r="F4820" s="181"/>
      <c r="G4820" s="181"/>
      <c r="H4820" s="181"/>
      <c r="I4820" s="181"/>
      <c r="J4820" s="181"/>
      <c r="K4820" s="181"/>
      <c r="L4820" s="181"/>
      <c r="M4820" s="181"/>
      <c r="N4820" s="181"/>
      <c r="O4820" s="181"/>
      <c r="P4820" s="181"/>
    </row>
    <row r="4821">
      <c r="B4821" s="292"/>
      <c r="C4821" s="181"/>
      <c r="D4821" s="181"/>
      <c r="E4821" s="181"/>
      <c r="F4821" s="181"/>
      <c r="G4821" s="181"/>
      <c r="H4821" s="181"/>
      <c r="I4821" s="181"/>
      <c r="J4821" s="181"/>
      <c r="K4821" s="181"/>
      <c r="L4821" s="181"/>
      <c r="M4821" s="181"/>
      <c r="N4821" s="181"/>
      <c r="O4821" s="181"/>
      <c r="P4821" s="181"/>
    </row>
    <row r="4822">
      <c r="B4822" s="292"/>
      <c r="C4822" s="181"/>
      <c r="D4822" s="181"/>
      <c r="E4822" s="181"/>
      <c r="F4822" s="181"/>
      <c r="G4822" s="181"/>
      <c r="H4822" s="181"/>
      <c r="I4822" s="181"/>
      <c r="J4822" s="181"/>
      <c r="K4822" s="181"/>
      <c r="L4822" s="181"/>
      <c r="M4822" s="181"/>
      <c r="N4822" s="181"/>
      <c r="O4822" s="181"/>
      <c r="P4822" s="181"/>
    </row>
    <row r="4823">
      <c r="B4823" s="292"/>
      <c r="C4823" s="181"/>
      <c r="D4823" s="181"/>
      <c r="E4823" s="181"/>
      <c r="F4823" s="181"/>
      <c r="G4823" s="181"/>
      <c r="H4823" s="181"/>
      <c r="I4823" s="181"/>
      <c r="J4823" s="181"/>
      <c r="K4823" s="181"/>
      <c r="L4823" s="181"/>
      <c r="M4823" s="181"/>
      <c r="N4823" s="181"/>
      <c r="O4823" s="181"/>
      <c r="P4823" s="181"/>
    </row>
    <row r="4824">
      <c r="B4824" s="292"/>
      <c r="C4824" s="181"/>
      <c r="D4824" s="181"/>
      <c r="E4824" s="181"/>
      <c r="F4824" s="181"/>
      <c r="G4824" s="181"/>
      <c r="H4824" s="181"/>
      <c r="I4824" s="181"/>
      <c r="J4824" s="181"/>
      <c r="K4824" s="181"/>
      <c r="L4824" s="181"/>
      <c r="M4824" s="181"/>
      <c r="N4824" s="181"/>
      <c r="O4824" s="181"/>
      <c r="P4824" s="181"/>
    </row>
    <row r="4825">
      <c r="B4825" s="292"/>
      <c r="C4825" s="181"/>
      <c r="D4825" s="181"/>
      <c r="E4825" s="181"/>
      <c r="F4825" s="181"/>
      <c r="G4825" s="181"/>
      <c r="H4825" s="181"/>
      <c r="I4825" s="181"/>
      <c r="J4825" s="181"/>
      <c r="K4825" s="181"/>
      <c r="L4825" s="181"/>
      <c r="M4825" s="181"/>
      <c r="N4825" s="181"/>
      <c r="O4825" s="181"/>
      <c r="P4825" s="181"/>
    </row>
    <row r="4826">
      <c r="B4826" s="292"/>
      <c r="C4826" s="181"/>
      <c r="D4826" s="181"/>
      <c r="E4826" s="181"/>
      <c r="F4826" s="181"/>
      <c r="G4826" s="181"/>
      <c r="H4826" s="181"/>
      <c r="I4826" s="181"/>
      <c r="J4826" s="181"/>
      <c r="K4826" s="181"/>
      <c r="L4826" s="181"/>
      <c r="M4826" s="181"/>
      <c r="N4826" s="181"/>
      <c r="O4826" s="181"/>
      <c r="P4826" s="181"/>
    </row>
    <row r="4827">
      <c r="B4827" s="292"/>
      <c r="C4827" s="181"/>
      <c r="D4827" s="181"/>
      <c r="E4827" s="181"/>
      <c r="F4827" s="181"/>
      <c r="G4827" s="181"/>
      <c r="H4827" s="181"/>
      <c r="I4827" s="181"/>
      <c r="J4827" s="181"/>
      <c r="K4827" s="181"/>
      <c r="L4827" s="181"/>
      <c r="M4827" s="181"/>
      <c r="N4827" s="181"/>
      <c r="O4827" s="181"/>
      <c r="P4827" s="181"/>
    </row>
    <row r="4828">
      <c r="B4828" s="292"/>
      <c r="C4828" s="181"/>
      <c r="D4828" s="181"/>
      <c r="E4828" s="181"/>
      <c r="F4828" s="181"/>
      <c r="G4828" s="181"/>
      <c r="H4828" s="181"/>
      <c r="I4828" s="181"/>
      <c r="J4828" s="181"/>
      <c r="K4828" s="181"/>
      <c r="L4828" s="181"/>
      <c r="M4828" s="181"/>
      <c r="N4828" s="181"/>
      <c r="O4828" s="181"/>
      <c r="P4828" s="181"/>
    </row>
    <row r="4829">
      <c r="B4829" s="292"/>
      <c r="C4829" s="181"/>
      <c r="D4829" s="181"/>
      <c r="E4829" s="181"/>
      <c r="F4829" s="181"/>
      <c r="G4829" s="181"/>
      <c r="H4829" s="181"/>
      <c r="I4829" s="181"/>
      <c r="J4829" s="181"/>
      <c r="K4829" s="181"/>
      <c r="L4829" s="181"/>
      <c r="M4829" s="181"/>
      <c r="N4829" s="181"/>
      <c r="O4829" s="181"/>
      <c r="P4829" s="181"/>
    </row>
    <row r="4830">
      <c r="B4830" s="292"/>
      <c r="C4830" s="181"/>
      <c r="D4830" s="181"/>
      <c r="E4830" s="181"/>
      <c r="F4830" s="181"/>
      <c r="G4830" s="181"/>
      <c r="H4830" s="181"/>
      <c r="I4830" s="181"/>
      <c r="J4830" s="181"/>
      <c r="K4830" s="181"/>
      <c r="L4830" s="181"/>
      <c r="M4830" s="181"/>
      <c r="N4830" s="181"/>
      <c r="O4830" s="181"/>
      <c r="P4830" s="181"/>
    </row>
    <row r="4831">
      <c r="B4831" s="292"/>
      <c r="C4831" s="181"/>
      <c r="D4831" s="181"/>
      <c r="E4831" s="181"/>
      <c r="F4831" s="181"/>
      <c r="G4831" s="181"/>
      <c r="H4831" s="181"/>
      <c r="I4831" s="181"/>
      <c r="J4831" s="181"/>
      <c r="K4831" s="181"/>
      <c r="L4831" s="181"/>
      <c r="M4831" s="181"/>
      <c r="N4831" s="181"/>
      <c r="O4831" s="181"/>
      <c r="P4831" s="181"/>
    </row>
    <row r="4832">
      <c r="B4832" s="292"/>
      <c r="C4832" s="181"/>
      <c r="D4832" s="181"/>
      <c r="E4832" s="181"/>
      <c r="F4832" s="181"/>
      <c r="G4832" s="181"/>
      <c r="H4832" s="181"/>
      <c r="I4832" s="181"/>
      <c r="J4832" s="181"/>
      <c r="K4832" s="181"/>
      <c r="L4832" s="181"/>
      <c r="M4832" s="181"/>
      <c r="N4832" s="181"/>
      <c r="O4832" s="181"/>
      <c r="P4832" s="181"/>
    </row>
    <row r="4833">
      <c r="B4833" s="292"/>
      <c r="C4833" s="181"/>
      <c r="D4833" s="181"/>
      <c r="E4833" s="181"/>
      <c r="F4833" s="181"/>
      <c r="G4833" s="181"/>
      <c r="H4833" s="181"/>
      <c r="I4833" s="181"/>
      <c r="J4833" s="181"/>
      <c r="K4833" s="181"/>
      <c r="L4833" s="181"/>
      <c r="M4833" s="181"/>
      <c r="N4833" s="181"/>
      <c r="O4833" s="181"/>
      <c r="P4833" s="181"/>
    </row>
    <row r="4834">
      <c r="B4834" s="292"/>
      <c r="C4834" s="181"/>
      <c r="D4834" s="181"/>
      <c r="E4834" s="181"/>
      <c r="F4834" s="181"/>
      <c r="G4834" s="181"/>
      <c r="H4834" s="181"/>
      <c r="I4834" s="181"/>
      <c r="J4834" s="181"/>
      <c r="K4834" s="181"/>
      <c r="L4834" s="181"/>
      <c r="M4834" s="181"/>
      <c r="N4834" s="181"/>
      <c r="O4834" s="181"/>
      <c r="P4834" s="181"/>
    </row>
    <row r="4835">
      <c r="B4835" s="292"/>
      <c r="C4835" s="181"/>
      <c r="D4835" s="181"/>
      <c r="E4835" s="181"/>
      <c r="F4835" s="181"/>
      <c r="G4835" s="181"/>
      <c r="H4835" s="181"/>
      <c r="I4835" s="181"/>
      <c r="J4835" s="181"/>
      <c r="K4835" s="181"/>
      <c r="L4835" s="181"/>
      <c r="M4835" s="181"/>
      <c r="N4835" s="181"/>
      <c r="O4835" s="181"/>
      <c r="P4835" s="181"/>
    </row>
    <row r="4836">
      <c r="B4836" s="292"/>
      <c r="C4836" s="181"/>
      <c r="D4836" s="181"/>
      <c r="E4836" s="181"/>
      <c r="F4836" s="181"/>
      <c r="G4836" s="181"/>
      <c r="H4836" s="181"/>
      <c r="I4836" s="181"/>
      <c r="J4836" s="181"/>
      <c r="K4836" s="181"/>
      <c r="L4836" s="181"/>
      <c r="M4836" s="181"/>
      <c r="N4836" s="181"/>
      <c r="O4836" s="181"/>
      <c r="P4836" s="181"/>
    </row>
    <row r="4837">
      <c r="B4837" s="292"/>
      <c r="C4837" s="181"/>
      <c r="D4837" s="181"/>
      <c r="E4837" s="181"/>
      <c r="F4837" s="181"/>
      <c r="G4837" s="181"/>
      <c r="H4837" s="181"/>
      <c r="I4837" s="181"/>
      <c r="J4837" s="181"/>
      <c r="K4837" s="181"/>
      <c r="L4837" s="181"/>
      <c r="M4837" s="181"/>
      <c r="N4837" s="181"/>
      <c r="O4837" s="181"/>
      <c r="P4837" s="181"/>
    </row>
    <row r="4838">
      <c r="B4838" s="292"/>
      <c r="C4838" s="181"/>
      <c r="D4838" s="181"/>
      <c r="E4838" s="181"/>
      <c r="F4838" s="181"/>
      <c r="G4838" s="181"/>
      <c r="H4838" s="181"/>
      <c r="I4838" s="181"/>
      <c r="J4838" s="181"/>
      <c r="K4838" s="181"/>
      <c r="L4838" s="181"/>
      <c r="M4838" s="181"/>
      <c r="N4838" s="181"/>
      <c r="O4838" s="181"/>
      <c r="P4838" s="181"/>
    </row>
    <row r="4839">
      <c r="B4839" s="292"/>
      <c r="C4839" s="181"/>
      <c r="D4839" s="181"/>
      <c r="E4839" s="181"/>
      <c r="F4839" s="181"/>
      <c r="G4839" s="181"/>
      <c r="H4839" s="181"/>
      <c r="I4839" s="181"/>
      <c r="J4839" s="181"/>
      <c r="K4839" s="181"/>
      <c r="L4839" s="181"/>
      <c r="M4839" s="181"/>
      <c r="N4839" s="181"/>
      <c r="O4839" s="181"/>
      <c r="P4839" s="181"/>
    </row>
    <row r="4840">
      <c r="B4840" s="292"/>
      <c r="C4840" s="181"/>
      <c r="D4840" s="181"/>
      <c r="E4840" s="181"/>
      <c r="F4840" s="181"/>
      <c r="G4840" s="181"/>
      <c r="H4840" s="181"/>
      <c r="I4840" s="181"/>
      <c r="J4840" s="181"/>
      <c r="K4840" s="181"/>
      <c r="L4840" s="181"/>
      <c r="M4840" s="181"/>
      <c r="N4840" s="181"/>
      <c r="O4840" s="181"/>
      <c r="P4840" s="181"/>
    </row>
    <row r="4841">
      <c r="B4841" s="292"/>
      <c r="C4841" s="181"/>
      <c r="D4841" s="181"/>
      <c r="E4841" s="181"/>
      <c r="F4841" s="181"/>
      <c r="G4841" s="181"/>
      <c r="H4841" s="181"/>
      <c r="I4841" s="181"/>
      <c r="J4841" s="181"/>
      <c r="K4841" s="181"/>
      <c r="L4841" s="181"/>
      <c r="M4841" s="181"/>
      <c r="N4841" s="181"/>
      <c r="O4841" s="181"/>
      <c r="P4841" s="181"/>
    </row>
    <row r="4842">
      <c r="B4842" s="292"/>
      <c r="C4842" s="181"/>
      <c r="D4842" s="181"/>
      <c r="E4842" s="181"/>
      <c r="F4842" s="181"/>
      <c r="G4842" s="181"/>
      <c r="H4842" s="181"/>
      <c r="I4842" s="181"/>
      <c r="J4842" s="181"/>
      <c r="K4842" s="181"/>
      <c r="L4842" s="181"/>
      <c r="M4842" s="181"/>
      <c r="N4842" s="181"/>
      <c r="O4842" s="181"/>
      <c r="P4842" s="181"/>
    </row>
    <row r="4843">
      <c r="B4843" s="292"/>
      <c r="C4843" s="181"/>
      <c r="D4843" s="181"/>
      <c r="E4843" s="181"/>
      <c r="F4843" s="181"/>
      <c r="G4843" s="181"/>
      <c r="H4843" s="181"/>
      <c r="I4843" s="181"/>
      <c r="J4843" s="181"/>
      <c r="K4843" s="181"/>
      <c r="L4843" s="181"/>
      <c r="M4843" s="181"/>
      <c r="N4843" s="181"/>
      <c r="O4843" s="181"/>
      <c r="P4843" s="181"/>
    </row>
    <row r="4844">
      <c r="B4844" s="292"/>
      <c r="C4844" s="181"/>
      <c r="D4844" s="181"/>
      <c r="E4844" s="181"/>
      <c r="F4844" s="181"/>
      <c r="G4844" s="181"/>
      <c r="H4844" s="181"/>
      <c r="I4844" s="181"/>
      <c r="J4844" s="181"/>
      <c r="K4844" s="181"/>
      <c r="L4844" s="181"/>
      <c r="M4844" s="181"/>
      <c r="N4844" s="181"/>
      <c r="O4844" s="181"/>
      <c r="P4844" s="181"/>
    </row>
    <row r="4845">
      <c r="B4845" s="292"/>
      <c r="C4845" s="181"/>
      <c r="D4845" s="181"/>
      <c r="E4845" s="181"/>
      <c r="F4845" s="181"/>
      <c r="G4845" s="181"/>
      <c r="H4845" s="181"/>
      <c r="I4845" s="181"/>
      <c r="J4845" s="181"/>
      <c r="K4845" s="181"/>
      <c r="L4845" s="181"/>
      <c r="M4845" s="181"/>
      <c r="N4845" s="181"/>
      <c r="O4845" s="181"/>
      <c r="P4845" s="181"/>
    </row>
    <row r="4846">
      <c r="B4846" s="292"/>
      <c r="C4846" s="181"/>
      <c r="D4846" s="181"/>
      <c r="E4846" s="181"/>
      <c r="F4846" s="181"/>
      <c r="G4846" s="181"/>
      <c r="H4846" s="181"/>
      <c r="I4846" s="181"/>
      <c r="J4846" s="181"/>
      <c r="K4846" s="181"/>
      <c r="L4846" s="181"/>
      <c r="M4846" s="181"/>
      <c r="N4846" s="181"/>
      <c r="O4846" s="181"/>
      <c r="P4846" s="181"/>
    </row>
    <row r="4847">
      <c r="B4847" s="292"/>
      <c r="C4847" s="181"/>
      <c r="D4847" s="181"/>
      <c r="E4847" s="181"/>
      <c r="F4847" s="181"/>
      <c r="G4847" s="181"/>
      <c r="H4847" s="181"/>
      <c r="I4847" s="181"/>
      <c r="J4847" s="181"/>
      <c r="K4847" s="181"/>
      <c r="L4847" s="181"/>
      <c r="M4847" s="181"/>
      <c r="N4847" s="181"/>
      <c r="O4847" s="181"/>
      <c r="P4847" s="181"/>
    </row>
    <row r="4848">
      <c r="B4848" s="292"/>
      <c r="C4848" s="181"/>
      <c r="D4848" s="181"/>
      <c r="E4848" s="181"/>
      <c r="F4848" s="181"/>
      <c r="G4848" s="181"/>
      <c r="H4848" s="181"/>
      <c r="I4848" s="181"/>
      <c r="J4848" s="181"/>
      <c r="K4848" s="181"/>
      <c r="L4848" s="181"/>
      <c r="M4848" s="181"/>
      <c r="N4848" s="181"/>
      <c r="O4848" s="181"/>
      <c r="P4848" s="181"/>
    </row>
    <row r="4849">
      <c r="B4849" s="292"/>
      <c r="C4849" s="181"/>
      <c r="D4849" s="181"/>
      <c r="E4849" s="181"/>
      <c r="F4849" s="181"/>
      <c r="G4849" s="181"/>
      <c r="H4849" s="181"/>
      <c r="I4849" s="181"/>
      <c r="J4849" s="181"/>
      <c r="K4849" s="181"/>
      <c r="L4849" s="181"/>
      <c r="M4849" s="181"/>
      <c r="N4849" s="181"/>
      <c r="O4849" s="181"/>
      <c r="P4849" s="181"/>
    </row>
    <row r="4850">
      <c r="B4850" s="292"/>
      <c r="C4850" s="181"/>
      <c r="D4850" s="181"/>
      <c r="E4850" s="181"/>
      <c r="F4850" s="181"/>
      <c r="G4850" s="181"/>
      <c r="H4850" s="181"/>
      <c r="I4850" s="181"/>
      <c r="J4850" s="181"/>
      <c r="K4850" s="181"/>
      <c r="L4850" s="181"/>
      <c r="M4850" s="181"/>
      <c r="N4850" s="181"/>
      <c r="O4850" s="181"/>
      <c r="P4850" s="181"/>
    </row>
    <row r="4851">
      <c r="B4851" s="292"/>
      <c r="C4851" s="181"/>
      <c r="D4851" s="181"/>
      <c r="E4851" s="181"/>
      <c r="F4851" s="181"/>
      <c r="G4851" s="181"/>
      <c r="H4851" s="181"/>
      <c r="I4851" s="181"/>
      <c r="J4851" s="181"/>
      <c r="K4851" s="181"/>
      <c r="L4851" s="181"/>
      <c r="M4851" s="181"/>
      <c r="N4851" s="181"/>
      <c r="O4851" s="181"/>
      <c r="P4851" s="181"/>
    </row>
    <row r="4852">
      <c r="B4852" s="292"/>
      <c r="C4852" s="181"/>
      <c r="D4852" s="181"/>
      <c r="E4852" s="181"/>
      <c r="F4852" s="181"/>
      <c r="G4852" s="181"/>
      <c r="H4852" s="181"/>
      <c r="I4852" s="181"/>
      <c r="J4852" s="181"/>
      <c r="K4852" s="181"/>
      <c r="L4852" s="181"/>
      <c r="M4852" s="181"/>
      <c r="N4852" s="181"/>
      <c r="O4852" s="181"/>
      <c r="P4852" s="181"/>
    </row>
    <row r="4853">
      <c r="B4853" s="292"/>
      <c r="C4853" s="181"/>
      <c r="D4853" s="181"/>
      <c r="E4853" s="181"/>
      <c r="F4853" s="181"/>
      <c r="G4853" s="181"/>
      <c r="H4853" s="181"/>
      <c r="I4853" s="181"/>
      <c r="J4853" s="181"/>
      <c r="K4853" s="181"/>
      <c r="L4853" s="181"/>
      <c r="M4853" s="181"/>
      <c r="N4853" s="181"/>
      <c r="O4853" s="181"/>
      <c r="P4853" s="181"/>
    </row>
    <row r="4854">
      <c r="B4854" s="292"/>
      <c r="C4854" s="181"/>
      <c r="D4854" s="181"/>
      <c r="E4854" s="181"/>
      <c r="F4854" s="181"/>
      <c r="G4854" s="181"/>
      <c r="H4854" s="181"/>
      <c r="I4854" s="181"/>
      <c r="J4854" s="181"/>
      <c r="K4854" s="181"/>
      <c r="L4854" s="181"/>
      <c r="M4854" s="181"/>
      <c r="N4854" s="181"/>
      <c r="O4854" s="181"/>
      <c r="P4854" s="181"/>
    </row>
    <row r="4855">
      <c r="B4855" s="292"/>
      <c r="C4855" s="181"/>
      <c r="D4855" s="181"/>
      <c r="E4855" s="181"/>
      <c r="F4855" s="181"/>
      <c r="G4855" s="181"/>
      <c r="H4855" s="181"/>
      <c r="I4855" s="181"/>
      <c r="J4855" s="181"/>
      <c r="K4855" s="181"/>
      <c r="L4855" s="181"/>
      <c r="M4855" s="181"/>
      <c r="N4855" s="181"/>
      <c r="O4855" s="181"/>
      <c r="P4855" s="181"/>
    </row>
    <row r="4856">
      <c r="B4856" s="292"/>
      <c r="C4856" s="181"/>
      <c r="D4856" s="181"/>
      <c r="E4856" s="181"/>
      <c r="F4856" s="181"/>
      <c r="G4856" s="181"/>
      <c r="H4856" s="181"/>
      <c r="I4856" s="181"/>
      <c r="J4856" s="181"/>
      <c r="K4856" s="181"/>
      <c r="L4856" s="181"/>
      <c r="M4856" s="181"/>
      <c r="N4856" s="181"/>
      <c r="O4856" s="181"/>
      <c r="P4856" s="181"/>
    </row>
    <row r="4857">
      <c r="B4857" s="292"/>
      <c r="C4857" s="181"/>
      <c r="D4857" s="181"/>
      <c r="E4857" s="181"/>
      <c r="F4857" s="181"/>
      <c r="G4857" s="181"/>
      <c r="H4857" s="181"/>
      <c r="I4857" s="181"/>
      <c r="J4857" s="181"/>
      <c r="K4857" s="181"/>
      <c r="L4857" s="181"/>
      <c r="M4857" s="181"/>
      <c r="N4857" s="181"/>
      <c r="O4857" s="181"/>
      <c r="P4857" s="181"/>
    </row>
    <row r="4858">
      <c r="B4858" s="292"/>
      <c r="C4858" s="181"/>
      <c r="D4858" s="181"/>
      <c r="E4858" s="181"/>
      <c r="F4858" s="181"/>
      <c r="G4858" s="181"/>
      <c r="H4858" s="181"/>
      <c r="I4858" s="181"/>
      <c r="J4858" s="181"/>
      <c r="K4858" s="181"/>
      <c r="L4858" s="181"/>
      <c r="M4858" s="181"/>
      <c r="N4858" s="181"/>
      <c r="O4858" s="181"/>
      <c r="P4858" s="181"/>
    </row>
    <row r="4859">
      <c r="B4859" s="292"/>
      <c r="C4859" s="181"/>
      <c r="D4859" s="181"/>
      <c r="E4859" s="181"/>
      <c r="F4859" s="181"/>
      <c r="G4859" s="181"/>
      <c r="H4859" s="181"/>
      <c r="I4859" s="181"/>
      <c r="J4859" s="181"/>
      <c r="K4859" s="181"/>
      <c r="L4859" s="181"/>
      <c r="M4859" s="181"/>
      <c r="N4859" s="181"/>
      <c r="O4859" s="181"/>
      <c r="P4859" s="181"/>
    </row>
    <row r="4860">
      <c r="B4860" s="292"/>
      <c r="C4860" s="181"/>
      <c r="D4860" s="181"/>
      <c r="E4860" s="181"/>
      <c r="F4860" s="181"/>
      <c r="G4860" s="181"/>
      <c r="H4860" s="181"/>
      <c r="I4860" s="181"/>
      <c r="J4860" s="181"/>
      <c r="K4860" s="181"/>
      <c r="L4860" s="181"/>
      <c r="M4860" s="181"/>
      <c r="N4860" s="181"/>
      <c r="O4860" s="181"/>
      <c r="P4860" s="181"/>
    </row>
    <row r="4861">
      <c r="B4861" s="292"/>
      <c r="C4861" s="181"/>
      <c r="D4861" s="181"/>
      <c r="E4861" s="181"/>
      <c r="F4861" s="181"/>
      <c r="G4861" s="181"/>
      <c r="H4861" s="181"/>
      <c r="I4861" s="181"/>
      <c r="J4861" s="181"/>
      <c r="K4861" s="181"/>
      <c r="L4861" s="181"/>
      <c r="M4861" s="181"/>
      <c r="N4861" s="181"/>
      <c r="O4861" s="181"/>
      <c r="P4861" s="181"/>
    </row>
    <row r="4862">
      <c r="B4862" s="292"/>
      <c r="C4862" s="181"/>
      <c r="D4862" s="181"/>
      <c r="E4862" s="181"/>
      <c r="F4862" s="181"/>
      <c r="G4862" s="181"/>
      <c r="H4862" s="181"/>
      <c r="I4862" s="181"/>
      <c r="J4862" s="181"/>
      <c r="K4862" s="181"/>
      <c r="L4862" s="181"/>
      <c r="M4862" s="181"/>
      <c r="N4862" s="181"/>
      <c r="O4862" s="181"/>
      <c r="P4862" s="181"/>
    </row>
    <row r="4863">
      <c r="B4863" s="292"/>
      <c r="C4863" s="181"/>
      <c r="D4863" s="181"/>
      <c r="E4863" s="181"/>
      <c r="F4863" s="181"/>
      <c r="G4863" s="181"/>
      <c r="H4863" s="181"/>
      <c r="I4863" s="181"/>
      <c r="J4863" s="181"/>
      <c r="K4863" s="181"/>
      <c r="L4863" s="181"/>
      <c r="M4863" s="181"/>
      <c r="N4863" s="181"/>
      <c r="O4863" s="181"/>
      <c r="P4863" s="181"/>
    </row>
    <row r="4864">
      <c r="B4864" s="292"/>
      <c r="C4864" s="181"/>
      <c r="D4864" s="181"/>
      <c r="E4864" s="181"/>
      <c r="F4864" s="181"/>
      <c r="G4864" s="181"/>
      <c r="H4864" s="181"/>
      <c r="I4864" s="181"/>
      <c r="J4864" s="181"/>
      <c r="K4864" s="181"/>
      <c r="L4864" s="181"/>
      <c r="M4864" s="181"/>
      <c r="N4864" s="181"/>
      <c r="O4864" s="181"/>
      <c r="P4864" s="181"/>
    </row>
    <row r="4865">
      <c r="B4865" s="292"/>
      <c r="C4865" s="181"/>
      <c r="D4865" s="181"/>
      <c r="E4865" s="181"/>
      <c r="F4865" s="181"/>
      <c r="G4865" s="181"/>
      <c r="H4865" s="181"/>
      <c r="I4865" s="181"/>
      <c r="J4865" s="181"/>
      <c r="K4865" s="181"/>
      <c r="L4865" s="181"/>
      <c r="M4865" s="181"/>
      <c r="N4865" s="181"/>
      <c r="O4865" s="181"/>
      <c r="P4865" s="181"/>
    </row>
    <row r="4866">
      <c r="B4866" s="292"/>
      <c r="C4866" s="181"/>
      <c r="D4866" s="181"/>
      <c r="E4866" s="181"/>
      <c r="F4866" s="181"/>
      <c r="G4866" s="181"/>
      <c r="H4866" s="181"/>
      <c r="I4866" s="181"/>
      <c r="J4866" s="181"/>
      <c r="K4866" s="181"/>
      <c r="L4866" s="181"/>
      <c r="M4866" s="181"/>
      <c r="N4866" s="181"/>
      <c r="O4866" s="181"/>
      <c r="P4866" s="181"/>
    </row>
    <row r="4867">
      <c r="B4867" s="292"/>
      <c r="C4867" s="181"/>
      <c r="D4867" s="181"/>
      <c r="E4867" s="181"/>
      <c r="F4867" s="181"/>
      <c r="G4867" s="181"/>
      <c r="H4867" s="181"/>
      <c r="I4867" s="181"/>
      <c r="J4867" s="181"/>
      <c r="K4867" s="181"/>
      <c r="L4867" s="181"/>
      <c r="M4867" s="181"/>
      <c r="N4867" s="181"/>
      <c r="O4867" s="181"/>
      <c r="P4867" s="181"/>
    </row>
    <row r="4868">
      <c r="B4868" s="292"/>
      <c r="C4868" s="181"/>
      <c r="D4868" s="181"/>
      <c r="E4868" s="181"/>
      <c r="F4868" s="181"/>
      <c r="G4868" s="181"/>
      <c r="H4868" s="181"/>
      <c r="I4868" s="181"/>
      <c r="J4868" s="181"/>
      <c r="K4868" s="181"/>
      <c r="L4868" s="181"/>
      <c r="M4868" s="181"/>
      <c r="N4868" s="181"/>
      <c r="O4868" s="181"/>
      <c r="P4868" s="181"/>
    </row>
    <row r="4869">
      <c r="B4869" s="292"/>
      <c r="C4869" s="181"/>
      <c r="D4869" s="181"/>
      <c r="E4869" s="181"/>
      <c r="F4869" s="181"/>
      <c r="G4869" s="181"/>
      <c r="H4869" s="181"/>
      <c r="I4869" s="181"/>
      <c r="J4869" s="181"/>
      <c r="K4869" s="181"/>
      <c r="L4869" s="181"/>
      <c r="M4869" s="181"/>
      <c r="N4869" s="181"/>
      <c r="O4869" s="181"/>
      <c r="P4869" s="181"/>
    </row>
    <row r="4870">
      <c r="B4870" s="292"/>
      <c r="C4870" s="181"/>
      <c r="D4870" s="181"/>
      <c r="E4870" s="181"/>
      <c r="F4870" s="181"/>
      <c r="G4870" s="181"/>
      <c r="H4870" s="181"/>
      <c r="I4870" s="181"/>
      <c r="J4870" s="181"/>
      <c r="K4870" s="181"/>
      <c r="L4870" s="181"/>
      <c r="M4870" s="181"/>
      <c r="N4870" s="181"/>
      <c r="O4870" s="181"/>
      <c r="P4870" s="181"/>
    </row>
    <row r="4871">
      <c r="B4871" s="292"/>
      <c r="C4871" s="181"/>
      <c r="D4871" s="181"/>
      <c r="E4871" s="181"/>
      <c r="F4871" s="181"/>
      <c r="G4871" s="181"/>
      <c r="H4871" s="181"/>
      <c r="I4871" s="181"/>
      <c r="J4871" s="181"/>
      <c r="K4871" s="181"/>
      <c r="L4871" s="181"/>
      <c r="M4871" s="181"/>
      <c r="N4871" s="181"/>
      <c r="O4871" s="181"/>
      <c r="P4871" s="181"/>
    </row>
    <row r="4872">
      <c r="B4872" s="292"/>
      <c r="C4872" s="181"/>
      <c r="D4872" s="181"/>
      <c r="E4872" s="181"/>
      <c r="F4872" s="181"/>
      <c r="G4872" s="181"/>
      <c r="H4872" s="181"/>
      <c r="I4872" s="181"/>
      <c r="J4872" s="181"/>
      <c r="K4872" s="181"/>
      <c r="L4872" s="181"/>
      <c r="M4872" s="181"/>
      <c r="N4872" s="181"/>
      <c r="O4872" s="181"/>
      <c r="P4872" s="181"/>
    </row>
    <row r="4873">
      <c r="B4873" s="292"/>
      <c r="C4873" s="181"/>
      <c r="D4873" s="181"/>
      <c r="E4873" s="181"/>
      <c r="F4873" s="181"/>
      <c r="G4873" s="181"/>
      <c r="H4873" s="181"/>
      <c r="I4873" s="181"/>
      <c r="J4873" s="181"/>
      <c r="K4873" s="181"/>
      <c r="L4873" s="181"/>
      <c r="M4873" s="181"/>
      <c r="N4873" s="181"/>
      <c r="O4873" s="181"/>
      <c r="P4873" s="181"/>
    </row>
    <row r="4874">
      <c r="B4874" s="292"/>
      <c r="C4874" s="181"/>
      <c r="D4874" s="181"/>
      <c r="E4874" s="181"/>
      <c r="F4874" s="181"/>
      <c r="G4874" s="181"/>
      <c r="H4874" s="181"/>
      <c r="I4874" s="181"/>
      <c r="J4874" s="181"/>
      <c r="K4874" s="181"/>
      <c r="L4874" s="181"/>
      <c r="M4874" s="181"/>
      <c r="N4874" s="181"/>
      <c r="O4874" s="181"/>
      <c r="P4874" s="181"/>
    </row>
    <row r="4875">
      <c r="B4875" s="292"/>
      <c r="C4875" s="181"/>
      <c r="D4875" s="181"/>
      <c r="E4875" s="181"/>
      <c r="F4875" s="181"/>
      <c r="G4875" s="181"/>
      <c r="H4875" s="181"/>
      <c r="I4875" s="181"/>
      <c r="J4875" s="181"/>
      <c r="K4875" s="181"/>
      <c r="L4875" s="181"/>
      <c r="M4875" s="181"/>
      <c r="N4875" s="181"/>
      <c r="O4875" s="181"/>
      <c r="P4875" s="181"/>
    </row>
    <row r="4876">
      <c r="B4876" s="292"/>
      <c r="C4876" s="181"/>
      <c r="D4876" s="181"/>
      <c r="E4876" s="181"/>
      <c r="F4876" s="181"/>
      <c r="G4876" s="181"/>
      <c r="H4876" s="181"/>
      <c r="I4876" s="181"/>
      <c r="J4876" s="181"/>
      <c r="K4876" s="181"/>
      <c r="L4876" s="181"/>
      <c r="M4876" s="181"/>
      <c r="N4876" s="181"/>
      <c r="O4876" s="181"/>
      <c r="P4876" s="181"/>
    </row>
    <row r="4877">
      <c r="B4877" s="292"/>
      <c r="C4877" s="181"/>
      <c r="D4877" s="181"/>
      <c r="E4877" s="181"/>
      <c r="F4877" s="181"/>
      <c r="G4877" s="181"/>
      <c r="H4877" s="181"/>
      <c r="I4877" s="181"/>
      <c r="J4877" s="181"/>
      <c r="K4877" s="181"/>
      <c r="L4877" s="181"/>
      <c r="M4877" s="181"/>
      <c r="N4877" s="181"/>
      <c r="O4877" s="181"/>
      <c r="P4877" s="181"/>
    </row>
    <row r="4878">
      <c r="B4878" s="292"/>
      <c r="C4878" s="181"/>
      <c r="D4878" s="181"/>
      <c r="E4878" s="181"/>
      <c r="F4878" s="181"/>
      <c r="G4878" s="181"/>
      <c r="H4878" s="181"/>
      <c r="I4878" s="181"/>
      <c r="J4878" s="181"/>
      <c r="K4878" s="181"/>
      <c r="L4878" s="181"/>
      <c r="M4878" s="181"/>
      <c r="N4878" s="181"/>
      <c r="O4878" s="181"/>
      <c r="P4878" s="181"/>
    </row>
    <row r="4879">
      <c r="B4879" s="292"/>
      <c r="C4879" s="181"/>
      <c r="D4879" s="181"/>
      <c r="E4879" s="181"/>
      <c r="F4879" s="181"/>
      <c r="G4879" s="181"/>
      <c r="H4879" s="181"/>
      <c r="I4879" s="181"/>
      <c r="J4879" s="181"/>
      <c r="K4879" s="181"/>
      <c r="L4879" s="181"/>
      <c r="M4879" s="181"/>
      <c r="N4879" s="181"/>
      <c r="O4879" s="181"/>
      <c r="P4879" s="181"/>
    </row>
    <row r="4880">
      <c r="B4880" s="292"/>
      <c r="C4880" s="181"/>
      <c r="D4880" s="181"/>
      <c r="E4880" s="181"/>
      <c r="F4880" s="181"/>
      <c r="G4880" s="181"/>
      <c r="H4880" s="181"/>
      <c r="I4880" s="181"/>
      <c r="J4880" s="181"/>
      <c r="K4880" s="181"/>
      <c r="L4880" s="181"/>
      <c r="M4880" s="181"/>
      <c r="N4880" s="181"/>
      <c r="O4880" s="181"/>
      <c r="P4880" s="181"/>
    </row>
    <row r="4881">
      <c r="B4881" s="292"/>
      <c r="C4881" s="181"/>
      <c r="D4881" s="181"/>
      <c r="E4881" s="181"/>
      <c r="F4881" s="181"/>
      <c r="G4881" s="181"/>
      <c r="H4881" s="181"/>
      <c r="I4881" s="181"/>
      <c r="J4881" s="181"/>
      <c r="K4881" s="181"/>
      <c r="L4881" s="181"/>
      <c r="M4881" s="181"/>
      <c r="N4881" s="181"/>
      <c r="O4881" s="181"/>
      <c r="P4881" s="181"/>
    </row>
    <row r="4882">
      <c r="B4882" s="292"/>
      <c r="C4882" s="181"/>
      <c r="D4882" s="181"/>
      <c r="E4882" s="181"/>
      <c r="F4882" s="181"/>
      <c r="G4882" s="181"/>
      <c r="H4882" s="181"/>
      <c r="I4882" s="181"/>
      <c r="J4882" s="181"/>
      <c r="K4882" s="181"/>
      <c r="L4882" s="181"/>
      <c r="M4882" s="181"/>
      <c r="N4882" s="181"/>
      <c r="O4882" s="181"/>
      <c r="P4882" s="181"/>
    </row>
    <row r="4883">
      <c r="B4883" s="292"/>
      <c r="C4883" s="181"/>
      <c r="D4883" s="181"/>
      <c r="E4883" s="181"/>
      <c r="F4883" s="181"/>
      <c r="G4883" s="181"/>
      <c r="H4883" s="181"/>
      <c r="I4883" s="181"/>
      <c r="J4883" s="181"/>
      <c r="K4883" s="181"/>
      <c r="L4883" s="181"/>
      <c r="M4883" s="181"/>
      <c r="N4883" s="181"/>
      <c r="O4883" s="181"/>
      <c r="P4883" s="181"/>
    </row>
    <row r="4884">
      <c r="B4884" s="292"/>
      <c r="C4884" s="181"/>
      <c r="D4884" s="181"/>
      <c r="E4884" s="181"/>
      <c r="F4884" s="181"/>
      <c r="G4884" s="181"/>
      <c r="H4884" s="181"/>
      <c r="I4884" s="181"/>
      <c r="J4884" s="181"/>
      <c r="K4884" s="181"/>
      <c r="L4884" s="181"/>
      <c r="M4884" s="181"/>
      <c r="N4884" s="181"/>
      <c r="O4884" s="181"/>
      <c r="P4884" s="181"/>
    </row>
    <row r="4885">
      <c r="B4885" s="292"/>
      <c r="C4885" s="181"/>
      <c r="D4885" s="181"/>
      <c r="E4885" s="181"/>
      <c r="F4885" s="181"/>
      <c r="G4885" s="181"/>
      <c r="H4885" s="181"/>
      <c r="I4885" s="181"/>
      <c r="J4885" s="181"/>
      <c r="K4885" s="181"/>
      <c r="L4885" s="181"/>
      <c r="M4885" s="181"/>
      <c r="N4885" s="181"/>
      <c r="O4885" s="181"/>
      <c r="P4885" s="181"/>
    </row>
    <row r="4886">
      <c r="B4886" s="292"/>
      <c r="C4886" s="181"/>
      <c r="D4886" s="181"/>
      <c r="E4886" s="181"/>
      <c r="F4886" s="181"/>
      <c r="G4886" s="181"/>
      <c r="H4886" s="181"/>
      <c r="I4886" s="181"/>
      <c r="J4886" s="181"/>
      <c r="K4886" s="181"/>
      <c r="L4886" s="181"/>
      <c r="M4886" s="181"/>
      <c r="N4886" s="181"/>
      <c r="O4886" s="181"/>
      <c r="P4886" s="181"/>
    </row>
    <row r="4887">
      <c r="B4887" s="292"/>
      <c r="C4887" s="181"/>
      <c r="D4887" s="181"/>
      <c r="E4887" s="181"/>
      <c r="F4887" s="181"/>
      <c r="G4887" s="181"/>
      <c r="H4887" s="181"/>
      <c r="I4887" s="181"/>
      <c r="J4887" s="181"/>
      <c r="K4887" s="181"/>
      <c r="L4887" s="181"/>
      <c r="M4887" s="181"/>
      <c r="N4887" s="181"/>
      <c r="O4887" s="181"/>
      <c r="P4887" s="181"/>
    </row>
    <row r="4888">
      <c r="B4888" s="292"/>
      <c r="C4888" s="181"/>
      <c r="D4888" s="181"/>
      <c r="E4888" s="181"/>
      <c r="F4888" s="181"/>
      <c r="G4888" s="181"/>
      <c r="H4888" s="181"/>
      <c r="I4888" s="181"/>
      <c r="J4888" s="181"/>
      <c r="K4888" s="181"/>
      <c r="L4888" s="181"/>
      <c r="M4888" s="181"/>
      <c r="N4888" s="181"/>
      <c r="O4888" s="181"/>
      <c r="P4888" s="181"/>
    </row>
    <row r="4889">
      <c r="B4889" s="292"/>
      <c r="C4889" s="181"/>
      <c r="D4889" s="181"/>
      <c r="E4889" s="181"/>
      <c r="F4889" s="181"/>
      <c r="G4889" s="181"/>
      <c r="H4889" s="181"/>
      <c r="I4889" s="181"/>
      <c r="J4889" s="181"/>
      <c r="K4889" s="181"/>
      <c r="L4889" s="181"/>
      <c r="M4889" s="181"/>
      <c r="N4889" s="181"/>
      <c r="O4889" s="181"/>
      <c r="P4889" s="181"/>
    </row>
    <row r="4890">
      <c r="B4890" s="292"/>
      <c r="C4890" s="181"/>
      <c r="D4890" s="181"/>
      <c r="E4890" s="181"/>
      <c r="F4890" s="181"/>
      <c r="G4890" s="181"/>
      <c r="H4890" s="181"/>
      <c r="I4890" s="181"/>
      <c r="J4890" s="181"/>
      <c r="K4890" s="181"/>
      <c r="L4890" s="181"/>
      <c r="M4890" s="181"/>
      <c r="N4890" s="181"/>
      <c r="O4890" s="181"/>
      <c r="P4890" s="181"/>
    </row>
    <row r="4891">
      <c r="B4891" s="292"/>
      <c r="C4891" s="181"/>
      <c r="D4891" s="181"/>
      <c r="E4891" s="181"/>
      <c r="F4891" s="181"/>
      <c r="G4891" s="181"/>
      <c r="H4891" s="181"/>
      <c r="I4891" s="181"/>
      <c r="J4891" s="181"/>
      <c r="K4891" s="181"/>
      <c r="L4891" s="181"/>
      <c r="M4891" s="181"/>
      <c r="N4891" s="181"/>
      <c r="O4891" s="181"/>
      <c r="P4891" s="181"/>
    </row>
    <row r="4892">
      <c r="B4892" s="292"/>
      <c r="C4892" s="181"/>
      <c r="D4892" s="181"/>
      <c r="E4892" s="181"/>
      <c r="F4892" s="181"/>
      <c r="G4892" s="181"/>
      <c r="H4892" s="181"/>
      <c r="I4892" s="181"/>
      <c r="J4892" s="181"/>
      <c r="K4892" s="181"/>
      <c r="L4892" s="181"/>
      <c r="M4892" s="181"/>
      <c r="N4892" s="181"/>
      <c r="O4892" s="181"/>
      <c r="P4892" s="181"/>
    </row>
    <row r="4893">
      <c r="B4893" s="292"/>
      <c r="C4893" s="181"/>
      <c r="D4893" s="181"/>
      <c r="E4893" s="181"/>
      <c r="F4893" s="181"/>
      <c r="G4893" s="181"/>
      <c r="H4893" s="181"/>
      <c r="I4893" s="181"/>
      <c r="J4893" s="181"/>
      <c r="K4893" s="181"/>
      <c r="L4893" s="181"/>
      <c r="M4893" s="181"/>
      <c r="N4893" s="181"/>
      <c r="O4893" s="181"/>
      <c r="P4893" s="181"/>
    </row>
    <row r="4894">
      <c r="B4894" s="292"/>
      <c r="C4894" s="181"/>
      <c r="D4894" s="181"/>
      <c r="E4894" s="181"/>
      <c r="F4894" s="181"/>
      <c r="G4894" s="181"/>
      <c r="H4894" s="181"/>
      <c r="I4894" s="181"/>
      <c r="J4894" s="181"/>
      <c r="K4894" s="181"/>
      <c r="L4894" s="181"/>
      <c r="M4894" s="181"/>
      <c r="N4894" s="181"/>
      <c r="O4894" s="181"/>
      <c r="P4894" s="181"/>
    </row>
    <row r="4895">
      <c r="B4895" s="292"/>
      <c r="C4895" s="181"/>
      <c r="D4895" s="181"/>
      <c r="E4895" s="181"/>
      <c r="F4895" s="181"/>
      <c r="G4895" s="181"/>
      <c r="H4895" s="181"/>
      <c r="I4895" s="181"/>
      <c r="J4895" s="181"/>
      <c r="K4895" s="181"/>
      <c r="L4895" s="181"/>
      <c r="M4895" s="181"/>
      <c r="N4895" s="181"/>
      <c r="O4895" s="181"/>
      <c r="P4895" s="181"/>
    </row>
    <row r="4896">
      <c r="B4896" s="292"/>
      <c r="C4896" s="181"/>
      <c r="D4896" s="181"/>
      <c r="E4896" s="181"/>
      <c r="F4896" s="181"/>
      <c r="G4896" s="181"/>
      <c r="H4896" s="181"/>
      <c r="I4896" s="181"/>
      <c r="J4896" s="181"/>
      <c r="K4896" s="181"/>
      <c r="L4896" s="181"/>
      <c r="M4896" s="181"/>
      <c r="N4896" s="181"/>
      <c r="O4896" s="181"/>
      <c r="P4896" s="181"/>
    </row>
    <row r="4897">
      <c r="B4897" s="292"/>
      <c r="C4897" s="181"/>
      <c r="D4897" s="181"/>
      <c r="E4897" s="181"/>
      <c r="F4897" s="181"/>
      <c r="G4897" s="181"/>
      <c r="H4897" s="181"/>
      <c r="I4897" s="181"/>
      <c r="J4897" s="181"/>
      <c r="K4897" s="181"/>
      <c r="L4897" s="181"/>
      <c r="M4897" s="181"/>
      <c r="N4897" s="181"/>
      <c r="O4897" s="181"/>
      <c r="P4897" s="181"/>
    </row>
    <row r="4898">
      <c r="B4898" s="292"/>
      <c r="C4898" s="181"/>
      <c r="D4898" s="181"/>
      <c r="E4898" s="181"/>
      <c r="F4898" s="181"/>
      <c r="G4898" s="181"/>
      <c r="H4898" s="181"/>
      <c r="I4898" s="181"/>
      <c r="J4898" s="181"/>
      <c r="K4898" s="181"/>
      <c r="L4898" s="181"/>
      <c r="M4898" s="181"/>
      <c r="N4898" s="181"/>
      <c r="O4898" s="181"/>
      <c r="P4898" s="181"/>
    </row>
    <row r="4899">
      <c r="B4899" s="292"/>
      <c r="C4899" s="181"/>
      <c r="D4899" s="181"/>
      <c r="E4899" s="181"/>
      <c r="F4899" s="181"/>
      <c r="G4899" s="181"/>
      <c r="H4899" s="181"/>
      <c r="I4899" s="181"/>
      <c r="J4899" s="181"/>
      <c r="K4899" s="181"/>
      <c r="L4899" s="181"/>
      <c r="M4899" s="181"/>
      <c r="N4899" s="181"/>
      <c r="O4899" s="181"/>
      <c r="P4899" s="181"/>
    </row>
    <row r="4900">
      <c r="B4900" s="292"/>
      <c r="C4900" s="181"/>
      <c r="D4900" s="181"/>
      <c r="E4900" s="181"/>
      <c r="F4900" s="181"/>
      <c r="G4900" s="181"/>
      <c r="H4900" s="181"/>
      <c r="I4900" s="181"/>
      <c r="J4900" s="181"/>
      <c r="K4900" s="181"/>
      <c r="L4900" s="181"/>
      <c r="M4900" s="181"/>
      <c r="N4900" s="181"/>
      <c r="O4900" s="181"/>
      <c r="P4900" s="181"/>
    </row>
    <row r="4901">
      <c r="B4901" s="292"/>
      <c r="C4901" s="181"/>
      <c r="D4901" s="181"/>
      <c r="E4901" s="181"/>
      <c r="F4901" s="181"/>
      <c r="G4901" s="181"/>
      <c r="H4901" s="181"/>
      <c r="I4901" s="181"/>
      <c r="J4901" s="181"/>
      <c r="K4901" s="181"/>
      <c r="L4901" s="181"/>
      <c r="M4901" s="181"/>
      <c r="N4901" s="181"/>
      <c r="O4901" s="181"/>
      <c r="P4901" s="181"/>
    </row>
    <row r="4902">
      <c r="B4902" s="292"/>
      <c r="C4902" s="181"/>
      <c r="D4902" s="181"/>
      <c r="E4902" s="181"/>
      <c r="F4902" s="181"/>
      <c r="G4902" s="181"/>
      <c r="H4902" s="181"/>
      <c r="I4902" s="181"/>
      <c r="J4902" s="181"/>
      <c r="K4902" s="181"/>
      <c r="L4902" s="181"/>
      <c r="M4902" s="181"/>
      <c r="N4902" s="181"/>
      <c r="O4902" s="181"/>
      <c r="P4902" s="181"/>
    </row>
    <row r="4903">
      <c r="B4903" s="292"/>
      <c r="C4903" s="181"/>
      <c r="D4903" s="181"/>
      <c r="E4903" s="181"/>
      <c r="F4903" s="181"/>
      <c r="G4903" s="181"/>
      <c r="H4903" s="181"/>
      <c r="I4903" s="181"/>
      <c r="J4903" s="181"/>
      <c r="K4903" s="181"/>
      <c r="L4903" s="181"/>
      <c r="M4903" s="181"/>
      <c r="N4903" s="181"/>
      <c r="O4903" s="181"/>
      <c r="P4903" s="181"/>
    </row>
    <row r="4904">
      <c r="B4904" s="292"/>
      <c r="C4904" s="181"/>
      <c r="D4904" s="181"/>
      <c r="E4904" s="181"/>
      <c r="F4904" s="181"/>
      <c r="G4904" s="181"/>
      <c r="H4904" s="181"/>
      <c r="I4904" s="181"/>
      <c r="J4904" s="181"/>
      <c r="K4904" s="181"/>
      <c r="L4904" s="181"/>
      <c r="M4904" s="181"/>
      <c r="N4904" s="181"/>
      <c r="O4904" s="181"/>
      <c r="P4904" s="181"/>
    </row>
    <row r="4905">
      <c r="B4905" s="292"/>
      <c r="C4905" s="181"/>
      <c r="D4905" s="181"/>
      <c r="E4905" s="181"/>
      <c r="F4905" s="181"/>
      <c r="G4905" s="181"/>
      <c r="H4905" s="181"/>
      <c r="I4905" s="181"/>
      <c r="J4905" s="181"/>
      <c r="K4905" s="181"/>
      <c r="L4905" s="181"/>
      <c r="M4905" s="181"/>
      <c r="N4905" s="181"/>
      <c r="O4905" s="181"/>
      <c r="P4905" s="181"/>
    </row>
    <row r="4906">
      <c r="B4906" s="292"/>
      <c r="C4906" s="181"/>
      <c r="D4906" s="181"/>
      <c r="E4906" s="181"/>
      <c r="F4906" s="181"/>
      <c r="G4906" s="181"/>
      <c r="H4906" s="181"/>
      <c r="I4906" s="181"/>
      <c r="J4906" s="181"/>
      <c r="K4906" s="181"/>
      <c r="L4906" s="181"/>
      <c r="M4906" s="181"/>
      <c r="N4906" s="181"/>
      <c r="O4906" s="181"/>
      <c r="P4906" s="181"/>
    </row>
    <row r="4907">
      <c r="B4907" s="292"/>
      <c r="C4907" s="181"/>
      <c r="D4907" s="181"/>
      <c r="E4907" s="181"/>
      <c r="F4907" s="181"/>
      <c r="G4907" s="181"/>
      <c r="H4907" s="181"/>
      <c r="I4907" s="181"/>
      <c r="J4907" s="181"/>
      <c r="K4907" s="181"/>
      <c r="L4907" s="181"/>
      <c r="M4907" s="181"/>
      <c r="N4907" s="181"/>
      <c r="O4907" s="181"/>
      <c r="P4907" s="181"/>
    </row>
    <row r="4908">
      <c r="B4908" s="292"/>
      <c r="C4908" s="181"/>
      <c r="D4908" s="181"/>
      <c r="E4908" s="181"/>
      <c r="F4908" s="181"/>
      <c r="G4908" s="181"/>
      <c r="H4908" s="181"/>
      <c r="I4908" s="181"/>
      <c r="J4908" s="181"/>
      <c r="K4908" s="181"/>
      <c r="L4908" s="181"/>
      <c r="M4908" s="181"/>
      <c r="N4908" s="181"/>
      <c r="O4908" s="181"/>
      <c r="P4908" s="181"/>
    </row>
    <row r="4909">
      <c r="B4909" s="292"/>
      <c r="C4909" s="181"/>
      <c r="D4909" s="181"/>
      <c r="E4909" s="181"/>
      <c r="F4909" s="181"/>
      <c r="G4909" s="181"/>
      <c r="H4909" s="181"/>
      <c r="I4909" s="181"/>
      <c r="J4909" s="181"/>
      <c r="K4909" s="181"/>
      <c r="L4909" s="181"/>
      <c r="M4909" s="181"/>
      <c r="N4909" s="181"/>
      <c r="O4909" s="181"/>
      <c r="P4909" s="181"/>
    </row>
    <row r="4910">
      <c r="B4910" s="292"/>
      <c r="C4910" s="181"/>
      <c r="D4910" s="181"/>
      <c r="E4910" s="181"/>
      <c r="F4910" s="181"/>
      <c r="G4910" s="181"/>
      <c r="H4910" s="181"/>
      <c r="I4910" s="181"/>
      <c r="J4910" s="181"/>
      <c r="K4910" s="181"/>
      <c r="L4910" s="181"/>
      <c r="M4910" s="181"/>
      <c r="N4910" s="181"/>
      <c r="O4910" s="181"/>
      <c r="P4910" s="181"/>
    </row>
    <row r="4911">
      <c r="B4911" s="292"/>
      <c r="C4911" s="181"/>
      <c r="D4911" s="181"/>
      <c r="E4911" s="181"/>
      <c r="F4911" s="181"/>
      <c r="G4911" s="181"/>
      <c r="H4911" s="181"/>
      <c r="I4911" s="181"/>
      <c r="J4911" s="181"/>
      <c r="K4911" s="181"/>
      <c r="L4911" s="181"/>
      <c r="M4911" s="181"/>
      <c r="N4911" s="181"/>
      <c r="O4911" s="181"/>
      <c r="P4911" s="181"/>
    </row>
    <row r="4912">
      <c r="B4912" s="292"/>
      <c r="C4912" s="181"/>
      <c r="D4912" s="181"/>
      <c r="E4912" s="181"/>
      <c r="F4912" s="181"/>
      <c r="G4912" s="181"/>
      <c r="H4912" s="181"/>
      <c r="I4912" s="181"/>
      <c r="J4912" s="181"/>
      <c r="K4912" s="181"/>
      <c r="L4912" s="181"/>
      <c r="M4912" s="181"/>
      <c r="N4912" s="181"/>
      <c r="O4912" s="181"/>
      <c r="P4912" s="181"/>
    </row>
    <row r="4913">
      <c r="B4913" s="292"/>
      <c r="C4913" s="181"/>
      <c r="D4913" s="181"/>
      <c r="E4913" s="181"/>
      <c r="F4913" s="181"/>
      <c r="G4913" s="181"/>
      <c r="H4913" s="181"/>
      <c r="I4913" s="181"/>
      <c r="J4913" s="181"/>
      <c r="K4913" s="181"/>
      <c r="L4913" s="181"/>
      <c r="M4913" s="181"/>
      <c r="N4913" s="181"/>
      <c r="O4913" s="181"/>
      <c r="P4913" s="181"/>
    </row>
    <row r="4914">
      <c r="B4914" s="292"/>
      <c r="C4914" s="181"/>
      <c r="D4914" s="181"/>
      <c r="E4914" s="181"/>
      <c r="F4914" s="181"/>
      <c r="G4914" s="181"/>
      <c r="H4914" s="181"/>
      <c r="I4914" s="181"/>
      <c r="J4914" s="181"/>
      <c r="K4914" s="181"/>
      <c r="L4914" s="181"/>
      <c r="M4914" s="181"/>
      <c r="N4914" s="181"/>
      <c r="O4914" s="181"/>
      <c r="P4914" s="181"/>
    </row>
    <row r="4915">
      <c r="B4915" s="292"/>
      <c r="C4915" s="181"/>
      <c r="D4915" s="181"/>
      <c r="E4915" s="181"/>
      <c r="F4915" s="181"/>
      <c r="G4915" s="181"/>
      <c r="H4915" s="181"/>
      <c r="I4915" s="181"/>
      <c r="J4915" s="181"/>
      <c r="K4915" s="181"/>
      <c r="L4915" s="181"/>
      <c r="M4915" s="181"/>
      <c r="N4915" s="181"/>
      <c r="O4915" s="181"/>
      <c r="P4915" s="181"/>
    </row>
    <row r="4916">
      <c r="B4916" s="292"/>
      <c r="C4916" s="181"/>
      <c r="D4916" s="181"/>
      <c r="E4916" s="181"/>
      <c r="F4916" s="181"/>
      <c r="G4916" s="181"/>
      <c r="H4916" s="181"/>
      <c r="I4916" s="181"/>
      <c r="J4916" s="181"/>
      <c r="K4916" s="181"/>
      <c r="L4916" s="181"/>
      <c r="M4916" s="181"/>
      <c r="N4916" s="181"/>
      <c r="O4916" s="181"/>
      <c r="P4916" s="181"/>
    </row>
    <row r="4917">
      <c r="B4917" s="292"/>
      <c r="C4917" s="181"/>
      <c r="D4917" s="181"/>
      <c r="E4917" s="181"/>
      <c r="F4917" s="181"/>
      <c r="G4917" s="181"/>
      <c r="H4917" s="181"/>
      <c r="I4917" s="181"/>
      <c r="J4917" s="181"/>
      <c r="K4917" s="181"/>
      <c r="L4917" s="181"/>
      <c r="M4917" s="181"/>
      <c r="N4917" s="181"/>
      <c r="O4917" s="181"/>
      <c r="P4917" s="181"/>
    </row>
    <row r="4918">
      <c r="B4918" s="292"/>
      <c r="C4918" s="181"/>
      <c r="D4918" s="181"/>
      <c r="E4918" s="181"/>
      <c r="F4918" s="181"/>
      <c r="G4918" s="181"/>
      <c r="H4918" s="181"/>
      <c r="I4918" s="181"/>
      <c r="J4918" s="181"/>
      <c r="K4918" s="181"/>
      <c r="L4918" s="181"/>
      <c r="M4918" s="181"/>
      <c r="N4918" s="181"/>
      <c r="O4918" s="181"/>
      <c r="P4918" s="181"/>
    </row>
    <row r="4919">
      <c r="B4919" s="292"/>
      <c r="C4919" s="181"/>
      <c r="D4919" s="181"/>
      <c r="E4919" s="181"/>
      <c r="F4919" s="181"/>
      <c r="G4919" s="181"/>
      <c r="H4919" s="181"/>
      <c r="I4919" s="181"/>
      <c r="J4919" s="181"/>
      <c r="K4919" s="181"/>
      <c r="L4919" s="181"/>
      <c r="M4919" s="181"/>
      <c r="N4919" s="181"/>
      <c r="O4919" s="181"/>
      <c r="P4919" s="181"/>
    </row>
    <row r="4920">
      <c r="B4920" s="292"/>
      <c r="C4920" s="181"/>
      <c r="D4920" s="181"/>
      <c r="E4920" s="181"/>
      <c r="F4920" s="181"/>
      <c r="G4920" s="181"/>
      <c r="H4920" s="181"/>
      <c r="I4920" s="181"/>
      <c r="J4920" s="181"/>
      <c r="K4920" s="181"/>
      <c r="L4920" s="181"/>
      <c r="M4920" s="181"/>
      <c r="N4920" s="181"/>
      <c r="O4920" s="181"/>
      <c r="P4920" s="181"/>
    </row>
    <row r="4921">
      <c r="B4921" s="292"/>
      <c r="C4921" s="181"/>
      <c r="D4921" s="181"/>
      <c r="E4921" s="181"/>
      <c r="F4921" s="181"/>
      <c r="G4921" s="181"/>
      <c r="H4921" s="181"/>
      <c r="I4921" s="181"/>
      <c r="J4921" s="181"/>
      <c r="K4921" s="181"/>
      <c r="L4921" s="181"/>
      <c r="M4921" s="181"/>
      <c r="N4921" s="181"/>
      <c r="O4921" s="181"/>
      <c r="P4921" s="181"/>
    </row>
    <row r="4922">
      <c r="B4922" s="292"/>
      <c r="C4922" s="181"/>
      <c r="D4922" s="181"/>
      <c r="E4922" s="181"/>
      <c r="F4922" s="181"/>
      <c r="G4922" s="181"/>
      <c r="H4922" s="181"/>
      <c r="I4922" s="181"/>
      <c r="J4922" s="181"/>
      <c r="K4922" s="181"/>
      <c r="L4922" s="181"/>
      <c r="M4922" s="181"/>
      <c r="N4922" s="181"/>
      <c r="O4922" s="181"/>
      <c r="P4922" s="181"/>
    </row>
    <row r="4923">
      <c r="B4923" s="292"/>
      <c r="C4923" s="181"/>
      <c r="D4923" s="181"/>
      <c r="E4923" s="181"/>
      <c r="F4923" s="181"/>
      <c r="G4923" s="181"/>
      <c r="H4923" s="181"/>
      <c r="I4923" s="181"/>
      <c r="J4923" s="181"/>
      <c r="K4923" s="181"/>
      <c r="L4923" s="181"/>
      <c r="M4923" s="181"/>
      <c r="N4923" s="181"/>
      <c r="O4923" s="181"/>
      <c r="P4923" s="181"/>
    </row>
    <row r="4924">
      <c r="B4924" s="292"/>
      <c r="C4924" s="181"/>
      <c r="D4924" s="181"/>
      <c r="E4924" s="181"/>
      <c r="F4924" s="181"/>
      <c r="G4924" s="181"/>
      <c r="H4924" s="181"/>
      <c r="I4924" s="181"/>
      <c r="J4924" s="181"/>
      <c r="K4924" s="181"/>
      <c r="L4924" s="181"/>
      <c r="M4924" s="181"/>
      <c r="N4924" s="181"/>
      <c r="O4924" s="181"/>
      <c r="P4924" s="181"/>
    </row>
    <row r="4925">
      <c r="B4925" s="292"/>
      <c r="C4925" s="181"/>
      <c r="D4925" s="181"/>
      <c r="E4925" s="181"/>
      <c r="F4925" s="181"/>
      <c r="G4925" s="181"/>
      <c r="H4925" s="181"/>
      <c r="I4925" s="181"/>
      <c r="J4925" s="181"/>
      <c r="K4925" s="181"/>
      <c r="L4925" s="181"/>
      <c r="M4925" s="181"/>
      <c r="N4925" s="181"/>
      <c r="O4925" s="181"/>
      <c r="P4925" s="181"/>
    </row>
    <row r="4926">
      <c r="B4926" s="292"/>
      <c r="C4926" s="181"/>
      <c r="D4926" s="181"/>
      <c r="E4926" s="181"/>
      <c r="F4926" s="181"/>
      <c r="G4926" s="181"/>
      <c r="H4926" s="181"/>
      <c r="I4926" s="181"/>
      <c r="J4926" s="181"/>
      <c r="K4926" s="181"/>
      <c r="L4926" s="181"/>
      <c r="M4926" s="181"/>
      <c r="N4926" s="181"/>
      <c r="O4926" s="181"/>
      <c r="P4926" s="181"/>
    </row>
    <row r="4927">
      <c r="B4927" s="292"/>
      <c r="C4927" s="181"/>
      <c r="D4927" s="181"/>
      <c r="E4927" s="181"/>
      <c r="F4927" s="181"/>
      <c r="G4927" s="181"/>
      <c r="H4927" s="181"/>
      <c r="I4927" s="181"/>
      <c r="J4927" s="181"/>
      <c r="K4927" s="181"/>
      <c r="L4927" s="181"/>
      <c r="M4927" s="181"/>
      <c r="N4927" s="181"/>
      <c r="O4927" s="181"/>
      <c r="P4927" s="181"/>
    </row>
    <row r="4928">
      <c r="B4928" s="292"/>
      <c r="C4928" s="181"/>
      <c r="D4928" s="181"/>
      <c r="E4928" s="181"/>
      <c r="F4928" s="181"/>
      <c r="G4928" s="181"/>
      <c r="H4928" s="181"/>
      <c r="I4928" s="181"/>
      <c r="J4928" s="181"/>
      <c r="K4928" s="181"/>
      <c r="L4928" s="181"/>
      <c r="M4928" s="181"/>
      <c r="N4928" s="181"/>
      <c r="O4928" s="181"/>
      <c r="P4928" s="181"/>
    </row>
    <row r="4929">
      <c r="B4929" s="292"/>
      <c r="C4929" s="181"/>
      <c r="D4929" s="181"/>
      <c r="E4929" s="181"/>
      <c r="F4929" s="181"/>
      <c r="G4929" s="181"/>
      <c r="H4929" s="181"/>
      <c r="I4929" s="181"/>
      <c r="J4929" s="181"/>
      <c r="K4929" s="181"/>
      <c r="L4929" s="181"/>
      <c r="M4929" s="181"/>
      <c r="N4929" s="181"/>
      <c r="O4929" s="181"/>
      <c r="P4929" s="181"/>
    </row>
    <row r="4930">
      <c r="B4930" s="292"/>
      <c r="C4930" s="181"/>
      <c r="D4930" s="181"/>
      <c r="E4930" s="181"/>
      <c r="F4930" s="181"/>
      <c r="G4930" s="181"/>
      <c r="H4930" s="181"/>
      <c r="I4930" s="181"/>
      <c r="J4930" s="181"/>
      <c r="K4930" s="181"/>
      <c r="L4930" s="181"/>
      <c r="M4930" s="181"/>
      <c r="N4930" s="181"/>
      <c r="O4930" s="181"/>
      <c r="P4930" s="181"/>
    </row>
    <row r="4931">
      <c r="B4931" s="292"/>
      <c r="C4931" s="181"/>
      <c r="D4931" s="181"/>
      <c r="E4931" s="181"/>
      <c r="F4931" s="181"/>
      <c r="G4931" s="181"/>
      <c r="H4931" s="181"/>
      <c r="I4931" s="181"/>
      <c r="J4931" s="181"/>
      <c r="K4931" s="181"/>
      <c r="L4931" s="181"/>
      <c r="M4931" s="181"/>
      <c r="N4931" s="181"/>
      <c r="O4931" s="181"/>
      <c r="P4931" s="181"/>
    </row>
    <row r="4932">
      <c r="B4932" s="292"/>
      <c r="C4932" s="181"/>
      <c r="D4932" s="181"/>
      <c r="E4932" s="181"/>
      <c r="F4932" s="181"/>
      <c r="G4932" s="181"/>
      <c r="H4932" s="181"/>
      <c r="I4932" s="181"/>
      <c r="J4932" s="181"/>
      <c r="K4932" s="181"/>
      <c r="L4932" s="181"/>
      <c r="M4932" s="181"/>
      <c r="N4932" s="181"/>
      <c r="O4932" s="181"/>
      <c r="P4932" s="181"/>
    </row>
    <row r="4933">
      <c r="B4933" s="292"/>
      <c r="C4933" s="181"/>
      <c r="D4933" s="181"/>
      <c r="E4933" s="181"/>
      <c r="F4933" s="181"/>
      <c r="G4933" s="181"/>
      <c r="H4933" s="181"/>
      <c r="I4933" s="181"/>
      <c r="J4933" s="181"/>
      <c r="K4933" s="181"/>
      <c r="L4933" s="181"/>
      <c r="M4933" s="181"/>
      <c r="N4933" s="181"/>
      <c r="O4933" s="181"/>
      <c r="P4933" s="181"/>
    </row>
    <row r="4934">
      <c r="B4934" s="292"/>
      <c r="C4934" s="181"/>
      <c r="D4934" s="181"/>
      <c r="E4934" s="181"/>
      <c r="F4934" s="181"/>
      <c r="G4934" s="181"/>
      <c r="H4934" s="181"/>
      <c r="I4934" s="181"/>
      <c r="J4934" s="181"/>
      <c r="K4934" s="181"/>
      <c r="L4934" s="181"/>
      <c r="M4934" s="181"/>
      <c r="N4934" s="181"/>
      <c r="O4934" s="181"/>
      <c r="P4934" s="181"/>
    </row>
    <row r="4935">
      <c r="B4935" s="292"/>
      <c r="C4935" s="181"/>
      <c r="D4935" s="181"/>
      <c r="E4935" s="181"/>
      <c r="F4935" s="181"/>
      <c r="G4935" s="181"/>
      <c r="H4935" s="181"/>
      <c r="I4935" s="181"/>
      <c r="J4935" s="181"/>
      <c r="K4935" s="181"/>
      <c r="L4935" s="181"/>
      <c r="M4935" s="181"/>
      <c r="N4935" s="181"/>
      <c r="O4935" s="181"/>
      <c r="P4935" s="181"/>
    </row>
    <row r="4936">
      <c r="B4936" s="292"/>
      <c r="C4936" s="181"/>
      <c r="D4936" s="181"/>
      <c r="E4936" s="181"/>
      <c r="F4936" s="181"/>
      <c r="G4936" s="181"/>
      <c r="H4936" s="181"/>
      <c r="I4936" s="181"/>
      <c r="J4936" s="181"/>
      <c r="K4936" s="181"/>
      <c r="L4936" s="181"/>
      <c r="M4936" s="181"/>
      <c r="N4936" s="181"/>
      <c r="O4936" s="181"/>
      <c r="P4936" s="181"/>
    </row>
    <row r="4937">
      <c r="B4937" s="292"/>
      <c r="C4937" s="181"/>
      <c r="D4937" s="181"/>
      <c r="E4937" s="181"/>
      <c r="F4937" s="181"/>
      <c r="G4937" s="181"/>
      <c r="H4937" s="181"/>
      <c r="I4937" s="181"/>
      <c r="J4937" s="181"/>
      <c r="K4937" s="181"/>
      <c r="L4937" s="181"/>
      <c r="M4937" s="181"/>
      <c r="N4937" s="181"/>
      <c r="O4937" s="181"/>
      <c r="P4937" s="181"/>
    </row>
    <row r="4938">
      <c r="B4938" s="292"/>
      <c r="C4938" s="181"/>
      <c r="D4938" s="181"/>
      <c r="E4938" s="181"/>
      <c r="F4938" s="181"/>
      <c r="G4938" s="181"/>
      <c r="H4938" s="181"/>
      <c r="I4938" s="181"/>
      <c r="J4938" s="181"/>
      <c r="K4938" s="181"/>
      <c r="L4938" s="181"/>
      <c r="M4938" s="181"/>
      <c r="N4938" s="181"/>
      <c r="O4938" s="181"/>
      <c r="P4938" s="181"/>
    </row>
    <row r="4939">
      <c r="B4939" s="292"/>
      <c r="C4939" s="181"/>
      <c r="D4939" s="181"/>
      <c r="E4939" s="181"/>
      <c r="F4939" s="181"/>
      <c r="G4939" s="181"/>
      <c r="H4939" s="181"/>
      <c r="I4939" s="181"/>
      <c r="J4939" s="181"/>
      <c r="K4939" s="181"/>
      <c r="L4939" s="181"/>
      <c r="M4939" s="181"/>
      <c r="N4939" s="181"/>
      <c r="O4939" s="181"/>
      <c r="P4939" s="181"/>
    </row>
    <row r="4940">
      <c r="B4940" s="292"/>
      <c r="C4940" s="181"/>
      <c r="D4940" s="181"/>
      <c r="E4940" s="181"/>
      <c r="F4940" s="181"/>
      <c r="G4940" s="181"/>
      <c r="H4940" s="181"/>
      <c r="I4940" s="181"/>
      <c r="J4940" s="181"/>
      <c r="K4940" s="181"/>
      <c r="L4940" s="181"/>
      <c r="M4940" s="181"/>
      <c r="N4940" s="181"/>
      <c r="O4940" s="181"/>
      <c r="P4940" s="181"/>
    </row>
    <row r="4941">
      <c r="B4941" s="292"/>
      <c r="C4941" s="181"/>
      <c r="D4941" s="181"/>
      <c r="E4941" s="181"/>
      <c r="F4941" s="181"/>
      <c r="G4941" s="181"/>
      <c r="H4941" s="181"/>
      <c r="I4941" s="181"/>
      <c r="J4941" s="181"/>
      <c r="K4941" s="181"/>
      <c r="L4941" s="181"/>
      <c r="M4941" s="181"/>
      <c r="N4941" s="181"/>
      <c r="O4941" s="181"/>
      <c r="P4941" s="181"/>
    </row>
    <row r="4942">
      <c r="B4942" s="292"/>
      <c r="C4942" s="181"/>
      <c r="D4942" s="181"/>
      <c r="E4942" s="181"/>
      <c r="F4942" s="181"/>
      <c r="G4942" s="181"/>
      <c r="H4942" s="181"/>
      <c r="I4942" s="181"/>
      <c r="J4942" s="181"/>
      <c r="K4942" s="181"/>
      <c r="L4942" s="181"/>
      <c r="M4942" s="181"/>
      <c r="N4942" s="181"/>
      <c r="O4942" s="181"/>
      <c r="P4942" s="181"/>
    </row>
    <row r="4943">
      <c r="B4943" s="292"/>
      <c r="C4943" s="181"/>
      <c r="D4943" s="181"/>
      <c r="E4943" s="181"/>
      <c r="F4943" s="181"/>
      <c r="G4943" s="181"/>
      <c r="H4943" s="181"/>
      <c r="I4943" s="181"/>
      <c r="J4943" s="181"/>
      <c r="K4943" s="181"/>
      <c r="L4943" s="181"/>
      <c r="M4943" s="181"/>
      <c r="N4943" s="181"/>
      <c r="O4943" s="181"/>
      <c r="P4943" s="181"/>
    </row>
    <row r="4944">
      <c r="B4944" s="292"/>
      <c r="C4944" s="181"/>
      <c r="D4944" s="181"/>
      <c r="E4944" s="181"/>
      <c r="F4944" s="181"/>
      <c r="G4944" s="181"/>
      <c r="H4944" s="181"/>
      <c r="I4944" s="181"/>
      <c r="J4944" s="181"/>
      <c r="K4944" s="181"/>
      <c r="L4944" s="181"/>
      <c r="M4944" s="181"/>
      <c r="N4944" s="181"/>
      <c r="O4944" s="181"/>
      <c r="P4944" s="181"/>
    </row>
    <row r="4945">
      <c r="B4945" s="292"/>
      <c r="C4945" s="181"/>
      <c r="D4945" s="181"/>
      <c r="E4945" s="181"/>
      <c r="F4945" s="181"/>
      <c r="G4945" s="181"/>
      <c r="H4945" s="181"/>
      <c r="I4945" s="181"/>
      <c r="J4945" s="181"/>
      <c r="K4945" s="181"/>
      <c r="L4945" s="181"/>
      <c r="M4945" s="181"/>
      <c r="N4945" s="181"/>
      <c r="O4945" s="181"/>
      <c r="P4945" s="181"/>
    </row>
    <row r="4946">
      <c r="B4946" s="292"/>
      <c r="C4946" s="181"/>
      <c r="D4946" s="181"/>
      <c r="E4946" s="181"/>
      <c r="F4946" s="181"/>
      <c r="G4946" s="181"/>
      <c r="H4946" s="181"/>
      <c r="I4946" s="181"/>
      <c r="J4946" s="181"/>
      <c r="K4946" s="181"/>
      <c r="L4946" s="181"/>
      <c r="M4946" s="181"/>
      <c r="N4946" s="181"/>
      <c r="O4946" s="181"/>
      <c r="P4946" s="181"/>
    </row>
    <row r="4947">
      <c r="B4947" s="292"/>
      <c r="C4947" s="181"/>
      <c r="D4947" s="181"/>
      <c r="E4947" s="181"/>
      <c r="F4947" s="181"/>
      <c r="G4947" s="181"/>
      <c r="H4947" s="181"/>
      <c r="I4947" s="181"/>
      <c r="J4947" s="181"/>
      <c r="K4947" s="181"/>
      <c r="L4947" s="181"/>
      <c r="M4947" s="181"/>
      <c r="N4947" s="181"/>
      <c r="O4947" s="181"/>
      <c r="P4947" s="181"/>
    </row>
    <row r="4948">
      <c r="B4948" s="292"/>
      <c r="C4948" s="181"/>
      <c r="D4948" s="181"/>
      <c r="E4948" s="181"/>
      <c r="F4948" s="181"/>
      <c r="G4948" s="181"/>
      <c r="H4948" s="181"/>
      <c r="I4948" s="181"/>
      <c r="J4948" s="181"/>
      <c r="K4948" s="181"/>
      <c r="L4948" s="181"/>
      <c r="M4948" s="181"/>
      <c r="N4948" s="181"/>
      <c r="O4948" s="181"/>
      <c r="P4948" s="181"/>
    </row>
    <row r="4949">
      <c r="B4949" s="292"/>
      <c r="C4949" s="181"/>
      <c r="D4949" s="181"/>
      <c r="E4949" s="181"/>
      <c r="F4949" s="181"/>
      <c r="G4949" s="181"/>
      <c r="H4949" s="181"/>
      <c r="I4949" s="181"/>
      <c r="J4949" s="181"/>
      <c r="K4949" s="181"/>
      <c r="L4949" s="181"/>
      <c r="M4949" s="181"/>
      <c r="N4949" s="181"/>
      <c r="O4949" s="181"/>
      <c r="P4949" s="181"/>
    </row>
    <row r="4950">
      <c r="B4950" s="292"/>
      <c r="C4950" s="181"/>
      <c r="D4950" s="181"/>
      <c r="E4950" s="181"/>
      <c r="F4950" s="181"/>
      <c r="G4950" s="181"/>
      <c r="H4950" s="181"/>
      <c r="I4950" s="181"/>
      <c r="J4950" s="181"/>
      <c r="K4950" s="181"/>
      <c r="L4950" s="181"/>
      <c r="M4950" s="181"/>
      <c r="N4950" s="181"/>
      <c r="O4950" s="181"/>
      <c r="P4950" s="181"/>
    </row>
    <row r="4951">
      <c r="B4951" s="292"/>
      <c r="C4951" s="181"/>
      <c r="D4951" s="181"/>
      <c r="E4951" s="181"/>
      <c r="F4951" s="181"/>
      <c r="G4951" s="181"/>
      <c r="H4951" s="181"/>
      <c r="I4951" s="181"/>
      <c r="J4951" s="181"/>
      <c r="K4951" s="181"/>
      <c r="L4951" s="181"/>
      <c r="M4951" s="181"/>
      <c r="N4951" s="181"/>
      <c r="O4951" s="181"/>
      <c r="P4951" s="181"/>
    </row>
    <row r="4952">
      <c r="B4952" s="292"/>
      <c r="C4952" s="181"/>
      <c r="D4952" s="181"/>
      <c r="E4952" s="181"/>
      <c r="F4952" s="181"/>
      <c r="G4952" s="181"/>
      <c r="H4952" s="181"/>
      <c r="I4952" s="181"/>
      <c r="J4952" s="181"/>
      <c r="K4952" s="181"/>
      <c r="L4952" s="181"/>
      <c r="M4952" s="181"/>
      <c r="N4952" s="181"/>
      <c r="O4952" s="181"/>
      <c r="P4952" s="181"/>
    </row>
    <row r="4953">
      <c r="B4953" s="292"/>
      <c r="C4953" s="181"/>
      <c r="D4953" s="181"/>
      <c r="E4953" s="181"/>
      <c r="F4953" s="181"/>
      <c r="G4953" s="181"/>
      <c r="H4953" s="181"/>
      <c r="I4953" s="181"/>
      <c r="J4953" s="181"/>
      <c r="K4953" s="181"/>
      <c r="L4953" s="181"/>
      <c r="M4953" s="181"/>
      <c r="N4953" s="181"/>
      <c r="O4953" s="181"/>
      <c r="P4953" s="181"/>
    </row>
    <row r="4954">
      <c r="B4954" s="292"/>
      <c r="C4954" s="181"/>
      <c r="D4954" s="181"/>
      <c r="E4954" s="181"/>
      <c r="F4954" s="181"/>
      <c r="G4954" s="181"/>
      <c r="H4954" s="181"/>
      <c r="I4954" s="181"/>
      <c r="J4954" s="181"/>
      <c r="K4954" s="181"/>
      <c r="L4954" s="181"/>
      <c r="M4954" s="181"/>
      <c r="N4954" s="181"/>
      <c r="O4954" s="181"/>
      <c r="P4954" s="181"/>
    </row>
    <row r="4955">
      <c r="B4955" s="292"/>
      <c r="C4955" s="181"/>
      <c r="D4955" s="181"/>
      <c r="E4955" s="181"/>
      <c r="F4955" s="181"/>
      <c r="G4955" s="181"/>
      <c r="H4955" s="181"/>
      <c r="I4955" s="181"/>
      <c r="J4955" s="181"/>
      <c r="K4955" s="181"/>
      <c r="L4955" s="181"/>
      <c r="M4955" s="181"/>
      <c r="N4955" s="181"/>
      <c r="O4955" s="181"/>
      <c r="P4955" s="181"/>
    </row>
    <row r="4956">
      <c r="B4956" s="292"/>
      <c r="C4956" s="181"/>
      <c r="D4956" s="181"/>
      <c r="E4956" s="181"/>
      <c r="F4956" s="181"/>
      <c r="G4956" s="181"/>
      <c r="H4956" s="181"/>
      <c r="I4956" s="181"/>
      <c r="J4956" s="181"/>
      <c r="K4956" s="181"/>
      <c r="L4956" s="181"/>
      <c r="M4956" s="181"/>
      <c r="N4956" s="181"/>
      <c r="O4956" s="181"/>
      <c r="P4956" s="181"/>
    </row>
    <row r="4957">
      <c r="B4957" s="292"/>
      <c r="C4957" s="181"/>
      <c r="D4957" s="181"/>
      <c r="E4957" s="181"/>
      <c r="F4957" s="181"/>
      <c r="G4957" s="181"/>
      <c r="H4957" s="181"/>
      <c r="I4957" s="181"/>
      <c r="J4957" s="181"/>
      <c r="K4957" s="181"/>
      <c r="L4957" s="181"/>
      <c r="M4957" s="181"/>
      <c r="N4957" s="181"/>
      <c r="O4957" s="181"/>
      <c r="P4957" s="181"/>
    </row>
    <row r="4958">
      <c r="B4958" s="292"/>
      <c r="C4958" s="181"/>
      <c r="D4958" s="181"/>
      <c r="E4958" s="181"/>
      <c r="F4958" s="181"/>
      <c r="G4958" s="181"/>
      <c r="H4958" s="181"/>
      <c r="I4958" s="181"/>
      <c r="J4958" s="181"/>
      <c r="K4958" s="181"/>
      <c r="L4958" s="181"/>
      <c r="M4958" s="181"/>
      <c r="N4958" s="181"/>
      <c r="O4958" s="181"/>
      <c r="P4958" s="181"/>
    </row>
    <row r="4959">
      <c r="B4959" s="292"/>
      <c r="C4959" s="181"/>
      <c r="D4959" s="181"/>
      <c r="E4959" s="181"/>
      <c r="F4959" s="181"/>
      <c r="G4959" s="181"/>
      <c r="H4959" s="181"/>
      <c r="I4959" s="181"/>
      <c r="J4959" s="181"/>
      <c r="K4959" s="181"/>
      <c r="L4959" s="181"/>
      <c r="M4959" s="181"/>
      <c r="N4959" s="181"/>
      <c r="O4959" s="181"/>
      <c r="P4959" s="181"/>
    </row>
    <row r="4960">
      <c r="B4960" s="292"/>
      <c r="C4960" s="181"/>
      <c r="D4960" s="181"/>
      <c r="E4960" s="181"/>
      <c r="F4960" s="181"/>
      <c r="G4960" s="181"/>
      <c r="H4960" s="181"/>
      <c r="I4960" s="181"/>
      <c r="J4960" s="181"/>
      <c r="K4960" s="181"/>
      <c r="L4960" s="181"/>
      <c r="M4960" s="181"/>
      <c r="N4960" s="181"/>
      <c r="O4960" s="181"/>
      <c r="P4960" s="181"/>
    </row>
    <row r="4961">
      <c r="B4961" s="292"/>
      <c r="C4961" s="181"/>
      <c r="D4961" s="181"/>
      <c r="E4961" s="181"/>
      <c r="F4961" s="181"/>
      <c r="G4961" s="181"/>
      <c r="H4961" s="181"/>
      <c r="I4961" s="181"/>
      <c r="J4961" s="181"/>
      <c r="K4961" s="181"/>
      <c r="L4961" s="181"/>
      <c r="M4961" s="181"/>
      <c r="N4961" s="181"/>
      <c r="O4961" s="181"/>
      <c r="P4961" s="181"/>
    </row>
    <row r="4962">
      <c r="B4962" s="292"/>
      <c r="C4962" s="181"/>
      <c r="D4962" s="181"/>
      <c r="E4962" s="181"/>
      <c r="F4962" s="181"/>
      <c r="G4962" s="181"/>
      <c r="H4962" s="181"/>
      <c r="I4962" s="181"/>
      <c r="J4962" s="181"/>
      <c r="K4962" s="181"/>
      <c r="L4962" s="181"/>
      <c r="M4962" s="181"/>
      <c r="N4962" s="181"/>
      <c r="O4962" s="181"/>
      <c r="P4962" s="181"/>
    </row>
    <row r="4963">
      <c r="B4963" s="292"/>
      <c r="C4963" s="181"/>
      <c r="D4963" s="181"/>
      <c r="E4963" s="181"/>
      <c r="F4963" s="181"/>
      <c r="G4963" s="181"/>
      <c r="H4963" s="181"/>
      <c r="I4963" s="181"/>
      <c r="J4963" s="181"/>
      <c r="K4963" s="181"/>
      <c r="L4963" s="181"/>
      <c r="M4963" s="181"/>
      <c r="N4963" s="181"/>
      <c r="O4963" s="181"/>
      <c r="P4963" s="181"/>
    </row>
    <row r="4964">
      <c r="B4964" s="292"/>
      <c r="C4964" s="181"/>
      <c r="D4964" s="181"/>
      <c r="E4964" s="181"/>
      <c r="F4964" s="181"/>
      <c r="G4964" s="181"/>
      <c r="H4964" s="181"/>
      <c r="I4964" s="181"/>
      <c r="J4964" s="181"/>
      <c r="K4964" s="181"/>
      <c r="L4964" s="181"/>
      <c r="M4964" s="181"/>
      <c r="N4964" s="181"/>
      <c r="O4964" s="181"/>
      <c r="P4964" s="181"/>
    </row>
    <row r="4965">
      <c r="B4965" s="292"/>
      <c r="C4965" s="181"/>
      <c r="D4965" s="181"/>
      <c r="E4965" s="181"/>
      <c r="F4965" s="181"/>
      <c r="G4965" s="181"/>
      <c r="H4965" s="181"/>
      <c r="I4965" s="181"/>
      <c r="J4965" s="181"/>
      <c r="K4965" s="181"/>
      <c r="L4965" s="181"/>
      <c r="M4965" s="181"/>
      <c r="N4965" s="181"/>
      <c r="O4965" s="181"/>
      <c r="P4965" s="181"/>
    </row>
    <row r="4966">
      <c r="B4966" s="292"/>
      <c r="C4966" s="181"/>
      <c r="D4966" s="181"/>
      <c r="E4966" s="181"/>
      <c r="F4966" s="181"/>
      <c r="G4966" s="181"/>
      <c r="H4966" s="181"/>
      <c r="I4966" s="181"/>
      <c r="J4966" s="181"/>
      <c r="K4966" s="181"/>
      <c r="L4966" s="181"/>
      <c r="M4966" s="181"/>
      <c r="N4966" s="181"/>
      <c r="O4966" s="181"/>
      <c r="P4966" s="181"/>
    </row>
    <row r="4967">
      <c r="B4967" s="292"/>
      <c r="C4967" s="181"/>
      <c r="D4967" s="181"/>
      <c r="E4967" s="181"/>
      <c r="F4967" s="181"/>
      <c r="G4967" s="181"/>
      <c r="H4967" s="181"/>
      <c r="I4967" s="181"/>
      <c r="J4967" s="181"/>
      <c r="K4967" s="181"/>
      <c r="L4967" s="181"/>
      <c r="M4967" s="181"/>
      <c r="N4967" s="181"/>
      <c r="O4967" s="181"/>
      <c r="P4967" s="181"/>
    </row>
    <row r="4968">
      <c r="B4968" s="292"/>
      <c r="C4968" s="181"/>
      <c r="D4968" s="181"/>
      <c r="E4968" s="181"/>
      <c r="F4968" s="181"/>
      <c r="G4968" s="181"/>
      <c r="H4968" s="181"/>
      <c r="I4968" s="181"/>
      <c r="J4968" s="181"/>
      <c r="K4968" s="181"/>
      <c r="L4968" s="181"/>
      <c r="M4968" s="181"/>
      <c r="N4968" s="181"/>
      <c r="O4968" s="181"/>
      <c r="P4968" s="181"/>
    </row>
    <row r="4969">
      <c r="B4969" s="292"/>
      <c r="C4969" s="181"/>
      <c r="D4969" s="181"/>
      <c r="E4969" s="181"/>
      <c r="F4969" s="181"/>
      <c r="G4969" s="181"/>
      <c r="H4969" s="181"/>
      <c r="I4969" s="181"/>
      <c r="J4969" s="181"/>
      <c r="K4969" s="181"/>
      <c r="L4969" s="181"/>
      <c r="M4969" s="181"/>
      <c r="N4969" s="181"/>
      <c r="O4969" s="181"/>
      <c r="P4969" s="181"/>
    </row>
    <row r="4970">
      <c r="B4970" s="292"/>
      <c r="C4970" s="181"/>
      <c r="D4970" s="181"/>
      <c r="E4970" s="181"/>
      <c r="F4970" s="181"/>
      <c r="G4970" s="181"/>
      <c r="H4970" s="181"/>
      <c r="I4970" s="181"/>
      <c r="J4970" s="181"/>
      <c r="K4970" s="181"/>
      <c r="L4970" s="181"/>
      <c r="M4970" s="181"/>
      <c r="N4970" s="181"/>
      <c r="O4970" s="181"/>
      <c r="P4970" s="181"/>
    </row>
    <row r="4971">
      <c r="B4971" s="292"/>
      <c r="C4971" s="181"/>
      <c r="D4971" s="181"/>
      <c r="E4971" s="181"/>
      <c r="F4971" s="181"/>
      <c r="G4971" s="181"/>
      <c r="H4971" s="181"/>
      <c r="I4971" s="181"/>
      <c r="J4971" s="181"/>
      <c r="K4971" s="181"/>
      <c r="L4971" s="181"/>
      <c r="M4971" s="181"/>
      <c r="N4971" s="181"/>
      <c r="O4971" s="181"/>
      <c r="P4971" s="181"/>
    </row>
    <row r="4972">
      <c r="B4972" s="292"/>
      <c r="C4972" s="181"/>
      <c r="D4972" s="181"/>
      <c r="E4972" s="181"/>
      <c r="F4972" s="181"/>
      <c r="G4972" s="181"/>
      <c r="H4972" s="181"/>
      <c r="I4972" s="181"/>
      <c r="J4972" s="181"/>
      <c r="K4972" s="181"/>
      <c r="L4972" s="181"/>
      <c r="M4972" s="181"/>
      <c r="N4972" s="181"/>
      <c r="O4972" s="181"/>
      <c r="P4972" s="181"/>
    </row>
    <row r="4973">
      <c r="B4973" s="292"/>
      <c r="C4973" s="181"/>
      <c r="D4973" s="181"/>
      <c r="E4973" s="181"/>
      <c r="F4973" s="181"/>
      <c r="G4973" s="181"/>
      <c r="H4973" s="181"/>
      <c r="I4973" s="181"/>
      <c r="J4973" s="181"/>
      <c r="K4973" s="181"/>
      <c r="L4973" s="181"/>
      <c r="M4973" s="181"/>
      <c r="N4973" s="181"/>
      <c r="O4973" s="181"/>
      <c r="P4973" s="181"/>
    </row>
    <row r="4974">
      <c r="B4974" s="292"/>
      <c r="C4974" s="181"/>
      <c r="D4974" s="181"/>
      <c r="E4974" s="181"/>
      <c r="F4974" s="181"/>
      <c r="G4974" s="181"/>
      <c r="H4974" s="181"/>
      <c r="I4974" s="181"/>
      <c r="J4974" s="181"/>
      <c r="K4974" s="181"/>
      <c r="L4974" s="181"/>
      <c r="M4974" s="181"/>
      <c r="N4974" s="181"/>
      <c r="O4974" s="181"/>
      <c r="P4974" s="181"/>
    </row>
    <row r="4975">
      <c r="B4975" s="292"/>
      <c r="C4975" s="181"/>
      <c r="D4975" s="181"/>
      <c r="E4975" s="181"/>
      <c r="F4975" s="181"/>
      <c r="G4975" s="181"/>
      <c r="H4975" s="181"/>
      <c r="I4975" s="181"/>
      <c r="J4975" s="181"/>
      <c r="K4975" s="181"/>
      <c r="L4975" s="181"/>
      <c r="M4975" s="181"/>
      <c r="N4975" s="181"/>
      <c r="O4975" s="181"/>
      <c r="P4975" s="181"/>
    </row>
    <row r="4976">
      <c r="B4976" s="292"/>
      <c r="C4976" s="181"/>
      <c r="D4976" s="181"/>
      <c r="E4976" s="181"/>
      <c r="F4976" s="181"/>
      <c r="G4976" s="181"/>
      <c r="H4976" s="181"/>
      <c r="I4976" s="181"/>
      <c r="J4976" s="181"/>
      <c r="K4976" s="181"/>
      <c r="L4976" s="181"/>
      <c r="M4976" s="181"/>
      <c r="N4976" s="181"/>
      <c r="O4976" s="181"/>
      <c r="P4976" s="181"/>
    </row>
    <row r="4977">
      <c r="B4977" s="292"/>
      <c r="C4977" s="181"/>
      <c r="D4977" s="181"/>
      <c r="E4977" s="181"/>
      <c r="F4977" s="181"/>
      <c r="G4977" s="181"/>
      <c r="H4977" s="181"/>
      <c r="I4977" s="181"/>
      <c r="J4977" s="181"/>
      <c r="K4977" s="181"/>
      <c r="L4977" s="181"/>
      <c r="M4977" s="181"/>
      <c r="N4977" s="181"/>
      <c r="O4977" s="181"/>
      <c r="P4977" s="181"/>
    </row>
    <row r="4978">
      <c r="B4978" s="292"/>
      <c r="C4978" s="181"/>
      <c r="D4978" s="181"/>
      <c r="E4978" s="181"/>
      <c r="F4978" s="181"/>
      <c r="G4978" s="181"/>
      <c r="H4978" s="181"/>
      <c r="I4978" s="181"/>
      <c r="J4978" s="181"/>
      <c r="K4978" s="181"/>
      <c r="L4978" s="181"/>
      <c r="M4978" s="181"/>
      <c r="N4978" s="181"/>
      <c r="O4978" s="181"/>
      <c r="P4978" s="181"/>
    </row>
    <row r="4979">
      <c r="B4979" s="292"/>
      <c r="C4979" s="181"/>
      <c r="D4979" s="181"/>
      <c r="E4979" s="181"/>
      <c r="F4979" s="181"/>
      <c r="G4979" s="181"/>
      <c r="H4979" s="181"/>
      <c r="I4979" s="181"/>
      <c r="J4979" s="181"/>
      <c r="K4979" s="181"/>
      <c r="L4979" s="181"/>
      <c r="M4979" s="181"/>
      <c r="N4979" s="181"/>
      <c r="O4979" s="181"/>
      <c r="P4979" s="181"/>
    </row>
    <row r="4980">
      <c r="B4980" s="292"/>
      <c r="C4980" s="181"/>
      <c r="D4980" s="181"/>
      <c r="E4980" s="181"/>
      <c r="F4980" s="181"/>
      <c r="G4980" s="181"/>
      <c r="H4980" s="181"/>
      <c r="I4980" s="181"/>
      <c r="J4980" s="181"/>
      <c r="K4980" s="181"/>
      <c r="L4980" s="181"/>
      <c r="M4980" s="181"/>
      <c r="N4980" s="181"/>
      <c r="O4980" s="181"/>
      <c r="P4980" s="181"/>
    </row>
    <row r="4981">
      <c r="B4981" s="292"/>
      <c r="C4981" s="181"/>
      <c r="D4981" s="181"/>
      <c r="E4981" s="181"/>
      <c r="F4981" s="181"/>
      <c r="G4981" s="181"/>
      <c r="H4981" s="181"/>
      <c r="I4981" s="181"/>
      <c r="J4981" s="181"/>
      <c r="K4981" s="181"/>
      <c r="L4981" s="181"/>
      <c r="M4981" s="181"/>
      <c r="N4981" s="181"/>
      <c r="O4981" s="181"/>
      <c r="P4981" s="181"/>
    </row>
    <row r="4982">
      <c r="B4982" s="292"/>
      <c r="C4982" s="181"/>
      <c r="D4982" s="181"/>
      <c r="E4982" s="181"/>
      <c r="F4982" s="181"/>
      <c r="G4982" s="181"/>
      <c r="H4982" s="181"/>
      <c r="I4982" s="181"/>
      <c r="J4982" s="181"/>
      <c r="K4982" s="181"/>
      <c r="L4982" s="181"/>
      <c r="M4982" s="181"/>
      <c r="N4982" s="181"/>
      <c r="O4982" s="181"/>
      <c r="P4982" s="181"/>
    </row>
    <row r="4983">
      <c r="B4983" s="292"/>
      <c r="C4983" s="181"/>
      <c r="D4983" s="181"/>
      <c r="E4983" s="181"/>
      <c r="F4983" s="181"/>
      <c r="G4983" s="181"/>
      <c r="H4983" s="181"/>
      <c r="I4983" s="181"/>
      <c r="J4983" s="181"/>
      <c r="K4983" s="181"/>
      <c r="L4983" s="181"/>
      <c r="M4983" s="181"/>
      <c r="N4983" s="181"/>
      <c r="O4983" s="181"/>
      <c r="P4983" s="181"/>
    </row>
    <row r="4984">
      <c r="B4984" s="292"/>
      <c r="C4984" s="181"/>
      <c r="D4984" s="181"/>
      <c r="E4984" s="181"/>
      <c r="F4984" s="181"/>
      <c r="G4984" s="181"/>
      <c r="H4984" s="181"/>
      <c r="I4984" s="181"/>
      <c r="J4984" s="181"/>
      <c r="K4984" s="181"/>
      <c r="L4984" s="181"/>
      <c r="M4984" s="181"/>
      <c r="N4984" s="181"/>
      <c r="O4984" s="181"/>
      <c r="P4984" s="181"/>
    </row>
    <row r="4985">
      <c r="B4985" s="292"/>
      <c r="C4985" s="181"/>
      <c r="D4985" s="181"/>
      <c r="E4985" s="181"/>
      <c r="F4985" s="181"/>
      <c r="G4985" s="181"/>
      <c r="H4985" s="181"/>
      <c r="I4985" s="181"/>
      <c r="J4985" s="181"/>
      <c r="K4985" s="181"/>
      <c r="L4985" s="181"/>
      <c r="M4985" s="181"/>
      <c r="N4985" s="181"/>
      <c r="O4985" s="181"/>
      <c r="P4985" s="181"/>
    </row>
    <row r="4986">
      <c r="B4986" s="292"/>
      <c r="C4986" s="181"/>
      <c r="D4986" s="181"/>
      <c r="E4986" s="181"/>
      <c r="F4986" s="181"/>
      <c r="G4986" s="181"/>
      <c r="H4986" s="181"/>
      <c r="I4986" s="181"/>
      <c r="J4986" s="181"/>
      <c r="K4986" s="181"/>
      <c r="L4986" s="181"/>
      <c r="M4986" s="181"/>
      <c r="N4986" s="181"/>
      <c r="O4986" s="181"/>
      <c r="P4986" s="181"/>
    </row>
    <row r="4987">
      <c r="B4987" s="292"/>
      <c r="C4987" s="181"/>
      <c r="D4987" s="181"/>
      <c r="E4987" s="181"/>
      <c r="F4987" s="181"/>
      <c r="G4987" s="181"/>
      <c r="H4987" s="181"/>
      <c r="I4987" s="181"/>
      <c r="J4987" s="181"/>
      <c r="K4987" s="181"/>
      <c r="L4987" s="181"/>
      <c r="M4987" s="181"/>
      <c r="N4987" s="181"/>
      <c r="O4987" s="181"/>
      <c r="P4987" s="181"/>
    </row>
    <row r="4988">
      <c r="B4988" s="292"/>
      <c r="C4988" s="181"/>
      <c r="D4988" s="181"/>
      <c r="E4988" s="181"/>
      <c r="F4988" s="181"/>
      <c r="G4988" s="181"/>
      <c r="H4988" s="181"/>
      <c r="I4988" s="181"/>
      <c r="J4988" s="181"/>
      <c r="K4988" s="181"/>
      <c r="L4988" s="181"/>
      <c r="M4988" s="181"/>
      <c r="N4988" s="181"/>
      <c r="O4988" s="181"/>
      <c r="P4988" s="181"/>
    </row>
    <row r="4989">
      <c r="B4989" s="292"/>
      <c r="C4989" s="181"/>
      <c r="D4989" s="181"/>
      <c r="E4989" s="181"/>
      <c r="F4989" s="181"/>
      <c r="G4989" s="181"/>
      <c r="H4989" s="181"/>
      <c r="I4989" s="181"/>
      <c r="J4989" s="181"/>
      <c r="K4989" s="181"/>
      <c r="L4989" s="181"/>
      <c r="M4989" s="181"/>
      <c r="N4989" s="181"/>
      <c r="O4989" s="181"/>
      <c r="P4989" s="181"/>
    </row>
    <row r="4990">
      <c r="B4990" s="292"/>
      <c r="C4990" s="181"/>
      <c r="D4990" s="181"/>
      <c r="E4990" s="181"/>
      <c r="F4990" s="181"/>
      <c r="G4990" s="181"/>
      <c r="H4990" s="181"/>
      <c r="I4990" s="181"/>
      <c r="J4990" s="181"/>
      <c r="K4990" s="181"/>
      <c r="L4990" s="181"/>
      <c r="M4990" s="181"/>
      <c r="N4990" s="181"/>
      <c r="O4990" s="181"/>
      <c r="P4990" s="181"/>
    </row>
    <row r="4991">
      <c r="B4991" s="292"/>
      <c r="C4991" s="181"/>
      <c r="D4991" s="181"/>
      <c r="E4991" s="181"/>
      <c r="F4991" s="181"/>
      <c r="G4991" s="181"/>
      <c r="H4991" s="181"/>
      <c r="I4991" s="181"/>
      <c r="J4991" s="181"/>
      <c r="K4991" s="181"/>
      <c r="L4991" s="181"/>
      <c r="M4991" s="181"/>
      <c r="N4991" s="181"/>
      <c r="O4991" s="181"/>
      <c r="P4991" s="181"/>
    </row>
    <row r="4992">
      <c r="B4992" s="292"/>
      <c r="C4992" s="181"/>
      <c r="D4992" s="181"/>
      <c r="E4992" s="181"/>
      <c r="F4992" s="181"/>
      <c r="G4992" s="181"/>
      <c r="H4992" s="181"/>
      <c r="I4992" s="181"/>
      <c r="J4992" s="181"/>
      <c r="K4992" s="181"/>
      <c r="L4992" s="181"/>
      <c r="M4992" s="181"/>
      <c r="N4992" s="181"/>
      <c r="O4992" s="181"/>
      <c r="P4992" s="181"/>
    </row>
    <row r="4993">
      <c r="B4993" s="292"/>
      <c r="C4993" s="181"/>
      <c r="D4993" s="181"/>
      <c r="E4993" s="181"/>
      <c r="F4993" s="181"/>
      <c r="G4993" s="181"/>
      <c r="H4993" s="181"/>
      <c r="I4993" s="181"/>
      <c r="J4993" s="181"/>
      <c r="K4993" s="181"/>
      <c r="L4993" s="181"/>
      <c r="M4993" s="181"/>
      <c r="N4993" s="181"/>
      <c r="O4993" s="181"/>
      <c r="P4993" s="181"/>
    </row>
    <row r="4994">
      <c r="B4994" s="292"/>
      <c r="C4994" s="181"/>
      <c r="D4994" s="181"/>
      <c r="E4994" s="181"/>
      <c r="F4994" s="181"/>
      <c r="G4994" s="181"/>
      <c r="H4994" s="181"/>
      <c r="I4994" s="181"/>
      <c r="J4994" s="181"/>
      <c r="K4994" s="181"/>
      <c r="L4994" s="181"/>
      <c r="M4994" s="181"/>
      <c r="N4994" s="181"/>
      <c r="O4994" s="181"/>
      <c r="P4994" s="181"/>
    </row>
    <row r="4995">
      <c r="B4995" s="292"/>
      <c r="C4995" s="181"/>
      <c r="D4995" s="181"/>
      <c r="E4995" s="181"/>
      <c r="F4995" s="181"/>
      <c r="G4995" s="181"/>
      <c r="H4995" s="181"/>
      <c r="I4995" s="181"/>
      <c r="J4995" s="181"/>
      <c r="K4995" s="181"/>
      <c r="L4995" s="181"/>
      <c r="M4995" s="181"/>
      <c r="N4995" s="181"/>
      <c r="O4995" s="181"/>
      <c r="P4995" s="181"/>
    </row>
    <row r="4996">
      <c r="B4996" s="292"/>
      <c r="C4996" s="181"/>
      <c r="D4996" s="181"/>
      <c r="E4996" s="181"/>
      <c r="F4996" s="181"/>
      <c r="G4996" s="181"/>
      <c r="H4996" s="181"/>
      <c r="I4996" s="181"/>
      <c r="J4996" s="181"/>
      <c r="K4996" s="181"/>
      <c r="L4996" s="181"/>
      <c r="M4996" s="181"/>
      <c r="N4996" s="181"/>
      <c r="O4996" s="181"/>
      <c r="P4996" s="181"/>
    </row>
    <row r="4997">
      <c r="B4997" s="292"/>
      <c r="C4997" s="181"/>
      <c r="D4997" s="181"/>
      <c r="E4997" s="181"/>
      <c r="F4997" s="181"/>
      <c r="G4997" s="181"/>
      <c r="H4997" s="181"/>
      <c r="I4997" s="181"/>
      <c r="J4997" s="181"/>
      <c r="K4997" s="181"/>
      <c r="L4997" s="181"/>
      <c r="M4997" s="181"/>
      <c r="N4997" s="181"/>
      <c r="O4997" s="181"/>
      <c r="P4997" s="181"/>
    </row>
    <row r="4998">
      <c r="B4998" s="292"/>
      <c r="C4998" s="181"/>
      <c r="D4998" s="181"/>
      <c r="E4998" s="181"/>
      <c r="F4998" s="181"/>
      <c r="G4998" s="181"/>
      <c r="H4998" s="181"/>
      <c r="I4998" s="181"/>
      <c r="J4998" s="181"/>
      <c r="K4998" s="181"/>
      <c r="L4998" s="181"/>
      <c r="M4998" s="181"/>
      <c r="N4998" s="181"/>
      <c r="O4998" s="181"/>
      <c r="P4998" s="181"/>
    </row>
    <row r="4999">
      <c r="B4999" s="292"/>
      <c r="C4999" s="181"/>
      <c r="D4999" s="181"/>
      <c r="E4999" s="181"/>
      <c r="F4999" s="181"/>
      <c r="G4999" s="181"/>
      <c r="H4999" s="181"/>
      <c r="I4999" s="181"/>
      <c r="J4999" s="181"/>
      <c r="K4999" s="181"/>
      <c r="L4999" s="181"/>
      <c r="M4999" s="181"/>
      <c r="N4999" s="181"/>
      <c r="O4999" s="181"/>
      <c r="P4999" s="181"/>
    </row>
    <row r="5000">
      <c r="B5000" s="292"/>
      <c r="C5000" s="181"/>
      <c r="D5000" s="181"/>
      <c r="E5000" s="181"/>
      <c r="F5000" s="181"/>
      <c r="G5000" s="181"/>
      <c r="H5000" s="181"/>
      <c r="I5000" s="181"/>
      <c r="J5000" s="181"/>
      <c r="K5000" s="181"/>
      <c r="L5000" s="181"/>
      <c r="M5000" s="181"/>
      <c r="N5000" s="181"/>
      <c r="O5000" s="181"/>
      <c r="P5000" s="181"/>
    </row>
    <row r="5001">
      <c r="B5001" s="292"/>
      <c r="C5001" s="181"/>
      <c r="D5001" s="181"/>
      <c r="E5001" s="181"/>
      <c r="F5001" s="181"/>
      <c r="G5001" s="181"/>
      <c r="H5001" s="181"/>
      <c r="I5001" s="181"/>
      <c r="J5001" s="181"/>
      <c r="K5001" s="181"/>
      <c r="L5001" s="181"/>
      <c r="M5001" s="181"/>
      <c r="N5001" s="181"/>
      <c r="O5001" s="181"/>
      <c r="P5001" s="181"/>
    </row>
    <row r="5002">
      <c r="B5002" s="292"/>
      <c r="C5002" s="181"/>
      <c r="D5002" s="181"/>
      <c r="E5002" s="181"/>
      <c r="F5002" s="181"/>
      <c r="G5002" s="181"/>
      <c r="H5002" s="181"/>
      <c r="I5002" s="181"/>
      <c r="J5002" s="181"/>
      <c r="K5002" s="181"/>
      <c r="L5002" s="181"/>
      <c r="M5002" s="181"/>
      <c r="N5002" s="181"/>
      <c r="O5002" s="181"/>
      <c r="P5002" s="181"/>
    </row>
    <row r="5003">
      <c r="B5003" s="292"/>
      <c r="C5003" s="181"/>
      <c r="D5003" s="181"/>
      <c r="E5003" s="181"/>
      <c r="F5003" s="181"/>
      <c r="G5003" s="181"/>
      <c r="H5003" s="181"/>
      <c r="I5003" s="181"/>
      <c r="J5003" s="181"/>
      <c r="K5003" s="181"/>
      <c r="L5003" s="181"/>
      <c r="M5003" s="181"/>
      <c r="N5003" s="181"/>
      <c r="O5003" s="181"/>
      <c r="P5003" s="181"/>
    </row>
    <row r="5004">
      <c r="B5004" s="292"/>
      <c r="C5004" s="181"/>
      <c r="D5004" s="181"/>
      <c r="E5004" s="181"/>
      <c r="F5004" s="181"/>
      <c r="G5004" s="181"/>
      <c r="H5004" s="181"/>
      <c r="I5004" s="181"/>
      <c r="J5004" s="181"/>
      <c r="K5004" s="181"/>
      <c r="L5004" s="181"/>
      <c r="M5004" s="181"/>
      <c r="N5004" s="181"/>
      <c r="O5004" s="181"/>
      <c r="P5004" s="181"/>
    </row>
    <row r="5005">
      <c r="B5005" s="292"/>
      <c r="C5005" s="181"/>
      <c r="D5005" s="181"/>
      <c r="E5005" s="181"/>
      <c r="F5005" s="181"/>
      <c r="G5005" s="181"/>
      <c r="H5005" s="181"/>
      <c r="I5005" s="181"/>
      <c r="J5005" s="181"/>
      <c r="K5005" s="181"/>
      <c r="L5005" s="181"/>
      <c r="M5005" s="181"/>
      <c r="N5005" s="181"/>
      <c r="O5005" s="181"/>
      <c r="P5005" s="181"/>
    </row>
    <row r="5006">
      <c r="B5006" s="292"/>
      <c r="C5006" s="181"/>
      <c r="D5006" s="181"/>
      <c r="E5006" s="181"/>
      <c r="F5006" s="181"/>
      <c r="G5006" s="181"/>
      <c r="H5006" s="181"/>
      <c r="I5006" s="181"/>
      <c r="J5006" s="181"/>
      <c r="K5006" s="181"/>
      <c r="L5006" s="181"/>
      <c r="M5006" s="181"/>
      <c r="N5006" s="181"/>
      <c r="O5006" s="181"/>
      <c r="P5006" s="181"/>
    </row>
    <row r="5007">
      <c r="B5007" s="292"/>
      <c r="C5007" s="181"/>
      <c r="D5007" s="181"/>
      <c r="E5007" s="181"/>
      <c r="F5007" s="181"/>
      <c r="G5007" s="181"/>
      <c r="H5007" s="181"/>
      <c r="I5007" s="181"/>
      <c r="J5007" s="181"/>
      <c r="K5007" s="181"/>
      <c r="L5007" s="181"/>
      <c r="M5007" s="181"/>
      <c r="N5007" s="181"/>
      <c r="O5007" s="181"/>
      <c r="P5007" s="181"/>
    </row>
    <row r="5008">
      <c r="B5008" s="292"/>
      <c r="C5008" s="181"/>
      <c r="D5008" s="181"/>
      <c r="E5008" s="181"/>
      <c r="F5008" s="181"/>
      <c r="G5008" s="181"/>
      <c r="H5008" s="181"/>
      <c r="I5008" s="181"/>
      <c r="J5008" s="181"/>
      <c r="K5008" s="181"/>
      <c r="L5008" s="181"/>
      <c r="M5008" s="181"/>
      <c r="N5008" s="181"/>
      <c r="O5008" s="181"/>
      <c r="P5008" s="181"/>
    </row>
    <row r="5009">
      <c r="B5009" s="292"/>
      <c r="C5009" s="181"/>
      <c r="D5009" s="181"/>
      <c r="E5009" s="181"/>
      <c r="F5009" s="181"/>
      <c r="G5009" s="181"/>
      <c r="H5009" s="181"/>
      <c r="I5009" s="181"/>
      <c r="J5009" s="181"/>
      <c r="K5009" s="181"/>
      <c r="L5009" s="181"/>
      <c r="M5009" s="181"/>
      <c r="N5009" s="181"/>
      <c r="O5009" s="181"/>
      <c r="P5009" s="181"/>
    </row>
    <row r="5010">
      <c r="B5010" s="292"/>
      <c r="C5010" s="181"/>
      <c r="D5010" s="181"/>
      <c r="E5010" s="181"/>
      <c r="F5010" s="181"/>
      <c r="G5010" s="181"/>
      <c r="H5010" s="181"/>
      <c r="I5010" s="181"/>
      <c r="J5010" s="181"/>
      <c r="K5010" s="181"/>
      <c r="L5010" s="181"/>
      <c r="M5010" s="181"/>
      <c r="N5010" s="181"/>
      <c r="O5010" s="181"/>
      <c r="P5010" s="181"/>
    </row>
    <row r="5011">
      <c r="B5011" s="292"/>
      <c r="C5011" s="181"/>
      <c r="D5011" s="181"/>
      <c r="E5011" s="181"/>
      <c r="F5011" s="181"/>
      <c r="G5011" s="181"/>
      <c r="H5011" s="181"/>
      <c r="I5011" s="181"/>
      <c r="J5011" s="181"/>
      <c r="K5011" s="181"/>
      <c r="L5011" s="181"/>
      <c r="M5011" s="181"/>
      <c r="N5011" s="181"/>
      <c r="O5011" s="181"/>
      <c r="P5011" s="181"/>
    </row>
    <row r="5012">
      <c r="B5012" s="292"/>
      <c r="C5012" s="181"/>
      <c r="D5012" s="181"/>
      <c r="E5012" s="181"/>
      <c r="F5012" s="181"/>
      <c r="G5012" s="181"/>
      <c r="H5012" s="181"/>
      <c r="I5012" s="181"/>
      <c r="J5012" s="181"/>
      <c r="K5012" s="181"/>
      <c r="L5012" s="181"/>
      <c r="M5012" s="181"/>
      <c r="N5012" s="181"/>
      <c r="O5012" s="181"/>
      <c r="P5012" s="181"/>
    </row>
    <row r="5013">
      <c r="B5013" s="292"/>
      <c r="C5013" s="181"/>
      <c r="D5013" s="181"/>
      <c r="E5013" s="181"/>
      <c r="F5013" s="181"/>
      <c r="G5013" s="181"/>
      <c r="H5013" s="181"/>
      <c r="I5013" s="181"/>
      <c r="J5013" s="181"/>
      <c r="K5013" s="181"/>
      <c r="L5013" s="181"/>
      <c r="M5013" s="181"/>
      <c r="N5013" s="181"/>
      <c r="O5013" s="181"/>
      <c r="P5013" s="181"/>
    </row>
    <row r="5014">
      <c r="B5014" s="292"/>
      <c r="C5014" s="181"/>
      <c r="D5014" s="181"/>
      <c r="E5014" s="181"/>
      <c r="F5014" s="181"/>
      <c r="G5014" s="181"/>
      <c r="H5014" s="181"/>
      <c r="I5014" s="181"/>
      <c r="J5014" s="181"/>
      <c r="K5014" s="181"/>
      <c r="L5014" s="181"/>
      <c r="M5014" s="181"/>
      <c r="N5014" s="181"/>
      <c r="O5014" s="181"/>
      <c r="P5014" s="181"/>
    </row>
    <row r="5015">
      <c r="B5015" s="292"/>
      <c r="C5015" s="181"/>
      <c r="D5015" s="181"/>
      <c r="E5015" s="181"/>
      <c r="F5015" s="181"/>
      <c r="G5015" s="181"/>
      <c r="H5015" s="181"/>
      <c r="I5015" s="181"/>
      <c r="J5015" s="181"/>
      <c r="K5015" s="181"/>
      <c r="L5015" s="181"/>
      <c r="M5015" s="181"/>
      <c r="N5015" s="181"/>
      <c r="O5015" s="181"/>
      <c r="P5015" s="181"/>
    </row>
    <row r="5016">
      <c r="B5016" s="292"/>
      <c r="C5016" s="181"/>
      <c r="D5016" s="181"/>
      <c r="E5016" s="181"/>
      <c r="F5016" s="181"/>
      <c r="G5016" s="181"/>
      <c r="H5016" s="181"/>
      <c r="I5016" s="181"/>
      <c r="J5016" s="181"/>
      <c r="K5016" s="181"/>
      <c r="L5016" s="181"/>
      <c r="M5016" s="181"/>
      <c r="N5016" s="181"/>
      <c r="O5016" s="181"/>
      <c r="P5016" s="181"/>
    </row>
    <row r="5017">
      <c r="B5017" s="292"/>
      <c r="C5017" s="181"/>
      <c r="D5017" s="181"/>
      <c r="E5017" s="181"/>
      <c r="F5017" s="181"/>
      <c r="G5017" s="181"/>
      <c r="H5017" s="181"/>
      <c r="I5017" s="181"/>
      <c r="J5017" s="181"/>
      <c r="K5017" s="181"/>
      <c r="L5017" s="181"/>
      <c r="M5017" s="181"/>
      <c r="N5017" s="181"/>
      <c r="O5017" s="181"/>
      <c r="P5017" s="181"/>
    </row>
    <row r="5018">
      <c r="B5018" s="292"/>
      <c r="C5018" s="181"/>
      <c r="D5018" s="181"/>
      <c r="E5018" s="181"/>
      <c r="F5018" s="181"/>
      <c r="G5018" s="181"/>
      <c r="H5018" s="181"/>
      <c r="I5018" s="181"/>
      <c r="J5018" s="181"/>
      <c r="K5018" s="181"/>
      <c r="L5018" s="181"/>
      <c r="M5018" s="181"/>
      <c r="N5018" s="181"/>
      <c r="O5018" s="181"/>
      <c r="P5018" s="181"/>
    </row>
    <row r="5019">
      <c r="B5019" s="292"/>
      <c r="C5019" s="181"/>
      <c r="D5019" s="181"/>
      <c r="E5019" s="181"/>
      <c r="F5019" s="181"/>
      <c r="G5019" s="181"/>
      <c r="H5019" s="181"/>
      <c r="I5019" s="181"/>
      <c r="J5019" s="181"/>
      <c r="K5019" s="181"/>
      <c r="L5019" s="181"/>
      <c r="M5019" s="181"/>
      <c r="N5019" s="181"/>
      <c r="O5019" s="181"/>
      <c r="P5019" s="181"/>
    </row>
    <row r="5020">
      <c r="B5020" s="292"/>
      <c r="C5020" s="181"/>
      <c r="D5020" s="181"/>
      <c r="E5020" s="181"/>
      <c r="F5020" s="181"/>
      <c r="G5020" s="181"/>
      <c r="H5020" s="181"/>
      <c r="I5020" s="181"/>
      <c r="J5020" s="181"/>
      <c r="K5020" s="181"/>
      <c r="L5020" s="181"/>
      <c r="M5020" s="181"/>
      <c r="N5020" s="181"/>
      <c r="O5020" s="181"/>
      <c r="P5020" s="181"/>
    </row>
    <row r="5021">
      <c r="B5021" s="292"/>
      <c r="C5021" s="181"/>
      <c r="D5021" s="181"/>
      <c r="E5021" s="181"/>
      <c r="F5021" s="181"/>
      <c r="G5021" s="181"/>
      <c r="H5021" s="181"/>
      <c r="I5021" s="181"/>
      <c r="J5021" s="181"/>
      <c r="K5021" s="181"/>
      <c r="L5021" s="181"/>
      <c r="M5021" s="181"/>
      <c r="N5021" s="181"/>
      <c r="O5021" s="181"/>
      <c r="P5021" s="181"/>
    </row>
    <row r="5022">
      <c r="B5022" s="292"/>
      <c r="C5022" s="181"/>
      <c r="D5022" s="181"/>
      <c r="E5022" s="181"/>
      <c r="F5022" s="181"/>
      <c r="G5022" s="181"/>
      <c r="H5022" s="181"/>
      <c r="I5022" s="181"/>
      <c r="J5022" s="181"/>
      <c r="K5022" s="181"/>
      <c r="L5022" s="181"/>
      <c r="M5022" s="181"/>
      <c r="N5022" s="181"/>
      <c r="O5022" s="181"/>
      <c r="P5022" s="181"/>
    </row>
    <row r="5023">
      <c r="B5023" s="292"/>
      <c r="C5023" s="181"/>
      <c r="D5023" s="181"/>
      <c r="E5023" s="181"/>
      <c r="F5023" s="181"/>
      <c r="G5023" s="181"/>
      <c r="H5023" s="181"/>
      <c r="I5023" s="181"/>
      <c r="J5023" s="181"/>
      <c r="K5023" s="181"/>
      <c r="L5023" s="181"/>
      <c r="M5023" s="181"/>
      <c r="N5023" s="181"/>
      <c r="O5023" s="181"/>
      <c r="P5023" s="181"/>
    </row>
    <row r="5024">
      <c r="B5024" s="292"/>
      <c r="C5024" s="181"/>
      <c r="D5024" s="181"/>
      <c r="E5024" s="181"/>
      <c r="F5024" s="181"/>
      <c r="G5024" s="181"/>
      <c r="H5024" s="181"/>
      <c r="I5024" s="181"/>
      <c r="J5024" s="181"/>
      <c r="K5024" s="181"/>
      <c r="L5024" s="181"/>
      <c r="M5024" s="181"/>
      <c r="N5024" s="181"/>
      <c r="O5024" s="181"/>
      <c r="P5024" s="181"/>
    </row>
    <row r="5025">
      <c r="B5025" s="292"/>
      <c r="C5025" s="181"/>
      <c r="D5025" s="181"/>
      <c r="E5025" s="181"/>
      <c r="F5025" s="181"/>
      <c r="G5025" s="181"/>
      <c r="H5025" s="181"/>
      <c r="I5025" s="181"/>
      <c r="J5025" s="181"/>
      <c r="K5025" s="181"/>
      <c r="L5025" s="181"/>
      <c r="M5025" s="181"/>
      <c r="N5025" s="181"/>
      <c r="O5025" s="181"/>
      <c r="P5025" s="181"/>
    </row>
    <row r="5026">
      <c r="B5026" s="292"/>
      <c r="C5026" s="181"/>
      <c r="D5026" s="181"/>
      <c r="E5026" s="181"/>
      <c r="F5026" s="181"/>
      <c r="G5026" s="181"/>
      <c r="H5026" s="181"/>
      <c r="I5026" s="181"/>
      <c r="J5026" s="181"/>
      <c r="K5026" s="181"/>
      <c r="L5026" s="181"/>
      <c r="M5026" s="181"/>
      <c r="N5026" s="181"/>
      <c r="O5026" s="181"/>
      <c r="P5026" s="181"/>
    </row>
    <row r="5027">
      <c r="B5027" s="292"/>
      <c r="C5027" s="181"/>
      <c r="D5027" s="181"/>
      <c r="E5027" s="181"/>
      <c r="F5027" s="181"/>
      <c r="G5027" s="181"/>
      <c r="H5027" s="181"/>
      <c r="I5027" s="181"/>
      <c r="J5027" s="181"/>
      <c r="K5027" s="181"/>
      <c r="L5027" s="181"/>
      <c r="M5027" s="181"/>
      <c r="N5027" s="181"/>
      <c r="O5027" s="181"/>
      <c r="P5027" s="181"/>
    </row>
    <row r="5028">
      <c r="B5028" s="292"/>
      <c r="C5028" s="181"/>
      <c r="D5028" s="181"/>
      <c r="E5028" s="181"/>
      <c r="F5028" s="181"/>
      <c r="G5028" s="181"/>
      <c r="H5028" s="181"/>
      <c r="I5028" s="181"/>
      <c r="J5028" s="181"/>
      <c r="K5028" s="181"/>
      <c r="L5028" s="181"/>
      <c r="M5028" s="181"/>
      <c r="N5028" s="181"/>
      <c r="O5028" s="181"/>
      <c r="P5028" s="181"/>
    </row>
    <row r="5029">
      <c r="B5029" s="292"/>
      <c r="C5029" s="181"/>
      <c r="D5029" s="181"/>
      <c r="E5029" s="181"/>
      <c r="F5029" s="181"/>
      <c r="G5029" s="181"/>
      <c r="H5029" s="181"/>
      <c r="I5029" s="181"/>
      <c r="J5029" s="181"/>
      <c r="K5029" s="181"/>
      <c r="L5029" s="181"/>
      <c r="M5029" s="181"/>
      <c r="N5029" s="181"/>
      <c r="O5029" s="181"/>
      <c r="P5029" s="181"/>
    </row>
    <row r="5030">
      <c r="B5030" s="292"/>
      <c r="C5030" s="181"/>
      <c r="D5030" s="181"/>
      <c r="E5030" s="181"/>
      <c r="F5030" s="181"/>
      <c r="G5030" s="181"/>
      <c r="H5030" s="181"/>
      <c r="I5030" s="181"/>
      <c r="J5030" s="181"/>
      <c r="K5030" s="181"/>
      <c r="L5030" s="181"/>
      <c r="M5030" s="181"/>
      <c r="N5030" s="181"/>
      <c r="O5030" s="181"/>
      <c r="P5030" s="181"/>
    </row>
    <row r="5031">
      <c r="B5031" s="292"/>
      <c r="C5031" s="181"/>
      <c r="D5031" s="181"/>
      <c r="E5031" s="181"/>
      <c r="F5031" s="181"/>
      <c r="G5031" s="181"/>
      <c r="H5031" s="181"/>
      <c r="I5031" s="181"/>
      <c r="J5031" s="181"/>
      <c r="K5031" s="181"/>
      <c r="L5031" s="181"/>
      <c r="M5031" s="181"/>
      <c r="N5031" s="181"/>
      <c r="O5031" s="181"/>
      <c r="P5031" s="181"/>
    </row>
    <row r="5032">
      <c r="B5032" s="292"/>
      <c r="C5032" s="181"/>
      <c r="D5032" s="181"/>
      <c r="E5032" s="181"/>
      <c r="F5032" s="181"/>
      <c r="G5032" s="181"/>
      <c r="H5032" s="181"/>
      <c r="I5032" s="181"/>
      <c r="J5032" s="181"/>
      <c r="K5032" s="181"/>
      <c r="L5032" s="181"/>
      <c r="M5032" s="181"/>
      <c r="N5032" s="181"/>
      <c r="O5032" s="181"/>
      <c r="P5032" s="181"/>
    </row>
    <row r="5033">
      <c r="B5033" s="292"/>
      <c r="C5033" s="181"/>
      <c r="D5033" s="181"/>
      <c r="E5033" s="181"/>
      <c r="F5033" s="181"/>
      <c r="G5033" s="181"/>
      <c r="H5033" s="181"/>
      <c r="I5033" s="181"/>
      <c r="J5033" s="181"/>
      <c r="K5033" s="181"/>
      <c r="L5033" s="181"/>
      <c r="M5033" s="181"/>
      <c r="N5033" s="181"/>
      <c r="O5033" s="181"/>
      <c r="P5033" s="181"/>
    </row>
    <row r="5034">
      <c r="B5034" s="292"/>
      <c r="C5034" s="181"/>
      <c r="D5034" s="181"/>
      <c r="E5034" s="181"/>
      <c r="F5034" s="181"/>
      <c r="G5034" s="181"/>
      <c r="H5034" s="181"/>
      <c r="I5034" s="181"/>
      <c r="J5034" s="181"/>
      <c r="K5034" s="181"/>
      <c r="L5034" s="181"/>
      <c r="M5034" s="181"/>
      <c r="N5034" s="181"/>
      <c r="O5034" s="181"/>
      <c r="P5034" s="181"/>
    </row>
    <row r="5035">
      <c r="B5035" s="292"/>
      <c r="C5035" s="181"/>
      <c r="D5035" s="181"/>
      <c r="E5035" s="181"/>
      <c r="F5035" s="181"/>
      <c r="G5035" s="181"/>
      <c r="H5035" s="181"/>
      <c r="I5035" s="181"/>
      <c r="J5035" s="181"/>
      <c r="K5035" s="181"/>
      <c r="L5035" s="181"/>
      <c r="M5035" s="181"/>
      <c r="N5035" s="181"/>
      <c r="O5035" s="181"/>
      <c r="P5035" s="181"/>
    </row>
    <row r="5036">
      <c r="B5036" s="292"/>
      <c r="C5036" s="181"/>
      <c r="D5036" s="181"/>
      <c r="E5036" s="181"/>
      <c r="F5036" s="181"/>
      <c r="G5036" s="181"/>
      <c r="H5036" s="181"/>
      <c r="I5036" s="181"/>
      <c r="J5036" s="181"/>
      <c r="K5036" s="181"/>
      <c r="L5036" s="181"/>
      <c r="M5036" s="181"/>
      <c r="N5036" s="181"/>
      <c r="O5036" s="181"/>
      <c r="P5036" s="181"/>
    </row>
    <row r="5037">
      <c r="B5037" s="292"/>
      <c r="C5037" s="181"/>
      <c r="D5037" s="181"/>
      <c r="E5037" s="181"/>
      <c r="F5037" s="181"/>
      <c r="G5037" s="181"/>
      <c r="H5037" s="181"/>
      <c r="I5037" s="181"/>
      <c r="J5037" s="181"/>
      <c r="K5037" s="181"/>
      <c r="L5037" s="181"/>
      <c r="M5037" s="181"/>
      <c r="N5037" s="181"/>
      <c r="O5037" s="181"/>
      <c r="P5037" s="181"/>
    </row>
    <row r="5038">
      <c r="B5038" s="292"/>
      <c r="C5038" s="181"/>
      <c r="D5038" s="181"/>
      <c r="E5038" s="181"/>
      <c r="F5038" s="181"/>
      <c r="G5038" s="181"/>
      <c r="H5038" s="181"/>
      <c r="I5038" s="181"/>
      <c r="J5038" s="181"/>
      <c r="K5038" s="181"/>
      <c r="L5038" s="181"/>
      <c r="M5038" s="181"/>
      <c r="N5038" s="181"/>
      <c r="O5038" s="181"/>
      <c r="P5038" s="181"/>
    </row>
    <row r="5039">
      <c r="B5039" s="292"/>
      <c r="C5039" s="181"/>
      <c r="D5039" s="181"/>
      <c r="E5039" s="181"/>
      <c r="F5039" s="181"/>
      <c r="G5039" s="181"/>
      <c r="H5039" s="181"/>
      <c r="I5039" s="181"/>
      <c r="J5039" s="181"/>
      <c r="K5039" s="181"/>
      <c r="L5039" s="181"/>
      <c r="M5039" s="181"/>
      <c r="N5039" s="181"/>
      <c r="O5039" s="181"/>
      <c r="P5039" s="181"/>
    </row>
    <row r="5040">
      <c r="B5040" s="292"/>
      <c r="C5040" s="181"/>
      <c r="D5040" s="181"/>
      <c r="E5040" s="181"/>
      <c r="F5040" s="181"/>
      <c r="G5040" s="181"/>
      <c r="H5040" s="181"/>
      <c r="I5040" s="181"/>
      <c r="J5040" s="181"/>
      <c r="K5040" s="181"/>
      <c r="L5040" s="181"/>
      <c r="M5040" s="181"/>
      <c r="N5040" s="181"/>
      <c r="O5040" s="181"/>
      <c r="P5040" s="181"/>
    </row>
    <row r="5041">
      <c r="B5041" s="292"/>
      <c r="C5041" s="181"/>
      <c r="D5041" s="181"/>
      <c r="E5041" s="181"/>
      <c r="F5041" s="181"/>
      <c r="G5041" s="181"/>
      <c r="H5041" s="181"/>
      <c r="I5041" s="181"/>
      <c r="J5041" s="181"/>
      <c r="K5041" s="181"/>
      <c r="L5041" s="181"/>
      <c r="M5041" s="181"/>
      <c r="N5041" s="181"/>
      <c r="O5041" s="181"/>
      <c r="P5041" s="181"/>
    </row>
    <row r="5042">
      <c r="B5042" s="292"/>
      <c r="C5042" s="181"/>
      <c r="D5042" s="181"/>
      <c r="E5042" s="181"/>
      <c r="F5042" s="181"/>
      <c r="G5042" s="181"/>
      <c r="H5042" s="181"/>
      <c r="I5042" s="181"/>
      <c r="J5042" s="181"/>
      <c r="K5042" s="181"/>
      <c r="L5042" s="181"/>
      <c r="M5042" s="181"/>
      <c r="N5042" s="181"/>
      <c r="O5042" s="181"/>
      <c r="P5042" s="181"/>
    </row>
    <row r="5043">
      <c r="B5043" s="292"/>
      <c r="C5043" s="181"/>
      <c r="D5043" s="181"/>
      <c r="E5043" s="181"/>
      <c r="F5043" s="181"/>
      <c r="G5043" s="181"/>
      <c r="H5043" s="181"/>
      <c r="I5043" s="181"/>
      <c r="J5043" s="181"/>
      <c r="K5043" s="181"/>
      <c r="L5043" s="181"/>
      <c r="M5043" s="181"/>
      <c r="N5043" s="181"/>
      <c r="O5043" s="181"/>
      <c r="P5043" s="181"/>
    </row>
    <row r="5044">
      <c r="B5044" s="292"/>
      <c r="C5044" s="181"/>
      <c r="D5044" s="181"/>
      <c r="E5044" s="181"/>
      <c r="F5044" s="181"/>
      <c r="G5044" s="181"/>
      <c r="H5044" s="181"/>
      <c r="I5044" s="181"/>
      <c r="J5044" s="181"/>
      <c r="K5044" s="181"/>
      <c r="L5044" s="181"/>
      <c r="M5044" s="181"/>
      <c r="N5044" s="181"/>
      <c r="O5044" s="181"/>
      <c r="P5044" s="181"/>
    </row>
    <row r="5045">
      <c r="B5045" s="292"/>
      <c r="C5045" s="181"/>
      <c r="D5045" s="181"/>
      <c r="E5045" s="181"/>
      <c r="F5045" s="181"/>
      <c r="G5045" s="181"/>
      <c r="H5045" s="181"/>
      <c r="I5045" s="181"/>
      <c r="J5045" s="181"/>
      <c r="K5045" s="181"/>
      <c r="L5045" s="181"/>
      <c r="M5045" s="181"/>
      <c r="N5045" s="181"/>
      <c r="O5045" s="181"/>
      <c r="P5045" s="181"/>
    </row>
    <row r="5046">
      <c r="B5046" s="292"/>
      <c r="C5046" s="181"/>
      <c r="D5046" s="181"/>
      <c r="E5046" s="181"/>
      <c r="F5046" s="181"/>
      <c r="G5046" s="181"/>
      <c r="H5046" s="181"/>
      <c r="I5046" s="181"/>
      <c r="J5046" s="181"/>
      <c r="K5046" s="181"/>
      <c r="L5046" s="181"/>
      <c r="M5046" s="181"/>
      <c r="N5046" s="181"/>
      <c r="O5046" s="181"/>
      <c r="P5046" s="181"/>
    </row>
    <row r="5047">
      <c r="B5047" s="292"/>
      <c r="C5047" s="181"/>
      <c r="D5047" s="181"/>
      <c r="E5047" s="181"/>
      <c r="F5047" s="181"/>
      <c r="G5047" s="181"/>
      <c r="H5047" s="181"/>
      <c r="I5047" s="181"/>
      <c r="J5047" s="181"/>
      <c r="K5047" s="181"/>
      <c r="L5047" s="181"/>
      <c r="M5047" s="181"/>
      <c r="N5047" s="181"/>
      <c r="O5047" s="181"/>
      <c r="P5047" s="181"/>
    </row>
    <row r="5048">
      <c r="B5048" s="292"/>
      <c r="C5048" s="181"/>
      <c r="D5048" s="181"/>
      <c r="E5048" s="181"/>
      <c r="F5048" s="181"/>
      <c r="G5048" s="181"/>
      <c r="H5048" s="181"/>
      <c r="I5048" s="181"/>
      <c r="J5048" s="181"/>
      <c r="K5048" s="181"/>
      <c r="L5048" s="181"/>
      <c r="M5048" s="181"/>
      <c r="N5048" s="181"/>
      <c r="O5048" s="181"/>
      <c r="P5048" s="181"/>
    </row>
    <row r="5049">
      <c r="B5049" s="292"/>
      <c r="C5049" s="181"/>
      <c r="D5049" s="181"/>
      <c r="E5049" s="181"/>
      <c r="F5049" s="181"/>
      <c r="G5049" s="181"/>
      <c r="H5049" s="181"/>
      <c r="I5049" s="181"/>
      <c r="J5049" s="181"/>
      <c r="K5049" s="181"/>
      <c r="L5049" s="181"/>
      <c r="M5049" s="181"/>
      <c r="N5049" s="181"/>
      <c r="O5049" s="181"/>
      <c r="P5049" s="181"/>
    </row>
    <row r="5050">
      <c r="B5050" s="292"/>
      <c r="C5050" s="181"/>
      <c r="D5050" s="181"/>
      <c r="E5050" s="181"/>
      <c r="F5050" s="181"/>
      <c r="G5050" s="181"/>
      <c r="H5050" s="181"/>
      <c r="I5050" s="181"/>
      <c r="J5050" s="181"/>
      <c r="K5050" s="181"/>
      <c r="L5050" s="181"/>
      <c r="M5050" s="181"/>
      <c r="N5050" s="181"/>
      <c r="O5050" s="181"/>
      <c r="P5050" s="181"/>
    </row>
    <row r="5051">
      <c r="B5051" s="292"/>
      <c r="C5051" s="181"/>
      <c r="D5051" s="181"/>
      <c r="E5051" s="181"/>
      <c r="F5051" s="181"/>
      <c r="G5051" s="181"/>
      <c r="H5051" s="181"/>
      <c r="I5051" s="181"/>
      <c r="J5051" s="181"/>
      <c r="K5051" s="181"/>
      <c r="L5051" s="181"/>
      <c r="M5051" s="181"/>
      <c r="N5051" s="181"/>
      <c r="O5051" s="181"/>
      <c r="P5051" s="181"/>
    </row>
    <row r="5052">
      <c r="B5052" s="292"/>
      <c r="C5052" s="181"/>
      <c r="D5052" s="181"/>
      <c r="E5052" s="181"/>
      <c r="F5052" s="181"/>
      <c r="G5052" s="181"/>
      <c r="H5052" s="181"/>
      <c r="I5052" s="181"/>
      <c r="J5052" s="181"/>
      <c r="K5052" s="181"/>
      <c r="L5052" s="181"/>
      <c r="M5052" s="181"/>
      <c r="N5052" s="181"/>
      <c r="O5052" s="181"/>
      <c r="P5052" s="181"/>
    </row>
    <row r="5053">
      <c r="B5053" s="292"/>
      <c r="C5053" s="181"/>
      <c r="D5053" s="181"/>
      <c r="E5053" s="181"/>
      <c r="F5053" s="181"/>
      <c r="G5053" s="181"/>
      <c r="H5053" s="181"/>
      <c r="I5053" s="181"/>
      <c r="J5053" s="181"/>
      <c r="K5053" s="181"/>
      <c r="L5053" s="181"/>
      <c r="M5053" s="181"/>
      <c r="N5053" s="181"/>
      <c r="O5053" s="181"/>
      <c r="P5053" s="181"/>
    </row>
    <row r="5054">
      <c r="B5054" s="292"/>
      <c r="C5054" s="181"/>
      <c r="D5054" s="181"/>
      <c r="E5054" s="181"/>
      <c r="F5054" s="181"/>
      <c r="G5054" s="181"/>
      <c r="H5054" s="181"/>
      <c r="I5054" s="181"/>
      <c r="J5054" s="181"/>
      <c r="K5054" s="181"/>
      <c r="L5054" s="181"/>
      <c r="M5054" s="181"/>
      <c r="N5054" s="181"/>
      <c r="O5054" s="181"/>
      <c r="P5054" s="181"/>
    </row>
    <row r="5055">
      <c r="B5055" s="292"/>
      <c r="C5055" s="181"/>
      <c r="D5055" s="181"/>
      <c r="E5055" s="181"/>
      <c r="F5055" s="181"/>
      <c r="G5055" s="181"/>
      <c r="H5055" s="181"/>
      <c r="I5055" s="181"/>
      <c r="J5055" s="181"/>
      <c r="K5055" s="181"/>
      <c r="L5055" s="181"/>
      <c r="M5055" s="181"/>
      <c r="N5055" s="181"/>
      <c r="O5055" s="181"/>
      <c r="P5055" s="181"/>
    </row>
    <row r="5056">
      <c r="B5056" s="292"/>
      <c r="C5056" s="181"/>
      <c r="D5056" s="181"/>
      <c r="E5056" s="181"/>
      <c r="F5056" s="181"/>
      <c r="G5056" s="181"/>
      <c r="H5056" s="181"/>
      <c r="I5056" s="181"/>
      <c r="J5056" s="181"/>
      <c r="K5056" s="181"/>
      <c r="L5056" s="181"/>
      <c r="M5056" s="181"/>
      <c r="N5056" s="181"/>
      <c r="O5056" s="181"/>
      <c r="P5056" s="181"/>
    </row>
    <row r="5057">
      <c r="B5057" s="292"/>
      <c r="C5057" s="181"/>
      <c r="D5057" s="181"/>
      <c r="E5057" s="181"/>
      <c r="F5057" s="181"/>
      <c r="G5057" s="181"/>
      <c r="H5057" s="181"/>
      <c r="I5057" s="181"/>
      <c r="J5057" s="181"/>
      <c r="K5057" s="181"/>
      <c r="L5057" s="181"/>
      <c r="M5057" s="181"/>
      <c r="N5057" s="181"/>
      <c r="O5057" s="181"/>
      <c r="P5057" s="181"/>
    </row>
    <row r="5058">
      <c r="B5058" s="292"/>
      <c r="C5058" s="181"/>
      <c r="D5058" s="181"/>
      <c r="E5058" s="181"/>
      <c r="F5058" s="181"/>
      <c r="G5058" s="181"/>
      <c r="H5058" s="181"/>
      <c r="I5058" s="181"/>
      <c r="J5058" s="181"/>
      <c r="K5058" s="181"/>
      <c r="L5058" s="181"/>
      <c r="M5058" s="181"/>
      <c r="N5058" s="181"/>
      <c r="O5058" s="181"/>
      <c r="P5058" s="181"/>
    </row>
    <row r="5059">
      <c r="B5059" s="292"/>
      <c r="C5059" s="181"/>
      <c r="D5059" s="181"/>
      <c r="E5059" s="181"/>
      <c r="F5059" s="181"/>
      <c r="G5059" s="181"/>
      <c r="H5059" s="181"/>
      <c r="I5059" s="181"/>
      <c r="J5059" s="181"/>
      <c r="K5059" s="181"/>
      <c r="L5059" s="181"/>
      <c r="M5059" s="181"/>
      <c r="N5059" s="181"/>
      <c r="O5059" s="181"/>
      <c r="P5059" s="181"/>
    </row>
    <row r="5060">
      <c r="B5060" s="292"/>
      <c r="C5060" s="181"/>
      <c r="D5060" s="181"/>
      <c r="E5060" s="181"/>
      <c r="F5060" s="181"/>
      <c r="G5060" s="181"/>
      <c r="H5060" s="181"/>
      <c r="I5060" s="181"/>
      <c r="J5060" s="181"/>
      <c r="K5060" s="181"/>
      <c r="L5060" s="181"/>
      <c r="M5060" s="181"/>
      <c r="N5060" s="181"/>
      <c r="O5060" s="181"/>
      <c r="P5060" s="181"/>
    </row>
    <row r="5061">
      <c r="B5061" s="292"/>
      <c r="C5061" s="181"/>
      <c r="D5061" s="181"/>
      <c r="E5061" s="181"/>
      <c r="F5061" s="181"/>
      <c r="G5061" s="181"/>
      <c r="H5061" s="181"/>
      <c r="I5061" s="181"/>
      <c r="J5061" s="181"/>
      <c r="K5061" s="181"/>
      <c r="L5061" s="181"/>
      <c r="M5061" s="181"/>
      <c r="N5061" s="181"/>
      <c r="O5061" s="181"/>
      <c r="P5061" s="181"/>
    </row>
    <row r="5062">
      <c r="B5062" s="292"/>
      <c r="C5062" s="181"/>
      <c r="D5062" s="181"/>
      <c r="E5062" s="181"/>
      <c r="F5062" s="181"/>
      <c r="G5062" s="181"/>
      <c r="H5062" s="181"/>
      <c r="I5062" s="181"/>
      <c r="J5062" s="181"/>
      <c r="K5062" s="181"/>
      <c r="L5062" s="181"/>
      <c r="M5062" s="181"/>
      <c r="N5062" s="181"/>
      <c r="O5062" s="181"/>
      <c r="P5062" s="181"/>
    </row>
    <row r="5063">
      <c r="B5063" s="292"/>
      <c r="C5063" s="181"/>
      <c r="D5063" s="181"/>
      <c r="E5063" s="181"/>
      <c r="F5063" s="181"/>
      <c r="G5063" s="181"/>
      <c r="H5063" s="181"/>
      <c r="I5063" s="181"/>
      <c r="J5063" s="181"/>
      <c r="K5063" s="181"/>
      <c r="L5063" s="181"/>
      <c r="M5063" s="181"/>
      <c r="N5063" s="181"/>
      <c r="O5063" s="181"/>
      <c r="P5063" s="181"/>
    </row>
    <row r="5064">
      <c r="B5064" s="292"/>
      <c r="C5064" s="181"/>
      <c r="D5064" s="181"/>
      <c r="E5064" s="181"/>
      <c r="F5064" s="181"/>
      <c r="G5064" s="181"/>
      <c r="H5064" s="181"/>
      <c r="I5064" s="181"/>
      <c r="J5064" s="181"/>
      <c r="K5064" s="181"/>
      <c r="L5064" s="181"/>
      <c r="M5064" s="181"/>
      <c r="N5064" s="181"/>
      <c r="O5064" s="181"/>
      <c r="P5064" s="181"/>
    </row>
    <row r="5065">
      <c r="B5065" s="292"/>
      <c r="C5065" s="181"/>
      <c r="D5065" s="181"/>
      <c r="E5065" s="181"/>
      <c r="F5065" s="181"/>
      <c r="G5065" s="181"/>
      <c r="H5065" s="181"/>
      <c r="I5065" s="181"/>
      <c r="J5065" s="181"/>
      <c r="K5065" s="181"/>
      <c r="L5065" s="181"/>
      <c r="M5065" s="181"/>
      <c r="N5065" s="181"/>
      <c r="O5065" s="181"/>
      <c r="P5065" s="181"/>
    </row>
    <row r="5066">
      <c r="B5066" s="292"/>
      <c r="C5066" s="181"/>
      <c r="D5066" s="181"/>
      <c r="E5066" s="181"/>
      <c r="F5066" s="181"/>
      <c r="G5066" s="181"/>
      <c r="H5066" s="181"/>
      <c r="I5066" s="181"/>
      <c r="J5066" s="181"/>
      <c r="K5066" s="181"/>
      <c r="L5066" s="181"/>
      <c r="M5066" s="181"/>
      <c r="N5066" s="181"/>
      <c r="O5066" s="181"/>
      <c r="P5066" s="181"/>
    </row>
    <row r="5067">
      <c r="B5067" s="292"/>
      <c r="C5067" s="181"/>
      <c r="D5067" s="181"/>
      <c r="E5067" s="181"/>
      <c r="F5067" s="181"/>
      <c r="G5067" s="181"/>
      <c r="H5067" s="181"/>
      <c r="I5067" s="181"/>
      <c r="J5067" s="181"/>
      <c r="K5067" s="181"/>
      <c r="L5067" s="181"/>
      <c r="M5067" s="181"/>
      <c r="N5067" s="181"/>
      <c r="O5067" s="181"/>
      <c r="P5067" s="181"/>
    </row>
    <row r="5068">
      <c r="B5068" s="292"/>
      <c r="C5068" s="181"/>
      <c r="D5068" s="181"/>
      <c r="E5068" s="181"/>
      <c r="F5068" s="181"/>
      <c r="G5068" s="181"/>
      <c r="H5068" s="181"/>
      <c r="I5068" s="181"/>
      <c r="J5068" s="181"/>
      <c r="K5068" s="181"/>
      <c r="L5068" s="181"/>
      <c r="M5068" s="181"/>
      <c r="N5068" s="181"/>
      <c r="O5068" s="181"/>
      <c r="P5068" s="181"/>
    </row>
    <row r="5069">
      <c r="B5069" s="292"/>
      <c r="C5069" s="181"/>
      <c r="D5069" s="181"/>
      <c r="E5069" s="181"/>
      <c r="F5069" s="181"/>
      <c r="G5069" s="181"/>
      <c r="H5069" s="181"/>
      <c r="I5069" s="181"/>
      <c r="J5069" s="181"/>
      <c r="K5069" s="181"/>
      <c r="L5069" s="181"/>
      <c r="M5069" s="181"/>
      <c r="N5069" s="181"/>
      <c r="O5069" s="181"/>
      <c r="P5069" s="181"/>
    </row>
    <row r="5070">
      <c r="B5070" s="292"/>
      <c r="C5070" s="181"/>
      <c r="D5070" s="181"/>
      <c r="E5070" s="181"/>
      <c r="F5070" s="181"/>
      <c r="G5070" s="181"/>
      <c r="H5070" s="181"/>
      <c r="I5070" s="181"/>
      <c r="J5070" s="181"/>
      <c r="K5070" s="181"/>
      <c r="L5070" s="181"/>
      <c r="M5070" s="181"/>
      <c r="N5070" s="181"/>
      <c r="O5070" s="181"/>
      <c r="P5070" s="181"/>
    </row>
    <row r="5071">
      <c r="B5071" s="292"/>
      <c r="C5071" s="181"/>
      <c r="D5071" s="181"/>
      <c r="E5071" s="181"/>
      <c r="F5071" s="181"/>
      <c r="G5071" s="181"/>
      <c r="H5071" s="181"/>
      <c r="I5071" s="181"/>
      <c r="J5071" s="181"/>
      <c r="K5071" s="181"/>
      <c r="L5071" s="181"/>
      <c r="M5071" s="181"/>
      <c r="N5071" s="181"/>
      <c r="O5071" s="181"/>
      <c r="P5071" s="181"/>
    </row>
    <row r="5072">
      <c r="B5072" s="292"/>
      <c r="C5072" s="181"/>
      <c r="D5072" s="181"/>
      <c r="E5072" s="181"/>
      <c r="F5072" s="181"/>
      <c r="G5072" s="181"/>
      <c r="H5072" s="181"/>
      <c r="I5072" s="181"/>
      <c r="J5072" s="181"/>
      <c r="K5072" s="181"/>
      <c r="L5072" s="181"/>
      <c r="M5072" s="181"/>
      <c r="N5072" s="181"/>
      <c r="O5072" s="181"/>
      <c r="P5072" s="181"/>
    </row>
    <row r="5073">
      <c r="B5073" s="292"/>
      <c r="C5073" s="181"/>
      <c r="D5073" s="181"/>
      <c r="E5073" s="181"/>
      <c r="F5073" s="181"/>
      <c r="G5073" s="181"/>
      <c r="H5073" s="181"/>
      <c r="I5073" s="181"/>
      <c r="J5073" s="181"/>
      <c r="K5073" s="181"/>
      <c r="L5073" s="181"/>
      <c r="M5073" s="181"/>
      <c r="N5073" s="181"/>
      <c r="O5073" s="181"/>
      <c r="P5073" s="181"/>
    </row>
    <row r="5074">
      <c r="B5074" s="292"/>
      <c r="C5074" s="181"/>
      <c r="D5074" s="181"/>
      <c r="E5074" s="181"/>
      <c r="F5074" s="181"/>
      <c r="G5074" s="181"/>
      <c r="H5074" s="181"/>
      <c r="I5074" s="181"/>
      <c r="J5074" s="181"/>
      <c r="K5074" s="181"/>
      <c r="L5074" s="181"/>
      <c r="M5074" s="181"/>
      <c r="N5074" s="181"/>
      <c r="O5074" s="181"/>
      <c r="P5074" s="181"/>
    </row>
    <row r="5075">
      <c r="B5075" s="292"/>
      <c r="C5075" s="181"/>
      <c r="D5075" s="181"/>
      <c r="E5075" s="181"/>
      <c r="F5075" s="181"/>
      <c r="G5075" s="181"/>
      <c r="H5075" s="181"/>
      <c r="I5075" s="181"/>
      <c r="J5075" s="181"/>
      <c r="K5075" s="181"/>
      <c r="L5075" s="181"/>
      <c r="M5075" s="181"/>
      <c r="N5075" s="181"/>
      <c r="O5075" s="181"/>
      <c r="P5075" s="181"/>
    </row>
    <row r="5076">
      <c r="B5076" s="292"/>
      <c r="C5076" s="181"/>
      <c r="D5076" s="181"/>
      <c r="E5076" s="181"/>
      <c r="F5076" s="181"/>
      <c r="G5076" s="181"/>
      <c r="H5076" s="181"/>
      <c r="I5076" s="181"/>
      <c r="J5076" s="181"/>
      <c r="K5076" s="181"/>
      <c r="L5076" s="181"/>
      <c r="M5076" s="181"/>
      <c r="N5076" s="181"/>
      <c r="O5076" s="181"/>
      <c r="P5076" s="181"/>
    </row>
    <row r="5077">
      <c r="B5077" s="292"/>
      <c r="C5077" s="181"/>
      <c r="D5077" s="181"/>
      <c r="E5077" s="181"/>
      <c r="F5077" s="181"/>
      <c r="G5077" s="181"/>
      <c r="H5077" s="181"/>
      <c r="I5077" s="181"/>
      <c r="J5077" s="181"/>
      <c r="K5077" s="181"/>
      <c r="L5077" s="181"/>
      <c r="M5077" s="181"/>
      <c r="N5077" s="181"/>
      <c r="O5077" s="181"/>
      <c r="P5077" s="181"/>
    </row>
    <row r="5078">
      <c r="B5078" s="292"/>
      <c r="C5078" s="181"/>
      <c r="D5078" s="181"/>
      <c r="E5078" s="181"/>
      <c r="F5078" s="181"/>
      <c r="G5078" s="181"/>
      <c r="H5078" s="181"/>
      <c r="I5078" s="181"/>
      <c r="J5078" s="181"/>
      <c r="K5078" s="181"/>
      <c r="L5078" s="181"/>
      <c r="M5078" s="181"/>
      <c r="N5078" s="181"/>
      <c r="O5078" s="181"/>
      <c r="P5078" s="181"/>
    </row>
    <row r="5079">
      <c r="B5079" s="292"/>
      <c r="C5079" s="181"/>
      <c r="D5079" s="181"/>
      <c r="E5079" s="181"/>
      <c r="F5079" s="181"/>
      <c r="G5079" s="181"/>
      <c r="H5079" s="181"/>
      <c r="I5079" s="181"/>
      <c r="J5079" s="181"/>
      <c r="K5079" s="181"/>
      <c r="L5079" s="181"/>
      <c r="M5079" s="181"/>
      <c r="N5079" s="181"/>
      <c r="O5079" s="181"/>
      <c r="P5079" s="181"/>
    </row>
    <row r="5080">
      <c r="B5080" s="292"/>
      <c r="C5080" s="181"/>
      <c r="D5080" s="181"/>
      <c r="E5080" s="181"/>
      <c r="F5080" s="181"/>
      <c r="G5080" s="181"/>
      <c r="H5080" s="181"/>
      <c r="I5080" s="181"/>
      <c r="J5080" s="181"/>
      <c r="K5080" s="181"/>
      <c r="L5080" s="181"/>
      <c r="M5080" s="181"/>
      <c r="N5080" s="181"/>
      <c r="O5080" s="181"/>
      <c r="P5080" s="181"/>
    </row>
    <row r="5081">
      <c r="B5081" s="292"/>
      <c r="C5081" s="181"/>
      <c r="D5081" s="181"/>
      <c r="E5081" s="181"/>
      <c r="F5081" s="181"/>
      <c r="G5081" s="181"/>
      <c r="H5081" s="181"/>
      <c r="I5081" s="181"/>
      <c r="J5081" s="181"/>
      <c r="K5081" s="181"/>
      <c r="L5081" s="181"/>
      <c r="M5081" s="181"/>
      <c r="N5081" s="181"/>
      <c r="O5081" s="181"/>
      <c r="P5081" s="181"/>
    </row>
    <row r="5082">
      <c r="B5082" s="292"/>
      <c r="C5082" s="181"/>
      <c r="D5082" s="181"/>
      <c r="E5082" s="181"/>
      <c r="F5082" s="181"/>
      <c r="G5082" s="181"/>
      <c r="H5082" s="181"/>
      <c r="I5082" s="181"/>
      <c r="J5082" s="181"/>
      <c r="K5082" s="181"/>
      <c r="L5082" s="181"/>
      <c r="M5082" s="181"/>
      <c r="N5082" s="181"/>
      <c r="O5082" s="181"/>
      <c r="P5082" s="181"/>
    </row>
    <row r="5083">
      <c r="B5083" s="292"/>
      <c r="C5083" s="181"/>
      <c r="D5083" s="181"/>
      <c r="E5083" s="181"/>
      <c r="F5083" s="181"/>
      <c r="G5083" s="181"/>
      <c r="H5083" s="181"/>
      <c r="I5083" s="181"/>
      <c r="J5083" s="181"/>
      <c r="K5083" s="181"/>
      <c r="L5083" s="181"/>
      <c r="M5083" s="181"/>
      <c r="N5083" s="181"/>
      <c r="O5083" s="181"/>
      <c r="P5083" s="181"/>
    </row>
    <row r="5084">
      <c r="B5084" s="292"/>
      <c r="C5084" s="181"/>
      <c r="D5084" s="181"/>
      <c r="E5084" s="181"/>
      <c r="F5084" s="181"/>
      <c r="G5084" s="181"/>
      <c r="H5084" s="181"/>
      <c r="I5084" s="181"/>
      <c r="J5084" s="181"/>
      <c r="K5084" s="181"/>
      <c r="L5084" s="181"/>
      <c r="M5084" s="181"/>
      <c r="N5084" s="181"/>
      <c r="O5084" s="181"/>
      <c r="P5084" s="181"/>
    </row>
    <row r="5085">
      <c r="B5085" s="292"/>
      <c r="C5085" s="181"/>
      <c r="D5085" s="181"/>
      <c r="E5085" s="181"/>
      <c r="F5085" s="181"/>
      <c r="G5085" s="181"/>
      <c r="H5085" s="181"/>
      <c r="I5085" s="181"/>
      <c r="J5085" s="181"/>
      <c r="K5085" s="181"/>
      <c r="L5085" s="181"/>
      <c r="M5085" s="181"/>
      <c r="N5085" s="181"/>
      <c r="O5085" s="181"/>
      <c r="P5085" s="181"/>
    </row>
    <row r="5086">
      <c r="B5086" s="292"/>
      <c r="C5086" s="181"/>
      <c r="D5086" s="181"/>
      <c r="E5086" s="181"/>
      <c r="F5086" s="181"/>
      <c r="G5086" s="181"/>
      <c r="H5086" s="181"/>
      <c r="I5086" s="181"/>
      <c r="J5086" s="181"/>
      <c r="K5086" s="181"/>
      <c r="L5086" s="181"/>
      <c r="M5086" s="181"/>
      <c r="N5086" s="181"/>
      <c r="O5086" s="181"/>
      <c r="P5086" s="181"/>
    </row>
    <row r="5087">
      <c r="B5087" s="292"/>
      <c r="C5087" s="181"/>
      <c r="D5087" s="181"/>
      <c r="E5087" s="181"/>
      <c r="F5087" s="181"/>
      <c r="G5087" s="181"/>
      <c r="H5087" s="181"/>
      <c r="I5087" s="181"/>
      <c r="J5087" s="181"/>
      <c r="K5087" s="181"/>
      <c r="L5087" s="181"/>
      <c r="M5087" s="181"/>
      <c r="N5087" s="181"/>
      <c r="O5087" s="181"/>
      <c r="P5087" s="181"/>
    </row>
    <row r="5088">
      <c r="B5088" s="292"/>
      <c r="C5088" s="181"/>
      <c r="D5088" s="181"/>
      <c r="E5088" s="181"/>
      <c r="F5088" s="181"/>
      <c r="G5088" s="181"/>
      <c r="H5088" s="181"/>
      <c r="I5088" s="181"/>
      <c r="J5088" s="181"/>
      <c r="K5088" s="181"/>
      <c r="L5088" s="181"/>
      <c r="M5088" s="181"/>
      <c r="N5088" s="181"/>
      <c r="O5088" s="181"/>
      <c r="P5088" s="181"/>
    </row>
    <row r="5089">
      <c r="B5089" s="292"/>
      <c r="C5089" s="181"/>
      <c r="D5089" s="181"/>
      <c r="E5089" s="181"/>
      <c r="F5089" s="181"/>
      <c r="G5089" s="181"/>
      <c r="H5089" s="181"/>
      <c r="I5089" s="181"/>
      <c r="J5089" s="181"/>
      <c r="K5089" s="181"/>
      <c r="L5089" s="181"/>
      <c r="M5089" s="181"/>
      <c r="N5089" s="181"/>
      <c r="O5089" s="181"/>
      <c r="P5089" s="181"/>
    </row>
    <row r="5090">
      <c r="B5090" s="292"/>
      <c r="C5090" s="181"/>
      <c r="D5090" s="181"/>
      <c r="E5090" s="181"/>
      <c r="F5090" s="181"/>
      <c r="G5090" s="181"/>
      <c r="H5090" s="181"/>
      <c r="I5090" s="181"/>
      <c r="J5090" s="181"/>
      <c r="K5090" s="181"/>
      <c r="L5090" s="181"/>
      <c r="M5090" s="181"/>
      <c r="N5090" s="181"/>
      <c r="O5090" s="181"/>
      <c r="P5090" s="181"/>
    </row>
    <row r="5091">
      <c r="B5091" s="292"/>
      <c r="C5091" s="181"/>
      <c r="D5091" s="181"/>
      <c r="E5091" s="181"/>
      <c r="F5091" s="181"/>
      <c r="G5091" s="181"/>
      <c r="H5091" s="181"/>
      <c r="I5091" s="181"/>
      <c r="J5091" s="181"/>
      <c r="K5091" s="181"/>
      <c r="L5091" s="181"/>
      <c r="M5091" s="181"/>
      <c r="N5091" s="181"/>
      <c r="O5091" s="181"/>
      <c r="P5091" s="181"/>
    </row>
    <row r="5092">
      <c r="B5092" s="292"/>
      <c r="C5092" s="181"/>
      <c r="D5092" s="181"/>
      <c r="E5092" s="181"/>
      <c r="F5092" s="181"/>
      <c r="G5092" s="181"/>
      <c r="H5092" s="181"/>
      <c r="I5092" s="181"/>
      <c r="J5092" s="181"/>
      <c r="K5092" s="181"/>
      <c r="L5092" s="181"/>
      <c r="M5092" s="181"/>
      <c r="N5092" s="181"/>
      <c r="O5092" s="181"/>
      <c r="P5092" s="181"/>
    </row>
    <row r="5093">
      <c r="B5093" s="292"/>
      <c r="C5093" s="181"/>
      <c r="D5093" s="181"/>
      <c r="E5093" s="181"/>
      <c r="F5093" s="181"/>
      <c r="G5093" s="181"/>
      <c r="H5093" s="181"/>
      <c r="I5093" s="181"/>
      <c r="J5093" s="181"/>
      <c r="K5093" s="181"/>
      <c r="L5093" s="181"/>
      <c r="M5093" s="181"/>
      <c r="N5093" s="181"/>
      <c r="O5093" s="181"/>
      <c r="P5093" s="181"/>
    </row>
    <row r="5094">
      <c r="B5094" s="292"/>
      <c r="C5094" s="181"/>
      <c r="D5094" s="181"/>
      <c r="E5094" s="181"/>
      <c r="F5094" s="181"/>
      <c r="G5094" s="181"/>
      <c r="H5094" s="181"/>
      <c r="I5094" s="181"/>
      <c r="J5094" s="181"/>
      <c r="K5094" s="181"/>
      <c r="L5094" s="181"/>
      <c r="M5094" s="181"/>
      <c r="N5094" s="181"/>
      <c r="O5094" s="181"/>
      <c r="P5094" s="181"/>
    </row>
    <row r="5095">
      <c r="B5095" s="292"/>
      <c r="C5095" s="181"/>
      <c r="D5095" s="181"/>
      <c r="E5095" s="181"/>
      <c r="F5095" s="181"/>
      <c r="G5095" s="181"/>
      <c r="H5095" s="181"/>
      <c r="I5095" s="181"/>
      <c r="J5095" s="181"/>
      <c r="K5095" s="181"/>
      <c r="L5095" s="181"/>
      <c r="M5095" s="181"/>
      <c r="N5095" s="181"/>
      <c r="O5095" s="181"/>
      <c r="P5095" s="181"/>
    </row>
    <row r="5096">
      <c r="B5096" s="292"/>
      <c r="C5096" s="181"/>
      <c r="D5096" s="181"/>
      <c r="E5096" s="181"/>
      <c r="F5096" s="181"/>
      <c r="G5096" s="181"/>
      <c r="H5096" s="181"/>
      <c r="I5096" s="181"/>
      <c r="J5096" s="181"/>
      <c r="K5096" s="181"/>
      <c r="L5096" s="181"/>
      <c r="M5096" s="181"/>
      <c r="N5096" s="181"/>
      <c r="O5096" s="181"/>
      <c r="P5096" s="181"/>
    </row>
    <row r="5097">
      <c r="B5097" s="292"/>
      <c r="C5097" s="181"/>
      <c r="D5097" s="181"/>
      <c r="E5097" s="181"/>
      <c r="F5097" s="181"/>
      <c r="G5097" s="181"/>
      <c r="H5097" s="181"/>
      <c r="I5097" s="181"/>
      <c r="J5097" s="181"/>
      <c r="K5097" s="181"/>
      <c r="L5097" s="181"/>
      <c r="M5097" s="181"/>
      <c r="N5097" s="181"/>
      <c r="O5097" s="181"/>
      <c r="P5097" s="181"/>
    </row>
    <row r="5098">
      <c r="B5098" s="292"/>
      <c r="C5098" s="181"/>
      <c r="D5098" s="181"/>
      <c r="E5098" s="181"/>
      <c r="F5098" s="181"/>
      <c r="G5098" s="181"/>
      <c r="H5098" s="181"/>
      <c r="I5098" s="181"/>
      <c r="J5098" s="181"/>
      <c r="K5098" s="181"/>
      <c r="L5098" s="181"/>
      <c r="M5098" s="181"/>
      <c r="N5098" s="181"/>
      <c r="O5098" s="181"/>
      <c r="P5098" s="181"/>
    </row>
    <row r="5099">
      <c r="B5099" s="292"/>
      <c r="C5099" s="181"/>
      <c r="D5099" s="181"/>
      <c r="E5099" s="181"/>
      <c r="F5099" s="181"/>
      <c r="G5099" s="181"/>
      <c r="H5099" s="181"/>
      <c r="I5099" s="181"/>
      <c r="J5099" s="181"/>
      <c r="K5099" s="181"/>
      <c r="L5099" s="181"/>
      <c r="M5099" s="181"/>
      <c r="N5099" s="181"/>
      <c r="O5099" s="181"/>
      <c r="P5099" s="181"/>
    </row>
    <row r="5100">
      <c r="B5100" s="292"/>
      <c r="C5100" s="181"/>
      <c r="D5100" s="181"/>
      <c r="E5100" s="181"/>
      <c r="F5100" s="181"/>
      <c r="G5100" s="181"/>
      <c r="H5100" s="181"/>
      <c r="I5100" s="181"/>
      <c r="J5100" s="181"/>
      <c r="K5100" s="181"/>
      <c r="L5100" s="181"/>
      <c r="M5100" s="181"/>
      <c r="N5100" s="181"/>
      <c r="O5100" s="181"/>
      <c r="P5100" s="181"/>
    </row>
    <row r="5101">
      <c r="B5101" s="292"/>
      <c r="C5101" s="181"/>
      <c r="D5101" s="181"/>
      <c r="E5101" s="181"/>
      <c r="F5101" s="181"/>
      <c r="G5101" s="181"/>
      <c r="H5101" s="181"/>
      <c r="I5101" s="181"/>
      <c r="J5101" s="181"/>
      <c r="K5101" s="181"/>
      <c r="L5101" s="181"/>
      <c r="M5101" s="181"/>
      <c r="N5101" s="181"/>
      <c r="O5101" s="181"/>
      <c r="P5101" s="181"/>
    </row>
    <row r="5102">
      <c r="B5102" s="292"/>
      <c r="C5102" s="181"/>
      <c r="D5102" s="181"/>
      <c r="E5102" s="181"/>
      <c r="F5102" s="181"/>
      <c r="G5102" s="181"/>
      <c r="H5102" s="181"/>
      <c r="I5102" s="181"/>
      <c r="J5102" s="181"/>
      <c r="K5102" s="181"/>
      <c r="L5102" s="181"/>
      <c r="M5102" s="181"/>
      <c r="N5102" s="181"/>
      <c r="O5102" s="181"/>
      <c r="P5102" s="181"/>
    </row>
    <row r="5103">
      <c r="B5103" s="292"/>
      <c r="C5103" s="181"/>
      <c r="D5103" s="181"/>
      <c r="E5103" s="181"/>
      <c r="F5103" s="181"/>
      <c r="G5103" s="181"/>
      <c r="H5103" s="181"/>
      <c r="I5103" s="181"/>
      <c r="J5103" s="181"/>
      <c r="K5103" s="181"/>
      <c r="L5103" s="181"/>
      <c r="M5103" s="181"/>
      <c r="N5103" s="181"/>
      <c r="O5103" s="181"/>
      <c r="P5103" s="181"/>
    </row>
    <row r="5104">
      <c r="B5104" s="292"/>
      <c r="C5104" s="181"/>
      <c r="D5104" s="181"/>
      <c r="E5104" s="181"/>
      <c r="F5104" s="181"/>
      <c r="G5104" s="181"/>
      <c r="H5104" s="181"/>
      <c r="I5104" s="181"/>
      <c r="J5104" s="181"/>
      <c r="K5104" s="181"/>
      <c r="L5104" s="181"/>
      <c r="M5104" s="181"/>
      <c r="N5104" s="181"/>
      <c r="O5104" s="181"/>
      <c r="P5104" s="181"/>
    </row>
    <row r="5105">
      <c r="B5105" s="292"/>
      <c r="C5105" s="181"/>
      <c r="D5105" s="181"/>
      <c r="E5105" s="181"/>
      <c r="F5105" s="181"/>
      <c r="G5105" s="181"/>
      <c r="H5105" s="181"/>
      <c r="I5105" s="181"/>
      <c r="J5105" s="181"/>
      <c r="K5105" s="181"/>
      <c r="L5105" s="181"/>
      <c r="M5105" s="181"/>
      <c r="N5105" s="181"/>
      <c r="O5105" s="181"/>
      <c r="P5105" s="181"/>
    </row>
    <row r="5106">
      <c r="B5106" s="292"/>
      <c r="C5106" s="181"/>
      <c r="D5106" s="181"/>
      <c r="E5106" s="181"/>
      <c r="F5106" s="181"/>
      <c r="G5106" s="181"/>
      <c r="H5106" s="181"/>
      <c r="I5106" s="181"/>
      <c r="J5106" s="181"/>
      <c r="K5106" s="181"/>
      <c r="L5106" s="181"/>
      <c r="M5106" s="181"/>
      <c r="N5106" s="181"/>
      <c r="O5106" s="181"/>
      <c r="P5106" s="181"/>
    </row>
    <row r="5107">
      <c r="B5107" s="292"/>
      <c r="C5107" s="181"/>
      <c r="D5107" s="181"/>
      <c r="E5107" s="181"/>
      <c r="F5107" s="181"/>
      <c r="G5107" s="181"/>
      <c r="H5107" s="181"/>
      <c r="I5107" s="181"/>
      <c r="J5107" s="181"/>
      <c r="K5107" s="181"/>
      <c r="L5107" s="181"/>
      <c r="M5107" s="181"/>
      <c r="N5107" s="181"/>
      <c r="O5107" s="181"/>
      <c r="P5107" s="181"/>
    </row>
    <row r="5108">
      <c r="B5108" s="292"/>
      <c r="C5108" s="181"/>
      <c r="D5108" s="181"/>
      <c r="E5108" s="181"/>
      <c r="F5108" s="181"/>
      <c r="G5108" s="181"/>
      <c r="H5108" s="181"/>
      <c r="I5108" s="181"/>
      <c r="J5108" s="181"/>
      <c r="K5108" s="181"/>
      <c r="L5108" s="181"/>
      <c r="M5108" s="181"/>
      <c r="N5108" s="181"/>
      <c r="O5108" s="181"/>
      <c r="P5108" s="181"/>
    </row>
    <row r="5109">
      <c r="B5109" s="292"/>
      <c r="C5109" s="181"/>
      <c r="D5109" s="181"/>
      <c r="E5109" s="181"/>
      <c r="F5109" s="181"/>
      <c r="G5109" s="181"/>
      <c r="H5109" s="181"/>
      <c r="I5109" s="181"/>
      <c r="J5109" s="181"/>
      <c r="K5109" s="181"/>
      <c r="L5109" s="181"/>
      <c r="M5109" s="181"/>
      <c r="N5109" s="181"/>
      <c r="O5109" s="181"/>
      <c r="P5109" s="181"/>
    </row>
    <row r="5110">
      <c r="B5110" s="292"/>
      <c r="C5110" s="181"/>
      <c r="D5110" s="181"/>
      <c r="E5110" s="181"/>
      <c r="F5110" s="181"/>
      <c r="G5110" s="181"/>
      <c r="H5110" s="181"/>
      <c r="I5110" s="181"/>
      <c r="J5110" s="181"/>
      <c r="K5110" s="181"/>
      <c r="L5110" s="181"/>
      <c r="M5110" s="181"/>
      <c r="N5110" s="181"/>
      <c r="O5110" s="181"/>
      <c r="P5110" s="181"/>
    </row>
    <row r="5111">
      <c r="B5111" s="292"/>
      <c r="C5111" s="181"/>
      <c r="D5111" s="181"/>
      <c r="E5111" s="181"/>
      <c r="F5111" s="181"/>
      <c r="G5111" s="181"/>
      <c r="H5111" s="181"/>
      <c r="I5111" s="181"/>
      <c r="J5111" s="181"/>
      <c r="K5111" s="181"/>
      <c r="L5111" s="181"/>
      <c r="M5111" s="181"/>
      <c r="N5111" s="181"/>
      <c r="O5111" s="181"/>
      <c r="P5111" s="181"/>
    </row>
    <row r="5112">
      <c r="B5112" s="292"/>
      <c r="C5112" s="181"/>
      <c r="D5112" s="181"/>
      <c r="E5112" s="181"/>
      <c r="F5112" s="181"/>
      <c r="G5112" s="181"/>
      <c r="H5112" s="181"/>
      <c r="I5112" s="181"/>
      <c r="J5112" s="181"/>
      <c r="K5112" s="181"/>
      <c r="L5112" s="181"/>
      <c r="M5112" s="181"/>
      <c r="N5112" s="181"/>
      <c r="O5112" s="181"/>
      <c r="P5112" s="181"/>
    </row>
    <row r="5113">
      <c r="B5113" s="292"/>
      <c r="C5113" s="181"/>
      <c r="D5113" s="181"/>
      <c r="E5113" s="181"/>
      <c r="F5113" s="181"/>
      <c r="G5113" s="181"/>
      <c r="H5113" s="181"/>
      <c r="I5113" s="181"/>
      <c r="J5113" s="181"/>
      <c r="K5113" s="181"/>
      <c r="L5113" s="181"/>
      <c r="M5113" s="181"/>
      <c r="N5113" s="181"/>
      <c r="O5113" s="181"/>
      <c r="P5113" s="181"/>
    </row>
    <row r="5114">
      <c r="B5114" s="292"/>
      <c r="C5114" s="181"/>
      <c r="D5114" s="181"/>
      <c r="E5114" s="181"/>
      <c r="F5114" s="181"/>
      <c r="G5114" s="181"/>
      <c r="H5114" s="181"/>
      <c r="I5114" s="181"/>
      <c r="J5114" s="181"/>
      <c r="K5114" s="181"/>
      <c r="L5114" s="181"/>
      <c r="M5114" s="181"/>
      <c r="N5114" s="181"/>
      <c r="O5114" s="181"/>
      <c r="P5114" s="181"/>
    </row>
    <row r="5115">
      <c r="B5115" s="292"/>
      <c r="C5115" s="181"/>
      <c r="D5115" s="181"/>
      <c r="E5115" s="181"/>
      <c r="F5115" s="181"/>
      <c r="G5115" s="181"/>
      <c r="H5115" s="181"/>
      <c r="I5115" s="181"/>
      <c r="J5115" s="181"/>
      <c r="K5115" s="181"/>
      <c r="L5115" s="181"/>
      <c r="M5115" s="181"/>
      <c r="N5115" s="181"/>
      <c r="O5115" s="181"/>
      <c r="P5115" s="181"/>
    </row>
    <row r="5116">
      <c r="B5116" s="292"/>
      <c r="C5116" s="181"/>
      <c r="D5116" s="181"/>
      <c r="E5116" s="181"/>
      <c r="F5116" s="181"/>
      <c r="G5116" s="181"/>
      <c r="H5116" s="181"/>
      <c r="I5116" s="181"/>
      <c r="J5116" s="181"/>
      <c r="K5116" s="181"/>
      <c r="L5116" s="181"/>
      <c r="M5116" s="181"/>
      <c r="N5116" s="181"/>
      <c r="O5116" s="181"/>
      <c r="P5116" s="181"/>
    </row>
    <row r="5117">
      <c r="B5117" s="292"/>
      <c r="C5117" s="181"/>
      <c r="D5117" s="181"/>
      <c r="E5117" s="181"/>
      <c r="F5117" s="181"/>
      <c r="G5117" s="181"/>
      <c r="H5117" s="181"/>
      <c r="I5117" s="181"/>
      <c r="J5117" s="181"/>
      <c r="K5117" s="181"/>
      <c r="L5117" s="181"/>
      <c r="M5117" s="181"/>
      <c r="N5117" s="181"/>
      <c r="O5117" s="181"/>
      <c r="P5117" s="181"/>
    </row>
    <row r="5118">
      <c r="B5118" s="292"/>
      <c r="C5118" s="181"/>
      <c r="D5118" s="181"/>
      <c r="E5118" s="181"/>
      <c r="F5118" s="181"/>
      <c r="G5118" s="181"/>
      <c r="H5118" s="181"/>
      <c r="I5118" s="181"/>
      <c r="J5118" s="181"/>
      <c r="K5118" s="181"/>
      <c r="L5118" s="181"/>
      <c r="M5118" s="181"/>
      <c r="N5118" s="181"/>
      <c r="O5118" s="181"/>
      <c r="P5118" s="181"/>
    </row>
    <row r="5119">
      <c r="B5119" s="292"/>
      <c r="C5119" s="181"/>
      <c r="D5119" s="181"/>
      <c r="E5119" s="181"/>
      <c r="F5119" s="181"/>
      <c r="G5119" s="181"/>
      <c r="H5119" s="181"/>
      <c r="I5119" s="181"/>
      <c r="J5119" s="181"/>
      <c r="K5119" s="181"/>
      <c r="L5119" s="181"/>
      <c r="M5119" s="181"/>
      <c r="N5119" s="181"/>
      <c r="O5119" s="181"/>
      <c r="P5119" s="181"/>
    </row>
    <row r="5120">
      <c r="B5120" s="292"/>
      <c r="C5120" s="181"/>
      <c r="D5120" s="181"/>
      <c r="E5120" s="181"/>
      <c r="F5120" s="181"/>
      <c r="G5120" s="181"/>
      <c r="H5120" s="181"/>
      <c r="I5120" s="181"/>
      <c r="J5120" s="181"/>
      <c r="K5120" s="181"/>
      <c r="L5120" s="181"/>
      <c r="M5120" s="181"/>
      <c r="N5120" s="181"/>
      <c r="O5120" s="181"/>
      <c r="P5120" s="181"/>
    </row>
    <row r="5121">
      <c r="B5121" s="292"/>
      <c r="C5121" s="181"/>
      <c r="D5121" s="181"/>
      <c r="E5121" s="181"/>
      <c r="F5121" s="181"/>
      <c r="G5121" s="181"/>
      <c r="H5121" s="181"/>
      <c r="I5121" s="181"/>
      <c r="J5121" s="181"/>
      <c r="K5121" s="181"/>
      <c r="L5121" s="181"/>
      <c r="M5121" s="181"/>
      <c r="N5121" s="181"/>
      <c r="O5121" s="181"/>
      <c r="P5121" s="181"/>
    </row>
    <row r="5122">
      <c r="B5122" s="292"/>
      <c r="C5122" s="181"/>
      <c r="D5122" s="181"/>
      <c r="E5122" s="181"/>
      <c r="F5122" s="181"/>
      <c r="G5122" s="181"/>
      <c r="H5122" s="181"/>
      <c r="I5122" s="181"/>
      <c r="J5122" s="181"/>
      <c r="K5122" s="181"/>
      <c r="L5122" s="181"/>
      <c r="M5122" s="181"/>
      <c r="N5122" s="181"/>
      <c r="O5122" s="181"/>
      <c r="P5122" s="181"/>
    </row>
    <row r="5123">
      <c r="B5123" s="292"/>
      <c r="C5123" s="181"/>
      <c r="D5123" s="181"/>
      <c r="E5123" s="181"/>
      <c r="F5123" s="181"/>
      <c r="G5123" s="181"/>
      <c r="H5123" s="181"/>
      <c r="I5123" s="181"/>
      <c r="J5123" s="181"/>
      <c r="K5123" s="181"/>
      <c r="L5123" s="181"/>
      <c r="M5123" s="181"/>
      <c r="N5123" s="181"/>
      <c r="O5123" s="181"/>
      <c r="P5123" s="181"/>
    </row>
    <row r="5124">
      <c r="B5124" s="292"/>
      <c r="C5124" s="181"/>
      <c r="D5124" s="181"/>
      <c r="E5124" s="181"/>
      <c r="F5124" s="181"/>
      <c r="G5124" s="181"/>
      <c r="H5124" s="181"/>
      <c r="I5124" s="181"/>
      <c r="J5124" s="181"/>
      <c r="K5124" s="181"/>
      <c r="L5124" s="181"/>
      <c r="M5124" s="181"/>
      <c r="N5124" s="181"/>
      <c r="O5124" s="181"/>
      <c r="P5124" s="181"/>
    </row>
    <row r="5125">
      <c r="B5125" s="292"/>
      <c r="C5125" s="181"/>
      <c r="D5125" s="181"/>
      <c r="E5125" s="181"/>
      <c r="F5125" s="181"/>
      <c r="G5125" s="181"/>
      <c r="H5125" s="181"/>
      <c r="I5125" s="181"/>
      <c r="J5125" s="181"/>
      <c r="K5125" s="181"/>
      <c r="L5125" s="181"/>
      <c r="M5125" s="181"/>
      <c r="N5125" s="181"/>
      <c r="O5125" s="181"/>
      <c r="P5125" s="181"/>
    </row>
    <row r="5126">
      <c r="B5126" s="292"/>
      <c r="C5126" s="181"/>
      <c r="D5126" s="181"/>
      <c r="E5126" s="181"/>
      <c r="F5126" s="181"/>
      <c r="G5126" s="181"/>
      <c r="H5126" s="181"/>
      <c r="I5126" s="181"/>
      <c r="J5126" s="181"/>
      <c r="K5126" s="181"/>
      <c r="L5126" s="181"/>
      <c r="M5126" s="181"/>
      <c r="N5126" s="181"/>
      <c r="O5126" s="181"/>
      <c r="P5126" s="181"/>
    </row>
    <row r="5127">
      <c r="B5127" s="292"/>
      <c r="C5127" s="181"/>
      <c r="D5127" s="181"/>
      <c r="E5127" s="181"/>
      <c r="F5127" s="181"/>
      <c r="G5127" s="181"/>
      <c r="H5127" s="181"/>
      <c r="I5127" s="181"/>
      <c r="J5127" s="181"/>
      <c r="K5127" s="181"/>
      <c r="L5127" s="181"/>
      <c r="M5127" s="181"/>
      <c r="N5127" s="181"/>
      <c r="O5127" s="181"/>
      <c r="P5127" s="181"/>
    </row>
    <row r="5128">
      <c r="B5128" s="292"/>
      <c r="C5128" s="181"/>
      <c r="D5128" s="181"/>
      <c r="E5128" s="181"/>
      <c r="F5128" s="181"/>
      <c r="G5128" s="181"/>
      <c r="H5128" s="181"/>
      <c r="I5128" s="181"/>
      <c r="J5128" s="181"/>
      <c r="K5128" s="181"/>
      <c r="L5128" s="181"/>
      <c r="M5128" s="181"/>
      <c r="N5128" s="181"/>
      <c r="O5128" s="181"/>
      <c r="P5128" s="181"/>
    </row>
    <row r="5129">
      <c r="B5129" s="292"/>
      <c r="C5129" s="181"/>
      <c r="D5129" s="181"/>
      <c r="E5129" s="181"/>
      <c r="F5129" s="181"/>
      <c r="G5129" s="181"/>
      <c r="H5129" s="181"/>
      <c r="I5129" s="181"/>
      <c r="J5129" s="181"/>
      <c r="K5129" s="181"/>
      <c r="L5129" s="181"/>
      <c r="M5129" s="181"/>
      <c r="N5129" s="181"/>
      <c r="O5129" s="181"/>
      <c r="P5129" s="181"/>
    </row>
    <row r="5130">
      <c r="B5130" s="292"/>
      <c r="C5130" s="181"/>
      <c r="D5130" s="181"/>
      <c r="E5130" s="181"/>
      <c r="F5130" s="181"/>
      <c r="G5130" s="181"/>
      <c r="H5130" s="181"/>
      <c r="I5130" s="181"/>
      <c r="J5130" s="181"/>
      <c r="K5130" s="181"/>
      <c r="L5130" s="181"/>
      <c r="M5130" s="181"/>
      <c r="N5130" s="181"/>
      <c r="O5130" s="181"/>
      <c r="P5130" s="181"/>
    </row>
    <row r="5131">
      <c r="B5131" s="292"/>
      <c r="C5131" s="181"/>
      <c r="D5131" s="181"/>
      <c r="E5131" s="181"/>
      <c r="F5131" s="181"/>
      <c r="G5131" s="181"/>
      <c r="H5131" s="181"/>
      <c r="I5131" s="181"/>
      <c r="J5131" s="181"/>
      <c r="K5131" s="181"/>
      <c r="L5131" s="181"/>
      <c r="M5131" s="181"/>
      <c r="N5131" s="181"/>
      <c r="O5131" s="181"/>
      <c r="P5131" s="181"/>
    </row>
    <row r="5132">
      <c r="B5132" s="292"/>
      <c r="C5132" s="181"/>
      <c r="D5132" s="181"/>
      <c r="E5132" s="181"/>
      <c r="F5132" s="181"/>
      <c r="G5132" s="181"/>
      <c r="H5132" s="181"/>
      <c r="I5132" s="181"/>
      <c r="J5132" s="181"/>
      <c r="K5132" s="181"/>
      <c r="L5132" s="181"/>
      <c r="M5132" s="181"/>
      <c r="N5132" s="181"/>
      <c r="O5132" s="181"/>
      <c r="P5132" s="181"/>
    </row>
    <row r="5133">
      <c r="B5133" s="292"/>
      <c r="C5133" s="181"/>
      <c r="D5133" s="181"/>
      <c r="E5133" s="181"/>
      <c r="F5133" s="181"/>
      <c r="G5133" s="181"/>
      <c r="H5133" s="181"/>
      <c r="I5133" s="181"/>
      <c r="J5133" s="181"/>
      <c r="K5133" s="181"/>
      <c r="L5133" s="181"/>
      <c r="M5133" s="181"/>
      <c r="N5133" s="181"/>
      <c r="O5133" s="181"/>
      <c r="P5133" s="181"/>
    </row>
    <row r="5134">
      <c r="B5134" s="292"/>
      <c r="C5134" s="181"/>
      <c r="D5134" s="181"/>
      <c r="E5134" s="181"/>
      <c r="F5134" s="181"/>
      <c r="G5134" s="181"/>
      <c r="H5134" s="181"/>
      <c r="I5134" s="181"/>
      <c r="J5134" s="181"/>
      <c r="K5134" s="181"/>
      <c r="L5134" s="181"/>
      <c r="M5134" s="181"/>
      <c r="N5134" s="181"/>
      <c r="O5134" s="181"/>
      <c r="P5134" s="181"/>
    </row>
    <row r="5135">
      <c r="B5135" s="292"/>
      <c r="C5135" s="181"/>
      <c r="D5135" s="181"/>
      <c r="E5135" s="181"/>
      <c r="F5135" s="181"/>
      <c r="G5135" s="181"/>
      <c r="H5135" s="181"/>
      <c r="I5135" s="181"/>
      <c r="J5135" s="181"/>
      <c r="K5135" s="181"/>
      <c r="L5135" s="181"/>
      <c r="M5135" s="181"/>
      <c r="N5135" s="181"/>
      <c r="O5135" s="181"/>
      <c r="P5135" s="181"/>
    </row>
    <row r="5136">
      <c r="B5136" s="292"/>
      <c r="C5136" s="181"/>
      <c r="D5136" s="181"/>
      <c r="E5136" s="181"/>
      <c r="F5136" s="181"/>
      <c r="G5136" s="181"/>
      <c r="H5136" s="181"/>
      <c r="I5136" s="181"/>
      <c r="J5136" s="181"/>
      <c r="K5136" s="181"/>
      <c r="L5136" s="181"/>
      <c r="M5136" s="181"/>
      <c r="N5136" s="181"/>
      <c r="O5136" s="181"/>
      <c r="P5136" s="181"/>
    </row>
    <row r="5137">
      <c r="B5137" s="292"/>
      <c r="C5137" s="181"/>
      <c r="D5137" s="181"/>
      <c r="E5137" s="181"/>
      <c r="F5137" s="181"/>
      <c r="G5137" s="181"/>
      <c r="H5137" s="181"/>
      <c r="I5137" s="181"/>
      <c r="J5137" s="181"/>
      <c r="K5137" s="181"/>
      <c r="L5137" s="181"/>
      <c r="M5137" s="181"/>
      <c r="N5137" s="181"/>
      <c r="O5137" s="181"/>
      <c r="P5137" s="181"/>
    </row>
    <row r="5138">
      <c r="B5138" s="292"/>
      <c r="C5138" s="181"/>
      <c r="D5138" s="181"/>
      <c r="E5138" s="181"/>
      <c r="F5138" s="181"/>
      <c r="G5138" s="181"/>
      <c r="H5138" s="181"/>
      <c r="I5138" s="181"/>
      <c r="J5138" s="181"/>
      <c r="K5138" s="181"/>
      <c r="L5138" s="181"/>
      <c r="M5138" s="181"/>
      <c r="N5138" s="181"/>
      <c r="O5138" s="181"/>
      <c r="P5138" s="181"/>
    </row>
    <row r="5139">
      <c r="B5139" s="292"/>
      <c r="C5139" s="181"/>
      <c r="D5139" s="181"/>
      <c r="E5139" s="181"/>
      <c r="F5139" s="181"/>
      <c r="G5139" s="181"/>
      <c r="H5139" s="181"/>
      <c r="I5139" s="181"/>
      <c r="J5139" s="181"/>
      <c r="K5139" s="181"/>
      <c r="L5139" s="181"/>
      <c r="M5139" s="181"/>
      <c r="N5139" s="181"/>
      <c r="O5139" s="181"/>
      <c r="P5139" s="181"/>
    </row>
    <row r="5140">
      <c r="B5140" s="292"/>
      <c r="C5140" s="181"/>
      <c r="D5140" s="181"/>
      <c r="E5140" s="181"/>
      <c r="F5140" s="181"/>
      <c r="G5140" s="181"/>
      <c r="H5140" s="181"/>
      <c r="I5140" s="181"/>
      <c r="J5140" s="181"/>
      <c r="K5140" s="181"/>
      <c r="L5140" s="181"/>
      <c r="M5140" s="181"/>
      <c r="N5140" s="181"/>
      <c r="O5140" s="181"/>
      <c r="P5140" s="181"/>
    </row>
    <row r="5141">
      <c r="B5141" s="292"/>
      <c r="C5141" s="181"/>
      <c r="D5141" s="181"/>
      <c r="E5141" s="181"/>
      <c r="F5141" s="181"/>
      <c r="G5141" s="181"/>
      <c r="H5141" s="181"/>
      <c r="I5141" s="181"/>
      <c r="J5141" s="181"/>
      <c r="K5141" s="181"/>
      <c r="L5141" s="181"/>
      <c r="M5141" s="181"/>
      <c r="N5141" s="181"/>
      <c r="O5141" s="181"/>
      <c r="P5141" s="181"/>
    </row>
    <row r="5142">
      <c r="B5142" s="292"/>
      <c r="C5142" s="181"/>
      <c r="D5142" s="181"/>
      <c r="E5142" s="181"/>
      <c r="F5142" s="181"/>
      <c r="G5142" s="181"/>
      <c r="H5142" s="181"/>
      <c r="I5142" s="181"/>
      <c r="J5142" s="181"/>
      <c r="K5142" s="181"/>
      <c r="L5142" s="181"/>
      <c r="M5142" s="181"/>
      <c r="N5142" s="181"/>
      <c r="O5142" s="181"/>
      <c r="P5142" s="181"/>
    </row>
    <row r="5143">
      <c r="B5143" s="292"/>
      <c r="C5143" s="181"/>
      <c r="D5143" s="181"/>
      <c r="E5143" s="181"/>
      <c r="F5143" s="181"/>
      <c r="G5143" s="181"/>
      <c r="H5143" s="181"/>
      <c r="I5143" s="181"/>
      <c r="J5143" s="181"/>
      <c r="K5143" s="181"/>
      <c r="L5143" s="181"/>
      <c r="M5143" s="181"/>
      <c r="N5143" s="181"/>
      <c r="O5143" s="181"/>
      <c r="P5143" s="181"/>
    </row>
    <row r="5144">
      <c r="B5144" s="292"/>
      <c r="C5144" s="181"/>
      <c r="D5144" s="181"/>
      <c r="E5144" s="181"/>
      <c r="F5144" s="181"/>
      <c r="G5144" s="181"/>
      <c r="H5144" s="181"/>
      <c r="I5144" s="181"/>
      <c r="J5144" s="181"/>
      <c r="K5144" s="181"/>
      <c r="L5144" s="181"/>
      <c r="M5144" s="181"/>
      <c r="N5144" s="181"/>
      <c r="O5144" s="181"/>
      <c r="P5144" s="181"/>
    </row>
    <row r="5145">
      <c r="B5145" s="292"/>
      <c r="C5145" s="181"/>
      <c r="D5145" s="181"/>
      <c r="E5145" s="181"/>
      <c r="F5145" s="181"/>
      <c r="G5145" s="181"/>
      <c r="H5145" s="181"/>
      <c r="I5145" s="181"/>
      <c r="J5145" s="181"/>
      <c r="K5145" s="181"/>
      <c r="L5145" s="181"/>
      <c r="M5145" s="181"/>
      <c r="N5145" s="181"/>
      <c r="O5145" s="181"/>
      <c r="P5145" s="181"/>
    </row>
    <row r="5146">
      <c r="B5146" s="292"/>
      <c r="C5146" s="181"/>
      <c r="D5146" s="181"/>
      <c r="E5146" s="181"/>
      <c r="F5146" s="181"/>
      <c r="G5146" s="181"/>
      <c r="H5146" s="181"/>
      <c r="I5146" s="181"/>
      <c r="J5146" s="181"/>
      <c r="K5146" s="181"/>
      <c r="L5146" s="181"/>
      <c r="M5146" s="181"/>
      <c r="N5146" s="181"/>
      <c r="O5146" s="181"/>
      <c r="P5146" s="181"/>
    </row>
    <row r="5147">
      <c r="B5147" s="292"/>
      <c r="C5147" s="181"/>
      <c r="D5147" s="181"/>
      <c r="E5147" s="181"/>
      <c r="F5147" s="181"/>
      <c r="G5147" s="181"/>
      <c r="H5147" s="181"/>
      <c r="I5147" s="181"/>
      <c r="J5147" s="181"/>
      <c r="K5147" s="181"/>
      <c r="L5147" s="181"/>
      <c r="M5147" s="181"/>
      <c r="N5147" s="181"/>
      <c r="O5147" s="181"/>
      <c r="P5147" s="181"/>
    </row>
    <row r="5148">
      <c r="B5148" s="292"/>
      <c r="C5148" s="181"/>
      <c r="D5148" s="181"/>
      <c r="E5148" s="181"/>
      <c r="F5148" s="181"/>
      <c r="G5148" s="181"/>
      <c r="H5148" s="181"/>
      <c r="I5148" s="181"/>
      <c r="J5148" s="181"/>
      <c r="K5148" s="181"/>
      <c r="L5148" s="181"/>
      <c r="M5148" s="181"/>
      <c r="N5148" s="181"/>
      <c r="O5148" s="181"/>
      <c r="P5148" s="181"/>
    </row>
    <row r="5149">
      <c r="B5149" s="292"/>
      <c r="C5149" s="181"/>
      <c r="D5149" s="181"/>
      <c r="E5149" s="181"/>
      <c r="F5149" s="181"/>
      <c r="G5149" s="181"/>
      <c r="H5149" s="181"/>
      <c r="I5149" s="181"/>
      <c r="J5149" s="181"/>
      <c r="K5149" s="181"/>
      <c r="L5149" s="181"/>
      <c r="M5149" s="181"/>
      <c r="N5149" s="181"/>
      <c r="O5149" s="181"/>
      <c r="P5149" s="181"/>
    </row>
    <row r="5150">
      <c r="B5150" s="292"/>
      <c r="C5150" s="181"/>
      <c r="D5150" s="181"/>
      <c r="E5150" s="181"/>
      <c r="F5150" s="181"/>
      <c r="G5150" s="181"/>
      <c r="H5150" s="181"/>
      <c r="I5150" s="181"/>
      <c r="J5150" s="181"/>
      <c r="K5150" s="181"/>
      <c r="L5150" s="181"/>
      <c r="M5150" s="181"/>
      <c r="N5150" s="181"/>
      <c r="O5150" s="181"/>
      <c r="P5150" s="181"/>
    </row>
    <row r="5151">
      <c r="B5151" s="292"/>
      <c r="C5151" s="181"/>
      <c r="D5151" s="181"/>
      <c r="E5151" s="181"/>
      <c r="F5151" s="181"/>
      <c r="G5151" s="181"/>
      <c r="H5151" s="181"/>
      <c r="I5151" s="181"/>
      <c r="J5151" s="181"/>
      <c r="K5151" s="181"/>
      <c r="L5151" s="181"/>
      <c r="M5151" s="181"/>
      <c r="N5151" s="181"/>
      <c r="O5151" s="181"/>
      <c r="P5151" s="181"/>
    </row>
    <row r="5152">
      <c r="B5152" s="292"/>
      <c r="C5152" s="181"/>
      <c r="D5152" s="181"/>
      <c r="E5152" s="181"/>
      <c r="F5152" s="181"/>
      <c r="G5152" s="181"/>
      <c r="H5152" s="181"/>
      <c r="I5152" s="181"/>
      <c r="J5152" s="181"/>
      <c r="K5152" s="181"/>
      <c r="L5152" s="181"/>
      <c r="M5152" s="181"/>
      <c r="N5152" s="181"/>
      <c r="O5152" s="181"/>
      <c r="P5152" s="181"/>
    </row>
    <row r="5153">
      <c r="B5153" s="292"/>
      <c r="C5153" s="181"/>
      <c r="D5153" s="181"/>
      <c r="E5153" s="181"/>
      <c r="F5153" s="181"/>
      <c r="G5153" s="181"/>
      <c r="H5153" s="181"/>
      <c r="I5153" s="181"/>
      <c r="J5153" s="181"/>
      <c r="K5153" s="181"/>
      <c r="L5153" s="181"/>
      <c r="M5153" s="181"/>
      <c r="N5153" s="181"/>
      <c r="O5153" s="181"/>
      <c r="P5153" s="181"/>
    </row>
    <row r="5154">
      <c r="B5154" s="292"/>
      <c r="C5154" s="181"/>
      <c r="D5154" s="181"/>
      <c r="E5154" s="181"/>
      <c r="F5154" s="181"/>
      <c r="G5154" s="181"/>
      <c r="H5154" s="181"/>
      <c r="I5154" s="181"/>
      <c r="J5154" s="181"/>
      <c r="K5154" s="181"/>
      <c r="L5154" s="181"/>
      <c r="M5154" s="181"/>
      <c r="N5154" s="181"/>
      <c r="O5154" s="181"/>
      <c r="P5154" s="181"/>
    </row>
    <row r="5155">
      <c r="B5155" s="292"/>
      <c r="C5155" s="181"/>
      <c r="D5155" s="181"/>
      <c r="E5155" s="181"/>
      <c r="F5155" s="181"/>
      <c r="G5155" s="181"/>
      <c r="H5155" s="181"/>
      <c r="I5155" s="181"/>
      <c r="J5155" s="181"/>
      <c r="K5155" s="181"/>
      <c r="L5155" s="181"/>
      <c r="M5155" s="181"/>
      <c r="N5155" s="181"/>
      <c r="O5155" s="181"/>
      <c r="P5155" s="181"/>
    </row>
    <row r="5156">
      <c r="B5156" s="292"/>
      <c r="C5156" s="181"/>
      <c r="D5156" s="181"/>
      <c r="E5156" s="181"/>
      <c r="F5156" s="181"/>
      <c r="G5156" s="181"/>
      <c r="H5156" s="181"/>
      <c r="I5156" s="181"/>
      <c r="J5156" s="181"/>
      <c r="K5156" s="181"/>
      <c r="L5156" s="181"/>
      <c r="M5156" s="181"/>
      <c r="N5156" s="181"/>
      <c r="O5156" s="181"/>
      <c r="P5156" s="181"/>
    </row>
    <row r="5157">
      <c r="B5157" s="292"/>
      <c r="C5157" s="181"/>
      <c r="D5157" s="181"/>
      <c r="E5157" s="181"/>
      <c r="F5157" s="181"/>
      <c r="G5157" s="181"/>
      <c r="H5157" s="181"/>
      <c r="I5157" s="181"/>
      <c r="J5157" s="181"/>
      <c r="K5157" s="181"/>
      <c r="L5157" s="181"/>
      <c r="M5157" s="181"/>
      <c r="N5157" s="181"/>
      <c r="O5157" s="181"/>
      <c r="P5157" s="181"/>
    </row>
    <row r="5158">
      <c r="B5158" s="292"/>
      <c r="C5158" s="181"/>
      <c r="D5158" s="181"/>
      <c r="E5158" s="181"/>
      <c r="F5158" s="181"/>
      <c r="G5158" s="181"/>
      <c r="H5158" s="181"/>
      <c r="I5158" s="181"/>
      <c r="J5158" s="181"/>
      <c r="K5158" s="181"/>
      <c r="L5158" s="181"/>
      <c r="M5158" s="181"/>
      <c r="N5158" s="181"/>
      <c r="O5158" s="181"/>
      <c r="P5158" s="181"/>
    </row>
    <row r="5159">
      <c r="B5159" s="292"/>
      <c r="C5159" s="181"/>
      <c r="D5159" s="181"/>
      <c r="E5159" s="181"/>
      <c r="F5159" s="181"/>
      <c r="G5159" s="181"/>
      <c r="H5159" s="181"/>
      <c r="I5159" s="181"/>
      <c r="J5159" s="181"/>
      <c r="K5159" s="181"/>
      <c r="L5159" s="181"/>
      <c r="M5159" s="181"/>
      <c r="N5159" s="181"/>
      <c r="O5159" s="181"/>
      <c r="P5159" s="181"/>
    </row>
    <row r="5160">
      <c r="B5160" s="292"/>
      <c r="C5160" s="181"/>
      <c r="D5160" s="181"/>
      <c r="E5160" s="181"/>
      <c r="F5160" s="181"/>
      <c r="G5160" s="181"/>
      <c r="H5160" s="181"/>
      <c r="I5160" s="181"/>
      <c r="J5160" s="181"/>
      <c r="K5160" s="181"/>
      <c r="L5160" s="181"/>
      <c r="M5160" s="181"/>
      <c r="N5160" s="181"/>
      <c r="O5160" s="181"/>
      <c r="P5160" s="181"/>
    </row>
    <row r="5161">
      <c r="B5161" s="292"/>
      <c r="C5161" s="181"/>
      <c r="D5161" s="181"/>
      <c r="E5161" s="181"/>
      <c r="F5161" s="181"/>
      <c r="G5161" s="181"/>
      <c r="H5161" s="181"/>
      <c r="I5161" s="181"/>
      <c r="J5161" s="181"/>
      <c r="K5161" s="181"/>
      <c r="L5161" s="181"/>
      <c r="M5161" s="181"/>
      <c r="N5161" s="181"/>
      <c r="O5161" s="181"/>
      <c r="P5161" s="181"/>
    </row>
    <row r="5162">
      <c r="B5162" s="292"/>
      <c r="C5162" s="181"/>
      <c r="D5162" s="181"/>
      <c r="E5162" s="181"/>
      <c r="F5162" s="181"/>
      <c r="G5162" s="181"/>
      <c r="H5162" s="181"/>
      <c r="I5162" s="181"/>
      <c r="J5162" s="181"/>
      <c r="K5162" s="181"/>
      <c r="L5162" s="181"/>
      <c r="M5162" s="181"/>
      <c r="N5162" s="181"/>
      <c r="O5162" s="181"/>
      <c r="P5162" s="181"/>
    </row>
    <row r="5163">
      <c r="B5163" s="292"/>
      <c r="C5163" s="181"/>
      <c r="D5163" s="181"/>
      <c r="E5163" s="181"/>
      <c r="F5163" s="181"/>
      <c r="G5163" s="181"/>
      <c r="H5163" s="181"/>
      <c r="I5163" s="181"/>
      <c r="J5163" s="181"/>
      <c r="K5163" s="181"/>
      <c r="L5163" s="181"/>
      <c r="M5163" s="181"/>
      <c r="N5163" s="181"/>
      <c r="O5163" s="181"/>
      <c r="P5163" s="181"/>
    </row>
    <row r="5164">
      <c r="B5164" s="292"/>
      <c r="C5164" s="181"/>
      <c r="D5164" s="181"/>
      <c r="E5164" s="181"/>
      <c r="F5164" s="181"/>
      <c r="G5164" s="181"/>
      <c r="H5164" s="181"/>
      <c r="I5164" s="181"/>
      <c r="J5164" s="181"/>
      <c r="K5164" s="181"/>
      <c r="L5164" s="181"/>
      <c r="M5164" s="181"/>
      <c r="N5164" s="181"/>
      <c r="O5164" s="181"/>
      <c r="P5164" s="181"/>
    </row>
    <row r="5165">
      <c r="B5165" s="292"/>
      <c r="C5165" s="181"/>
      <c r="D5165" s="181"/>
      <c r="E5165" s="181"/>
      <c r="F5165" s="181"/>
      <c r="G5165" s="181"/>
      <c r="H5165" s="181"/>
      <c r="I5165" s="181"/>
      <c r="J5165" s="181"/>
      <c r="K5165" s="181"/>
      <c r="L5165" s="181"/>
      <c r="M5165" s="181"/>
      <c r="N5165" s="181"/>
      <c r="O5165" s="181"/>
      <c r="P5165" s="181"/>
    </row>
    <row r="5166">
      <c r="B5166" s="292"/>
      <c r="C5166" s="181"/>
      <c r="D5166" s="181"/>
      <c r="E5166" s="181"/>
      <c r="F5166" s="181"/>
      <c r="G5166" s="181"/>
      <c r="H5166" s="181"/>
      <c r="I5166" s="181"/>
      <c r="J5166" s="181"/>
      <c r="K5166" s="181"/>
      <c r="L5166" s="181"/>
      <c r="M5166" s="181"/>
      <c r="N5166" s="181"/>
      <c r="O5166" s="181"/>
      <c r="P5166" s="181"/>
    </row>
    <row r="5167">
      <c r="B5167" s="292"/>
      <c r="C5167" s="181"/>
      <c r="D5167" s="181"/>
      <c r="E5167" s="181"/>
      <c r="F5167" s="181"/>
      <c r="G5167" s="181"/>
      <c r="H5167" s="181"/>
      <c r="I5167" s="181"/>
      <c r="J5167" s="181"/>
      <c r="K5167" s="181"/>
      <c r="L5167" s="181"/>
      <c r="M5167" s="181"/>
      <c r="N5167" s="181"/>
      <c r="O5167" s="181"/>
      <c r="P5167" s="181"/>
    </row>
    <row r="5168">
      <c r="B5168" s="292"/>
      <c r="C5168" s="181"/>
      <c r="D5168" s="181"/>
      <c r="E5168" s="181"/>
      <c r="F5168" s="181"/>
      <c r="G5168" s="181"/>
      <c r="H5168" s="181"/>
      <c r="I5168" s="181"/>
      <c r="J5168" s="181"/>
      <c r="K5168" s="181"/>
      <c r="L5168" s="181"/>
      <c r="M5168" s="181"/>
      <c r="N5168" s="181"/>
      <c r="O5168" s="181"/>
      <c r="P5168" s="181"/>
    </row>
    <row r="5169">
      <c r="B5169" s="292"/>
      <c r="C5169" s="181"/>
      <c r="D5169" s="181"/>
      <c r="E5169" s="181"/>
      <c r="F5169" s="181"/>
      <c r="G5169" s="181"/>
      <c r="H5169" s="181"/>
      <c r="I5169" s="181"/>
      <c r="J5169" s="181"/>
      <c r="K5169" s="181"/>
      <c r="L5169" s="181"/>
      <c r="M5169" s="181"/>
      <c r="N5169" s="181"/>
      <c r="O5169" s="181"/>
      <c r="P5169" s="181"/>
    </row>
    <row r="5170">
      <c r="B5170" s="292"/>
      <c r="C5170" s="181"/>
      <c r="D5170" s="181"/>
      <c r="E5170" s="181"/>
      <c r="F5170" s="181"/>
      <c r="G5170" s="181"/>
      <c r="H5170" s="181"/>
      <c r="I5170" s="181"/>
      <c r="J5170" s="181"/>
      <c r="K5170" s="181"/>
      <c r="L5170" s="181"/>
      <c r="M5170" s="181"/>
      <c r="N5170" s="181"/>
      <c r="O5170" s="181"/>
      <c r="P5170" s="181"/>
    </row>
    <row r="5171">
      <c r="B5171" s="292"/>
      <c r="C5171" s="181"/>
      <c r="D5171" s="181"/>
      <c r="E5171" s="181"/>
      <c r="F5171" s="181"/>
      <c r="G5171" s="181"/>
      <c r="H5171" s="181"/>
      <c r="I5171" s="181"/>
      <c r="J5171" s="181"/>
      <c r="K5171" s="181"/>
      <c r="L5171" s="181"/>
      <c r="M5171" s="181"/>
      <c r="N5171" s="181"/>
      <c r="O5171" s="181"/>
      <c r="P5171" s="181"/>
    </row>
    <row r="5172">
      <c r="B5172" s="292"/>
      <c r="C5172" s="181"/>
      <c r="D5172" s="181"/>
      <c r="E5172" s="181"/>
      <c r="F5172" s="181"/>
      <c r="G5172" s="181"/>
      <c r="H5172" s="181"/>
      <c r="I5172" s="181"/>
      <c r="J5172" s="181"/>
      <c r="K5172" s="181"/>
      <c r="L5172" s="181"/>
      <c r="M5172" s="181"/>
      <c r="N5172" s="181"/>
      <c r="O5172" s="181"/>
      <c r="P5172" s="181"/>
    </row>
    <row r="5173">
      <c r="B5173" s="292"/>
      <c r="C5173" s="181"/>
      <c r="D5173" s="181"/>
      <c r="E5173" s="181"/>
      <c r="F5173" s="181"/>
      <c r="G5173" s="181"/>
      <c r="H5173" s="181"/>
      <c r="I5173" s="181"/>
      <c r="J5173" s="181"/>
      <c r="K5173" s="181"/>
      <c r="L5173" s="181"/>
      <c r="M5173" s="181"/>
      <c r="N5173" s="181"/>
      <c r="O5173" s="181"/>
      <c r="P5173" s="181"/>
    </row>
    <row r="5174">
      <c r="B5174" s="292"/>
      <c r="C5174" s="181"/>
      <c r="D5174" s="181"/>
      <c r="E5174" s="181"/>
      <c r="F5174" s="181"/>
      <c r="G5174" s="181"/>
      <c r="H5174" s="181"/>
      <c r="I5174" s="181"/>
      <c r="J5174" s="181"/>
      <c r="K5174" s="181"/>
      <c r="L5174" s="181"/>
      <c r="M5174" s="181"/>
      <c r="N5174" s="181"/>
      <c r="O5174" s="181"/>
      <c r="P5174" s="181"/>
    </row>
    <row r="5175">
      <c r="B5175" s="292"/>
      <c r="C5175" s="181"/>
      <c r="D5175" s="181"/>
      <c r="E5175" s="181"/>
      <c r="F5175" s="181"/>
      <c r="G5175" s="181"/>
      <c r="H5175" s="181"/>
      <c r="I5175" s="181"/>
      <c r="J5175" s="181"/>
      <c r="K5175" s="181"/>
      <c r="L5175" s="181"/>
      <c r="M5175" s="181"/>
      <c r="N5175" s="181"/>
      <c r="O5175" s="181"/>
      <c r="P5175" s="181"/>
    </row>
    <row r="5176">
      <c r="B5176" s="292"/>
      <c r="C5176" s="181"/>
      <c r="D5176" s="181"/>
      <c r="E5176" s="181"/>
      <c r="F5176" s="181"/>
      <c r="G5176" s="181"/>
      <c r="H5176" s="181"/>
      <c r="I5176" s="181"/>
      <c r="J5176" s="181"/>
      <c r="K5176" s="181"/>
      <c r="L5176" s="181"/>
      <c r="M5176" s="181"/>
      <c r="N5176" s="181"/>
      <c r="O5176" s="181"/>
      <c r="P5176" s="181"/>
    </row>
    <row r="5177">
      <c r="B5177" s="292"/>
      <c r="C5177" s="181"/>
      <c r="D5177" s="181"/>
      <c r="E5177" s="181"/>
      <c r="F5177" s="181"/>
      <c r="G5177" s="181"/>
      <c r="H5177" s="181"/>
      <c r="I5177" s="181"/>
      <c r="J5177" s="181"/>
      <c r="K5177" s="181"/>
      <c r="L5177" s="181"/>
      <c r="M5177" s="181"/>
      <c r="N5177" s="181"/>
      <c r="O5177" s="181"/>
      <c r="P5177" s="181"/>
    </row>
    <row r="5178">
      <c r="B5178" s="292"/>
      <c r="C5178" s="181"/>
      <c r="D5178" s="181"/>
      <c r="E5178" s="181"/>
      <c r="F5178" s="181"/>
      <c r="G5178" s="181"/>
      <c r="H5178" s="181"/>
      <c r="I5178" s="181"/>
      <c r="J5178" s="181"/>
      <c r="K5178" s="181"/>
      <c r="L5178" s="181"/>
      <c r="M5178" s="181"/>
      <c r="N5178" s="181"/>
      <c r="O5178" s="181"/>
      <c r="P5178" s="181"/>
    </row>
    <row r="5179">
      <c r="B5179" s="292"/>
      <c r="C5179" s="181"/>
      <c r="D5179" s="181"/>
      <c r="E5179" s="181"/>
      <c r="F5179" s="181"/>
      <c r="G5179" s="181"/>
      <c r="H5179" s="181"/>
      <c r="I5179" s="181"/>
      <c r="J5179" s="181"/>
      <c r="K5179" s="181"/>
      <c r="L5179" s="181"/>
      <c r="M5179" s="181"/>
      <c r="N5179" s="181"/>
      <c r="O5179" s="181"/>
      <c r="P5179" s="181"/>
    </row>
    <row r="5180">
      <c r="B5180" s="292"/>
      <c r="C5180" s="181"/>
      <c r="D5180" s="181"/>
      <c r="E5180" s="181"/>
      <c r="F5180" s="181"/>
      <c r="G5180" s="181"/>
      <c r="H5180" s="181"/>
      <c r="I5180" s="181"/>
      <c r="J5180" s="181"/>
      <c r="K5180" s="181"/>
      <c r="L5180" s="181"/>
      <c r="M5180" s="181"/>
      <c r="N5180" s="181"/>
      <c r="O5180" s="181"/>
      <c r="P5180" s="181"/>
    </row>
    <row r="5181">
      <c r="B5181" s="292"/>
      <c r="C5181" s="181"/>
      <c r="D5181" s="181"/>
      <c r="E5181" s="181"/>
      <c r="F5181" s="181"/>
      <c r="G5181" s="181"/>
      <c r="H5181" s="181"/>
      <c r="I5181" s="181"/>
      <c r="J5181" s="181"/>
      <c r="K5181" s="181"/>
      <c r="L5181" s="181"/>
      <c r="M5181" s="181"/>
      <c r="N5181" s="181"/>
      <c r="O5181" s="181"/>
      <c r="P5181" s="181"/>
    </row>
    <row r="5182">
      <c r="B5182" s="292"/>
      <c r="C5182" s="181"/>
      <c r="D5182" s="181"/>
      <c r="E5182" s="181"/>
      <c r="F5182" s="181"/>
      <c r="G5182" s="181"/>
      <c r="H5182" s="181"/>
      <c r="I5182" s="181"/>
      <c r="J5182" s="181"/>
      <c r="K5182" s="181"/>
      <c r="L5182" s="181"/>
      <c r="M5182" s="181"/>
      <c r="N5182" s="181"/>
      <c r="O5182" s="181"/>
      <c r="P5182" s="181"/>
    </row>
    <row r="5183">
      <c r="B5183" s="292"/>
      <c r="C5183" s="181"/>
      <c r="D5183" s="181"/>
      <c r="E5183" s="181"/>
      <c r="F5183" s="181"/>
      <c r="G5183" s="181"/>
      <c r="H5183" s="181"/>
      <c r="I5183" s="181"/>
      <c r="J5183" s="181"/>
      <c r="K5183" s="181"/>
      <c r="L5183" s="181"/>
      <c r="M5183" s="181"/>
      <c r="N5183" s="181"/>
      <c r="O5183" s="181"/>
      <c r="P5183" s="181"/>
    </row>
    <row r="5184">
      <c r="B5184" s="292"/>
      <c r="C5184" s="181"/>
      <c r="D5184" s="181"/>
      <c r="E5184" s="181"/>
      <c r="F5184" s="181"/>
      <c r="G5184" s="181"/>
      <c r="H5184" s="181"/>
      <c r="I5184" s="181"/>
      <c r="J5184" s="181"/>
      <c r="K5184" s="181"/>
      <c r="L5184" s="181"/>
      <c r="M5184" s="181"/>
      <c r="N5184" s="181"/>
      <c r="O5184" s="181"/>
      <c r="P5184" s="181"/>
    </row>
    <row r="5185">
      <c r="B5185" s="292"/>
      <c r="C5185" s="181"/>
      <c r="D5185" s="181"/>
      <c r="E5185" s="181"/>
      <c r="F5185" s="181"/>
      <c r="G5185" s="181"/>
      <c r="H5185" s="181"/>
      <c r="I5185" s="181"/>
      <c r="J5185" s="181"/>
      <c r="K5185" s="181"/>
      <c r="L5185" s="181"/>
      <c r="M5185" s="181"/>
      <c r="N5185" s="181"/>
      <c r="O5185" s="181"/>
      <c r="P5185" s="181"/>
    </row>
    <row r="5186">
      <c r="B5186" s="292"/>
      <c r="C5186" s="181"/>
      <c r="D5186" s="181"/>
      <c r="E5186" s="181"/>
      <c r="F5186" s="181"/>
      <c r="G5186" s="181"/>
      <c r="H5186" s="181"/>
      <c r="I5186" s="181"/>
      <c r="J5186" s="181"/>
      <c r="K5186" s="181"/>
      <c r="L5186" s="181"/>
      <c r="M5186" s="181"/>
      <c r="N5186" s="181"/>
      <c r="O5186" s="181"/>
      <c r="P5186" s="181"/>
    </row>
    <row r="5187">
      <c r="B5187" s="292"/>
      <c r="C5187" s="181"/>
      <c r="D5187" s="181"/>
      <c r="E5187" s="181"/>
      <c r="F5187" s="181"/>
      <c r="G5187" s="181"/>
      <c r="H5187" s="181"/>
      <c r="I5187" s="181"/>
      <c r="J5187" s="181"/>
      <c r="K5187" s="181"/>
      <c r="L5187" s="181"/>
      <c r="M5187" s="181"/>
      <c r="N5187" s="181"/>
      <c r="O5187" s="181"/>
      <c r="P5187" s="181"/>
    </row>
    <row r="5188">
      <c r="B5188" s="292"/>
      <c r="C5188" s="181"/>
      <c r="D5188" s="181"/>
      <c r="E5188" s="181"/>
      <c r="F5188" s="181"/>
      <c r="G5188" s="181"/>
      <c r="H5188" s="181"/>
      <c r="I5188" s="181"/>
      <c r="J5188" s="181"/>
      <c r="K5188" s="181"/>
      <c r="L5188" s="181"/>
      <c r="M5188" s="181"/>
      <c r="N5188" s="181"/>
      <c r="O5188" s="181"/>
      <c r="P5188" s="181"/>
    </row>
    <row r="5189">
      <c r="B5189" s="292"/>
      <c r="C5189" s="181"/>
      <c r="D5189" s="181"/>
      <c r="E5189" s="181"/>
      <c r="F5189" s="181"/>
      <c r="G5189" s="181"/>
      <c r="H5189" s="181"/>
      <c r="I5189" s="181"/>
      <c r="J5189" s="181"/>
      <c r="K5189" s="181"/>
      <c r="L5189" s="181"/>
      <c r="M5189" s="181"/>
      <c r="N5189" s="181"/>
      <c r="O5189" s="181"/>
      <c r="P5189" s="181"/>
    </row>
    <row r="5190">
      <c r="B5190" s="292"/>
      <c r="C5190" s="181"/>
      <c r="D5190" s="181"/>
      <c r="E5190" s="181"/>
      <c r="F5190" s="181"/>
      <c r="G5190" s="181"/>
      <c r="H5190" s="181"/>
      <c r="I5190" s="181"/>
      <c r="J5190" s="181"/>
      <c r="K5190" s="181"/>
      <c r="L5190" s="181"/>
      <c r="M5190" s="181"/>
      <c r="N5190" s="181"/>
      <c r="O5190" s="181"/>
      <c r="P5190" s="181"/>
    </row>
    <row r="5191">
      <c r="B5191" s="292"/>
      <c r="C5191" s="181"/>
      <c r="D5191" s="181"/>
      <c r="E5191" s="181"/>
      <c r="F5191" s="181"/>
      <c r="G5191" s="181"/>
      <c r="H5191" s="181"/>
      <c r="I5191" s="181"/>
      <c r="J5191" s="181"/>
      <c r="K5191" s="181"/>
      <c r="L5191" s="181"/>
      <c r="M5191" s="181"/>
      <c r="N5191" s="181"/>
      <c r="O5191" s="181"/>
      <c r="P5191" s="181"/>
    </row>
    <row r="5192">
      <c r="B5192" s="292"/>
      <c r="C5192" s="181"/>
      <c r="D5192" s="181"/>
      <c r="E5192" s="181"/>
      <c r="F5192" s="181"/>
      <c r="G5192" s="181"/>
      <c r="H5192" s="181"/>
      <c r="I5192" s="181"/>
      <c r="J5192" s="181"/>
      <c r="K5192" s="181"/>
      <c r="L5192" s="181"/>
      <c r="M5192" s="181"/>
      <c r="N5192" s="181"/>
      <c r="O5192" s="181"/>
      <c r="P5192" s="181"/>
    </row>
    <row r="5193">
      <c r="B5193" s="292"/>
      <c r="C5193" s="181"/>
      <c r="D5193" s="181"/>
      <c r="E5193" s="181"/>
      <c r="F5193" s="181"/>
      <c r="G5193" s="181"/>
      <c r="H5193" s="181"/>
      <c r="I5193" s="181"/>
      <c r="J5193" s="181"/>
      <c r="K5193" s="181"/>
      <c r="L5193" s="181"/>
      <c r="M5193" s="181"/>
      <c r="N5193" s="181"/>
      <c r="O5193" s="181"/>
      <c r="P5193" s="181"/>
    </row>
    <row r="5194">
      <c r="B5194" s="292"/>
      <c r="C5194" s="181"/>
      <c r="D5194" s="181"/>
      <c r="E5194" s="181"/>
      <c r="F5194" s="181"/>
      <c r="G5194" s="181"/>
      <c r="H5194" s="181"/>
      <c r="I5194" s="181"/>
      <c r="J5194" s="181"/>
      <c r="K5194" s="181"/>
      <c r="L5194" s="181"/>
      <c r="M5194" s="181"/>
      <c r="N5194" s="181"/>
      <c r="O5194" s="181"/>
      <c r="P5194" s="181"/>
    </row>
    <row r="5195">
      <c r="B5195" s="292"/>
      <c r="C5195" s="181"/>
      <c r="D5195" s="181"/>
      <c r="E5195" s="181"/>
      <c r="F5195" s="181"/>
      <c r="G5195" s="181"/>
      <c r="H5195" s="181"/>
      <c r="I5195" s="181"/>
      <c r="J5195" s="181"/>
      <c r="K5195" s="181"/>
      <c r="L5195" s="181"/>
      <c r="M5195" s="181"/>
      <c r="N5195" s="181"/>
      <c r="O5195" s="181"/>
      <c r="P5195" s="181"/>
    </row>
    <row r="5196">
      <c r="B5196" s="292"/>
      <c r="C5196" s="181"/>
      <c r="D5196" s="181"/>
      <c r="E5196" s="181"/>
      <c r="F5196" s="181"/>
      <c r="G5196" s="181"/>
      <c r="H5196" s="181"/>
      <c r="I5196" s="181"/>
      <c r="J5196" s="181"/>
      <c r="K5196" s="181"/>
      <c r="L5196" s="181"/>
      <c r="M5196" s="181"/>
      <c r="N5196" s="181"/>
      <c r="O5196" s="181"/>
      <c r="P5196" s="181"/>
    </row>
    <row r="5197">
      <c r="B5197" s="292"/>
      <c r="C5197" s="181"/>
      <c r="D5197" s="181"/>
      <c r="E5197" s="181"/>
      <c r="F5197" s="181"/>
      <c r="G5197" s="181"/>
      <c r="H5197" s="181"/>
      <c r="I5197" s="181"/>
      <c r="J5197" s="181"/>
      <c r="K5197" s="181"/>
      <c r="L5197" s="181"/>
      <c r="M5197" s="181"/>
      <c r="N5197" s="181"/>
      <c r="O5197" s="181"/>
      <c r="P5197" s="181"/>
    </row>
    <row r="5198">
      <c r="B5198" s="292"/>
      <c r="C5198" s="181"/>
      <c r="D5198" s="181"/>
      <c r="E5198" s="181"/>
      <c r="F5198" s="181"/>
      <c r="G5198" s="181"/>
      <c r="H5198" s="181"/>
      <c r="I5198" s="181"/>
      <c r="J5198" s="181"/>
      <c r="K5198" s="181"/>
      <c r="L5198" s="181"/>
      <c r="M5198" s="181"/>
      <c r="N5198" s="181"/>
      <c r="O5198" s="181"/>
      <c r="P5198" s="181"/>
    </row>
    <row r="5199">
      <c r="B5199" s="292"/>
      <c r="C5199" s="181"/>
      <c r="D5199" s="181"/>
      <c r="E5199" s="181"/>
      <c r="F5199" s="181"/>
      <c r="G5199" s="181"/>
      <c r="H5199" s="181"/>
      <c r="I5199" s="181"/>
      <c r="J5199" s="181"/>
      <c r="K5199" s="181"/>
      <c r="L5199" s="181"/>
      <c r="M5199" s="181"/>
      <c r="N5199" s="181"/>
      <c r="O5199" s="181"/>
      <c r="P5199" s="181"/>
    </row>
    <row r="5200">
      <c r="B5200" s="292"/>
      <c r="C5200" s="181"/>
      <c r="D5200" s="181"/>
      <c r="E5200" s="181"/>
      <c r="F5200" s="181"/>
      <c r="G5200" s="181"/>
      <c r="H5200" s="181"/>
      <c r="I5200" s="181"/>
      <c r="J5200" s="181"/>
      <c r="K5200" s="181"/>
      <c r="L5200" s="181"/>
      <c r="M5200" s="181"/>
      <c r="N5200" s="181"/>
      <c r="O5200" s="181"/>
      <c r="P5200" s="181"/>
    </row>
    <row r="5201">
      <c r="B5201" s="292"/>
      <c r="C5201" s="181"/>
      <c r="D5201" s="181"/>
      <c r="E5201" s="181"/>
      <c r="F5201" s="181"/>
      <c r="G5201" s="181"/>
      <c r="H5201" s="181"/>
      <c r="I5201" s="181"/>
      <c r="J5201" s="181"/>
      <c r="K5201" s="181"/>
      <c r="L5201" s="181"/>
      <c r="M5201" s="181"/>
      <c r="N5201" s="181"/>
      <c r="O5201" s="181"/>
      <c r="P5201" s="181"/>
    </row>
    <row r="5202">
      <c r="B5202" s="292"/>
      <c r="C5202" s="181"/>
      <c r="D5202" s="181"/>
      <c r="E5202" s="181"/>
      <c r="F5202" s="181"/>
      <c r="G5202" s="181"/>
      <c r="H5202" s="181"/>
      <c r="I5202" s="181"/>
      <c r="J5202" s="181"/>
      <c r="K5202" s="181"/>
      <c r="L5202" s="181"/>
      <c r="M5202" s="181"/>
      <c r="N5202" s="181"/>
      <c r="O5202" s="181"/>
      <c r="P5202" s="181"/>
    </row>
    <row r="5203">
      <c r="B5203" s="292"/>
      <c r="C5203" s="181"/>
      <c r="D5203" s="181"/>
      <c r="E5203" s="181"/>
      <c r="F5203" s="181"/>
      <c r="G5203" s="181"/>
      <c r="H5203" s="181"/>
      <c r="I5203" s="181"/>
      <c r="J5203" s="181"/>
      <c r="K5203" s="181"/>
      <c r="L5203" s="181"/>
      <c r="M5203" s="181"/>
      <c r="N5203" s="181"/>
      <c r="O5203" s="181"/>
      <c r="P5203" s="181"/>
    </row>
    <row r="5204">
      <c r="B5204" s="292"/>
      <c r="C5204" s="181"/>
      <c r="D5204" s="181"/>
      <c r="E5204" s="181"/>
      <c r="F5204" s="181"/>
      <c r="G5204" s="181"/>
      <c r="H5204" s="181"/>
      <c r="I5204" s="181"/>
      <c r="J5204" s="181"/>
      <c r="K5204" s="181"/>
      <c r="L5204" s="181"/>
      <c r="M5204" s="181"/>
      <c r="N5204" s="181"/>
      <c r="O5204" s="181"/>
      <c r="P5204" s="181"/>
    </row>
    <row r="5205">
      <c r="B5205" s="292"/>
      <c r="C5205" s="181"/>
      <c r="D5205" s="181"/>
      <c r="E5205" s="181"/>
      <c r="F5205" s="181"/>
      <c r="G5205" s="181"/>
      <c r="H5205" s="181"/>
      <c r="I5205" s="181"/>
      <c r="J5205" s="181"/>
      <c r="K5205" s="181"/>
      <c r="L5205" s="181"/>
      <c r="M5205" s="181"/>
      <c r="N5205" s="181"/>
      <c r="O5205" s="181"/>
      <c r="P5205" s="181"/>
    </row>
    <row r="5206">
      <c r="B5206" s="292"/>
      <c r="C5206" s="181"/>
      <c r="D5206" s="181"/>
      <c r="E5206" s="181"/>
      <c r="F5206" s="181"/>
      <c r="G5206" s="181"/>
      <c r="H5206" s="181"/>
      <c r="I5206" s="181"/>
      <c r="J5206" s="181"/>
      <c r="K5206" s="181"/>
      <c r="L5206" s="181"/>
      <c r="M5206" s="181"/>
      <c r="N5206" s="181"/>
      <c r="O5206" s="181"/>
      <c r="P5206" s="181"/>
    </row>
    <row r="5207">
      <c r="B5207" s="292"/>
      <c r="C5207" s="181"/>
      <c r="D5207" s="181"/>
      <c r="E5207" s="181"/>
      <c r="F5207" s="181"/>
      <c r="G5207" s="181"/>
      <c r="H5207" s="181"/>
      <c r="I5207" s="181"/>
      <c r="J5207" s="181"/>
      <c r="K5207" s="181"/>
      <c r="L5207" s="181"/>
      <c r="M5207" s="181"/>
      <c r="N5207" s="181"/>
      <c r="O5207" s="181"/>
      <c r="P5207" s="181"/>
    </row>
    <row r="5208">
      <c r="B5208" s="292"/>
      <c r="C5208" s="181"/>
      <c r="D5208" s="181"/>
      <c r="E5208" s="181"/>
      <c r="F5208" s="181"/>
      <c r="G5208" s="181"/>
      <c r="H5208" s="181"/>
      <c r="I5208" s="181"/>
      <c r="J5208" s="181"/>
      <c r="K5208" s="181"/>
      <c r="L5208" s="181"/>
      <c r="M5208" s="181"/>
      <c r="N5208" s="181"/>
      <c r="O5208" s="181"/>
      <c r="P5208" s="181"/>
    </row>
    <row r="5209">
      <c r="B5209" s="292"/>
      <c r="C5209" s="181"/>
      <c r="D5209" s="181"/>
      <c r="E5209" s="181"/>
      <c r="F5209" s="181"/>
      <c r="G5209" s="181"/>
      <c r="H5209" s="181"/>
      <c r="I5209" s="181"/>
      <c r="J5209" s="181"/>
      <c r="K5209" s="181"/>
      <c r="L5209" s="181"/>
      <c r="M5209" s="181"/>
      <c r="N5209" s="181"/>
      <c r="O5209" s="181"/>
      <c r="P5209" s="181"/>
    </row>
    <row r="5210">
      <c r="B5210" s="292"/>
      <c r="C5210" s="181"/>
      <c r="D5210" s="181"/>
      <c r="E5210" s="181"/>
      <c r="F5210" s="181"/>
      <c r="G5210" s="181"/>
      <c r="H5210" s="181"/>
      <c r="I5210" s="181"/>
      <c r="J5210" s="181"/>
      <c r="K5210" s="181"/>
      <c r="L5210" s="181"/>
      <c r="M5210" s="181"/>
      <c r="N5210" s="181"/>
      <c r="O5210" s="181"/>
      <c r="P5210" s="181"/>
    </row>
    <row r="5211">
      <c r="B5211" s="292"/>
      <c r="C5211" s="181"/>
      <c r="D5211" s="181"/>
      <c r="E5211" s="181"/>
      <c r="F5211" s="181"/>
      <c r="G5211" s="181"/>
      <c r="H5211" s="181"/>
      <c r="I5211" s="181"/>
      <c r="J5211" s="181"/>
      <c r="K5211" s="181"/>
      <c r="L5211" s="181"/>
      <c r="M5211" s="181"/>
      <c r="N5211" s="181"/>
      <c r="O5211" s="181"/>
      <c r="P5211" s="181"/>
    </row>
    <row r="5212">
      <c r="B5212" s="292"/>
      <c r="C5212" s="181"/>
      <c r="D5212" s="181"/>
      <c r="E5212" s="181"/>
      <c r="F5212" s="181"/>
      <c r="G5212" s="181"/>
      <c r="H5212" s="181"/>
      <c r="I5212" s="181"/>
      <c r="J5212" s="181"/>
      <c r="K5212" s="181"/>
      <c r="L5212" s="181"/>
      <c r="M5212" s="181"/>
      <c r="N5212" s="181"/>
      <c r="O5212" s="181"/>
      <c r="P5212" s="181"/>
    </row>
    <row r="5213">
      <c r="B5213" s="292"/>
      <c r="C5213" s="181"/>
      <c r="D5213" s="181"/>
      <c r="E5213" s="181"/>
      <c r="F5213" s="181"/>
      <c r="G5213" s="181"/>
      <c r="H5213" s="181"/>
      <c r="I5213" s="181"/>
      <c r="J5213" s="181"/>
      <c r="K5213" s="181"/>
      <c r="L5213" s="181"/>
      <c r="M5213" s="181"/>
      <c r="N5213" s="181"/>
      <c r="O5213" s="181"/>
      <c r="P5213" s="181"/>
    </row>
    <row r="5214">
      <c r="B5214" s="292"/>
      <c r="C5214" s="181"/>
      <c r="D5214" s="181"/>
      <c r="E5214" s="181"/>
      <c r="F5214" s="181"/>
      <c r="G5214" s="181"/>
      <c r="H5214" s="181"/>
      <c r="I5214" s="181"/>
      <c r="J5214" s="181"/>
      <c r="K5214" s="181"/>
      <c r="L5214" s="181"/>
      <c r="M5214" s="181"/>
      <c r="N5214" s="181"/>
      <c r="O5214" s="181"/>
      <c r="P5214" s="181"/>
    </row>
    <row r="5215">
      <c r="B5215" s="292"/>
      <c r="C5215" s="181"/>
      <c r="D5215" s="181"/>
      <c r="E5215" s="181"/>
      <c r="F5215" s="181"/>
      <c r="G5215" s="181"/>
      <c r="H5215" s="181"/>
      <c r="I5215" s="181"/>
      <c r="J5215" s="181"/>
      <c r="K5215" s="181"/>
      <c r="L5215" s="181"/>
      <c r="M5215" s="181"/>
      <c r="N5215" s="181"/>
      <c r="O5215" s="181"/>
      <c r="P5215" s="181"/>
    </row>
    <row r="5216">
      <c r="B5216" s="292"/>
      <c r="C5216" s="181"/>
      <c r="D5216" s="181"/>
      <c r="E5216" s="181"/>
      <c r="F5216" s="181"/>
      <c r="G5216" s="181"/>
      <c r="H5216" s="181"/>
      <c r="I5216" s="181"/>
      <c r="J5216" s="181"/>
      <c r="K5216" s="181"/>
      <c r="L5216" s="181"/>
      <c r="M5216" s="181"/>
      <c r="N5216" s="181"/>
      <c r="O5216" s="181"/>
      <c r="P5216" s="181"/>
    </row>
    <row r="5217">
      <c r="B5217" s="292"/>
      <c r="C5217" s="181"/>
      <c r="D5217" s="181"/>
      <c r="E5217" s="181"/>
      <c r="F5217" s="181"/>
      <c r="G5217" s="181"/>
      <c r="H5217" s="181"/>
      <c r="I5217" s="181"/>
      <c r="J5217" s="181"/>
      <c r="K5217" s="181"/>
      <c r="L5217" s="181"/>
      <c r="M5217" s="181"/>
      <c r="N5217" s="181"/>
      <c r="O5217" s="181"/>
      <c r="P5217" s="181"/>
    </row>
    <row r="5218">
      <c r="B5218" s="292"/>
      <c r="C5218" s="181"/>
      <c r="D5218" s="181"/>
      <c r="E5218" s="181"/>
      <c r="F5218" s="181"/>
      <c r="G5218" s="181"/>
      <c r="H5218" s="181"/>
      <c r="I5218" s="181"/>
      <c r="J5218" s="181"/>
      <c r="K5218" s="181"/>
      <c r="L5218" s="181"/>
      <c r="M5218" s="181"/>
      <c r="N5218" s="181"/>
      <c r="O5218" s="181"/>
      <c r="P5218" s="181"/>
    </row>
    <row r="5219">
      <c r="B5219" s="292"/>
      <c r="C5219" s="181"/>
      <c r="D5219" s="181"/>
      <c r="E5219" s="181"/>
      <c r="F5219" s="181"/>
      <c r="G5219" s="181"/>
      <c r="H5219" s="181"/>
      <c r="I5219" s="181"/>
      <c r="J5219" s="181"/>
      <c r="K5219" s="181"/>
      <c r="L5219" s="181"/>
      <c r="M5219" s="181"/>
      <c r="N5219" s="181"/>
      <c r="O5219" s="181"/>
      <c r="P5219" s="181"/>
    </row>
    <row r="5220">
      <c r="B5220" s="292"/>
      <c r="C5220" s="181"/>
      <c r="D5220" s="181"/>
      <c r="E5220" s="181"/>
      <c r="F5220" s="181"/>
      <c r="G5220" s="181"/>
      <c r="H5220" s="181"/>
      <c r="I5220" s="181"/>
      <c r="J5220" s="181"/>
      <c r="K5220" s="181"/>
      <c r="L5220" s="181"/>
      <c r="M5220" s="181"/>
      <c r="N5220" s="181"/>
      <c r="O5220" s="181"/>
      <c r="P5220" s="181"/>
    </row>
    <row r="5221">
      <c r="B5221" s="292"/>
      <c r="C5221" s="181"/>
      <c r="D5221" s="181"/>
      <c r="E5221" s="181"/>
      <c r="F5221" s="181"/>
      <c r="G5221" s="181"/>
      <c r="H5221" s="181"/>
      <c r="I5221" s="181"/>
      <c r="J5221" s="181"/>
      <c r="K5221" s="181"/>
      <c r="L5221" s="181"/>
      <c r="M5221" s="181"/>
      <c r="N5221" s="181"/>
      <c r="O5221" s="181"/>
      <c r="P5221" s="181"/>
    </row>
    <row r="5222">
      <c r="B5222" s="292"/>
      <c r="C5222" s="181"/>
      <c r="D5222" s="181"/>
      <c r="E5222" s="181"/>
      <c r="F5222" s="181"/>
      <c r="G5222" s="181"/>
      <c r="H5222" s="181"/>
      <c r="I5222" s="181"/>
      <c r="J5222" s="181"/>
      <c r="K5222" s="181"/>
      <c r="L5222" s="181"/>
      <c r="M5222" s="181"/>
      <c r="N5222" s="181"/>
      <c r="O5222" s="181"/>
      <c r="P5222" s="181"/>
    </row>
    <row r="5223">
      <c r="B5223" s="292"/>
      <c r="C5223" s="181"/>
      <c r="D5223" s="181"/>
      <c r="E5223" s="181"/>
      <c r="F5223" s="181"/>
      <c r="G5223" s="181"/>
      <c r="H5223" s="181"/>
      <c r="I5223" s="181"/>
      <c r="J5223" s="181"/>
      <c r="K5223" s="181"/>
      <c r="L5223" s="181"/>
      <c r="M5223" s="181"/>
      <c r="N5223" s="181"/>
      <c r="O5223" s="181"/>
      <c r="P5223" s="181"/>
    </row>
    <row r="5224">
      <c r="B5224" s="292"/>
      <c r="C5224" s="181"/>
      <c r="D5224" s="181"/>
      <c r="E5224" s="181"/>
      <c r="F5224" s="181"/>
      <c r="G5224" s="181"/>
      <c r="H5224" s="181"/>
      <c r="I5224" s="181"/>
      <c r="J5224" s="181"/>
      <c r="K5224" s="181"/>
      <c r="L5224" s="181"/>
      <c r="M5224" s="181"/>
      <c r="N5224" s="181"/>
      <c r="O5224" s="181"/>
      <c r="P5224" s="181"/>
    </row>
    <row r="5225">
      <c r="B5225" s="292"/>
      <c r="C5225" s="181"/>
      <c r="D5225" s="181"/>
      <c r="E5225" s="181"/>
      <c r="F5225" s="181"/>
      <c r="G5225" s="181"/>
      <c r="H5225" s="181"/>
      <c r="I5225" s="181"/>
      <c r="J5225" s="181"/>
      <c r="K5225" s="181"/>
      <c r="L5225" s="181"/>
      <c r="M5225" s="181"/>
      <c r="N5225" s="181"/>
      <c r="O5225" s="181"/>
      <c r="P5225" s="181"/>
    </row>
    <row r="5226">
      <c r="B5226" s="292"/>
      <c r="C5226" s="181"/>
      <c r="D5226" s="181"/>
      <c r="E5226" s="181"/>
      <c r="F5226" s="181"/>
      <c r="G5226" s="181"/>
      <c r="H5226" s="181"/>
      <c r="I5226" s="181"/>
      <c r="J5226" s="181"/>
      <c r="K5226" s="181"/>
      <c r="L5226" s="181"/>
      <c r="M5226" s="181"/>
      <c r="N5226" s="181"/>
      <c r="O5226" s="181"/>
      <c r="P5226" s="181"/>
    </row>
    <row r="5227">
      <c r="B5227" s="292"/>
      <c r="C5227" s="181"/>
      <c r="D5227" s="181"/>
      <c r="E5227" s="181"/>
      <c r="F5227" s="181"/>
      <c r="G5227" s="181"/>
      <c r="H5227" s="181"/>
      <c r="I5227" s="181"/>
      <c r="J5227" s="181"/>
      <c r="K5227" s="181"/>
      <c r="L5227" s="181"/>
      <c r="M5227" s="181"/>
      <c r="N5227" s="181"/>
      <c r="O5227" s="181"/>
      <c r="P5227" s="181"/>
    </row>
    <row r="5228">
      <c r="B5228" s="292"/>
      <c r="C5228" s="181"/>
      <c r="D5228" s="181"/>
      <c r="E5228" s="181"/>
      <c r="F5228" s="181"/>
      <c r="G5228" s="181"/>
      <c r="H5228" s="181"/>
      <c r="I5228" s="181"/>
      <c r="J5228" s="181"/>
      <c r="K5228" s="181"/>
      <c r="L5228" s="181"/>
      <c r="M5228" s="181"/>
      <c r="N5228" s="181"/>
      <c r="O5228" s="181"/>
      <c r="P5228" s="181"/>
    </row>
    <row r="5229">
      <c r="B5229" s="292"/>
      <c r="C5229" s="181"/>
      <c r="D5229" s="181"/>
      <c r="E5229" s="181"/>
      <c r="F5229" s="181"/>
      <c r="G5229" s="181"/>
      <c r="H5229" s="181"/>
      <c r="I5229" s="181"/>
      <c r="J5229" s="181"/>
      <c r="K5229" s="181"/>
      <c r="L5229" s="181"/>
      <c r="M5229" s="181"/>
      <c r="N5229" s="181"/>
      <c r="O5229" s="181"/>
      <c r="P5229" s="181"/>
    </row>
    <row r="5230">
      <c r="B5230" s="292"/>
      <c r="C5230" s="181"/>
      <c r="D5230" s="181"/>
      <c r="E5230" s="181"/>
      <c r="F5230" s="181"/>
      <c r="G5230" s="181"/>
      <c r="H5230" s="181"/>
      <c r="I5230" s="181"/>
      <c r="J5230" s="181"/>
      <c r="K5230" s="181"/>
      <c r="L5230" s="181"/>
      <c r="M5230" s="181"/>
      <c r="N5230" s="181"/>
      <c r="O5230" s="181"/>
      <c r="P5230" s="181"/>
    </row>
    <row r="5231">
      <c r="B5231" s="292"/>
      <c r="C5231" s="181"/>
      <c r="D5231" s="181"/>
      <c r="E5231" s="181"/>
      <c r="F5231" s="181"/>
      <c r="G5231" s="181"/>
      <c r="H5231" s="181"/>
      <c r="I5231" s="181"/>
      <c r="J5231" s="181"/>
      <c r="K5231" s="181"/>
      <c r="L5231" s="181"/>
      <c r="M5231" s="181"/>
      <c r="N5231" s="181"/>
      <c r="O5231" s="181"/>
      <c r="P5231" s="181"/>
    </row>
    <row r="5232">
      <c r="B5232" s="292"/>
      <c r="C5232" s="181"/>
      <c r="D5232" s="181"/>
      <c r="E5232" s="181"/>
      <c r="F5232" s="181"/>
      <c r="G5232" s="181"/>
      <c r="H5232" s="181"/>
      <c r="I5232" s="181"/>
      <c r="J5232" s="181"/>
      <c r="K5232" s="181"/>
      <c r="L5232" s="181"/>
      <c r="M5232" s="181"/>
      <c r="N5232" s="181"/>
      <c r="O5232" s="181"/>
      <c r="P5232" s="181"/>
    </row>
    <row r="5233">
      <c r="B5233" s="292"/>
      <c r="C5233" s="181"/>
      <c r="D5233" s="181"/>
      <c r="E5233" s="181"/>
      <c r="F5233" s="181"/>
      <c r="G5233" s="181"/>
      <c r="H5233" s="181"/>
      <c r="I5233" s="181"/>
      <c r="J5233" s="181"/>
      <c r="K5233" s="181"/>
      <c r="L5233" s="181"/>
      <c r="M5233" s="181"/>
      <c r="N5233" s="181"/>
      <c r="O5233" s="181"/>
      <c r="P5233" s="181"/>
    </row>
    <row r="5234">
      <c r="B5234" s="292"/>
      <c r="C5234" s="181"/>
      <c r="D5234" s="181"/>
      <c r="E5234" s="181"/>
      <c r="F5234" s="181"/>
      <c r="G5234" s="181"/>
      <c r="H5234" s="181"/>
      <c r="I5234" s="181"/>
      <c r="J5234" s="181"/>
      <c r="K5234" s="181"/>
      <c r="L5234" s="181"/>
      <c r="M5234" s="181"/>
      <c r="N5234" s="181"/>
      <c r="O5234" s="181"/>
      <c r="P5234" s="181"/>
    </row>
    <row r="5235">
      <c r="B5235" s="292"/>
      <c r="C5235" s="181"/>
      <c r="D5235" s="181"/>
      <c r="E5235" s="181"/>
      <c r="F5235" s="181"/>
      <c r="G5235" s="181"/>
      <c r="H5235" s="181"/>
      <c r="I5235" s="181"/>
      <c r="J5235" s="181"/>
      <c r="K5235" s="181"/>
      <c r="L5235" s="181"/>
      <c r="M5235" s="181"/>
      <c r="N5235" s="181"/>
      <c r="O5235" s="181"/>
      <c r="P5235" s="181"/>
    </row>
    <row r="5236">
      <c r="B5236" s="292"/>
      <c r="C5236" s="181"/>
      <c r="D5236" s="181"/>
      <c r="E5236" s="181"/>
      <c r="F5236" s="181"/>
      <c r="G5236" s="181"/>
      <c r="H5236" s="181"/>
      <c r="I5236" s="181"/>
      <c r="J5236" s="181"/>
      <c r="K5236" s="181"/>
      <c r="L5236" s="181"/>
      <c r="M5236" s="181"/>
      <c r="N5236" s="181"/>
      <c r="O5236" s="181"/>
      <c r="P5236" s="181"/>
    </row>
    <row r="5237">
      <c r="B5237" s="292"/>
      <c r="C5237" s="181"/>
      <c r="D5237" s="181"/>
      <c r="E5237" s="181"/>
      <c r="F5237" s="181"/>
      <c r="G5237" s="181"/>
      <c r="H5237" s="181"/>
      <c r="I5237" s="181"/>
      <c r="J5237" s="181"/>
      <c r="K5237" s="181"/>
      <c r="L5237" s="181"/>
      <c r="M5237" s="181"/>
      <c r="N5237" s="181"/>
      <c r="O5237" s="181"/>
      <c r="P5237" s="181"/>
    </row>
    <row r="5238">
      <c r="B5238" s="292"/>
      <c r="C5238" s="181"/>
      <c r="D5238" s="181"/>
      <c r="E5238" s="181"/>
      <c r="F5238" s="181"/>
      <c r="G5238" s="181"/>
      <c r="H5238" s="181"/>
      <c r="I5238" s="181"/>
      <c r="J5238" s="181"/>
      <c r="K5238" s="181"/>
      <c r="L5238" s="181"/>
      <c r="M5238" s="181"/>
      <c r="N5238" s="181"/>
      <c r="O5238" s="181"/>
      <c r="P5238" s="181"/>
    </row>
    <row r="5239">
      <c r="B5239" s="292"/>
      <c r="C5239" s="181"/>
      <c r="D5239" s="181"/>
      <c r="E5239" s="181"/>
      <c r="F5239" s="181"/>
      <c r="G5239" s="181"/>
      <c r="H5239" s="181"/>
      <c r="I5239" s="181"/>
      <c r="J5239" s="181"/>
      <c r="K5239" s="181"/>
      <c r="L5239" s="181"/>
      <c r="M5239" s="181"/>
      <c r="N5239" s="181"/>
      <c r="O5239" s="181"/>
      <c r="P5239" s="181"/>
    </row>
    <row r="5240">
      <c r="B5240" s="292"/>
      <c r="C5240" s="181"/>
      <c r="D5240" s="181"/>
      <c r="E5240" s="181"/>
      <c r="F5240" s="181"/>
      <c r="G5240" s="181"/>
      <c r="H5240" s="181"/>
      <c r="I5240" s="181"/>
      <c r="J5240" s="181"/>
      <c r="K5240" s="181"/>
      <c r="L5240" s="181"/>
      <c r="M5240" s="181"/>
      <c r="N5240" s="181"/>
      <c r="O5240" s="181"/>
      <c r="P5240" s="181"/>
    </row>
    <row r="5241">
      <c r="B5241" s="292"/>
      <c r="C5241" s="181"/>
      <c r="D5241" s="181"/>
      <c r="E5241" s="181"/>
      <c r="F5241" s="181"/>
      <c r="G5241" s="181"/>
      <c r="H5241" s="181"/>
      <c r="I5241" s="181"/>
      <c r="J5241" s="181"/>
      <c r="K5241" s="181"/>
      <c r="L5241" s="181"/>
      <c r="M5241" s="181"/>
      <c r="N5241" s="181"/>
      <c r="O5241" s="181"/>
      <c r="P5241" s="181"/>
    </row>
    <row r="5242">
      <c r="B5242" s="292"/>
      <c r="C5242" s="181"/>
      <c r="D5242" s="181"/>
      <c r="E5242" s="181"/>
      <c r="F5242" s="181"/>
      <c r="G5242" s="181"/>
      <c r="H5242" s="181"/>
      <c r="I5242" s="181"/>
      <c r="J5242" s="181"/>
      <c r="K5242" s="181"/>
      <c r="L5242" s="181"/>
      <c r="M5242" s="181"/>
      <c r="N5242" s="181"/>
      <c r="O5242" s="181"/>
      <c r="P5242" s="181"/>
    </row>
    <row r="5243">
      <c r="B5243" s="292"/>
      <c r="C5243" s="181"/>
      <c r="D5243" s="181"/>
      <c r="E5243" s="181"/>
      <c r="F5243" s="181"/>
      <c r="G5243" s="181"/>
      <c r="H5243" s="181"/>
      <c r="I5243" s="181"/>
      <c r="J5243" s="181"/>
      <c r="K5243" s="181"/>
      <c r="L5243" s="181"/>
      <c r="M5243" s="181"/>
      <c r="N5243" s="181"/>
      <c r="O5243" s="181"/>
      <c r="P5243" s="181"/>
    </row>
    <row r="5244">
      <c r="B5244" s="292"/>
      <c r="C5244" s="181"/>
      <c r="D5244" s="181"/>
      <c r="E5244" s="181"/>
      <c r="F5244" s="181"/>
      <c r="G5244" s="181"/>
      <c r="H5244" s="181"/>
      <c r="I5244" s="181"/>
      <c r="J5244" s="181"/>
      <c r="K5244" s="181"/>
      <c r="L5244" s="181"/>
      <c r="M5244" s="181"/>
      <c r="N5244" s="181"/>
      <c r="O5244" s="181"/>
      <c r="P5244" s="181"/>
    </row>
    <row r="5245">
      <c r="B5245" s="292"/>
      <c r="C5245" s="181"/>
      <c r="D5245" s="181"/>
      <c r="E5245" s="181"/>
      <c r="F5245" s="181"/>
      <c r="G5245" s="181"/>
      <c r="H5245" s="181"/>
      <c r="I5245" s="181"/>
      <c r="J5245" s="181"/>
      <c r="K5245" s="181"/>
      <c r="L5245" s="181"/>
      <c r="M5245" s="181"/>
      <c r="N5245" s="181"/>
      <c r="O5245" s="181"/>
      <c r="P5245" s="181"/>
    </row>
    <row r="5246">
      <c r="B5246" s="292"/>
      <c r="C5246" s="181"/>
      <c r="D5246" s="181"/>
      <c r="E5246" s="181"/>
      <c r="F5246" s="181"/>
      <c r="G5246" s="181"/>
      <c r="H5246" s="181"/>
      <c r="I5246" s="181"/>
      <c r="J5246" s="181"/>
      <c r="K5246" s="181"/>
      <c r="L5246" s="181"/>
      <c r="M5246" s="181"/>
      <c r="N5246" s="181"/>
      <c r="O5246" s="181"/>
      <c r="P5246" s="181"/>
    </row>
    <row r="5247">
      <c r="B5247" s="292"/>
      <c r="C5247" s="181"/>
      <c r="D5247" s="181"/>
      <c r="E5247" s="181"/>
      <c r="F5247" s="181"/>
      <c r="G5247" s="181"/>
      <c r="H5247" s="181"/>
      <c r="I5247" s="181"/>
      <c r="J5247" s="181"/>
      <c r="K5247" s="181"/>
      <c r="L5247" s="181"/>
      <c r="M5247" s="181"/>
      <c r="N5247" s="181"/>
      <c r="O5247" s="181"/>
      <c r="P5247" s="181"/>
    </row>
    <row r="5248">
      <c r="B5248" s="292"/>
      <c r="C5248" s="181"/>
      <c r="D5248" s="181"/>
      <c r="E5248" s="181"/>
      <c r="F5248" s="181"/>
      <c r="G5248" s="181"/>
      <c r="H5248" s="181"/>
      <c r="I5248" s="181"/>
      <c r="J5248" s="181"/>
      <c r="K5248" s="181"/>
      <c r="L5248" s="181"/>
      <c r="M5248" s="181"/>
      <c r="N5248" s="181"/>
      <c r="O5248" s="181"/>
      <c r="P5248" s="181"/>
    </row>
    <row r="5249">
      <c r="B5249" s="292"/>
      <c r="C5249" s="181"/>
      <c r="D5249" s="181"/>
      <c r="E5249" s="181"/>
      <c r="F5249" s="181"/>
      <c r="G5249" s="181"/>
      <c r="H5249" s="181"/>
      <c r="I5249" s="181"/>
      <c r="J5249" s="181"/>
      <c r="K5249" s="181"/>
      <c r="L5249" s="181"/>
      <c r="M5249" s="181"/>
      <c r="N5249" s="181"/>
      <c r="O5249" s="181"/>
      <c r="P5249" s="181"/>
    </row>
    <row r="5250">
      <c r="B5250" s="292"/>
      <c r="C5250" s="181"/>
      <c r="D5250" s="181"/>
      <c r="E5250" s="181"/>
      <c r="F5250" s="181"/>
      <c r="G5250" s="181"/>
      <c r="H5250" s="181"/>
      <c r="I5250" s="181"/>
      <c r="J5250" s="181"/>
      <c r="K5250" s="181"/>
      <c r="L5250" s="181"/>
      <c r="M5250" s="181"/>
      <c r="N5250" s="181"/>
      <c r="O5250" s="181"/>
      <c r="P5250" s="181"/>
    </row>
    <row r="5251">
      <c r="B5251" s="292"/>
      <c r="C5251" s="181"/>
      <c r="D5251" s="181"/>
      <c r="E5251" s="181"/>
      <c r="F5251" s="181"/>
      <c r="G5251" s="181"/>
      <c r="H5251" s="181"/>
      <c r="I5251" s="181"/>
      <c r="J5251" s="181"/>
      <c r="K5251" s="181"/>
      <c r="L5251" s="181"/>
      <c r="M5251" s="181"/>
      <c r="N5251" s="181"/>
      <c r="O5251" s="181"/>
      <c r="P5251" s="181"/>
    </row>
    <row r="5252">
      <c r="B5252" s="292"/>
      <c r="C5252" s="181"/>
      <c r="D5252" s="181"/>
      <c r="E5252" s="181"/>
      <c r="F5252" s="181"/>
      <c r="G5252" s="181"/>
      <c r="H5252" s="181"/>
      <c r="I5252" s="181"/>
      <c r="J5252" s="181"/>
      <c r="K5252" s="181"/>
      <c r="L5252" s="181"/>
      <c r="M5252" s="181"/>
      <c r="N5252" s="181"/>
      <c r="O5252" s="181"/>
      <c r="P5252" s="181"/>
    </row>
    <row r="5253">
      <c r="B5253" s="292"/>
      <c r="C5253" s="181"/>
      <c r="D5253" s="181"/>
      <c r="E5253" s="181"/>
      <c r="F5253" s="181"/>
      <c r="G5253" s="181"/>
      <c r="H5253" s="181"/>
      <c r="I5253" s="181"/>
      <c r="J5253" s="181"/>
      <c r="K5253" s="181"/>
      <c r="L5253" s="181"/>
      <c r="M5253" s="181"/>
      <c r="N5253" s="181"/>
      <c r="O5253" s="181"/>
      <c r="P5253" s="181"/>
    </row>
    <row r="5254">
      <c r="B5254" s="292"/>
      <c r="C5254" s="181"/>
      <c r="D5254" s="181"/>
      <c r="E5254" s="181"/>
      <c r="F5254" s="181"/>
      <c r="G5254" s="181"/>
      <c r="H5254" s="181"/>
      <c r="I5254" s="181"/>
      <c r="J5254" s="181"/>
      <c r="K5254" s="181"/>
      <c r="L5254" s="181"/>
      <c r="M5254" s="181"/>
      <c r="N5254" s="181"/>
      <c r="O5254" s="181"/>
      <c r="P5254" s="181"/>
    </row>
    <row r="5255">
      <c r="B5255" s="292"/>
      <c r="C5255" s="181"/>
      <c r="D5255" s="181"/>
      <c r="E5255" s="181"/>
      <c r="F5255" s="181"/>
      <c r="G5255" s="181"/>
      <c r="H5255" s="181"/>
      <c r="I5255" s="181"/>
      <c r="J5255" s="181"/>
      <c r="K5255" s="181"/>
      <c r="L5255" s="181"/>
      <c r="M5255" s="181"/>
      <c r="N5255" s="181"/>
      <c r="O5255" s="181"/>
      <c r="P5255" s="181"/>
    </row>
    <row r="5256">
      <c r="B5256" s="292"/>
      <c r="C5256" s="181"/>
      <c r="D5256" s="181"/>
      <c r="E5256" s="181"/>
      <c r="F5256" s="181"/>
      <c r="G5256" s="181"/>
      <c r="H5256" s="181"/>
      <c r="I5256" s="181"/>
      <c r="J5256" s="181"/>
      <c r="K5256" s="181"/>
      <c r="L5256" s="181"/>
      <c r="M5256" s="181"/>
      <c r="N5256" s="181"/>
      <c r="O5256" s="181"/>
      <c r="P5256" s="181"/>
    </row>
    <row r="5257">
      <c r="B5257" s="292"/>
      <c r="C5257" s="181"/>
      <c r="D5257" s="181"/>
      <c r="E5257" s="181"/>
      <c r="F5257" s="181"/>
      <c r="G5257" s="181"/>
      <c r="H5257" s="181"/>
      <c r="I5257" s="181"/>
      <c r="J5257" s="181"/>
      <c r="K5257" s="181"/>
      <c r="L5257" s="181"/>
      <c r="M5257" s="181"/>
      <c r="N5257" s="181"/>
      <c r="O5257" s="181"/>
      <c r="P5257" s="181"/>
    </row>
    <row r="5258">
      <c r="B5258" s="292"/>
      <c r="C5258" s="181"/>
      <c r="D5258" s="181"/>
      <c r="E5258" s="181"/>
      <c r="F5258" s="181"/>
      <c r="G5258" s="181"/>
      <c r="H5258" s="181"/>
      <c r="I5258" s="181"/>
      <c r="J5258" s="181"/>
      <c r="K5258" s="181"/>
      <c r="L5258" s="181"/>
      <c r="M5258" s="181"/>
      <c r="N5258" s="181"/>
      <c r="O5258" s="181"/>
      <c r="P5258" s="181"/>
    </row>
    <row r="5259">
      <c r="B5259" s="292"/>
      <c r="C5259" s="181"/>
      <c r="D5259" s="181"/>
      <c r="E5259" s="181"/>
      <c r="F5259" s="181"/>
      <c r="G5259" s="181"/>
      <c r="H5259" s="181"/>
      <c r="I5259" s="181"/>
      <c r="J5259" s="181"/>
      <c r="K5259" s="181"/>
      <c r="L5259" s="181"/>
      <c r="M5259" s="181"/>
      <c r="N5259" s="181"/>
      <c r="O5259" s="181"/>
      <c r="P5259" s="181"/>
    </row>
    <row r="5260">
      <c r="B5260" s="292"/>
      <c r="C5260" s="181"/>
      <c r="D5260" s="181"/>
      <c r="E5260" s="181"/>
      <c r="F5260" s="181"/>
      <c r="G5260" s="181"/>
      <c r="H5260" s="181"/>
      <c r="I5260" s="181"/>
      <c r="J5260" s="181"/>
      <c r="K5260" s="181"/>
      <c r="L5260" s="181"/>
      <c r="M5260" s="181"/>
      <c r="N5260" s="181"/>
      <c r="O5260" s="181"/>
      <c r="P5260" s="181"/>
    </row>
    <row r="5261">
      <c r="B5261" s="292"/>
      <c r="C5261" s="181"/>
      <c r="D5261" s="181"/>
      <c r="E5261" s="181"/>
      <c r="F5261" s="181"/>
      <c r="G5261" s="181"/>
      <c r="H5261" s="181"/>
      <c r="I5261" s="181"/>
      <c r="J5261" s="181"/>
      <c r="K5261" s="181"/>
      <c r="L5261" s="181"/>
      <c r="M5261" s="181"/>
      <c r="N5261" s="181"/>
      <c r="O5261" s="181"/>
      <c r="P5261" s="181"/>
    </row>
    <row r="5262">
      <c r="B5262" s="292"/>
      <c r="C5262" s="181"/>
      <c r="D5262" s="181"/>
      <c r="E5262" s="181"/>
      <c r="F5262" s="181"/>
      <c r="G5262" s="181"/>
      <c r="H5262" s="181"/>
      <c r="I5262" s="181"/>
      <c r="J5262" s="181"/>
      <c r="K5262" s="181"/>
      <c r="L5262" s="181"/>
      <c r="M5262" s="181"/>
      <c r="N5262" s="181"/>
      <c r="O5262" s="181"/>
      <c r="P5262" s="181"/>
    </row>
    <row r="5263">
      <c r="B5263" s="292"/>
      <c r="C5263" s="181"/>
      <c r="D5263" s="181"/>
      <c r="E5263" s="181"/>
      <c r="F5263" s="181"/>
      <c r="G5263" s="181"/>
      <c r="H5263" s="181"/>
      <c r="I5263" s="181"/>
      <c r="J5263" s="181"/>
      <c r="K5263" s="181"/>
      <c r="L5263" s="181"/>
      <c r="M5263" s="181"/>
      <c r="N5263" s="181"/>
      <c r="O5263" s="181"/>
      <c r="P5263" s="181"/>
    </row>
    <row r="5264">
      <c r="B5264" s="292"/>
      <c r="C5264" s="181"/>
      <c r="D5264" s="181"/>
      <c r="E5264" s="181"/>
      <c r="F5264" s="181"/>
      <c r="G5264" s="181"/>
      <c r="H5264" s="181"/>
      <c r="I5264" s="181"/>
      <c r="J5264" s="181"/>
      <c r="K5264" s="181"/>
      <c r="L5264" s="181"/>
      <c r="M5264" s="181"/>
      <c r="N5264" s="181"/>
      <c r="O5264" s="181"/>
      <c r="P5264" s="181"/>
    </row>
    <row r="5265">
      <c r="B5265" s="292"/>
      <c r="C5265" s="181"/>
      <c r="D5265" s="181"/>
      <c r="E5265" s="181"/>
      <c r="F5265" s="181"/>
      <c r="G5265" s="181"/>
      <c r="H5265" s="181"/>
      <c r="I5265" s="181"/>
      <c r="J5265" s="181"/>
      <c r="K5265" s="181"/>
      <c r="L5265" s="181"/>
      <c r="M5265" s="181"/>
      <c r="N5265" s="181"/>
      <c r="O5265" s="181"/>
      <c r="P5265" s="181"/>
    </row>
    <row r="5266">
      <c r="B5266" s="292"/>
      <c r="C5266" s="181"/>
      <c r="D5266" s="181"/>
      <c r="E5266" s="181"/>
      <c r="F5266" s="181"/>
      <c r="G5266" s="181"/>
      <c r="H5266" s="181"/>
      <c r="I5266" s="181"/>
      <c r="J5266" s="181"/>
      <c r="K5266" s="181"/>
      <c r="L5266" s="181"/>
      <c r="M5266" s="181"/>
      <c r="N5266" s="181"/>
      <c r="O5266" s="181"/>
      <c r="P5266" s="181"/>
    </row>
    <row r="5267">
      <c r="B5267" s="292"/>
      <c r="C5267" s="181"/>
      <c r="D5267" s="181"/>
      <c r="E5267" s="181"/>
      <c r="F5267" s="181"/>
      <c r="G5267" s="181"/>
      <c r="H5267" s="181"/>
      <c r="I5267" s="181"/>
      <c r="J5267" s="181"/>
      <c r="K5267" s="181"/>
      <c r="L5267" s="181"/>
      <c r="M5267" s="181"/>
      <c r="N5267" s="181"/>
      <c r="O5267" s="181"/>
      <c r="P5267" s="181"/>
    </row>
    <row r="5268">
      <c r="B5268" s="292"/>
      <c r="C5268" s="181"/>
      <c r="D5268" s="181"/>
      <c r="E5268" s="181"/>
      <c r="F5268" s="181"/>
      <c r="G5268" s="181"/>
      <c r="H5268" s="181"/>
      <c r="I5268" s="181"/>
      <c r="J5268" s="181"/>
      <c r="K5268" s="181"/>
      <c r="L5268" s="181"/>
      <c r="M5268" s="181"/>
      <c r="N5268" s="181"/>
      <c r="O5268" s="181"/>
      <c r="P5268" s="181"/>
    </row>
    <row r="5269">
      <c r="B5269" s="292"/>
      <c r="C5269" s="181"/>
      <c r="D5269" s="181"/>
      <c r="E5269" s="181"/>
      <c r="F5269" s="181"/>
      <c r="G5269" s="181"/>
      <c r="H5269" s="181"/>
      <c r="I5269" s="181"/>
      <c r="J5269" s="181"/>
      <c r="K5269" s="181"/>
      <c r="L5269" s="181"/>
      <c r="M5269" s="181"/>
      <c r="N5269" s="181"/>
      <c r="O5269" s="181"/>
      <c r="P5269" s="181"/>
    </row>
    <row r="5270">
      <c r="B5270" s="292"/>
      <c r="C5270" s="181"/>
      <c r="D5270" s="181"/>
      <c r="E5270" s="181"/>
      <c r="F5270" s="181"/>
      <c r="G5270" s="181"/>
      <c r="H5270" s="181"/>
      <c r="I5270" s="181"/>
      <c r="J5270" s="181"/>
      <c r="K5270" s="181"/>
      <c r="L5270" s="181"/>
      <c r="M5270" s="181"/>
      <c r="N5270" s="181"/>
      <c r="O5270" s="181"/>
      <c r="P5270" s="181"/>
    </row>
    <row r="5271">
      <c r="B5271" s="292"/>
      <c r="C5271" s="181"/>
      <c r="D5271" s="181"/>
      <c r="E5271" s="181"/>
      <c r="F5271" s="181"/>
      <c r="G5271" s="181"/>
      <c r="H5271" s="181"/>
      <c r="I5271" s="181"/>
      <c r="J5271" s="181"/>
      <c r="K5271" s="181"/>
      <c r="L5271" s="181"/>
      <c r="M5271" s="181"/>
      <c r="N5271" s="181"/>
      <c r="O5271" s="181"/>
      <c r="P5271" s="181"/>
    </row>
    <row r="5272">
      <c r="B5272" s="292"/>
      <c r="C5272" s="181"/>
      <c r="D5272" s="181"/>
      <c r="E5272" s="181"/>
      <c r="F5272" s="181"/>
      <c r="G5272" s="181"/>
      <c r="H5272" s="181"/>
      <c r="I5272" s="181"/>
      <c r="J5272" s="181"/>
      <c r="K5272" s="181"/>
      <c r="L5272" s="181"/>
      <c r="M5272" s="181"/>
      <c r="N5272" s="181"/>
      <c r="O5272" s="181"/>
      <c r="P5272" s="181"/>
    </row>
    <row r="5273">
      <c r="B5273" s="292"/>
      <c r="C5273" s="181"/>
      <c r="D5273" s="181"/>
      <c r="E5273" s="181"/>
      <c r="F5273" s="181"/>
      <c r="G5273" s="181"/>
      <c r="H5273" s="181"/>
      <c r="I5273" s="181"/>
      <c r="J5273" s="181"/>
      <c r="K5273" s="181"/>
      <c r="L5273" s="181"/>
      <c r="M5273" s="181"/>
      <c r="N5273" s="181"/>
      <c r="O5273" s="181"/>
      <c r="P5273" s="181"/>
    </row>
    <row r="5274">
      <c r="B5274" s="292"/>
      <c r="C5274" s="181"/>
      <c r="D5274" s="181"/>
      <c r="E5274" s="181"/>
      <c r="F5274" s="181"/>
      <c r="G5274" s="181"/>
      <c r="H5274" s="181"/>
      <c r="I5274" s="181"/>
      <c r="J5274" s="181"/>
      <c r="K5274" s="181"/>
      <c r="L5274" s="181"/>
      <c r="M5274" s="181"/>
      <c r="N5274" s="181"/>
      <c r="O5274" s="181"/>
      <c r="P5274" s="181"/>
    </row>
    <row r="5275">
      <c r="B5275" s="292"/>
      <c r="C5275" s="181"/>
      <c r="D5275" s="181"/>
      <c r="E5275" s="181"/>
      <c r="F5275" s="181"/>
      <c r="G5275" s="181"/>
      <c r="H5275" s="181"/>
      <c r="I5275" s="181"/>
      <c r="J5275" s="181"/>
      <c r="K5275" s="181"/>
      <c r="L5275" s="181"/>
      <c r="M5275" s="181"/>
      <c r="N5275" s="181"/>
      <c r="O5275" s="181"/>
      <c r="P5275" s="181"/>
    </row>
    <row r="5276">
      <c r="B5276" s="292"/>
      <c r="C5276" s="181"/>
      <c r="D5276" s="181"/>
      <c r="E5276" s="181"/>
      <c r="F5276" s="181"/>
      <c r="G5276" s="181"/>
      <c r="H5276" s="181"/>
      <c r="I5276" s="181"/>
      <c r="J5276" s="181"/>
      <c r="K5276" s="181"/>
      <c r="L5276" s="181"/>
      <c r="M5276" s="181"/>
      <c r="N5276" s="181"/>
      <c r="O5276" s="181"/>
      <c r="P5276" s="181"/>
    </row>
    <row r="5277">
      <c r="B5277" s="292"/>
      <c r="C5277" s="181"/>
      <c r="D5277" s="181"/>
      <c r="E5277" s="181"/>
      <c r="F5277" s="181"/>
      <c r="G5277" s="181"/>
      <c r="H5277" s="181"/>
      <c r="I5277" s="181"/>
      <c r="J5277" s="181"/>
      <c r="K5277" s="181"/>
      <c r="L5277" s="181"/>
      <c r="M5277" s="181"/>
      <c r="N5277" s="181"/>
      <c r="O5277" s="181"/>
      <c r="P5277" s="181"/>
    </row>
    <row r="5278">
      <c r="B5278" s="292"/>
      <c r="C5278" s="181"/>
      <c r="D5278" s="181"/>
      <c r="E5278" s="181"/>
      <c r="F5278" s="181"/>
      <c r="G5278" s="181"/>
      <c r="H5278" s="181"/>
      <c r="I5278" s="181"/>
      <c r="J5278" s="181"/>
      <c r="K5278" s="181"/>
      <c r="L5278" s="181"/>
      <c r="M5278" s="181"/>
      <c r="N5278" s="181"/>
      <c r="O5278" s="181"/>
      <c r="P5278" s="181"/>
    </row>
    <row r="5279">
      <c r="B5279" s="292"/>
      <c r="C5279" s="181"/>
      <c r="D5279" s="181"/>
      <c r="E5279" s="181"/>
      <c r="F5279" s="181"/>
      <c r="G5279" s="181"/>
      <c r="H5279" s="181"/>
      <c r="I5279" s="181"/>
      <c r="J5279" s="181"/>
      <c r="K5279" s="181"/>
      <c r="L5279" s="181"/>
      <c r="M5279" s="181"/>
      <c r="N5279" s="181"/>
      <c r="O5279" s="181"/>
      <c r="P5279" s="181"/>
    </row>
    <row r="5280">
      <c r="B5280" s="292"/>
      <c r="C5280" s="181"/>
      <c r="D5280" s="181"/>
      <c r="E5280" s="181"/>
      <c r="F5280" s="181"/>
      <c r="G5280" s="181"/>
      <c r="H5280" s="181"/>
      <c r="I5280" s="181"/>
      <c r="J5280" s="181"/>
      <c r="K5280" s="181"/>
      <c r="L5280" s="181"/>
      <c r="M5280" s="181"/>
      <c r="N5280" s="181"/>
      <c r="O5280" s="181"/>
      <c r="P5280" s="181"/>
    </row>
    <row r="5281">
      <c r="B5281" s="292"/>
      <c r="C5281" s="181"/>
      <c r="D5281" s="181"/>
      <c r="E5281" s="181"/>
      <c r="F5281" s="181"/>
      <c r="G5281" s="181"/>
      <c r="H5281" s="181"/>
      <c r="I5281" s="181"/>
      <c r="J5281" s="181"/>
      <c r="K5281" s="181"/>
      <c r="L5281" s="181"/>
      <c r="M5281" s="181"/>
      <c r="N5281" s="181"/>
      <c r="O5281" s="181"/>
      <c r="P5281" s="181"/>
    </row>
    <row r="5282">
      <c r="B5282" s="292"/>
      <c r="C5282" s="181"/>
      <c r="D5282" s="181"/>
      <c r="E5282" s="181"/>
      <c r="F5282" s="181"/>
      <c r="G5282" s="181"/>
      <c r="H5282" s="181"/>
      <c r="I5282" s="181"/>
      <c r="J5282" s="181"/>
      <c r="K5282" s="181"/>
      <c r="L5282" s="181"/>
      <c r="M5282" s="181"/>
      <c r="N5282" s="181"/>
      <c r="O5282" s="181"/>
      <c r="P5282" s="181"/>
    </row>
    <row r="5283">
      <c r="B5283" s="292"/>
      <c r="C5283" s="181"/>
      <c r="D5283" s="181"/>
      <c r="E5283" s="181"/>
      <c r="F5283" s="181"/>
      <c r="G5283" s="181"/>
      <c r="H5283" s="181"/>
      <c r="I5283" s="181"/>
      <c r="J5283" s="181"/>
      <c r="K5283" s="181"/>
      <c r="L5283" s="181"/>
      <c r="M5283" s="181"/>
      <c r="N5283" s="181"/>
      <c r="O5283" s="181"/>
      <c r="P5283" s="181"/>
    </row>
    <row r="5284">
      <c r="B5284" s="292"/>
      <c r="C5284" s="181"/>
      <c r="D5284" s="181"/>
      <c r="E5284" s="181"/>
      <c r="F5284" s="181"/>
      <c r="G5284" s="181"/>
      <c r="H5284" s="181"/>
      <c r="I5284" s="181"/>
      <c r="J5284" s="181"/>
      <c r="K5284" s="181"/>
      <c r="L5284" s="181"/>
      <c r="M5284" s="181"/>
      <c r="N5284" s="181"/>
      <c r="O5284" s="181"/>
      <c r="P5284" s="181"/>
    </row>
    <row r="5285">
      <c r="B5285" s="292"/>
      <c r="C5285" s="181"/>
      <c r="D5285" s="181"/>
      <c r="E5285" s="181"/>
      <c r="F5285" s="181"/>
      <c r="G5285" s="181"/>
      <c r="H5285" s="181"/>
      <c r="I5285" s="181"/>
      <c r="J5285" s="181"/>
      <c r="K5285" s="181"/>
      <c r="L5285" s="181"/>
      <c r="M5285" s="181"/>
      <c r="N5285" s="181"/>
      <c r="O5285" s="181"/>
      <c r="P5285" s="181"/>
    </row>
    <row r="5286">
      <c r="B5286" s="292"/>
      <c r="C5286" s="181"/>
      <c r="D5286" s="181"/>
      <c r="E5286" s="181"/>
      <c r="F5286" s="181"/>
      <c r="G5286" s="181"/>
      <c r="H5286" s="181"/>
      <c r="I5286" s="181"/>
      <c r="J5286" s="181"/>
      <c r="K5286" s="181"/>
      <c r="L5286" s="181"/>
      <c r="M5286" s="181"/>
      <c r="N5286" s="181"/>
      <c r="O5286" s="181"/>
      <c r="P5286" s="181"/>
    </row>
    <row r="5287">
      <c r="B5287" s="292"/>
      <c r="C5287" s="181"/>
      <c r="D5287" s="181"/>
      <c r="E5287" s="181"/>
      <c r="F5287" s="181"/>
      <c r="G5287" s="181"/>
      <c r="H5287" s="181"/>
      <c r="I5287" s="181"/>
      <c r="J5287" s="181"/>
      <c r="K5287" s="181"/>
      <c r="L5287" s="181"/>
      <c r="M5287" s="181"/>
      <c r="N5287" s="181"/>
      <c r="O5287" s="181"/>
      <c r="P5287" s="181"/>
    </row>
    <row r="5288">
      <c r="B5288" s="292"/>
      <c r="C5288" s="181"/>
      <c r="D5288" s="181"/>
      <c r="E5288" s="181"/>
      <c r="F5288" s="181"/>
      <c r="G5288" s="181"/>
      <c r="H5288" s="181"/>
      <c r="I5288" s="181"/>
      <c r="J5288" s="181"/>
      <c r="K5288" s="181"/>
      <c r="L5288" s="181"/>
      <c r="M5288" s="181"/>
      <c r="N5288" s="181"/>
      <c r="O5288" s="181"/>
      <c r="P5288" s="181"/>
    </row>
    <row r="5289">
      <c r="B5289" s="292"/>
      <c r="C5289" s="181"/>
      <c r="D5289" s="181"/>
      <c r="E5289" s="181"/>
      <c r="F5289" s="181"/>
      <c r="G5289" s="181"/>
      <c r="H5289" s="181"/>
      <c r="I5289" s="181"/>
      <c r="J5289" s="181"/>
      <c r="K5289" s="181"/>
      <c r="L5289" s="181"/>
      <c r="M5289" s="181"/>
      <c r="N5289" s="181"/>
      <c r="O5289" s="181"/>
      <c r="P5289" s="181"/>
    </row>
    <row r="5290">
      <c r="B5290" s="292"/>
      <c r="C5290" s="181"/>
      <c r="D5290" s="181"/>
      <c r="E5290" s="181"/>
      <c r="F5290" s="181"/>
      <c r="G5290" s="181"/>
      <c r="H5290" s="181"/>
      <c r="I5290" s="181"/>
      <c r="J5290" s="181"/>
      <c r="K5290" s="181"/>
      <c r="L5290" s="181"/>
      <c r="M5290" s="181"/>
      <c r="N5290" s="181"/>
      <c r="O5290" s="181"/>
      <c r="P5290" s="181"/>
    </row>
    <row r="5291">
      <c r="B5291" s="292"/>
      <c r="C5291" s="181"/>
      <c r="D5291" s="181"/>
      <c r="E5291" s="181"/>
      <c r="F5291" s="181"/>
      <c r="G5291" s="181"/>
      <c r="H5291" s="181"/>
      <c r="I5291" s="181"/>
      <c r="J5291" s="181"/>
      <c r="K5291" s="181"/>
      <c r="L5291" s="181"/>
      <c r="M5291" s="181"/>
      <c r="N5291" s="181"/>
      <c r="O5291" s="181"/>
      <c r="P5291" s="181"/>
    </row>
    <row r="5292">
      <c r="B5292" s="292"/>
      <c r="C5292" s="181"/>
      <c r="D5292" s="181"/>
      <c r="E5292" s="181"/>
      <c r="F5292" s="181"/>
      <c r="G5292" s="181"/>
      <c r="H5292" s="181"/>
      <c r="I5292" s="181"/>
      <c r="J5292" s="181"/>
      <c r="K5292" s="181"/>
      <c r="L5292" s="181"/>
      <c r="M5292" s="181"/>
      <c r="N5292" s="181"/>
      <c r="O5292" s="181"/>
      <c r="P5292" s="181"/>
    </row>
    <row r="5293">
      <c r="B5293" s="292"/>
      <c r="C5293" s="181"/>
      <c r="D5293" s="181"/>
      <c r="E5293" s="181"/>
      <c r="F5293" s="181"/>
      <c r="G5293" s="181"/>
      <c r="H5293" s="181"/>
      <c r="I5293" s="181"/>
      <c r="J5293" s="181"/>
      <c r="K5293" s="181"/>
      <c r="L5293" s="181"/>
      <c r="M5293" s="181"/>
      <c r="N5293" s="181"/>
      <c r="O5293" s="181"/>
      <c r="P5293" s="181"/>
    </row>
    <row r="5294">
      <c r="B5294" s="292"/>
      <c r="C5294" s="181"/>
      <c r="D5294" s="181"/>
      <c r="E5294" s="181"/>
      <c r="F5294" s="181"/>
      <c r="G5294" s="181"/>
      <c r="H5294" s="181"/>
      <c r="I5294" s="181"/>
      <c r="J5294" s="181"/>
      <c r="K5294" s="181"/>
      <c r="L5294" s="181"/>
      <c r="M5294" s="181"/>
      <c r="N5294" s="181"/>
      <c r="O5294" s="181"/>
      <c r="P5294" s="181"/>
    </row>
    <row r="5295">
      <c r="B5295" s="292"/>
      <c r="C5295" s="181"/>
      <c r="D5295" s="181"/>
      <c r="E5295" s="181"/>
      <c r="F5295" s="181"/>
      <c r="G5295" s="181"/>
      <c r="H5295" s="181"/>
      <c r="I5295" s="181"/>
      <c r="J5295" s="181"/>
      <c r="K5295" s="181"/>
      <c r="L5295" s="181"/>
      <c r="M5295" s="181"/>
      <c r="N5295" s="181"/>
      <c r="O5295" s="181"/>
      <c r="P5295" s="181"/>
    </row>
    <row r="5296">
      <c r="B5296" s="292"/>
      <c r="C5296" s="181"/>
      <c r="D5296" s="181"/>
      <c r="E5296" s="181"/>
      <c r="F5296" s="181"/>
      <c r="G5296" s="181"/>
      <c r="H5296" s="181"/>
      <c r="I5296" s="181"/>
      <c r="J5296" s="181"/>
      <c r="K5296" s="181"/>
      <c r="L5296" s="181"/>
      <c r="M5296" s="181"/>
      <c r="N5296" s="181"/>
      <c r="O5296" s="181"/>
      <c r="P5296" s="181"/>
    </row>
    <row r="5297">
      <c r="B5297" s="292"/>
      <c r="C5297" s="181"/>
      <c r="D5297" s="181"/>
      <c r="E5297" s="181"/>
      <c r="F5297" s="181"/>
      <c r="G5297" s="181"/>
      <c r="H5297" s="181"/>
      <c r="I5297" s="181"/>
      <c r="J5297" s="181"/>
      <c r="K5297" s="181"/>
      <c r="L5297" s="181"/>
      <c r="M5297" s="181"/>
      <c r="N5297" s="181"/>
      <c r="O5297" s="181"/>
      <c r="P5297" s="181"/>
    </row>
    <row r="5298">
      <c r="B5298" s="292"/>
      <c r="C5298" s="181"/>
      <c r="D5298" s="181"/>
      <c r="E5298" s="181"/>
      <c r="F5298" s="181"/>
      <c r="G5298" s="181"/>
      <c r="H5298" s="181"/>
      <c r="I5298" s="181"/>
      <c r="J5298" s="181"/>
      <c r="K5298" s="181"/>
      <c r="L5298" s="181"/>
      <c r="M5298" s="181"/>
      <c r="N5298" s="181"/>
      <c r="O5298" s="181"/>
      <c r="P5298" s="181"/>
    </row>
    <row r="5299">
      <c r="B5299" s="292"/>
      <c r="C5299" s="181"/>
      <c r="D5299" s="181"/>
      <c r="E5299" s="181"/>
      <c r="F5299" s="181"/>
      <c r="G5299" s="181"/>
      <c r="H5299" s="181"/>
      <c r="I5299" s="181"/>
      <c r="J5299" s="181"/>
      <c r="K5299" s="181"/>
      <c r="L5299" s="181"/>
      <c r="M5299" s="181"/>
      <c r="N5299" s="181"/>
      <c r="O5299" s="181"/>
      <c r="P5299" s="181"/>
    </row>
    <row r="5300">
      <c r="B5300" s="292"/>
      <c r="C5300" s="181"/>
      <c r="D5300" s="181"/>
      <c r="E5300" s="181"/>
      <c r="F5300" s="181"/>
      <c r="G5300" s="181"/>
      <c r="H5300" s="181"/>
      <c r="I5300" s="181"/>
      <c r="J5300" s="181"/>
      <c r="K5300" s="181"/>
      <c r="L5300" s="181"/>
      <c r="M5300" s="181"/>
      <c r="N5300" s="181"/>
      <c r="O5300" s="181"/>
      <c r="P5300" s="181"/>
    </row>
    <row r="5301">
      <c r="B5301" s="292"/>
      <c r="C5301" s="181"/>
      <c r="D5301" s="181"/>
      <c r="E5301" s="181"/>
      <c r="F5301" s="181"/>
      <c r="G5301" s="181"/>
      <c r="H5301" s="181"/>
      <c r="I5301" s="181"/>
      <c r="J5301" s="181"/>
      <c r="K5301" s="181"/>
      <c r="L5301" s="181"/>
      <c r="M5301" s="181"/>
      <c r="N5301" s="181"/>
      <c r="O5301" s="181"/>
      <c r="P5301" s="181"/>
    </row>
    <row r="5302">
      <c r="B5302" s="292"/>
      <c r="C5302" s="181"/>
      <c r="D5302" s="181"/>
      <c r="E5302" s="181"/>
      <c r="F5302" s="181"/>
      <c r="G5302" s="181"/>
      <c r="H5302" s="181"/>
      <c r="I5302" s="181"/>
      <c r="J5302" s="181"/>
      <c r="K5302" s="181"/>
      <c r="L5302" s="181"/>
      <c r="M5302" s="181"/>
      <c r="N5302" s="181"/>
      <c r="O5302" s="181"/>
      <c r="P5302" s="181"/>
    </row>
    <row r="5303">
      <c r="B5303" s="292"/>
      <c r="C5303" s="181"/>
      <c r="D5303" s="181"/>
      <c r="E5303" s="181"/>
      <c r="F5303" s="181"/>
      <c r="G5303" s="181"/>
      <c r="H5303" s="181"/>
      <c r="I5303" s="181"/>
      <c r="J5303" s="181"/>
      <c r="K5303" s="181"/>
      <c r="L5303" s="181"/>
      <c r="M5303" s="181"/>
      <c r="N5303" s="181"/>
      <c r="O5303" s="181"/>
      <c r="P5303" s="181"/>
    </row>
    <row r="5304">
      <c r="B5304" s="292"/>
      <c r="C5304" s="181"/>
      <c r="D5304" s="181"/>
      <c r="E5304" s="181"/>
      <c r="F5304" s="181"/>
      <c r="G5304" s="181"/>
      <c r="H5304" s="181"/>
      <c r="I5304" s="181"/>
      <c r="J5304" s="181"/>
      <c r="K5304" s="181"/>
      <c r="L5304" s="181"/>
      <c r="M5304" s="181"/>
      <c r="N5304" s="181"/>
      <c r="O5304" s="181"/>
      <c r="P5304" s="181"/>
    </row>
    <row r="5305">
      <c r="B5305" s="292"/>
      <c r="C5305" s="181"/>
      <c r="D5305" s="181"/>
      <c r="E5305" s="181"/>
      <c r="F5305" s="181"/>
      <c r="G5305" s="181"/>
      <c r="H5305" s="181"/>
      <c r="I5305" s="181"/>
      <c r="J5305" s="181"/>
      <c r="K5305" s="181"/>
      <c r="L5305" s="181"/>
      <c r="M5305" s="181"/>
      <c r="N5305" s="181"/>
      <c r="O5305" s="181"/>
      <c r="P5305" s="181"/>
    </row>
    <row r="5306">
      <c r="B5306" s="292"/>
      <c r="C5306" s="181"/>
      <c r="D5306" s="181"/>
      <c r="E5306" s="181"/>
      <c r="F5306" s="181"/>
      <c r="G5306" s="181"/>
      <c r="H5306" s="181"/>
      <c r="I5306" s="181"/>
      <c r="J5306" s="181"/>
      <c r="K5306" s="181"/>
      <c r="L5306" s="181"/>
      <c r="M5306" s="181"/>
      <c r="N5306" s="181"/>
      <c r="O5306" s="181"/>
      <c r="P5306" s="181"/>
    </row>
    <row r="5307">
      <c r="B5307" s="292"/>
      <c r="C5307" s="181"/>
      <c r="D5307" s="181"/>
      <c r="E5307" s="181"/>
      <c r="F5307" s="181"/>
      <c r="G5307" s="181"/>
      <c r="H5307" s="181"/>
      <c r="I5307" s="181"/>
      <c r="J5307" s="181"/>
      <c r="K5307" s="181"/>
      <c r="L5307" s="181"/>
      <c r="M5307" s="181"/>
      <c r="N5307" s="181"/>
      <c r="O5307" s="181"/>
      <c r="P5307" s="181"/>
    </row>
    <row r="5308">
      <c r="B5308" s="292"/>
      <c r="C5308" s="181"/>
      <c r="D5308" s="181"/>
      <c r="E5308" s="181"/>
      <c r="F5308" s="181"/>
      <c r="G5308" s="181"/>
      <c r="H5308" s="181"/>
      <c r="I5308" s="181"/>
      <c r="J5308" s="181"/>
      <c r="K5308" s="181"/>
      <c r="L5308" s="181"/>
      <c r="M5308" s="181"/>
      <c r="N5308" s="181"/>
      <c r="O5308" s="181"/>
      <c r="P5308" s="181"/>
    </row>
    <row r="5309">
      <c r="B5309" s="292"/>
      <c r="C5309" s="181"/>
      <c r="D5309" s="181"/>
      <c r="E5309" s="181"/>
      <c r="F5309" s="181"/>
      <c r="G5309" s="181"/>
      <c r="H5309" s="181"/>
      <c r="I5309" s="181"/>
      <c r="J5309" s="181"/>
      <c r="K5309" s="181"/>
      <c r="L5309" s="181"/>
      <c r="M5309" s="181"/>
      <c r="N5309" s="181"/>
      <c r="O5309" s="181"/>
      <c r="P5309" s="181"/>
    </row>
    <row r="5310">
      <c r="B5310" s="292"/>
      <c r="C5310" s="181"/>
      <c r="D5310" s="181"/>
      <c r="E5310" s="181"/>
      <c r="F5310" s="181"/>
      <c r="G5310" s="181"/>
      <c r="H5310" s="181"/>
      <c r="I5310" s="181"/>
      <c r="J5310" s="181"/>
      <c r="K5310" s="181"/>
      <c r="L5310" s="181"/>
      <c r="M5310" s="181"/>
      <c r="N5310" s="181"/>
      <c r="O5310" s="181"/>
      <c r="P5310" s="181"/>
    </row>
    <row r="5311">
      <c r="B5311" s="292"/>
      <c r="C5311" s="181"/>
      <c r="D5311" s="181"/>
      <c r="E5311" s="181"/>
      <c r="F5311" s="181"/>
      <c r="G5311" s="181"/>
      <c r="H5311" s="181"/>
      <c r="I5311" s="181"/>
      <c r="J5311" s="181"/>
      <c r="K5311" s="181"/>
      <c r="L5311" s="181"/>
      <c r="M5311" s="181"/>
      <c r="N5311" s="181"/>
      <c r="O5311" s="181"/>
      <c r="P5311" s="181"/>
    </row>
    <row r="5312">
      <c r="B5312" s="292"/>
      <c r="C5312" s="181"/>
      <c r="D5312" s="181"/>
      <c r="E5312" s="181"/>
      <c r="F5312" s="181"/>
      <c r="G5312" s="181"/>
      <c r="H5312" s="181"/>
      <c r="I5312" s="181"/>
      <c r="J5312" s="181"/>
      <c r="K5312" s="181"/>
      <c r="L5312" s="181"/>
      <c r="M5312" s="181"/>
      <c r="N5312" s="181"/>
      <c r="O5312" s="181"/>
      <c r="P5312" s="181"/>
    </row>
    <row r="5313">
      <c r="B5313" s="292"/>
      <c r="C5313" s="181"/>
      <c r="D5313" s="181"/>
      <c r="E5313" s="181"/>
      <c r="F5313" s="181"/>
      <c r="G5313" s="181"/>
      <c r="H5313" s="181"/>
      <c r="I5313" s="181"/>
      <c r="J5313" s="181"/>
      <c r="K5313" s="181"/>
      <c r="L5313" s="181"/>
      <c r="M5313" s="181"/>
      <c r="N5313" s="181"/>
      <c r="O5313" s="181"/>
      <c r="P5313" s="181"/>
    </row>
    <row r="5314">
      <c r="B5314" s="292"/>
      <c r="C5314" s="181"/>
      <c r="D5314" s="181"/>
      <c r="E5314" s="181"/>
      <c r="F5314" s="181"/>
      <c r="G5314" s="181"/>
      <c r="H5314" s="181"/>
      <c r="I5314" s="181"/>
      <c r="J5314" s="181"/>
      <c r="K5314" s="181"/>
      <c r="L5314" s="181"/>
      <c r="M5314" s="181"/>
      <c r="N5314" s="181"/>
      <c r="O5314" s="181"/>
      <c r="P5314" s="181"/>
    </row>
    <row r="5315">
      <c r="B5315" s="292"/>
      <c r="C5315" s="181"/>
      <c r="D5315" s="181"/>
      <c r="E5315" s="181"/>
      <c r="F5315" s="181"/>
      <c r="G5315" s="181"/>
      <c r="H5315" s="181"/>
      <c r="I5315" s="181"/>
      <c r="J5315" s="181"/>
      <c r="K5315" s="181"/>
      <c r="L5315" s="181"/>
      <c r="M5315" s="181"/>
      <c r="N5315" s="181"/>
      <c r="O5315" s="181"/>
      <c r="P5315" s="181"/>
    </row>
    <row r="5316">
      <c r="B5316" s="292"/>
      <c r="C5316" s="181"/>
      <c r="D5316" s="181"/>
      <c r="E5316" s="181"/>
      <c r="F5316" s="181"/>
      <c r="G5316" s="181"/>
      <c r="H5316" s="181"/>
      <c r="I5316" s="181"/>
      <c r="J5316" s="181"/>
      <c r="K5316" s="181"/>
      <c r="L5316" s="181"/>
      <c r="M5316" s="181"/>
      <c r="N5316" s="181"/>
      <c r="O5316" s="181"/>
      <c r="P5316" s="181"/>
    </row>
    <row r="5317">
      <c r="B5317" s="292"/>
      <c r="C5317" s="181"/>
      <c r="D5317" s="181"/>
      <c r="E5317" s="181"/>
      <c r="F5317" s="181"/>
      <c r="G5317" s="181"/>
      <c r="H5317" s="181"/>
      <c r="I5317" s="181"/>
      <c r="J5317" s="181"/>
      <c r="K5317" s="181"/>
      <c r="L5317" s="181"/>
      <c r="M5317" s="181"/>
      <c r="N5317" s="181"/>
      <c r="O5317" s="181"/>
      <c r="P5317" s="181"/>
    </row>
    <row r="5318">
      <c r="B5318" s="292"/>
      <c r="C5318" s="181"/>
      <c r="D5318" s="181"/>
      <c r="E5318" s="181"/>
      <c r="F5318" s="181"/>
      <c r="G5318" s="181"/>
      <c r="H5318" s="181"/>
      <c r="I5318" s="181"/>
      <c r="J5318" s="181"/>
      <c r="K5318" s="181"/>
      <c r="L5318" s="181"/>
      <c r="M5318" s="181"/>
      <c r="N5318" s="181"/>
      <c r="O5318" s="181"/>
      <c r="P5318" s="181"/>
    </row>
    <row r="5319">
      <c r="B5319" s="292"/>
      <c r="C5319" s="181"/>
      <c r="D5319" s="181"/>
      <c r="E5319" s="181"/>
      <c r="F5319" s="181"/>
      <c r="G5319" s="181"/>
      <c r="H5319" s="181"/>
      <c r="I5319" s="181"/>
      <c r="J5319" s="181"/>
      <c r="K5319" s="181"/>
      <c r="L5319" s="181"/>
      <c r="M5319" s="181"/>
      <c r="N5319" s="181"/>
      <c r="O5319" s="181"/>
      <c r="P5319" s="181"/>
    </row>
    <row r="5320">
      <c r="B5320" s="292"/>
      <c r="C5320" s="181"/>
      <c r="D5320" s="181"/>
      <c r="E5320" s="181"/>
      <c r="F5320" s="181"/>
      <c r="G5320" s="181"/>
      <c r="H5320" s="181"/>
      <c r="I5320" s="181"/>
      <c r="J5320" s="181"/>
      <c r="K5320" s="181"/>
      <c r="L5320" s="181"/>
      <c r="M5320" s="181"/>
      <c r="N5320" s="181"/>
      <c r="O5320" s="181"/>
      <c r="P5320" s="181"/>
    </row>
    <row r="5321">
      <c r="B5321" s="292"/>
      <c r="C5321" s="181"/>
      <c r="D5321" s="181"/>
      <c r="E5321" s="181"/>
      <c r="F5321" s="181"/>
      <c r="G5321" s="181"/>
      <c r="H5321" s="181"/>
      <c r="I5321" s="181"/>
      <c r="J5321" s="181"/>
      <c r="K5321" s="181"/>
      <c r="L5321" s="181"/>
      <c r="M5321" s="181"/>
      <c r="N5321" s="181"/>
      <c r="O5321" s="181"/>
      <c r="P5321" s="181"/>
    </row>
    <row r="5322">
      <c r="B5322" s="292"/>
      <c r="C5322" s="181"/>
      <c r="D5322" s="181"/>
      <c r="E5322" s="181"/>
      <c r="F5322" s="181"/>
      <c r="G5322" s="181"/>
      <c r="H5322" s="181"/>
      <c r="I5322" s="181"/>
      <c r="J5322" s="181"/>
      <c r="K5322" s="181"/>
      <c r="L5322" s="181"/>
      <c r="M5322" s="181"/>
      <c r="N5322" s="181"/>
      <c r="O5322" s="181"/>
      <c r="P5322" s="181"/>
    </row>
    <row r="5323">
      <c r="B5323" s="292"/>
      <c r="C5323" s="181"/>
      <c r="D5323" s="181"/>
      <c r="E5323" s="181"/>
      <c r="F5323" s="181"/>
      <c r="G5323" s="181"/>
      <c r="H5323" s="181"/>
      <c r="I5323" s="181"/>
      <c r="J5323" s="181"/>
      <c r="K5323" s="181"/>
      <c r="L5323" s="181"/>
      <c r="M5323" s="181"/>
      <c r="N5323" s="181"/>
      <c r="O5323" s="181"/>
      <c r="P5323" s="181"/>
    </row>
    <row r="5324">
      <c r="B5324" s="292"/>
      <c r="C5324" s="181"/>
      <c r="D5324" s="181"/>
      <c r="E5324" s="181"/>
      <c r="F5324" s="181"/>
      <c r="G5324" s="181"/>
      <c r="H5324" s="181"/>
      <c r="I5324" s="181"/>
      <c r="J5324" s="181"/>
      <c r="K5324" s="181"/>
      <c r="L5324" s="181"/>
      <c r="M5324" s="181"/>
      <c r="N5324" s="181"/>
      <c r="O5324" s="181"/>
      <c r="P5324" s="181"/>
    </row>
    <row r="5325">
      <c r="B5325" s="292"/>
      <c r="C5325" s="181"/>
      <c r="D5325" s="181"/>
      <c r="E5325" s="181"/>
      <c r="F5325" s="181"/>
      <c r="G5325" s="181"/>
      <c r="H5325" s="181"/>
      <c r="I5325" s="181"/>
      <c r="J5325" s="181"/>
      <c r="K5325" s="181"/>
      <c r="L5325" s="181"/>
      <c r="M5325" s="181"/>
      <c r="N5325" s="181"/>
      <c r="O5325" s="181"/>
      <c r="P5325" s="181"/>
    </row>
    <row r="5326">
      <c r="B5326" s="292"/>
      <c r="C5326" s="181"/>
      <c r="D5326" s="181"/>
      <c r="E5326" s="181"/>
      <c r="F5326" s="181"/>
      <c r="G5326" s="181"/>
      <c r="H5326" s="181"/>
      <c r="I5326" s="181"/>
      <c r="J5326" s="181"/>
      <c r="K5326" s="181"/>
      <c r="L5326" s="181"/>
      <c r="M5326" s="181"/>
      <c r="N5326" s="181"/>
      <c r="O5326" s="181"/>
      <c r="P5326" s="181"/>
    </row>
    <row r="5327">
      <c r="B5327" s="292"/>
      <c r="C5327" s="181"/>
      <c r="D5327" s="181"/>
      <c r="E5327" s="181"/>
      <c r="F5327" s="181"/>
      <c r="G5327" s="181"/>
      <c r="H5327" s="181"/>
      <c r="I5327" s="181"/>
      <c r="J5327" s="181"/>
      <c r="K5327" s="181"/>
      <c r="L5327" s="181"/>
      <c r="M5327" s="181"/>
      <c r="N5327" s="181"/>
      <c r="O5327" s="181"/>
      <c r="P5327" s="181"/>
    </row>
    <row r="5328">
      <c r="B5328" s="292"/>
      <c r="C5328" s="181"/>
      <c r="D5328" s="181"/>
      <c r="E5328" s="181"/>
      <c r="F5328" s="181"/>
      <c r="G5328" s="181"/>
      <c r="H5328" s="181"/>
      <c r="I5328" s="181"/>
      <c r="J5328" s="181"/>
      <c r="K5328" s="181"/>
      <c r="L5328" s="181"/>
      <c r="M5328" s="181"/>
      <c r="N5328" s="181"/>
      <c r="O5328" s="181"/>
      <c r="P5328" s="181"/>
    </row>
    <row r="5329">
      <c r="B5329" s="292"/>
      <c r="C5329" s="181"/>
      <c r="D5329" s="181"/>
      <c r="E5329" s="181"/>
      <c r="F5329" s="181"/>
      <c r="G5329" s="181"/>
      <c r="H5329" s="181"/>
      <c r="I5329" s="181"/>
      <c r="J5329" s="181"/>
      <c r="K5329" s="181"/>
      <c r="L5329" s="181"/>
      <c r="M5329" s="181"/>
      <c r="N5329" s="181"/>
      <c r="O5329" s="181"/>
      <c r="P5329" s="181"/>
    </row>
    <row r="5330">
      <c r="B5330" s="292"/>
      <c r="C5330" s="181"/>
      <c r="D5330" s="181"/>
      <c r="E5330" s="181"/>
      <c r="F5330" s="181"/>
      <c r="G5330" s="181"/>
      <c r="H5330" s="181"/>
      <c r="I5330" s="181"/>
      <c r="J5330" s="181"/>
      <c r="K5330" s="181"/>
      <c r="L5330" s="181"/>
      <c r="M5330" s="181"/>
      <c r="N5330" s="181"/>
      <c r="O5330" s="181"/>
      <c r="P5330" s="181"/>
    </row>
    <row r="5331">
      <c r="B5331" s="292"/>
      <c r="C5331" s="181"/>
      <c r="D5331" s="181"/>
      <c r="E5331" s="181"/>
      <c r="F5331" s="181"/>
      <c r="G5331" s="181"/>
      <c r="H5331" s="181"/>
      <c r="I5331" s="181"/>
      <c r="J5331" s="181"/>
      <c r="K5331" s="181"/>
      <c r="L5331" s="181"/>
      <c r="M5331" s="181"/>
      <c r="N5331" s="181"/>
      <c r="O5331" s="181"/>
      <c r="P5331" s="181"/>
    </row>
    <row r="5332">
      <c r="B5332" s="292"/>
      <c r="C5332" s="181"/>
      <c r="D5332" s="181"/>
      <c r="E5332" s="181"/>
      <c r="F5332" s="181"/>
      <c r="G5332" s="181"/>
      <c r="H5332" s="181"/>
      <c r="I5332" s="181"/>
      <c r="J5332" s="181"/>
      <c r="K5332" s="181"/>
      <c r="L5332" s="181"/>
      <c r="M5332" s="181"/>
      <c r="N5332" s="181"/>
      <c r="O5332" s="181"/>
      <c r="P5332" s="181"/>
    </row>
    <row r="5333">
      <c r="B5333" s="292"/>
      <c r="C5333" s="181"/>
      <c r="D5333" s="181"/>
      <c r="E5333" s="181"/>
      <c r="F5333" s="181"/>
      <c r="G5333" s="181"/>
      <c r="H5333" s="181"/>
      <c r="I5333" s="181"/>
      <c r="J5333" s="181"/>
      <c r="K5333" s="181"/>
      <c r="L5333" s="181"/>
      <c r="M5333" s="181"/>
      <c r="N5333" s="181"/>
      <c r="O5333" s="181"/>
      <c r="P5333" s="181"/>
    </row>
    <row r="5334">
      <c r="B5334" s="292"/>
      <c r="C5334" s="181"/>
      <c r="D5334" s="181"/>
      <c r="E5334" s="181"/>
      <c r="F5334" s="181"/>
      <c r="G5334" s="181"/>
      <c r="H5334" s="181"/>
      <c r="I5334" s="181"/>
      <c r="J5334" s="181"/>
      <c r="K5334" s="181"/>
      <c r="L5334" s="181"/>
      <c r="M5334" s="181"/>
      <c r="N5334" s="181"/>
      <c r="O5334" s="181"/>
      <c r="P5334" s="181"/>
    </row>
    <row r="5335">
      <c r="B5335" s="292"/>
      <c r="C5335" s="181"/>
      <c r="D5335" s="181"/>
      <c r="E5335" s="181"/>
      <c r="F5335" s="181"/>
      <c r="G5335" s="181"/>
      <c r="H5335" s="181"/>
      <c r="I5335" s="181"/>
      <c r="J5335" s="181"/>
      <c r="K5335" s="181"/>
      <c r="L5335" s="181"/>
      <c r="M5335" s="181"/>
      <c r="N5335" s="181"/>
      <c r="O5335" s="181"/>
      <c r="P5335" s="181"/>
    </row>
    <row r="5336">
      <c r="B5336" s="292"/>
      <c r="C5336" s="181"/>
      <c r="D5336" s="181"/>
      <c r="E5336" s="181"/>
      <c r="F5336" s="181"/>
      <c r="G5336" s="181"/>
      <c r="H5336" s="181"/>
      <c r="I5336" s="181"/>
      <c r="J5336" s="181"/>
      <c r="K5336" s="181"/>
      <c r="L5336" s="181"/>
      <c r="M5336" s="181"/>
      <c r="N5336" s="181"/>
      <c r="O5336" s="181"/>
      <c r="P5336" s="181"/>
    </row>
    <row r="5337">
      <c r="B5337" s="292"/>
      <c r="C5337" s="181"/>
      <c r="D5337" s="181"/>
      <c r="E5337" s="181"/>
      <c r="F5337" s="181"/>
      <c r="G5337" s="181"/>
      <c r="H5337" s="181"/>
      <c r="I5337" s="181"/>
      <c r="J5337" s="181"/>
      <c r="K5337" s="181"/>
      <c r="L5337" s="181"/>
      <c r="M5337" s="181"/>
      <c r="N5337" s="181"/>
      <c r="O5337" s="181"/>
      <c r="P5337" s="181"/>
    </row>
    <row r="5338">
      <c r="B5338" s="292"/>
      <c r="C5338" s="181"/>
      <c r="D5338" s="181"/>
      <c r="E5338" s="181"/>
      <c r="F5338" s="181"/>
      <c r="G5338" s="181"/>
      <c r="H5338" s="181"/>
      <c r="I5338" s="181"/>
      <c r="J5338" s="181"/>
      <c r="K5338" s="181"/>
      <c r="L5338" s="181"/>
      <c r="M5338" s="181"/>
      <c r="N5338" s="181"/>
      <c r="O5338" s="181"/>
      <c r="P5338" s="181"/>
    </row>
    <row r="5339">
      <c r="B5339" s="292"/>
      <c r="C5339" s="181"/>
      <c r="D5339" s="181"/>
      <c r="E5339" s="181"/>
      <c r="F5339" s="181"/>
      <c r="G5339" s="181"/>
      <c r="H5339" s="181"/>
      <c r="I5339" s="181"/>
      <c r="J5339" s="181"/>
      <c r="K5339" s="181"/>
      <c r="L5339" s="181"/>
      <c r="M5339" s="181"/>
      <c r="N5339" s="181"/>
      <c r="O5339" s="181"/>
      <c r="P5339" s="181"/>
    </row>
    <row r="5340">
      <c r="B5340" s="292"/>
      <c r="C5340" s="181"/>
      <c r="D5340" s="181"/>
      <c r="E5340" s="181"/>
      <c r="F5340" s="181"/>
      <c r="G5340" s="181"/>
      <c r="H5340" s="181"/>
      <c r="I5340" s="181"/>
      <c r="J5340" s="181"/>
      <c r="K5340" s="181"/>
      <c r="L5340" s="181"/>
      <c r="M5340" s="181"/>
      <c r="N5340" s="181"/>
      <c r="O5340" s="181"/>
      <c r="P5340" s="181"/>
    </row>
    <row r="5341">
      <c r="B5341" s="292"/>
      <c r="C5341" s="181"/>
      <c r="D5341" s="181"/>
      <c r="E5341" s="181"/>
      <c r="F5341" s="181"/>
      <c r="G5341" s="181"/>
      <c r="H5341" s="181"/>
      <c r="I5341" s="181"/>
      <c r="J5341" s="181"/>
      <c r="K5341" s="181"/>
      <c r="L5341" s="181"/>
      <c r="M5341" s="181"/>
      <c r="N5341" s="181"/>
      <c r="O5341" s="181"/>
      <c r="P5341" s="181"/>
    </row>
    <row r="5342">
      <c r="B5342" s="292"/>
      <c r="C5342" s="181"/>
      <c r="D5342" s="181"/>
      <c r="E5342" s="181"/>
      <c r="F5342" s="181"/>
      <c r="G5342" s="181"/>
      <c r="H5342" s="181"/>
      <c r="I5342" s="181"/>
      <c r="J5342" s="181"/>
      <c r="K5342" s="181"/>
      <c r="L5342" s="181"/>
      <c r="M5342" s="181"/>
      <c r="N5342" s="181"/>
      <c r="O5342" s="181"/>
      <c r="P5342" s="181"/>
    </row>
    <row r="5343">
      <c r="B5343" s="292"/>
      <c r="C5343" s="181"/>
      <c r="D5343" s="181"/>
      <c r="E5343" s="181"/>
      <c r="F5343" s="181"/>
      <c r="G5343" s="181"/>
      <c r="H5343" s="181"/>
      <c r="I5343" s="181"/>
      <c r="J5343" s="181"/>
      <c r="K5343" s="181"/>
      <c r="L5343" s="181"/>
      <c r="M5343" s="181"/>
      <c r="N5343" s="181"/>
      <c r="O5343" s="181"/>
      <c r="P5343" s="181"/>
    </row>
    <row r="5344">
      <c r="B5344" s="292"/>
      <c r="C5344" s="181"/>
      <c r="D5344" s="181"/>
      <c r="E5344" s="181"/>
      <c r="F5344" s="181"/>
      <c r="G5344" s="181"/>
      <c r="H5344" s="181"/>
      <c r="I5344" s="181"/>
      <c r="J5344" s="181"/>
      <c r="K5344" s="181"/>
      <c r="L5344" s="181"/>
      <c r="M5344" s="181"/>
      <c r="N5344" s="181"/>
      <c r="O5344" s="181"/>
      <c r="P5344" s="181"/>
    </row>
    <row r="5345">
      <c r="B5345" s="292"/>
      <c r="C5345" s="181"/>
      <c r="D5345" s="181"/>
      <c r="E5345" s="181"/>
      <c r="F5345" s="181"/>
      <c r="G5345" s="181"/>
      <c r="H5345" s="181"/>
      <c r="I5345" s="181"/>
      <c r="J5345" s="181"/>
      <c r="K5345" s="181"/>
      <c r="L5345" s="181"/>
      <c r="M5345" s="181"/>
      <c r="N5345" s="181"/>
      <c r="O5345" s="181"/>
      <c r="P5345" s="181"/>
    </row>
    <row r="5346">
      <c r="B5346" s="292"/>
      <c r="C5346" s="181"/>
      <c r="D5346" s="181"/>
      <c r="E5346" s="181"/>
      <c r="F5346" s="181"/>
      <c r="G5346" s="181"/>
      <c r="H5346" s="181"/>
      <c r="I5346" s="181"/>
      <c r="J5346" s="181"/>
      <c r="K5346" s="181"/>
      <c r="L5346" s="181"/>
      <c r="M5346" s="181"/>
      <c r="N5346" s="181"/>
      <c r="O5346" s="181"/>
      <c r="P5346" s="181"/>
    </row>
    <row r="5347">
      <c r="B5347" s="292"/>
      <c r="C5347" s="181"/>
      <c r="D5347" s="181"/>
      <c r="E5347" s="181"/>
      <c r="F5347" s="181"/>
      <c r="G5347" s="181"/>
      <c r="H5347" s="181"/>
      <c r="I5347" s="181"/>
      <c r="J5347" s="181"/>
      <c r="K5347" s="181"/>
      <c r="L5347" s="181"/>
      <c r="M5347" s="181"/>
      <c r="N5347" s="181"/>
      <c r="O5347" s="181"/>
      <c r="P5347" s="181"/>
    </row>
    <row r="5348">
      <c r="B5348" s="292"/>
      <c r="C5348" s="181"/>
      <c r="D5348" s="181"/>
      <c r="E5348" s="181"/>
      <c r="F5348" s="181"/>
      <c r="G5348" s="181"/>
      <c r="H5348" s="181"/>
      <c r="I5348" s="181"/>
      <c r="J5348" s="181"/>
      <c r="K5348" s="181"/>
      <c r="L5348" s="181"/>
      <c r="M5348" s="181"/>
      <c r="N5348" s="181"/>
      <c r="O5348" s="181"/>
      <c r="P5348" s="181"/>
    </row>
    <row r="5349">
      <c r="B5349" s="292"/>
      <c r="C5349" s="181"/>
      <c r="D5349" s="181"/>
      <c r="E5349" s="181"/>
      <c r="F5349" s="181"/>
      <c r="G5349" s="181"/>
      <c r="H5349" s="181"/>
      <c r="I5349" s="181"/>
      <c r="J5349" s="181"/>
      <c r="K5349" s="181"/>
      <c r="L5349" s="181"/>
      <c r="M5349" s="181"/>
      <c r="N5349" s="181"/>
      <c r="O5349" s="181"/>
      <c r="P5349" s="181"/>
    </row>
    <row r="5350">
      <c r="B5350" s="292"/>
      <c r="C5350" s="181"/>
      <c r="D5350" s="181"/>
      <c r="E5350" s="181"/>
      <c r="F5350" s="181"/>
      <c r="G5350" s="181"/>
      <c r="H5350" s="181"/>
      <c r="I5350" s="181"/>
      <c r="J5350" s="181"/>
      <c r="K5350" s="181"/>
      <c r="L5350" s="181"/>
      <c r="M5350" s="181"/>
      <c r="N5350" s="181"/>
      <c r="O5350" s="181"/>
      <c r="P5350" s="181"/>
    </row>
    <row r="5351">
      <c r="B5351" s="292"/>
      <c r="C5351" s="181"/>
      <c r="D5351" s="181"/>
      <c r="E5351" s="181"/>
      <c r="F5351" s="181"/>
      <c r="G5351" s="181"/>
      <c r="H5351" s="181"/>
      <c r="I5351" s="181"/>
      <c r="J5351" s="181"/>
      <c r="K5351" s="181"/>
      <c r="L5351" s="181"/>
      <c r="M5351" s="181"/>
      <c r="N5351" s="181"/>
      <c r="O5351" s="181"/>
      <c r="P5351" s="181"/>
    </row>
    <row r="5352">
      <c r="B5352" s="292"/>
      <c r="C5352" s="181"/>
      <c r="D5352" s="181"/>
      <c r="E5352" s="181"/>
      <c r="F5352" s="181"/>
      <c r="G5352" s="181"/>
      <c r="H5352" s="181"/>
      <c r="I5352" s="181"/>
      <c r="J5352" s="181"/>
      <c r="K5352" s="181"/>
      <c r="L5352" s="181"/>
      <c r="M5352" s="181"/>
      <c r="N5352" s="181"/>
      <c r="O5352" s="181"/>
      <c r="P5352" s="181"/>
    </row>
    <row r="5353">
      <c r="B5353" s="292"/>
      <c r="C5353" s="181"/>
      <c r="D5353" s="181"/>
      <c r="E5353" s="181"/>
      <c r="F5353" s="181"/>
      <c r="G5353" s="181"/>
      <c r="H5353" s="181"/>
      <c r="I5353" s="181"/>
      <c r="J5353" s="181"/>
      <c r="K5353" s="181"/>
      <c r="L5353" s="181"/>
      <c r="M5353" s="181"/>
      <c r="N5353" s="181"/>
      <c r="O5353" s="181"/>
      <c r="P5353" s="181"/>
    </row>
    <row r="5354">
      <c r="B5354" s="292"/>
      <c r="C5354" s="181"/>
      <c r="D5354" s="181"/>
      <c r="E5354" s="181"/>
      <c r="F5354" s="181"/>
      <c r="G5354" s="181"/>
      <c r="H5354" s="181"/>
      <c r="I5354" s="181"/>
      <c r="J5354" s="181"/>
      <c r="K5354" s="181"/>
      <c r="L5354" s="181"/>
      <c r="M5354" s="181"/>
      <c r="N5354" s="181"/>
      <c r="O5354" s="181"/>
      <c r="P5354" s="181"/>
    </row>
    <row r="5355">
      <c r="B5355" s="292"/>
      <c r="C5355" s="181"/>
      <c r="D5355" s="181"/>
      <c r="E5355" s="181"/>
      <c r="F5355" s="181"/>
      <c r="G5355" s="181"/>
      <c r="H5355" s="181"/>
      <c r="I5355" s="181"/>
      <c r="J5355" s="181"/>
      <c r="K5355" s="181"/>
      <c r="L5355" s="181"/>
      <c r="M5355" s="181"/>
      <c r="N5355" s="181"/>
      <c r="O5355" s="181"/>
      <c r="P5355" s="181"/>
    </row>
    <row r="5356">
      <c r="B5356" s="292"/>
      <c r="C5356" s="181"/>
      <c r="D5356" s="181"/>
      <c r="E5356" s="181"/>
      <c r="F5356" s="181"/>
      <c r="G5356" s="181"/>
      <c r="H5356" s="181"/>
      <c r="I5356" s="181"/>
      <c r="J5356" s="181"/>
      <c r="K5356" s="181"/>
      <c r="L5356" s="181"/>
      <c r="M5356" s="181"/>
      <c r="N5356" s="181"/>
      <c r="O5356" s="181"/>
      <c r="P5356" s="181"/>
    </row>
    <row r="5357">
      <c r="B5357" s="292"/>
      <c r="C5357" s="181"/>
      <c r="D5357" s="181"/>
      <c r="E5357" s="181"/>
      <c r="F5357" s="181"/>
      <c r="G5357" s="181"/>
      <c r="H5357" s="181"/>
      <c r="I5357" s="181"/>
      <c r="J5357" s="181"/>
      <c r="K5357" s="181"/>
      <c r="L5357" s="181"/>
      <c r="M5357" s="181"/>
      <c r="N5357" s="181"/>
      <c r="O5357" s="181"/>
      <c r="P5357" s="181"/>
    </row>
    <row r="5358">
      <c r="B5358" s="292"/>
      <c r="C5358" s="181"/>
      <c r="D5358" s="181"/>
      <c r="E5358" s="181"/>
      <c r="F5358" s="181"/>
      <c r="G5358" s="181"/>
      <c r="H5358" s="181"/>
      <c r="I5358" s="181"/>
      <c r="J5358" s="181"/>
      <c r="K5358" s="181"/>
      <c r="L5358" s="181"/>
      <c r="M5358" s="181"/>
      <c r="N5358" s="181"/>
      <c r="O5358" s="181"/>
      <c r="P5358" s="181"/>
    </row>
    <row r="5359">
      <c r="B5359" s="292"/>
      <c r="C5359" s="181"/>
      <c r="D5359" s="181"/>
      <c r="E5359" s="181"/>
      <c r="F5359" s="181"/>
      <c r="G5359" s="181"/>
      <c r="H5359" s="181"/>
      <c r="I5359" s="181"/>
      <c r="J5359" s="181"/>
      <c r="K5359" s="181"/>
      <c r="L5359" s="181"/>
      <c r="M5359" s="181"/>
      <c r="N5359" s="181"/>
      <c r="O5359" s="181"/>
      <c r="P5359" s="181"/>
    </row>
    <row r="5360">
      <c r="B5360" s="292"/>
      <c r="C5360" s="181"/>
      <c r="D5360" s="181"/>
      <c r="E5360" s="181"/>
      <c r="F5360" s="181"/>
      <c r="G5360" s="181"/>
      <c r="H5360" s="181"/>
      <c r="I5360" s="181"/>
      <c r="J5360" s="181"/>
      <c r="K5360" s="181"/>
      <c r="L5360" s="181"/>
      <c r="M5360" s="181"/>
      <c r="N5360" s="181"/>
      <c r="O5360" s="181"/>
      <c r="P5360" s="181"/>
    </row>
    <row r="5361">
      <c r="B5361" s="292"/>
      <c r="C5361" s="181"/>
      <c r="D5361" s="181"/>
      <c r="E5361" s="181"/>
      <c r="F5361" s="181"/>
      <c r="G5361" s="181"/>
      <c r="H5361" s="181"/>
      <c r="I5361" s="181"/>
      <c r="J5361" s="181"/>
      <c r="K5361" s="181"/>
      <c r="L5361" s="181"/>
      <c r="M5361" s="181"/>
      <c r="N5361" s="181"/>
      <c r="O5361" s="181"/>
      <c r="P5361" s="181"/>
    </row>
    <row r="5362">
      <c r="B5362" s="292"/>
      <c r="C5362" s="181"/>
      <c r="D5362" s="181"/>
      <c r="E5362" s="181"/>
      <c r="F5362" s="181"/>
      <c r="G5362" s="181"/>
      <c r="H5362" s="181"/>
      <c r="I5362" s="181"/>
      <c r="J5362" s="181"/>
      <c r="K5362" s="181"/>
      <c r="L5362" s="181"/>
      <c r="M5362" s="181"/>
      <c r="N5362" s="181"/>
      <c r="O5362" s="181"/>
      <c r="P5362" s="181"/>
    </row>
    <row r="5363">
      <c r="B5363" s="292"/>
      <c r="C5363" s="181"/>
      <c r="D5363" s="181"/>
      <c r="E5363" s="181"/>
      <c r="F5363" s="181"/>
      <c r="G5363" s="181"/>
      <c r="H5363" s="181"/>
      <c r="I5363" s="181"/>
      <c r="J5363" s="181"/>
      <c r="K5363" s="181"/>
      <c r="L5363" s="181"/>
      <c r="M5363" s="181"/>
      <c r="N5363" s="181"/>
      <c r="O5363" s="181"/>
      <c r="P5363" s="181"/>
    </row>
    <row r="5364">
      <c r="B5364" s="292"/>
      <c r="C5364" s="181"/>
      <c r="D5364" s="181"/>
      <c r="E5364" s="181"/>
      <c r="F5364" s="181"/>
      <c r="G5364" s="181"/>
      <c r="H5364" s="181"/>
      <c r="I5364" s="181"/>
      <c r="J5364" s="181"/>
      <c r="K5364" s="181"/>
      <c r="L5364" s="181"/>
      <c r="M5364" s="181"/>
      <c r="N5364" s="181"/>
      <c r="O5364" s="181"/>
      <c r="P5364" s="181"/>
    </row>
    <row r="5365">
      <c r="B5365" s="292"/>
      <c r="C5365" s="181"/>
      <c r="D5365" s="181"/>
      <c r="E5365" s="181"/>
      <c r="F5365" s="181"/>
      <c r="G5365" s="181"/>
      <c r="H5365" s="181"/>
      <c r="I5365" s="181"/>
      <c r="J5365" s="181"/>
      <c r="K5365" s="181"/>
      <c r="L5365" s="181"/>
      <c r="M5365" s="181"/>
      <c r="N5365" s="181"/>
      <c r="O5365" s="181"/>
      <c r="P5365" s="181"/>
    </row>
    <row r="5366">
      <c r="B5366" s="292"/>
      <c r="C5366" s="181"/>
      <c r="D5366" s="181"/>
      <c r="E5366" s="181"/>
      <c r="F5366" s="181"/>
      <c r="G5366" s="181"/>
      <c r="H5366" s="181"/>
      <c r="I5366" s="181"/>
      <c r="J5366" s="181"/>
      <c r="K5366" s="181"/>
      <c r="L5366" s="181"/>
      <c r="M5366" s="181"/>
      <c r="N5366" s="181"/>
      <c r="O5366" s="181"/>
      <c r="P5366" s="181"/>
    </row>
    <row r="5367">
      <c r="B5367" s="292"/>
      <c r="C5367" s="181"/>
      <c r="D5367" s="181"/>
      <c r="E5367" s="181"/>
      <c r="F5367" s="181"/>
      <c r="G5367" s="181"/>
      <c r="H5367" s="181"/>
      <c r="I5367" s="181"/>
      <c r="J5367" s="181"/>
      <c r="K5367" s="181"/>
      <c r="L5367" s="181"/>
      <c r="M5367" s="181"/>
      <c r="N5367" s="181"/>
      <c r="O5367" s="181"/>
      <c r="P5367" s="181"/>
    </row>
    <row r="5368">
      <c r="B5368" s="292"/>
      <c r="C5368" s="181"/>
      <c r="D5368" s="181"/>
      <c r="E5368" s="181"/>
      <c r="F5368" s="181"/>
      <c r="G5368" s="181"/>
      <c r="H5368" s="181"/>
      <c r="I5368" s="181"/>
      <c r="J5368" s="181"/>
      <c r="K5368" s="181"/>
      <c r="L5368" s="181"/>
      <c r="M5368" s="181"/>
      <c r="N5368" s="181"/>
      <c r="O5368" s="181"/>
      <c r="P5368" s="181"/>
    </row>
    <row r="5369">
      <c r="B5369" s="292"/>
      <c r="C5369" s="181"/>
      <c r="D5369" s="181"/>
      <c r="E5369" s="181"/>
      <c r="F5369" s="181"/>
      <c r="G5369" s="181"/>
      <c r="H5369" s="181"/>
      <c r="I5369" s="181"/>
      <c r="J5369" s="181"/>
      <c r="K5369" s="181"/>
      <c r="L5369" s="181"/>
      <c r="M5369" s="181"/>
      <c r="N5369" s="181"/>
      <c r="O5369" s="181"/>
      <c r="P5369" s="181"/>
    </row>
    <row r="5370">
      <c r="B5370" s="292"/>
      <c r="C5370" s="181"/>
      <c r="D5370" s="181"/>
      <c r="E5370" s="181"/>
      <c r="F5370" s="181"/>
      <c r="G5370" s="181"/>
      <c r="H5370" s="181"/>
      <c r="I5370" s="181"/>
      <c r="J5370" s="181"/>
      <c r="K5370" s="181"/>
      <c r="L5370" s="181"/>
      <c r="M5370" s="181"/>
      <c r="N5370" s="181"/>
      <c r="O5370" s="181"/>
      <c r="P5370" s="181"/>
    </row>
    <row r="5371">
      <c r="B5371" s="292"/>
      <c r="C5371" s="181"/>
      <c r="D5371" s="181"/>
      <c r="E5371" s="181"/>
      <c r="F5371" s="181"/>
      <c r="G5371" s="181"/>
      <c r="H5371" s="181"/>
      <c r="I5371" s="181"/>
      <c r="J5371" s="181"/>
      <c r="K5371" s="181"/>
      <c r="L5371" s="181"/>
      <c r="M5371" s="181"/>
      <c r="N5371" s="181"/>
      <c r="O5371" s="181"/>
      <c r="P5371" s="181"/>
    </row>
    <row r="5372">
      <c r="B5372" s="292"/>
      <c r="C5372" s="181"/>
      <c r="D5372" s="181"/>
      <c r="E5372" s="181"/>
      <c r="F5372" s="181"/>
      <c r="G5372" s="181"/>
      <c r="H5372" s="181"/>
      <c r="I5372" s="181"/>
      <c r="J5372" s="181"/>
      <c r="K5372" s="181"/>
      <c r="L5372" s="181"/>
      <c r="M5372" s="181"/>
      <c r="N5372" s="181"/>
      <c r="O5372" s="181"/>
      <c r="P5372" s="181"/>
    </row>
    <row r="5373">
      <c r="B5373" s="292"/>
      <c r="C5373" s="181"/>
      <c r="D5373" s="181"/>
      <c r="E5373" s="181"/>
      <c r="F5373" s="181"/>
      <c r="G5373" s="181"/>
      <c r="H5373" s="181"/>
      <c r="I5373" s="181"/>
      <c r="J5373" s="181"/>
      <c r="K5373" s="181"/>
      <c r="L5373" s="181"/>
      <c r="M5373" s="181"/>
      <c r="N5373" s="181"/>
      <c r="O5373" s="181"/>
      <c r="P5373" s="181"/>
    </row>
    <row r="5374">
      <c r="B5374" s="292"/>
      <c r="C5374" s="181"/>
      <c r="D5374" s="181"/>
      <c r="E5374" s="181"/>
      <c r="F5374" s="181"/>
      <c r="G5374" s="181"/>
      <c r="H5374" s="181"/>
      <c r="I5374" s="181"/>
      <c r="J5374" s="181"/>
      <c r="K5374" s="181"/>
      <c r="L5374" s="181"/>
      <c r="M5374" s="181"/>
      <c r="N5374" s="181"/>
      <c r="O5374" s="181"/>
      <c r="P5374" s="181"/>
    </row>
    <row r="5375">
      <c r="B5375" s="292"/>
      <c r="C5375" s="181"/>
      <c r="D5375" s="181"/>
      <c r="E5375" s="181"/>
      <c r="F5375" s="181"/>
      <c r="G5375" s="181"/>
      <c r="H5375" s="181"/>
      <c r="I5375" s="181"/>
      <c r="J5375" s="181"/>
      <c r="K5375" s="181"/>
      <c r="L5375" s="181"/>
      <c r="M5375" s="181"/>
      <c r="N5375" s="181"/>
      <c r="O5375" s="181"/>
      <c r="P5375" s="181"/>
    </row>
    <row r="5376">
      <c r="B5376" s="292"/>
      <c r="C5376" s="181"/>
      <c r="D5376" s="181"/>
      <c r="E5376" s="181"/>
      <c r="F5376" s="181"/>
      <c r="G5376" s="181"/>
      <c r="H5376" s="181"/>
      <c r="I5376" s="181"/>
      <c r="J5376" s="181"/>
      <c r="K5376" s="181"/>
      <c r="L5376" s="181"/>
      <c r="M5376" s="181"/>
      <c r="N5376" s="181"/>
      <c r="O5376" s="181"/>
      <c r="P5376" s="181"/>
    </row>
    <row r="5377">
      <c r="B5377" s="292"/>
      <c r="C5377" s="181"/>
      <c r="D5377" s="181"/>
      <c r="E5377" s="181"/>
      <c r="F5377" s="181"/>
      <c r="G5377" s="181"/>
      <c r="H5377" s="181"/>
      <c r="I5377" s="181"/>
      <c r="J5377" s="181"/>
      <c r="K5377" s="181"/>
      <c r="L5377" s="181"/>
      <c r="M5377" s="181"/>
      <c r="N5377" s="181"/>
      <c r="O5377" s="181"/>
      <c r="P5377" s="181"/>
    </row>
    <row r="5378">
      <c r="B5378" s="292"/>
      <c r="C5378" s="181"/>
      <c r="D5378" s="181"/>
      <c r="E5378" s="181"/>
      <c r="F5378" s="181"/>
      <c r="G5378" s="181"/>
      <c r="H5378" s="181"/>
      <c r="I5378" s="181"/>
      <c r="J5378" s="181"/>
      <c r="K5378" s="181"/>
      <c r="L5378" s="181"/>
      <c r="M5378" s="181"/>
      <c r="N5378" s="181"/>
      <c r="O5378" s="181"/>
      <c r="P5378" s="181"/>
    </row>
    <row r="5379">
      <c r="B5379" s="292"/>
      <c r="C5379" s="181"/>
      <c r="D5379" s="181"/>
      <c r="E5379" s="181"/>
      <c r="F5379" s="181"/>
      <c r="G5379" s="181"/>
      <c r="H5379" s="181"/>
      <c r="I5379" s="181"/>
      <c r="J5379" s="181"/>
      <c r="K5379" s="181"/>
      <c r="L5379" s="181"/>
      <c r="M5379" s="181"/>
      <c r="N5379" s="181"/>
      <c r="O5379" s="181"/>
      <c r="P5379" s="181"/>
    </row>
    <row r="5380">
      <c r="B5380" s="292"/>
      <c r="C5380" s="181"/>
      <c r="D5380" s="181"/>
      <c r="E5380" s="181"/>
      <c r="F5380" s="181"/>
      <c r="G5380" s="181"/>
      <c r="H5380" s="181"/>
      <c r="I5380" s="181"/>
      <c r="J5380" s="181"/>
      <c r="K5380" s="181"/>
      <c r="L5380" s="181"/>
      <c r="M5380" s="181"/>
      <c r="N5380" s="181"/>
      <c r="O5380" s="181"/>
      <c r="P5380" s="181"/>
    </row>
    <row r="5381">
      <c r="B5381" s="292"/>
      <c r="C5381" s="181"/>
      <c r="D5381" s="181"/>
      <c r="E5381" s="181"/>
      <c r="F5381" s="181"/>
      <c r="G5381" s="181"/>
      <c r="H5381" s="181"/>
      <c r="I5381" s="181"/>
      <c r="J5381" s="181"/>
      <c r="K5381" s="181"/>
      <c r="L5381" s="181"/>
      <c r="M5381" s="181"/>
      <c r="N5381" s="181"/>
      <c r="O5381" s="181"/>
      <c r="P5381" s="181"/>
    </row>
    <row r="5382">
      <c r="B5382" s="292"/>
      <c r="C5382" s="181"/>
      <c r="D5382" s="181"/>
      <c r="E5382" s="181"/>
      <c r="F5382" s="181"/>
      <c r="G5382" s="181"/>
      <c r="H5382" s="181"/>
      <c r="I5382" s="181"/>
      <c r="J5382" s="181"/>
      <c r="K5382" s="181"/>
      <c r="L5382" s="181"/>
      <c r="M5382" s="181"/>
      <c r="N5382" s="181"/>
      <c r="O5382" s="181"/>
      <c r="P5382" s="181"/>
    </row>
    <row r="5383">
      <c r="B5383" s="292"/>
      <c r="C5383" s="181"/>
      <c r="D5383" s="181"/>
      <c r="E5383" s="181"/>
      <c r="F5383" s="181"/>
      <c r="G5383" s="181"/>
      <c r="H5383" s="181"/>
      <c r="I5383" s="181"/>
      <c r="J5383" s="181"/>
      <c r="K5383" s="181"/>
      <c r="L5383" s="181"/>
      <c r="M5383" s="181"/>
      <c r="N5383" s="181"/>
      <c r="O5383" s="181"/>
      <c r="P5383" s="181"/>
    </row>
    <row r="5384">
      <c r="B5384" s="292"/>
      <c r="C5384" s="181"/>
      <c r="D5384" s="181"/>
      <c r="E5384" s="181"/>
      <c r="F5384" s="181"/>
      <c r="G5384" s="181"/>
      <c r="H5384" s="181"/>
      <c r="I5384" s="181"/>
      <c r="J5384" s="181"/>
      <c r="K5384" s="181"/>
      <c r="L5384" s="181"/>
      <c r="M5384" s="181"/>
      <c r="N5384" s="181"/>
      <c r="O5384" s="181"/>
      <c r="P5384" s="181"/>
    </row>
    <row r="5385">
      <c r="B5385" s="292"/>
      <c r="C5385" s="181"/>
      <c r="D5385" s="181"/>
      <c r="E5385" s="181"/>
      <c r="F5385" s="181"/>
      <c r="G5385" s="181"/>
      <c r="H5385" s="181"/>
      <c r="I5385" s="181"/>
      <c r="J5385" s="181"/>
      <c r="K5385" s="181"/>
      <c r="L5385" s="181"/>
      <c r="M5385" s="181"/>
      <c r="N5385" s="181"/>
      <c r="O5385" s="181"/>
      <c r="P5385" s="181"/>
    </row>
    <row r="5386">
      <c r="B5386" s="292"/>
      <c r="C5386" s="181"/>
      <c r="D5386" s="181"/>
      <c r="E5386" s="181"/>
      <c r="F5386" s="181"/>
      <c r="G5386" s="181"/>
      <c r="H5386" s="181"/>
      <c r="I5386" s="181"/>
      <c r="J5386" s="181"/>
      <c r="K5386" s="181"/>
      <c r="L5386" s="181"/>
      <c r="M5386" s="181"/>
      <c r="N5386" s="181"/>
      <c r="O5386" s="181"/>
      <c r="P5386" s="181"/>
    </row>
    <row r="5387">
      <c r="B5387" s="292"/>
      <c r="C5387" s="181"/>
      <c r="D5387" s="181"/>
      <c r="E5387" s="181"/>
      <c r="F5387" s="181"/>
      <c r="G5387" s="181"/>
      <c r="H5387" s="181"/>
      <c r="I5387" s="181"/>
      <c r="J5387" s="181"/>
      <c r="K5387" s="181"/>
      <c r="L5387" s="181"/>
      <c r="M5387" s="181"/>
      <c r="N5387" s="181"/>
      <c r="O5387" s="181"/>
      <c r="P5387" s="181"/>
    </row>
    <row r="5388">
      <c r="B5388" s="292"/>
      <c r="C5388" s="181"/>
      <c r="D5388" s="181"/>
      <c r="E5388" s="181"/>
      <c r="F5388" s="181"/>
      <c r="G5388" s="181"/>
      <c r="H5388" s="181"/>
      <c r="I5388" s="181"/>
      <c r="J5388" s="181"/>
      <c r="K5388" s="181"/>
      <c r="L5388" s="181"/>
      <c r="M5388" s="181"/>
      <c r="N5388" s="181"/>
      <c r="O5388" s="181"/>
      <c r="P5388" s="181"/>
    </row>
    <row r="5389">
      <c r="B5389" s="292"/>
      <c r="C5389" s="181"/>
      <c r="D5389" s="181"/>
      <c r="E5389" s="181"/>
      <c r="F5389" s="181"/>
      <c r="G5389" s="181"/>
      <c r="H5389" s="181"/>
      <c r="I5389" s="181"/>
      <c r="J5389" s="181"/>
      <c r="K5389" s="181"/>
      <c r="L5389" s="181"/>
      <c r="M5389" s="181"/>
      <c r="N5389" s="181"/>
      <c r="O5389" s="181"/>
      <c r="P5389" s="181"/>
    </row>
    <row r="5390">
      <c r="B5390" s="292"/>
      <c r="C5390" s="181"/>
      <c r="D5390" s="181"/>
      <c r="E5390" s="181"/>
      <c r="F5390" s="181"/>
      <c r="G5390" s="181"/>
      <c r="H5390" s="181"/>
      <c r="I5390" s="181"/>
      <c r="J5390" s="181"/>
      <c r="K5390" s="181"/>
      <c r="L5390" s="181"/>
      <c r="M5390" s="181"/>
      <c r="N5390" s="181"/>
      <c r="O5390" s="181"/>
      <c r="P5390" s="181"/>
    </row>
    <row r="5391">
      <c r="B5391" s="292"/>
      <c r="C5391" s="181"/>
      <c r="D5391" s="181"/>
      <c r="E5391" s="181"/>
      <c r="F5391" s="181"/>
      <c r="G5391" s="181"/>
      <c r="H5391" s="181"/>
      <c r="I5391" s="181"/>
      <c r="J5391" s="181"/>
      <c r="K5391" s="181"/>
      <c r="L5391" s="181"/>
      <c r="M5391" s="181"/>
      <c r="N5391" s="181"/>
      <c r="O5391" s="181"/>
      <c r="P5391" s="181"/>
    </row>
    <row r="5392">
      <c r="B5392" s="292"/>
      <c r="C5392" s="181"/>
      <c r="D5392" s="181"/>
      <c r="E5392" s="181"/>
      <c r="F5392" s="181"/>
      <c r="G5392" s="181"/>
      <c r="H5392" s="181"/>
      <c r="I5392" s="181"/>
      <c r="J5392" s="181"/>
      <c r="K5392" s="181"/>
      <c r="L5392" s="181"/>
      <c r="M5392" s="181"/>
      <c r="N5392" s="181"/>
      <c r="O5392" s="181"/>
      <c r="P5392" s="181"/>
    </row>
    <row r="5393">
      <c r="B5393" s="292"/>
      <c r="C5393" s="181"/>
      <c r="D5393" s="181"/>
      <c r="E5393" s="181"/>
      <c r="F5393" s="181"/>
      <c r="G5393" s="181"/>
      <c r="H5393" s="181"/>
      <c r="I5393" s="181"/>
      <c r="J5393" s="181"/>
      <c r="K5393" s="181"/>
      <c r="L5393" s="181"/>
      <c r="M5393" s="181"/>
      <c r="N5393" s="181"/>
      <c r="O5393" s="181"/>
      <c r="P5393" s="181"/>
    </row>
    <row r="5394">
      <c r="B5394" s="292"/>
      <c r="C5394" s="181"/>
      <c r="D5394" s="181"/>
      <c r="E5394" s="181"/>
      <c r="F5394" s="181"/>
      <c r="G5394" s="181"/>
      <c r="H5394" s="181"/>
      <c r="I5394" s="181"/>
      <c r="J5394" s="181"/>
      <c r="K5394" s="181"/>
      <c r="L5394" s="181"/>
      <c r="M5394" s="181"/>
      <c r="N5394" s="181"/>
      <c r="O5394" s="181"/>
      <c r="P5394" s="181"/>
    </row>
    <row r="5395">
      <c r="B5395" s="292"/>
      <c r="C5395" s="181"/>
      <c r="D5395" s="181"/>
      <c r="E5395" s="181"/>
      <c r="F5395" s="181"/>
      <c r="G5395" s="181"/>
      <c r="H5395" s="181"/>
      <c r="I5395" s="181"/>
      <c r="J5395" s="181"/>
      <c r="K5395" s="181"/>
      <c r="L5395" s="181"/>
      <c r="M5395" s="181"/>
      <c r="N5395" s="181"/>
      <c r="O5395" s="181"/>
      <c r="P5395" s="181"/>
    </row>
    <row r="5396">
      <c r="B5396" s="292"/>
      <c r="C5396" s="181"/>
      <c r="D5396" s="181"/>
      <c r="E5396" s="181"/>
      <c r="F5396" s="181"/>
      <c r="G5396" s="181"/>
      <c r="H5396" s="181"/>
      <c r="I5396" s="181"/>
      <c r="J5396" s="181"/>
      <c r="K5396" s="181"/>
      <c r="L5396" s="181"/>
      <c r="M5396" s="181"/>
      <c r="N5396" s="181"/>
      <c r="O5396" s="181"/>
      <c r="P5396" s="181"/>
    </row>
    <row r="5397">
      <c r="B5397" s="292"/>
      <c r="C5397" s="181"/>
      <c r="D5397" s="181"/>
      <c r="E5397" s="181"/>
      <c r="F5397" s="181"/>
      <c r="G5397" s="181"/>
      <c r="H5397" s="181"/>
      <c r="I5397" s="181"/>
      <c r="J5397" s="181"/>
      <c r="K5397" s="181"/>
      <c r="L5397" s="181"/>
      <c r="M5397" s="181"/>
      <c r="N5397" s="181"/>
      <c r="O5397" s="181"/>
      <c r="P5397" s="181"/>
    </row>
    <row r="5398">
      <c r="B5398" s="292"/>
      <c r="C5398" s="181"/>
      <c r="D5398" s="181"/>
      <c r="E5398" s="181"/>
      <c r="F5398" s="181"/>
      <c r="G5398" s="181"/>
      <c r="H5398" s="181"/>
      <c r="I5398" s="181"/>
      <c r="J5398" s="181"/>
      <c r="K5398" s="181"/>
      <c r="L5398" s="181"/>
      <c r="M5398" s="181"/>
      <c r="N5398" s="181"/>
      <c r="O5398" s="181"/>
      <c r="P5398" s="181"/>
    </row>
    <row r="5399">
      <c r="B5399" s="292"/>
      <c r="C5399" s="181"/>
      <c r="D5399" s="181"/>
      <c r="E5399" s="181"/>
      <c r="F5399" s="181"/>
      <c r="G5399" s="181"/>
      <c r="H5399" s="181"/>
      <c r="I5399" s="181"/>
      <c r="J5399" s="181"/>
      <c r="K5399" s="181"/>
      <c r="L5399" s="181"/>
      <c r="M5399" s="181"/>
      <c r="N5399" s="181"/>
      <c r="O5399" s="181"/>
      <c r="P5399" s="181"/>
    </row>
    <row r="5400">
      <c r="B5400" s="292"/>
      <c r="C5400" s="181"/>
      <c r="D5400" s="181"/>
      <c r="E5400" s="181"/>
      <c r="F5400" s="181"/>
      <c r="G5400" s="181"/>
      <c r="H5400" s="181"/>
      <c r="I5400" s="181"/>
      <c r="J5400" s="181"/>
      <c r="K5400" s="181"/>
      <c r="L5400" s="181"/>
      <c r="M5400" s="181"/>
      <c r="N5400" s="181"/>
      <c r="O5400" s="181"/>
      <c r="P5400" s="181"/>
    </row>
    <row r="5401">
      <c r="B5401" s="292"/>
      <c r="C5401" s="181"/>
      <c r="D5401" s="181"/>
      <c r="E5401" s="181"/>
      <c r="F5401" s="181"/>
      <c r="G5401" s="181"/>
      <c r="H5401" s="181"/>
      <c r="I5401" s="181"/>
      <c r="J5401" s="181"/>
      <c r="K5401" s="181"/>
      <c r="L5401" s="181"/>
      <c r="M5401" s="181"/>
      <c r="N5401" s="181"/>
      <c r="O5401" s="181"/>
      <c r="P5401" s="181"/>
    </row>
    <row r="5402">
      <c r="B5402" s="292"/>
      <c r="C5402" s="181"/>
      <c r="D5402" s="181"/>
      <c r="E5402" s="181"/>
      <c r="F5402" s="181"/>
      <c r="G5402" s="181"/>
      <c r="H5402" s="181"/>
      <c r="I5402" s="181"/>
      <c r="J5402" s="181"/>
      <c r="K5402" s="181"/>
      <c r="L5402" s="181"/>
      <c r="M5402" s="181"/>
      <c r="N5402" s="181"/>
      <c r="O5402" s="181"/>
      <c r="P5402" s="181"/>
    </row>
    <row r="5403">
      <c r="B5403" s="292"/>
      <c r="C5403" s="181"/>
      <c r="D5403" s="181"/>
      <c r="E5403" s="181"/>
      <c r="F5403" s="181"/>
      <c r="G5403" s="181"/>
      <c r="H5403" s="181"/>
      <c r="I5403" s="181"/>
      <c r="J5403" s="181"/>
      <c r="K5403" s="181"/>
      <c r="L5403" s="181"/>
      <c r="M5403" s="181"/>
      <c r="N5403" s="181"/>
      <c r="O5403" s="181"/>
      <c r="P5403" s="181"/>
    </row>
    <row r="5404">
      <c r="B5404" s="292"/>
      <c r="C5404" s="181"/>
      <c r="D5404" s="181"/>
      <c r="E5404" s="181"/>
      <c r="F5404" s="181"/>
      <c r="G5404" s="181"/>
      <c r="H5404" s="181"/>
      <c r="I5404" s="181"/>
      <c r="J5404" s="181"/>
      <c r="K5404" s="181"/>
      <c r="L5404" s="181"/>
      <c r="M5404" s="181"/>
      <c r="N5404" s="181"/>
      <c r="O5404" s="181"/>
      <c r="P5404" s="181"/>
    </row>
    <row r="5405">
      <c r="B5405" s="292"/>
      <c r="C5405" s="181"/>
      <c r="D5405" s="181"/>
      <c r="E5405" s="181"/>
      <c r="F5405" s="181"/>
      <c r="G5405" s="181"/>
      <c r="H5405" s="181"/>
      <c r="I5405" s="181"/>
      <c r="J5405" s="181"/>
      <c r="K5405" s="181"/>
      <c r="L5405" s="181"/>
      <c r="M5405" s="181"/>
      <c r="N5405" s="181"/>
      <c r="O5405" s="181"/>
      <c r="P5405" s="181"/>
    </row>
    <row r="5406">
      <c r="B5406" s="292"/>
      <c r="C5406" s="181"/>
      <c r="D5406" s="181"/>
      <c r="E5406" s="181"/>
      <c r="F5406" s="181"/>
      <c r="G5406" s="181"/>
      <c r="H5406" s="181"/>
      <c r="I5406" s="181"/>
      <c r="J5406" s="181"/>
      <c r="K5406" s="181"/>
      <c r="L5406" s="181"/>
      <c r="M5406" s="181"/>
      <c r="N5406" s="181"/>
      <c r="O5406" s="181"/>
      <c r="P5406" s="181"/>
    </row>
    <row r="5407">
      <c r="B5407" s="292"/>
      <c r="C5407" s="181"/>
      <c r="D5407" s="181"/>
      <c r="E5407" s="181"/>
      <c r="F5407" s="181"/>
      <c r="G5407" s="181"/>
      <c r="H5407" s="181"/>
      <c r="I5407" s="181"/>
      <c r="J5407" s="181"/>
      <c r="K5407" s="181"/>
      <c r="L5407" s="181"/>
      <c r="M5407" s="181"/>
      <c r="N5407" s="181"/>
      <c r="O5407" s="181"/>
      <c r="P5407" s="181"/>
    </row>
    <row r="5408">
      <c r="B5408" s="292"/>
      <c r="C5408" s="181"/>
      <c r="D5408" s="181"/>
      <c r="E5408" s="181"/>
      <c r="F5408" s="181"/>
      <c r="G5408" s="181"/>
      <c r="H5408" s="181"/>
      <c r="I5408" s="181"/>
      <c r="J5408" s="181"/>
      <c r="K5408" s="181"/>
      <c r="L5408" s="181"/>
      <c r="M5408" s="181"/>
      <c r="N5408" s="181"/>
      <c r="O5408" s="181"/>
      <c r="P5408" s="181"/>
    </row>
    <row r="5409">
      <c r="B5409" s="292"/>
      <c r="C5409" s="181"/>
      <c r="D5409" s="181"/>
      <c r="E5409" s="181"/>
      <c r="F5409" s="181"/>
      <c r="G5409" s="181"/>
      <c r="H5409" s="181"/>
      <c r="I5409" s="181"/>
      <c r="J5409" s="181"/>
      <c r="K5409" s="181"/>
      <c r="L5409" s="181"/>
      <c r="M5409" s="181"/>
      <c r="N5409" s="181"/>
      <c r="O5409" s="181"/>
      <c r="P5409" s="181"/>
    </row>
    <row r="5410">
      <c r="B5410" s="292"/>
      <c r="C5410" s="181"/>
      <c r="D5410" s="181"/>
      <c r="E5410" s="181"/>
      <c r="F5410" s="181"/>
      <c r="G5410" s="181"/>
      <c r="H5410" s="181"/>
      <c r="I5410" s="181"/>
      <c r="J5410" s="181"/>
      <c r="K5410" s="181"/>
      <c r="L5410" s="181"/>
      <c r="M5410" s="181"/>
      <c r="N5410" s="181"/>
      <c r="O5410" s="181"/>
      <c r="P5410" s="181"/>
    </row>
    <row r="5411">
      <c r="B5411" s="292"/>
      <c r="C5411" s="181"/>
      <c r="D5411" s="181"/>
      <c r="E5411" s="181"/>
      <c r="F5411" s="181"/>
      <c r="G5411" s="181"/>
      <c r="H5411" s="181"/>
      <c r="I5411" s="181"/>
      <c r="J5411" s="181"/>
      <c r="K5411" s="181"/>
      <c r="L5411" s="181"/>
      <c r="M5411" s="181"/>
      <c r="N5411" s="181"/>
      <c r="O5411" s="181"/>
      <c r="P5411" s="181"/>
    </row>
    <row r="5412">
      <c r="B5412" s="292"/>
      <c r="C5412" s="181"/>
      <c r="D5412" s="181"/>
      <c r="E5412" s="181"/>
      <c r="F5412" s="181"/>
      <c r="G5412" s="181"/>
      <c r="H5412" s="181"/>
      <c r="I5412" s="181"/>
      <c r="J5412" s="181"/>
      <c r="K5412" s="181"/>
      <c r="L5412" s="181"/>
      <c r="M5412" s="181"/>
      <c r="N5412" s="181"/>
      <c r="O5412" s="181"/>
      <c r="P5412" s="181"/>
    </row>
    <row r="5413">
      <c r="B5413" s="292"/>
      <c r="C5413" s="181"/>
      <c r="D5413" s="181"/>
      <c r="E5413" s="181"/>
      <c r="F5413" s="181"/>
      <c r="G5413" s="181"/>
      <c r="H5413" s="181"/>
      <c r="I5413" s="181"/>
      <c r="J5413" s="181"/>
      <c r="K5413" s="181"/>
      <c r="L5413" s="181"/>
      <c r="M5413" s="181"/>
      <c r="N5413" s="181"/>
      <c r="O5413" s="181"/>
      <c r="P5413" s="181"/>
    </row>
    <row r="5414">
      <c r="B5414" s="292"/>
      <c r="C5414" s="181"/>
      <c r="D5414" s="181"/>
      <c r="E5414" s="181"/>
      <c r="F5414" s="181"/>
      <c r="G5414" s="181"/>
      <c r="H5414" s="181"/>
      <c r="I5414" s="181"/>
      <c r="J5414" s="181"/>
      <c r="K5414" s="181"/>
      <c r="L5414" s="181"/>
      <c r="M5414" s="181"/>
      <c r="N5414" s="181"/>
      <c r="O5414" s="181"/>
      <c r="P5414" s="181"/>
    </row>
    <row r="5415">
      <c r="B5415" s="292"/>
      <c r="C5415" s="181"/>
      <c r="D5415" s="181"/>
      <c r="E5415" s="181"/>
      <c r="F5415" s="181"/>
      <c r="G5415" s="181"/>
      <c r="H5415" s="181"/>
      <c r="I5415" s="181"/>
      <c r="J5415" s="181"/>
      <c r="K5415" s="181"/>
      <c r="L5415" s="181"/>
      <c r="M5415" s="181"/>
      <c r="N5415" s="181"/>
      <c r="O5415" s="181"/>
      <c r="P5415" s="181"/>
    </row>
    <row r="5416">
      <c r="B5416" s="292"/>
      <c r="C5416" s="181"/>
      <c r="D5416" s="181"/>
      <c r="E5416" s="181"/>
      <c r="F5416" s="181"/>
      <c r="G5416" s="181"/>
      <c r="H5416" s="181"/>
      <c r="I5416" s="181"/>
      <c r="J5416" s="181"/>
      <c r="K5416" s="181"/>
      <c r="L5416" s="181"/>
      <c r="M5416" s="181"/>
      <c r="N5416" s="181"/>
      <c r="O5416" s="181"/>
      <c r="P5416" s="181"/>
    </row>
    <row r="5417">
      <c r="B5417" s="292"/>
      <c r="C5417" s="181"/>
      <c r="D5417" s="181"/>
      <c r="E5417" s="181"/>
      <c r="F5417" s="181"/>
      <c r="G5417" s="181"/>
      <c r="H5417" s="181"/>
      <c r="I5417" s="181"/>
      <c r="J5417" s="181"/>
      <c r="K5417" s="181"/>
      <c r="L5417" s="181"/>
      <c r="M5417" s="181"/>
      <c r="N5417" s="181"/>
      <c r="O5417" s="181"/>
      <c r="P5417" s="181"/>
    </row>
    <row r="5418">
      <c r="B5418" s="292"/>
      <c r="C5418" s="181"/>
      <c r="D5418" s="181"/>
      <c r="E5418" s="181"/>
      <c r="F5418" s="181"/>
      <c r="G5418" s="181"/>
      <c r="H5418" s="181"/>
      <c r="I5418" s="181"/>
      <c r="J5418" s="181"/>
      <c r="K5418" s="181"/>
      <c r="L5418" s="181"/>
      <c r="M5418" s="181"/>
      <c r="N5418" s="181"/>
      <c r="O5418" s="181"/>
      <c r="P5418" s="181"/>
    </row>
    <row r="5419">
      <c r="B5419" s="292"/>
      <c r="C5419" s="181"/>
      <c r="D5419" s="181"/>
      <c r="E5419" s="181"/>
      <c r="F5419" s="181"/>
      <c r="G5419" s="181"/>
      <c r="H5419" s="181"/>
      <c r="I5419" s="181"/>
      <c r="J5419" s="181"/>
      <c r="K5419" s="181"/>
      <c r="L5419" s="181"/>
      <c r="M5419" s="181"/>
      <c r="N5419" s="181"/>
      <c r="O5419" s="181"/>
      <c r="P5419" s="181"/>
    </row>
    <row r="5420">
      <c r="B5420" s="292"/>
      <c r="C5420" s="181"/>
      <c r="D5420" s="181"/>
      <c r="E5420" s="181"/>
      <c r="F5420" s="181"/>
      <c r="G5420" s="181"/>
      <c r="H5420" s="181"/>
      <c r="I5420" s="181"/>
      <c r="J5420" s="181"/>
      <c r="K5420" s="181"/>
      <c r="L5420" s="181"/>
      <c r="M5420" s="181"/>
      <c r="N5420" s="181"/>
      <c r="O5420" s="181"/>
      <c r="P5420" s="181"/>
    </row>
    <row r="5421">
      <c r="B5421" s="292"/>
      <c r="C5421" s="181"/>
      <c r="D5421" s="181"/>
      <c r="E5421" s="181"/>
      <c r="F5421" s="181"/>
      <c r="G5421" s="181"/>
      <c r="H5421" s="181"/>
      <c r="I5421" s="181"/>
      <c r="J5421" s="181"/>
      <c r="K5421" s="181"/>
      <c r="L5421" s="181"/>
      <c r="M5421" s="181"/>
      <c r="N5421" s="181"/>
      <c r="O5421" s="181"/>
      <c r="P5421" s="181"/>
    </row>
    <row r="5422">
      <c r="B5422" s="292"/>
      <c r="C5422" s="181"/>
      <c r="D5422" s="181"/>
      <c r="E5422" s="181"/>
      <c r="F5422" s="181"/>
      <c r="G5422" s="181"/>
      <c r="H5422" s="181"/>
      <c r="I5422" s="181"/>
      <c r="J5422" s="181"/>
      <c r="K5422" s="181"/>
      <c r="L5422" s="181"/>
      <c r="M5422" s="181"/>
      <c r="N5422" s="181"/>
      <c r="O5422" s="181"/>
      <c r="P5422" s="181"/>
    </row>
    <row r="5423">
      <c r="B5423" s="292"/>
      <c r="C5423" s="181"/>
      <c r="D5423" s="181"/>
      <c r="E5423" s="181"/>
      <c r="F5423" s="181"/>
      <c r="G5423" s="181"/>
      <c r="H5423" s="181"/>
      <c r="I5423" s="181"/>
      <c r="J5423" s="181"/>
      <c r="K5423" s="181"/>
      <c r="L5423" s="181"/>
      <c r="M5423" s="181"/>
      <c r="N5423" s="181"/>
      <c r="O5423" s="181"/>
      <c r="P5423" s="181"/>
    </row>
    <row r="5424">
      <c r="B5424" s="292"/>
      <c r="C5424" s="181"/>
      <c r="D5424" s="181"/>
      <c r="E5424" s="181"/>
      <c r="F5424" s="181"/>
      <c r="G5424" s="181"/>
      <c r="H5424" s="181"/>
      <c r="I5424" s="181"/>
      <c r="J5424" s="181"/>
      <c r="K5424" s="181"/>
      <c r="L5424" s="181"/>
      <c r="M5424" s="181"/>
      <c r="N5424" s="181"/>
      <c r="O5424" s="181"/>
      <c r="P5424" s="181"/>
    </row>
    <row r="5425">
      <c r="B5425" s="292"/>
      <c r="C5425" s="181"/>
      <c r="D5425" s="181"/>
      <c r="E5425" s="181"/>
      <c r="F5425" s="181"/>
      <c r="G5425" s="181"/>
      <c r="H5425" s="181"/>
      <c r="I5425" s="181"/>
      <c r="J5425" s="181"/>
      <c r="K5425" s="181"/>
      <c r="L5425" s="181"/>
      <c r="M5425" s="181"/>
      <c r="N5425" s="181"/>
      <c r="O5425" s="181"/>
      <c r="P5425" s="181"/>
    </row>
    <row r="5426">
      <c r="B5426" s="292"/>
      <c r="C5426" s="181"/>
      <c r="D5426" s="181"/>
      <c r="E5426" s="181"/>
      <c r="F5426" s="181"/>
      <c r="G5426" s="181"/>
      <c r="H5426" s="181"/>
      <c r="I5426" s="181"/>
      <c r="J5426" s="181"/>
      <c r="K5426" s="181"/>
      <c r="L5426" s="181"/>
      <c r="M5426" s="181"/>
      <c r="N5426" s="181"/>
      <c r="O5426" s="181"/>
      <c r="P5426" s="181"/>
    </row>
    <row r="5427">
      <c r="B5427" s="292"/>
      <c r="C5427" s="181"/>
      <c r="D5427" s="181"/>
      <c r="E5427" s="181"/>
      <c r="F5427" s="181"/>
      <c r="G5427" s="181"/>
      <c r="H5427" s="181"/>
      <c r="I5427" s="181"/>
      <c r="J5427" s="181"/>
      <c r="K5427" s="181"/>
      <c r="L5427" s="181"/>
      <c r="M5427" s="181"/>
      <c r="N5427" s="181"/>
      <c r="O5427" s="181"/>
      <c r="P5427" s="181"/>
    </row>
    <row r="5428">
      <c r="B5428" s="292"/>
      <c r="C5428" s="181"/>
      <c r="D5428" s="181"/>
      <c r="E5428" s="181"/>
      <c r="F5428" s="181"/>
      <c r="G5428" s="181"/>
      <c r="H5428" s="181"/>
      <c r="I5428" s="181"/>
      <c r="J5428" s="181"/>
      <c r="K5428" s="181"/>
      <c r="L5428" s="181"/>
      <c r="M5428" s="181"/>
      <c r="N5428" s="181"/>
      <c r="O5428" s="181"/>
      <c r="P5428" s="181"/>
    </row>
    <row r="5429">
      <c r="B5429" s="292"/>
      <c r="C5429" s="181"/>
      <c r="D5429" s="181"/>
      <c r="E5429" s="181"/>
      <c r="F5429" s="181"/>
      <c r="G5429" s="181"/>
      <c r="H5429" s="181"/>
      <c r="I5429" s="181"/>
      <c r="J5429" s="181"/>
      <c r="K5429" s="181"/>
      <c r="L5429" s="181"/>
      <c r="M5429" s="181"/>
      <c r="N5429" s="181"/>
      <c r="O5429" s="181"/>
      <c r="P5429" s="181"/>
    </row>
    <row r="5430">
      <c r="B5430" s="292"/>
      <c r="C5430" s="181"/>
      <c r="D5430" s="181"/>
      <c r="E5430" s="181"/>
      <c r="F5430" s="181"/>
      <c r="G5430" s="181"/>
      <c r="H5430" s="181"/>
      <c r="I5430" s="181"/>
      <c r="J5430" s="181"/>
      <c r="K5430" s="181"/>
      <c r="L5430" s="181"/>
      <c r="M5430" s="181"/>
      <c r="N5430" s="181"/>
      <c r="O5430" s="181"/>
      <c r="P5430" s="181"/>
    </row>
    <row r="5431">
      <c r="B5431" s="292"/>
      <c r="C5431" s="181"/>
      <c r="D5431" s="181"/>
      <c r="E5431" s="181"/>
      <c r="F5431" s="181"/>
      <c r="G5431" s="181"/>
      <c r="H5431" s="181"/>
      <c r="I5431" s="181"/>
      <c r="J5431" s="181"/>
      <c r="K5431" s="181"/>
      <c r="L5431" s="181"/>
      <c r="M5431" s="181"/>
      <c r="N5431" s="181"/>
      <c r="O5431" s="181"/>
      <c r="P5431" s="181"/>
    </row>
    <row r="5432">
      <c r="B5432" s="292"/>
      <c r="C5432" s="181"/>
      <c r="D5432" s="181"/>
      <c r="E5432" s="181"/>
      <c r="F5432" s="181"/>
      <c r="G5432" s="181"/>
      <c r="H5432" s="181"/>
      <c r="I5432" s="181"/>
      <c r="J5432" s="181"/>
      <c r="K5432" s="181"/>
      <c r="L5432" s="181"/>
      <c r="M5432" s="181"/>
      <c r="N5432" s="181"/>
      <c r="O5432" s="181"/>
      <c r="P5432" s="181"/>
    </row>
    <row r="5433">
      <c r="B5433" s="292"/>
      <c r="C5433" s="181"/>
      <c r="D5433" s="181"/>
      <c r="E5433" s="181"/>
      <c r="F5433" s="181"/>
      <c r="G5433" s="181"/>
      <c r="H5433" s="181"/>
      <c r="I5433" s="181"/>
      <c r="J5433" s="181"/>
      <c r="K5433" s="181"/>
      <c r="L5433" s="181"/>
      <c r="M5433" s="181"/>
      <c r="N5433" s="181"/>
      <c r="O5433" s="181"/>
      <c r="P5433" s="181"/>
    </row>
    <row r="5434">
      <c r="B5434" s="292"/>
      <c r="C5434" s="181"/>
      <c r="D5434" s="181"/>
      <c r="E5434" s="181"/>
      <c r="F5434" s="181"/>
      <c r="G5434" s="181"/>
      <c r="H5434" s="181"/>
      <c r="I5434" s="181"/>
      <c r="J5434" s="181"/>
      <c r="K5434" s="181"/>
      <c r="L5434" s="181"/>
      <c r="M5434" s="181"/>
      <c r="N5434" s="181"/>
      <c r="O5434" s="181"/>
      <c r="P5434" s="181"/>
    </row>
    <row r="5435">
      <c r="B5435" s="292"/>
      <c r="C5435" s="181"/>
      <c r="D5435" s="181"/>
      <c r="E5435" s="181"/>
      <c r="F5435" s="181"/>
      <c r="G5435" s="181"/>
      <c r="H5435" s="181"/>
      <c r="I5435" s="181"/>
      <c r="J5435" s="181"/>
      <c r="K5435" s="181"/>
      <c r="L5435" s="181"/>
      <c r="M5435" s="181"/>
      <c r="N5435" s="181"/>
      <c r="O5435" s="181"/>
      <c r="P5435" s="181"/>
    </row>
    <row r="5436">
      <c r="B5436" s="292"/>
      <c r="C5436" s="181"/>
      <c r="D5436" s="181"/>
      <c r="E5436" s="181"/>
      <c r="F5436" s="181"/>
      <c r="G5436" s="181"/>
      <c r="H5436" s="181"/>
      <c r="I5436" s="181"/>
      <c r="J5436" s="181"/>
      <c r="K5436" s="181"/>
      <c r="L5436" s="181"/>
      <c r="M5436" s="181"/>
      <c r="N5436" s="181"/>
      <c r="O5436" s="181"/>
      <c r="P5436" s="181"/>
    </row>
    <row r="5437">
      <c r="B5437" s="292"/>
      <c r="C5437" s="181"/>
      <c r="D5437" s="181"/>
      <c r="E5437" s="181"/>
      <c r="F5437" s="181"/>
      <c r="G5437" s="181"/>
      <c r="H5437" s="181"/>
      <c r="I5437" s="181"/>
      <c r="J5437" s="181"/>
      <c r="K5437" s="181"/>
      <c r="L5437" s="181"/>
      <c r="M5437" s="181"/>
      <c r="N5437" s="181"/>
      <c r="O5437" s="181"/>
      <c r="P5437" s="181"/>
    </row>
    <row r="5438">
      <c r="B5438" s="292"/>
      <c r="C5438" s="181"/>
      <c r="D5438" s="181"/>
      <c r="E5438" s="181"/>
      <c r="F5438" s="181"/>
      <c r="G5438" s="181"/>
      <c r="H5438" s="181"/>
      <c r="I5438" s="181"/>
      <c r="J5438" s="181"/>
      <c r="K5438" s="181"/>
      <c r="L5438" s="181"/>
      <c r="M5438" s="181"/>
      <c r="N5438" s="181"/>
      <c r="O5438" s="181"/>
      <c r="P5438" s="181"/>
    </row>
    <row r="5439">
      <c r="B5439" s="292"/>
      <c r="C5439" s="181"/>
      <c r="D5439" s="181"/>
      <c r="E5439" s="181"/>
      <c r="F5439" s="181"/>
      <c r="G5439" s="181"/>
      <c r="H5439" s="181"/>
      <c r="I5439" s="181"/>
      <c r="J5439" s="181"/>
      <c r="K5439" s="181"/>
      <c r="L5439" s="181"/>
      <c r="M5439" s="181"/>
      <c r="N5439" s="181"/>
      <c r="O5439" s="181"/>
      <c r="P5439" s="181"/>
    </row>
    <row r="5440">
      <c r="B5440" s="292"/>
      <c r="C5440" s="181"/>
      <c r="D5440" s="181"/>
      <c r="E5440" s="181"/>
      <c r="F5440" s="181"/>
      <c r="G5440" s="181"/>
      <c r="H5440" s="181"/>
      <c r="I5440" s="181"/>
      <c r="J5440" s="181"/>
      <c r="K5440" s="181"/>
      <c r="L5440" s="181"/>
      <c r="M5440" s="181"/>
      <c r="N5440" s="181"/>
      <c r="O5440" s="181"/>
      <c r="P5440" s="181"/>
    </row>
    <row r="5441">
      <c r="B5441" s="292"/>
      <c r="C5441" s="181"/>
      <c r="D5441" s="181"/>
      <c r="E5441" s="181"/>
      <c r="F5441" s="181"/>
      <c r="G5441" s="181"/>
      <c r="H5441" s="181"/>
      <c r="I5441" s="181"/>
      <c r="J5441" s="181"/>
      <c r="K5441" s="181"/>
      <c r="L5441" s="181"/>
      <c r="M5441" s="181"/>
      <c r="N5441" s="181"/>
      <c r="O5441" s="181"/>
      <c r="P5441" s="181"/>
    </row>
    <row r="5442">
      <c r="B5442" s="292"/>
      <c r="C5442" s="181"/>
      <c r="D5442" s="181"/>
      <c r="E5442" s="181"/>
      <c r="F5442" s="181"/>
      <c r="G5442" s="181"/>
      <c r="H5442" s="181"/>
      <c r="I5442" s="181"/>
      <c r="J5442" s="181"/>
      <c r="K5442" s="181"/>
      <c r="L5442" s="181"/>
      <c r="M5442" s="181"/>
      <c r="N5442" s="181"/>
      <c r="O5442" s="181"/>
      <c r="P5442" s="181"/>
    </row>
    <row r="5443">
      <c r="B5443" s="292"/>
      <c r="C5443" s="181"/>
      <c r="D5443" s="181"/>
      <c r="E5443" s="181"/>
      <c r="F5443" s="181"/>
      <c r="G5443" s="181"/>
      <c r="H5443" s="181"/>
      <c r="I5443" s="181"/>
      <c r="J5443" s="181"/>
      <c r="K5443" s="181"/>
      <c r="L5443" s="181"/>
      <c r="M5443" s="181"/>
      <c r="N5443" s="181"/>
      <c r="O5443" s="181"/>
      <c r="P5443" s="181"/>
    </row>
    <row r="5444">
      <c r="B5444" s="292"/>
      <c r="C5444" s="181"/>
      <c r="D5444" s="181"/>
      <c r="E5444" s="181"/>
      <c r="F5444" s="181"/>
      <c r="G5444" s="181"/>
      <c r="H5444" s="181"/>
      <c r="I5444" s="181"/>
      <c r="J5444" s="181"/>
      <c r="K5444" s="181"/>
      <c r="L5444" s="181"/>
      <c r="M5444" s="181"/>
      <c r="N5444" s="181"/>
      <c r="O5444" s="181"/>
      <c r="P5444" s="181"/>
    </row>
    <row r="5445">
      <c r="B5445" s="292"/>
      <c r="C5445" s="181"/>
      <c r="D5445" s="181"/>
      <c r="E5445" s="181"/>
      <c r="F5445" s="181"/>
      <c r="G5445" s="181"/>
      <c r="H5445" s="181"/>
      <c r="I5445" s="181"/>
      <c r="J5445" s="181"/>
      <c r="K5445" s="181"/>
      <c r="L5445" s="181"/>
      <c r="M5445" s="181"/>
      <c r="N5445" s="181"/>
      <c r="O5445" s="181"/>
      <c r="P5445" s="181"/>
    </row>
    <row r="5446">
      <c r="B5446" s="292"/>
      <c r="C5446" s="181"/>
      <c r="D5446" s="181"/>
      <c r="E5446" s="181"/>
      <c r="F5446" s="181"/>
      <c r="G5446" s="181"/>
      <c r="H5446" s="181"/>
      <c r="I5446" s="181"/>
      <c r="J5446" s="181"/>
      <c r="K5446" s="181"/>
      <c r="L5446" s="181"/>
      <c r="M5446" s="181"/>
      <c r="N5446" s="181"/>
      <c r="O5446" s="181"/>
      <c r="P5446" s="181"/>
    </row>
    <row r="5447">
      <c r="B5447" s="292"/>
      <c r="C5447" s="181"/>
      <c r="D5447" s="181"/>
      <c r="E5447" s="181"/>
      <c r="F5447" s="181"/>
      <c r="G5447" s="181"/>
      <c r="H5447" s="181"/>
      <c r="I5447" s="181"/>
      <c r="J5447" s="181"/>
      <c r="K5447" s="181"/>
      <c r="L5447" s="181"/>
      <c r="M5447" s="181"/>
      <c r="N5447" s="181"/>
      <c r="O5447" s="181"/>
      <c r="P5447" s="181"/>
    </row>
    <row r="5448">
      <c r="B5448" s="292"/>
      <c r="C5448" s="181"/>
      <c r="D5448" s="181"/>
      <c r="E5448" s="181"/>
      <c r="F5448" s="181"/>
      <c r="G5448" s="181"/>
      <c r="H5448" s="181"/>
      <c r="I5448" s="181"/>
      <c r="J5448" s="181"/>
      <c r="K5448" s="181"/>
      <c r="L5448" s="181"/>
      <c r="M5448" s="181"/>
      <c r="N5448" s="181"/>
      <c r="O5448" s="181"/>
      <c r="P5448" s="181"/>
    </row>
    <row r="5449">
      <c r="B5449" s="292"/>
      <c r="C5449" s="181"/>
      <c r="D5449" s="181"/>
      <c r="E5449" s="181"/>
      <c r="F5449" s="181"/>
      <c r="G5449" s="181"/>
      <c r="H5449" s="181"/>
      <c r="I5449" s="181"/>
      <c r="J5449" s="181"/>
      <c r="K5449" s="181"/>
      <c r="L5449" s="181"/>
      <c r="M5449" s="181"/>
      <c r="N5449" s="181"/>
      <c r="O5449" s="181"/>
      <c r="P5449" s="181"/>
    </row>
    <row r="5450">
      <c r="B5450" s="292"/>
      <c r="C5450" s="181"/>
      <c r="D5450" s="181"/>
      <c r="E5450" s="181"/>
      <c r="F5450" s="181"/>
      <c r="G5450" s="181"/>
      <c r="H5450" s="181"/>
      <c r="I5450" s="181"/>
      <c r="J5450" s="181"/>
      <c r="K5450" s="181"/>
      <c r="L5450" s="181"/>
      <c r="M5450" s="181"/>
      <c r="N5450" s="181"/>
      <c r="O5450" s="181"/>
      <c r="P5450" s="181"/>
    </row>
    <row r="5451">
      <c r="B5451" s="292"/>
      <c r="C5451" s="181"/>
      <c r="D5451" s="181"/>
      <c r="E5451" s="181"/>
      <c r="F5451" s="181"/>
      <c r="G5451" s="181"/>
      <c r="H5451" s="181"/>
      <c r="I5451" s="181"/>
      <c r="J5451" s="181"/>
      <c r="K5451" s="181"/>
      <c r="L5451" s="181"/>
      <c r="M5451" s="181"/>
      <c r="N5451" s="181"/>
      <c r="O5451" s="181"/>
      <c r="P5451" s="181"/>
    </row>
    <row r="5452">
      <c r="B5452" s="292"/>
      <c r="C5452" s="181"/>
      <c r="D5452" s="181"/>
      <c r="E5452" s="181"/>
      <c r="F5452" s="181"/>
      <c r="G5452" s="181"/>
      <c r="H5452" s="181"/>
      <c r="I5452" s="181"/>
      <c r="J5452" s="181"/>
      <c r="K5452" s="181"/>
      <c r="L5452" s="181"/>
      <c r="M5452" s="181"/>
      <c r="N5452" s="181"/>
      <c r="O5452" s="181"/>
      <c r="P5452" s="181"/>
    </row>
    <row r="5453">
      <c r="B5453" s="292"/>
      <c r="C5453" s="181"/>
      <c r="D5453" s="181"/>
      <c r="E5453" s="181"/>
      <c r="F5453" s="181"/>
      <c r="G5453" s="181"/>
      <c r="H5453" s="181"/>
      <c r="I5453" s="181"/>
      <c r="J5453" s="181"/>
      <c r="K5453" s="181"/>
      <c r="L5453" s="181"/>
      <c r="M5453" s="181"/>
      <c r="N5453" s="181"/>
      <c r="O5453" s="181"/>
      <c r="P5453" s="181"/>
    </row>
    <row r="5454">
      <c r="B5454" s="292"/>
      <c r="C5454" s="181"/>
      <c r="D5454" s="181"/>
      <c r="E5454" s="181"/>
      <c r="F5454" s="181"/>
      <c r="G5454" s="181"/>
      <c r="H5454" s="181"/>
      <c r="I5454" s="181"/>
      <c r="J5454" s="181"/>
      <c r="K5454" s="181"/>
      <c r="L5454" s="181"/>
      <c r="M5454" s="181"/>
      <c r="N5454" s="181"/>
      <c r="O5454" s="181"/>
      <c r="P5454" s="181"/>
    </row>
    <row r="5455">
      <c r="B5455" s="292"/>
      <c r="C5455" s="181"/>
      <c r="D5455" s="181"/>
      <c r="E5455" s="181"/>
      <c r="F5455" s="181"/>
      <c r="G5455" s="181"/>
      <c r="H5455" s="181"/>
      <c r="I5455" s="181"/>
      <c r="J5455" s="181"/>
      <c r="K5455" s="181"/>
      <c r="L5455" s="181"/>
      <c r="M5455" s="181"/>
      <c r="N5455" s="181"/>
      <c r="O5455" s="181"/>
      <c r="P5455" s="181"/>
    </row>
    <row r="5456">
      <c r="B5456" s="292"/>
      <c r="C5456" s="181"/>
      <c r="D5456" s="181"/>
      <c r="E5456" s="181"/>
      <c r="F5456" s="181"/>
      <c r="G5456" s="181"/>
      <c r="H5456" s="181"/>
      <c r="I5456" s="181"/>
      <c r="J5456" s="181"/>
      <c r="K5456" s="181"/>
      <c r="L5456" s="181"/>
      <c r="M5456" s="181"/>
      <c r="N5456" s="181"/>
      <c r="O5456" s="181"/>
      <c r="P5456" s="181"/>
    </row>
    <row r="5457">
      <c r="B5457" s="292"/>
      <c r="C5457" s="181"/>
      <c r="D5457" s="181"/>
      <c r="E5457" s="181"/>
      <c r="F5457" s="181"/>
      <c r="G5457" s="181"/>
      <c r="H5457" s="181"/>
      <c r="I5457" s="181"/>
      <c r="J5457" s="181"/>
      <c r="K5457" s="181"/>
      <c r="L5457" s="181"/>
      <c r="M5457" s="181"/>
      <c r="N5457" s="181"/>
      <c r="O5457" s="181"/>
      <c r="P5457" s="181"/>
    </row>
    <row r="5458">
      <c r="B5458" s="292"/>
      <c r="C5458" s="181"/>
      <c r="D5458" s="181"/>
      <c r="E5458" s="181"/>
      <c r="F5458" s="181"/>
      <c r="G5458" s="181"/>
      <c r="H5458" s="181"/>
      <c r="I5458" s="181"/>
      <c r="J5458" s="181"/>
      <c r="K5458" s="181"/>
      <c r="L5458" s="181"/>
      <c r="M5458" s="181"/>
      <c r="N5458" s="181"/>
      <c r="O5458" s="181"/>
      <c r="P5458" s="181"/>
    </row>
    <row r="5459">
      <c r="B5459" s="292"/>
      <c r="C5459" s="181"/>
      <c r="D5459" s="181"/>
      <c r="E5459" s="181"/>
      <c r="F5459" s="181"/>
      <c r="G5459" s="181"/>
      <c r="H5459" s="181"/>
      <c r="I5459" s="181"/>
      <c r="J5459" s="181"/>
      <c r="K5459" s="181"/>
      <c r="L5459" s="181"/>
      <c r="M5459" s="181"/>
      <c r="N5459" s="181"/>
      <c r="O5459" s="181"/>
      <c r="P5459" s="181"/>
    </row>
    <row r="5460">
      <c r="B5460" s="292"/>
      <c r="C5460" s="181"/>
      <c r="D5460" s="181"/>
      <c r="E5460" s="181"/>
      <c r="F5460" s="181"/>
      <c r="G5460" s="181"/>
      <c r="H5460" s="181"/>
      <c r="I5460" s="181"/>
      <c r="J5460" s="181"/>
      <c r="K5460" s="181"/>
      <c r="L5460" s="181"/>
      <c r="M5460" s="181"/>
      <c r="N5460" s="181"/>
      <c r="O5460" s="181"/>
      <c r="P5460" s="181"/>
    </row>
    <row r="5461">
      <c r="B5461" s="292"/>
      <c r="C5461" s="181"/>
      <c r="D5461" s="181"/>
      <c r="E5461" s="181"/>
      <c r="F5461" s="181"/>
      <c r="G5461" s="181"/>
      <c r="H5461" s="181"/>
      <c r="I5461" s="181"/>
      <c r="J5461" s="181"/>
      <c r="K5461" s="181"/>
      <c r="L5461" s="181"/>
      <c r="M5461" s="181"/>
      <c r="N5461" s="181"/>
      <c r="O5461" s="181"/>
      <c r="P5461" s="181"/>
    </row>
    <row r="5462">
      <c r="B5462" s="292"/>
      <c r="C5462" s="181"/>
      <c r="D5462" s="181"/>
      <c r="E5462" s="181"/>
      <c r="F5462" s="181"/>
      <c r="G5462" s="181"/>
      <c r="H5462" s="181"/>
      <c r="I5462" s="181"/>
      <c r="J5462" s="181"/>
      <c r="K5462" s="181"/>
      <c r="L5462" s="181"/>
      <c r="M5462" s="181"/>
      <c r="N5462" s="181"/>
      <c r="O5462" s="181"/>
      <c r="P5462" s="181"/>
    </row>
    <row r="5463">
      <c r="B5463" s="292"/>
      <c r="C5463" s="181"/>
      <c r="D5463" s="181"/>
      <c r="E5463" s="181"/>
      <c r="F5463" s="181"/>
      <c r="G5463" s="181"/>
      <c r="H5463" s="181"/>
      <c r="I5463" s="181"/>
      <c r="J5463" s="181"/>
      <c r="K5463" s="181"/>
      <c r="L5463" s="181"/>
      <c r="M5463" s="181"/>
      <c r="N5463" s="181"/>
      <c r="O5463" s="181"/>
      <c r="P5463" s="181"/>
    </row>
    <row r="5464">
      <c r="B5464" s="292"/>
      <c r="C5464" s="181"/>
      <c r="D5464" s="181"/>
      <c r="E5464" s="181"/>
      <c r="F5464" s="181"/>
      <c r="G5464" s="181"/>
      <c r="H5464" s="181"/>
      <c r="I5464" s="181"/>
      <c r="J5464" s="181"/>
      <c r="K5464" s="181"/>
      <c r="L5464" s="181"/>
      <c r="M5464" s="181"/>
      <c r="N5464" s="181"/>
      <c r="O5464" s="181"/>
      <c r="P5464" s="181"/>
    </row>
    <row r="5465">
      <c r="B5465" s="292"/>
      <c r="C5465" s="181"/>
      <c r="D5465" s="181"/>
      <c r="E5465" s="181"/>
      <c r="F5465" s="181"/>
      <c r="G5465" s="181"/>
      <c r="H5465" s="181"/>
      <c r="I5465" s="181"/>
      <c r="J5465" s="181"/>
      <c r="K5465" s="181"/>
      <c r="L5465" s="181"/>
      <c r="M5465" s="181"/>
      <c r="N5465" s="181"/>
      <c r="O5465" s="181"/>
      <c r="P5465" s="181"/>
    </row>
    <row r="5466">
      <c r="B5466" s="292"/>
      <c r="C5466" s="181"/>
      <c r="D5466" s="181"/>
      <c r="E5466" s="181"/>
      <c r="F5466" s="181"/>
      <c r="G5466" s="181"/>
      <c r="H5466" s="181"/>
      <c r="I5466" s="181"/>
      <c r="J5466" s="181"/>
      <c r="K5466" s="181"/>
      <c r="L5466" s="181"/>
      <c r="M5466" s="181"/>
      <c r="N5466" s="181"/>
      <c r="O5466" s="181"/>
      <c r="P5466" s="181"/>
    </row>
    <row r="5467">
      <c r="B5467" s="292"/>
      <c r="C5467" s="181"/>
      <c r="D5467" s="181"/>
      <c r="E5467" s="181"/>
      <c r="F5467" s="181"/>
      <c r="G5467" s="181"/>
      <c r="H5467" s="181"/>
      <c r="I5467" s="181"/>
      <c r="J5467" s="181"/>
      <c r="K5467" s="181"/>
      <c r="L5467" s="181"/>
      <c r="M5467" s="181"/>
      <c r="N5467" s="181"/>
      <c r="O5467" s="181"/>
      <c r="P5467" s="181"/>
    </row>
    <row r="5468">
      <c r="B5468" s="292"/>
      <c r="C5468" s="181"/>
      <c r="D5468" s="181"/>
      <c r="E5468" s="181"/>
      <c r="F5468" s="181"/>
      <c r="G5468" s="181"/>
      <c r="H5468" s="181"/>
      <c r="I5468" s="181"/>
      <c r="J5468" s="181"/>
      <c r="K5468" s="181"/>
      <c r="L5468" s="181"/>
      <c r="M5468" s="181"/>
      <c r="N5468" s="181"/>
      <c r="O5468" s="181"/>
      <c r="P5468" s="181"/>
    </row>
    <row r="5469">
      <c r="B5469" s="292"/>
      <c r="C5469" s="181"/>
      <c r="D5469" s="181"/>
      <c r="E5469" s="181"/>
      <c r="F5469" s="181"/>
      <c r="G5469" s="181"/>
      <c r="H5469" s="181"/>
      <c r="I5469" s="181"/>
      <c r="J5469" s="181"/>
      <c r="K5469" s="181"/>
      <c r="L5469" s="181"/>
      <c r="M5469" s="181"/>
      <c r="N5469" s="181"/>
      <c r="O5469" s="181"/>
      <c r="P5469" s="181"/>
    </row>
    <row r="5470">
      <c r="B5470" s="292"/>
      <c r="C5470" s="181"/>
      <c r="D5470" s="181"/>
      <c r="E5470" s="181"/>
      <c r="F5470" s="181"/>
      <c r="G5470" s="181"/>
      <c r="H5470" s="181"/>
      <c r="I5470" s="181"/>
      <c r="J5470" s="181"/>
      <c r="K5470" s="181"/>
      <c r="L5470" s="181"/>
      <c r="M5470" s="181"/>
      <c r="N5470" s="181"/>
      <c r="O5470" s="181"/>
      <c r="P5470" s="181"/>
    </row>
    <row r="5471">
      <c r="B5471" s="292"/>
      <c r="C5471" s="181"/>
      <c r="D5471" s="181"/>
      <c r="E5471" s="181"/>
      <c r="F5471" s="181"/>
      <c r="G5471" s="181"/>
      <c r="H5471" s="181"/>
      <c r="I5471" s="181"/>
      <c r="J5471" s="181"/>
      <c r="K5471" s="181"/>
      <c r="L5471" s="181"/>
      <c r="M5471" s="181"/>
      <c r="N5471" s="181"/>
      <c r="O5471" s="181"/>
      <c r="P5471" s="181"/>
    </row>
    <row r="5472">
      <c r="B5472" s="292"/>
      <c r="C5472" s="181"/>
      <c r="D5472" s="181"/>
      <c r="E5472" s="181"/>
      <c r="F5472" s="181"/>
      <c r="G5472" s="181"/>
      <c r="H5472" s="181"/>
      <c r="I5472" s="181"/>
      <c r="J5472" s="181"/>
      <c r="K5472" s="181"/>
      <c r="L5472" s="181"/>
      <c r="M5472" s="181"/>
      <c r="N5472" s="181"/>
      <c r="O5472" s="181"/>
      <c r="P5472" s="181"/>
    </row>
    <row r="5473">
      <c r="B5473" s="292"/>
      <c r="C5473" s="181"/>
      <c r="D5473" s="181"/>
      <c r="E5473" s="181"/>
      <c r="F5473" s="181"/>
      <c r="G5473" s="181"/>
      <c r="H5473" s="181"/>
      <c r="I5473" s="181"/>
      <c r="J5473" s="181"/>
      <c r="K5473" s="181"/>
      <c r="L5473" s="181"/>
      <c r="M5473" s="181"/>
      <c r="N5473" s="181"/>
      <c r="O5473" s="181"/>
      <c r="P5473" s="181"/>
    </row>
    <row r="5474">
      <c r="B5474" s="292"/>
      <c r="C5474" s="181"/>
      <c r="D5474" s="181"/>
      <c r="E5474" s="181"/>
      <c r="F5474" s="181"/>
      <c r="G5474" s="181"/>
      <c r="H5474" s="181"/>
      <c r="I5474" s="181"/>
      <c r="J5474" s="181"/>
      <c r="K5474" s="181"/>
      <c r="L5474" s="181"/>
      <c r="M5474" s="181"/>
      <c r="N5474" s="181"/>
      <c r="O5474" s="181"/>
      <c r="P5474" s="181"/>
    </row>
    <row r="5475">
      <c r="B5475" s="292"/>
      <c r="C5475" s="181"/>
      <c r="D5475" s="181"/>
      <c r="E5475" s="181"/>
      <c r="F5475" s="181"/>
      <c r="G5475" s="181"/>
      <c r="H5475" s="181"/>
      <c r="I5475" s="181"/>
      <c r="J5475" s="181"/>
      <c r="K5475" s="181"/>
      <c r="L5475" s="181"/>
      <c r="M5475" s="181"/>
      <c r="N5475" s="181"/>
      <c r="O5475" s="181"/>
      <c r="P5475" s="181"/>
    </row>
    <row r="5476">
      <c r="B5476" s="292"/>
      <c r="C5476" s="181"/>
      <c r="D5476" s="181"/>
      <c r="E5476" s="181"/>
      <c r="F5476" s="181"/>
      <c r="G5476" s="181"/>
      <c r="H5476" s="181"/>
      <c r="I5476" s="181"/>
      <c r="J5476" s="181"/>
      <c r="K5476" s="181"/>
      <c r="L5476" s="181"/>
      <c r="M5476" s="181"/>
      <c r="N5476" s="181"/>
      <c r="O5476" s="181"/>
      <c r="P5476" s="181"/>
    </row>
    <row r="5477">
      <c r="B5477" s="292"/>
      <c r="C5477" s="181"/>
      <c r="D5477" s="181"/>
      <c r="E5477" s="181"/>
      <c r="F5477" s="181"/>
      <c r="G5477" s="181"/>
      <c r="H5477" s="181"/>
      <c r="I5477" s="181"/>
      <c r="J5477" s="181"/>
      <c r="K5477" s="181"/>
      <c r="L5477" s="181"/>
      <c r="M5477" s="181"/>
      <c r="N5477" s="181"/>
      <c r="O5477" s="181"/>
      <c r="P5477" s="181"/>
    </row>
    <row r="5478">
      <c r="B5478" s="292"/>
      <c r="C5478" s="181"/>
      <c r="D5478" s="181"/>
      <c r="E5478" s="181"/>
      <c r="F5478" s="181"/>
      <c r="G5478" s="181"/>
      <c r="H5478" s="181"/>
      <c r="I5478" s="181"/>
      <c r="J5478" s="181"/>
      <c r="K5478" s="181"/>
      <c r="L5478" s="181"/>
      <c r="M5478" s="181"/>
      <c r="N5478" s="181"/>
      <c r="O5478" s="181"/>
      <c r="P5478" s="181"/>
    </row>
    <row r="5479">
      <c r="B5479" s="292"/>
      <c r="C5479" s="181"/>
      <c r="D5479" s="181"/>
      <c r="E5479" s="181"/>
      <c r="F5479" s="181"/>
      <c r="G5479" s="181"/>
      <c r="H5479" s="181"/>
      <c r="I5479" s="181"/>
      <c r="J5479" s="181"/>
      <c r="K5479" s="181"/>
      <c r="L5479" s="181"/>
      <c r="M5479" s="181"/>
      <c r="N5479" s="181"/>
      <c r="O5479" s="181"/>
      <c r="P5479" s="181"/>
    </row>
    <row r="5480">
      <c r="B5480" s="292"/>
      <c r="C5480" s="181"/>
      <c r="D5480" s="181"/>
      <c r="E5480" s="181"/>
      <c r="F5480" s="181"/>
      <c r="G5480" s="181"/>
      <c r="H5480" s="181"/>
      <c r="I5480" s="181"/>
      <c r="J5480" s="181"/>
      <c r="K5480" s="181"/>
      <c r="L5480" s="181"/>
      <c r="M5480" s="181"/>
      <c r="N5480" s="181"/>
      <c r="O5480" s="181"/>
      <c r="P5480" s="181"/>
    </row>
    <row r="5481">
      <c r="B5481" s="292"/>
      <c r="C5481" s="181"/>
      <c r="D5481" s="181"/>
      <c r="E5481" s="181"/>
      <c r="F5481" s="181"/>
      <c r="G5481" s="181"/>
      <c r="H5481" s="181"/>
      <c r="I5481" s="181"/>
      <c r="J5481" s="181"/>
      <c r="K5481" s="181"/>
      <c r="L5481" s="181"/>
      <c r="M5481" s="181"/>
      <c r="N5481" s="181"/>
      <c r="O5481" s="181"/>
      <c r="P5481" s="181"/>
    </row>
    <row r="5482">
      <c r="B5482" s="292"/>
      <c r="C5482" s="181"/>
      <c r="D5482" s="181"/>
      <c r="E5482" s="181"/>
      <c r="F5482" s="181"/>
      <c r="G5482" s="181"/>
      <c r="H5482" s="181"/>
      <c r="I5482" s="181"/>
      <c r="J5482" s="181"/>
      <c r="K5482" s="181"/>
      <c r="L5482" s="181"/>
      <c r="M5482" s="181"/>
      <c r="N5482" s="181"/>
      <c r="O5482" s="181"/>
      <c r="P5482" s="181"/>
    </row>
    <row r="5483">
      <c r="B5483" s="292"/>
      <c r="C5483" s="181"/>
      <c r="D5483" s="181"/>
      <c r="E5483" s="181"/>
      <c r="F5483" s="181"/>
      <c r="G5483" s="181"/>
      <c r="H5483" s="181"/>
      <c r="I5483" s="181"/>
      <c r="J5483" s="181"/>
      <c r="K5483" s="181"/>
      <c r="L5483" s="181"/>
      <c r="M5483" s="181"/>
      <c r="N5483" s="181"/>
      <c r="O5483" s="181"/>
      <c r="P5483" s="181"/>
    </row>
    <row r="5484">
      <c r="B5484" s="292"/>
      <c r="C5484" s="181"/>
      <c r="D5484" s="181"/>
      <c r="E5484" s="181"/>
      <c r="F5484" s="181"/>
      <c r="G5484" s="181"/>
      <c r="H5484" s="181"/>
      <c r="I5484" s="181"/>
      <c r="J5484" s="181"/>
      <c r="K5484" s="181"/>
      <c r="L5484" s="181"/>
      <c r="M5484" s="181"/>
      <c r="N5484" s="181"/>
      <c r="O5484" s="181"/>
      <c r="P5484" s="181"/>
    </row>
    <row r="5485">
      <c r="B5485" s="292"/>
      <c r="C5485" s="181"/>
      <c r="D5485" s="181"/>
      <c r="E5485" s="181"/>
      <c r="F5485" s="181"/>
      <c r="G5485" s="181"/>
      <c r="H5485" s="181"/>
      <c r="I5485" s="181"/>
      <c r="J5485" s="181"/>
      <c r="K5485" s="181"/>
      <c r="L5485" s="181"/>
      <c r="M5485" s="181"/>
      <c r="N5485" s="181"/>
      <c r="O5485" s="181"/>
      <c r="P5485" s="181"/>
    </row>
    <row r="5486">
      <c r="B5486" s="292"/>
      <c r="C5486" s="181"/>
      <c r="D5486" s="181"/>
      <c r="E5486" s="181"/>
      <c r="F5486" s="181"/>
      <c r="G5486" s="181"/>
      <c r="H5486" s="181"/>
      <c r="I5486" s="181"/>
      <c r="J5486" s="181"/>
      <c r="K5486" s="181"/>
      <c r="L5486" s="181"/>
      <c r="M5486" s="181"/>
      <c r="N5486" s="181"/>
      <c r="O5486" s="181"/>
      <c r="P5486" s="181"/>
    </row>
    <row r="5487">
      <c r="B5487" s="292"/>
      <c r="C5487" s="181"/>
      <c r="D5487" s="181"/>
      <c r="E5487" s="181"/>
      <c r="F5487" s="181"/>
      <c r="G5487" s="181"/>
      <c r="H5487" s="181"/>
      <c r="I5487" s="181"/>
      <c r="J5487" s="181"/>
      <c r="K5487" s="181"/>
      <c r="L5487" s="181"/>
      <c r="M5487" s="181"/>
      <c r="N5487" s="181"/>
      <c r="O5487" s="181"/>
      <c r="P5487" s="181"/>
    </row>
    <row r="5488">
      <c r="B5488" s="292"/>
      <c r="C5488" s="181"/>
      <c r="D5488" s="181"/>
      <c r="E5488" s="181"/>
      <c r="F5488" s="181"/>
      <c r="G5488" s="181"/>
      <c r="H5488" s="181"/>
      <c r="I5488" s="181"/>
      <c r="J5488" s="181"/>
      <c r="K5488" s="181"/>
      <c r="L5488" s="181"/>
      <c r="M5488" s="181"/>
      <c r="N5488" s="181"/>
      <c r="O5488" s="181"/>
      <c r="P5488" s="181"/>
    </row>
    <row r="5489">
      <c r="B5489" s="292"/>
      <c r="C5489" s="181"/>
      <c r="D5489" s="181"/>
      <c r="E5489" s="181"/>
      <c r="F5489" s="181"/>
      <c r="G5489" s="181"/>
      <c r="H5489" s="181"/>
      <c r="I5489" s="181"/>
      <c r="J5489" s="181"/>
      <c r="K5489" s="181"/>
      <c r="L5489" s="181"/>
      <c r="M5489" s="181"/>
      <c r="N5489" s="181"/>
      <c r="O5489" s="181"/>
      <c r="P5489" s="181"/>
    </row>
    <row r="5490">
      <c r="B5490" s="292"/>
      <c r="C5490" s="181"/>
      <c r="D5490" s="181"/>
      <c r="E5490" s="181"/>
      <c r="F5490" s="181"/>
      <c r="G5490" s="181"/>
      <c r="H5490" s="181"/>
      <c r="I5490" s="181"/>
      <c r="J5490" s="181"/>
      <c r="K5490" s="181"/>
      <c r="L5490" s="181"/>
      <c r="M5490" s="181"/>
      <c r="N5490" s="181"/>
      <c r="O5490" s="181"/>
      <c r="P5490" s="181"/>
    </row>
    <row r="5491">
      <c r="B5491" s="292"/>
      <c r="C5491" s="181"/>
      <c r="D5491" s="181"/>
      <c r="E5491" s="181"/>
      <c r="F5491" s="181"/>
      <c r="G5491" s="181"/>
      <c r="H5491" s="181"/>
      <c r="I5491" s="181"/>
      <c r="J5491" s="181"/>
      <c r="K5491" s="181"/>
      <c r="L5491" s="181"/>
      <c r="M5491" s="181"/>
      <c r="N5491" s="181"/>
      <c r="O5491" s="181"/>
      <c r="P5491" s="181"/>
    </row>
    <row r="5492">
      <c r="B5492" s="292"/>
      <c r="C5492" s="181"/>
      <c r="D5492" s="181"/>
      <c r="E5492" s="181"/>
      <c r="F5492" s="181"/>
      <c r="G5492" s="181"/>
      <c r="H5492" s="181"/>
      <c r="I5492" s="181"/>
      <c r="J5492" s="181"/>
      <c r="K5492" s="181"/>
      <c r="L5492" s="181"/>
      <c r="M5492" s="181"/>
      <c r="N5492" s="181"/>
      <c r="O5492" s="181"/>
      <c r="P5492" s="181"/>
    </row>
    <row r="5493">
      <c r="B5493" s="292"/>
      <c r="C5493" s="181"/>
      <c r="D5493" s="181"/>
      <c r="E5493" s="181"/>
      <c r="F5493" s="181"/>
      <c r="G5493" s="181"/>
      <c r="H5493" s="181"/>
      <c r="I5493" s="181"/>
      <c r="J5493" s="181"/>
      <c r="K5493" s="181"/>
      <c r="L5493" s="181"/>
      <c r="M5493" s="181"/>
      <c r="N5493" s="181"/>
      <c r="O5493" s="181"/>
      <c r="P5493" s="181"/>
    </row>
    <row r="5494">
      <c r="B5494" s="292"/>
      <c r="C5494" s="181"/>
      <c r="D5494" s="181"/>
      <c r="E5494" s="181"/>
      <c r="F5494" s="181"/>
      <c r="G5494" s="181"/>
      <c r="H5494" s="181"/>
      <c r="I5494" s="181"/>
      <c r="J5494" s="181"/>
      <c r="K5494" s="181"/>
      <c r="L5494" s="181"/>
      <c r="M5494" s="181"/>
      <c r="N5494" s="181"/>
      <c r="O5494" s="181"/>
      <c r="P5494" s="181"/>
    </row>
    <row r="5495">
      <c r="B5495" s="292"/>
      <c r="C5495" s="181"/>
      <c r="D5495" s="181"/>
      <c r="E5495" s="181"/>
      <c r="F5495" s="181"/>
      <c r="G5495" s="181"/>
      <c r="H5495" s="181"/>
      <c r="I5495" s="181"/>
      <c r="J5495" s="181"/>
      <c r="K5495" s="181"/>
      <c r="L5495" s="181"/>
      <c r="M5495" s="181"/>
      <c r="N5495" s="181"/>
      <c r="O5495" s="181"/>
      <c r="P5495" s="181"/>
    </row>
    <row r="5496">
      <c r="B5496" s="292"/>
      <c r="C5496" s="181"/>
      <c r="D5496" s="181"/>
      <c r="E5496" s="181"/>
      <c r="F5496" s="181"/>
      <c r="G5496" s="181"/>
      <c r="H5496" s="181"/>
      <c r="I5496" s="181"/>
      <c r="J5496" s="181"/>
      <c r="K5496" s="181"/>
      <c r="L5496" s="181"/>
      <c r="M5496" s="181"/>
      <c r="N5496" s="181"/>
      <c r="O5496" s="181"/>
      <c r="P5496" s="181"/>
    </row>
    <row r="5497">
      <c r="B5497" s="292"/>
      <c r="C5497" s="181"/>
      <c r="D5497" s="181"/>
      <c r="E5497" s="181"/>
      <c r="F5497" s="181"/>
      <c r="G5497" s="181"/>
      <c r="H5497" s="181"/>
      <c r="I5497" s="181"/>
      <c r="J5497" s="181"/>
      <c r="K5497" s="181"/>
      <c r="L5497" s="181"/>
      <c r="M5497" s="181"/>
      <c r="N5497" s="181"/>
      <c r="O5497" s="181"/>
      <c r="P5497" s="181"/>
    </row>
    <row r="5498">
      <c r="B5498" s="292"/>
      <c r="C5498" s="181"/>
      <c r="D5498" s="181"/>
      <c r="E5498" s="181"/>
      <c r="F5498" s="181"/>
      <c r="G5498" s="181"/>
      <c r="H5498" s="181"/>
      <c r="I5498" s="181"/>
      <c r="J5498" s="181"/>
      <c r="K5498" s="181"/>
      <c r="L5498" s="181"/>
      <c r="M5498" s="181"/>
      <c r="N5498" s="181"/>
      <c r="O5498" s="181"/>
      <c r="P5498" s="181"/>
    </row>
    <row r="5499">
      <c r="B5499" s="292"/>
      <c r="C5499" s="181"/>
      <c r="D5499" s="181"/>
      <c r="E5499" s="181"/>
      <c r="F5499" s="181"/>
      <c r="G5499" s="181"/>
      <c r="H5499" s="181"/>
      <c r="I5499" s="181"/>
      <c r="J5499" s="181"/>
      <c r="K5499" s="181"/>
      <c r="L5499" s="181"/>
      <c r="M5499" s="181"/>
      <c r="N5499" s="181"/>
      <c r="O5499" s="181"/>
      <c r="P5499" s="181"/>
    </row>
    <row r="5500">
      <c r="B5500" s="292"/>
      <c r="C5500" s="181"/>
      <c r="D5500" s="181"/>
      <c r="E5500" s="181"/>
      <c r="F5500" s="181"/>
      <c r="G5500" s="181"/>
      <c r="H5500" s="181"/>
      <c r="I5500" s="181"/>
      <c r="J5500" s="181"/>
      <c r="K5500" s="181"/>
      <c r="L5500" s="181"/>
      <c r="M5500" s="181"/>
      <c r="N5500" s="181"/>
      <c r="O5500" s="181"/>
      <c r="P5500" s="181"/>
    </row>
    <row r="5501">
      <c r="B5501" s="292"/>
      <c r="C5501" s="181"/>
      <c r="D5501" s="181"/>
      <c r="E5501" s="181"/>
      <c r="F5501" s="181"/>
      <c r="G5501" s="181"/>
      <c r="H5501" s="181"/>
      <c r="I5501" s="181"/>
      <c r="J5501" s="181"/>
      <c r="K5501" s="181"/>
      <c r="L5501" s="181"/>
      <c r="M5501" s="181"/>
      <c r="N5501" s="181"/>
      <c r="O5501" s="181"/>
      <c r="P5501" s="181"/>
    </row>
    <row r="5502">
      <c r="B5502" s="292"/>
      <c r="C5502" s="181"/>
      <c r="D5502" s="181"/>
      <c r="E5502" s="181"/>
      <c r="F5502" s="181"/>
      <c r="G5502" s="181"/>
      <c r="H5502" s="181"/>
      <c r="I5502" s="181"/>
      <c r="J5502" s="181"/>
      <c r="K5502" s="181"/>
      <c r="L5502" s="181"/>
      <c r="M5502" s="181"/>
      <c r="N5502" s="181"/>
      <c r="O5502" s="181"/>
      <c r="P5502" s="181"/>
    </row>
    <row r="5503">
      <c r="B5503" s="292"/>
      <c r="C5503" s="181"/>
      <c r="D5503" s="181"/>
      <c r="E5503" s="181"/>
      <c r="F5503" s="181"/>
      <c r="G5503" s="181"/>
      <c r="H5503" s="181"/>
      <c r="I5503" s="181"/>
      <c r="J5503" s="181"/>
      <c r="K5503" s="181"/>
      <c r="L5503" s="181"/>
      <c r="M5503" s="181"/>
      <c r="N5503" s="181"/>
      <c r="O5503" s="181"/>
      <c r="P5503" s="181"/>
    </row>
    <row r="5504">
      <c r="B5504" s="292"/>
      <c r="C5504" s="181"/>
      <c r="D5504" s="181"/>
      <c r="E5504" s="181"/>
      <c r="F5504" s="181"/>
      <c r="G5504" s="181"/>
      <c r="H5504" s="181"/>
      <c r="I5504" s="181"/>
      <c r="J5504" s="181"/>
      <c r="K5504" s="181"/>
      <c r="L5504" s="181"/>
      <c r="M5504" s="181"/>
      <c r="N5504" s="181"/>
      <c r="O5504" s="181"/>
      <c r="P5504" s="181"/>
    </row>
    <row r="5505">
      <c r="B5505" s="292"/>
      <c r="C5505" s="181"/>
      <c r="D5505" s="181"/>
      <c r="E5505" s="181"/>
      <c r="F5505" s="181"/>
      <c r="G5505" s="181"/>
      <c r="H5505" s="181"/>
      <c r="I5505" s="181"/>
      <c r="J5505" s="181"/>
      <c r="K5505" s="181"/>
      <c r="L5505" s="181"/>
      <c r="M5505" s="181"/>
      <c r="N5505" s="181"/>
      <c r="O5505" s="181"/>
      <c r="P5505" s="181"/>
    </row>
    <row r="5506">
      <c r="B5506" s="292"/>
      <c r="C5506" s="181"/>
      <c r="D5506" s="181"/>
      <c r="E5506" s="181"/>
      <c r="F5506" s="181"/>
      <c r="G5506" s="181"/>
      <c r="H5506" s="181"/>
      <c r="I5506" s="181"/>
      <c r="J5506" s="181"/>
      <c r="K5506" s="181"/>
      <c r="L5506" s="181"/>
      <c r="M5506" s="181"/>
      <c r="N5506" s="181"/>
      <c r="O5506" s="181"/>
      <c r="P5506" s="181"/>
    </row>
    <row r="5507">
      <c r="B5507" s="292"/>
      <c r="C5507" s="181"/>
      <c r="D5507" s="181"/>
      <c r="E5507" s="181"/>
      <c r="F5507" s="181"/>
      <c r="G5507" s="181"/>
      <c r="H5507" s="181"/>
      <c r="I5507" s="181"/>
      <c r="J5507" s="181"/>
      <c r="K5507" s="181"/>
      <c r="L5507" s="181"/>
      <c r="M5507" s="181"/>
      <c r="N5507" s="181"/>
      <c r="O5507" s="181"/>
      <c r="P5507" s="181"/>
    </row>
    <row r="5508">
      <c r="B5508" s="292"/>
      <c r="C5508" s="181"/>
      <c r="D5508" s="181"/>
      <c r="E5508" s="181"/>
      <c r="F5508" s="181"/>
      <c r="G5508" s="181"/>
      <c r="H5508" s="181"/>
      <c r="I5508" s="181"/>
      <c r="J5508" s="181"/>
      <c r="K5508" s="181"/>
      <c r="L5508" s="181"/>
      <c r="M5508" s="181"/>
      <c r="N5508" s="181"/>
      <c r="O5508" s="181"/>
      <c r="P5508" s="181"/>
    </row>
    <row r="5509">
      <c r="B5509" s="292"/>
      <c r="C5509" s="181"/>
      <c r="D5509" s="181"/>
      <c r="E5509" s="181"/>
      <c r="F5509" s="181"/>
      <c r="G5509" s="181"/>
      <c r="H5509" s="181"/>
      <c r="I5509" s="181"/>
      <c r="J5509" s="181"/>
      <c r="K5509" s="181"/>
      <c r="L5509" s="181"/>
      <c r="M5509" s="181"/>
      <c r="N5509" s="181"/>
      <c r="O5509" s="181"/>
      <c r="P5509" s="181"/>
    </row>
    <row r="5510">
      <c r="B5510" s="292"/>
      <c r="C5510" s="181"/>
      <c r="D5510" s="181"/>
      <c r="E5510" s="181"/>
      <c r="F5510" s="181"/>
      <c r="G5510" s="181"/>
      <c r="H5510" s="181"/>
      <c r="I5510" s="181"/>
      <c r="J5510" s="181"/>
      <c r="K5510" s="181"/>
      <c r="L5510" s="181"/>
      <c r="M5510" s="181"/>
      <c r="N5510" s="181"/>
      <c r="O5510" s="181"/>
      <c r="P5510" s="181"/>
    </row>
    <row r="5511">
      <c r="B5511" s="292"/>
      <c r="C5511" s="181"/>
      <c r="D5511" s="181"/>
      <c r="E5511" s="181"/>
      <c r="F5511" s="181"/>
      <c r="G5511" s="181"/>
      <c r="H5511" s="181"/>
      <c r="I5511" s="181"/>
      <c r="J5511" s="181"/>
      <c r="K5511" s="181"/>
      <c r="L5511" s="181"/>
      <c r="M5511" s="181"/>
      <c r="N5511" s="181"/>
      <c r="O5511" s="181"/>
      <c r="P5511" s="181"/>
    </row>
    <row r="5512">
      <c r="B5512" s="292"/>
      <c r="C5512" s="181"/>
      <c r="D5512" s="181"/>
      <c r="E5512" s="181"/>
      <c r="F5512" s="181"/>
      <c r="G5512" s="181"/>
      <c r="H5512" s="181"/>
      <c r="I5512" s="181"/>
      <c r="J5512" s="181"/>
      <c r="K5512" s="181"/>
      <c r="L5512" s="181"/>
      <c r="M5512" s="181"/>
      <c r="N5512" s="181"/>
      <c r="O5512" s="181"/>
      <c r="P5512" s="181"/>
    </row>
    <row r="5513">
      <c r="B5513" s="292"/>
      <c r="C5513" s="181"/>
      <c r="D5513" s="181"/>
      <c r="E5513" s="181"/>
      <c r="F5513" s="181"/>
      <c r="G5513" s="181"/>
      <c r="H5513" s="181"/>
      <c r="I5513" s="181"/>
      <c r="J5513" s="181"/>
      <c r="K5513" s="181"/>
      <c r="L5513" s="181"/>
      <c r="M5513" s="181"/>
      <c r="N5513" s="181"/>
      <c r="O5513" s="181"/>
      <c r="P5513" s="181"/>
    </row>
    <row r="5514">
      <c r="B5514" s="292"/>
      <c r="C5514" s="181"/>
      <c r="D5514" s="181"/>
      <c r="E5514" s="181"/>
      <c r="F5514" s="181"/>
      <c r="G5514" s="181"/>
      <c r="H5514" s="181"/>
      <c r="I5514" s="181"/>
      <c r="J5514" s="181"/>
      <c r="K5514" s="181"/>
      <c r="L5514" s="181"/>
      <c r="M5514" s="181"/>
      <c r="N5514" s="181"/>
      <c r="O5514" s="181"/>
      <c r="P5514" s="181"/>
    </row>
    <row r="5515">
      <c r="B5515" s="292"/>
      <c r="C5515" s="181"/>
      <c r="D5515" s="181"/>
      <c r="E5515" s="181"/>
      <c r="F5515" s="181"/>
      <c r="G5515" s="181"/>
      <c r="H5515" s="181"/>
      <c r="I5515" s="181"/>
      <c r="J5515" s="181"/>
      <c r="K5515" s="181"/>
      <c r="L5515" s="181"/>
      <c r="M5515" s="181"/>
      <c r="N5515" s="181"/>
      <c r="O5515" s="181"/>
      <c r="P5515" s="181"/>
    </row>
    <row r="5516">
      <c r="B5516" s="292"/>
      <c r="C5516" s="181"/>
      <c r="D5516" s="181"/>
      <c r="E5516" s="181"/>
      <c r="F5516" s="181"/>
      <c r="G5516" s="181"/>
      <c r="H5516" s="181"/>
      <c r="I5516" s="181"/>
      <c r="J5516" s="181"/>
      <c r="K5516" s="181"/>
      <c r="L5516" s="181"/>
      <c r="M5516" s="181"/>
      <c r="N5516" s="181"/>
      <c r="O5516" s="181"/>
      <c r="P5516" s="181"/>
    </row>
    <row r="5517">
      <c r="B5517" s="292"/>
      <c r="C5517" s="181"/>
      <c r="D5517" s="181"/>
      <c r="E5517" s="181"/>
      <c r="F5517" s="181"/>
      <c r="G5517" s="181"/>
      <c r="H5517" s="181"/>
      <c r="I5517" s="181"/>
      <c r="J5517" s="181"/>
      <c r="K5517" s="181"/>
      <c r="L5517" s="181"/>
      <c r="M5517" s="181"/>
      <c r="N5517" s="181"/>
      <c r="O5517" s="181"/>
      <c r="P5517" s="181"/>
    </row>
    <row r="5518">
      <c r="B5518" s="292"/>
      <c r="C5518" s="181"/>
      <c r="D5518" s="181"/>
      <c r="E5518" s="181"/>
      <c r="F5518" s="181"/>
      <c r="G5518" s="181"/>
      <c r="H5518" s="181"/>
      <c r="I5518" s="181"/>
      <c r="J5518" s="181"/>
      <c r="K5518" s="181"/>
      <c r="L5518" s="181"/>
      <c r="M5518" s="181"/>
      <c r="N5518" s="181"/>
      <c r="O5518" s="181"/>
      <c r="P5518" s="181"/>
    </row>
    <row r="5519">
      <c r="B5519" s="292"/>
      <c r="C5519" s="181"/>
      <c r="D5519" s="181"/>
      <c r="E5519" s="181"/>
      <c r="F5519" s="181"/>
      <c r="G5519" s="181"/>
      <c r="H5519" s="181"/>
      <c r="I5519" s="181"/>
      <c r="J5519" s="181"/>
      <c r="K5519" s="181"/>
      <c r="L5519" s="181"/>
      <c r="M5519" s="181"/>
      <c r="N5519" s="181"/>
      <c r="O5519" s="181"/>
      <c r="P5519" s="181"/>
    </row>
    <row r="5520">
      <c r="B5520" s="292"/>
      <c r="C5520" s="181"/>
      <c r="D5520" s="181"/>
      <c r="E5520" s="181"/>
      <c r="F5520" s="181"/>
      <c r="G5520" s="181"/>
      <c r="H5520" s="181"/>
      <c r="I5520" s="181"/>
      <c r="J5520" s="181"/>
      <c r="K5520" s="181"/>
      <c r="L5520" s="181"/>
      <c r="M5520" s="181"/>
      <c r="N5520" s="181"/>
      <c r="O5520" s="181"/>
      <c r="P5520" s="181"/>
    </row>
    <row r="5521">
      <c r="B5521" s="292"/>
      <c r="C5521" s="181"/>
      <c r="D5521" s="181"/>
      <c r="E5521" s="181"/>
      <c r="F5521" s="181"/>
      <c r="G5521" s="181"/>
      <c r="H5521" s="181"/>
      <c r="I5521" s="181"/>
      <c r="J5521" s="181"/>
      <c r="K5521" s="181"/>
      <c r="L5521" s="181"/>
      <c r="M5521" s="181"/>
      <c r="N5521" s="181"/>
      <c r="O5521" s="181"/>
      <c r="P5521" s="181"/>
    </row>
    <row r="5522">
      <c r="B5522" s="292"/>
      <c r="C5522" s="181"/>
      <c r="D5522" s="181"/>
      <c r="E5522" s="181"/>
      <c r="F5522" s="181"/>
      <c r="G5522" s="181"/>
      <c r="H5522" s="181"/>
      <c r="I5522" s="181"/>
      <c r="J5522" s="181"/>
      <c r="K5522" s="181"/>
      <c r="L5522" s="181"/>
      <c r="M5522" s="181"/>
      <c r="N5522" s="181"/>
      <c r="O5522" s="181"/>
      <c r="P5522" s="181"/>
    </row>
    <row r="5523">
      <c r="B5523" s="292"/>
      <c r="C5523" s="181"/>
      <c r="D5523" s="181"/>
      <c r="E5523" s="181"/>
      <c r="F5523" s="181"/>
      <c r="G5523" s="181"/>
      <c r="H5523" s="181"/>
      <c r="I5523" s="181"/>
      <c r="J5523" s="181"/>
      <c r="K5523" s="181"/>
      <c r="L5523" s="181"/>
      <c r="M5523" s="181"/>
      <c r="N5523" s="181"/>
      <c r="O5523" s="181"/>
      <c r="P5523" s="181"/>
    </row>
    <row r="5524">
      <c r="B5524" s="292"/>
      <c r="C5524" s="181"/>
      <c r="D5524" s="181"/>
      <c r="E5524" s="181"/>
      <c r="F5524" s="181"/>
      <c r="G5524" s="181"/>
      <c r="H5524" s="181"/>
      <c r="I5524" s="181"/>
      <c r="J5524" s="181"/>
      <c r="K5524" s="181"/>
      <c r="L5524" s="181"/>
      <c r="M5524" s="181"/>
      <c r="N5524" s="181"/>
      <c r="O5524" s="181"/>
      <c r="P5524" s="181"/>
    </row>
    <row r="5525">
      <c r="B5525" s="292"/>
      <c r="C5525" s="181"/>
      <c r="D5525" s="181"/>
      <c r="E5525" s="181"/>
      <c r="F5525" s="181"/>
      <c r="G5525" s="181"/>
      <c r="H5525" s="181"/>
      <c r="I5525" s="181"/>
      <c r="J5525" s="181"/>
      <c r="K5525" s="181"/>
      <c r="L5525" s="181"/>
      <c r="M5525" s="181"/>
      <c r="N5525" s="181"/>
      <c r="O5525" s="181"/>
      <c r="P5525" s="181"/>
    </row>
    <row r="5526">
      <c r="B5526" s="292"/>
      <c r="C5526" s="181"/>
      <c r="D5526" s="181"/>
      <c r="E5526" s="181"/>
      <c r="F5526" s="181"/>
      <c r="G5526" s="181"/>
      <c r="H5526" s="181"/>
      <c r="I5526" s="181"/>
      <c r="J5526" s="181"/>
      <c r="K5526" s="181"/>
      <c r="L5526" s="181"/>
      <c r="M5526" s="181"/>
      <c r="N5526" s="181"/>
      <c r="O5526" s="181"/>
      <c r="P5526" s="181"/>
    </row>
    <row r="5527">
      <c r="B5527" s="292"/>
      <c r="C5527" s="181"/>
      <c r="D5527" s="181"/>
      <c r="E5527" s="181"/>
      <c r="F5527" s="181"/>
      <c r="G5527" s="181"/>
      <c r="H5527" s="181"/>
      <c r="I5527" s="181"/>
      <c r="J5527" s="181"/>
      <c r="K5527" s="181"/>
      <c r="L5527" s="181"/>
      <c r="M5527" s="181"/>
      <c r="N5527" s="181"/>
      <c r="O5527" s="181"/>
      <c r="P5527" s="181"/>
    </row>
    <row r="5528">
      <c r="B5528" s="292"/>
      <c r="C5528" s="181"/>
      <c r="D5528" s="181"/>
      <c r="E5528" s="181"/>
      <c r="F5528" s="181"/>
      <c r="G5528" s="181"/>
      <c r="H5528" s="181"/>
      <c r="I5528" s="181"/>
      <c r="J5528" s="181"/>
      <c r="K5528" s="181"/>
      <c r="L5528" s="181"/>
      <c r="M5528" s="181"/>
      <c r="N5528" s="181"/>
      <c r="O5528" s="181"/>
      <c r="P5528" s="181"/>
    </row>
    <row r="5529">
      <c r="B5529" s="292"/>
      <c r="C5529" s="181"/>
      <c r="D5529" s="181"/>
      <c r="E5529" s="181"/>
      <c r="F5529" s="181"/>
      <c r="G5529" s="181"/>
      <c r="H5529" s="181"/>
      <c r="I5529" s="181"/>
      <c r="J5529" s="181"/>
      <c r="K5529" s="181"/>
      <c r="L5529" s="181"/>
      <c r="M5529" s="181"/>
      <c r="N5529" s="181"/>
      <c r="O5529" s="181"/>
      <c r="P5529" s="181"/>
    </row>
    <row r="5530">
      <c r="B5530" s="292"/>
      <c r="C5530" s="181"/>
      <c r="D5530" s="181"/>
      <c r="E5530" s="181"/>
      <c r="F5530" s="181"/>
      <c r="G5530" s="181"/>
      <c r="H5530" s="181"/>
      <c r="I5530" s="181"/>
      <c r="J5530" s="181"/>
      <c r="K5530" s="181"/>
      <c r="L5530" s="181"/>
      <c r="M5530" s="181"/>
      <c r="N5530" s="181"/>
      <c r="O5530" s="181"/>
      <c r="P5530" s="181"/>
    </row>
    <row r="5531">
      <c r="B5531" s="292"/>
      <c r="C5531" s="181"/>
      <c r="D5531" s="181"/>
      <c r="E5531" s="181"/>
      <c r="F5531" s="181"/>
      <c r="G5531" s="181"/>
      <c r="H5531" s="181"/>
      <c r="I5531" s="181"/>
      <c r="J5531" s="181"/>
      <c r="K5531" s="181"/>
      <c r="L5531" s="181"/>
      <c r="M5531" s="181"/>
      <c r="N5531" s="181"/>
      <c r="O5531" s="181"/>
      <c r="P5531" s="181"/>
    </row>
    <row r="5532">
      <c r="B5532" s="292"/>
      <c r="C5532" s="181"/>
      <c r="D5532" s="181"/>
      <c r="E5532" s="181"/>
      <c r="F5532" s="181"/>
      <c r="G5532" s="181"/>
      <c r="H5532" s="181"/>
      <c r="I5532" s="181"/>
      <c r="J5532" s="181"/>
      <c r="K5532" s="181"/>
      <c r="L5532" s="181"/>
      <c r="M5532" s="181"/>
      <c r="N5532" s="181"/>
      <c r="O5532" s="181"/>
      <c r="P5532" s="181"/>
    </row>
    <row r="5533">
      <c r="B5533" s="292"/>
      <c r="C5533" s="181"/>
      <c r="D5533" s="181"/>
      <c r="E5533" s="181"/>
      <c r="F5533" s="181"/>
      <c r="G5533" s="181"/>
      <c r="H5533" s="181"/>
      <c r="I5533" s="181"/>
      <c r="J5533" s="181"/>
      <c r="K5533" s="181"/>
      <c r="L5533" s="181"/>
      <c r="M5533" s="181"/>
      <c r="N5533" s="181"/>
      <c r="O5533" s="181"/>
      <c r="P5533" s="181"/>
    </row>
    <row r="5534">
      <c r="B5534" s="292"/>
      <c r="C5534" s="181"/>
      <c r="D5534" s="181"/>
      <c r="E5534" s="181"/>
      <c r="F5534" s="181"/>
      <c r="G5534" s="181"/>
      <c r="H5534" s="181"/>
      <c r="I5534" s="181"/>
      <c r="J5534" s="181"/>
      <c r="K5534" s="181"/>
      <c r="L5534" s="181"/>
      <c r="M5534" s="181"/>
      <c r="N5534" s="181"/>
      <c r="O5534" s="181"/>
      <c r="P5534" s="181"/>
    </row>
    <row r="5535">
      <c r="B5535" s="292"/>
      <c r="C5535" s="181"/>
      <c r="D5535" s="181"/>
      <c r="E5535" s="181"/>
      <c r="F5535" s="181"/>
      <c r="G5535" s="181"/>
      <c r="H5535" s="181"/>
      <c r="I5535" s="181"/>
      <c r="J5535" s="181"/>
      <c r="K5535" s="181"/>
      <c r="L5535" s="181"/>
      <c r="M5535" s="181"/>
      <c r="N5535" s="181"/>
      <c r="O5535" s="181"/>
      <c r="P5535" s="181"/>
    </row>
    <row r="5536">
      <c r="B5536" s="292"/>
      <c r="C5536" s="181"/>
      <c r="D5536" s="181"/>
      <c r="E5536" s="181"/>
      <c r="F5536" s="181"/>
      <c r="G5536" s="181"/>
      <c r="H5536" s="181"/>
      <c r="I5536" s="181"/>
      <c r="J5536" s="181"/>
      <c r="K5536" s="181"/>
      <c r="L5536" s="181"/>
      <c r="M5536" s="181"/>
      <c r="N5536" s="181"/>
      <c r="O5536" s="181"/>
      <c r="P5536" s="181"/>
    </row>
    <row r="5537">
      <c r="B5537" s="292"/>
      <c r="C5537" s="181"/>
      <c r="D5537" s="181"/>
      <c r="E5537" s="181"/>
      <c r="F5537" s="181"/>
      <c r="G5537" s="181"/>
      <c r="H5537" s="181"/>
      <c r="I5537" s="181"/>
      <c r="J5537" s="181"/>
      <c r="K5537" s="181"/>
      <c r="L5537" s="181"/>
      <c r="M5537" s="181"/>
      <c r="N5537" s="181"/>
      <c r="O5537" s="181"/>
      <c r="P5537" s="181"/>
    </row>
    <row r="5538">
      <c r="B5538" s="292"/>
      <c r="C5538" s="181"/>
      <c r="D5538" s="181"/>
      <c r="E5538" s="181"/>
      <c r="F5538" s="181"/>
      <c r="G5538" s="181"/>
      <c r="H5538" s="181"/>
      <c r="I5538" s="181"/>
      <c r="J5538" s="181"/>
      <c r="K5538" s="181"/>
      <c r="L5538" s="181"/>
      <c r="M5538" s="181"/>
      <c r="N5538" s="181"/>
      <c r="O5538" s="181"/>
      <c r="P5538" s="181"/>
    </row>
    <row r="5539">
      <c r="B5539" s="292"/>
      <c r="C5539" s="181"/>
      <c r="D5539" s="181"/>
      <c r="E5539" s="181"/>
      <c r="F5539" s="181"/>
      <c r="G5539" s="181"/>
      <c r="H5539" s="181"/>
      <c r="I5539" s="181"/>
      <c r="J5539" s="181"/>
      <c r="K5539" s="181"/>
      <c r="L5539" s="181"/>
      <c r="M5539" s="181"/>
      <c r="N5539" s="181"/>
      <c r="O5539" s="181"/>
      <c r="P5539" s="181"/>
    </row>
    <row r="5540">
      <c r="B5540" s="292"/>
      <c r="C5540" s="181"/>
      <c r="D5540" s="181"/>
      <c r="E5540" s="181"/>
      <c r="F5540" s="181"/>
      <c r="G5540" s="181"/>
      <c r="H5540" s="181"/>
      <c r="I5540" s="181"/>
      <c r="J5540" s="181"/>
      <c r="K5540" s="181"/>
      <c r="L5540" s="181"/>
      <c r="M5540" s="181"/>
      <c r="N5540" s="181"/>
      <c r="O5540" s="181"/>
      <c r="P5540" s="181"/>
    </row>
    <row r="5541">
      <c r="B5541" s="292"/>
      <c r="C5541" s="181"/>
      <c r="D5541" s="181"/>
      <c r="E5541" s="181"/>
      <c r="F5541" s="181"/>
      <c r="G5541" s="181"/>
      <c r="H5541" s="181"/>
      <c r="I5541" s="181"/>
      <c r="J5541" s="181"/>
      <c r="K5541" s="181"/>
      <c r="L5541" s="181"/>
      <c r="M5541" s="181"/>
      <c r="N5541" s="181"/>
      <c r="O5541" s="181"/>
      <c r="P5541" s="181"/>
    </row>
    <row r="5542">
      <c r="B5542" s="292"/>
      <c r="C5542" s="181"/>
      <c r="D5542" s="181"/>
      <c r="E5542" s="181"/>
      <c r="F5542" s="181"/>
      <c r="G5542" s="181"/>
      <c r="H5542" s="181"/>
      <c r="I5542" s="181"/>
      <c r="J5542" s="181"/>
      <c r="K5542" s="181"/>
      <c r="L5542" s="181"/>
      <c r="M5542" s="181"/>
      <c r="N5542" s="181"/>
      <c r="O5542" s="181"/>
      <c r="P5542" s="181"/>
    </row>
    <row r="5543">
      <c r="B5543" s="292"/>
      <c r="C5543" s="181"/>
      <c r="D5543" s="181"/>
      <c r="E5543" s="181"/>
      <c r="F5543" s="181"/>
      <c r="G5543" s="181"/>
      <c r="H5543" s="181"/>
      <c r="I5543" s="181"/>
      <c r="J5543" s="181"/>
      <c r="K5543" s="181"/>
      <c r="L5543" s="181"/>
      <c r="M5543" s="181"/>
      <c r="N5543" s="181"/>
      <c r="O5543" s="181"/>
      <c r="P5543" s="181"/>
    </row>
    <row r="5544">
      <c r="B5544" s="292"/>
      <c r="C5544" s="181"/>
      <c r="D5544" s="181"/>
      <c r="E5544" s="181"/>
      <c r="F5544" s="181"/>
      <c r="G5544" s="181"/>
      <c r="H5544" s="181"/>
      <c r="I5544" s="181"/>
      <c r="J5544" s="181"/>
      <c r="K5544" s="181"/>
      <c r="L5544" s="181"/>
      <c r="M5544" s="181"/>
      <c r="N5544" s="181"/>
      <c r="O5544" s="181"/>
      <c r="P5544" s="181"/>
    </row>
    <row r="5545">
      <c r="B5545" s="292"/>
      <c r="C5545" s="181"/>
      <c r="D5545" s="181"/>
      <c r="E5545" s="181"/>
      <c r="F5545" s="181"/>
      <c r="G5545" s="181"/>
      <c r="H5545" s="181"/>
      <c r="I5545" s="181"/>
      <c r="J5545" s="181"/>
      <c r="K5545" s="181"/>
      <c r="L5545" s="181"/>
      <c r="M5545" s="181"/>
      <c r="N5545" s="181"/>
      <c r="O5545" s="181"/>
      <c r="P5545" s="181"/>
    </row>
    <row r="5546">
      <c r="B5546" s="292"/>
      <c r="C5546" s="181"/>
      <c r="D5546" s="181"/>
      <c r="E5546" s="181"/>
      <c r="F5546" s="181"/>
      <c r="G5546" s="181"/>
      <c r="H5546" s="181"/>
      <c r="I5546" s="181"/>
      <c r="J5546" s="181"/>
      <c r="K5546" s="181"/>
      <c r="L5546" s="181"/>
      <c r="M5546" s="181"/>
      <c r="N5546" s="181"/>
      <c r="O5546" s="181"/>
      <c r="P5546" s="181"/>
    </row>
    <row r="5547">
      <c r="B5547" s="292"/>
      <c r="C5547" s="181"/>
      <c r="D5547" s="181"/>
      <c r="E5547" s="181"/>
      <c r="F5547" s="181"/>
      <c r="G5547" s="181"/>
      <c r="H5547" s="181"/>
      <c r="I5547" s="181"/>
      <c r="J5547" s="181"/>
      <c r="K5547" s="181"/>
      <c r="L5547" s="181"/>
      <c r="M5547" s="181"/>
      <c r="N5547" s="181"/>
      <c r="O5547" s="181"/>
      <c r="P5547" s="181"/>
    </row>
    <row r="5548">
      <c r="B5548" s="292"/>
      <c r="C5548" s="181"/>
      <c r="D5548" s="181"/>
      <c r="E5548" s="181"/>
      <c r="F5548" s="181"/>
      <c r="G5548" s="181"/>
      <c r="H5548" s="181"/>
      <c r="I5548" s="181"/>
      <c r="J5548" s="181"/>
      <c r="K5548" s="181"/>
      <c r="L5548" s="181"/>
      <c r="M5548" s="181"/>
      <c r="N5548" s="181"/>
      <c r="O5548" s="181"/>
      <c r="P5548" s="181"/>
    </row>
    <row r="5549">
      <c r="B5549" s="292"/>
      <c r="C5549" s="181"/>
      <c r="D5549" s="181"/>
      <c r="E5549" s="181"/>
      <c r="F5549" s="181"/>
      <c r="G5549" s="181"/>
      <c r="H5549" s="181"/>
      <c r="I5549" s="181"/>
      <c r="J5549" s="181"/>
      <c r="K5549" s="181"/>
      <c r="L5549" s="181"/>
      <c r="M5549" s="181"/>
      <c r="N5549" s="181"/>
      <c r="O5549" s="181"/>
      <c r="P5549" s="181"/>
    </row>
    <row r="5550">
      <c r="B5550" s="292"/>
      <c r="C5550" s="181"/>
      <c r="D5550" s="181"/>
      <c r="E5550" s="181"/>
      <c r="F5550" s="181"/>
      <c r="G5550" s="181"/>
      <c r="H5550" s="181"/>
      <c r="I5550" s="181"/>
      <c r="J5550" s="181"/>
      <c r="K5550" s="181"/>
      <c r="L5550" s="181"/>
      <c r="M5550" s="181"/>
      <c r="N5550" s="181"/>
      <c r="O5550" s="181"/>
      <c r="P5550" s="181"/>
    </row>
    <row r="5551">
      <c r="B5551" s="292"/>
      <c r="C5551" s="181"/>
      <c r="D5551" s="181"/>
      <c r="E5551" s="181"/>
      <c r="F5551" s="181"/>
      <c r="G5551" s="181"/>
      <c r="H5551" s="181"/>
      <c r="I5551" s="181"/>
      <c r="J5551" s="181"/>
      <c r="K5551" s="181"/>
      <c r="L5551" s="181"/>
      <c r="M5551" s="181"/>
      <c r="N5551" s="181"/>
      <c r="O5551" s="181"/>
      <c r="P5551" s="181"/>
    </row>
    <row r="5552">
      <c r="B5552" s="292"/>
      <c r="C5552" s="181"/>
      <c r="D5552" s="181"/>
      <c r="E5552" s="181"/>
      <c r="F5552" s="181"/>
      <c r="G5552" s="181"/>
      <c r="H5552" s="181"/>
      <c r="I5552" s="181"/>
      <c r="J5552" s="181"/>
      <c r="K5552" s="181"/>
      <c r="L5552" s="181"/>
      <c r="M5552" s="181"/>
      <c r="N5552" s="181"/>
      <c r="O5552" s="181"/>
      <c r="P5552" s="181"/>
    </row>
    <row r="5553">
      <c r="B5553" s="292"/>
      <c r="C5553" s="181"/>
      <c r="D5553" s="181"/>
      <c r="E5553" s="181"/>
      <c r="F5553" s="181"/>
      <c r="G5553" s="181"/>
      <c r="H5553" s="181"/>
      <c r="I5553" s="181"/>
      <c r="J5553" s="181"/>
      <c r="K5553" s="181"/>
      <c r="L5553" s="181"/>
      <c r="M5553" s="181"/>
      <c r="N5553" s="181"/>
      <c r="O5553" s="181"/>
      <c r="P5553" s="181"/>
    </row>
    <row r="5554">
      <c r="B5554" s="292"/>
      <c r="C5554" s="181"/>
      <c r="D5554" s="181"/>
      <c r="E5554" s="181"/>
      <c r="F5554" s="181"/>
      <c r="G5554" s="181"/>
      <c r="H5554" s="181"/>
      <c r="I5554" s="181"/>
      <c r="J5554" s="181"/>
      <c r="K5554" s="181"/>
      <c r="L5554" s="181"/>
      <c r="M5554" s="181"/>
      <c r="N5554" s="181"/>
      <c r="O5554" s="181"/>
      <c r="P5554" s="181"/>
    </row>
    <row r="5555">
      <c r="B5555" s="292"/>
      <c r="C5555" s="181"/>
      <c r="D5555" s="181"/>
      <c r="E5555" s="181"/>
      <c r="F5555" s="181"/>
      <c r="G5555" s="181"/>
      <c r="H5555" s="181"/>
      <c r="I5555" s="181"/>
      <c r="J5555" s="181"/>
      <c r="K5555" s="181"/>
      <c r="L5555" s="181"/>
      <c r="M5555" s="181"/>
      <c r="N5555" s="181"/>
      <c r="O5555" s="181"/>
      <c r="P5555" s="181"/>
    </row>
    <row r="5556">
      <c r="B5556" s="292"/>
      <c r="C5556" s="181"/>
      <c r="D5556" s="181"/>
      <c r="E5556" s="181"/>
      <c r="F5556" s="181"/>
      <c r="G5556" s="181"/>
      <c r="H5556" s="181"/>
      <c r="I5556" s="181"/>
      <c r="J5556" s="181"/>
      <c r="K5556" s="181"/>
      <c r="L5556" s="181"/>
      <c r="M5556" s="181"/>
      <c r="N5556" s="181"/>
      <c r="O5556" s="181"/>
      <c r="P5556" s="181"/>
    </row>
    <row r="5557">
      <c r="B5557" s="292"/>
      <c r="C5557" s="181"/>
      <c r="D5557" s="181"/>
      <c r="E5557" s="181"/>
      <c r="F5557" s="181"/>
      <c r="G5557" s="181"/>
      <c r="H5557" s="181"/>
      <c r="I5557" s="181"/>
      <c r="J5557" s="181"/>
      <c r="K5557" s="181"/>
      <c r="L5557" s="181"/>
      <c r="M5557" s="181"/>
      <c r="N5557" s="181"/>
      <c r="O5557" s="181"/>
      <c r="P5557" s="181"/>
    </row>
    <row r="5558">
      <c r="B5558" s="292"/>
      <c r="C5558" s="181"/>
      <c r="D5558" s="181"/>
      <c r="E5558" s="181"/>
      <c r="F5558" s="181"/>
      <c r="G5558" s="181"/>
      <c r="H5558" s="181"/>
      <c r="I5558" s="181"/>
      <c r="J5558" s="181"/>
      <c r="K5558" s="181"/>
      <c r="L5558" s="181"/>
      <c r="M5558" s="181"/>
      <c r="N5558" s="181"/>
      <c r="O5558" s="181"/>
      <c r="P5558" s="181"/>
    </row>
    <row r="5559">
      <c r="B5559" s="292"/>
      <c r="C5559" s="181"/>
      <c r="D5559" s="181"/>
      <c r="E5559" s="181"/>
      <c r="F5559" s="181"/>
      <c r="G5559" s="181"/>
      <c r="H5559" s="181"/>
      <c r="I5559" s="181"/>
      <c r="J5559" s="181"/>
      <c r="K5559" s="181"/>
      <c r="L5559" s="181"/>
      <c r="M5559" s="181"/>
      <c r="N5559" s="181"/>
      <c r="O5559" s="181"/>
      <c r="P5559" s="181"/>
    </row>
    <row r="5560">
      <c r="B5560" s="292"/>
      <c r="C5560" s="181"/>
      <c r="D5560" s="181"/>
      <c r="E5560" s="181"/>
      <c r="F5560" s="181"/>
      <c r="G5560" s="181"/>
      <c r="H5560" s="181"/>
      <c r="I5560" s="181"/>
      <c r="J5560" s="181"/>
      <c r="K5560" s="181"/>
      <c r="L5560" s="181"/>
      <c r="M5560" s="181"/>
      <c r="N5560" s="181"/>
      <c r="O5560" s="181"/>
      <c r="P5560" s="181"/>
    </row>
    <row r="5561">
      <c r="B5561" s="292"/>
      <c r="C5561" s="181"/>
      <c r="D5561" s="181"/>
      <c r="E5561" s="181"/>
      <c r="F5561" s="181"/>
      <c r="G5561" s="181"/>
      <c r="H5561" s="181"/>
      <c r="I5561" s="181"/>
      <c r="J5561" s="181"/>
      <c r="K5561" s="181"/>
      <c r="L5561" s="181"/>
      <c r="M5561" s="181"/>
      <c r="N5561" s="181"/>
      <c r="O5561" s="181"/>
      <c r="P5561" s="181"/>
    </row>
    <row r="5562">
      <c r="B5562" s="292"/>
      <c r="C5562" s="181"/>
      <c r="D5562" s="181"/>
      <c r="E5562" s="181"/>
      <c r="F5562" s="181"/>
      <c r="G5562" s="181"/>
      <c r="H5562" s="181"/>
      <c r="I5562" s="181"/>
      <c r="J5562" s="181"/>
      <c r="K5562" s="181"/>
      <c r="L5562" s="181"/>
      <c r="M5562" s="181"/>
      <c r="N5562" s="181"/>
      <c r="O5562" s="181"/>
      <c r="P5562" s="181"/>
    </row>
    <row r="5563">
      <c r="B5563" s="292"/>
      <c r="C5563" s="181"/>
      <c r="D5563" s="181"/>
      <c r="E5563" s="181"/>
      <c r="F5563" s="181"/>
      <c r="G5563" s="181"/>
      <c r="H5563" s="181"/>
      <c r="I5563" s="181"/>
      <c r="J5563" s="181"/>
      <c r="K5563" s="181"/>
      <c r="L5563" s="181"/>
      <c r="M5563" s="181"/>
      <c r="N5563" s="181"/>
      <c r="O5563" s="181"/>
      <c r="P5563" s="181"/>
    </row>
    <row r="5564">
      <c r="B5564" s="292"/>
      <c r="C5564" s="181"/>
      <c r="D5564" s="181"/>
      <c r="E5564" s="181"/>
      <c r="F5564" s="181"/>
      <c r="G5564" s="181"/>
      <c r="H5564" s="181"/>
      <c r="I5564" s="181"/>
      <c r="J5564" s="181"/>
      <c r="K5564" s="181"/>
      <c r="L5564" s="181"/>
      <c r="M5564" s="181"/>
      <c r="N5564" s="181"/>
      <c r="O5564" s="181"/>
      <c r="P5564" s="181"/>
    </row>
    <row r="5565">
      <c r="B5565" s="292"/>
      <c r="C5565" s="181"/>
      <c r="D5565" s="181"/>
      <c r="E5565" s="181"/>
      <c r="F5565" s="181"/>
      <c r="G5565" s="181"/>
      <c r="H5565" s="181"/>
      <c r="I5565" s="181"/>
      <c r="J5565" s="181"/>
      <c r="K5565" s="181"/>
      <c r="L5565" s="181"/>
      <c r="M5565" s="181"/>
      <c r="N5565" s="181"/>
      <c r="O5565" s="181"/>
      <c r="P5565" s="181"/>
    </row>
    <row r="5566">
      <c r="B5566" s="292"/>
      <c r="C5566" s="181"/>
      <c r="D5566" s="181"/>
      <c r="E5566" s="181"/>
      <c r="F5566" s="181"/>
      <c r="G5566" s="181"/>
      <c r="H5566" s="181"/>
      <c r="I5566" s="181"/>
      <c r="J5566" s="181"/>
      <c r="K5566" s="181"/>
      <c r="L5566" s="181"/>
      <c r="M5566" s="181"/>
      <c r="N5566" s="181"/>
      <c r="O5566" s="181"/>
      <c r="P5566" s="181"/>
    </row>
    <row r="5567">
      <c r="B5567" s="292"/>
      <c r="C5567" s="181"/>
      <c r="D5567" s="181"/>
      <c r="E5567" s="181"/>
      <c r="F5567" s="181"/>
      <c r="G5567" s="181"/>
      <c r="H5567" s="181"/>
      <c r="I5567" s="181"/>
      <c r="J5567" s="181"/>
      <c r="K5567" s="181"/>
      <c r="L5567" s="181"/>
      <c r="M5567" s="181"/>
      <c r="N5567" s="181"/>
      <c r="O5567" s="181"/>
      <c r="P5567" s="181"/>
    </row>
    <row r="5568">
      <c r="B5568" s="292"/>
      <c r="C5568" s="181"/>
      <c r="D5568" s="181"/>
      <c r="E5568" s="181"/>
      <c r="F5568" s="181"/>
      <c r="G5568" s="181"/>
      <c r="H5568" s="181"/>
      <c r="I5568" s="181"/>
      <c r="J5568" s="181"/>
      <c r="K5568" s="181"/>
      <c r="L5568" s="181"/>
      <c r="M5568" s="181"/>
      <c r="N5568" s="181"/>
      <c r="O5568" s="181"/>
      <c r="P5568" s="181"/>
    </row>
    <row r="5569">
      <c r="B5569" s="292"/>
      <c r="C5569" s="181"/>
      <c r="D5569" s="181"/>
      <c r="E5569" s="181"/>
      <c r="F5569" s="181"/>
      <c r="G5569" s="181"/>
      <c r="H5569" s="181"/>
      <c r="I5569" s="181"/>
      <c r="J5569" s="181"/>
      <c r="K5569" s="181"/>
      <c r="L5569" s="181"/>
      <c r="M5569" s="181"/>
      <c r="N5569" s="181"/>
      <c r="O5569" s="181"/>
      <c r="P5569" s="181"/>
    </row>
    <row r="5570">
      <c r="B5570" s="292"/>
      <c r="C5570" s="181"/>
      <c r="D5570" s="181"/>
      <c r="E5570" s="181"/>
      <c r="F5570" s="181"/>
      <c r="G5570" s="181"/>
      <c r="H5570" s="181"/>
      <c r="I5570" s="181"/>
      <c r="J5570" s="181"/>
      <c r="K5570" s="181"/>
      <c r="L5570" s="181"/>
      <c r="M5570" s="181"/>
      <c r="N5570" s="181"/>
      <c r="O5570" s="181"/>
      <c r="P5570" s="181"/>
    </row>
    <row r="5571">
      <c r="B5571" s="292"/>
      <c r="C5571" s="181"/>
      <c r="D5571" s="181"/>
      <c r="E5571" s="181"/>
      <c r="F5571" s="181"/>
      <c r="G5571" s="181"/>
      <c r="H5571" s="181"/>
      <c r="I5571" s="181"/>
      <c r="J5571" s="181"/>
      <c r="K5571" s="181"/>
      <c r="L5571" s="181"/>
      <c r="M5571" s="181"/>
      <c r="N5571" s="181"/>
      <c r="O5571" s="181"/>
      <c r="P5571" s="181"/>
    </row>
    <row r="5572">
      <c r="B5572" s="292"/>
      <c r="C5572" s="181"/>
      <c r="D5572" s="181"/>
      <c r="E5572" s="181"/>
      <c r="F5572" s="181"/>
      <c r="G5572" s="181"/>
      <c r="H5572" s="181"/>
      <c r="I5572" s="181"/>
      <c r="J5572" s="181"/>
      <c r="K5572" s="181"/>
      <c r="L5572" s="181"/>
      <c r="M5572" s="181"/>
      <c r="N5572" s="181"/>
      <c r="O5572" s="181"/>
      <c r="P5572" s="181"/>
    </row>
    <row r="5573">
      <c r="B5573" s="292"/>
      <c r="C5573" s="181"/>
      <c r="D5573" s="181"/>
      <c r="E5573" s="181"/>
      <c r="F5573" s="181"/>
      <c r="G5573" s="181"/>
      <c r="H5573" s="181"/>
      <c r="I5573" s="181"/>
      <c r="J5573" s="181"/>
      <c r="K5573" s="181"/>
      <c r="L5573" s="181"/>
      <c r="M5573" s="181"/>
      <c r="N5573" s="181"/>
      <c r="O5573" s="181"/>
      <c r="P5573" s="181"/>
    </row>
    <row r="5574">
      <c r="B5574" s="292"/>
      <c r="C5574" s="181"/>
      <c r="D5574" s="181"/>
      <c r="E5574" s="181"/>
      <c r="F5574" s="181"/>
      <c r="G5574" s="181"/>
      <c r="H5574" s="181"/>
      <c r="I5574" s="181"/>
      <c r="J5574" s="181"/>
      <c r="K5574" s="181"/>
      <c r="L5574" s="181"/>
      <c r="M5574" s="181"/>
      <c r="N5574" s="181"/>
      <c r="O5574" s="181"/>
      <c r="P5574" s="181"/>
    </row>
    <row r="5575">
      <c r="B5575" s="292"/>
      <c r="C5575" s="181"/>
      <c r="D5575" s="181"/>
      <c r="E5575" s="181"/>
      <c r="F5575" s="181"/>
      <c r="G5575" s="181"/>
      <c r="H5575" s="181"/>
      <c r="I5575" s="181"/>
      <c r="J5575" s="181"/>
      <c r="K5575" s="181"/>
      <c r="L5575" s="181"/>
      <c r="M5575" s="181"/>
      <c r="N5575" s="181"/>
      <c r="O5575" s="181"/>
      <c r="P5575" s="181"/>
    </row>
    <row r="5576">
      <c r="B5576" s="292"/>
      <c r="C5576" s="181"/>
      <c r="D5576" s="181"/>
      <c r="E5576" s="181"/>
      <c r="F5576" s="181"/>
      <c r="G5576" s="181"/>
      <c r="H5576" s="181"/>
      <c r="I5576" s="181"/>
      <c r="J5576" s="181"/>
      <c r="K5576" s="181"/>
      <c r="L5576" s="181"/>
      <c r="M5576" s="181"/>
      <c r="N5576" s="181"/>
      <c r="O5576" s="181"/>
      <c r="P5576" s="181"/>
    </row>
    <row r="5577">
      <c r="B5577" s="292"/>
      <c r="C5577" s="181"/>
      <c r="D5577" s="181"/>
      <c r="E5577" s="181"/>
      <c r="F5577" s="181"/>
      <c r="G5577" s="181"/>
      <c r="H5577" s="181"/>
      <c r="I5577" s="181"/>
      <c r="J5577" s="181"/>
      <c r="K5577" s="181"/>
      <c r="L5577" s="181"/>
      <c r="M5577" s="181"/>
      <c r="N5577" s="181"/>
      <c r="O5577" s="181"/>
      <c r="P5577" s="181"/>
    </row>
    <row r="5578">
      <c r="B5578" s="292"/>
      <c r="C5578" s="181"/>
      <c r="D5578" s="181"/>
      <c r="E5578" s="181"/>
      <c r="F5578" s="181"/>
      <c r="G5578" s="181"/>
      <c r="H5578" s="181"/>
      <c r="I5578" s="181"/>
      <c r="J5578" s="181"/>
      <c r="K5578" s="181"/>
      <c r="L5578" s="181"/>
      <c r="M5578" s="181"/>
      <c r="N5578" s="181"/>
      <c r="O5578" s="181"/>
      <c r="P5578" s="181"/>
    </row>
    <row r="5579">
      <c r="B5579" s="292"/>
      <c r="C5579" s="181"/>
      <c r="D5579" s="181"/>
      <c r="E5579" s="181"/>
      <c r="F5579" s="181"/>
      <c r="G5579" s="181"/>
      <c r="H5579" s="181"/>
      <c r="I5579" s="181"/>
      <c r="J5579" s="181"/>
      <c r="K5579" s="181"/>
      <c r="L5579" s="181"/>
      <c r="M5579" s="181"/>
      <c r="N5579" s="181"/>
      <c r="O5579" s="181"/>
      <c r="P5579" s="181"/>
    </row>
    <row r="5580">
      <c r="B5580" s="292"/>
      <c r="C5580" s="181"/>
      <c r="D5580" s="181"/>
      <c r="E5580" s="181"/>
      <c r="F5580" s="181"/>
      <c r="G5580" s="181"/>
      <c r="H5580" s="181"/>
      <c r="I5580" s="181"/>
      <c r="J5580" s="181"/>
      <c r="K5580" s="181"/>
      <c r="L5580" s="181"/>
      <c r="M5580" s="181"/>
      <c r="N5580" s="181"/>
      <c r="O5580" s="181"/>
      <c r="P5580" s="181"/>
    </row>
    <row r="5581">
      <c r="B5581" s="292"/>
      <c r="C5581" s="181"/>
      <c r="D5581" s="181"/>
      <c r="E5581" s="181"/>
      <c r="F5581" s="181"/>
      <c r="G5581" s="181"/>
      <c r="H5581" s="181"/>
      <c r="I5581" s="181"/>
      <c r="J5581" s="181"/>
      <c r="K5581" s="181"/>
      <c r="L5581" s="181"/>
      <c r="M5581" s="181"/>
      <c r="N5581" s="181"/>
      <c r="O5581" s="181"/>
      <c r="P5581" s="181"/>
    </row>
    <row r="5582">
      <c r="B5582" s="292"/>
      <c r="C5582" s="181"/>
      <c r="D5582" s="181"/>
      <c r="E5582" s="181"/>
      <c r="F5582" s="181"/>
      <c r="G5582" s="181"/>
      <c r="H5582" s="181"/>
      <c r="I5582" s="181"/>
      <c r="J5582" s="181"/>
      <c r="K5582" s="181"/>
      <c r="L5582" s="181"/>
      <c r="M5582" s="181"/>
      <c r="N5582" s="181"/>
      <c r="O5582" s="181"/>
      <c r="P5582" s="181"/>
    </row>
    <row r="5583">
      <c r="B5583" s="292"/>
      <c r="C5583" s="181"/>
      <c r="D5583" s="181"/>
      <c r="E5583" s="181"/>
      <c r="F5583" s="181"/>
      <c r="G5583" s="181"/>
      <c r="H5583" s="181"/>
      <c r="I5583" s="181"/>
      <c r="J5583" s="181"/>
      <c r="K5583" s="181"/>
      <c r="L5583" s="181"/>
      <c r="M5583" s="181"/>
      <c r="N5583" s="181"/>
      <c r="O5583" s="181"/>
      <c r="P5583" s="181"/>
    </row>
    <row r="5584">
      <c r="B5584" s="292"/>
      <c r="C5584" s="181"/>
      <c r="D5584" s="181"/>
      <c r="E5584" s="181"/>
      <c r="F5584" s="181"/>
      <c r="G5584" s="181"/>
      <c r="H5584" s="181"/>
      <c r="I5584" s="181"/>
      <c r="J5584" s="181"/>
      <c r="K5584" s="181"/>
      <c r="L5584" s="181"/>
      <c r="M5584" s="181"/>
      <c r="N5584" s="181"/>
      <c r="O5584" s="181"/>
      <c r="P5584" s="181"/>
    </row>
    <row r="5585">
      <c r="B5585" s="292"/>
      <c r="C5585" s="181"/>
      <c r="D5585" s="181"/>
      <c r="E5585" s="181"/>
      <c r="F5585" s="181"/>
      <c r="G5585" s="181"/>
      <c r="H5585" s="181"/>
      <c r="I5585" s="181"/>
      <c r="J5585" s="181"/>
      <c r="K5585" s="181"/>
      <c r="L5585" s="181"/>
      <c r="M5585" s="181"/>
      <c r="N5585" s="181"/>
      <c r="O5585" s="181"/>
      <c r="P5585" s="181"/>
    </row>
    <row r="5586">
      <c r="B5586" s="292"/>
      <c r="C5586" s="181"/>
      <c r="D5586" s="181"/>
      <c r="E5586" s="181"/>
      <c r="F5586" s="181"/>
      <c r="G5586" s="181"/>
      <c r="H5586" s="181"/>
      <c r="I5586" s="181"/>
      <c r="J5586" s="181"/>
      <c r="K5586" s="181"/>
      <c r="L5586" s="181"/>
      <c r="M5586" s="181"/>
      <c r="N5586" s="181"/>
      <c r="O5586" s="181"/>
      <c r="P5586" s="181"/>
    </row>
    <row r="5587">
      <c r="B5587" s="292"/>
      <c r="C5587" s="181"/>
      <c r="D5587" s="181"/>
      <c r="E5587" s="181"/>
      <c r="F5587" s="181"/>
      <c r="G5587" s="181"/>
      <c r="H5587" s="181"/>
      <c r="I5587" s="181"/>
      <c r="J5587" s="181"/>
      <c r="K5587" s="181"/>
      <c r="L5587" s="181"/>
      <c r="M5587" s="181"/>
      <c r="N5587" s="181"/>
      <c r="O5587" s="181"/>
      <c r="P5587" s="181"/>
    </row>
    <row r="5588">
      <c r="B5588" s="292"/>
      <c r="C5588" s="181"/>
      <c r="D5588" s="181"/>
      <c r="E5588" s="181"/>
      <c r="F5588" s="181"/>
      <c r="G5588" s="181"/>
      <c r="H5588" s="181"/>
      <c r="I5588" s="181"/>
      <c r="J5588" s="181"/>
      <c r="K5588" s="181"/>
      <c r="L5588" s="181"/>
      <c r="M5588" s="181"/>
      <c r="N5588" s="181"/>
      <c r="O5588" s="181"/>
      <c r="P5588" s="181"/>
    </row>
    <row r="5589">
      <c r="B5589" s="292"/>
      <c r="C5589" s="181"/>
      <c r="D5589" s="181"/>
      <c r="E5589" s="181"/>
      <c r="F5589" s="181"/>
      <c r="G5589" s="181"/>
      <c r="H5589" s="181"/>
      <c r="I5589" s="181"/>
      <c r="J5589" s="181"/>
      <c r="K5589" s="181"/>
      <c r="L5589" s="181"/>
      <c r="M5589" s="181"/>
      <c r="N5589" s="181"/>
      <c r="O5589" s="181"/>
      <c r="P5589" s="181"/>
    </row>
    <row r="5590">
      <c r="B5590" s="292"/>
      <c r="C5590" s="181"/>
      <c r="D5590" s="181"/>
      <c r="E5590" s="181"/>
      <c r="F5590" s="181"/>
      <c r="G5590" s="181"/>
      <c r="H5590" s="181"/>
      <c r="I5590" s="181"/>
      <c r="J5590" s="181"/>
      <c r="K5590" s="181"/>
      <c r="L5590" s="181"/>
      <c r="M5590" s="181"/>
      <c r="N5590" s="181"/>
      <c r="O5590" s="181"/>
      <c r="P5590" s="181"/>
    </row>
    <row r="5591">
      <c r="B5591" s="292"/>
      <c r="C5591" s="181"/>
      <c r="D5591" s="181"/>
      <c r="E5591" s="181"/>
      <c r="F5591" s="181"/>
      <c r="G5591" s="181"/>
      <c r="H5591" s="181"/>
      <c r="I5591" s="181"/>
      <c r="J5591" s="181"/>
      <c r="K5591" s="181"/>
      <c r="L5591" s="181"/>
      <c r="M5591" s="181"/>
      <c r="N5591" s="181"/>
      <c r="O5591" s="181"/>
      <c r="P5591" s="181"/>
    </row>
    <row r="5592">
      <c r="B5592" s="292"/>
      <c r="C5592" s="181"/>
      <c r="D5592" s="181"/>
      <c r="E5592" s="181"/>
      <c r="F5592" s="181"/>
      <c r="G5592" s="181"/>
      <c r="H5592" s="181"/>
      <c r="I5592" s="181"/>
      <c r="J5592" s="181"/>
      <c r="K5592" s="181"/>
      <c r="L5592" s="181"/>
      <c r="M5592" s="181"/>
      <c r="N5592" s="181"/>
      <c r="O5592" s="181"/>
      <c r="P5592" s="181"/>
    </row>
    <row r="5593">
      <c r="B5593" s="292"/>
      <c r="C5593" s="181"/>
      <c r="D5593" s="181"/>
      <c r="E5593" s="181"/>
      <c r="F5593" s="181"/>
      <c r="G5593" s="181"/>
      <c r="H5593" s="181"/>
      <c r="I5593" s="181"/>
      <c r="J5593" s="181"/>
      <c r="K5593" s="181"/>
      <c r="L5593" s="181"/>
      <c r="M5593" s="181"/>
      <c r="N5593" s="181"/>
      <c r="O5593" s="181"/>
      <c r="P5593" s="181"/>
    </row>
    <row r="5594">
      <c r="B5594" s="292"/>
      <c r="C5594" s="181"/>
      <c r="D5594" s="181"/>
      <c r="E5594" s="181"/>
      <c r="F5594" s="181"/>
      <c r="G5594" s="181"/>
      <c r="H5594" s="181"/>
      <c r="I5594" s="181"/>
      <c r="J5594" s="181"/>
      <c r="K5594" s="181"/>
      <c r="L5594" s="181"/>
      <c r="M5594" s="181"/>
      <c r="N5594" s="181"/>
      <c r="O5594" s="181"/>
      <c r="P5594" s="181"/>
    </row>
    <row r="5595">
      <c r="B5595" s="292"/>
      <c r="C5595" s="181"/>
      <c r="D5595" s="181"/>
      <c r="E5595" s="181"/>
      <c r="F5595" s="181"/>
      <c r="G5595" s="181"/>
      <c r="H5595" s="181"/>
      <c r="I5595" s="181"/>
      <c r="J5595" s="181"/>
      <c r="K5595" s="181"/>
      <c r="L5595" s="181"/>
      <c r="M5595" s="181"/>
      <c r="N5595" s="181"/>
      <c r="O5595" s="181"/>
      <c r="P5595" s="181"/>
    </row>
    <row r="5596">
      <c r="B5596" s="292"/>
      <c r="C5596" s="181"/>
      <c r="D5596" s="181"/>
      <c r="E5596" s="181"/>
      <c r="F5596" s="181"/>
      <c r="G5596" s="181"/>
      <c r="H5596" s="181"/>
      <c r="I5596" s="181"/>
      <c r="J5596" s="181"/>
      <c r="K5596" s="181"/>
      <c r="L5596" s="181"/>
      <c r="M5596" s="181"/>
      <c r="N5596" s="181"/>
      <c r="O5596" s="181"/>
      <c r="P5596" s="181"/>
    </row>
    <row r="5597">
      <c r="B5597" s="292"/>
      <c r="C5597" s="181"/>
      <c r="D5597" s="181"/>
      <c r="E5597" s="181"/>
      <c r="F5597" s="181"/>
      <c r="G5597" s="181"/>
      <c r="H5597" s="181"/>
      <c r="I5597" s="181"/>
      <c r="J5597" s="181"/>
      <c r="K5597" s="181"/>
      <c r="L5597" s="181"/>
      <c r="M5597" s="181"/>
      <c r="N5597" s="181"/>
      <c r="O5597" s="181"/>
      <c r="P5597" s="181"/>
    </row>
    <row r="5598">
      <c r="B5598" s="292"/>
      <c r="C5598" s="181"/>
      <c r="D5598" s="181"/>
      <c r="E5598" s="181"/>
      <c r="F5598" s="181"/>
      <c r="G5598" s="181"/>
      <c r="H5598" s="181"/>
      <c r="I5598" s="181"/>
      <c r="J5598" s="181"/>
      <c r="K5598" s="181"/>
      <c r="L5598" s="181"/>
      <c r="M5598" s="181"/>
      <c r="N5598" s="181"/>
      <c r="O5598" s="181"/>
      <c r="P5598" s="181"/>
    </row>
    <row r="5599">
      <c r="B5599" s="292"/>
      <c r="C5599" s="181"/>
      <c r="D5599" s="181"/>
      <c r="E5599" s="181"/>
      <c r="F5599" s="181"/>
      <c r="G5599" s="181"/>
      <c r="H5599" s="181"/>
      <c r="I5599" s="181"/>
      <c r="J5599" s="181"/>
      <c r="K5599" s="181"/>
      <c r="L5599" s="181"/>
      <c r="M5599" s="181"/>
      <c r="N5599" s="181"/>
      <c r="O5599" s="181"/>
      <c r="P5599" s="181"/>
    </row>
    <row r="5600">
      <c r="B5600" s="292"/>
      <c r="C5600" s="181"/>
      <c r="D5600" s="181"/>
      <c r="E5600" s="181"/>
      <c r="F5600" s="181"/>
      <c r="G5600" s="181"/>
      <c r="H5600" s="181"/>
      <c r="I5600" s="181"/>
      <c r="J5600" s="181"/>
      <c r="K5600" s="181"/>
      <c r="L5600" s="181"/>
      <c r="M5600" s="181"/>
      <c r="N5600" s="181"/>
      <c r="O5600" s="181"/>
      <c r="P5600" s="181"/>
    </row>
    <row r="5601">
      <c r="B5601" s="292"/>
      <c r="C5601" s="181"/>
      <c r="D5601" s="181"/>
      <c r="E5601" s="181"/>
      <c r="F5601" s="181"/>
      <c r="G5601" s="181"/>
      <c r="H5601" s="181"/>
      <c r="I5601" s="181"/>
      <c r="J5601" s="181"/>
      <c r="K5601" s="181"/>
      <c r="L5601" s="181"/>
      <c r="M5601" s="181"/>
      <c r="N5601" s="181"/>
      <c r="O5601" s="181"/>
      <c r="P5601" s="181"/>
    </row>
    <row r="5602">
      <c r="B5602" s="292"/>
      <c r="C5602" s="181"/>
      <c r="D5602" s="181"/>
      <c r="E5602" s="181"/>
      <c r="F5602" s="181"/>
      <c r="G5602" s="181"/>
      <c r="H5602" s="181"/>
      <c r="I5602" s="181"/>
      <c r="J5602" s="181"/>
      <c r="K5602" s="181"/>
      <c r="L5602" s="181"/>
      <c r="M5602" s="181"/>
      <c r="N5602" s="181"/>
      <c r="O5602" s="181"/>
      <c r="P5602" s="181"/>
    </row>
    <row r="5603">
      <c r="B5603" s="292"/>
      <c r="C5603" s="181"/>
      <c r="D5603" s="181"/>
      <c r="E5603" s="181"/>
      <c r="F5603" s="181"/>
      <c r="G5603" s="181"/>
      <c r="H5603" s="181"/>
      <c r="I5603" s="181"/>
      <c r="J5603" s="181"/>
      <c r="K5603" s="181"/>
      <c r="L5603" s="181"/>
      <c r="M5603" s="181"/>
      <c r="N5603" s="181"/>
      <c r="O5603" s="181"/>
      <c r="P5603" s="181"/>
    </row>
    <row r="5604">
      <c r="B5604" s="292"/>
      <c r="C5604" s="181"/>
      <c r="D5604" s="181"/>
      <c r="E5604" s="181"/>
      <c r="F5604" s="181"/>
      <c r="G5604" s="181"/>
      <c r="H5604" s="181"/>
      <c r="I5604" s="181"/>
      <c r="J5604" s="181"/>
      <c r="K5604" s="181"/>
      <c r="L5604" s="181"/>
      <c r="M5604" s="181"/>
      <c r="N5604" s="181"/>
      <c r="O5604" s="181"/>
      <c r="P5604" s="181"/>
    </row>
    <row r="5605">
      <c r="B5605" s="292"/>
      <c r="C5605" s="181"/>
      <c r="D5605" s="181"/>
      <c r="E5605" s="181"/>
      <c r="F5605" s="181"/>
      <c r="G5605" s="181"/>
      <c r="H5605" s="181"/>
      <c r="I5605" s="181"/>
      <c r="J5605" s="181"/>
      <c r="K5605" s="181"/>
      <c r="L5605" s="181"/>
      <c r="M5605" s="181"/>
      <c r="N5605" s="181"/>
      <c r="O5605" s="181"/>
      <c r="P5605" s="181"/>
    </row>
    <row r="5606">
      <c r="B5606" s="292"/>
      <c r="C5606" s="181"/>
      <c r="D5606" s="181"/>
      <c r="E5606" s="181"/>
      <c r="F5606" s="181"/>
      <c r="G5606" s="181"/>
      <c r="H5606" s="181"/>
      <c r="I5606" s="181"/>
      <c r="J5606" s="181"/>
      <c r="K5606" s="181"/>
      <c r="L5606" s="181"/>
      <c r="M5606" s="181"/>
      <c r="N5606" s="181"/>
      <c r="O5606" s="181"/>
      <c r="P5606" s="181"/>
    </row>
    <row r="5607">
      <c r="B5607" s="292"/>
      <c r="C5607" s="181"/>
      <c r="D5607" s="181"/>
      <c r="E5607" s="181"/>
      <c r="F5607" s="181"/>
      <c r="G5607" s="181"/>
      <c r="H5607" s="181"/>
      <c r="I5607" s="181"/>
      <c r="J5607" s="181"/>
      <c r="K5607" s="181"/>
      <c r="L5607" s="181"/>
      <c r="M5607" s="181"/>
      <c r="N5607" s="181"/>
      <c r="O5607" s="181"/>
      <c r="P5607" s="181"/>
    </row>
    <row r="5608">
      <c r="B5608" s="292"/>
      <c r="C5608" s="181"/>
      <c r="D5608" s="181"/>
      <c r="E5608" s="181"/>
      <c r="F5608" s="181"/>
      <c r="G5608" s="181"/>
      <c r="H5608" s="181"/>
      <c r="I5608" s="181"/>
      <c r="J5608" s="181"/>
      <c r="K5608" s="181"/>
      <c r="L5608" s="181"/>
      <c r="M5608" s="181"/>
      <c r="N5608" s="181"/>
      <c r="O5608" s="181"/>
      <c r="P5608" s="181"/>
    </row>
    <row r="5609">
      <c r="B5609" s="292"/>
      <c r="C5609" s="181"/>
      <c r="D5609" s="181"/>
      <c r="E5609" s="181"/>
      <c r="F5609" s="181"/>
      <c r="G5609" s="181"/>
      <c r="H5609" s="181"/>
      <c r="I5609" s="181"/>
      <c r="J5609" s="181"/>
      <c r="K5609" s="181"/>
      <c r="L5609" s="181"/>
      <c r="M5609" s="181"/>
      <c r="N5609" s="181"/>
      <c r="O5609" s="181"/>
      <c r="P5609" s="181"/>
    </row>
    <row r="5610">
      <c r="B5610" s="292"/>
      <c r="C5610" s="181"/>
      <c r="D5610" s="181"/>
      <c r="E5610" s="181"/>
      <c r="F5610" s="181"/>
      <c r="G5610" s="181"/>
      <c r="H5610" s="181"/>
      <c r="I5610" s="181"/>
      <c r="J5610" s="181"/>
      <c r="K5610" s="181"/>
      <c r="L5610" s="181"/>
      <c r="M5610" s="181"/>
      <c r="N5610" s="181"/>
      <c r="O5610" s="181"/>
      <c r="P5610" s="181"/>
    </row>
    <row r="5611">
      <c r="B5611" s="292"/>
      <c r="C5611" s="181"/>
      <c r="D5611" s="181"/>
      <c r="E5611" s="181"/>
      <c r="F5611" s="181"/>
      <c r="G5611" s="181"/>
      <c r="H5611" s="181"/>
      <c r="I5611" s="181"/>
      <c r="J5611" s="181"/>
      <c r="K5611" s="181"/>
      <c r="L5611" s="181"/>
      <c r="M5611" s="181"/>
      <c r="N5611" s="181"/>
      <c r="O5611" s="181"/>
      <c r="P5611" s="181"/>
    </row>
    <row r="5612">
      <c r="B5612" s="292"/>
      <c r="C5612" s="181"/>
      <c r="D5612" s="181"/>
      <c r="E5612" s="181"/>
      <c r="F5612" s="181"/>
      <c r="G5612" s="181"/>
      <c r="H5612" s="181"/>
      <c r="I5612" s="181"/>
      <c r="J5612" s="181"/>
      <c r="K5612" s="181"/>
      <c r="L5612" s="181"/>
      <c r="M5612" s="181"/>
      <c r="N5612" s="181"/>
      <c r="O5612" s="181"/>
      <c r="P5612" s="181"/>
    </row>
    <row r="5613">
      <c r="B5613" s="292"/>
      <c r="C5613" s="181"/>
      <c r="D5613" s="181"/>
      <c r="E5613" s="181"/>
      <c r="F5613" s="181"/>
      <c r="G5613" s="181"/>
      <c r="H5613" s="181"/>
      <c r="I5613" s="181"/>
      <c r="J5613" s="181"/>
      <c r="K5613" s="181"/>
      <c r="L5613" s="181"/>
      <c r="M5613" s="181"/>
      <c r="N5613" s="181"/>
      <c r="O5613" s="181"/>
      <c r="P5613" s="181"/>
    </row>
    <row r="5614">
      <c r="B5614" s="292"/>
      <c r="C5614" s="181"/>
      <c r="D5614" s="181"/>
      <c r="E5614" s="181"/>
      <c r="F5614" s="181"/>
      <c r="G5614" s="181"/>
      <c r="H5614" s="181"/>
      <c r="I5614" s="181"/>
      <c r="J5614" s="181"/>
      <c r="K5614" s="181"/>
      <c r="L5614" s="181"/>
      <c r="M5614" s="181"/>
      <c r="N5614" s="181"/>
      <c r="O5614" s="181"/>
      <c r="P5614" s="181"/>
    </row>
    <row r="5615">
      <c r="B5615" s="292"/>
      <c r="C5615" s="181"/>
      <c r="D5615" s="181"/>
      <c r="E5615" s="181"/>
      <c r="F5615" s="181"/>
      <c r="G5615" s="181"/>
      <c r="H5615" s="181"/>
      <c r="I5615" s="181"/>
      <c r="J5615" s="181"/>
      <c r="K5615" s="181"/>
      <c r="L5615" s="181"/>
      <c r="M5615" s="181"/>
      <c r="N5615" s="181"/>
      <c r="O5615" s="181"/>
      <c r="P5615" s="181"/>
    </row>
    <row r="5616">
      <c r="B5616" s="292"/>
      <c r="C5616" s="181"/>
      <c r="D5616" s="181"/>
      <c r="E5616" s="181"/>
      <c r="F5616" s="181"/>
      <c r="G5616" s="181"/>
      <c r="H5616" s="181"/>
      <c r="I5616" s="181"/>
      <c r="J5616" s="181"/>
      <c r="K5616" s="181"/>
      <c r="L5616" s="181"/>
      <c r="M5616" s="181"/>
      <c r="N5616" s="181"/>
      <c r="O5616" s="181"/>
      <c r="P5616" s="181"/>
    </row>
    <row r="5617">
      <c r="B5617" s="292"/>
      <c r="C5617" s="181"/>
      <c r="D5617" s="181"/>
      <c r="E5617" s="181"/>
      <c r="F5617" s="181"/>
      <c r="G5617" s="181"/>
      <c r="H5617" s="181"/>
      <c r="I5617" s="181"/>
      <c r="J5617" s="181"/>
      <c r="K5617" s="181"/>
      <c r="L5617" s="181"/>
      <c r="M5617" s="181"/>
      <c r="N5617" s="181"/>
      <c r="O5617" s="181"/>
      <c r="P5617" s="181"/>
    </row>
    <row r="5618">
      <c r="B5618" s="292"/>
      <c r="C5618" s="181"/>
      <c r="D5618" s="181"/>
      <c r="E5618" s="181"/>
      <c r="F5618" s="181"/>
      <c r="G5618" s="181"/>
      <c r="H5618" s="181"/>
      <c r="I5618" s="181"/>
      <c r="J5618" s="181"/>
      <c r="K5618" s="181"/>
      <c r="L5618" s="181"/>
      <c r="M5618" s="181"/>
      <c r="N5618" s="181"/>
      <c r="O5618" s="181"/>
      <c r="P5618" s="181"/>
    </row>
    <row r="5619">
      <c r="B5619" s="292"/>
      <c r="C5619" s="181"/>
      <c r="D5619" s="181"/>
      <c r="E5619" s="181"/>
      <c r="F5619" s="181"/>
      <c r="G5619" s="181"/>
      <c r="H5619" s="181"/>
      <c r="I5619" s="181"/>
      <c r="J5619" s="181"/>
      <c r="K5619" s="181"/>
      <c r="L5619" s="181"/>
      <c r="M5619" s="181"/>
      <c r="N5619" s="181"/>
      <c r="O5619" s="181"/>
      <c r="P5619" s="181"/>
    </row>
    <row r="5620">
      <c r="B5620" s="292"/>
      <c r="C5620" s="181"/>
      <c r="D5620" s="181"/>
      <c r="E5620" s="181"/>
      <c r="F5620" s="181"/>
      <c r="G5620" s="181"/>
      <c r="H5620" s="181"/>
      <c r="I5620" s="181"/>
      <c r="J5620" s="181"/>
      <c r="K5620" s="181"/>
      <c r="L5620" s="181"/>
      <c r="M5620" s="181"/>
      <c r="N5620" s="181"/>
      <c r="O5620" s="181"/>
      <c r="P5620" s="181"/>
    </row>
    <row r="5621">
      <c r="B5621" s="292"/>
      <c r="C5621" s="181"/>
      <c r="D5621" s="181"/>
      <c r="E5621" s="181"/>
      <c r="F5621" s="181"/>
      <c r="G5621" s="181"/>
      <c r="H5621" s="181"/>
      <c r="I5621" s="181"/>
      <c r="J5621" s="181"/>
      <c r="K5621" s="181"/>
      <c r="L5621" s="181"/>
      <c r="M5621" s="181"/>
      <c r="N5621" s="181"/>
      <c r="O5621" s="181"/>
      <c r="P5621" s="181"/>
    </row>
    <row r="5622">
      <c r="B5622" s="292"/>
      <c r="C5622" s="181"/>
      <c r="D5622" s="181"/>
      <c r="E5622" s="181"/>
      <c r="F5622" s="181"/>
      <c r="G5622" s="181"/>
      <c r="H5622" s="181"/>
      <c r="I5622" s="181"/>
      <c r="J5622" s="181"/>
      <c r="K5622" s="181"/>
      <c r="L5622" s="181"/>
      <c r="M5622" s="181"/>
      <c r="N5622" s="181"/>
      <c r="O5622" s="181"/>
      <c r="P5622" s="181"/>
    </row>
    <row r="5623">
      <c r="B5623" s="292"/>
      <c r="C5623" s="181"/>
      <c r="D5623" s="181"/>
      <c r="E5623" s="181"/>
      <c r="F5623" s="181"/>
      <c r="G5623" s="181"/>
      <c r="H5623" s="181"/>
      <c r="I5623" s="181"/>
      <c r="J5623" s="181"/>
      <c r="K5623" s="181"/>
      <c r="L5623" s="181"/>
      <c r="M5623" s="181"/>
      <c r="N5623" s="181"/>
      <c r="O5623" s="181"/>
      <c r="P5623" s="181"/>
    </row>
    <row r="5624">
      <c r="B5624" s="292"/>
      <c r="C5624" s="181"/>
      <c r="D5624" s="181"/>
      <c r="E5624" s="181"/>
      <c r="F5624" s="181"/>
      <c r="G5624" s="181"/>
      <c r="H5624" s="181"/>
      <c r="I5624" s="181"/>
      <c r="J5624" s="181"/>
      <c r="K5624" s="181"/>
      <c r="L5624" s="181"/>
      <c r="M5624" s="181"/>
      <c r="N5624" s="181"/>
      <c r="O5624" s="181"/>
      <c r="P5624" s="181"/>
    </row>
    <row r="5625">
      <c r="B5625" s="292"/>
      <c r="C5625" s="181"/>
      <c r="D5625" s="181"/>
      <c r="E5625" s="181"/>
      <c r="F5625" s="181"/>
      <c r="G5625" s="181"/>
      <c r="H5625" s="181"/>
      <c r="I5625" s="181"/>
      <c r="J5625" s="181"/>
      <c r="K5625" s="181"/>
      <c r="L5625" s="181"/>
      <c r="M5625" s="181"/>
      <c r="N5625" s="181"/>
      <c r="O5625" s="181"/>
      <c r="P5625" s="181"/>
    </row>
    <row r="5626">
      <c r="B5626" s="292"/>
      <c r="C5626" s="181"/>
      <c r="D5626" s="181"/>
      <c r="E5626" s="181"/>
      <c r="F5626" s="181"/>
      <c r="G5626" s="181"/>
      <c r="H5626" s="181"/>
      <c r="I5626" s="181"/>
      <c r="J5626" s="181"/>
      <c r="K5626" s="181"/>
      <c r="L5626" s="181"/>
      <c r="M5626" s="181"/>
      <c r="N5626" s="181"/>
      <c r="O5626" s="181"/>
      <c r="P5626" s="181"/>
    </row>
    <row r="5627">
      <c r="B5627" s="292"/>
      <c r="C5627" s="181"/>
      <c r="D5627" s="181"/>
      <c r="E5627" s="181"/>
      <c r="F5627" s="181"/>
      <c r="G5627" s="181"/>
      <c r="H5627" s="181"/>
      <c r="I5627" s="181"/>
      <c r="J5627" s="181"/>
      <c r="K5627" s="181"/>
      <c r="L5627" s="181"/>
      <c r="M5627" s="181"/>
      <c r="N5627" s="181"/>
      <c r="O5627" s="181"/>
      <c r="P5627" s="181"/>
    </row>
    <row r="5628">
      <c r="B5628" s="292"/>
      <c r="C5628" s="181"/>
      <c r="D5628" s="181"/>
      <c r="E5628" s="181"/>
      <c r="F5628" s="181"/>
      <c r="G5628" s="181"/>
      <c r="H5628" s="181"/>
      <c r="I5628" s="181"/>
      <c r="J5628" s="181"/>
      <c r="K5628" s="181"/>
      <c r="L5628" s="181"/>
      <c r="M5628" s="181"/>
      <c r="N5628" s="181"/>
      <c r="O5628" s="181"/>
      <c r="P5628" s="181"/>
    </row>
    <row r="5629">
      <c r="B5629" s="292"/>
      <c r="C5629" s="181"/>
      <c r="D5629" s="181"/>
      <c r="E5629" s="181"/>
      <c r="F5629" s="181"/>
      <c r="G5629" s="181"/>
      <c r="H5629" s="181"/>
      <c r="I5629" s="181"/>
      <c r="J5629" s="181"/>
      <c r="K5629" s="181"/>
      <c r="L5629" s="181"/>
      <c r="M5629" s="181"/>
      <c r="N5629" s="181"/>
      <c r="O5629" s="181"/>
      <c r="P5629" s="181"/>
    </row>
    <row r="5630">
      <c r="B5630" s="292"/>
      <c r="C5630" s="181"/>
      <c r="D5630" s="181"/>
      <c r="E5630" s="181"/>
      <c r="F5630" s="181"/>
      <c r="G5630" s="181"/>
      <c r="H5630" s="181"/>
      <c r="I5630" s="181"/>
      <c r="J5630" s="181"/>
      <c r="K5630" s="181"/>
      <c r="L5630" s="181"/>
      <c r="M5630" s="181"/>
      <c r="N5630" s="181"/>
      <c r="O5630" s="181"/>
      <c r="P5630" s="181"/>
    </row>
    <row r="5631">
      <c r="B5631" s="292"/>
      <c r="C5631" s="181"/>
      <c r="D5631" s="181"/>
      <c r="E5631" s="181"/>
      <c r="F5631" s="181"/>
      <c r="G5631" s="181"/>
      <c r="H5631" s="181"/>
      <c r="I5631" s="181"/>
      <c r="J5631" s="181"/>
      <c r="K5631" s="181"/>
      <c r="L5631" s="181"/>
      <c r="M5631" s="181"/>
      <c r="N5631" s="181"/>
      <c r="O5631" s="181"/>
      <c r="P5631" s="181"/>
    </row>
    <row r="5632">
      <c r="B5632" s="292"/>
      <c r="C5632" s="181"/>
      <c r="D5632" s="181"/>
      <c r="E5632" s="181"/>
      <c r="F5632" s="181"/>
      <c r="G5632" s="181"/>
      <c r="H5632" s="181"/>
      <c r="I5632" s="181"/>
      <c r="J5632" s="181"/>
      <c r="K5632" s="181"/>
      <c r="L5632" s="181"/>
      <c r="M5632" s="181"/>
      <c r="N5632" s="181"/>
      <c r="O5632" s="181"/>
      <c r="P5632" s="181"/>
    </row>
    <row r="5633">
      <c r="B5633" s="292"/>
      <c r="C5633" s="181"/>
      <c r="D5633" s="181"/>
      <c r="E5633" s="181"/>
      <c r="F5633" s="181"/>
      <c r="G5633" s="181"/>
      <c r="H5633" s="181"/>
      <c r="I5633" s="181"/>
      <c r="J5633" s="181"/>
      <c r="K5633" s="181"/>
      <c r="L5633" s="181"/>
      <c r="M5633" s="181"/>
      <c r="N5633" s="181"/>
      <c r="O5633" s="181"/>
      <c r="P5633" s="181"/>
    </row>
    <row r="5634">
      <c r="B5634" s="292"/>
      <c r="C5634" s="181"/>
      <c r="D5634" s="181"/>
      <c r="E5634" s="181"/>
      <c r="F5634" s="181"/>
      <c r="G5634" s="181"/>
      <c r="H5634" s="181"/>
      <c r="I5634" s="181"/>
      <c r="J5634" s="181"/>
      <c r="K5634" s="181"/>
      <c r="L5634" s="181"/>
      <c r="M5634" s="181"/>
      <c r="N5634" s="181"/>
      <c r="O5634" s="181"/>
      <c r="P5634" s="181"/>
    </row>
    <row r="5635">
      <c r="B5635" s="292"/>
      <c r="C5635" s="181"/>
      <c r="D5635" s="181"/>
      <c r="E5635" s="181"/>
      <c r="F5635" s="181"/>
      <c r="G5635" s="181"/>
      <c r="H5635" s="181"/>
      <c r="I5635" s="181"/>
      <c r="J5635" s="181"/>
      <c r="K5635" s="181"/>
      <c r="L5635" s="181"/>
      <c r="M5635" s="181"/>
      <c r="N5635" s="181"/>
      <c r="O5635" s="181"/>
      <c r="P5635" s="181"/>
    </row>
    <row r="5636">
      <c r="B5636" s="292"/>
      <c r="C5636" s="181"/>
      <c r="D5636" s="181"/>
      <c r="E5636" s="181"/>
      <c r="F5636" s="181"/>
      <c r="G5636" s="181"/>
      <c r="H5636" s="181"/>
      <c r="I5636" s="181"/>
      <c r="J5636" s="181"/>
      <c r="K5636" s="181"/>
      <c r="L5636" s="181"/>
      <c r="M5636" s="181"/>
      <c r="N5636" s="181"/>
      <c r="O5636" s="181"/>
      <c r="P5636" s="181"/>
    </row>
    <row r="5637">
      <c r="B5637" s="292"/>
      <c r="C5637" s="181"/>
      <c r="D5637" s="181"/>
      <c r="E5637" s="181"/>
      <c r="F5637" s="181"/>
      <c r="G5637" s="181"/>
      <c r="H5637" s="181"/>
      <c r="I5637" s="181"/>
      <c r="J5637" s="181"/>
      <c r="K5637" s="181"/>
      <c r="L5637" s="181"/>
      <c r="M5637" s="181"/>
      <c r="N5637" s="181"/>
      <c r="O5637" s="181"/>
      <c r="P5637" s="181"/>
    </row>
    <row r="5638">
      <c r="B5638" s="292"/>
      <c r="C5638" s="181"/>
      <c r="D5638" s="181"/>
      <c r="E5638" s="181"/>
      <c r="F5638" s="181"/>
      <c r="G5638" s="181"/>
      <c r="H5638" s="181"/>
      <c r="I5638" s="181"/>
      <c r="J5638" s="181"/>
      <c r="K5638" s="181"/>
      <c r="L5638" s="181"/>
      <c r="M5638" s="181"/>
      <c r="N5638" s="181"/>
      <c r="O5638" s="181"/>
      <c r="P5638" s="181"/>
    </row>
    <row r="5639">
      <c r="B5639" s="292"/>
      <c r="C5639" s="181"/>
      <c r="D5639" s="181"/>
      <c r="E5639" s="181"/>
      <c r="F5639" s="181"/>
      <c r="G5639" s="181"/>
      <c r="H5639" s="181"/>
      <c r="I5639" s="181"/>
      <c r="J5639" s="181"/>
      <c r="K5639" s="181"/>
      <c r="L5639" s="181"/>
      <c r="M5639" s="181"/>
      <c r="N5639" s="181"/>
      <c r="O5639" s="181"/>
      <c r="P5639" s="181"/>
    </row>
    <row r="5640">
      <c r="B5640" s="292"/>
      <c r="C5640" s="181"/>
      <c r="D5640" s="181"/>
      <c r="E5640" s="181"/>
      <c r="F5640" s="181"/>
      <c r="G5640" s="181"/>
      <c r="H5640" s="181"/>
      <c r="I5640" s="181"/>
      <c r="J5640" s="181"/>
      <c r="K5640" s="181"/>
      <c r="L5640" s="181"/>
      <c r="M5640" s="181"/>
      <c r="N5640" s="181"/>
      <c r="O5640" s="181"/>
      <c r="P5640" s="181"/>
    </row>
    <row r="5641">
      <c r="B5641" s="292"/>
      <c r="C5641" s="181"/>
      <c r="D5641" s="181"/>
      <c r="E5641" s="181"/>
      <c r="F5641" s="181"/>
      <c r="G5641" s="181"/>
      <c r="H5641" s="181"/>
      <c r="I5641" s="181"/>
      <c r="J5641" s="181"/>
      <c r="K5641" s="181"/>
      <c r="L5641" s="181"/>
      <c r="M5641" s="181"/>
      <c r="N5641" s="181"/>
      <c r="O5641" s="181"/>
      <c r="P5641" s="181"/>
    </row>
    <row r="5642">
      <c r="B5642" s="292"/>
      <c r="C5642" s="181"/>
      <c r="D5642" s="181"/>
      <c r="E5642" s="181"/>
      <c r="F5642" s="181"/>
      <c r="G5642" s="181"/>
      <c r="H5642" s="181"/>
      <c r="I5642" s="181"/>
      <c r="J5642" s="181"/>
      <c r="K5642" s="181"/>
      <c r="L5642" s="181"/>
      <c r="M5642" s="181"/>
      <c r="N5642" s="181"/>
      <c r="O5642" s="181"/>
      <c r="P5642" s="181"/>
    </row>
    <row r="5643">
      <c r="B5643" s="292"/>
      <c r="C5643" s="181"/>
      <c r="D5643" s="181"/>
      <c r="E5643" s="181"/>
      <c r="F5643" s="181"/>
      <c r="G5643" s="181"/>
      <c r="H5643" s="181"/>
      <c r="I5643" s="181"/>
      <c r="J5643" s="181"/>
      <c r="K5643" s="181"/>
      <c r="L5643" s="181"/>
      <c r="M5643" s="181"/>
      <c r="N5643" s="181"/>
      <c r="O5643" s="181"/>
      <c r="P5643" s="181"/>
    </row>
    <row r="5644">
      <c r="B5644" s="292"/>
      <c r="C5644" s="181"/>
      <c r="D5644" s="181"/>
      <c r="E5644" s="181"/>
      <c r="F5644" s="181"/>
      <c r="G5644" s="181"/>
      <c r="H5644" s="181"/>
      <c r="I5644" s="181"/>
      <c r="J5644" s="181"/>
      <c r="K5644" s="181"/>
      <c r="L5644" s="181"/>
      <c r="M5644" s="181"/>
      <c r="N5644" s="181"/>
      <c r="O5644" s="181"/>
      <c r="P5644" s="181"/>
    </row>
    <row r="5645">
      <c r="B5645" s="292"/>
      <c r="C5645" s="181"/>
      <c r="D5645" s="181"/>
      <c r="E5645" s="181"/>
      <c r="F5645" s="181"/>
      <c r="G5645" s="181"/>
      <c r="H5645" s="181"/>
      <c r="I5645" s="181"/>
      <c r="J5645" s="181"/>
      <c r="K5645" s="181"/>
      <c r="L5645" s="181"/>
      <c r="M5645" s="181"/>
      <c r="N5645" s="181"/>
      <c r="O5645" s="181"/>
      <c r="P5645" s="181"/>
    </row>
    <row r="5646">
      <c r="B5646" s="292"/>
      <c r="C5646" s="181"/>
      <c r="D5646" s="181"/>
      <c r="E5646" s="181"/>
      <c r="F5646" s="181"/>
      <c r="G5646" s="181"/>
      <c r="H5646" s="181"/>
      <c r="I5646" s="181"/>
      <c r="J5646" s="181"/>
      <c r="K5646" s="181"/>
      <c r="L5646" s="181"/>
      <c r="M5646" s="181"/>
      <c r="N5646" s="181"/>
      <c r="O5646" s="181"/>
      <c r="P5646" s="181"/>
    </row>
    <row r="5647">
      <c r="B5647" s="292"/>
      <c r="C5647" s="181"/>
      <c r="D5647" s="181"/>
      <c r="E5647" s="181"/>
      <c r="F5647" s="181"/>
      <c r="G5647" s="181"/>
      <c r="H5647" s="181"/>
      <c r="I5647" s="181"/>
      <c r="J5647" s="181"/>
      <c r="K5647" s="181"/>
      <c r="L5647" s="181"/>
      <c r="M5647" s="181"/>
      <c r="N5647" s="181"/>
      <c r="O5647" s="181"/>
      <c r="P5647" s="181"/>
    </row>
    <row r="5648">
      <c r="B5648" s="292"/>
      <c r="C5648" s="181"/>
      <c r="D5648" s="181"/>
      <c r="E5648" s="181"/>
      <c r="F5648" s="181"/>
      <c r="G5648" s="181"/>
      <c r="H5648" s="181"/>
      <c r="I5648" s="181"/>
      <c r="J5648" s="181"/>
      <c r="K5648" s="181"/>
      <c r="L5648" s="181"/>
      <c r="M5648" s="181"/>
      <c r="N5648" s="181"/>
      <c r="O5648" s="181"/>
      <c r="P5648" s="181"/>
    </row>
    <row r="5649">
      <c r="B5649" s="292"/>
      <c r="C5649" s="181"/>
      <c r="D5649" s="181"/>
      <c r="E5649" s="181"/>
      <c r="F5649" s="181"/>
      <c r="G5649" s="181"/>
      <c r="H5649" s="181"/>
      <c r="I5649" s="181"/>
      <c r="J5649" s="181"/>
      <c r="K5649" s="181"/>
      <c r="L5649" s="181"/>
      <c r="M5649" s="181"/>
      <c r="N5649" s="181"/>
      <c r="O5649" s="181"/>
      <c r="P5649" s="181"/>
    </row>
    <row r="5650">
      <c r="B5650" s="292"/>
      <c r="C5650" s="181"/>
      <c r="D5650" s="181"/>
      <c r="E5650" s="181"/>
      <c r="F5650" s="181"/>
      <c r="G5650" s="181"/>
      <c r="H5650" s="181"/>
      <c r="I5650" s="181"/>
      <c r="J5650" s="181"/>
      <c r="K5650" s="181"/>
      <c r="L5650" s="181"/>
      <c r="M5650" s="181"/>
      <c r="N5650" s="181"/>
      <c r="O5650" s="181"/>
      <c r="P5650" s="181"/>
    </row>
    <row r="5651">
      <c r="B5651" s="292"/>
      <c r="C5651" s="181"/>
      <c r="D5651" s="181"/>
      <c r="E5651" s="181"/>
      <c r="F5651" s="181"/>
      <c r="G5651" s="181"/>
      <c r="H5651" s="181"/>
      <c r="I5651" s="181"/>
      <c r="J5651" s="181"/>
      <c r="K5651" s="181"/>
      <c r="L5651" s="181"/>
      <c r="M5651" s="181"/>
      <c r="N5651" s="181"/>
      <c r="O5651" s="181"/>
      <c r="P5651" s="181"/>
    </row>
    <row r="5652">
      <c r="B5652" s="292"/>
      <c r="C5652" s="181"/>
      <c r="D5652" s="181"/>
      <c r="E5652" s="181"/>
      <c r="F5652" s="181"/>
      <c r="G5652" s="181"/>
      <c r="H5652" s="181"/>
      <c r="I5652" s="181"/>
      <c r="J5652" s="181"/>
      <c r="K5652" s="181"/>
      <c r="L5652" s="181"/>
      <c r="M5652" s="181"/>
      <c r="N5652" s="181"/>
      <c r="O5652" s="181"/>
      <c r="P5652" s="181"/>
    </row>
    <row r="5653">
      <c r="B5653" s="292"/>
      <c r="C5653" s="181"/>
      <c r="D5653" s="181"/>
      <c r="E5653" s="181"/>
      <c r="F5653" s="181"/>
      <c r="G5653" s="181"/>
      <c r="H5653" s="181"/>
      <c r="I5653" s="181"/>
      <c r="J5653" s="181"/>
      <c r="K5653" s="181"/>
      <c r="L5653" s="181"/>
      <c r="M5653" s="181"/>
      <c r="N5653" s="181"/>
      <c r="O5653" s="181"/>
      <c r="P5653" s="181"/>
    </row>
    <row r="5654">
      <c r="B5654" s="292"/>
      <c r="C5654" s="181"/>
      <c r="D5654" s="181"/>
      <c r="E5654" s="181"/>
      <c r="F5654" s="181"/>
      <c r="G5654" s="181"/>
      <c r="H5654" s="181"/>
      <c r="I5654" s="181"/>
      <c r="J5654" s="181"/>
      <c r="K5654" s="181"/>
      <c r="L5654" s="181"/>
      <c r="M5654" s="181"/>
      <c r="N5654" s="181"/>
      <c r="O5654" s="181"/>
      <c r="P5654" s="181"/>
    </row>
    <row r="5655">
      <c r="B5655" s="292"/>
      <c r="C5655" s="181"/>
      <c r="D5655" s="181"/>
      <c r="E5655" s="181"/>
      <c r="F5655" s="181"/>
      <c r="G5655" s="181"/>
      <c r="H5655" s="181"/>
      <c r="I5655" s="181"/>
      <c r="J5655" s="181"/>
      <c r="K5655" s="181"/>
      <c r="L5655" s="181"/>
      <c r="M5655" s="181"/>
      <c r="N5655" s="181"/>
      <c r="O5655" s="181"/>
      <c r="P5655" s="181"/>
    </row>
    <row r="5656">
      <c r="B5656" s="292"/>
      <c r="C5656" s="181"/>
      <c r="D5656" s="181"/>
      <c r="E5656" s="181"/>
      <c r="F5656" s="181"/>
      <c r="G5656" s="181"/>
      <c r="H5656" s="181"/>
      <c r="I5656" s="181"/>
      <c r="J5656" s="181"/>
      <c r="K5656" s="181"/>
      <c r="L5656" s="181"/>
      <c r="M5656" s="181"/>
      <c r="N5656" s="181"/>
      <c r="O5656" s="181"/>
      <c r="P5656" s="181"/>
    </row>
    <row r="5657">
      <c r="B5657" s="292"/>
      <c r="C5657" s="181"/>
      <c r="D5657" s="181"/>
      <c r="E5657" s="181"/>
      <c r="F5657" s="181"/>
      <c r="G5657" s="181"/>
      <c r="H5657" s="181"/>
      <c r="I5657" s="181"/>
      <c r="J5657" s="181"/>
      <c r="K5657" s="181"/>
      <c r="L5657" s="181"/>
      <c r="M5657" s="181"/>
      <c r="N5657" s="181"/>
      <c r="O5657" s="181"/>
      <c r="P5657" s="181"/>
    </row>
    <row r="5658">
      <c r="B5658" s="292"/>
      <c r="C5658" s="181"/>
      <c r="D5658" s="181"/>
      <c r="E5658" s="181"/>
      <c r="F5658" s="181"/>
      <c r="G5658" s="181"/>
      <c r="H5658" s="181"/>
      <c r="I5658" s="181"/>
      <c r="J5658" s="181"/>
      <c r="K5658" s="181"/>
      <c r="L5658" s="181"/>
      <c r="M5658" s="181"/>
      <c r="N5658" s="181"/>
      <c r="O5658" s="181"/>
      <c r="P5658" s="181"/>
    </row>
    <row r="5659">
      <c r="B5659" s="292"/>
      <c r="C5659" s="181"/>
      <c r="D5659" s="181"/>
      <c r="E5659" s="181"/>
      <c r="F5659" s="181"/>
      <c r="G5659" s="181"/>
      <c r="H5659" s="181"/>
      <c r="I5659" s="181"/>
      <c r="J5659" s="181"/>
      <c r="K5659" s="181"/>
      <c r="L5659" s="181"/>
      <c r="M5659" s="181"/>
      <c r="N5659" s="181"/>
      <c r="O5659" s="181"/>
      <c r="P5659" s="181"/>
    </row>
    <row r="5660">
      <c r="B5660" s="292"/>
      <c r="C5660" s="181"/>
      <c r="D5660" s="181"/>
      <c r="E5660" s="181"/>
      <c r="F5660" s="181"/>
      <c r="G5660" s="181"/>
      <c r="H5660" s="181"/>
      <c r="I5660" s="181"/>
      <c r="J5660" s="181"/>
      <c r="K5660" s="181"/>
      <c r="L5660" s="181"/>
      <c r="M5660" s="181"/>
      <c r="N5660" s="181"/>
      <c r="O5660" s="181"/>
      <c r="P5660" s="181"/>
    </row>
    <row r="5661">
      <c r="B5661" s="292"/>
      <c r="C5661" s="181"/>
      <c r="D5661" s="181"/>
      <c r="E5661" s="181"/>
      <c r="F5661" s="181"/>
      <c r="G5661" s="181"/>
      <c r="H5661" s="181"/>
      <c r="I5661" s="181"/>
      <c r="J5661" s="181"/>
      <c r="K5661" s="181"/>
      <c r="L5661" s="181"/>
      <c r="M5661" s="181"/>
      <c r="N5661" s="181"/>
      <c r="O5661" s="181"/>
      <c r="P5661" s="181"/>
    </row>
    <row r="5662">
      <c r="B5662" s="292"/>
      <c r="C5662" s="181"/>
      <c r="D5662" s="181"/>
      <c r="E5662" s="181"/>
      <c r="F5662" s="181"/>
      <c r="G5662" s="181"/>
      <c r="H5662" s="181"/>
      <c r="I5662" s="181"/>
      <c r="J5662" s="181"/>
      <c r="K5662" s="181"/>
      <c r="L5662" s="181"/>
      <c r="M5662" s="181"/>
      <c r="N5662" s="181"/>
      <c r="O5662" s="181"/>
      <c r="P5662" s="181"/>
    </row>
    <row r="5663">
      <c r="B5663" s="292"/>
      <c r="C5663" s="181"/>
      <c r="D5663" s="181"/>
      <c r="E5663" s="181"/>
      <c r="F5663" s="181"/>
      <c r="G5663" s="181"/>
      <c r="H5663" s="181"/>
      <c r="I5663" s="181"/>
      <c r="J5663" s="181"/>
      <c r="K5663" s="181"/>
      <c r="L5663" s="181"/>
      <c r="M5663" s="181"/>
      <c r="N5663" s="181"/>
      <c r="O5663" s="181"/>
      <c r="P5663" s="181"/>
    </row>
    <row r="5664">
      <c r="B5664" s="292"/>
      <c r="C5664" s="181"/>
      <c r="D5664" s="181"/>
      <c r="E5664" s="181"/>
      <c r="F5664" s="181"/>
      <c r="G5664" s="181"/>
      <c r="H5664" s="181"/>
      <c r="I5664" s="181"/>
      <c r="J5664" s="181"/>
      <c r="K5664" s="181"/>
      <c r="L5664" s="181"/>
      <c r="M5664" s="181"/>
      <c r="N5664" s="181"/>
      <c r="O5664" s="181"/>
      <c r="P5664" s="181"/>
    </row>
    <row r="5665">
      <c r="B5665" s="292"/>
      <c r="C5665" s="181"/>
      <c r="D5665" s="181"/>
      <c r="E5665" s="181"/>
      <c r="F5665" s="181"/>
      <c r="G5665" s="181"/>
      <c r="H5665" s="181"/>
      <c r="I5665" s="181"/>
      <c r="J5665" s="181"/>
      <c r="K5665" s="181"/>
      <c r="L5665" s="181"/>
      <c r="M5665" s="181"/>
      <c r="N5665" s="181"/>
      <c r="O5665" s="181"/>
      <c r="P5665" s="181"/>
    </row>
    <row r="5666">
      <c r="B5666" s="292"/>
      <c r="C5666" s="181"/>
      <c r="D5666" s="181"/>
      <c r="E5666" s="181"/>
      <c r="F5666" s="181"/>
      <c r="G5666" s="181"/>
      <c r="H5666" s="181"/>
      <c r="I5666" s="181"/>
      <c r="J5666" s="181"/>
      <c r="K5666" s="181"/>
      <c r="L5666" s="181"/>
      <c r="M5666" s="181"/>
      <c r="N5666" s="181"/>
      <c r="O5666" s="181"/>
      <c r="P5666" s="181"/>
    </row>
    <row r="5667">
      <c r="B5667" s="292"/>
      <c r="C5667" s="181"/>
      <c r="D5667" s="181"/>
      <c r="E5667" s="181"/>
      <c r="F5667" s="181"/>
      <c r="G5667" s="181"/>
      <c r="H5667" s="181"/>
      <c r="I5667" s="181"/>
      <c r="J5667" s="181"/>
      <c r="K5667" s="181"/>
      <c r="L5667" s="181"/>
      <c r="M5667" s="181"/>
      <c r="N5667" s="181"/>
      <c r="O5667" s="181"/>
      <c r="P5667" s="181"/>
    </row>
    <row r="5668">
      <c r="B5668" s="292"/>
      <c r="C5668" s="181"/>
      <c r="D5668" s="181"/>
      <c r="E5668" s="181"/>
      <c r="F5668" s="181"/>
      <c r="G5668" s="181"/>
      <c r="H5668" s="181"/>
      <c r="I5668" s="181"/>
      <c r="J5668" s="181"/>
      <c r="K5668" s="181"/>
      <c r="L5668" s="181"/>
      <c r="M5668" s="181"/>
      <c r="N5668" s="181"/>
      <c r="O5668" s="181"/>
      <c r="P5668" s="181"/>
    </row>
    <row r="5669">
      <c r="B5669" s="292"/>
      <c r="C5669" s="181"/>
      <c r="D5669" s="181"/>
      <c r="E5669" s="181"/>
      <c r="F5669" s="181"/>
      <c r="G5669" s="181"/>
      <c r="H5669" s="181"/>
      <c r="I5669" s="181"/>
      <c r="J5669" s="181"/>
      <c r="K5669" s="181"/>
      <c r="L5669" s="181"/>
      <c r="M5669" s="181"/>
      <c r="N5669" s="181"/>
      <c r="O5669" s="181"/>
      <c r="P5669" s="181"/>
    </row>
    <row r="5670">
      <c r="B5670" s="292"/>
      <c r="C5670" s="181"/>
      <c r="D5670" s="181"/>
      <c r="E5670" s="181"/>
      <c r="F5670" s="181"/>
      <c r="G5670" s="181"/>
      <c r="H5670" s="181"/>
      <c r="I5670" s="181"/>
      <c r="J5670" s="181"/>
      <c r="K5670" s="181"/>
      <c r="L5670" s="181"/>
      <c r="M5670" s="181"/>
      <c r="N5670" s="181"/>
      <c r="O5670" s="181"/>
      <c r="P5670" s="181"/>
    </row>
    <row r="5671">
      <c r="B5671" s="292"/>
      <c r="C5671" s="181"/>
      <c r="D5671" s="181"/>
      <c r="E5671" s="181"/>
      <c r="F5671" s="181"/>
      <c r="G5671" s="181"/>
      <c r="H5671" s="181"/>
      <c r="I5671" s="181"/>
      <c r="J5671" s="181"/>
      <c r="K5671" s="181"/>
      <c r="L5671" s="181"/>
      <c r="M5671" s="181"/>
      <c r="N5671" s="181"/>
      <c r="O5671" s="181"/>
      <c r="P5671" s="181"/>
    </row>
    <row r="5672">
      <c r="B5672" s="292"/>
      <c r="C5672" s="181"/>
      <c r="D5672" s="181"/>
      <c r="E5672" s="181"/>
      <c r="F5672" s="181"/>
      <c r="G5672" s="181"/>
      <c r="H5672" s="181"/>
      <c r="I5672" s="181"/>
      <c r="J5672" s="181"/>
      <c r="K5672" s="181"/>
      <c r="L5672" s="181"/>
      <c r="M5672" s="181"/>
      <c r="N5672" s="181"/>
      <c r="O5672" s="181"/>
      <c r="P5672" s="181"/>
    </row>
    <row r="5673">
      <c r="B5673" s="292"/>
      <c r="C5673" s="181"/>
      <c r="D5673" s="181"/>
      <c r="E5673" s="181"/>
      <c r="F5673" s="181"/>
      <c r="G5673" s="181"/>
      <c r="H5673" s="181"/>
      <c r="I5673" s="181"/>
      <c r="J5673" s="181"/>
      <c r="K5673" s="181"/>
      <c r="L5673" s="181"/>
      <c r="M5673" s="181"/>
      <c r="N5673" s="181"/>
      <c r="O5673" s="181"/>
      <c r="P5673" s="181"/>
    </row>
    <row r="5674">
      <c r="B5674" s="292"/>
      <c r="C5674" s="181"/>
      <c r="D5674" s="181"/>
      <c r="E5674" s="181"/>
      <c r="F5674" s="181"/>
      <c r="G5674" s="181"/>
      <c r="H5674" s="181"/>
      <c r="I5674" s="181"/>
      <c r="J5674" s="181"/>
      <c r="K5674" s="181"/>
      <c r="L5674" s="181"/>
      <c r="M5674" s="181"/>
      <c r="N5674" s="181"/>
      <c r="O5674" s="181"/>
      <c r="P5674" s="181"/>
    </row>
    <row r="5675">
      <c r="B5675" s="292"/>
      <c r="C5675" s="181"/>
      <c r="D5675" s="181"/>
      <c r="E5675" s="181"/>
      <c r="F5675" s="181"/>
      <c r="G5675" s="181"/>
      <c r="H5675" s="181"/>
      <c r="I5675" s="181"/>
      <c r="J5675" s="181"/>
      <c r="K5675" s="181"/>
      <c r="L5675" s="181"/>
      <c r="M5675" s="181"/>
      <c r="N5675" s="181"/>
      <c r="O5675" s="181"/>
      <c r="P5675" s="181"/>
    </row>
    <row r="5676">
      <c r="B5676" s="292"/>
      <c r="C5676" s="181"/>
      <c r="D5676" s="181"/>
      <c r="E5676" s="181"/>
      <c r="F5676" s="181"/>
      <c r="G5676" s="181"/>
      <c r="H5676" s="181"/>
      <c r="I5676" s="181"/>
      <c r="J5676" s="181"/>
      <c r="K5676" s="181"/>
      <c r="L5676" s="181"/>
      <c r="M5676" s="181"/>
      <c r="N5676" s="181"/>
      <c r="O5676" s="181"/>
      <c r="P5676" s="181"/>
    </row>
    <row r="5677">
      <c r="B5677" s="292"/>
      <c r="C5677" s="181"/>
      <c r="D5677" s="181"/>
      <c r="E5677" s="181"/>
      <c r="F5677" s="181"/>
      <c r="G5677" s="181"/>
      <c r="H5677" s="181"/>
      <c r="I5677" s="181"/>
      <c r="J5677" s="181"/>
      <c r="K5677" s="181"/>
      <c r="L5677" s="181"/>
      <c r="M5677" s="181"/>
      <c r="N5677" s="181"/>
      <c r="O5677" s="181"/>
      <c r="P5677" s="181"/>
    </row>
    <row r="5678">
      <c r="B5678" s="292"/>
      <c r="C5678" s="181"/>
      <c r="D5678" s="181"/>
      <c r="E5678" s="181"/>
      <c r="F5678" s="181"/>
      <c r="G5678" s="181"/>
      <c r="H5678" s="181"/>
      <c r="I5678" s="181"/>
      <c r="J5678" s="181"/>
      <c r="K5678" s="181"/>
      <c r="L5678" s="181"/>
      <c r="M5678" s="181"/>
      <c r="N5678" s="181"/>
      <c r="O5678" s="181"/>
      <c r="P5678" s="181"/>
    </row>
    <row r="5679">
      <c r="B5679" s="292"/>
      <c r="C5679" s="181"/>
      <c r="D5679" s="181"/>
      <c r="E5679" s="181"/>
      <c r="F5679" s="181"/>
      <c r="G5679" s="181"/>
      <c r="H5679" s="181"/>
      <c r="I5679" s="181"/>
      <c r="J5679" s="181"/>
      <c r="K5679" s="181"/>
      <c r="L5679" s="181"/>
      <c r="M5679" s="181"/>
      <c r="N5679" s="181"/>
      <c r="O5679" s="181"/>
      <c r="P5679" s="181"/>
    </row>
    <row r="5680">
      <c r="B5680" s="292"/>
      <c r="C5680" s="181"/>
      <c r="D5680" s="181"/>
      <c r="E5680" s="181"/>
      <c r="F5680" s="181"/>
      <c r="G5680" s="181"/>
      <c r="H5680" s="181"/>
      <c r="I5680" s="181"/>
      <c r="J5680" s="181"/>
      <c r="K5680" s="181"/>
      <c r="L5680" s="181"/>
      <c r="M5680" s="181"/>
      <c r="N5680" s="181"/>
      <c r="O5680" s="181"/>
      <c r="P5680" s="181"/>
    </row>
    <row r="5681">
      <c r="B5681" s="292"/>
      <c r="C5681" s="181"/>
      <c r="D5681" s="181"/>
      <c r="E5681" s="181"/>
      <c r="F5681" s="181"/>
      <c r="G5681" s="181"/>
      <c r="H5681" s="181"/>
      <c r="I5681" s="181"/>
      <c r="J5681" s="181"/>
      <c r="K5681" s="181"/>
      <c r="L5681" s="181"/>
      <c r="M5681" s="181"/>
      <c r="N5681" s="181"/>
      <c r="O5681" s="181"/>
      <c r="P5681" s="181"/>
    </row>
    <row r="5682">
      <c r="B5682" s="292"/>
      <c r="C5682" s="181"/>
      <c r="D5682" s="181"/>
      <c r="E5682" s="181"/>
      <c r="F5682" s="181"/>
      <c r="G5682" s="181"/>
      <c r="H5682" s="181"/>
      <c r="I5682" s="181"/>
      <c r="J5682" s="181"/>
      <c r="K5682" s="181"/>
      <c r="L5682" s="181"/>
      <c r="M5682" s="181"/>
      <c r="N5682" s="181"/>
      <c r="O5682" s="181"/>
      <c r="P5682" s="181"/>
    </row>
    <row r="5683">
      <c r="B5683" s="292"/>
      <c r="C5683" s="181"/>
      <c r="D5683" s="181"/>
      <c r="E5683" s="181"/>
      <c r="F5683" s="181"/>
      <c r="G5683" s="181"/>
      <c r="H5683" s="181"/>
      <c r="I5683" s="181"/>
      <c r="J5683" s="181"/>
      <c r="K5683" s="181"/>
      <c r="L5683" s="181"/>
      <c r="M5683" s="181"/>
      <c r="N5683" s="181"/>
      <c r="O5683" s="181"/>
      <c r="P5683" s="181"/>
    </row>
    <row r="5684">
      <c r="B5684" s="292"/>
      <c r="C5684" s="181"/>
      <c r="D5684" s="181"/>
      <c r="E5684" s="181"/>
      <c r="F5684" s="181"/>
      <c r="G5684" s="181"/>
      <c r="H5684" s="181"/>
      <c r="I5684" s="181"/>
      <c r="J5684" s="181"/>
      <c r="K5684" s="181"/>
      <c r="L5684" s="181"/>
      <c r="M5684" s="181"/>
      <c r="N5684" s="181"/>
      <c r="O5684" s="181"/>
      <c r="P5684" s="181"/>
    </row>
    <row r="5685">
      <c r="B5685" s="292"/>
      <c r="C5685" s="181"/>
      <c r="D5685" s="181"/>
      <c r="E5685" s="181"/>
      <c r="F5685" s="181"/>
      <c r="G5685" s="181"/>
      <c r="H5685" s="181"/>
      <c r="I5685" s="181"/>
      <c r="J5685" s="181"/>
      <c r="K5685" s="181"/>
      <c r="L5685" s="181"/>
      <c r="M5685" s="181"/>
      <c r="N5685" s="181"/>
      <c r="O5685" s="181"/>
      <c r="P5685" s="181"/>
    </row>
    <row r="5686">
      <c r="B5686" s="292"/>
      <c r="C5686" s="181"/>
      <c r="D5686" s="181"/>
      <c r="E5686" s="181"/>
      <c r="F5686" s="181"/>
      <c r="G5686" s="181"/>
      <c r="H5686" s="181"/>
      <c r="I5686" s="181"/>
      <c r="J5686" s="181"/>
      <c r="K5686" s="181"/>
      <c r="L5686" s="181"/>
      <c r="M5686" s="181"/>
      <c r="N5686" s="181"/>
      <c r="O5686" s="181"/>
      <c r="P5686" s="181"/>
    </row>
    <row r="5687">
      <c r="B5687" s="292"/>
      <c r="C5687" s="181"/>
      <c r="D5687" s="181"/>
      <c r="E5687" s="181"/>
      <c r="F5687" s="181"/>
      <c r="G5687" s="181"/>
      <c r="H5687" s="181"/>
      <c r="I5687" s="181"/>
      <c r="J5687" s="181"/>
      <c r="K5687" s="181"/>
      <c r="L5687" s="181"/>
      <c r="M5687" s="181"/>
      <c r="N5687" s="181"/>
      <c r="O5687" s="181"/>
      <c r="P5687" s="181"/>
    </row>
    <row r="5688">
      <c r="B5688" s="292"/>
      <c r="C5688" s="181"/>
      <c r="D5688" s="181"/>
      <c r="E5688" s="181"/>
      <c r="F5688" s="181"/>
      <c r="G5688" s="181"/>
      <c r="H5688" s="181"/>
      <c r="I5688" s="181"/>
      <c r="J5688" s="181"/>
      <c r="K5688" s="181"/>
      <c r="L5688" s="181"/>
      <c r="M5688" s="181"/>
      <c r="N5688" s="181"/>
      <c r="O5688" s="181"/>
      <c r="P5688" s="181"/>
    </row>
    <row r="5689">
      <c r="B5689" s="292"/>
      <c r="C5689" s="181"/>
      <c r="D5689" s="181"/>
      <c r="E5689" s="181"/>
      <c r="F5689" s="181"/>
      <c r="G5689" s="181"/>
      <c r="H5689" s="181"/>
      <c r="I5689" s="181"/>
      <c r="J5689" s="181"/>
      <c r="K5689" s="181"/>
      <c r="L5689" s="181"/>
      <c r="M5689" s="181"/>
      <c r="N5689" s="181"/>
      <c r="O5689" s="181"/>
      <c r="P5689" s="181"/>
    </row>
    <row r="5690">
      <c r="B5690" s="292"/>
      <c r="C5690" s="181"/>
      <c r="D5690" s="181"/>
      <c r="E5690" s="181"/>
      <c r="F5690" s="181"/>
      <c r="G5690" s="181"/>
      <c r="H5690" s="181"/>
      <c r="I5690" s="181"/>
      <c r="J5690" s="181"/>
      <c r="K5690" s="181"/>
      <c r="L5690" s="181"/>
      <c r="M5690" s="181"/>
      <c r="N5690" s="181"/>
      <c r="O5690" s="181"/>
      <c r="P5690" s="181"/>
    </row>
    <row r="5691">
      <c r="B5691" s="292"/>
      <c r="C5691" s="181"/>
      <c r="D5691" s="181"/>
      <c r="E5691" s="181"/>
      <c r="F5691" s="181"/>
      <c r="G5691" s="181"/>
      <c r="H5691" s="181"/>
      <c r="I5691" s="181"/>
      <c r="J5691" s="181"/>
      <c r="K5691" s="181"/>
      <c r="L5691" s="181"/>
      <c r="M5691" s="181"/>
      <c r="N5691" s="181"/>
      <c r="O5691" s="181"/>
      <c r="P5691" s="181"/>
    </row>
    <row r="5692">
      <c r="B5692" s="292"/>
      <c r="C5692" s="181"/>
      <c r="D5692" s="181"/>
      <c r="E5692" s="181"/>
      <c r="F5692" s="181"/>
      <c r="G5692" s="181"/>
      <c r="H5692" s="181"/>
      <c r="I5692" s="181"/>
      <c r="J5692" s="181"/>
      <c r="K5692" s="181"/>
      <c r="L5692" s="181"/>
      <c r="M5692" s="181"/>
      <c r="N5692" s="181"/>
      <c r="O5692" s="181"/>
      <c r="P5692" s="181"/>
    </row>
    <row r="5693">
      <c r="B5693" s="292"/>
      <c r="C5693" s="181"/>
      <c r="D5693" s="181"/>
      <c r="E5693" s="181"/>
      <c r="F5693" s="181"/>
      <c r="G5693" s="181"/>
      <c r="H5693" s="181"/>
      <c r="I5693" s="181"/>
      <c r="J5693" s="181"/>
      <c r="K5693" s="181"/>
      <c r="L5693" s="181"/>
      <c r="M5693" s="181"/>
      <c r="N5693" s="181"/>
      <c r="O5693" s="181"/>
      <c r="P5693" s="181"/>
    </row>
    <row r="5694">
      <c r="B5694" s="292"/>
      <c r="C5694" s="181"/>
      <c r="D5694" s="181"/>
      <c r="E5694" s="181"/>
      <c r="F5694" s="181"/>
      <c r="G5694" s="181"/>
      <c r="H5694" s="181"/>
      <c r="I5694" s="181"/>
      <c r="J5694" s="181"/>
      <c r="K5694" s="181"/>
      <c r="L5694" s="181"/>
      <c r="M5694" s="181"/>
      <c r="N5694" s="181"/>
      <c r="O5694" s="181"/>
      <c r="P5694" s="181"/>
    </row>
    <row r="5695">
      <c r="B5695" s="292"/>
      <c r="C5695" s="181"/>
      <c r="D5695" s="181"/>
      <c r="E5695" s="181"/>
      <c r="F5695" s="181"/>
      <c r="G5695" s="181"/>
      <c r="H5695" s="181"/>
      <c r="I5695" s="181"/>
      <c r="J5695" s="181"/>
      <c r="K5695" s="181"/>
      <c r="L5695" s="181"/>
      <c r="M5695" s="181"/>
      <c r="N5695" s="181"/>
      <c r="O5695" s="181"/>
      <c r="P5695" s="181"/>
    </row>
    <row r="5696">
      <c r="B5696" s="292"/>
      <c r="C5696" s="181"/>
      <c r="D5696" s="181"/>
      <c r="E5696" s="181"/>
      <c r="F5696" s="181"/>
      <c r="G5696" s="181"/>
      <c r="H5696" s="181"/>
      <c r="I5696" s="181"/>
      <c r="J5696" s="181"/>
      <c r="K5696" s="181"/>
      <c r="L5696" s="181"/>
      <c r="M5696" s="181"/>
      <c r="N5696" s="181"/>
      <c r="O5696" s="181"/>
      <c r="P5696" s="181"/>
    </row>
    <row r="5697">
      <c r="B5697" s="292"/>
      <c r="C5697" s="181"/>
      <c r="D5697" s="181"/>
      <c r="E5697" s="181"/>
      <c r="F5697" s="181"/>
      <c r="G5697" s="181"/>
      <c r="H5697" s="181"/>
      <c r="I5697" s="181"/>
      <c r="J5697" s="181"/>
      <c r="K5697" s="181"/>
      <c r="L5697" s="181"/>
      <c r="M5697" s="181"/>
      <c r="N5697" s="181"/>
      <c r="O5697" s="181"/>
      <c r="P5697" s="181"/>
    </row>
    <row r="5698">
      <c r="B5698" s="292"/>
      <c r="C5698" s="181"/>
      <c r="D5698" s="181"/>
      <c r="E5698" s="181"/>
      <c r="F5698" s="181"/>
      <c r="G5698" s="181"/>
      <c r="H5698" s="181"/>
      <c r="I5698" s="181"/>
      <c r="J5698" s="181"/>
      <c r="K5698" s="181"/>
      <c r="L5698" s="181"/>
      <c r="M5698" s="181"/>
      <c r="N5698" s="181"/>
      <c r="O5698" s="181"/>
      <c r="P5698" s="181"/>
    </row>
    <row r="5699">
      <c r="B5699" s="292"/>
      <c r="C5699" s="181"/>
      <c r="D5699" s="181"/>
      <c r="E5699" s="181"/>
      <c r="F5699" s="181"/>
      <c r="G5699" s="181"/>
      <c r="H5699" s="181"/>
      <c r="I5699" s="181"/>
      <c r="J5699" s="181"/>
      <c r="K5699" s="181"/>
      <c r="L5699" s="181"/>
      <c r="M5699" s="181"/>
      <c r="N5699" s="181"/>
      <c r="O5699" s="181"/>
      <c r="P5699" s="181"/>
    </row>
    <row r="5700">
      <c r="B5700" s="292"/>
      <c r="C5700" s="181"/>
      <c r="D5700" s="181"/>
      <c r="E5700" s="181"/>
      <c r="F5700" s="181"/>
      <c r="G5700" s="181"/>
      <c r="H5700" s="181"/>
      <c r="I5700" s="181"/>
      <c r="J5700" s="181"/>
      <c r="K5700" s="181"/>
      <c r="L5700" s="181"/>
      <c r="M5700" s="181"/>
      <c r="N5700" s="181"/>
      <c r="O5700" s="181"/>
      <c r="P5700" s="181"/>
    </row>
    <row r="5701">
      <c r="B5701" s="292"/>
      <c r="C5701" s="181"/>
      <c r="D5701" s="181"/>
      <c r="E5701" s="181"/>
      <c r="F5701" s="181"/>
      <c r="G5701" s="181"/>
      <c r="H5701" s="181"/>
      <c r="I5701" s="181"/>
      <c r="J5701" s="181"/>
      <c r="K5701" s="181"/>
      <c r="L5701" s="181"/>
      <c r="M5701" s="181"/>
      <c r="N5701" s="181"/>
      <c r="O5701" s="181"/>
      <c r="P5701" s="181"/>
    </row>
    <row r="5702">
      <c r="B5702" s="292"/>
      <c r="C5702" s="181"/>
      <c r="D5702" s="181"/>
      <c r="E5702" s="181"/>
      <c r="F5702" s="181"/>
      <c r="G5702" s="181"/>
      <c r="H5702" s="181"/>
      <c r="I5702" s="181"/>
      <c r="J5702" s="181"/>
      <c r="K5702" s="181"/>
      <c r="L5702" s="181"/>
      <c r="M5702" s="181"/>
      <c r="N5702" s="181"/>
      <c r="O5702" s="181"/>
      <c r="P5702" s="181"/>
    </row>
    <row r="5703">
      <c r="B5703" s="292"/>
      <c r="C5703" s="181"/>
      <c r="D5703" s="181"/>
      <c r="E5703" s="181"/>
      <c r="F5703" s="181"/>
      <c r="G5703" s="181"/>
      <c r="H5703" s="181"/>
      <c r="I5703" s="181"/>
      <c r="J5703" s="181"/>
      <c r="K5703" s="181"/>
      <c r="L5703" s="181"/>
      <c r="M5703" s="181"/>
      <c r="N5703" s="181"/>
      <c r="O5703" s="181"/>
      <c r="P5703" s="181"/>
    </row>
    <row r="5704">
      <c r="B5704" s="292"/>
      <c r="C5704" s="181"/>
      <c r="D5704" s="181"/>
      <c r="E5704" s="181"/>
      <c r="F5704" s="181"/>
      <c r="G5704" s="181"/>
      <c r="H5704" s="181"/>
      <c r="I5704" s="181"/>
      <c r="J5704" s="181"/>
      <c r="K5704" s="181"/>
      <c r="L5704" s="181"/>
      <c r="M5704" s="181"/>
      <c r="N5704" s="181"/>
      <c r="O5704" s="181"/>
      <c r="P5704" s="181"/>
    </row>
    <row r="5705">
      <c r="B5705" s="292"/>
      <c r="C5705" s="181"/>
      <c r="D5705" s="181"/>
      <c r="E5705" s="181"/>
      <c r="F5705" s="181"/>
      <c r="G5705" s="181"/>
      <c r="H5705" s="181"/>
      <c r="I5705" s="181"/>
      <c r="J5705" s="181"/>
      <c r="K5705" s="181"/>
      <c r="L5705" s="181"/>
      <c r="M5705" s="181"/>
      <c r="N5705" s="181"/>
      <c r="O5705" s="181"/>
      <c r="P5705" s="181"/>
    </row>
    <row r="5706">
      <c r="B5706" s="292"/>
      <c r="C5706" s="181"/>
      <c r="D5706" s="181"/>
      <c r="E5706" s="181"/>
      <c r="F5706" s="181"/>
      <c r="G5706" s="181"/>
      <c r="H5706" s="181"/>
      <c r="I5706" s="181"/>
      <c r="J5706" s="181"/>
      <c r="K5706" s="181"/>
      <c r="L5706" s="181"/>
      <c r="M5706" s="181"/>
      <c r="N5706" s="181"/>
      <c r="O5706" s="181"/>
      <c r="P5706" s="181"/>
    </row>
    <row r="5707">
      <c r="B5707" s="292"/>
      <c r="C5707" s="181"/>
      <c r="D5707" s="181"/>
      <c r="E5707" s="181"/>
      <c r="F5707" s="181"/>
      <c r="G5707" s="181"/>
      <c r="H5707" s="181"/>
      <c r="I5707" s="181"/>
      <c r="J5707" s="181"/>
      <c r="K5707" s="181"/>
      <c r="L5707" s="181"/>
      <c r="M5707" s="181"/>
      <c r="N5707" s="181"/>
      <c r="O5707" s="181"/>
      <c r="P5707" s="181"/>
    </row>
    <row r="5708">
      <c r="B5708" s="292"/>
      <c r="C5708" s="181"/>
      <c r="D5708" s="181"/>
      <c r="E5708" s="181"/>
      <c r="F5708" s="181"/>
      <c r="G5708" s="181"/>
      <c r="H5708" s="181"/>
      <c r="I5708" s="181"/>
      <c r="J5708" s="181"/>
      <c r="K5708" s="181"/>
      <c r="L5708" s="181"/>
      <c r="M5708" s="181"/>
      <c r="N5708" s="181"/>
      <c r="O5708" s="181"/>
      <c r="P5708" s="181"/>
    </row>
    <row r="5709">
      <c r="B5709" s="292"/>
      <c r="C5709" s="181"/>
      <c r="D5709" s="181"/>
      <c r="E5709" s="181"/>
      <c r="F5709" s="181"/>
      <c r="G5709" s="181"/>
      <c r="H5709" s="181"/>
      <c r="I5709" s="181"/>
      <c r="J5709" s="181"/>
      <c r="K5709" s="181"/>
      <c r="L5709" s="181"/>
      <c r="M5709" s="181"/>
      <c r="N5709" s="181"/>
      <c r="O5709" s="181"/>
      <c r="P5709" s="181"/>
    </row>
    <row r="5710">
      <c r="B5710" s="292"/>
      <c r="C5710" s="181"/>
      <c r="D5710" s="181"/>
      <c r="E5710" s="181"/>
      <c r="F5710" s="181"/>
      <c r="G5710" s="181"/>
      <c r="H5710" s="181"/>
      <c r="I5710" s="181"/>
      <c r="J5710" s="181"/>
      <c r="K5710" s="181"/>
      <c r="L5710" s="181"/>
      <c r="M5710" s="181"/>
      <c r="N5710" s="181"/>
      <c r="O5710" s="181"/>
      <c r="P5710" s="181"/>
    </row>
    <row r="5711">
      <c r="B5711" s="292"/>
      <c r="C5711" s="181"/>
      <c r="D5711" s="181"/>
      <c r="E5711" s="181"/>
      <c r="F5711" s="181"/>
      <c r="G5711" s="181"/>
      <c r="H5711" s="181"/>
      <c r="I5711" s="181"/>
      <c r="J5711" s="181"/>
      <c r="K5711" s="181"/>
      <c r="L5711" s="181"/>
      <c r="M5711" s="181"/>
      <c r="N5711" s="181"/>
      <c r="O5711" s="181"/>
      <c r="P5711" s="181"/>
    </row>
    <row r="5712">
      <c r="B5712" s="292"/>
      <c r="C5712" s="181"/>
      <c r="D5712" s="181"/>
      <c r="E5712" s="181"/>
      <c r="F5712" s="181"/>
      <c r="G5712" s="181"/>
      <c r="H5712" s="181"/>
      <c r="I5712" s="181"/>
      <c r="J5712" s="181"/>
      <c r="K5712" s="181"/>
      <c r="L5712" s="181"/>
      <c r="M5712" s="181"/>
      <c r="N5712" s="181"/>
      <c r="O5712" s="181"/>
      <c r="P5712" s="181"/>
    </row>
    <row r="5713">
      <c r="B5713" s="292"/>
      <c r="C5713" s="181"/>
      <c r="D5713" s="181"/>
      <c r="E5713" s="181"/>
      <c r="F5713" s="181"/>
      <c r="G5713" s="181"/>
      <c r="H5713" s="181"/>
      <c r="I5713" s="181"/>
      <c r="J5713" s="181"/>
      <c r="K5713" s="181"/>
      <c r="L5713" s="181"/>
      <c r="M5713" s="181"/>
      <c r="N5713" s="181"/>
      <c r="O5713" s="181"/>
      <c r="P5713" s="181"/>
    </row>
    <row r="5714">
      <c r="B5714" s="292"/>
      <c r="C5714" s="181"/>
      <c r="D5714" s="181"/>
      <c r="E5714" s="181"/>
      <c r="F5714" s="181"/>
      <c r="G5714" s="181"/>
      <c r="H5714" s="181"/>
      <c r="I5714" s="181"/>
      <c r="J5714" s="181"/>
      <c r="K5714" s="181"/>
      <c r="L5714" s="181"/>
      <c r="M5714" s="181"/>
      <c r="N5714" s="181"/>
      <c r="O5714" s="181"/>
      <c r="P5714" s="181"/>
    </row>
    <row r="5715">
      <c r="B5715" s="292"/>
      <c r="C5715" s="181"/>
      <c r="D5715" s="181"/>
      <c r="E5715" s="181"/>
      <c r="F5715" s="181"/>
      <c r="G5715" s="181"/>
      <c r="H5715" s="181"/>
      <c r="I5715" s="181"/>
      <c r="J5715" s="181"/>
      <c r="K5715" s="181"/>
      <c r="L5715" s="181"/>
      <c r="M5715" s="181"/>
      <c r="N5715" s="181"/>
      <c r="O5715" s="181"/>
      <c r="P5715" s="181"/>
    </row>
    <row r="5716">
      <c r="B5716" s="292"/>
      <c r="C5716" s="181"/>
      <c r="D5716" s="181"/>
      <c r="E5716" s="181"/>
      <c r="F5716" s="181"/>
      <c r="G5716" s="181"/>
      <c r="H5716" s="181"/>
      <c r="I5716" s="181"/>
      <c r="J5716" s="181"/>
      <c r="K5716" s="181"/>
      <c r="L5716" s="181"/>
      <c r="M5716" s="181"/>
      <c r="N5716" s="181"/>
      <c r="O5716" s="181"/>
      <c r="P5716" s="181"/>
    </row>
    <row r="5717">
      <c r="B5717" s="292"/>
      <c r="C5717" s="181"/>
      <c r="D5717" s="181"/>
      <c r="E5717" s="181"/>
      <c r="F5717" s="181"/>
      <c r="G5717" s="181"/>
      <c r="H5717" s="181"/>
      <c r="I5717" s="181"/>
      <c r="J5717" s="181"/>
      <c r="K5717" s="181"/>
      <c r="L5717" s="181"/>
      <c r="M5717" s="181"/>
      <c r="N5717" s="181"/>
      <c r="O5717" s="181"/>
      <c r="P5717" s="181"/>
    </row>
    <row r="5718">
      <c r="B5718" s="292"/>
      <c r="C5718" s="181"/>
      <c r="D5718" s="181"/>
      <c r="E5718" s="181"/>
      <c r="F5718" s="181"/>
      <c r="G5718" s="181"/>
      <c r="H5718" s="181"/>
      <c r="I5718" s="181"/>
      <c r="J5718" s="181"/>
      <c r="K5718" s="181"/>
      <c r="L5718" s="181"/>
      <c r="M5718" s="181"/>
      <c r="N5718" s="181"/>
      <c r="O5718" s="181"/>
      <c r="P5718" s="181"/>
    </row>
    <row r="5719">
      <c r="B5719" s="292"/>
      <c r="C5719" s="181"/>
      <c r="D5719" s="181"/>
      <c r="E5719" s="181"/>
      <c r="F5719" s="181"/>
      <c r="G5719" s="181"/>
      <c r="H5719" s="181"/>
      <c r="I5719" s="181"/>
      <c r="J5719" s="181"/>
      <c r="K5719" s="181"/>
      <c r="L5719" s="181"/>
      <c r="M5719" s="181"/>
      <c r="N5719" s="181"/>
      <c r="O5719" s="181"/>
      <c r="P5719" s="181"/>
    </row>
    <row r="5720">
      <c r="B5720" s="292"/>
      <c r="C5720" s="181"/>
      <c r="D5720" s="181"/>
      <c r="E5720" s="181"/>
      <c r="F5720" s="181"/>
      <c r="G5720" s="181"/>
      <c r="H5720" s="181"/>
      <c r="I5720" s="181"/>
      <c r="J5720" s="181"/>
      <c r="K5720" s="181"/>
      <c r="L5720" s="181"/>
      <c r="M5720" s="181"/>
      <c r="N5720" s="181"/>
      <c r="O5720" s="181"/>
      <c r="P5720" s="181"/>
    </row>
    <row r="5721">
      <c r="B5721" s="292"/>
      <c r="C5721" s="181"/>
      <c r="D5721" s="181"/>
      <c r="E5721" s="181"/>
      <c r="F5721" s="181"/>
      <c r="G5721" s="181"/>
      <c r="H5721" s="181"/>
      <c r="I5721" s="181"/>
      <c r="J5721" s="181"/>
      <c r="K5721" s="181"/>
      <c r="L5721" s="181"/>
      <c r="M5721" s="181"/>
      <c r="N5721" s="181"/>
      <c r="O5721" s="181"/>
      <c r="P5721" s="181"/>
    </row>
    <row r="5722">
      <c r="B5722" s="292"/>
      <c r="C5722" s="181"/>
      <c r="D5722" s="181"/>
      <c r="E5722" s="181"/>
      <c r="F5722" s="181"/>
      <c r="G5722" s="181"/>
      <c r="H5722" s="181"/>
      <c r="I5722" s="181"/>
      <c r="J5722" s="181"/>
      <c r="K5722" s="181"/>
      <c r="L5722" s="181"/>
      <c r="M5722" s="181"/>
      <c r="N5722" s="181"/>
      <c r="O5722" s="181"/>
      <c r="P5722" s="181"/>
    </row>
    <row r="5723">
      <c r="B5723" s="292"/>
      <c r="C5723" s="181"/>
      <c r="D5723" s="181"/>
      <c r="E5723" s="181"/>
      <c r="F5723" s="181"/>
      <c r="G5723" s="181"/>
      <c r="H5723" s="181"/>
      <c r="I5723" s="181"/>
      <c r="J5723" s="181"/>
      <c r="K5723" s="181"/>
      <c r="L5723" s="181"/>
      <c r="M5723" s="181"/>
      <c r="N5723" s="181"/>
      <c r="O5723" s="181"/>
      <c r="P5723" s="181"/>
    </row>
    <row r="5724">
      <c r="B5724" s="292"/>
      <c r="C5724" s="181"/>
      <c r="D5724" s="181"/>
      <c r="E5724" s="181"/>
      <c r="F5724" s="181"/>
      <c r="G5724" s="181"/>
      <c r="H5724" s="181"/>
      <c r="I5724" s="181"/>
      <c r="J5724" s="181"/>
      <c r="K5724" s="181"/>
      <c r="L5724" s="181"/>
      <c r="M5724" s="181"/>
      <c r="N5724" s="181"/>
      <c r="O5724" s="181"/>
      <c r="P5724" s="181"/>
    </row>
    <row r="5725">
      <c r="B5725" s="292"/>
      <c r="C5725" s="181"/>
      <c r="D5725" s="181"/>
      <c r="E5725" s="181"/>
      <c r="F5725" s="181"/>
      <c r="G5725" s="181"/>
      <c r="H5725" s="181"/>
      <c r="I5725" s="181"/>
      <c r="J5725" s="181"/>
      <c r="K5725" s="181"/>
      <c r="L5725" s="181"/>
      <c r="M5725" s="181"/>
      <c r="N5725" s="181"/>
      <c r="O5725" s="181"/>
      <c r="P5725" s="181"/>
    </row>
    <row r="5726">
      <c r="B5726" s="292"/>
      <c r="C5726" s="181"/>
      <c r="D5726" s="181"/>
      <c r="E5726" s="181"/>
      <c r="F5726" s="181"/>
      <c r="G5726" s="181"/>
      <c r="H5726" s="181"/>
      <c r="I5726" s="181"/>
      <c r="J5726" s="181"/>
      <c r="K5726" s="181"/>
      <c r="L5726" s="181"/>
      <c r="M5726" s="181"/>
      <c r="N5726" s="181"/>
      <c r="O5726" s="181"/>
      <c r="P5726" s="181"/>
    </row>
    <row r="5727">
      <c r="B5727" s="292"/>
      <c r="C5727" s="181"/>
      <c r="D5727" s="181"/>
      <c r="E5727" s="181"/>
      <c r="F5727" s="181"/>
      <c r="G5727" s="181"/>
      <c r="H5727" s="181"/>
      <c r="I5727" s="181"/>
      <c r="J5727" s="181"/>
      <c r="K5727" s="181"/>
      <c r="L5727" s="181"/>
      <c r="M5727" s="181"/>
      <c r="N5727" s="181"/>
      <c r="O5727" s="181"/>
      <c r="P5727" s="181"/>
    </row>
    <row r="5728">
      <c r="B5728" s="292"/>
      <c r="C5728" s="181"/>
      <c r="D5728" s="181"/>
      <c r="E5728" s="181"/>
      <c r="F5728" s="181"/>
      <c r="G5728" s="181"/>
      <c r="H5728" s="181"/>
      <c r="I5728" s="181"/>
      <c r="J5728" s="181"/>
      <c r="K5728" s="181"/>
      <c r="L5728" s="181"/>
      <c r="M5728" s="181"/>
      <c r="N5728" s="181"/>
      <c r="O5728" s="181"/>
      <c r="P5728" s="181"/>
    </row>
    <row r="5729">
      <c r="B5729" s="292"/>
      <c r="C5729" s="181"/>
      <c r="D5729" s="181"/>
      <c r="E5729" s="181"/>
      <c r="F5729" s="181"/>
      <c r="G5729" s="181"/>
      <c r="H5729" s="181"/>
      <c r="I5729" s="181"/>
      <c r="J5729" s="181"/>
      <c r="K5729" s="181"/>
      <c r="L5729" s="181"/>
      <c r="M5729" s="181"/>
      <c r="N5729" s="181"/>
      <c r="O5729" s="181"/>
      <c r="P5729" s="181"/>
    </row>
    <row r="5730">
      <c r="B5730" s="292"/>
      <c r="C5730" s="181"/>
      <c r="D5730" s="181"/>
      <c r="E5730" s="181"/>
      <c r="F5730" s="181"/>
      <c r="G5730" s="181"/>
      <c r="H5730" s="181"/>
      <c r="I5730" s="181"/>
      <c r="J5730" s="181"/>
      <c r="K5730" s="181"/>
      <c r="L5730" s="181"/>
      <c r="M5730" s="181"/>
      <c r="N5730" s="181"/>
      <c r="O5730" s="181"/>
      <c r="P5730" s="181"/>
    </row>
    <row r="5731">
      <c r="B5731" s="292"/>
      <c r="C5731" s="181"/>
      <c r="D5731" s="181"/>
      <c r="E5731" s="181"/>
      <c r="F5731" s="181"/>
      <c r="G5731" s="181"/>
      <c r="H5731" s="181"/>
      <c r="I5731" s="181"/>
      <c r="J5731" s="181"/>
      <c r="K5731" s="181"/>
      <c r="L5731" s="181"/>
      <c r="M5731" s="181"/>
      <c r="N5731" s="181"/>
      <c r="O5731" s="181"/>
      <c r="P5731" s="181"/>
    </row>
    <row r="5732">
      <c r="B5732" s="292"/>
      <c r="C5732" s="181"/>
      <c r="D5732" s="181"/>
      <c r="E5732" s="181"/>
      <c r="F5732" s="181"/>
      <c r="G5732" s="181"/>
      <c r="H5732" s="181"/>
      <c r="I5732" s="181"/>
      <c r="J5732" s="181"/>
      <c r="K5732" s="181"/>
      <c r="L5732" s="181"/>
      <c r="M5732" s="181"/>
      <c r="N5732" s="181"/>
      <c r="O5732" s="181"/>
      <c r="P5732" s="181"/>
    </row>
    <row r="5733">
      <c r="B5733" s="292"/>
      <c r="C5733" s="181"/>
      <c r="D5733" s="181"/>
      <c r="E5733" s="181"/>
      <c r="F5733" s="181"/>
      <c r="G5733" s="181"/>
      <c r="H5733" s="181"/>
      <c r="I5733" s="181"/>
      <c r="J5733" s="181"/>
      <c r="K5733" s="181"/>
      <c r="L5733" s="181"/>
      <c r="M5733" s="181"/>
      <c r="N5733" s="181"/>
      <c r="O5733" s="181"/>
      <c r="P5733" s="181"/>
    </row>
    <row r="5734">
      <c r="B5734" s="292"/>
      <c r="C5734" s="181"/>
      <c r="D5734" s="181"/>
      <c r="E5734" s="181"/>
      <c r="F5734" s="181"/>
      <c r="G5734" s="181"/>
      <c r="H5734" s="181"/>
      <c r="I5734" s="181"/>
      <c r="J5734" s="181"/>
      <c r="K5734" s="181"/>
      <c r="L5734" s="181"/>
      <c r="M5734" s="181"/>
      <c r="N5734" s="181"/>
      <c r="O5734" s="181"/>
      <c r="P5734" s="181"/>
    </row>
    <row r="5735">
      <c r="B5735" s="292"/>
      <c r="C5735" s="181"/>
      <c r="D5735" s="181"/>
      <c r="E5735" s="181"/>
      <c r="F5735" s="181"/>
      <c r="G5735" s="181"/>
      <c r="H5735" s="181"/>
      <c r="I5735" s="181"/>
      <c r="J5735" s="181"/>
      <c r="K5735" s="181"/>
      <c r="L5735" s="181"/>
      <c r="M5735" s="181"/>
      <c r="N5735" s="181"/>
      <c r="O5735" s="181"/>
      <c r="P5735" s="181"/>
    </row>
    <row r="5736">
      <c r="B5736" s="292"/>
      <c r="C5736" s="181"/>
      <c r="D5736" s="181"/>
      <c r="E5736" s="181"/>
      <c r="F5736" s="181"/>
      <c r="G5736" s="181"/>
      <c r="H5736" s="181"/>
      <c r="I5736" s="181"/>
      <c r="J5736" s="181"/>
      <c r="K5736" s="181"/>
      <c r="L5736" s="181"/>
      <c r="M5736" s="181"/>
      <c r="N5736" s="181"/>
      <c r="O5736" s="181"/>
      <c r="P5736" s="181"/>
    </row>
    <row r="5737">
      <c r="B5737" s="292"/>
      <c r="C5737" s="181"/>
      <c r="D5737" s="181"/>
      <c r="E5737" s="181"/>
      <c r="F5737" s="181"/>
      <c r="G5737" s="181"/>
      <c r="H5737" s="181"/>
      <c r="I5737" s="181"/>
      <c r="J5737" s="181"/>
      <c r="K5737" s="181"/>
      <c r="L5737" s="181"/>
      <c r="M5737" s="181"/>
      <c r="N5737" s="181"/>
      <c r="O5737" s="181"/>
      <c r="P5737" s="181"/>
    </row>
    <row r="5738">
      <c r="B5738" s="292"/>
      <c r="C5738" s="181"/>
      <c r="D5738" s="181"/>
      <c r="E5738" s="181"/>
      <c r="F5738" s="181"/>
      <c r="G5738" s="181"/>
      <c r="H5738" s="181"/>
      <c r="I5738" s="181"/>
      <c r="J5738" s="181"/>
      <c r="K5738" s="181"/>
      <c r="L5738" s="181"/>
      <c r="M5738" s="181"/>
      <c r="N5738" s="181"/>
      <c r="O5738" s="181"/>
      <c r="P5738" s="181"/>
    </row>
    <row r="5739">
      <c r="B5739" s="292"/>
      <c r="C5739" s="181"/>
      <c r="D5739" s="181"/>
      <c r="E5739" s="181"/>
      <c r="F5739" s="181"/>
      <c r="G5739" s="181"/>
      <c r="H5739" s="181"/>
      <c r="I5739" s="181"/>
      <c r="J5739" s="181"/>
      <c r="K5739" s="181"/>
      <c r="L5739" s="181"/>
      <c r="M5739" s="181"/>
      <c r="N5739" s="181"/>
      <c r="O5739" s="181"/>
      <c r="P5739" s="181"/>
    </row>
    <row r="5740">
      <c r="B5740" s="292"/>
      <c r="C5740" s="181"/>
      <c r="D5740" s="181"/>
      <c r="E5740" s="181"/>
      <c r="F5740" s="181"/>
      <c r="G5740" s="181"/>
      <c r="H5740" s="181"/>
      <c r="I5740" s="181"/>
      <c r="J5740" s="181"/>
      <c r="K5740" s="181"/>
      <c r="L5740" s="181"/>
      <c r="M5740" s="181"/>
      <c r="N5740" s="181"/>
      <c r="O5740" s="181"/>
      <c r="P5740" s="181"/>
    </row>
    <row r="5741">
      <c r="B5741" s="292"/>
      <c r="C5741" s="181"/>
      <c r="D5741" s="181"/>
      <c r="E5741" s="181"/>
      <c r="F5741" s="181"/>
      <c r="G5741" s="181"/>
      <c r="H5741" s="181"/>
      <c r="I5741" s="181"/>
      <c r="J5741" s="181"/>
      <c r="K5741" s="181"/>
      <c r="L5741" s="181"/>
      <c r="M5741" s="181"/>
      <c r="N5741" s="181"/>
      <c r="O5741" s="181"/>
      <c r="P5741" s="181"/>
    </row>
    <row r="5742">
      <c r="B5742" s="292"/>
      <c r="C5742" s="181"/>
      <c r="D5742" s="181"/>
      <c r="E5742" s="181"/>
      <c r="F5742" s="181"/>
      <c r="G5742" s="181"/>
      <c r="H5742" s="181"/>
      <c r="I5742" s="181"/>
      <c r="J5742" s="181"/>
      <c r="K5742" s="181"/>
      <c r="L5742" s="181"/>
      <c r="M5742" s="181"/>
      <c r="N5742" s="181"/>
      <c r="O5742" s="181"/>
      <c r="P5742" s="181"/>
    </row>
    <row r="5743">
      <c r="B5743" s="292"/>
      <c r="C5743" s="181"/>
      <c r="D5743" s="181"/>
      <c r="E5743" s="181"/>
      <c r="F5743" s="181"/>
      <c r="G5743" s="181"/>
      <c r="H5743" s="181"/>
      <c r="I5743" s="181"/>
      <c r="J5743" s="181"/>
      <c r="K5743" s="181"/>
      <c r="L5743" s="181"/>
      <c r="M5743" s="181"/>
      <c r="N5743" s="181"/>
      <c r="O5743" s="181"/>
      <c r="P5743" s="181"/>
    </row>
    <row r="5744">
      <c r="B5744" s="292"/>
      <c r="C5744" s="181"/>
      <c r="D5744" s="181"/>
      <c r="E5744" s="181"/>
      <c r="F5744" s="181"/>
      <c r="G5744" s="181"/>
      <c r="H5744" s="181"/>
      <c r="I5744" s="181"/>
      <c r="J5744" s="181"/>
      <c r="K5744" s="181"/>
      <c r="L5744" s="181"/>
      <c r="M5744" s="181"/>
      <c r="N5744" s="181"/>
      <c r="O5744" s="181"/>
      <c r="P5744" s="181"/>
    </row>
    <row r="5745">
      <c r="B5745" s="292"/>
      <c r="C5745" s="181"/>
      <c r="D5745" s="181"/>
      <c r="E5745" s="181"/>
      <c r="F5745" s="181"/>
      <c r="G5745" s="181"/>
      <c r="H5745" s="181"/>
      <c r="I5745" s="181"/>
      <c r="J5745" s="181"/>
      <c r="K5745" s="181"/>
      <c r="L5745" s="181"/>
      <c r="M5745" s="181"/>
      <c r="N5745" s="181"/>
      <c r="O5745" s="181"/>
      <c r="P5745" s="181"/>
    </row>
    <row r="5746">
      <c r="B5746" s="292"/>
      <c r="C5746" s="181"/>
      <c r="D5746" s="181"/>
      <c r="E5746" s="181"/>
      <c r="F5746" s="181"/>
      <c r="G5746" s="181"/>
      <c r="H5746" s="181"/>
      <c r="I5746" s="181"/>
      <c r="J5746" s="181"/>
      <c r="K5746" s="181"/>
      <c r="L5746" s="181"/>
      <c r="M5746" s="181"/>
      <c r="N5746" s="181"/>
      <c r="O5746" s="181"/>
      <c r="P5746" s="181"/>
    </row>
    <row r="5747">
      <c r="B5747" s="292"/>
      <c r="C5747" s="181"/>
      <c r="D5747" s="181"/>
      <c r="E5747" s="181"/>
      <c r="F5747" s="181"/>
      <c r="G5747" s="181"/>
      <c r="H5747" s="181"/>
      <c r="I5747" s="181"/>
      <c r="J5747" s="181"/>
      <c r="K5747" s="181"/>
      <c r="L5747" s="181"/>
      <c r="M5747" s="181"/>
      <c r="N5747" s="181"/>
      <c r="O5747" s="181"/>
      <c r="P5747" s="181"/>
    </row>
    <row r="5748">
      <c r="B5748" s="292"/>
      <c r="C5748" s="181"/>
      <c r="D5748" s="181"/>
      <c r="E5748" s="181"/>
      <c r="F5748" s="181"/>
      <c r="G5748" s="181"/>
      <c r="H5748" s="181"/>
      <c r="I5748" s="181"/>
      <c r="J5748" s="181"/>
      <c r="K5748" s="181"/>
      <c r="L5748" s="181"/>
      <c r="M5748" s="181"/>
      <c r="N5748" s="181"/>
      <c r="O5748" s="181"/>
      <c r="P5748" s="181"/>
    </row>
    <row r="5749">
      <c r="B5749" s="292"/>
      <c r="C5749" s="181"/>
      <c r="D5749" s="181"/>
      <c r="E5749" s="181"/>
      <c r="F5749" s="181"/>
      <c r="G5749" s="181"/>
      <c r="H5749" s="181"/>
      <c r="I5749" s="181"/>
      <c r="J5749" s="181"/>
      <c r="K5749" s="181"/>
      <c r="L5749" s="181"/>
      <c r="M5749" s="181"/>
      <c r="N5749" s="181"/>
      <c r="O5749" s="181"/>
      <c r="P5749" s="181"/>
    </row>
    <row r="5750">
      <c r="B5750" s="292"/>
      <c r="C5750" s="181"/>
      <c r="D5750" s="181"/>
      <c r="E5750" s="181"/>
      <c r="F5750" s="181"/>
      <c r="G5750" s="181"/>
      <c r="H5750" s="181"/>
      <c r="I5750" s="181"/>
      <c r="J5750" s="181"/>
      <c r="K5750" s="181"/>
      <c r="L5750" s="181"/>
      <c r="M5750" s="181"/>
      <c r="N5750" s="181"/>
      <c r="O5750" s="181"/>
      <c r="P5750" s="181"/>
    </row>
    <row r="5751">
      <c r="B5751" s="292"/>
      <c r="C5751" s="181"/>
      <c r="D5751" s="181"/>
      <c r="E5751" s="181"/>
      <c r="F5751" s="181"/>
      <c r="G5751" s="181"/>
      <c r="H5751" s="181"/>
      <c r="I5751" s="181"/>
      <c r="J5751" s="181"/>
      <c r="K5751" s="181"/>
      <c r="L5751" s="181"/>
      <c r="M5751" s="181"/>
      <c r="N5751" s="181"/>
      <c r="O5751" s="181"/>
      <c r="P5751" s="181"/>
    </row>
    <row r="5752">
      <c r="B5752" s="292"/>
      <c r="C5752" s="181"/>
      <c r="D5752" s="181"/>
      <c r="E5752" s="181"/>
      <c r="F5752" s="181"/>
      <c r="G5752" s="181"/>
      <c r="H5752" s="181"/>
      <c r="I5752" s="181"/>
      <c r="J5752" s="181"/>
      <c r="K5752" s="181"/>
      <c r="L5752" s="181"/>
      <c r="M5752" s="181"/>
      <c r="N5752" s="181"/>
      <c r="O5752" s="181"/>
      <c r="P5752" s="181"/>
    </row>
    <row r="5753">
      <c r="B5753" s="292"/>
      <c r="C5753" s="181"/>
      <c r="D5753" s="181"/>
      <c r="E5753" s="181"/>
      <c r="F5753" s="181"/>
      <c r="G5753" s="181"/>
      <c r="H5753" s="181"/>
      <c r="I5753" s="181"/>
      <c r="J5753" s="181"/>
      <c r="K5753" s="181"/>
      <c r="L5753" s="181"/>
      <c r="M5753" s="181"/>
      <c r="N5753" s="181"/>
      <c r="O5753" s="181"/>
      <c r="P5753" s="181"/>
    </row>
    <row r="5754">
      <c r="B5754" s="292"/>
      <c r="C5754" s="181"/>
      <c r="D5754" s="181"/>
      <c r="E5754" s="181"/>
      <c r="F5754" s="181"/>
      <c r="G5754" s="181"/>
      <c r="H5754" s="181"/>
      <c r="I5754" s="181"/>
      <c r="J5754" s="181"/>
      <c r="K5754" s="181"/>
      <c r="L5754" s="181"/>
      <c r="M5754" s="181"/>
      <c r="N5754" s="181"/>
      <c r="O5754" s="181"/>
      <c r="P5754" s="181"/>
    </row>
    <row r="5755">
      <c r="B5755" s="292"/>
      <c r="C5755" s="181"/>
      <c r="D5755" s="181"/>
      <c r="E5755" s="181"/>
      <c r="F5755" s="181"/>
      <c r="G5755" s="181"/>
      <c r="H5755" s="181"/>
      <c r="I5755" s="181"/>
      <c r="J5755" s="181"/>
      <c r="K5755" s="181"/>
      <c r="L5755" s="181"/>
      <c r="M5755" s="181"/>
      <c r="N5755" s="181"/>
      <c r="O5755" s="181"/>
      <c r="P5755" s="181"/>
    </row>
    <row r="5756">
      <c r="B5756" s="292"/>
      <c r="C5756" s="181"/>
      <c r="D5756" s="181"/>
      <c r="E5756" s="181"/>
      <c r="F5756" s="181"/>
      <c r="G5756" s="181"/>
      <c r="H5756" s="181"/>
      <c r="I5756" s="181"/>
      <c r="J5756" s="181"/>
      <c r="K5756" s="181"/>
      <c r="L5756" s="181"/>
      <c r="M5756" s="181"/>
      <c r="N5756" s="181"/>
      <c r="O5756" s="181"/>
      <c r="P5756" s="181"/>
    </row>
    <row r="5757">
      <c r="B5757" s="292"/>
      <c r="C5757" s="181"/>
      <c r="D5757" s="181"/>
      <c r="E5757" s="181"/>
      <c r="F5757" s="181"/>
      <c r="G5757" s="181"/>
      <c r="H5757" s="181"/>
      <c r="I5757" s="181"/>
      <c r="J5757" s="181"/>
      <c r="K5757" s="181"/>
      <c r="L5757" s="181"/>
      <c r="M5757" s="181"/>
      <c r="N5757" s="181"/>
      <c r="O5757" s="181"/>
      <c r="P5757" s="181"/>
    </row>
    <row r="5758">
      <c r="B5758" s="292"/>
      <c r="C5758" s="181"/>
      <c r="D5758" s="181"/>
      <c r="E5758" s="181"/>
      <c r="F5758" s="181"/>
      <c r="G5758" s="181"/>
      <c r="H5758" s="181"/>
      <c r="I5758" s="181"/>
      <c r="J5758" s="181"/>
      <c r="K5758" s="181"/>
      <c r="L5758" s="181"/>
      <c r="M5758" s="181"/>
      <c r="N5758" s="181"/>
      <c r="O5758" s="181"/>
      <c r="P5758" s="181"/>
    </row>
    <row r="5759">
      <c r="B5759" s="292"/>
      <c r="C5759" s="181"/>
      <c r="D5759" s="181"/>
      <c r="E5759" s="181"/>
      <c r="F5759" s="181"/>
      <c r="G5759" s="181"/>
      <c r="H5759" s="181"/>
      <c r="I5759" s="181"/>
      <c r="J5759" s="181"/>
      <c r="K5759" s="181"/>
      <c r="L5759" s="181"/>
      <c r="M5759" s="181"/>
      <c r="N5759" s="181"/>
      <c r="O5759" s="181"/>
      <c r="P5759" s="181"/>
    </row>
    <row r="5760">
      <c r="B5760" s="292"/>
      <c r="C5760" s="181"/>
      <c r="D5760" s="181"/>
      <c r="E5760" s="181"/>
      <c r="F5760" s="181"/>
      <c r="G5760" s="181"/>
      <c r="H5760" s="181"/>
      <c r="I5760" s="181"/>
      <c r="J5760" s="181"/>
      <c r="K5760" s="181"/>
      <c r="L5760" s="181"/>
      <c r="M5760" s="181"/>
      <c r="N5760" s="181"/>
      <c r="O5760" s="181"/>
      <c r="P5760" s="181"/>
    </row>
    <row r="5761">
      <c r="B5761" s="292"/>
      <c r="C5761" s="181"/>
      <c r="D5761" s="181"/>
      <c r="E5761" s="181"/>
      <c r="F5761" s="181"/>
      <c r="G5761" s="181"/>
      <c r="H5761" s="181"/>
      <c r="I5761" s="181"/>
      <c r="J5761" s="181"/>
      <c r="K5761" s="181"/>
      <c r="L5761" s="181"/>
      <c r="M5761" s="181"/>
      <c r="N5761" s="181"/>
      <c r="O5761" s="181"/>
      <c r="P5761" s="181"/>
    </row>
    <row r="5762">
      <c r="B5762" s="292"/>
      <c r="C5762" s="181"/>
      <c r="D5762" s="181"/>
      <c r="E5762" s="181"/>
      <c r="F5762" s="181"/>
      <c r="G5762" s="181"/>
      <c r="H5762" s="181"/>
      <c r="I5762" s="181"/>
      <c r="J5762" s="181"/>
      <c r="K5762" s="181"/>
      <c r="L5762" s="181"/>
      <c r="M5762" s="181"/>
      <c r="N5762" s="181"/>
      <c r="O5762" s="181"/>
      <c r="P5762" s="181"/>
    </row>
    <row r="5763">
      <c r="B5763" s="292"/>
      <c r="C5763" s="181"/>
      <c r="D5763" s="181"/>
      <c r="E5763" s="181"/>
      <c r="F5763" s="181"/>
      <c r="G5763" s="181"/>
      <c r="H5763" s="181"/>
      <c r="I5763" s="181"/>
      <c r="J5763" s="181"/>
      <c r="K5763" s="181"/>
      <c r="L5763" s="181"/>
      <c r="M5763" s="181"/>
      <c r="N5763" s="181"/>
      <c r="O5763" s="181"/>
      <c r="P5763" s="181"/>
    </row>
    <row r="5764">
      <c r="B5764" s="292"/>
      <c r="C5764" s="181"/>
      <c r="D5764" s="181"/>
      <c r="E5764" s="181"/>
      <c r="F5764" s="181"/>
      <c r="G5764" s="181"/>
      <c r="H5764" s="181"/>
      <c r="I5764" s="181"/>
      <c r="J5764" s="181"/>
      <c r="K5764" s="181"/>
      <c r="L5764" s="181"/>
      <c r="M5764" s="181"/>
      <c r="N5764" s="181"/>
      <c r="O5764" s="181"/>
      <c r="P5764" s="181"/>
    </row>
    <row r="5765">
      <c r="B5765" s="292"/>
      <c r="C5765" s="181"/>
      <c r="D5765" s="181"/>
      <c r="E5765" s="181"/>
      <c r="F5765" s="181"/>
      <c r="G5765" s="181"/>
      <c r="H5765" s="181"/>
      <c r="I5765" s="181"/>
      <c r="J5765" s="181"/>
      <c r="K5765" s="181"/>
      <c r="L5765" s="181"/>
      <c r="M5765" s="181"/>
      <c r="N5765" s="181"/>
      <c r="O5765" s="181"/>
      <c r="P5765" s="181"/>
    </row>
    <row r="5766">
      <c r="B5766" s="292"/>
      <c r="C5766" s="181"/>
      <c r="D5766" s="181"/>
      <c r="E5766" s="181"/>
      <c r="F5766" s="181"/>
      <c r="G5766" s="181"/>
      <c r="H5766" s="181"/>
      <c r="I5766" s="181"/>
      <c r="J5766" s="181"/>
      <c r="K5766" s="181"/>
      <c r="L5766" s="181"/>
      <c r="M5766" s="181"/>
      <c r="N5766" s="181"/>
      <c r="O5766" s="181"/>
      <c r="P5766" s="181"/>
    </row>
    <row r="5767">
      <c r="B5767" s="292"/>
      <c r="C5767" s="181"/>
      <c r="D5767" s="181"/>
      <c r="E5767" s="181"/>
      <c r="F5767" s="181"/>
      <c r="G5767" s="181"/>
      <c r="H5767" s="181"/>
      <c r="I5767" s="181"/>
      <c r="J5767" s="181"/>
      <c r="K5767" s="181"/>
      <c r="L5767" s="181"/>
      <c r="M5767" s="181"/>
      <c r="N5767" s="181"/>
      <c r="O5767" s="181"/>
      <c r="P5767" s="181"/>
    </row>
    <row r="5768">
      <c r="B5768" s="292"/>
      <c r="C5768" s="181"/>
      <c r="D5768" s="181"/>
      <c r="E5768" s="181"/>
      <c r="F5768" s="181"/>
      <c r="G5768" s="181"/>
      <c r="H5768" s="181"/>
      <c r="I5768" s="181"/>
      <c r="J5768" s="181"/>
      <c r="K5768" s="181"/>
      <c r="L5768" s="181"/>
      <c r="M5768" s="181"/>
      <c r="N5768" s="181"/>
      <c r="O5768" s="181"/>
      <c r="P5768" s="181"/>
    </row>
    <row r="5769">
      <c r="B5769" s="292"/>
      <c r="C5769" s="181"/>
      <c r="D5769" s="181"/>
      <c r="E5769" s="181"/>
      <c r="F5769" s="181"/>
      <c r="G5769" s="181"/>
      <c r="H5769" s="181"/>
      <c r="I5769" s="181"/>
      <c r="J5769" s="181"/>
      <c r="K5769" s="181"/>
      <c r="L5769" s="181"/>
      <c r="M5769" s="181"/>
      <c r="N5769" s="181"/>
      <c r="O5769" s="181"/>
      <c r="P5769" s="181"/>
    </row>
    <row r="5770">
      <c r="B5770" s="292"/>
      <c r="C5770" s="181"/>
      <c r="D5770" s="181"/>
      <c r="E5770" s="181"/>
      <c r="F5770" s="181"/>
      <c r="G5770" s="181"/>
      <c r="H5770" s="181"/>
      <c r="I5770" s="181"/>
      <c r="J5770" s="181"/>
      <c r="K5770" s="181"/>
      <c r="L5770" s="181"/>
      <c r="M5770" s="181"/>
      <c r="N5770" s="181"/>
      <c r="O5770" s="181"/>
      <c r="P5770" s="181"/>
    </row>
    <row r="5771">
      <c r="B5771" s="292"/>
      <c r="C5771" s="181"/>
      <c r="D5771" s="181"/>
      <c r="E5771" s="181"/>
      <c r="F5771" s="181"/>
      <c r="G5771" s="181"/>
      <c r="H5771" s="181"/>
      <c r="I5771" s="181"/>
      <c r="J5771" s="181"/>
      <c r="K5771" s="181"/>
      <c r="L5771" s="181"/>
      <c r="M5771" s="181"/>
      <c r="N5771" s="181"/>
      <c r="O5771" s="181"/>
      <c r="P5771" s="181"/>
    </row>
    <row r="5772">
      <c r="B5772" s="292"/>
      <c r="C5772" s="181"/>
      <c r="D5772" s="181"/>
      <c r="E5772" s="181"/>
      <c r="F5772" s="181"/>
      <c r="G5772" s="181"/>
      <c r="H5772" s="181"/>
      <c r="I5772" s="181"/>
      <c r="J5772" s="181"/>
      <c r="K5772" s="181"/>
      <c r="L5772" s="181"/>
      <c r="M5772" s="181"/>
      <c r="N5772" s="181"/>
      <c r="O5772" s="181"/>
      <c r="P5772" s="181"/>
    </row>
    <row r="5773">
      <c r="B5773" s="292"/>
      <c r="C5773" s="181"/>
      <c r="D5773" s="181"/>
      <c r="E5773" s="181"/>
      <c r="F5773" s="181"/>
      <c r="G5773" s="181"/>
      <c r="H5773" s="181"/>
      <c r="I5773" s="181"/>
      <c r="J5773" s="181"/>
      <c r="K5773" s="181"/>
      <c r="L5773" s="181"/>
      <c r="M5773" s="181"/>
      <c r="N5773" s="181"/>
      <c r="O5773" s="181"/>
      <c r="P5773" s="181"/>
    </row>
    <row r="5774">
      <c r="B5774" s="292"/>
      <c r="C5774" s="181"/>
      <c r="D5774" s="181"/>
      <c r="E5774" s="181"/>
      <c r="F5774" s="181"/>
      <c r="G5774" s="181"/>
      <c r="H5774" s="181"/>
      <c r="I5774" s="181"/>
      <c r="J5774" s="181"/>
      <c r="K5774" s="181"/>
      <c r="L5774" s="181"/>
      <c r="M5774" s="181"/>
      <c r="N5774" s="181"/>
      <c r="O5774" s="181"/>
      <c r="P5774" s="181"/>
    </row>
    <row r="5775">
      <c r="B5775" s="292"/>
      <c r="C5775" s="181"/>
      <c r="D5775" s="181"/>
      <c r="E5775" s="181"/>
      <c r="F5775" s="181"/>
      <c r="G5775" s="181"/>
      <c r="H5775" s="181"/>
      <c r="I5775" s="181"/>
      <c r="J5775" s="181"/>
      <c r="K5775" s="181"/>
      <c r="L5775" s="181"/>
      <c r="M5775" s="181"/>
      <c r="N5775" s="181"/>
      <c r="O5775" s="181"/>
      <c r="P5775" s="181"/>
    </row>
    <row r="5776">
      <c r="B5776" s="292"/>
      <c r="C5776" s="181"/>
      <c r="D5776" s="181"/>
      <c r="E5776" s="181"/>
      <c r="F5776" s="181"/>
      <c r="G5776" s="181"/>
      <c r="H5776" s="181"/>
      <c r="I5776" s="181"/>
      <c r="J5776" s="181"/>
      <c r="K5776" s="181"/>
      <c r="L5776" s="181"/>
      <c r="M5776" s="181"/>
      <c r="N5776" s="181"/>
      <c r="O5776" s="181"/>
      <c r="P5776" s="181"/>
    </row>
    <row r="5777">
      <c r="B5777" s="292"/>
      <c r="C5777" s="181"/>
      <c r="D5777" s="181"/>
      <c r="E5777" s="181"/>
      <c r="F5777" s="181"/>
      <c r="G5777" s="181"/>
      <c r="H5777" s="181"/>
      <c r="I5777" s="181"/>
      <c r="J5777" s="181"/>
      <c r="K5777" s="181"/>
      <c r="L5777" s="181"/>
      <c r="M5777" s="181"/>
      <c r="N5777" s="181"/>
      <c r="O5777" s="181"/>
      <c r="P5777" s="181"/>
    </row>
    <row r="5778">
      <c r="B5778" s="292"/>
      <c r="C5778" s="181"/>
      <c r="D5778" s="181"/>
      <c r="E5778" s="181"/>
      <c r="F5778" s="181"/>
      <c r="G5778" s="181"/>
      <c r="H5778" s="181"/>
      <c r="I5778" s="181"/>
      <c r="J5778" s="181"/>
      <c r="K5778" s="181"/>
      <c r="L5778" s="181"/>
      <c r="M5778" s="181"/>
      <c r="N5778" s="181"/>
      <c r="O5778" s="181"/>
      <c r="P5778" s="181"/>
    </row>
    <row r="5779">
      <c r="B5779" s="292"/>
      <c r="C5779" s="181"/>
      <c r="D5779" s="181"/>
      <c r="E5779" s="181"/>
      <c r="F5779" s="181"/>
      <c r="G5779" s="181"/>
      <c r="H5779" s="181"/>
      <c r="I5779" s="181"/>
      <c r="J5779" s="181"/>
      <c r="K5779" s="181"/>
      <c r="L5779" s="181"/>
      <c r="M5779" s="181"/>
      <c r="N5779" s="181"/>
      <c r="O5779" s="181"/>
      <c r="P5779" s="181"/>
    </row>
    <row r="5780">
      <c r="B5780" s="292"/>
      <c r="C5780" s="181"/>
      <c r="D5780" s="181"/>
      <c r="E5780" s="181"/>
      <c r="F5780" s="181"/>
      <c r="G5780" s="181"/>
      <c r="H5780" s="181"/>
      <c r="I5780" s="181"/>
      <c r="J5780" s="181"/>
      <c r="K5780" s="181"/>
      <c r="L5780" s="181"/>
      <c r="M5780" s="181"/>
      <c r="N5780" s="181"/>
      <c r="O5780" s="181"/>
      <c r="P5780" s="181"/>
    </row>
    <row r="5781">
      <c r="B5781" s="292"/>
      <c r="C5781" s="181"/>
      <c r="D5781" s="181"/>
      <c r="E5781" s="181"/>
      <c r="F5781" s="181"/>
      <c r="G5781" s="181"/>
      <c r="H5781" s="181"/>
      <c r="I5781" s="181"/>
      <c r="J5781" s="181"/>
      <c r="K5781" s="181"/>
      <c r="L5781" s="181"/>
      <c r="M5781" s="181"/>
      <c r="N5781" s="181"/>
      <c r="O5781" s="181"/>
      <c r="P5781" s="181"/>
    </row>
    <row r="5782">
      <c r="B5782" s="292"/>
      <c r="C5782" s="181"/>
      <c r="D5782" s="181"/>
      <c r="E5782" s="181"/>
      <c r="F5782" s="181"/>
      <c r="G5782" s="181"/>
      <c r="H5782" s="181"/>
      <c r="I5782" s="181"/>
      <c r="J5782" s="181"/>
      <c r="K5782" s="181"/>
      <c r="L5782" s="181"/>
      <c r="M5782" s="181"/>
      <c r="N5782" s="181"/>
      <c r="O5782" s="181"/>
      <c r="P5782" s="181"/>
    </row>
    <row r="5783">
      <c r="B5783" s="292"/>
      <c r="C5783" s="181"/>
      <c r="D5783" s="181"/>
      <c r="E5783" s="181"/>
      <c r="F5783" s="181"/>
      <c r="G5783" s="181"/>
      <c r="H5783" s="181"/>
      <c r="I5783" s="181"/>
      <c r="J5783" s="181"/>
      <c r="K5783" s="181"/>
      <c r="L5783" s="181"/>
      <c r="M5783" s="181"/>
      <c r="N5783" s="181"/>
      <c r="O5783" s="181"/>
      <c r="P5783" s="181"/>
    </row>
    <row r="5784">
      <c r="B5784" s="292"/>
      <c r="C5784" s="181"/>
      <c r="D5784" s="181"/>
      <c r="E5784" s="181"/>
      <c r="F5784" s="181"/>
      <c r="G5784" s="181"/>
      <c r="H5784" s="181"/>
      <c r="I5784" s="181"/>
      <c r="J5784" s="181"/>
      <c r="K5784" s="181"/>
      <c r="L5784" s="181"/>
      <c r="M5784" s="181"/>
      <c r="N5784" s="181"/>
      <c r="O5784" s="181"/>
      <c r="P5784" s="181"/>
    </row>
    <row r="5785">
      <c r="B5785" s="292"/>
      <c r="C5785" s="181"/>
      <c r="D5785" s="181"/>
      <c r="E5785" s="181"/>
      <c r="F5785" s="181"/>
      <c r="G5785" s="181"/>
      <c r="H5785" s="181"/>
      <c r="I5785" s="181"/>
      <c r="J5785" s="181"/>
      <c r="K5785" s="181"/>
      <c r="L5785" s="181"/>
      <c r="M5785" s="181"/>
      <c r="N5785" s="181"/>
      <c r="O5785" s="181"/>
      <c r="P5785" s="181"/>
    </row>
    <row r="5786">
      <c r="B5786" s="292"/>
      <c r="C5786" s="181"/>
      <c r="D5786" s="181"/>
      <c r="E5786" s="181"/>
      <c r="F5786" s="181"/>
      <c r="G5786" s="181"/>
      <c r="H5786" s="181"/>
      <c r="I5786" s="181"/>
      <c r="J5786" s="181"/>
      <c r="K5786" s="181"/>
      <c r="L5786" s="181"/>
      <c r="M5786" s="181"/>
      <c r="N5786" s="181"/>
      <c r="O5786" s="181"/>
      <c r="P5786" s="181"/>
    </row>
    <row r="5787">
      <c r="B5787" s="292"/>
      <c r="C5787" s="181"/>
      <c r="D5787" s="181"/>
      <c r="E5787" s="181"/>
      <c r="F5787" s="181"/>
      <c r="G5787" s="181"/>
      <c r="H5787" s="181"/>
      <c r="I5787" s="181"/>
      <c r="J5787" s="181"/>
      <c r="K5787" s="181"/>
      <c r="L5787" s="181"/>
      <c r="M5787" s="181"/>
      <c r="N5787" s="181"/>
      <c r="O5787" s="181"/>
      <c r="P5787" s="181"/>
    </row>
    <row r="5788">
      <c r="B5788" s="292"/>
      <c r="C5788" s="181"/>
      <c r="D5788" s="181"/>
      <c r="E5788" s="181"/>
      <c r="F5788" s="181"/>
      <c r="G5788" s="181"/>
      <c r="H5788" s="181"/>
      <c r="I5788" s="181"/>
      <c r="J5788" s="181"/>
      <c r="K5788" s="181"/>
      <c r="L5788" s="181"/>
      <c r="M5788" s="181"/>
      <c r="N5788" s="181"/>
      <c r="O5788" s="181"/>
      <c r="P5788" s="181"/>
    </row>
    <row r="5789">
      <c r="B5789" s="292"/>
      <c r="C5789" s="181"/>
      <c r="D5789" s="181"/>
      <c r="E5789" s="181"/>
      <c r="F5789" s="181"/>
      <c r="G5789" s="181"/>
      <c r="H5789" s="181"/>
      <c r="I5789" s="181"/>
      <c r="J5789" s="181"/>
      <c r="K5789" s="181"/>
      <c r="L5789" s="181"/>
      <c r="M5789" s="181"/>
      <c r="N5789" s="181"/>
      <c r="O5789" s="181"/>
      <c r="P5789" s="181"/>
    </row>
    <row r="5790">
      <c r="B5790" s="292"/>
      <c r="C5790" s="181"/>
      <c r="D5790" s="181"/>
      <c r="E5790" s="181"/>
      <c r="F5790" s="181"/>
      <c r="G5790" s="181"/>
      <c r="H5790" s="181"/>
      <c r="I5790" s="181"/>
      <c r="J5790" s="181"/>
      <c r="K5790" s="181"/>
      <c r="L5790" s="181"/>
      <c r="M5790" s="181"/>
      <c r="N5790" s="181"/>
      <c r="O5790" s="181"/>
      <c r="P5790" s="181"/>
    </row>
    <row r="5791">
      <c r="B5791" s="292"/>
      <c r="C5791" s="181"/>
      <c r="D5791" s="181"/>
      <c r="E5791" s="181"/>
      <c r="F5791" s="181"/>
      <c r="G5791" s="181"/>
      <c r="H5791" s="181"/>
      <c r="I5791" s="181"/>
      <c r="J5791" s="181"/>
      <c r="K5791" s="181"/>
      <c r="L5791" s="181"/>
      <c r="M5791" s="181"/>
      <c r="N5791" s="181"/>
      <c r="O5791" s="181"/>
      <c r="P5791" s="181"/>
    </row>
    <row r="5792">
      <c r="B5792" s="292"/>
      <c r="C5792" s="181"/>
      <c r="D5792" s="181"/>
      <c r="E5792" s="181"/>
      <c r="F5792" s="181"/>
      <c r="G5792" s="181"/>
      <c r="H5792" s="181"/>
      <c r="I5792" s="181"/>
      <c r="J5792" s="181"/>
      <c r="K5792" s="181"/>
      <c r="L5792" s="181"/>
      <c r="M5792" s="181"/>
      <c r="N5792" s="181"/>
      <c r="O5792" s="181"/>
      <c r="P5792" s="181"/>
    </row>
    <row r="5793">
      <c r="B5793" s="292"/>
      <c r="C5793" s="181"/>
      <c r="D5793" s="181"/>
      <c r="E5793" s="181"/>
      <c r="F5793" s="181"/>
      <c r="G5793" s="181"/>
      <c r="H5793" s="181"/>
      <c r="I5793" s="181"/>
      <c r="J5793" s="181"/>
      <c r="K5793" s="181"/>
      <c r="L5793" s="181"/>
      <c r="M5793" s="181"/>
      <c r="N5793" s="181"/>
      <c r="O5793" s="181"/>
      <c r="P5793" s="181"/>
    </row>
    <row r="5794">
      <c r="B5794" s="292"/>
      <c r="C5794" s="181"/>
      <c r="D5794" s="181"/>
      <c r="E5794" s="181"/>
      <c r="F5794" s="181"/>
      <c r="G5794" s="181"/>
      <c r="H5794" s="181"/>
      <c r="I5794" s="181"/>
      <c r="J5794" s="181"/>
      <c r="K5794" s="181"/>
      <c r="L5794" s="181"/>
      <c r="M5794" s="181"/>
      <c r="N5794" s="181"/>
      <c r="O5794" s="181"/>
      <c r="P5794" s="181"/>
    </row>
    <row r="5795">
      <c r="B5795" s="292"/>
      <c r="C5795" s="181"/>
      <c r="D5795" s="181"/>
      <c r="E5795" s="181"/>
      <c r="F5795" s="181"/>
      <c r="G5795" s="181"/>
      <c r="H5795" s="181"/>
      <c r="I5795" s="181"/>
      <c r="J5795" s="181"/>
      <c r="K5795" s="181"/>
      <c r="L5795" s="181"/>
      <c r="M5795" s="181"/>
      <c r="N5795" s="181"/>
      <c r="O5795" s="181"/>
      <c r="P5795" s="181"/>
    </row>
    <row r="5796">
      <c r="B5796" s="292"/>
      <c r="C5796" s="181"/>
      <c r="D5796" s="181"/>
      <c r="E5796" s="181"/>
      <c r="F5796" s="181"/>
      <c r="G5796" s="181"/>
      <c r="H5796" s="181"/>
      <c r="I5796" s="181"/>
      <c r="J5796" s="181"/>
      <c r="K5796" s="181"/>
      <c r="L5796" s="181"/>
      <c r="M5796" s="181"/>
      <c r="N5796" s="181"/>
      <c r="O5796" s="181"/>
      <c r="P5796" s="181"/>
    </row>
    <row r="5797">
      <c r="B5797" s="292"/>
      <c r="C5797" s="181"/>
      <c r="D5797" s="181"/>
      <c r="E5797" s="181"/>
      <c r="F5797" s="181"/>
      <c r="G5797" s="181"/>
      <c r="H5797" s="181"/>
      <c r="I5797" s="181"/>
      <c r="J5797" s="181"/>
      <c r="K5797" s="181"/>
      <c r="L5797" s="181"/>
      <c r="M5797" s="181"/>
      <c r="N5797" s="181"/>
      <c r="O5797" s="181"/>
      <c r="P5797" s="181"/>
    </row>
    <row r="5798">
      <c r="B5798" s="292"/>
      <c r="C5798" s="181"/>
      <c r="D5798" s="181"/>
      <c r="E5798" s="181"/>
      <c r="F5798" s="181"/>
      <c r="G5798" s="181"/>
      <c r="H5798" s="181"/>
      <c r="I5798" s="181"/>
      <c r="J5798" s="181"/>
      <c r="K5798" s="181"/>
      <c r="L5798" s="181"/>
      <c r="M5798" s="181"/>
      <c r="N5798" s="181"/>
      <c r="O5798" s="181"/>
      <c r="P5798" s="181"/>
    </row>
    <row r="5799">
      <c r="B5799" s="292"/>
      <c r="C5799" s="181"/>
      <c r="D5799" s="181"/>
      <c r="E5799" s="181"/>
      <c r="F5799" s="181"/>
      <c r="G5799" s="181"/>
      <c r="H5799" s="181"/>
      <c r="I5799" s="181"/>
      <c r="J5799" s="181"/>
      <c r="K5799" s="181"/>
      <c r="L5799" s="181"/>
      <c r="M5799" s="181"/>
      <c r="N5799" s="181"/>
      <c r="O5799" s="181"/>
      <c r="P5799" s="181"/>
    </row>
    <row r="5800">
      <c r="B5800" s="292"/>
      <c r="C5800" s="181"/>
      <c r="D5800" s="181"/>
      <c r="E5800" s="181"/>
      <c r="F5800" s="181"/>
      <c r="G5800" s="181"/>
      <c r="H5800" s="181"/>
      <c r="I5800" s="181"/>
      <c r="J5800" s="181"/>
      <c r="K5800" s="181"/>
      <c r="L5800" s="181"/>
      <c r="M5800" s="181"/>
      <c r="N5800" s="181"/>
      <c r="O5800" s="181"/>
      <c r="P5800" s="181"/>
    </row>
    <row r="5801">
      <c r="B5801" s="292"/>
      <c r="C5801" s="181"/>
      <c r="D5801" s="181"/>
      <c r="E5801" s="181"/>
      <c r="F5801" s="181"/>
      <c r="G5801" s="181"/>
      <c r="H5801" s="181"/>
      <c r="I5801" s="181"/>
      <c r="J5801" s="181"/>
      <c r="K5801" s="181"/>
      <c r="L5801" s="181"/>
      <c r="M5801" s="181"/>
      <c r="N5801" s="181"/>
      <c r="O5801" s="181"/>
      <c r="P5801" s="181"/>
    </row>
    <row r="5802">
      <c r="B5802" s="292"/>
      <c r="C5802" s="181"/>
      <c r="D5802" s="181"/>
      <c r="E5802" s="181"/>
      <c r="F5802" s="181"/>
      <c r="G5802" s="181"/>
      <c r="H5802" s="181"/>
      <c r="I5802" s="181"/>
      <c r="J5802" s="181"/>
      <c r="K5802" s="181"/>
      <c r="L5802" s="181"/>
      <c r="M5802" s="181"/>
      <c r="N5802" s="181"/>
      <c r="O5802" s="181"/>
      <c r="P5802" s="181"/>
    </row>
    <row r="5803">
      <c r="B5803" s="292"/>
      <c r="C5803" s="181"/>
      <c r="D5803" s="181"/>
      <c r="E5803" s="181"/>
      <c r="F5803" s="181"/>
      <c r="G5803" s="181"/>
      <c r="H5803" s="181"/>
      <c r="I5803" s="181"/>
      <c r="J5803" s="181"/>
      <c r="K5803" s="181"/>
      <c r="L5803" s="181"/>
      <c r="M5803" s="181"/>
      <c r="N5803" s="181"/>
      <c r="O5803" s="181"/>
      <c r="P5803" s="181"/>
    </row>
    <row r="5804">
      <c r="B5804" s="292"/>
      <c r="C5804" s="181"/>
      <c r="D5804" s="181"/>
      <c r="E5804" s="181"/>
      <c r="F5804" s="181"/>
      <c r="G5804" s="181"/>
      <c r="H5804" s="181"/>
      <c r="I5804" s="181"/>
      <c r="J5804" s="181"/>
      <c r="K5804" s="181"/>
      <c r="L5804" s="181"/>
      <c r="M5804" s="181"/>
      <c r="N5804" s="181"/>
      <c r="O5804" s="181"/>
      <c r="P5804" s="181"/>
    </row>
    <row r="5805">
      <c r="B5805" s="292"/>
      <c r="C5805" s="181"/>
      <c r="D5805" s="181"/>
      <c r="E5805" s="181"/>
      <c r="F5805" s="181"/>
      <c r="G5805" s="181"/>
      <c r="H5805" s="181"/>
      <c r="I5805" s="181"/>
      <c r="J5805" s="181"/>
      <c r="K5805" s="181"/>
      <c r="L5805" s="181"/>
      <c r="M5805" s="181"/>
      <c r="N5805" s="181"/>
      <c r="O5805" s="181"/>
      <c r="P5805" s="181"/>
    </row>
    <row r="5806">
      <c r="B5806" s="292"/>
      <c r="C5806" s="181"/>
      <c r="D5806" s="181"/>
      <c r="E5806" s="181"/>
      <c r="F5806" s="181"/>
      <c r="G5806" s="181"/>
      <c r="H5806" s="181"/>
      <c r="I5806" s="181"/>
      <c r="J5806" s="181"/>
      <c r="K5806" s="181"/>
      <c r="L5806" s="181"/>
      <c r="M5806" s="181"/>
      <c r="N5806" s="181"/>
      <c r="O5806" s="181"/>
      <c r="P5806" s="181"/>
    </row>
    <row r="5807">
      <c r="B5807" s="292"/>
      <c r="C5807" s="181"/>
      <c r="D5807" s="181"/>
      <c r="E5807" s="181"/>
      <c r="F5807" s="181"/>
      <c r="G5807" s="181"/>
      <c r="H5807" s="181"/>
      <c r="I5807" s="181"/>
      <c r="J5807" s="181"/>
      <c r="K5807" s="181"/>
      <c r="L5807" s="181"/>
      <c r="M5807" s="181"/>
      <c r="N5807" s="181"/>
      <c r="O5807" s="181"/>
      <c r="P5807" s="181"/>
    </row>
    <row r="5808">
      <c r="B5808" s="292"/>
      <c r="C5808" s="181"/>
      <c r="D5808" s="181"/>
      <c r="E5808" s="181"/>
      <c r="F5808" s="181"/>
      <c r="G5808" s="181"/>
      <c r="H5808" s="181"/>
      <c r="I5808" s="181"/>
      <c r="J5808" s="181"/>
      <c r="K5808" s="181"/>
      <c r="L5808" s="181"/>
      <c r="M5808" s="181"/>
      <c r="N5808" s="181"/>
      <c r="O5808" s="181"/>
      <c r="P5808" s="181"/>
    </row>
    <row r="5809">
      <c r="B5809" s="292"/>
      <c r="C5809" s="181"/>
      <c r="D5809" s="181"/>
      <c r="E5809" s="181"/>
      <c r="F5809" s="181"/>
      <c r="G5809" s="181"/>
      <c r="H5809" s="181"/>
      <c r="I5809" s="181"/>
      <c r="J5809" s="181"/>
      <c r="K5809" s="181"/>
      <c r="L5809" s="181"/>
      <c r="M5809" s="181"/>
      <c r="N5809" s="181"/>
      <c r="O5809" s="181"/>
      <c r="P5809" s="181"/>
    </row>
    <row r="5810">
      <c r="B5810" s="292"/>
      <c r="C5810" s="181"/>
      <c r="D5810" s="181"/>
      <c r="E5810" s="181"/>
      <c r="F5810" s="181"/>
      <c r="G5810" s="181"/>
      <c r="H5810" s="181"/>
      <c r="I5810" s="181"/>
      <c r="J5810" s="181"/>
      <c r="K5810" s="181"/>
      <c r="L5810" s="181"/>
      <c r="M5810" s="181"/>
      <c r="N5810" s="181"/>
      <c r="O5810" s="181"/>
      <c r="P5810" s="181"/>
    </row>
    <row r="5811">
      <c r="B5811" s="292"/>
      <c r="C5811" s="181"/>
      <c r="D5811" s="181"/>
      <c r="E5811" s="181"/>
      <c r="F5811" s="181"/>
      <c r="G5811" s="181"/>
      <c r="H5811" s="181"/>
      <c r="I5811" s="181"/>
      <c r="J5811" s="181"/>
      <c r="K5811" s="181"/>
      <c r="L5811" s="181"/>
      <c r="M5811" s="181"/>
      <c r="N5811" s="181"/>
      <c r="O5811" s="181"/>
      <c r="P5811" s="181"/>
    </row>
    <row r="5812">
      <c r="B5812" s="292"/>
      <c r="C5812" s="181"/>
      <c r="D5812" s="181"/>
      <c r="E5812" s="181"/>
      <c r="F5812" s="181"/>
      <c r="G5812" s="181"/>
      <c r="H5812" s="181"/>
      <c r="I5812" s="181"/>
      <c r="J5812" s="181"/>
      <c r="K5812" s="181"/>
      <c r="L5812" s="181"/>
      <c r="M5812" s="181"/>
      <c r="N5812" s="181"/>
      <c r="O5812" s="181"/>
      <c r="P5812" s="181"/>
    </row>
    <row r="5813">
      <c r="B5813" s="292"/>
      <c r="C5813" s="181"/>
      <c r="D5813" s="181"/>
      <c r="E5813" s="181"/>
      <c r="F5813" s="181"/>
      <c r="G5813" s="181"/>
      <c r="H5813" s="181"/>
      <c r="I5813" s="181"/>
      <c r="J5813" s="181"/>
      <c r="K5813" s="181"/>
      <c r="L5813" s="181"/>
      <c r="M5813" s="181"/>
      <c r="N5813" s="181"/>
      <c r="O5813" s="181"/>
      <c r="P5813" s="181"/>
    </row>
    <row r="5814">
      <c r="B5814" s="292"/>
      <c r="C5814" s="181"/>
      <c r="D5814" s="181"/>
      <c r="E5814" s="181"/>
      <c r="F5814" s="181"/>
      <c r="G5814" s="181"/>
      <c r="H5814" s="181"/>
      <c r="I5814" s="181"/>
      <c r="J5814" s="181"/>
      <c r="K5814" s="181"/>
      <c r="L5814" s="181"/>
      <c r="M5814" s="181"/>
      <c r="N5814" s="181"/>
      <c r="O5814" s="181"/>
      <c r="P5814" s="181"/>
    </row>
    <row r="5815">
      <c r="B5815" s="292"/>
      <c r="C5815" s="181"/>
      <c r="D5815" s="181"/>
      <c r="E5815" s="181"/>
      <c r="F5815" s="181"/>
      <c r="G5815" s="181"/>
      <c r="H5815" s="181"/>
      <c r="I5815" s="181"/>
      <c r="J5815" s="181"/>
      <c r="K5815" s="181"/>
      <c r="L5815" s="181"/>
      <c r="M5815" s="181"/>
      <c r="N5815" s="181"/>
      <c r="O5815" s="181"/>
      <c r="P5815" s="181"/>
    </row>
    <row r="5816">
      <c r="B5816" s="292"/>
      <c r="C5816" s="181"/>
      <c r="D5816" s="181"/>
      <c r="E5816" s="181"/>
      <c r="F5816" s="181"/>
      <c r="G5816" s="181"/>
      <c r="H5816" s="181"/>
      <c r="I5816" s="181"/>
      <c r="J5816" s="181"/>
      <c r="K5816" s="181"/>
      <c r="L5816" s="181"/>
      <c r="M5816" s="181"/>
      <c r="N5816" s="181"/>
      <c r="O5816" s="181"/>
      <c r="P5816" s="181"/>
    </row>
    <row r="5817">
      <c r="B5817" s="292"/>
      <c r="C5817" s="181"/>
      <c r="D5817" s="181"/>
      <c r="E5817" s="181"/>
      <c r="F5817" s="181"/>
      <c r="G5817" s="181"/>
      <c r="H5817" s="181"/>
      <c r="I5817" s="181"/>
      <c r="J5817" s="181"/>
      <c r="K5817" s="181"/>
      <c r="L5817" s="181"/>
      <c r="M5817" s="181"/>
      <c r="N5817" s="181"/>
      <c r="O5817" s="181"/>
      <c r="P5817" s="181"/>
    </row>
    <row r="5818">
      <c r="B5818" s="292"/>
      <c r="C5818" s="181"/>
      <c r="D5818" s="181"/>
      <c r="E5818" s="181"/>
      <c r="F5818" s="181"/>
      <c r="G5818" s="181"/>
      <c r="H5818" s="181"/>
      <c r="I5818" s="181"/>
      <c r="J5818" s="181"/>
      <c r="K5818" s="181"/>
      <c r="L5818" s="181"/>
      <c r="M5818" s="181"/>
      <c r="N5818" s="181"/>
      <c r="O5818" s="181"/>
      <c r="P5818" s="181"/>
    </row>
    <row r="5819">
      <c r="B5819" s="292"/>
      <c r="C5819" s="181"/>
      <c r="D5819" s="181"/>
      <c r="E5819" s="181"/>
      <c r="F5819" s="181"/>
      <c r="G5819" s="181"/>
      <c r="H5819" s="181"/>
      <c r="I5819" s="181"/>
      <c r="J5819" s="181"/>
      <c r="K5819" s="181"/>
      <c r="L5819" s="181"/>
      <c r="M5819" s="181"/>
      <c r="N5819" s="181"/>
      <c r="O5819" s="181"/>
      <c r="P5819" s="181"/>
    </row>
    <row r="5820">
      <c r="B5820" s="292"/>
      <c r="C5820" s="181"/>
      <c r="D5820" s="181"/>
      <c r="E5820" s="181"/>
      <c r="F5820" s="181"/>
      <c r="G5820" s="181"/>
      <c r="H5820" s="181"/>
      <c r="I5820" s="181"/>
      <c r="J5820" s="181"/>
      <c r="K5820" s="181"/>
      <c r="L5820" s="181"/>
      <c r="M5820" s="181"/>
      <c r="N5820" s="181"/>
      <c r="O5820" s="181"/>
      <c r="P5820" s="181"/>
    </row>
    <row r="5821">
      <c r="B5821" s="292"/>
      <c r="C5821" s="181"/>
      <c r="D5821" s="181"/>
      <c r="E5821" s="181"/>
      <c r="F5821" s="181"/>
      <c r="G5821" s="181"/>
      <c r="H5821" s="181"/>
      <c r="I5821" s="181"/>
      <c r="J5821" s="181"/>
      <c r="K5821" s="181"/>
      <c r="L5821" s="181"/>
      <c r="M5821" s="181"/>
      <c r="N5821" s="181"/>
      <c r="O5821" s="181"/>
      <c r="P5821" s="181"/>
    </row>
    <row r="5822">
      <c r="B5822" s="292"/>
      <c r="C5822" s="181"/>
      <c r="D5822" s="181"/>
      <c r="E5822" s="181"/>
      <c r="F5822" s="181"/>
      <c r="G5822" s="181"/>
      <c r="H5822" s="181"/>
      <c r="I5822" s="181"/>
      <c r="J5822" s="181"/>
      <c r="K5822" s="181"/>
      <c r="L5822" s="181"/>
      <c r="M5822" s="181"/>
      <c r="N5822" s="181"/>
      <c r="O5822" s="181"/>
      <c r="P5822" s="181"/>
    </row>
    <row r="5823">
      <c r="B5823" s="292"/>
      <c r="C5823" s="181"/>
      <c r="D5823" s="181"/>
      <c r="E5823" s="181"/>
      <c r="F5823" s="181"/>
      <c r="G5823" s="181"/>
      <c r="H5823" s="181"/>
      <c r="I5823" s="181"/>
      <c r="J5823" s="181"/>
      <c r="K5823" s="181"/>
      <c r="L5823" s="181"/>
      <c r="M5823" s="181"/>
      <c r="N5823" s="181"/>
      <c r="O5823" s="181"/>
      <c r="P5823" s="181"/>
    </row>
    <row r="5824">
      <c r="B5824" s="292"/>
      <c r="C5824" s="181"/>
      <c r="D5824" s="181"/>
      <c r="E5824" s="181"/>
      <c r="F5824" s="181"/>
      <c r="G5824" s="181"/>
      <c r="H5824" s="181"/>
      <c r="I5824" s="181"/>
      <c r="J5824" s="181"/>
      <c r="K5824" s="181"/>
      <c r="L5824" s="181"/>
      <c r="M5824" s="181"/>
      <c r="N5824" s="181"/>
      <c r="O5824" s="181"/>
      <c r="P5824" s="181"/>
    </row>
    <row r="5825">
      <c r="B5825" s="292"/>
      <c r="C5825" s="181"/>
      <c r="D5825" s="181"/>
      <c r="E5825" s="181"/>
      <c r="F5825" s="181"/>
      <c r="G5825" s="181"/>
      <c r="H5825" s="181"/>
      <c r="I5825" s="181"/>
      <c r="J5825" s="181"/>
      <c r="K5825" s="181"/>
      <c r="L5825" s="181"/>
      <c r="M5825" s="181"/>
      <c r="N5825" s="181"/>
      <c r="O5825" s="181"/>
      <c r="P5825" s="181"/>
    </row>
    <row r="5826">
      <c r="B5826" s="292"/>
      <c r="C5826" s="181"/>
      <c r="D5826" s="181"/>
      <c r="E5826" s="181"/>
      <c r="F5826" s="181"/>
      <c r="G5826" s="181"/>
      <c r="H5826" s="181"/>
      <c r="I5826" s="181"/>
      <c r="J5826" s="181"/>
      <c r="K5826" s="181"/>
      <c r="L5826" s="181"/>
      <c r="M5826" s="181"/>
      <c r="N5826" s="181"/>
      <c r="O5826" s="181"/>
      <c r="P5826" s="181"/>
    </row>
    <row r="5827">
      <c r="B5827" s="292"/>
      <c r="C5827" s="181"/>
      <c r="D5827" s="181"/>
      <c r="E5827" s="181"/>
      <c r="F5827" s="181"/>
      <c r="G5827" s="181"/>
      <c r="H5827" s="181"/>
      <c r="I5827" s="181"/>
      <c r="J5827" s="181"/>
      <c r="K5827" s="181"/>
      <c r="L5827" s="181"/>
      <c r="M5827" s="181"/>
      <c r="N5827" s="181"/>
      <c r="O5827" s="181"/>
      <c r="P5827" s="181"/>
    </row>
    <row r="5828">
      <c r="B5828" s="292"/>
      <c r="C5828" s="181"/>
      <c r="D5828" s="181"/>
      <c r="E5828" s="181"/>
      <c r="F5828" s="181"/>
      <c r="G5828" s="181"/>
      <c r="H5828" s="181"/>
      <c r="I5828" s="181"/>
      <c r="J5828" s="181"/>
      <c r="K5828" s="181"/>
      <c r="L5828" s="181"/>
      <c r="M5828" s="181"/>
      <c r="N5828" s="181"/>
      <c r="O5828" s="181"/>
      <c r="P5828" s="181"/>
    </row>
    <row r="5829">
      <c r="B5829" s="292"/>
      <c r="C5829" s="181"/>
      <c r="D5829" s="181"/>
      <c r="E5829" s="181"/>
      <c r="F5829" s="181"/>
      <c r="G5829" s="181"/>
      <c r="H5829" s="181"/>
      <c r="I5829" s="181"/>
      <c r="J5829" s="181"/>
      <c r="K5829" s="181"/>
      <c r="L5829" s="181"/>
      <c r="M5829" s="181"/>
      <c r="N5829" s="181"/>
      <c r="O5829" s="181"/>
      <c r="P5829" s="181"/>
    </row>
    <row r="5830">
      <c r="B5830" s="292"/>
      <c r="C5830" s="181"/>
      <c r="D5830" s="181"/>
      <c r="E5830" s="181"/>
      <c r="F5830" s="181"/>
      <c r="G5830" s="181"/>
      <c r="H5830" s="181"/>
      <c r="I5830" s="181"/>
      <c r="J5830" s="181"/>
      <c r="K5830" s="181"/>
      <c r="L5830" s="181"/>
      <c r="M5830" s="181"/>
      <c r="N5830" s="181"/>
      <c r="O5830" s="181"/>
      <c r="P5830" s="181"/>
    </row>
    <row r="5831">
      <c r="B5831" s="292"/>
      <c r="C5831" s="181"/>
      <c r="D5831" s="181"/>
      <c r="E5831" s="181"/>
      <c r="F5831" s="181"/>
      <c r="G5831" s="181"/>
      <c r="H5831" s="181"/>
      <c r="I5831" s="181"/>
      <c r="J5831" s="181"/>
      <c r="K5831" s="181"/>
      <c r="L5831" s="181"/>
      <c r="M5831" s="181"/>
      <c r="N5831" s="181"/>
      <c r="O5831" s="181"/>
      <c r="P5831" s="181"/>
    </row>
    <row r="5832">
      <c r="B5832" s="292"/>
      <c r="C5832" s="181"/>
      <c r="D5832" s="181"/>
      <c r="E5832" s="181"/>
      <c r="F5832" s="181"/>
      <c r="G5832" s="181"/>
      <c r="H5832" s="181"/>
      <c r="I5832" s="181"/>
      <c r="J5832" s="181"/>
      <c r="K5832" s="181"/>
      <c r="L5832" s="181"/>
      <c r="M5832" s="181"/>
      <c r="N5832" s="181"/>
      <c r="O5832" s="181"/>
      <c r="P5832" s="181"/>
    </row>
    <row r="5833">
      <c r="B5833" s="292"/>
      <c r="C5833" s="181"/>
      <c r="D5833" s="181"/>
      <c r="E5833" s="181"/>
      <c r="F5833" s="181"/>
      <c r="G5833" s="181"/>
      <c r="H5833" s="181"/>
      <c r="I5833" s="181"/>
      <c r="J5833" s="181"/>
      <c r="K5833" s="181"/>
      <c r="L5833" s="181"/>
      <c r="M5833" s="181"/>
      <c r="N5833" s="181"/>
      <c r="O5833" s="181"/>
      <c r="P5833" s="181"/>
    </row>
    <row r="5834">
      <c r="B5834" s="292"/>
      <c r="C5834" s="181"/>
      <c r="D5834" s="181"/>
      <c r="E5834" s="181"/>
      <c r="F5834" s="181"/>
      <c r="G5834" s="181"/>
      <c r="H5834" s="181"/>
      <c r="I5834" s="181"/>
      <c r="J5834" s="181"/>
      <c r="K5834" s="181"/>
      <c r="L5834" s="181"/>
      <c r="M5834" s="181"/>
      <c r="N5834" s="181"/>
      <c r="O5834" s="181"/>
      <c r="P5834" s="181"/>
    </row>
    <row r="5835">
      <c r="B5835" s="292"/>
      <c r="C5835" s="181"/>
      <c r="D5835" s="181"/>
      <c r="E5835" s="181"/>
      <c r="F5835" s="181"/>
      <c r="G5835" s="181"/>
      <c r="H5835" s="181"/>
      <c r="I5835" s="181"/>
      <c r="J5835" s="181"/>
      <c r="K5835" s="181"/>
      <c r="L5835" s="181"/>
      <c r="M5835" s="181"/>
      <c r="N5835" s="181"/>
      <c r="O5835" s="181"/>
      <c r="P5835" s="181"/>
    </row>
    <row r="5836">
      <c r="B5836" s="292"/>
      <c r="C5836" s="181"/>
      <c r="D5836" s="181"/>
      <c r="E5836" s="181"/>
      <c r="F5836" s="181"/>
      <c r="G5836" s="181"/>
      <c r="H5836" s="181"/>
      <c r="I5836" s="181"/>
      <c r="J5836" s="181"/>
      <c r="K5836" s="181"/>
      <c r="L5836" s="181"/>
      <c r="M5836" s="181"/>
      <c r="N5836" s="181"/>
      <c r="O5836" s="181"/>
      <c r="P5836" s="181"/>
    </row>
    <row r="5837">
      <c r="B5837" s="292"/>
      <c r="C5837" s="181"/>
      <c r="D5837" s="181"/>
      <c r="E5837" s="181"/>
      <c r="F5837" s="181"/>
      <c r="G5837" s="181"/>
      <c r="H5837" s="181"/>
      <c r="I5837" s="181"/>
      <c r="J5837" s="181"/>
      <c r="K5837" s="181"/>
      <c r="L5837" s="181"/>
      <c r="M5837" s="181"/>
      <c r="N5837" s="181"/>
      <c r="O5837" s="181"/>
      <c r="P5837" s="181"/>
    </row>
    <row r="5838">
      <c r="B5838" s="292"/>
      <c r="C5838" s="181"/>
      <c r="D5838" s="181"/>
      <c r="E5838" s="181"/>
      <c r="F5838" s="181"/>
      <c r="G5838" s="181"/>
      <c r="H5838" s="181"/>
      <c r="I5838" s="181"/>
      <c r="J5838" s="181"/>
      <c r="K5838" s="181"/>
      <c r="L5838" s="181"/>
      <c r="M5838" s="181"/>
      <c r="N5838" s="181"/>
      <c r="O5838" s="181"/>
      <c r="P5838" s="181"/>
    </row>
    <row r="5839">
      <c r="B5839" s="292"/>
      <c r="C5839" s="181"/>
      <c r="D5839" s="181"/>
      <c r="E5839" s="181"/>
      <c r="F5839" s="181"/>
      <c r="G5839" s="181"/>
      <c r="H5839" s="181"/>
      <c r="I5839" s="181"/>
      <c r="J5839" s="181"/>
      <c r="K5839" s="181"/>
      <c r="L5839" s="181"/>
      <c r="M5839" s="181"/>
      <c r="N5839" s="181"/>
      <c r="O5839" s="181"/>
      <c r="P5839" s="181"/>
    </row>
    <row r="5840">
      <c r="B5840" s="292"/>
      <c r="C5840" s="181"/>
      <c r="D5840" s="181"/>
      <c r="E5840" s="181"/>
      <c r="F5840" s="181"/>
      <c r="G5840" s="181"/>
      <c r="H5840" s="181"/>
      <c r="I5840" s="181"/>
      <c r="J5840" s="181"/>
      <c r="K5840" s="181"/>
      <c r="L5840" s="181"/>
      <c r="M5840" s="181"/>
      <c r="N5840" s="181"/>
      <c r="O5840" s="181"/>
      <c r="P5840" s="181"/>
    </row>
    <row r="5841">
      <c r="B5841" s="292"/>
      <c r="C5841" s="181"/>
      <c r="D5841" s="181"/>
      <c r="E5841" s="181"/>
      <c r="F5841" s="181"/>
      <c r="G5841" s="181"/>
      <c r="H5841" s="181"/>
      <c r="I5841" s="181"/>
      <c r="J5841" s="181"/>
      <c r="K5841" s="181"/>
      <c r="L5841" s="181"/>
      <c r="M5841" s="181"/>
      <c r="N5841" s="181"/>
      <c r="O5841" s="181"/>
      <c r="P5841" s="181"/>
    </row>
    <row r="5842">
      <c r="B5842" s="292"/>
      <c r="C5842" s="181"/>
      <c r="D5842" s="181"/>
      <c r="E5842" s="181"/>
      <c r="F5842" s="181"/>
      <c r="G5842" s="181"/>
      <c r="H5842" s="181"/>
      <c r="I5842" s="181"/>
      <c r="J5842" s="181"/>
      <c r="K5842" s="181"/>
      <c r="L5842" s="181"/>
      <c r="M5842" s="181"/>
      <c r="N5842" s="181"/>
      <c r="O5842" s="181"/>
      <c r="P5842" s="181"/>
    </row>
    <row r="5843">
      <c r="B5843" s="292"/>
      <c r="C5843" s="181"/>
      <c r="D5843" s="181"/>
      <c r="E5843" s="181"/>
      <c r="F5843" s="181"/>
      <c r="G5843" s="181"/>
      <c r="H5843" s="181"/>
      <c r="I5843" s="181"/>
      <c r="J5843" s="181"/>
      <c r="K5843" s="181"/>
      <c r="L5843" s="181"/>
      <c r="M5843" s="181"/>
      <c r="N5843" s="181"/>
      <c r="O5843" s="181"/>
      <c r="P5843" s="181"/>
    </row>
    <row r="5844">
      <c r="B5844" s="292"/>
      <c r="C5844" s="181"/>
      <c r="D5844" s="181"/>
      <c r="E5844" s="181"/>
      <c r="F5844" s="181"/>
      <c r="G5844" s="181"/>
      <c r="H5844" s="181"/>
      <c r="I5844" s="181"/>
      <c r="J5844" s="181"/>
      <c r="K5844" s="181"/>
      <c r="L5844" s="181"/>
      <c r="M5844" s="181"/>
      <c r="N5844" s="181"/>
      <c r="O5844" s="181"/>
      <c r="P5844" s="181"/>
    </row>
    <row r="5845">
      <c r="B5845" s="292"/>
      <c r="C5845" s="181"/>
      <c r="D5845" s="181"/>
      <c r="E5845" s="181"/>
      <c r="F5845" s="181"/>
      <c r="G5845" s="181"/>
      <c r="H5845" s="181"/>
      <c r="I5845" s="181"/>
      <c r="J5845" s="181"/>
      <c r="K5845" s="181"/>
      <c r="L5845" s="181"/>
      <c r="M5845" s="181"/>
      <c r="N5845" s="181"/>
      <c r="O5845" s="181"/>
      <c r="P5845" s="181"/>
    </row>
    <row r="5846">
      <c r="B5846" s="292"/>
      <c r="C5846" s="181"/>
      <c r="D5846" s="181"/>
      <c r="E5846" s="181"/>
      <c r="F5846" s="181"/>
      <c r="G5846" s="181"/>
      <c r="H5846" s="181"/>
      <c r="I5846" s="181"/>
      <c r="J5846" s="181"/>
      <c r="K5846" s="181"/>
      <c r="L5846" s="181"/>
      <c r="M5846" s="181"/>
      <c r="N5846" s="181"/>
      <c r="O5846" s="181"/>
      <c r="P5846" s="181"/>
    </row>
    <row r="5847">
      <c r="B5847" s="292"/>
      <c r="C5847" s="181"/>
      <c r="D5847" s="181"/>
      <c r="E5847" s="181"/>
      <c r="F5847" s="181"/>
      <c r="G5847" s="181"/>
      <c r="H5847" s="181"/>
      <c r="I5847" s="181"/>
      <c r="J5847" s="181"/>
      <c r="K5847" s="181"/>
      <c r="L5847" s="181"/>
      <c r="M5847" s="181"/>
      <c r="N5847" s="181"/>
      <c r="O5847" s="181"/>
      <c r="P5847" s="181"/>
    </row>
    <row r="5848">
      <c r="B5848" s="292"/>
      <c r="C5848" s="181"/>
      <c r="D5848" s="181"/>
      <c r="E5848" s="181"/>
      <c r="F5848" s="181"/>
      <c r="G5848" s="181"/>
      <c r="H5848" s="181"/>
      <c r="I5848" s="181"/>
      <c r="J5848" s="181"/>
      <c r="K5848" s="181"/>
      <c r="L5848" s="181"/>
      <c r="M5848" s="181"/>
      <c r="N5848" s="181"/>
      <c r="O5848" s="181"/>
      <c r="P5848" s="181"/>
    </row>
    <row r="5849">
      <c r="B5849" s="292"/>
      <c r="C5849" s="181"/>
      <c r="D5849" s="181"/>
      <c r="E5849" s="181"/>
      <c r="F5849" s="181"/>
      <c r="G5849" s="181"/>
      <c r="H5849" s="181"/>
      <c r="I5849" s="181"/>
      <c r="J5849" s="181"/>
      <c r="K5849" s="181"/>
      <c r="L5849" s="181"/>
      <c r="M5849" s="181"/>
      <c r="N5849" s="181"/>
      <c r="O5849" s="181"/>
      <c r="P5849" s="181"/>
    </row>
    <row r="5850">
      <c r="B5850" s="292"/>
      <c r="C5850" s="181"/>
      <c r="D5850" s="181"/>
      <c r="E5850" s="181"/>
      <c r="F5850" s="181"/>
      <c r="G5850" s="181"/>
      <c r="H5850" s="181"/>
      <c r="I5850" s="181"/>
      <c r="J5850" s="181"/>
      <c r="K5850" s="181"/>
      <c r="L5850" s="181"/>
      <c r="M5850" s="181"/>
      <c r="N5850" s="181"/>
      <c r="O5850" s="181"/>
      <c r="P5850" s="181"/>
    </row>
    <row r="5851">
      <c r="B5851" s="292"/>
      <c r="C5851" s="181"/>
      <c r="D5851" s="181"/>
      <c r="E5851" s="181"/>
      <c r="F5851" s="181"/>
      <c r="G5851" s="181"/>
      <c r="H5851" s="181"/>
      <c r="I5851" s="181"/>
      <c r="J5851" s="181"/>
      <c r="K5851" s="181"/>
      <c r="L5851" s="181"/>
      <c r="M5851" s="181"/>
      <c r="N5851" s="181"/>
      <c r="O5851" s="181"/>
      <c r="P5851" s="181"/>
    </row>
    <row r="5852">
      <c r="B5852" s="292"/>
      <c r="C5852" s="181"/>
      <c r="D5852" s="181"/>
      <c r="E5852" s="181"/>
      <c r="F5852" s="181"/>
      <c r="G5852" s="181"/>
      <c r="H5852" s="181"/>
      <c r="I5852" s="181"/>
      <c r="J5852" s="181"/>
      <c r="K5852" s="181"/>
      <c r="L5852" s="181"/>
      <c r="M5852" s="181"/>
      <c r="N5852" s="181"/>
      <c r="O5852" s="181"/>
      <c r="P5852" s="181"/>
    </row>
    <row r="5853">
      <c r="B5853" s="292"/>
      <c r="C5853" s="181"/>
      <c r="D5853" s="181"/>
      <c r="E5853" s="181"/>
      <c r="F5853" s="181"/>
      <c r="G5853" s="181"/>
      <c r="H5853" s="181"/>
      <c r="I5853" s="181"/>
      <c r="J5853" s="181"/>
      <c r="K5853" s="181"/>
      <c r="L5853" s="181"/>
      <c r="M5853" s="181"/>
      <c r="N5853" s="181"/>
      <c r="O5853" s="181"/>
      <c r="P5853" s="181"/>
    </row>
    <row r="5854">
      <c r="B5854" s="292"/>
      <c r="C5854" s="181"/>
      <c r="D5854" s="181"/>
      <c r="E5854" s="181"/>
      <c r="F5854" s="181"/>
      <c r="G5854" s="181"/>
      <c r="H5854" s="181"/>
      <c r="I5854" s="181"/>
      <c r="J5854" s="181"/>
      <c r="K5854" s="181"/>
      <c r="L5854" s="181"/>
      <c r="M5854" s="181"/>
      <c r="N5854" s="181"/>
      <c r="O5854" s="181"/>
      <c r="P5854" s="181"/>
    </row>
    <row r="5855">
      <c r="B5855" s="292"/>
      <c r="C5855" s="181"/>
      <c r="D5855" s="181"/>
      <c r="E5855" s="181"/>
      <c r="F5855" s="181"/>
      <c r="G5855" s="181"/>
      <c r="H5855" s="181"/>
      <c r="I5855" s="181"/>
      <c r="J5855" s="181"/>
      <c r="K5855" s="181"/>
      <c r="L5855" s="181"/>
      <c r="M5855" s="181"/>
      <c r="N5855" s="181"/>
      <c r="O5855" s="181"/>
      <c r="P5855" s="181"/>
    </row>
    <row r="5856">
      <c r="B5856" s="292"/>
      <c r="C5856" s="181"/>
      <c r="D5856" s="181"/>
      <c r="E5856" s="181"/>
      <c r="F5856" s="181"/>
      <c r="G5856" s="181"/>
      <c r="H5856" s="181"/>
      <c r="I5856" s="181"/>
      <c r="J5856" s="181"/>
      <c r="K5856" s="181"/>
      <c r="L5856" s="181"/>
      <c r="M5856" s="181"/>
      <c r="N5856" s="181"/>
      <c r="O5856" s="181"/>
      <c r="P5856" s="181"/>
    </row>
    <row r="5857">
      <c r="B5857" s="292"/>
      <c r="C5857" s="181"/>
      <c r="D5857" s="181"/>
      <c r="E5857" s="181"/>
      <c r="F5857" s="181"/>
      <c r="G5857" s="181"/>
      <c r="H5857" s="181"/>
      <c r="I5857" s="181"/>
      <c r="J5857" s="181"/>
      <c r="K5857" s="181"/>
      <c r="L5857" s="181"/>
      <c r="M5857" s="181"/>
      <c r="N5857" s="181"/>
      <c r="O5857" s="181"/>
      <c r="P5857" s="181"/>
    </row>
    <row r="5858">
      <c r="B5858" s="292"/>
      <c r="C5858" s="181"/>
      <c r="D5858" s="181"/>
      <c r="E5858" s="181"/>
      <c r="F5858" s="181"/>
      <c r="G5858" s="181"/>
      <c r="H5858" s="181"/>
      <c r="I5858" s="181"/>
      <c r="J5858" s="181"/>
      <c r="K5858" s="181"/>
      <c r="L5858" s="181"/>
      <c r="M5858" s="181"/>
      <c r="N5858" s="181"/>
      <c r="O5858" s="181"/>
      <c r="P5858" s="181"/>
    </row>
    <row r="5859">
      <c r="B5859" s="292"/>
      <c r="C5859" s="181"/>
      <c r="D5859" s="181"/>
      <c r="E5859" s="181"/>
      <c r="F5859" s="181"/>
      <c r="G5859" s="181"/>
      <c r="H5859" s="181"/>
      <c r="I5859" s="181"/>
      <c r="J5859" s="181"/>
      <c r="K5859" s="181"/>
      <c r="L5859" s="181"/>
      <c r="M5859" s="181"/>
      <c r="N5859" s="181"/>
      <c r="O5859" s="181"/>
      <c r="P5859" s="181"/>
    </row>
    <row r="5860">
      <c r="B5860" s="292"/>
      <c r="C5860" s="181"/>
      <c r="D5860" s="181"/>
      <c r="E5860" s="181"/>
      <c r="F5860" s="181"/>
      <c r="G5860" s="181"/>
      <c r="H5860" s="181"/>
      <c r="I5860" s="181"/>
      <c r="J5860" s="181"/>
      <c r="K5860" s="181"/>
      <c r="L5860" s="181"/>
      <c r="M5860" s="181"/>
      <c r="N5860" s="181"/>
      <c r="O5860" s="181"/>
      <c r="P5860" s="181"/>
    </row>
    <row r="5861">
      <c r="B5861" s="292"/>
      <c r="C5861" s="181"/>
      <c r="D5861" s="181"/>
      <c r="E5861" s="181"/>
      <c r="F5861" s="181"/>
      <c r="G5861" s="181"/>
      <c r="H5861" s="181"/>
      <c r="I5861" s="181"/>
      <c r="J5861" s="181"/>
      <c r="K5861" s="181"/>
      <c r="L5861" s="181"/>
      <c r="M5861" s="181"/>
      <c r="N5861" s="181"/>
      <c r="O5861" s="181"/>
      <c r="P5861" s="181"/>
    </row>
    <row r="5862">
      <c r="B5862" s="292"/>
      <c r="C5862" s="181"/>
      <c r="D5862" s="181"/>
      <c r="E5862" s="181"/>
      <c r="F5862" s="181"/>
      <c r="G5862" s="181"/>
      <c r="H5862" s="181"/>
      <c r="I5862" s="181"/>
      <c r="J5862" s="181"/>
      <c r="K5862" s="181"/>
      <c r="L5862" s="181"/>
      <c r="M5862" s="181"/>
      <c r="N5862" s="181"/>
      <c r="O5862" s="181"/>
      <c r="P5862" s="181"/>
    </row>
    <row r="5863">
      <c r="B5863" s="292"/>
      <c r="C5863" s="181"/>
      <c r="D5863" s="181"/>
      <c r="E5863" s="181"/>
      <c r="F5863" s="181"/>
      <c r="G5863" s="181"/>
      <c r="H5863" s="181"/>
      <c r="I5863" s="181"/>
      <c r="J5863" s="181"/>
      <c r="K5863" s="181"/>
      <c r="L5863" s="181"/>
      <c r="M5863" s="181"/>
      <c r="N5863" s="181"/>
      <c r="O5863" s="181"/>
      <c r="P5863" s="181"/>
    </row>
    <row r="5864">
      <c r="B5864" s="292"/>
      <c r="C5864" s="181"/>
      <c r="D5864" s="181"/>
      <c r="E5864" s="181"/>
      <c r="F5864" s="181"/>
      <c r="G5864" s="181"/>
      <c r="H5864" s="181"/>
      <c r="I5864" s="181"/>
      <c r="J5864" s="181"/>
      <c r="K5864" s="181"/>
      <c r="L5864" s="181"/>
      <c r="M5864" s="181"/>
      <c r="N5864" s="181"/>
      <c r="O5864" s="181"/>
      <c r="P5864" s="181"/>
    </row>
    <row r="5865">
      <c r="B5865" s="292"/>
      <c r="C5865" s="181"/>
      <c r="D5865" s="181"/>
      <c r="E5865" s="181"/>
      <c r="F5865" s="181"/>
      <c r="G5865" s="181"/>
      <c r="H5865" s="181"/>
      <c r="I5865" s="181"/>
      <c r="J5865" s="181"/>
      <c r="K5865" s="181"/>
      <c r="L5865" s="181"/>
      <c r="M5865" s="181"/>
      <c r="N5865" s="181"/>
      <c r="O5865" s="181"/>
      <c r="P5865" s="181"/>
    </row>
    <row r="5866">
      <c r="B5866" s="292"/>
      <c r="C5866" s="181"/>
      <c r="D5866" s="181"/>
      <c r="E5866" s="181"/>
      <c r="F5866" s="181"/>
      <c r="G5866" s="181"/>
      <c r="H5866" s="181"/>
      <c r="I5866" s="181"/>
      <c r="J5866" s="181"/>
      <c r="K5866" s="181"/>
      <c r="L5866" s="181"/>
      <c r="M5866" s="181"/>
      <c r="N5866" s="181"/>
      <c r="O5866" s="181"/>
      <c r="P5866" s="181"/>
    </row>
    <row r="5867">
      <c r="B5867" s="292"/>
      <c r="C5867" s="181"/>
      <c r="D5867" s="181"/>
      <c r="E5867" s="181"/>
      <c r="F5867" s="181"/>
      <c r="G5867" s="181"/>
      <c r="H5867" s="181"/>
      <c r="I5867" s="181"/>
      <c r="J5867" s="181"/>
      <c r="K5867" s="181"/>
      <c r="L5867" s="181"/>
      <c r="M5867" s="181"/>
      <c r="N5867" s="181"/>
      <c r="O5867" s="181"/>
      <c r="P5867" s="181"/>
    </row>
    <row r="5868">
      <c r="B5868" s="292"/>
      <c r="C5868" s="181"/>
      <c r="D5868" s="181"/>
      <c r="E5868" s="181"/>
      <c r="F5868" s="181"/>
      <c r="G5868" s="181"/>
      <c r="H5868" s="181"/>
      <c r="I5868" s="181"/>
      <c r="J5868" s="181"/>
      <c r="K5868" s="181"/>
      <c r="L5868" s="181"/>
      <c r="M5868" s="181"/>
      <c r="N5868" s="181"/>
      <c r="O5868" s="181"/>
      <c r="P5868" s="181"/>
    </row>
    <row r="5869">
      <c r="B5869" s="292"/>
      <c r="C5869" s="181"/>
      <c r="D5869" s="181"/>
      <c r="E5869" s="181"/>
      <c r="F5869" s="181"/>
      <c r="G5869" s="181"/>
      <c r="H5869" s="181"/>
      <c r="I5869" s="181"/>
      <c r="J5869" s="181"/>
      <c r="K5869" s="181"/>
      <c r="L5869" s="181"/>
      <c r="M5869" s="181"/>
      <c r="N5869" s="181"/>
      <c r="O5869" s="181"/>
      <c r="P5869" s="181"/>
    </row>
    <row r="5870">
      <c r="B5870" s="292"/>
      <c r="C5870" s="181"/>
      <c r="D5870" s="181"/>
      <c r="E5870" s="181"/>
      <c r="F5870" s="181"/>
      <c r="G5870" s="181"/>
      <c r="H5870" s="181"/>
      <c r="I5870" s="181"/>
      <c r="J5870" s="181"/>
      <c r="K5870" s="181"/>
      <c r="L5870" s="181"/>
      <c r="M5870" s="181"/>
      <c r="N5870" s="181"/>
      <c r="O5870" s="181"/>
      <c r="P5870" s="181"/>
    </row>
    <row r="5871">
      <c r="B5871" s="292"/>
      <c r="C5871" s="181"/>
      <c r="D5871" s="181"/>
      <c r="E5871" s="181"/>
      <c r="F5871" s="181"/>
      <c r="G5871" s="181"/>
      <c r="H5871" s="181"/>
      <c r="I5871" s="181"/>
      <c r="J5871" s="181"/>
      <c r="K5871" s="181"/>
      <c r="L5871" s="181"/>
      <c r="M5871" s="181"/>
      <c r="N5871" s="181"/>
      <c r="O5871" s="181"/>
      <c r="P5871" s="181"/>
    </row>
    <row r="5872">
      <c r="B5872" s="292"/>
      <c r="C5872" s="181"/>
      <c r="D5872" s="181"/>
      <c r="E5872" s="181"/>
      <c r="F5872" s="181"/>
      <c r="G5872" s="181"/>
      <c r="H5872" s="181"/>
      <c r="I5872" s="181"/>
      <c r="J5872" s="181"/>
      <c r="K5872" s="181"/>
      <c r="L5872" s="181"/>
      <c r="M5872" s="181"/>
      <c r="N5872" s="181"/>
      <c r="O5872" s="181"/>
      <c r="P5872" s="181"/>
    </row>
    <row r="5873">
      <c r="B5873" s="292"/>
      <c r="C5873" s="181"/>
      <c r="D5873" s="181"/>
      <c r="E5873" s="181"/>
      <c r="F5873" s="181"/>
      <c r="G5873" s="181"/>
      <c r="H5873" s="181"/>
      <c r="I5873" s="181"/>
      <c r="J5873" s="181"/>
      <c r="K5873" s="181"/>
      <c r="L5873" s="181"/>
      <c r="M5873" s="181"/>
      <c r="N5873" s="181"/>
      <c r="O5873" s="181"/>
      <c r="P5873" s="181"/>
    </row>
    <row r="5874">
      <c r="B5874" s="292"/>
      <c r="C5874" s="181"/>
      <c r="D5874" s="181"/>
      <c r="E5874" s="181"/>
      <c r="F5874" s="181"/>
      <c r="G5874" s="181"/>
      <c r="H5874" s="181"/>
      <c r="I5874" s="181"/>
      <c r="J5874" s="181"/>
      <c r="K5874" s="181"/>
      <c r="L5874" s="181"/>
      <c r="M5874" s="181"/>
      <c r="N5874" s="181"/>
      <c r="O5874" s="181"/>
      <c r="P5874" s="181"/>
    </row>
    <row r="5875">
      <c r="B5875" s="292"/>
      <c r="C5875" s="181"/>
      <c r="D5875" s="181"/>
      <c r="E5875" s="181"/>
      <c r="F5875" s="181"/>
      <c r="G5875" s="181"/>
      <c r="H5875" s="181"/>
      <c r="I5875" s="181"/>
      <c r="J5875" s="181"/>
      <c r="K5875" s="181"/>
      <c r="L5875" s="181"/>
      <c r="M5875" s="181"/>
      <c r="N5875" s="181"/>
      <c r="O5875" s="181"/>
      <c r="P5875" s="181"/>
    </row>
    <row r="5876">
      <c r="B5876" s="292"/>
      <c r="C5876" s="181"/>
      <c r="D5876" s="181"/>
      <c r="E5876" s="181"/>
      <c r="F5876" s="181"/>
      <c r="G5876" s="181"/>
      <c r="H5876" s="181"/>
      <c r="I5876" s="181"/>
      <c r="J5876" s="181"/>
      <c r="K5876" s="181"/>
      <c r="L5876" s="181"/>
      <c r="M5876" s="181"/>
      <c r="N5876" s="181"/>
      <c r="O5876" s="181"/>
      <c r="P5876" s="181"/>
    </row>
    <row r="5877">
      <c r="B5877" s="292"/>
      <c r="C5877" s="181"/>
      <c r="D5877" s="181"/>
      <c r="E5877" s="181"/>
      <c r="F5877" s="181"/>
      <c r="G5877" s="181"/>
      <c r="H5877" s="181"/>
      <c r="I5877" s="181"/>
      <c r="J5877" s="181"/>
      <c r="K5877" s="181"/>
      <c r="L5877" s="181"/>
      <c r="M5877" s="181"/>
      <c r="N5877" s="181"/>
      <c r="O5877" s="181"/>
      <c r="P5877" s="181"/>
    </row>
    <row r="5878">
      <c r="B5878" s="292"/>
      <c r="C5878" s="181"/>
      <c r="D5878" s="181"/>
      <c r="E5878" s="181"/>
      <c r="F5878" s="181"/>
      <c r="G5878" s="181"/>
      <c r="H5878" s="181"/>
      <c r="I5878" s="181"/>
      <c r="J5878" s="181"/>
      <c r="K5878" s="181"/>
      <c r="L5878" s="181"/>
      <c r="M5878" s="181"/>
      <c r="N5878" s="181"/>
      <c r="O5878" s="181"/>
      <c r="P5878" s="181"/>
    </row>
    <row r="5879">
      <c r="B5879" s="292"/>
      <c r="C5879" s="181"/>
      <c r="D5879" s="181"/>
      <c r="E5879" s="181"/>
      <c r="F5879" s="181"/>
      <c r="G5879" s="181"/>
      <c r="H5879" s="181"/>
      <c r="I5879" s="181"/>
      <c r="J5879" s="181"/>
      <c r="K5879" s="181"/>
      <c r="L5879" s="181"/>
      <c r="M5879" s="181"/>
      <c r="N5879" s="181"/>
      <c r="O5879" s="181"/>
      <c r="P5879" s="181"/>
    </row>
    <row r="5880">
      <c r="B5880" s="292"/>
      <c r="C5880" s="181"/>
      <c r="D5880" s="181"/>
      <c r="E5880" s="181"/>
      <c r="F5880" s="181"/>
      <c r="G5880" s="181"/>
      <c r="H5880" s="181"/>
      <c r="I5880" s="181"/>
      <c r="J5880" s="181"/>
      <c r="K5880" s="181"/>
      <c r="L5880" s="181"/>
      <c r="M5880" s="181"/>
      <c r="N5880" s="181"/>
      <c r="O5880" s="181"/>
      <c r="P5880" s="181"/>
    </row>
    <row r="5881">
      <c r="B5881" s="292"/>
      <c r="C5881" s="181"/>
      <c r="D5881" s="181"/>
      <c r="E5881" s="181"/>
      <c r="F5881" s="181"/>
      <c r="G5881" s="181"/>
      <c r="H5881" s="181"/>
      <c r="I5881" s="181"/>
      <c r="J5881" s="181"/>
      <c r="K5881" s="181"/>
      <c r="L5881" s="181"/>
      <c r="M5881" s="181"/>
      <c r="N5881" s="181"/>
      <c r="O5881" s="181"/>
      <c r="P5881" s="181"/>
    </row>
    <row r="5882">
      <c r="B5882" s="292"/>
      <c r="C5882" s="181"/>
      <c r="D5882" s="181"/>
      <c r="E5882" s="181"/>
      <c r="F5882" s="181"/>
      <c r="G5882" s="181"/>
      <c r="H5882" s="181"/>
      <c r="I5882" s="181"/>
      <c r="J5882" s="181"/>
      <c r="K5882" s="181"/>
      <c r="L5882" s="181"/>
      <c r="M5882" s="181"/>
      <c r="N5882" s="181"/>
      <c r="O5882" s="181"/>
      <c r="P5882" s="181"/>
    </row>
    <row r="5883">
      <c r="B5883" s="292"/>
      <c r="C5883" s="181"/>
      <c r="D5883" s="181"/>
      <c r="E5883" s="181"/>
      <c r="F5883" s="181"/>
      <c r="G5883" s="181"/>
      <c r="H5883" s="181"/>
      <c r="I5883" s="181"/>
      <c r="J5883" s="181"/>
      <c r="K5883" s="181"/>
      <c r="L5883" s="181"/>
      <c r="M5883" s="181"/>
      <c r="N5883" s="181"/>
      <c r="O5883" s="181"/>
      <c r="P5883" s="181"/>
    </row>
    <row r="5884">
      <c r="B5884" s="292"/>
      <c r="C5884" s="181"/>
      <c r="D5884" s="181"/>
      <c r="E5884" s="181"/>
      <c r="F5884" s="181"/>
      <c r="G5884" s="181"/>
      <c r="H5884" s="181"/>
      <c r="I5884" s="181"/>
      <c r="J5884" s="181"/>
      <c r="K5884" s="181"/>
      <c r="L5884" s="181"/>
      <c r="M5884" s="181"/>
      <c r="N5884" s="181"/>
      <c r="O5884" s="181"/>
      <c r="P5884" s="181"/>
    </row>
    <row r="5885">
      <c r="B5885" s="292"/>
      <c r="C5885" s="181"/>
      <c r="D5885" s="181"/>
      <c r="E5885" s="181"/>
      <c r="F5885" s="181"/>
      <c r="G5885" s="181"/>
      <c r="H5885" s="181"/>
      <c r="I5885" s="181"/>
      <c r="J5885" s="181"/>
      <c r="K5885" s="181"/>
      <c r="L5885" s="181"/>
      <c r="M5885" s="181"/>
      <c r="N5885" s="181"/>
      <c r="O5885" s="181"/>
      <c r="P5885" s="181"/>
    </row>
    <row r="5886">
      <c r="B5886" s="292"/>
      <c r="C5886" s="181"/>
      <c r="D5886" s="181"/>
      <c r="E5886" s="181"/>
      <c r="F5886" s="181"/>
      <c r="G5886" s="181"/>
      <c r="H5886" s="181"/>
      <c r="I5886" s="181"/>
      <c r="J5886" s="181"/>
      <c r="K5886" s="181"/>
      <c r="L5886" s="181"/>
      <c r="M5886" s="181"/>
      <c r="N5886" s="181"/>
      <c r="O5886" s="181"/>
      <c r="P5886" s="181"/>
    </row>
    <row r="5887">
      <c r="B5887" s="292"/>
      <c r="C5887" s="181"/>
      <c r="D5887" s="181"/>
      <c r="E5887" s="181"/>
      <c r="F5887" s="181"/>
      <c r="G5887" s="181"/>
      <c r="H5887" s="181"/>
      <c r="I5887" s="181"/>
      <c r="J5887" s="181"/>
      <c r="K5887" s="181"/>
      <c r="L5887" s="181"/>
      <c r="M5887" s="181"/>
      <c r="N5887" s="181"/>
      <c r="O5887" s="181"/>
      <c r="P5887" s="181"/>
    </row>
    <row r="5888">
      <c r="B5888" s="292"/>
      <c r="C5888" s="181"/>
      <c r="D5888" s="181"/>
      <c r="E5888" s="181"/>
      <c r="F5888" s="181"/>
      <c r="G5888" s="181"/>
      <c r="H5888" s="181"/>
      <c r="I5888" s="181"/>
      <c r="J5888" s="181"/>
      <c r="K5888" s="181"/>
      <c r="L5888" s="181"/>
      <c r="M5888" s="181"/>
      <c r="N5888" s="181"/>
      <c r="O5888" s="181"/>
      <c r="P5888" s="181"/>
    </row>
    <row r="5889">
      <c r="B5889" s="292"/>
      <c r="C5889" s="181"/>
      <c r="D5889" s="181"/>
      <c r="E5889" s="181"/>
      <c r="F5889" s="181"/>
      <c r="G5889" s="181"/>
      <c r="H5889" s="181"/>
      <c r="I5889" s="181"/>
      <c r="J5889" s="181"/>
      <c r="K5889" s="181"/>
      <c r="L5889" s="181"/>
      <c r="M5889" s="181"/>
      <c r="N5889" s="181"/>
      <c r="O5889" s="181"/>
      <c r="P5889" s="181"/>
    </row>
    <row r="5890">
      <c r="B5890" s="292"/>
      <c r="C5890" s="181"/>
      <c r="D5890" s="181"/>
      <c r="E5890" s="181"/>
      <c r="F5890" s="181"/>
      <c r="G5890" s="181"/>
      <c r="H5890" s="181"/>
      <c r="I5890" s="181"/>
      <c r="J5890" s="181"/>
      <c r="K5890" s="181"/>
      <c r="L5890" s="181"/>
      <c r="M5890" s="181"/>
      <c r="N5890" s="181"/>
      <c r="O5890" s="181"/>
      <c r="P5890" s="181"/>
    </row>
    <row r="5891">
      <c r="B5891" s="292"/>
      <c r="C5891" s="181"/>
      <c r="D5891" s="181"/>
      <c r="E5891" s="181"/>
      <c r="F5891" s="181"/>
      <c r="G5891" s="181"/>
      <c r="H5891" s="181"/>
      <c r="I5891" s="181"/>
      <c r="J5891" s="181"/>
      <c r="K5891" s="181"/>
      <c r="L5891" s="181"/>
      <c r="M5891" s="181"/>
      <c r="N5891" s="181"/>
      <c r="O5891" s="181"/>
      <c r="P5891" s="181"/>
    </row>
    <row r="5892">
      <c r="B5892" s="292"/>
      <c r="C5892" s="181"/>
      <c r="D5892" s="181"/>
      <c r="E5892" s="181"/>
      <c r="F5892" s="181"/>
      <c r="G5892" s="181"/>
      <c r="H5892" s="181"/>
      <c r="I5892" s="181"/>
      <c r="J5892" s="181"/>
      <c r="K5892" s="181"/>
      <c r="L5892" s="181"/>
      <c r="M5892" s="181"/>
      <c r="N5892" s="181"/>
      <c r="O5892" s="181"/>
      <c r="P5892" s="181"/>
    </row>
    <row r="5893">
      <c r="B5893" s="292"/>
      <c r="C5893" s="181"/>
      <c r="D5893" s="181"/>
      <c r="E5893" s="181"/>
      <c r="F5893" s="181"/>
      <c r="G5893" s="181"/>
      <c r="H5893" s="181"/>
      <c r="I5893" s="181"/>
      <c r="J5893" s="181"/>
      <c r="K5893" s="181"/>
      <c r="L5893" s="181"/>
      <c r="M5893" s="181"/>
      <c r="N5893" s="181"/>
      <c r="O5893" s="181"/>
      <c r="P5893" s="181"/>
    </row>
    <row r="5894">
      <c r="B5894" s="292"/>
      <c r="C5894" s="181"/>
      <c r="D5894" s="181"/>
      <c r="E5894" s="181"/>
      <c r="F5894" s="181"/>
      <c r="G5894" s="181"/>
      <c r="H5894" s="181"/>
      <c r="I5894" s="181"/>
      <c r="J5894" s="181"/>
      <c r="K5894" s="181"/>
      <c r="L5894" s="181"/>
      <c r="M5894" s="181"/>
      <c r="N5894" s="181"/>
      <c r="O5894" s="181"/>
      <c r="P5894" s="181"/>
    </row>
    <row r="5895">
      <c r="B5895" s="292"/>
      <c r="C5895" s="181"/>
      <c r="D5895" s="181"/>
      <c r="E5895" s="181"/>
      <c r="F5895" s="181"/>
      <c r="G5895" s="181"/>
      <c r="H5895" s="181"/>
      <c r="I5895" s="181"/>
      <c r="J5895" s="181"/>
      <c r="K5895" s="181"/>
      <c r="L5895" s="181"/>
      <c r="M5895" s="181"/>
      <c r="N5895" s="181"/>
      <c r="O5895" s="181"/>
      <c r="P5895" s="181"/>
    </row>
    <row r="5896">
      <c r="B5896" s="292"/>
      <c r="C5896" s="181"/>
      <c r="D5896" s="181"/>
      <c r="E5896" s="181"/>
      <c r="F5896" s="181"/>
      <c r="G5896" s="181"/>
      <c r="H5896" s="181"/>
      <c r="I5896" s="181"/>
      <c r="J5896" s="181"/>
      <c r="K5896" s="181"/>
      <c r="L5896" s="181"/>
      <c r="M5896" s="181"/>
      <c r="N5896" s="181"/>
      <c r="O5896" s="181"/>
      <c r="P5896" s="181"/>
    </row>
    <row r="5897">
      <c r="B5897" s="292"/>
      <c r="C5897" s="181"/>
      <c r="D5897" s="181"/>
      <c r="E5897" s="181"/>
      <c r="F5897" s="181"/>
      <c r="G5897" s="181"/>
      <c r="H5897" s="181"/>
      <c r="I5897" s="181"/>
      <c r="J5897" s="181"/>
      <c r="K5897" s="181"/>
      <c r="L5897" s="181"/>
      <c r="M5897" s="181"/>
      <c r="N5897" s="181"/>
      <c r="O5897" s="181"/>
      <c r="P5897" s="181"/>
    </row>
    <row r="5898">
      <c r="B5898" s="292"/>
      <c r="C5898" s="181"/>
      <c r="D5898" s="181"/>
      <c r="E5898" s="181"/>
      <c r="F5898" s="181"/>
      <c r="G5898" s="181"/>
      <c r="H5898" s="181"/>
      <c r="I5898" s="181"/>
      <c r="J5898" s="181"/>
      <c r="K5898" s="181"/>
      <c r="L5898" s="181"/>
      <c r="M5898" s="181"/>
      <c r="N5898" s="181"/>
      <c r="O5898" s="181"/>
      <c r="P5898" s="181"/>
    </row>
    <row r="5899">
      <c r="B5899" s="292"/>
      <c r="C5899" s="181"/>
      <c r="D5899" s="181"/>
      <c r="E5899" s="181"/>
      <c r="F5899" s="181"/>
      <c r="G5899" s="181"/>
      <c r="H5899" s="181"/>
      <c r="I5899" s="181"/>
      <c r="J5899" s="181"/>
      <c r="K5899" s="181"/>
      <c r="L5899" s="181"/>
      <c r="M5899" s="181"/>
      <c r="N5899" s="181"/>
      <c r="O5899" s="181"/>
      <c r="P5899" s="181"/>
    </row>
    <row r="5900">
      <c r="B5900" s="292"/>
      <c r="C5900" s="181"/>
      <c r="D5900" s="181"/>
      <c r="E5900" s="181"/>
      <c r="F5900" s="181"/>
      <c r="G5900" s="181"/>
      <c r="H5900" s="181"/>
      <c r="I5900" s="181"/>
      <c r="J5900" s="181"/>
      <c r="K5900" s="181"/>
      <c r="L5900" s="181"/>
      <c r="M5900" s="181"/>
      <c r="N5900" s="181"/>
      <c r="O5900" s="181"/>
      <c r="P5900" s="181"/>
    </row>
    <row r="5901">
      <c r="B5901" s="292"/>
      <c r="C5901" s="181"/>
      <c r="D5901" s="181"/>
      <c r="E5901" s="181"/>
      <c r="F5901" s="181"/>
      <c r="G5901" s="181"/>
      <c r="H5901" s="181"/>
      <c r="I5901" s="181"/>
      <c r="J5901" s="181"/>
      <c r="K5901" s="181"/>
      <c r="L5901" s="181"/>
      <c r="M5901" s="181"/>
      <c r="N5901" s="181"/>
      <c r="O5901" s="181"/>
      <c r="P5901" s="181"/>
    </row>
    <row r="5902">
      <c r="B5902" s="292"/>
      <c r="C5902" s="181"/>
      <c r="D5902" s="181"/>
      <c r="E5902" s="181"/>
      <c r="F5902" s="181"/>
      <c r="G5902" s="181"/>
      <c r="H5902" s="181"/>
      <c r="I5902" s="181"/>
      <c r="J5902" s="181"/>
      <c r="K5902" s="181"/>
      <c r="L5902" s="181"/>
      <c r="M5902" s="181"/>
      <c r="N5902" s="181"/>
      <c r="O5902" s="181"/>
      <c r="P5902" s="181"/>
    </row>
    <row r="5903">
      <c r="B5903" s="292"/>
      <c r="C5903" s="181"/>
      <c r="D5903" s="181"/>
      <c r="E5903" s="181"/>
      <c r="F5903" s="181"/>
      <c r="G5903" s="181"/>
      <c r="H5903" s="181"/>
      <c r="I5903" s="181"/>
      <c r="J5903" s="181"/>
      <c r="K5903" s="181"/>
      <c r="L5903" s="181"/>
      <c r="M5903" s="181"/>
      <c r="N5903" s="181"/>
      <c r="O5903" s="181"/>
      <c r="P5903" s="181"/>
    </row>
    <row r="5904">
      <c r="B5904" s="292"/>
      <c r="C5904" s="181"/>
      <c r="D5904" s="181"/>
      <c r="E5904" s="181"/>
      <c r="F5904" s="181"/>
      <c r="G5904" s="181"/>
      <c r="H5904" s="181"/>
      <c r="I5904" s="181"/>
      <c r="J5904" s="181"/>
      <c r="K5904" s="181"/>
      <c r="L5904" s="181"/>
      <c r="M5904" s="181"/>
      <c r="N5904" s="181"/>
      <c r="O5904" s="181"/>
      <c r="P5904" s="181"/>
    </row>
    <row r="5905">
      <c r="B5905" s="292"/>
      <c r="C5905" s="181"/>
      <c r="D5905" s="181"/>
      <c r="E5905" s="181"/>
      <c r="F5905" s="181"/>
      <c r="G5905" s="181"/>
      <c r="H5905" s="181"/>
      <c r="I5905" s="181"/>
      <c r="J5905" s="181"/>
      <c r="K5905" s="181"/>
      <c r="L5905" s="181"/>
      <c r="M5905" s="181"/>
      <c r="N5905" s="181"/>
      <c r="O5905" s="181"/>
      <c r="P5905" s="181"/>
    </row>
    <row r="5906">
      <c r="B5906" s="292"/>
      <c r="C5906" s="181"/>
      <c r="D5906" s="181"/>
      <c r="E5906" s="181"/>
      <c r="F5906" s="181"/>
      <c r="G5906" s="181"/>
      <c r="H5906" s="181"/>
      <c r="I5906" s="181"/>
      <c r="J5906" s="181"/>
      <c r="K5906" s="181"/>
      <c r="L5906" s="181"/>
      <c r="M5906" s="181"/>
      <c r="N5906" s="181"/>
      <c r="O5906" s="181"/>
      <c r="P5906" s="181"/>
    </row>
    <row r="5907">
      <c r="B5907" s="292"/>
      <c r="C5907" s="181"/>
      <c r="D5907" s="181"/>
      <c r="E5907" s="181"/>
      <c r="F5907" s="181"/>
      <c r="G5907" s="181"/>
      <c r="H5907" s="181"/>
      <c r="I5907" s="181"/>
      <c r="J5907" s="181"/>
      <c r="K5907" s="181"/>
      <c r="L5907" s="181"/>
      <c r="M5907" s="181"/>
      <c r="N5907" s="181"/>
      <c r="O5907" s="181"/>
      <c r="P5907" s="181"/>
    </row>
    <row r="5908">
      <c r="B5908" s="292"/>
      <c r="C5908" s="181"/>
      <c r="D5908" s="181"/>
      <c r="E5908" s="181"/>
      <c r="F5908" s="181"/>
      <c r="G5908" s="181"/>
      <c r="H5908" s="181"/>
      <c r="I5908" s="181"/>
      <c r="J5908" s="181"/>
      <c r="K5908" s="181"/>
      <c r="L5908" s="181"/>
      <c r="M5908" s="181"/>
      <c r="N5908" s="181"/>
      <c r="O5908" s="181"/>
      <c r="P5908" s="181"/>
    </row>
    <row r="5909">
      <c r="B5909" s="292"/>
      <c r="C5909" s="181"/>
      <c r="D5909" s="181"/>
      <c r="E5909" s="181"/>
      <c r="F5909" s="181"/>
      <c r="G5909" s="181"/>
      <c r="H5909" s="181"/>
      <c r="I5909" s="181"/>
      <c r="J5909" s="181"/>
      <c r="K5909" s="181"/>
      <c r="L5909" s="181"/>
      <c r="M5909" s="181"/>
      <c r="N5909" s="181"/>
      <c r="O5909" s="181"/>
      <c r="P5909" s="181"/>
    </row>
    <row r="5910">
      <c r="B5910" s="292"/>
      <c r="C5910" s="181"/>
      <c r="D5910" s="181"/>
      <c r="E5910" s="181"/>
      <c r="F5910" s="181"/>
      <c r="G5910" s="181"/>
      <c r="H5910" s="181"/>
      <c r="I5910" s="181"/>
      <c r="J5910" s="181"/>
      <c r="K5910" s="181"/>
      <c r="L5910" s="181"/>
      <c r="M5910" s="181"/>
      <c r="N5910" s="181"/>
      <c r="O5910" s="181"/>
      <c r="P5910" s="181"/>
    </row>
    <row r="5911">
      <c r="B5911" s="292"/>
      <c r="C5911" s="181"/>
      <c r="D5911" s="181"/>
      <c r="E5911" s="181"/>
      <c r="F5911" s="181"/>
      <c r="G5911" s="181"/>
      <c r="H5911" s="181"/>
      <c r="I5911" s="181"/>
      <c r="J5911" s="181"/>
      <c r="K5911" s="181"/>
      <c r="L5911" s="181"/>
      <c r="M5911" s="181"/>
      <c r="N5911" s="181"/>
      <c r="O5911" s="181"/>
      <c r="P5911" s="181"/>
    </row>
    <row r="5912">
      <c r="B5912" s="292"/>
      <c r="C5912" s="181"/>
      <c r="D5912" s="181"/>
      <c r="E5912" s="181"/>
      <c r="F5912" s="181"/>
      <c r="G5912" s="181"/>
      <c r="H5912" s="181"/>
      <c r="I5912" s="181"/>
      <c r="J5912" s="181"/>
      <c r="K5912" s="181"/>
      <c r="L5912" s="181"/>
      <c r="M5912" s="181"/>
      <c r="N5912" s="181"/>
      <c r="O5912" s="181"/>
      <c r="P5912" s="181"/>
    </row>
    <row r="5913">
      <c r="B5913" s="292"/>
      <c r="C5913" s="181"/>
      <c r="D5913" s="181"/>
      <c r="E5913" s="181"/>
      <c r="F5913" s="181"/>
      <c r="G5913" s="181"/>
      <c r="H5913" s="181"/>
      <c r="I5913" s="181"/>
      <c r="J5913" s="181"/>
      <c r="K5913" s="181"/>
      <c r="L5913" s="181"/>
      <c r="M5913" s="181"/>
      <c r="N5913" s="181"/>
      <c r="O5913" s="181"/>
      <c r="P5913" s="181"/>
    </row>
    <row r="5914">
      <c r="B5914" s="292"/>
      <c r="C5914" s="181"/>
      <c r="D5914" s="181"/>
      <c r="E5914" s="181"/>
      <c r="F5914" s="181"/>
      <c r="G5914" s="181"/>
      <c r="H5914" s="181"/>
      <c r="I5914" s="181"/>
      <c r="J5914" s="181"/>
      <c r="K5914" s="181"/>
      <c r="L5914" s="181"/>
      <c r="M5914" s="181"/>
      <c r="N5914" s="181"/>
      <c r="O5914" s="181"/>
      <c r="P5914" s="181"/>
    </row>
    <row r="5915">
      <c r="B5915" s="292"/>
      <c r="C5915" s="181"/>
      <c r="D5915" s="181"/>
      <c r="E5915" s="181"/>
      <c r="F5915" s="181"/>
      <c r="G5915" s="181"/>
      <c r="H5915" s="181"/>
      <c r="I5915" s="181"/>
      <c r="J5915" s="181"/>
      <c r="K5915" s="181"/>
      <c r="L5915" s="181"/>
      <c r="M5915" s="181"/>
      <c r="N5915" s="181"/>
      <c r="O5915" s="181"/>
      <c r="P5915" s="181"/>
    </row>
    <row r="5916">
      <c r="B5916" s="292"/>
      <c r="C5916" s="181"/>
      <c r="D5916" s="181"/>
      <c r="E5916" s="181"/>
      <c r="F5916" s="181"/>
      <c r="G5916" s="181"/>
      <c r="H5916" s="181"/>
      <c r="I5916" s="181"/>
      <c r="J5916" s="181"/>
      <c r="K5916" s="181"/>
      <c r="L5916" s="181"/>
      <c r="M5916" s="181"/>
      <c r="N5916" s="181"/>
      <c r="O5916" s="181"/>
      <c r="P5916" s="181"/>
    </row>
    <row r="5917">
      <c r="B5917" s="292"/>
      <c r="C5917" s="181"/>
      <c r="D5917" s="181"/>
      <c r="E5917" s="181"/>
      <c r="F5917" s="181"/>
      <c r="G5917" s="181"/>
      <c r="H5917" s="181"/>
      <c r="I5917" s="181"/>
      <c r="J5917" s="181"/>
      <c r="K5917" s="181"/>
      <c r="L5917" s="181"/>
      <c r="M5917" s="181"/>
      <c r="N5917" s="181"/>
      <c r="O5917" s="181"/>
      <c r="P5917" s="181"/>
    </row>
    <row r="5918">
      <c r="B5918" s="292"/>
      <c r="C5918" s="181"/>
      <c r="D5918" s="181"/>
      <c r="E5918" s="181"/>
      <c r="F5918" s="181"/>
      <c r="G5918" s="181"/>
      <c r="H5918" s="181"/>
      <c r="I5918" s="181"/>
      <c r="J5918" s="181"/>
      <c r="K5918" s="181"/>
      <c r="L5918" s="181"/>
      <c r="M5918" s="181"/>
      <c r="N5918" s="181"/>
      <c r="O5918" s="181"/>
      <c r="P5918" s="181"/>
    </row>
    <row r="5919">
      <c r="B5919" s="292"/>
      <c r="C5919" s="181"/>
      <c r="D5919" s="181"/>
      <c r="E5919" s="181"/>
      <c r="F5919" s="181"/>
      <c r="G5919" s="181"/>
      <c r="H5919" s="181"/>
      <c r="I5919" s="181"/>
      <c r="J5919" s="181"/>
      <c r="K5919" s="181"/>
      <c r="L5919" s="181"/>
      <c r="M5919" s="181"/>
      <c r="N5919" s="181"/>
      <c r="O5919" s="181"/>
      <c r="P5919" s="181"/>
    </row>
    <row r="5920">
      <c r="B5920" s="292"/>
      <c r="C5920" s="181"/>
      <c r="D5920" s="181"/>
      <c r="E5920" s="181"/>
      <c r="F5920" s="181"/>
      <c r="G5920" s="181"/>
      <c r="H5920" s="181"/>
      <c r="I5920" s="181"/>
      <c r="J5920" s="181"/>
      <c r="K5920" s="181"/>
      <c r="L5920" s="181"/>
      <c r="M5920" s="181"/>
      <c r="N5920" s="181"/>
      <c r="O5920" s="181"/>
      <c r="P5920" s="181"/>
    </row>
    <row r="5921">
      <c r="B5921" s="292"/>
      <c r="C5921" s="181"/>
      <c r="D5921" s="181"/>
      <c r="E5921" s="181"/>
      <c r="F5921" s="181"/>
      <c r="G5921" s="181"/>
      <c r="H5921" s="181"/>
      <c r="I5921" s="181"/>
      <c r="J5921" s="181"/>
      <c r="K5921" s="181"/>
      <c r="L5921" s="181"/>
      <c r="M5921" s="181"/>
      <c r="N5921" s="181"/>
      <c r="O5921" s="181"/>
      <c r="P5921" s="181"/>
    </row>
    <row r="5922">
      <c r="B5922" s="292"/>
      <c r="C5922" s="181"/>
      <c r="D5922" s="181"/>
      <c r="E5922" s="181"/>
      <c r="F5922" s="181"/>
      <c r="G5922" s="181"/>
      <c r="H5922" s="181"/>
      <c r="I5922" s="181"/>
      <c r="J5922" s="181"/>
      <c r="K5922" s="181"/>
      <c r="L5922" s="181"/>
      <c r="M5922" s="181"/>
      <c r="N5922" s="181"/>
      <c r="O5922" s="181"/>
      <c r="P5922" s="181"/>
    </row>
    <row r="5923">
      <c r="B5923" s="292"/>
      <c r="C5923" s="181"/>
      <c r="D5923" s="181"/>
      <c r="E5923" s="181"/>
      <c r="F5923" s="181"/>
      <c r="G5923" s="181"/>
      <c r="H5923" s="181"/>
      <c r="I5923" s="181"/>
      <c r="J5923" s="181"/>
      <c r="K5923" s="181"/>
      <c r="L5923" s="181"/>
      <c r="M5923" s="181"/>
      <c r="N5923" s="181"/>
      <c r="O5923" s="181"/>
      <c r="P5923" s="181"/>
    </row>
    <row r="5924">
      <c r="B5924" s="292"/>
      <c r="C5924" s="181"/>
      <c r="D5924" s="181"/>
      <c r="E5924" s="181"/>
      <c r="F5924" s="181"/>
      <c r="G5924" s="181"/>
      <c r="H5924" s="181"/>
      <c r="I5924" s="181"/>
      <c r="J5924" s="181"/>
      <c r="K5924" s="181"/>
      <c r="L5924" s="181"/>
      <c r="M5924" s="181"/>
      <c r="N5924" s="181"/>
      <c r="O5924" s="181"/>
      <c r="P5924" s="181"/>
    </row>
    <row r="5925">
      <c r="B5925" s="292"/>
      <c r="C5925" s="181"/>
      <c r="D5925" s="181"/>
      <c r="E5925" s="181"/>
      <c r="F5925" s="181"/>
      <c r="G5925" s="181"/>
      <c r="H5925" s="181"/>
      <c r="I5925" s="181"/>
      <c r="J5925" s="181"/>
      <c r="K5925" s="181"/>
      <c r="L5925" s="181"/>
      <c r="M5925" s="181"/>
      <c r="N5925" s="181"/>
      <c r="O5925" s="181"/>
      <c r="P5925" s="181"/>
    </row>
    <row r="5926">
      <c r="B5926" s="292"/>
      <c r="C5926" s="181"/>
      <c r="D5926" s="181"/>
      <c r="E5926" s="181"/>
      <c r="F5926" s="181"/>
      <c r="G5926" s="181"/>
      <c r="H5926" s="181"/>
      <c r="I5926" s="181"/>
      <c r="J5926" s="181"/>
      <c r="K5926" s="181"/>
      <c r="L5926" s="181"/>
      <c r="M5926" s="181"/>
      <c r="N5926" s="181"/>
      <c r="O5926" s="181"/>
      <c r="P5926" s="181"/>
    </row>
    <row r="5927">
      <c r="B5927" s="292"/>
      <c r="C5927" s="181"/>
      <c r="D5927" s="181"/>
      <c r="E5927" s="181"/>
      <c r="F5927" s="181"/>
      <c r="G5927" s="181"/>
      <c r="H5927" s="181"/>
      <c r="I5927" s="181"/>
      <c r="J5927" s="181"/>
      <c r="K5927" s="181"/>
      <c r="L5927" s="181"/>
      <c r="M5927" s="181"/>
      <c r="N5927" s="181"/>
      <c r="O5927" s="181"/>
      <c r="P5927" s="181"/>
    </row>
    <row r="5928">
      <c r="B5928" s="292"/>
      <c r="C5928" s="181"/>
      <c r="D5928" s="181"/>
      <c r="E5928" s="181"/>
      <c r="F5928" s="181"/>
      <c r="G5928" s="181"/>
      <c r="H5928" s="181"/>
      <c r="I5928" s="181"/>
      <c r="J5928" s="181"/>
      <c r="K5928" s="181"/>
      <c r="L5928" s="181"/>
      <c r="M5928" s="181"/>
      <c r="N5928" s="181"/>
      <c r="O5928" s="181"/>
      <c r="P5928" s="181"/>
    </row>
    <row r="5929">
      <c r="B5929" s="292"/>
      <c r="C5929" s="181"/>
      <c r="D5929" s="181"/>
      <c r="E5929" s="181"/>
      <c r="F5929" s="181"/>
      <c r="G5929" s="181"/>
      <c r="H5929" s="181"/>
      <c r="I5929" s="181"/>
      <c r="J5929" s="181"/>
      <c r="K5929" s="181"/>
      <c r="L5929" s="181"/>
      <c r="M5929" s="181"/>
      <c r="N5929" s="181"/>
      <c r="O5929" s="181"/>
      <c r="P5929" s="181"/>
    </row>
    <row r="5930">
      <c r="B5930" s="292"/>
      <c r="C5930" s="181"/>
      <c r="D5930" s="181"/>
      <c r="E5930" s="181"/>
      <c r="F5930" s="181"/>
      <c r="G5930" s="181"/>
      <c r="H5930" s="181"/>
      <c r="I5930" s="181"/>
      <c r="J5930" s="181"/>
      <c r="K5930" s="181"/>
      <c r="L5930" s="181"/>
      <c r="M5930" s="181"/>
      <c r="N5930" s="181"/>
      <c r="O5930" s="181"/>
      <c r="P5930" s="181"/>
    </row>
    <row r="5931">
      <c r="B5931" s="292"/>
      <c r="C5931" s="181"/>
      <c r="D5931" s="181"/>
      <c r="E5931" s="181"/>
      <c r="F5931" s="181"/>
      <c r="G5931" s="181"/>
      <c r="H5931" s="181"/>
      <c r="I5931" s="181"/>
      <c r="J5931" s="181"/>
      <c r="K5931" s="181"/>
      <c r="L5931" s="181"/>
      <c r="M5931" s="181"/>
      <c r="N5931" s="181"/>
      <c r="O5931" s="181"/>
      <c r="P5931" s="181"/>
    </row>
    <row r="5932">
      <c r="B5932" s="292"/>
      <c r="C5932" s="181"/>
      <c r="D5932" s="181"/>
      <c r="E5932" s="181"/>
      <c r="F5932" s="181"/>
      <c r="G5932" s="181"/>
      <c r="H5932" s="181"/>
      <c r="I5932" s="181"/>
      <c r="J5932" s="181"/>
      <c r="K5932" s="181"/>
      <c r="L5932" s="181"/>
      <c r="M5932" s="181"/>
      <c r="N5932" s="181"/>
      <c r="O5932" s="181"/>
      <c r="P5932" s="181"/>
    </row>
    <row r="5933">
      <c r="B5933" s="292"/>
      <c r="C5933" s="181"/>
      <c r="D5933" s="181"/>
      <c r="E5933" s="181"/>
      <c r="F5933" s="181"/>
      <c r="G5933" s="181"/>
      <c r="H5933" s="181"/>
      <c r="I5933" s="181"/>
      <c r="J5933" s="181"/>
      <c r="K5933" s="181"/>
      <c r="L5933" s="181"/>
      <c r="M5933" s="181"/>
      <c r="N5933" s="181"/>
      <c r="O5933" s="181"/>
      <c r="P5933" s="181"/>
    </row>
    <row r="5934">
      <c r="B5934" s="292"/>
      <c r="C5934" s="181"/>
      <c r="D5934" s="181"/>
      <c r="E5934" s="181"/>
      <c r="F5934" s="181"/>
      <c r="G5934" s="181"/>
      <c r="H5934" s="181"/>
      <c r="I5934" s="181"/>
      <c r="J5934" s="181"/>
      <c r="K5934" s="181"/>
      <c r="L5934" s="181"/>
      <c r="M5934" s="181"/>
      <c r="N5934" s="181"/>
      <c r="O5934" s="181"/>
      <c r="P5934" s="181"/>
    </row>
    <row r="5935">
      <c r="B5935" s="292"/>
      <c r="C5935" s="181"/>
      <c r="D5935" s="181"/>
      <c r="E5935" s="181"/>
      <c r="F5935" s="181"/>
      <c r="G5935" s="181"/>
      <c r="H5935" s="181"/>
      <c r="I5935" s="181"/>
      <c r="J5935" s="181"/>
      <c r="K5935" s="181"/>
      <c r="L5935" s="181"/>
      <c r="M5935" s="181"/>
      <c r="N5935" s="181"/>
      <c r="O5935" s="181"/>
      <c r="P5935" s="181"/>
    </row>
    <row r="5936">
      <c r="B5936" s="292"/>
      <c r="C5936" s="181"/>
      <c r="D5936" s="181"/>
      <c r="E5936" s="181"/>
      <c r="F5936" s="181"/>
      <c r="G5936" s="181"/>
      <c r="H5936" s="181"/>
      <c r="I5936" s="181"/>
      <c r="J5936" s="181"/>
      <c r="K5936" s="181"/>
      <c r="L5936" s="181"/>
      <c r="M5936" s="181"/>
      <c r="N5936" s="181"/>
      <c r="O5936" s="181"/>
      <c r="P5936" s="181"/>
    </row>
    <row r="5937">
      <c r="B5937" s="292"/>
      <c r="C5937" s="181"/>
      <c r="D5937" s="181"/>
      <c r="E5937" s="181"/>
      <c r="F5937" s="181"/>
      <c r="G5937" s="181"/>
      <c r="H5937" s="181"/>
      <c r="I5937" s="181"/>
      <c r="J5937" s="181"/>
      <c r="K5937" s="181"/>
      <c r="L5937" s="181"/>
      <c r="M5937" s="181"/>
      <c r="N5937" s="181"/>
      <c r="O5937" s="181"/>
      <c r="P5937" s="181"/>
    </row>
    <row r="5938">
      <c r="B5938" s="292"/>
      <c r="C5938" s="181"/>
      <c r="D5938" s="181"/>
      <c r="E5938" s="181"/>
      <c r="F5938" s="181"/>
      <c r="G5938" s="181"/>
      <c r="H5938" s="181"/>
      <c r="I5938" s="181"/>
      <c r="J5938" s="181"/>
      <c r="K5938" s="181"/>
      <c r="L5938" s="181"/>
      <c r="M5938" s="181"/>
      <c r="N5938" s="181"/>
      <c r="O5938" s="181"/>
      <c r="P5938" s="181"/>
    </row>
    <row r="5939">
      <c r="B5939" s="292"/>
      <c r="C5939" s="181"/>
      <c r="D5939" s="181"/>
      <c r="E5939" s="181"/>
      <c r="F5939" s="181"/>
      <c r="G5939" s="181"/>
      <c r="H5939" s="181"/>
      <c r="I5939" s="181"/>
      <c r="J5939" s="181"/>
      <c r="K5939" s="181"/>
      <c r="L5939" s="181"/>
      <c r="M5939" s="181"/>
      <c r="N5939" s="181"/>
      <c r="O5939" s="181"/>
      <c r="P5939" s="181"/>
    </row>
    <row r="5940">
      <c r="B5940" s="292"/>
      <c r="C5940" s="181"/>
      <c r="D5940" s="181"/>
      <c r="E5940" s="181"/>
      <c r="F5940" s="181"/>
      <c r="G5940" s="181"/>
      <c r="H5940" s="181"/>
      <c r="I5940" s="181"/>
      <c r="J5940" s="181"/>
      <c r="K5940" s="181"/>
      <c r="L5940" s="181"/>
      <c r="M5940" s="181"/>
      <c r="N5940" s="181"/>
      <c r="O5940" s="181"/>
      <c r="P5940" s="181"/>
    </row>
    <row r="5941">
      <c r="B5941" s="292"/>
      <c r="C5941" s="181"/>
      <c r="D5941" s="181"/>
      <c r="E5941" s="181"/>
      <c r="F5941" s="181"/>
      <c r="G5941" s="181"/>
      <c r="H5941" s="181"/>
      <c r="I5941" s="181"/>
      <c r="J5941" s="181"/>
      <c r="K5941" s="181"/>
      <c r="L5941" s="181"/>
      <c r="M5941" s="181"/>
      <c r="N5941" s="181"/>
      <c r="O5941" s="181"/>
      <c r="P5941" s="181"/>
    </row>
    <row r="5942">
      <c r="B5942" s="292"/>
      <c r="C5942" s="181"/>
      <c r="D5942" s="181"/>
      <c r="E5942" s="181"/>
      <c r="F5942" s="181"/>
      <c r="G5942" s="181"/>
      <c r="H5942" s="181"/>
      <c r="I5942" s="181"/>
      <c r="J5942" s="181"/>
      <c r="K5942" s="181"/>
      <c r="L5942" s="181"/>
      <c r="M5942" s="181"/>
      <c r="N5942" s="181"/>
      <c r="O5942" s="181"/>
      <c r="P5942" s="181"/>
    </row>
    <row r="5943">
      <c r="B5943" s="292"/>
      <c r="C5943" s="181"/>
      <c r="D5943" s="181"/>
      <c r="E5943" s="181"/>
      <c r="F5943" s="181"/>
      <c r="G5943" s="181"/>
      <c r="H5943" s="181"/>
      <c r="I5943" s="181"/>
      <c r="J5943" s="181"/>
      <c r="K5943" s="181"/>
      <c r="L5943" s="181"/>
      <c r="M5943" s="181"/>
      <c r="N5943" s="181"/>
      <c r="O5943" s="181"/>
      <c r="P5943" s="181"/>
    </row>
    <row r="5944">
      <c r="B5944" s="292"/>
      <c r="C5944" s="181"/>
      <c r="D5944" s="181"/>
      <c r="E5944" s="181"/>
      <c r="F5944" s="181"/>
      <c r="G5944" s="181"/>
      <c r="H5944" s="181"/>
      <c r="I5944" s="181"/>
      <c r="J5944" s="181"/>
      <c r="K5944" s="181"/>
      <c r="L5944" s="181"/>
      <c r="M5944" s="181"/>
      <c r="N5944" s="181"/>
      <c r="O5944" s="181"/>
      <c r="P5944" s="181"/>
    </row>
    <row r="5945">
      <c r="B5945" s="292"/>
      <c r="C5945" s="181"/>
      <c r="D5945" s="181"/>
      <c r="E5945" s="181"/>
      <c r="F5945" s="181"/>
      <c r="G5945" s="181"/>
      <c r="H5945" s="181"/>
      <c r="I5945" s="181"/>
      <c r="J5945" s="181"/>
      <c r="K5945" s="181"/>
      <c r="L5945" s="181"/>
      <c r="M5945" s="181"/>
      <c r="N5945" s="181"/>
      <c r="O5945" s="181"/>
      <c r="P5945" s="181"/>
    </row>
    <row r="5946">
      <c r="B5946" s="292"/>
      <c r="C5946" s="181"/>
      <c r="D5946" s="181"/>
      <c r="E5946" s="181"/>
      <c r="F5946" s="181"/>
      <c r="G5946" s="181"/>
      <c r="H5946" s="181"/>
      <c r="I5946" s="181"/>
      <c r="J5946" s="181"/>
      <c r="K5946" s="181"/>
      <c r="L5946" s="181"/>
      <c r="M5946" s="181"/>
      <c r="N5946" s="181"/>
      <c r="O5946" s="181"/>
      <c r="P5946" s="181"/>
    </row>
    <row r="5947">
      <c r="B5947" s="292"/>
      <c r="C5947" s="181"/>
      <c r="D5947" s="181"/>
      <c r="E5947" s="181"/>
      <c r="F5947" s="181"/>
      <c r="G5947" s="181"/>
      <c r="H5947" s="181"/>
      <c r="I5947" s="181"/>
      <c r="J5947" s="181"/>
      <c r="K5947" s="181"/>
      <c r="L5947" s="181"/>
      <c r="M5947" s="181"/>
      <c r="N5947" s="181"/>
      <c r="O5947" s="181"/>
      <c r="P5947" s="181"/>
    </row>
    <row r="5948">
      <c r="B5948" s="292"/>
      <c r="C5948" s="181"/>
      <c r="D5948" s="181"/>
      <c r="E5948" s="181"/>
      <c r="F5948" s="181"/>
      <c r="G5948" s="181"/>
      <c r="H5948" s="181"/>
      <c r="I5948" s="181"/>
      <c r="J5948" s="181"/>
      <c r="K5948" s="181"/>
      <c r="L5948" s="181"/>
      <c r="M5948" s="181"/>
      <c r="N5948" s="181"/>
      <c r="O5948" s="181"/>
      <c r="P5948" s="181"/>
    </row>
    <row r="5949">
      <c r="B5949" s="292"/>
      <c r="C5949" s="181"/>
      <c r="D5949" s="181"/>
      <c r="E5949" s="181"/>
      <c r="F5949" s="181"/>
      <c r="G5949" s="181"/>
      <c r="H5949" s="181"/>
      <c r="I5949" s="181"/>
      <c r="J5949" s="181"/>
      <c r="K5949" s="181"/>
      <c r="L5949" s="181"/>
      <c r="M5949" s="181"/>
      <c r="N5949" s="181"/>
      <c r="O5949" s="181"/>
      <c r="P5949" s="181"/>
    </row>
    <row r="5950">
      <c r="B5950" s="292"/>
      <c r="C5950" s="181"/>
      <c r="D5950" s="181"/>
      <c r="E5950" s="181"/>
      <c r="F5950" s="181"/>
      <c r="G5950" s="181"/>
      <c r="H5950" s="181"/>
      <c r="I5950" s="181"/>
      <c r="J5950" s="181"/>
      <c r="K5950" s="181"/>
      <c r="L5950" s="181"/>
      <c r="M5950" s="181"/>
      <c r="N5950" s="181"/>
      <c r="O5950" s="181"/>
      <c r="P5950" s="181"/>
    </row>
    <row r="5951">
      <c r="B5951" s="292"/>
      <c r="C5951" s="181"/>
      <c r="D5951" s="181"/>
      <c r="E5951" s="181"/>
      <c r="F5951" s="181"/>
      <c r="G5951" s="181"/>
      <c r="H5951" s="181"/>
      <c r="I5951" s="181"/>
      <c r="J5951" s="181"/>
      <c r="K5951" s="181"/>
      <c r="L5951" s="181"/>
      <c r="M5951" s="181"/>
      <c r="N5951" s="181"/>
      <c r="O5951" s="181"/>
      <c r="P5951" s="181"/>
    </row>
    <row r="5952">
      <c r="B5952" s="292"/>
      <c r="C5952" s="181"/>
      <c r="D5952" s="181"/>
      <c r="E5952" s="181"/>
      <c r="F5952" s="181"/>
      <c r="G5952" s="181"/>
      <c r="H5952" s="181"/>
      <c r="I5952" s="181"/>
      <c r="J5952" s="181"/>
      <c r="K5952" s="181"/>
      <c r="L5952" s="181"/>
      <c r="M5952" s="181"/>
      <c r="N5952" s="181"/>
      <c r="O5952" s="181"/>
      <c r="P5952" s="181"/>
    </row>
    <row r="5953">
      <c r="B5953" s="292"/>
      <c r="C5953" s="181"/>
      <c r="D5953" s="181"/>
      <c r="E5953" s="181"/>
      <c r="F5953" s="181"/>
      <c r="G5953" s="181"/>
      <c r="H5953" s="181"/>
      <c r="I5953" s="181"/>
      <c r="J5953" s="181"/>
      <c r="K5953" s="181"/>
      <c r="L5953" s="181"/>
      <c r="M5953" s="181"/>
      <c r="N5953" s="181"/>
      <c r="O5953" s="181"/>
      <c r="P5953" s="181"/>
    </row>
    <row r="5954">
      <c r="B5954" s="292"/>
      <c r="C5954" s="181"/>
      <c r="D5954" s="181"/>
      <c r="E5954" s="181"/>
      <c r="F5954" s="181"/>
      <c r="G5954" s="181"/>
      <c r="H5954" s="181"/>
      <c r="I5954" s="181"/>
      <c r="J5954" s="181"/>
      <c r="K5954" s="181"/>
      <c r="L5954" s="181"/>
      <c r="M5954" s="181"/>
      <c r="N5954" s="181"/>
      <c r="O5954" s="181"/>
      <c r="P5954" s="181"/>
    </row>
    <row r="5955">
      <c r="B5955" s="292"/>
      <c r="C5955" s="181"/>
      <c r="D5955" s="181"/>
      <c r="E5955" s="181"/>
      <c r="F5955" s="181"/>
      <c r="G5955" s="181"/>
      <c r="H5955" s="181"/>
      <c r="I5955" s="181"/>
      <c r="J5955" s="181"/>
      <c r="K5955" s="181"/>
      <c r="L5955" s="181"/>
      <c r="M5955" s="181"/>
      <c r="N5955" s="181"/>
      <c r="O5955" s="181"/>
      <c r="P5955" s="181"/>
    </row>
    <row r="5956">
      <c r="B5956" s="292"/>
      <c r="C5956" s="181"/>
      <c r="D5956" s="181"/>
      <c r="E5956" s="181"/>
      <c r="F5956" s="181"/>
      <c r="G5956" s="181"/>
      <c r="H5956" s="181"/>
      <c r="I5956" s="181"/>
      <c r="J5956" s="181"/>
      <c r="K5956" s="181"/>
      <c r="L5956" s="181"/>
      <c r="M5956" s="181"/>
      <c r="N5956" s="181"/>
      <c r="O5956" s="181"/>
      <c r="P5956" s="181"/>
    </row>
    <row r="5957">
      <c r="B5957" s="292"/>
      <c r="C5957" s="181"/>
      <c r="D5957" s="181"/>
      <c r="E5957" s="181"/>
      <c r="F5957" s="181"/>
      <c r="G5957" s="181"/>
      <c r="H5957" s="181"/>
      <c r="I5957" s="181"/>
      <c r="J5957" s="181"/>
      <c r="K5957" s="181"/>
      <c r="L5957" s="181"/>
      <c r="M5957" s="181"/>
      <c r="N5957" s="181"/>
      <c r="O5957" s="181"/>
      <c r="P5957" s="181"/>
    </row>
    <row r="5958">
      <c r="B5958" s="292"/>
      <c r="C5958" s="181"/>
      <c r="D5958" s="181"/>
      <c r="E5958" s="181"/>
      <c r="F5958" s="181"/>
      <c r="G5958" s="181"/>
      <c r="H5958" s="181"/>
      <c r="I5958" s="181"/>
      <c r="J5958" s="181"/>
      <c r="K5958" s="181"/>
      <c r="L5958" s="181"/>
      <c r="M5958" s="181"/>
      <c r="N5958" s="181"/>
      <c r="O5958" s="181"/>
      <c r="P5958" s="181"/>
    </row>
    <row r="5959">
      <c r="B5959" s="292"/>
      <c r="C5959" s="181"/>
      <c r="D5959" s="181"/>
      <c r="E5959" s="181"/>
      <c r="F5959" s="181"/>
      <c r="G5959" s="181"/>
      <c r="H5959" s="181"/>
      <c r="I5959" s="181"/>
      <c r="J5959" s="181"/>
      <c r="K5959" s="181"/>
      <c r="L5959" s="181"/>
      <c r="M5959" s="181"/>
      <c r="N5959" s="181"/>
      <c r="O5959" s="181"/>
      <c r="P5959" s="181"/>
    </row>
    <row r="5960">
      <c r="B5960" s="292"/>
      <c r="C5960" s="181"/>
      <c r="D5960" s="181"/>
      <c r="E5960" s="181"/>
      <c r="F5960" s="181"/>
      <c r="G5960" s="181"/>
      <c r="H5960" s="181"/>
      <c r="I5960" s="181"/>
      <c r="J5960" s="181"/>
      <c r="K5960" s="181"/>
      <c r="L5960" s="181"/>
      <c r="M5960" s="181"/>
      <c r="N5960" s="181"/>
      <c r="O5960" s="181"/>
      <c r="P5960" s="181"/>
    </row>
    <row r="5961">
      <c r="B5961" s="292"/>
      <c r="C5961" s="181"/>
      <c r="D5961" s="181"/>
      <c r="E5961" s="181"/>
      <c r="F5961" s="181"/>
      <c r="G5961" s="181"/>
      <c r="H5961" s="181"/>
      <c r="I5961" s="181"/>
      <c r="J5961" s="181"/>
      <c r="K5961" s="181"/>
      <c r="L5961" s="181"/>
      <c r="M5961" s="181"/>
      <c r="N5961" s="181"/>
      <c r="O5961" s="181"/>
      <c r="P5961" s="181"/>
    </row>
    <row r="5962">
      <c r="B5962" s="292"/>
      <c r="C5962" s="181"/>
      <c r="D5962" s="181"/>
      <c r="E5962" s="181"/>
      <c r="F5962" s="181"/>
      <c r="G5962" s="181"/>
      <c r="H5962" s="181"/>
      <c r="I5962" s="181"/>
      <c r="J5962" s="181"/>
      <c r="K5962" s="181"/>
      <c r="L5962" s="181"/>
      <c r="M5962" s="181"/>
      <c r="N5962" s="181"/>
      <c r="O5962" s="181"/>
      <c r="P5962" s="181"/>
    </row>
    <row r="5963">
      <c r="B5963" s="292"/>
      <c r="C5963" s="181"/>
      <c r="D5963" s="181"/>
      <c r="E5963" s="181"/>
      <c r="F5963" s="181"/>
      <c r="G5963" s="181"/>
      <c r="H5963" s="181"/>
      <c r="I5963" s="181"/>
      <c r="J5963" s="181"/>
      <c r="K5963" s="181"/>
      <c r="L5963" s="181"/>
      <c r="M5963" s="181"/>
      <c r="N5963" s="181"/>
      <c r="O5963" s="181"/>
      <c r="P5963" s="181"/>
    </row>
    <row r="5964">
      <c r="B5964" s="292"/>
      <c r="C5964" s="181"/>
      <c r="D5964" s="181"/>
      <c r="E5964" s="181"/>
      <c r="F5964" s="181"/>
      <c r="G5964" s="181"/>
      <c r="H5964" s="181"/>
      <c r="I5964" s="181"/>
      <c r="J5964" s="181"/>
      <c r="K5964" s="181"/>
      <c r="L5964" s="181"/>
      <c r="M5964" s="181"/>
      <c r="N5964" s="181"/>
      <c r="O5964" s="181"/>
      <c r="P5964" s="181"/>
    </row>
    <row r="5965">
      <c r="B5965" s="292"/>
      <c r="C5965" s="181"/>
      <c r="D5965" s="181"/>
      <c r="E5965" s="181"/>
      <c r="F5965" s="181"/>
      <c r="G5965" s="181"/>
      <c r="H5965" s="181"/>
      <c r="I5965" s="181"/>
      <c r="J5965" s="181"/>
      <c r="K5965" s="181"/>
      <c r="L5965" s="181"/>
      <c r="M5965" s="181"/>
      <c r="N5965" s="181"/>
      <c r="O5965" s="181"/>
      <c r="P5965" s="181"/>
    </row>
    <row r="5966">
      <c r="B5966" s="292"/>
      <c r="C5966" s="181"/>
      <c r="D5966" s="181"/>
      <c r="E5966" s="181"/>
      <c r="F5966" s="181"/>
      <c r="G5966" s="181"/>
      <c r="H5966" s="181"/>
      <c r="I5966" s="181"/>
      <c r="J5966" s="181"/>
      <c r="K5966" s="181"/>
      <c r="L5966" s="181"/>
      <c r="M5966" s="181"/>
      <c r="N5966" s="181"/>
      <c r="O5966" s="181"/>
      <c r="P5966" s="181"/>
    </row>
    <row r="5967">
      <c r="B5967" s="292"/>
      <c r="C5967" s="181"/>
      <c r="D5967" s="181"/>
      <c r="E5967" s="181"/>
      <c r="F5967" s="181"/>
      <c r="G5967" s="181"/>
      <c r="H5967" s="181"/>
      <c r="I5967" s="181"/>
      <c r="J5967" s="181"/>
      <c r="K5967" s="181"/>
      <c r="L5967" s="181"/>
      <c r="M5967" s="181"/>
      <c r="N5967" s="181"/>
      <c r="O5967" s="181"/>
      <c r="P5967" s="181"/>
    </row>
    <row r="5968">
      <c r="B5968" s="292"/>
      <c r="C5968" s="181"/>
      <c r="D5968" s="181"/>
      <c r="E5968" s="181"/>
      <c r="F5968" s="181"/>
      <c r="G5968" s="181"/>
      <c r="H5968" s="181"/>
      <c r="I5968" s="181"/>
      <c r="J5968" s="181"/>
      <c r="K5968" s="181"/>
      <c r="L5968" s="181"/>
      <c r="M5968" s="181"/>
      <c r="N5968" s="181"/>
      <c r="O5968" s="181"/>
      <c r="P5968" s="181"/>
    </row>
    <row r="5969">
      <c r="B5969" s="292"/>
      <c r="C5969" s="181"/>
      <c r="D5969" s="181"/>
      <c r="E5969" s="181"/>
      <c r="F5969" s="181"/>
      <c r="G5969" s="181"/>
      <c r="H5969" s="181"/>
      <c r="I5969" s="181"/>
      <c r="J5969" s="181"/>
      <c r="K5969" s="181"/>
      <c r="L5969" s="181"/>
      <c r="M5969" s="181"/>
      <c r="N5969" s="181"/>
      <c r="O5969" s="181"/>
      <c r="P5969" s="181"/>
    </row>
    <row r="5970">
      <c r="B5970" s="292"/>
      <c r="C5970" s="181"/>
      <c r="D5970" s="181"/>
      <c r="E5970" s="181"/>
      <c r="F5970" s="181"/>
      <c r="G5970" s="181"/>
      <c r="H5970" s="181"/>
      <c r="I5970" s="181"/>
      <c r="J5970" s="181"/>
      <c r="K5970" s="181"/>
      <c r="L5970" s="181"/>
      <c r="M5970" s="181"/>
      <c r="N5970" s="181"/>
      <c r="O5970" s="181"/>
      <c r="P5970" s="181"/>
    </row>
    <row r="5971">
      <c r="B5971" s="292"/>
      <c r="C5971" s="181"/>
      <c r="D5971" s="181"/>
      <c r="E5971" s="181"/>
      <c r="F5971" s="181"/>
      <c r="G5971" s="181"/>
      <c r="H5971" s="181"/>
      <c r="I5971" s="181"/>
      <c r="J5971" s="181"/>
      <c r="K5971" s="181"/>
      <c r="L5971" s="181"/>
      <c r="M5971" s="181"/>
      <c r="N5971" s="181"/>
      <c r="O5971" s="181"/>
      <c r="P5971" s="181"/>
    </row>
    <row r="5972">
      <c r="B5972" s="292"/>
      <c r="C5972" s="181"/>
      <c r="D5972" s="181"/>
      <c r="E5972" s="181"/>
      <c r="F5972" s="181"/>
      <c r="G5972" s="181"/>
      <c r="H5972" s="181"/>
      <c r="I5972" s="181"/>
      <c r="J5972" s="181"/>
      <c r="K5972" s="181"/>
      <c r="L5972" s="181"/>
      <c r="M5972" s="181"/>
      <c r="N5972" s="181"/>
      <c r="O5972" s="181"/>
      <c r="P5972" s="181"/>
    </row>
    <row r="5973">
      <c r="B5973" s="292"/>
      <c r="C5973" s="181"/>
      <c r="D5973" s="181"/>
      <c r="E5973" s="181"/>
      <c r="F5973" s="181"/>
      <c r="G5973" s="181"/>
      <c r="H5973" s="181"/>
      <c r="I5973" s="181"/>
      <c r="J5973" s="181"/>
      <c r="K5973" s="181"/>
      <c r="L5973" s="181"/>
      <c r="M5973" s="181"/>
      <c r="N5973" s="181"/>
      <c r="O5973" s="181"/>
      <c r="P5973" s="181"/>
    </row>
    <row r="5974">
      <c r="B5974" s="292"/>
      <c r="C5974" s="181"/>
      <c r="D5974" s="181"/>
      <c r="E5974" s="181"/>
      <c r="F5974" s="181"/>
      <c r="G5974" s="181"/>
      <c r="H5974" s="181"/>
      <c r="I5974" s="181"/>
      <c r="J5974" s="181"/>
      <c r="K5974" s="181"/>
      <c r="L5974" s="181"/>
      <c r="M5974" s="181"/>
      <c r="N5974" s="181"/>
      <c r="O5974" s="181"/>
      <c r="P5974" s="181"/>
    </row>
    <row r="5975">
      <c r="B5975" s="292"/>
      <c r="C5975" s="181"/>
      <c r="D5975" s="181"/>
      <c r="E5975" s="181"/>
      <c r="F5975" s="181"/>
      <c r="G5975" s="181"/>
      <c r="H5975" s="181"/>
      <c r="I5975" s="181"/>
      <c r="J5975" s="181"/>
      <c r="K5975" s="181"/>
      <c r="L5975" s="181"/>
      <c r="M5975" s="181"/>
      <c r="N5975" s="181"/>
      <c r="O5975" s="181"/>
      <c r="P5975" s="181"/>
    </row>
    <row r="5976">
      <c r="B5976" s="292"/>
      <c r="C5976" s="181"/>
      <c r="D5976" s="181"/>
      <c r="E5976" s="181"/>
      <c r="F5976" s="181"/>
      <c r="G5976" s="181"/>
      <c r="H5976" s="181"/>
      <c r="I5976" s="181"/>
      <c r="J5976" s="181"/>
      <c r="K5976" s="181"/>
      <c r="L5976" s="181"/>
      <c r="M5976" s="181"/>
      <c r="N5976" s="181"/>
      <c r="O5976" s="181"/>
      <c r="P5976" s="181"/>
    </row>
    <row r="5977">
      <c r="B5977" s="292"/>
      <c r="C5977" s="181"/>
      <c r="D5977" s="181"/>
      <c r="E5977" s="181"/>
      <c r="F5977" s="181"/>
      <c r="G5977" s="181"/>
      <c r="H5977" s="181"/>
      <c r="I5977" s="181"/>
      <c r="J5977" s="181"/>
      <c r="K5977" s="181"/>
      <c r="L5977" s="181"/>
      <c r="M5977" s="181"/>
      <c r="N5977" s="181"/>
      <c r="O5977" s="181"/>
      <c r="P5977" s="181"/>
    </row>
    <row r="5978">
      <c r="B5978" s="292"/>
      <c r="C5978" s="181"/>
      <c r="D5978" s="181"/>
      <c r="E5978" s="181"/>
      <c r="F5978" s="181"/>
      <c r="G5978" s="181"/>
      <c r="H5978" s="181"/>
      <c r="I5978" s="181"/>
      <c r="J5978" s="181"/>
      <c r="K5978" s="181"/>
      <c r="L5978" s="181"/>
      <c r="M5978" s="181"/>
      <c r="N5978" s="181"/>
      <c r="O5978" s="181"/>
      <c r="P5978" s="181"/>
    </row>
    <row r="5979">
      <c r="B5979" s="292"/>
      <c r="C5979" s="181"/>
      <c r="D5979" s="181"/>
      <c r="E5979" s="181"/>
      <c r="F5979" s="181"/>
      <c r="G5979" s="181"/>
      <c r="H5979" s="181"/>
      <c r="I5979" s="181"/>
      <c r="J5979" s="181"/>
      <c r="K5979" s="181"/>
      <c r="L5979" s="181"/>
      <c r="M5979" s="181"/>
      <c r="N5979" s="181"/>
      <c r="O5979" s="181"/>
      <c r="P5979" s="181"/>
    </row>
    <row r="5980">
      <c r="B5980" s="292"/>
      <c r="C5980" s="181"/>
      <c r="D5980" s="181"/>
      <c r="E5980" s="181"/>
      <c r="F5980" s="181"/>
      <c r="G5980" s="181"/>
      <c r="H5980" s="181"/>
      <c r="I5980" s="181"/>
      <c r="J5980" s="181"/>
      <c r="K5980" s="181"/>
      <c r="L5980" s="181"/>
      <c r="M5980" s="181"/>
      <c r="N5980" s="181"/>
      <c r="O5980" s="181"/>
      <c r="P5980" s="181"/>
    </row>
    <row r="5981">
      <c r="B5981" s="292"/>
      <c r="C5981" s="181"/>
      <c r="D5981" s="181"/>
      <c r="E5981" s="181"/>
      <c r="F5981" s="181"/>
      <c r="G5981" s="181"/>
      <c r="H5981" s="181"/>
      <c r="I5981" s="181"/>
      <c r="J5981" s="181"/>
      <c r="K5981" s="181"/>
      <c r="L5981" s="181"/>
      <c r="M5981" s="181"/>
      <c r="N5981" s="181"/>
      <c r="O5981" s="181"/>
      <c r="P5981" s="181"/>
    </row>
    <row r="5982">
      <c r="B5982" s="292"/>
      <c r="C5982" s="181"/>
      <c r="D5982" s="181"/>
      <c r="E5982" s="181"/>
      <c r="F5982" s="181"/>
      <c r="G5982" s="181"/>
      <c r="H5982" s="181"/>
      <c r="I5982" s="181"/>
      <c r="J5982" s="181"/>
      <c r="K5982" s="181"/>
      <c r="L5982" s="181"/>
      <c r="M5982" s="181"/>
      <c r="N5982" s="181"/>
      <c r="O5982" s="181"/>
      <c r="P5982" s="181"/>
    </row>
    <row r="5983">
      <c r="B5983" s="292"/>
      <c r="C5983" s="181"/>
      <c r="D5983" s="181"/>
      <c r="E5983" s="181"/>
      <c r="F5983" s="181"/>
      <c r="G5983" s="181"/>
      <c r="H5983" s="181"/>
      <c r="I5983" s="181"/>
      <c r="J5983" s="181"/>
      <c r="K5983" s="181"/>
      <c r="L5983" s="181"/>
      <c r="M5983" s="181"/>
      <c r="N5983" s="181"/>
      <c r="O5983" s="181"/>
      <c r="P5983" s="181"/>
    </row>
    <row r="5984">
      <c r="B5984" s="292"/>
      <c r="C5984" s="181"/>
      <c r="D5984" s="181"/>
      <c r="E5984" s="181"/>
      <c r="F5984" s="181"/>
      <c r="G5984" s="181"/>
      <c r="H5984" s="181"/>
      <c r="I5984" s="181"/>
      <c r="J5984" s="181"/>
      <c r="K5984" s="181"/>
      <c r="L5984" s="181"/>
      <c r="M5984" s="181"/>
      <c r="N5984" s="181"/>
      <c r="O5984" s="181"/>
      <c r="P5984" s="181"/>
    </row>
    <row r="5985">
      <c r="B5985" s="292"/>
      <c r="C5985" s="181"/>
      <c r="D5985" s="181"/>
      <c r="E5985" s="181"/>
      <c r="F5985" s="181"/>
      <c r="G5985" s="181"/>
      <c r="H5985" s="181"/>
      <c r="I5985" s="181"/>
      <c r="J5985" s="181"/>
      <c r="K5985" s="181"/>
      <c r="L5985" s="181"/>
      <c r="M5985" s="181"/>
      <c r="N5985" s="181"/>
      <c r="O5985" s="181"/>
      <c r="P5985" s="181"/>
    </row>
    <row r="5986">
      <c r="B5986" s="292"/>
      <c r="C5986" s="181"/>
      <c r="D5986" s="181"/>
      <c r="E5986" s="181"/>
      <c r="F5986" s="181"/>
      <c r="G5986" s="181"/>
      <c r="H5986" s="181"/>
      <c r="I5986" s="181"/>
      <c r="J5986" s="181"/>
      <c r="K5986" s="181"/>
      <c r="L5986" s="181"/>
      <c r="M5986" s="181"/>
      <c r="N5986" s="181"/>
      <c r="O5986" s="181"/>
      <c r="P5986" s="181"/>
    </row>
    <row r="5987">
      <c r="B5987" s="292"/>
      <c r="C5987" s="181"/>
      <c r="D5987" s="181"/>
      <c r="E5987" s="181"/>
      <c r="F5987" s="181"/>
      <c r="G5987" s="181"/>
      <c r="H5987" s="181"/>
      <c r="I5987" s="181"/>
      <c r="J5987" s="181"/>
      <c r="K5987" s="181"/>
      <c r="L5987" s="181"/>
      <c r="M5987" s="181"/>
      <c r="N5987" s="181"/>
      <c r="O5987" s="181"/>
      <c r="P5987" s="181"/>
    </row>
    <row r="5988">
      <c r="B5988" s="292"/>
      <c r="C5988" s="181"/>
      <c r="D5988" s="181"/>
      <c r="E5988" s="181"/>
      <c r="F5988" s="181"/>
      <c r="G5988" s="181"/>
      <c r="H5988" s="181"/>
      <c r="I5988" s="181"/>
      <c r="J5988" s="181"/>
      <c r="K5988" s="181"/>
      <c r="L5988" s="181"/>
      <c r="M5988" s="181"/>
      <c r="N5988" s="181"/>
      <c r="O5988" s="181"/>
      <c r="P5988" s="181"/>
    </row>
    <row r="5989">
      <c r="B5989" s="292"/>
      <c r="C5989" s="181"/>
      <c r="D5989" s="181"/>
      <c r="E5989" s="181"/>
      <c r="F5989" s="181"/>
      <c r="G5989" s="181"/>
      <c r="H5989" s="181"/>
      <c r="I5989" s="181"/>
      <c r="J5989" s="181"/>
      <c r="K5989" s="181"/>
      <c r="L5989" s="181"/>
      <c r="M5989" s="181"/>
      <c r="N5989" s="181"/>
      <c r="O5989" s="181"/>
      <c r="P5989" s="181"/>
    </row>
    <row r="5990">
      <c r="B5990" s="292"/>
      <c r="C5990" s="181"/>
      <c r="D5990" s="181"/>
      <c r="E5990" s="181"/>
      <c r="F5990" s="181"/>
      <c r="G5990" s="181"/>
      <c r="H5990" s="181"/>
      <c r="I5990" s="181"/>
      <c r="J5990" s="181"/>
      <c r="K5990" s="181"/>
      <c r="L5990" s="181"/>
      <c r="M5990" s="181"/>
      <c r="N5990" s="181"/>
      <c r="O5990" s="181"/>
      <c r="P5990" s="181"/>
    </row>
    <row r="5991">
      <c r="B5991" s="292"/>
      <c r="C5991" s="181"/>
      <c r="D5991" s="181"/>
      <c r="E5991" s="181"/>
      <c r="F5991" s="181"/>
      <c r="G5991" s="181"/>
      <c r="H5991" s="181"/>
      <c r="I5991" s="181"/>
      <c r="J5991" s="181"/>
      <c r="K5991" s="181"/>
      <c r="L5991" s="181"/>
      <c r="M5991" s="181"/>
      <c r="N5991" s="181"/>
      <c r="O5991" s="181"/>
      <c r="P5991" s="181"/>
    </row>
    <row r="5992">
      <c r="B5992" s="292"/>
      <c r="C5992" s="181"/>
      <c r="D5992" s="181"/>
      <c r="E5992" s="181"/>
      <c r="F5992" s="181"/>
      <c r="G5992" s="181"/>
      <c r="H5992" s="181"/>
      <c r="I5992" s="181"/>
      <c r="J5992" s="181"/>
      <c r="K5992" s="181"/>
      <c r="L5992" s="181"/>
      <c r="M5992" s="181"/>
      <c r="N5992" s="181"/>
      <c r="O5992" s="181"/>
      <c r="P5992" s="181"/>
    </row>
    <row r="5993">
      <c r="B5993" s="292"/>
      <c r="C5993" s="181"/>
      <c r="D5993" s="181"/>
      <c r="E5993" s="181"/>
      <c r="F5993" s="181"/>
      <c r="G5993" s="181"/>
      <c r="H5993" s="181"/>
      <c r="I5993" s="181"/>
      <c r="J5993" s="181"/>
      <c r="K5993" s="181"/>
      <c r="L5993" s="181"/>
      <c r="M5993" s="181"/>
      <c r="N5993" s="181"/>
      <c r="O5993" s="181"/>
      <c r="P5993" s="181"/>
    </row>
    <row r="5994">
      <c r="B5994" s="292"/>
      <c r="C5994" s="181"/>
      <c r="D5994" s="181"/>
      <c r="E5994" s="181"/>
      <c r="F5994" s="181"/>
      <c r="G5994" s="181"/>
      <c r="H5994" s="181"/>
      <c r="I5994" s="181"/>
      <c r="J5994" s="181"/>
      <c r="K5994" s="181"/>
      <c r="L5994" s="181"/>
      <c r="M5994" s="181"/>
      <c r="N5994" s="181"/>
      <c r="O5994" s="181"/>
      <c r="P5994" s="181"/>
    </row>
    <row r="5995">
      <c r="B5995" s="292"/>
      <c r="C5995" s="181"/>
      <c r="D5995" s="181"/>
      <c r="E5995" s="181"/>
      <c r="F5995" s="181"/>
      <c r="G5995" s="181"/>
      <c r="H5995" s="181"/>
      <c r="I5995" s="181"/>
      <c r="J5995" s="181"/>
      <c r="K5995" s="181"/>
      <c r="L5995" s="181"/>
      <c r="M5995" s="181"/>
      <c r="N5995" s="181"/>
      <c r="O5995" s="181"/>
      <c r="P5995" s="181"/>
    </row>
    <row r="5996">
      <c r="B5996" s="292"/>
      <c r="C5996" s="181"/>
      <c r="D5996" s="181"/>
      <c r="E5996" s="181"/>
      <c r="F5996" s="181"/>
      <c r="G5996" s="181"/>
      <c r="H5996" s="181"/>
      <c r="I5996" s="181"/>
      <c r="J5996" s="181"/>
      <c r="K5996" s="181"/>
      <c r="L5996" s="181"/>
      <c r="M5996" s="181"/>
      <c r="N5996" s="181"/>
      <c r="O5996" s="181"/>
      <c r="P5996" s="181"/>
    </row>
    <row r="5997">
      <c r="B5997" s="292"/>
      <c r="C5997" s="181"/>
      <c r="D5997" s="181"/>
      <c r="E5997" s="181"/>
      <c r="F5997" s="181"/>
      <c r="G5997" s="181"/>
      <c r="H5997" s="181"/>
      <c r="I5997" s="181"/>
      <c r="J5997" s="181"/>
      <c r="K5997" s="181"/>
      <c r="L5997" s="181"/>
      <c r="M5997" s="181"/>
      <c r="N5997" s="181"/>
      <c r="O5997" s="181"/>
      <c r="P5997" s="181"/>
    </row>
    <row r="5998">
      <c r="B5998" s="292"/>
      <c r="C5998" s="181"/>
      <c r="D5998" s="181"/>
      <c r="E5998" s="181"/>
      <c r="F5998" s="181"/>
      <c r="G5998" s="181"/>
      <c r="H5998" s="181"/>
      <c r="I5998" s="181"/>
      <c r="J5998" s="181"/>
      <c r="K5998" s="181"/>
      <c r="L5998" s="181"/>
      <c r="M5998" s="181"/>
      <c r="N5998" s="181"/>
      <c r="O5998" s="181"/>
      <c r="P5998" s="181"/>
    </row>
    <row r="5999">
      <c r="B5999" s="292"/>
      <c r="C5999" s="181"/>
      <c r="D5999" s="181"/>
      <c r="E5999" s="181"/>
      <c r="F5999" s="181"/>
      <c r="G5999" s="181"/>
      <c r="H5999" s="181"/>
      <c r="I5999" s="181"/>
      <c r="J5999" s="181"/>
      <c r="K5999" s="181"/>
      <c r="L5999" s="181"/>
      <c r="M5999" s="181"/>
      <c r="N5999" s="181"/>
      <c r="O5999" s="181"/>
      <c r="P5999" s="181"/>
    </row>
    <row r="6000">
      <c r="B6000" s="292"/>
      <c r="C6000" s="181"/>
      <c r="D6000" s="181"/>
      <c r="E6000" s="181"/>
      <c r="F6000" s="181"/>
      <c r="G6000" s="181"/>
      <c r="H6000" s="181"/>
      <c r="I6000" s="181"/>
      <c r="J6000" s="181"/>
      <c r="K6000" s="181"/>
      <c r="L6000" s="181"/>
      <c r="M6000" s="181"/>
      <c r="N6000" s="181"/>
      <c r="O6000" s="181"/>
      <c r="P6000" s="181"/>
    </row>
    <row r="6001">
      <c r="B6001" s="292"/>
      <c r="C6001" s="181"/>
      <c r="D6001" s="181"/>
      <c r="E6001" s="181"/>
      <c r="F6001" s="181"/>
      <c r="G6001" s="181"/>
      <c r="H6001" s="181"/>
      <c r="I6001" s="181"/>
      <c r="J6001" s="181"/>
      <c r="K6001" s="181"/>
      <c r="L6001" s="181"/>
      <c r="M6001" s="181"/>
      <c r="N6001" s="181"/>
      <c r="O6001" s="181"/>
      <c r="P6001" s="181"/>
    </row>
    <row r="6002">
      <c r="B6002" s="292"/>
      <c r="C6002" s="181"/>
      <c r="D6002" s="181"/>
      <c r="E6002" s="181"/>
      <c r="F6002" s="181"/>
      <c r="G6002" s="181"/>
      <c r="H6002" s="181"/>
      <c r="I6002" s="181"/>
      <c r="J6002" s="181"/>
      <c r="K6002" s="181"/>
      <c r="L6002" s="181"/>
      <c r="M6002" s="181"/>
      <c r="N6002" s="181"/>
      <c r="O6002" s="181"/>
      <c r="P6002" s="181"/>
    </row>
    <row r="6003">
      <c r="B6003" s="292"/>
      <c r="C6003" s="181"/>
      <c r="D6003" s="181"/>
      <c r="E6003" s="181"/>
      <c r="F6003" s="181"/>
      <c r="G6003" s="181"/>
      <c r="H6003" s="181"/>
      <c r="I6003" s="181"/>
      <c r="J6003" s="181"/>
      <c r="K6003" s="181"/>
      <c r="L6003" s="181"/>
      <c r="M6003" s="181"/>
      <c r="N6003" s="181"/>
      <c r="O6003" s="181"/>
      <c r="P6003" s="181"/>
    </row>
    <row r="6004">
      <c r="B6004" s="292"/>
      <c r="C6004" s="181"/>
      <c r="D6004" s="181"/>
      <c r="E6004" s="181"/>
      <c r="F6004" s="181"/>
      <c r="G6004" s="181"/>
      <c r="H6004" s="181"/>
      <c r="I6004" s="181"/>
      <c r="J6004" s="181"/>
      <c r="K6004" s="181"/>
      <c r="L6004" s="181"/>
      <c r="M6004" s="181"/>
      <c r="N6004" s="181"/>
      <c r="O6004" s="181"/>
      <c r="P6004" s="181"/>
    </row>
    <row r="6005">
      <c r="B6005" s="292"/>
      <c r="C6005" s="181"/>
      <c r="D6005" s="181"/>
      <c r="E6005" s="181"/>
      <c r="F6005" s="181"/>
      <c r="G6005" s="181"/>
      <c r="H6005" s="181"/>
      <c r="I6005" s="181"/>
      <c r="J6005" s="181"/>
      <c r="K6005" s="181"/>
      <c r="L6005" s="181"/>
      <c r="M6005" s="181"/>
      <c r="N6005" s="181"/>
      <c r="O6005" s="181"/>
      <c r="P6005" s="181"/>
    </row>
    <row r="6006">
      <c r="B6006" s="292"/>
      <c r="C6006" s="181"/>
      <c r="D6006" s="181"/>
      <c r="E6006" s="181"/>
      <c r="F6006" s="181"/>
      <c r="G6006" s="181"/>
      <c r="H6006" s="181"/>
      <c r="I6006" s="181"/>
      <c r="J6006" s="181"/>
      <c r="K6006" s="181"/>
      <c r="L6006" s="181"/>
      <c r="M6006" s="181"/>
      <c r="N6006" s="181"/>
      <c r="O6006" s="181"/>
      <c r="P6006" s="181"/>
    </row>
    <row r="6007">
      <c r="B6007" s="292"/>
      <c r="C6007" s="181"/>
      <c r="D6007" s="181"/>
      <c r="E6007" s="181"/>
      <c r="F6007" s="181"/>
      <c r="G6007" s="181"/>
      <c r="H6007" s="181"/>
      <c r="I6007" s="181"/>
      <c r="J6007" s="181"/>
      <c r="K6007" s="181"/>
      <c r="L6007" s="181"/>
      <c r="M6007" s="181"/>
      <c r="N6007" s="181"/>
      <c r="O6007" s="181"/>
      <c r="P6007" s="181"/>
    </row>
    <row r="6008">
      <c r="B6008" s="292"/>
      <c r="C6008" s="181"/>
      <c r="D6008" s="181"/>
      <c r="E6008" s="181"/>
      <c r="F6008" s="181"/>
      <c r="G6008" s="181"/>
      <c r="H6008" s="181"/>
      <c r="I6008" s="181"/>
      <c r="J6008" s="181"/>
      <c r="K6008" s="181"/>
      <c r="L6008" s="181"/>
      <c r="M6008" s="181"/>
      <c r="N6008" s="181"/>
      <c r="O6008" s="181"/>
      <c r="P6008" s="181"/>
    </row>
    <row r="6009">
      <c r="B6009" s="292"/>
      <c r="C6009" s="181"/>
      <c r="D6009" s="181"/>
      <c r="E6009" s="181"/>
      <c r="F6009" s="181"/>
      <c r="G6009" s="181"/>
      <c r="H6009" s="181"/>
      <c r="I6009" s="181"/>
      <c r="J6009" s="181"/>
      <c r="K6009" s="181"/>
      <c r="L6009" s="181"/>
      <c r="M6009" s="181"/>
      <c r="N6009" s="181"/>
      <c r="O6009" s="181"/>
      <c r="P6009" s="181"/>
    </row>
    <row r="6010">
      <c r="B6010" s="292"/>
      <c r="C6010" s="181"/>
      <c r="D6010" s="181"/>
      <c r="E6010" s="181"/>
      <c r="F6010" s="181"/>
      <c r="G6010" s="181"/>
      <c r="H6010" s="181"/>
      <c r="I6010" s="181"/>
      <c r="J6010" s="181"/>
      <c r="K6010" s="181"/>
      <c r="L6010" s="181"/>
      <c r="M6010" s="181"/>
      <c r="N6010" s="181"/>
      <c r="O6010" s="181"/>
      <c r="P6010" s="181"/>
    </row>
    <row r="6011">
      <c r="B6011" s="292"/>
      <c r="C6011" s="181"/>
      <c r="D6011" s="181"/>
      <c r="E6011" s="181"/>
      <c r="F6011" s="181"/>
      <c r="G6011" s="181"/>
      <c r="H6011" s="181"/>
      <c r="I6011" s="181"/>
      <c r="J6011" s="181"/>
      <c r="K6011" s="181"/>
      <c r="L6011" s="181"/>
      <c r="M6011" s="181"/>
      <c r="N6011" s="181"/>
      <c r="O6011" s="181"/>
      <c r="P6011" s="181"/>
    </row>
    <row r="6012">
      <c r="B6012" s="292"/>
      <c r="C6012" s="181"/>
      <c r="D6012" s="181"/>
      <c r="E6012" s="181"/>
      <c r="F6012" s="181"/>
      <c r="G6012" s="181"/>
      <c r="H6012" s="181"/>
      <c r="I6012" s="181"/>
      <c r="J6012" s="181"/>
      <c r="K6012" s="181"/>
      <c r="L6012" s="181"/>
      <c r="M6012" s="181"/>
      <c r="N6012" s="181"/>
      <c r="O6012" s="181"/>
      <c r="P6012" s="181"/>
    </row>
    <row r="6013">
      <c r="B6013" s="292"/>
      <c r="C6013" s="181"/>
      <c r="D6013" s="181"/>
      <c r="E6013" s="181"/>
      <c r="F6013" s="181"/>
      <c r="G6013" s="181"/>
      <c r="H6013" s="181"/>
      <c r="I6013" s="181"/>
      <c r="J6013" s="181"/>
      <c r="K6013" s="181"/>
      <c r="L6013" s="181"/>
      <c r="M6013" s="181"/>
      <c r="N6013" s="181"/>
      <c r="O6013" s="181"/>
      <c r="P6013" s="181"/>
    </row>
    <row r="6014">
      <c r="B6014" s="292"/>
      <c r="C6014" s="181"/>
      <c r="D6014" s="181"/>
      <c r="E6014" s="181"/>
      <c r="F6014" s="181"/>
      <c r="G6014" s="181"/>
      <c r="H6014" s="181"/>
      <c r="I6014" s="181"/>
      <c r="J6014" s="181"/>
      <c r="K6014" s="181"/>
      <c r="L6014" s="181"/>
      <c r="M6014" s="181"/>
      <c r="N6014" s="181"/>
      <c r="O6014" s="181"/>
      <c r="P6014" s="181"/>
    </row>
    <row r="6015">
      <c r="B6015" s="292"/>
      <c r="C6015" s="181"/>
      <c r="D6015" s="181"/>
      <c r="E6015" s="181"/>
      <c r="F6015" s="181"/>
      <c r="G6015" s="181"/>
      <c r="H6015" s="181"/>
      <c r="I6015" s="181"/>
      <c r="J6015" s="181"/>
      <c r="K6015" s="181"/>
      <c r="L6015" s="181"/>
      <c r="M6015" s="181"/>
      <c r="N6015" s="181"/>
      <c r="O6015" s="181"/>
      <c r="P6015" s="181"/>
    </row>
    <row r="6016">
      <c r="B6016" s="292"/>
      <c r="C6016" s="181"/>
      <c r="D6016" s="181"/>
      <c r="E6016" s="181"/>
      <c r="F6016" s="181"/>
      <c r="G6016" s="181"/>
      <c r="H6016" s="181"/>
      <c r="I6016" s="181"/>
      <c r="J6016" s="181"/>
      <c r="K6016" s="181"/>
      <c r="L6016" s="181"/>
      <c r="M6016" s="181"/>
      <c r="N6016" s="181"/>
      <c r="O6016" s="181"/>
      <c r="P6016" s="181"/>
    </row>
    <row r="6017">
      <c r="B6017" s="292"/>
      <c r="C6017" s="181"/>
      <c r="D6017" s="181"/>
      <c r="E6017" s="181"/>
      <c r="F6017" s="181"/>
      <c r="G6017" s="181"/>
      <c r="H6017" s="181"/>
      <c r="I6017" s="181"/>
      <c r="J6017" s="181"/>
      <c r="K6017" s="181"/>
      <c r="L6017" s="181"/>
      <c r="M6017" s="181"/>
      <c r="N6017" s="181"/>
      <c r="O6017" s="181"/>
      <c r="P6017" s="181"/>
    </row>
    <row r="6018">
      <c r="B6018" s="292"/>
      <c r="C6018" s="181"/>
      <c r="D6018" s="181"/>
      <c r="E6018" s="181"/>
      <c r="F6018" s="181"/>
      <c r="G6018" s="181"/>
      <c r="H6018" s="181"/>
      <c r="I6018" s="181"/>
      <c r="J6018" s="181"/>
      <c r="K6018" s="181"/>
      <c r="L6018" s="181"/>
      <c r="M6018" s="181"/>
      <c r="N6018" s="181"/>
      <c r="O6018" s="181"/>
      <c r="P6018" s="181"/>
    </row>
    <row r="6019">
      <c r="B6019" s="292"/>
      <c r="C6019" s="181"/>
      <c r="D6019" s="181"/>
      <c r="E6019" s="181"/>
      <c r="F6019" s="181"/>
      <c r="G6019" s="181"/>
      <c r="H6019" s="181"/>
      <c r="I6019" s="181"/>
      <c r="J6019" s="181"/>
      <c r="K6019" s="181"/>
      <c r="L6019" s="181"/>
      <c r="M6019" s="181"/>
      <c r="N6019" s="181"/>
      <c r="O6019" s="181"/>
      <c r="P6019" s="181"/>
    </row>
    <row r="6020">
      <c r="B6020" s="292"/>
      <c r="C6020" s="181"/>
      <c r="D6020" s="181"/>
      <c r="E6020" s="181"/>
      <c r="F6020" s="181"/>
      <c r="G6020" s="181"/>
      <c r="H6020" s="181"/>
      <c r="I6020" s="181"/>
      <c r="J6020" s="181"/>
      <c r="K6020" s="181"/>
      <c r="L6020" s="181"/>
      <c r="M6020" s="181"/>
      <c r="N6020" s="181"/>
      <c r="O6020" s="181"/>
      <c r="P6020" s="181"/>
    </row>
    <row r="6021">
      <c r="B6021" s="292"/>
      <c r="C6021" s="181"/>
      <c r="D6021" s="181"/>
      <c r="E6021" s="181"/>
      <c r="F6021" s="181"/>
      <c r="G6021" s="181"/>
      <c r="H6021" s="181"/>
      <c r="I6021" s="181"/>
      <c r="J6021" s="181"/>
      <c r="K6021" s="181"/>
      <c r="L6021" s="181"/>
      <c r="M6021" s="181"/>
      <c r="N6021" s="181"/>
      <c r="O6021" s="181"/>
      <c r="P6021" s="181"/>
    </row>
    <row r="6022">
      <c r="B6022" s="292"/>
      <c r="C6022" s="181"/>
      <c r="D6022" s="181"/>
      <c r="E6022" s="181"/>
      <c r="F6022" s="181"/>
      <c r="G6022" s="181"/>
      <c r="H6022" s="181"/>
      <c r="I6022" s="181"/>
      <c r="J6022" s="181"/>
      <c r="K6022" s="181"/>
      <c r="L6022" s="181"/>
      <c r="M6022" s="181"/>
      <c r="N6022" s="181"/>
      <c r="O6022" s="181"/>
      <c r="P6022" s="181"/>
    </row>
    <row r="6023">
      <c r="B6023" s="292"/>
      <c r="C6023" s="181"/>
      <c r="D6023" s="181"/>
      <c r="E6023" s="181"/>
      <c r="F6023" s="181"/>
      <c r="G6023" s="181"/>
      <c r="H6023" s="181"/>
      <c r="I6023" s="181"/>
      <c r="J6023" s="181"/>
      <c r="K6023" s="181"/>
      <c r="L6023" s="181"/>
      <c r="M6023" s="181"/>
      <c r="N6023" s="181"/>
      <c r="O6023" s="181"/>
      <c r="P6023" s="181"/>
    </row>
    <row r="6024">
      <c r="B6024" s="292"/>
      <c r="C6024" s="181"/>
      <c r="D6024" s="181"/>
      <c r="E6024" s="181"/>
      <c r="F6024" s="181"/>
      <c r="G6024" s="181"/>
      <c r="H6024" s="181"/>
      <c r="I6024" s="181"/>
      <c r="J6024" s="181"/>
      <c r="K6024" s="181"/>
      <c r="L6024" s="181"/>
      <c r="M6024" s="181"/>
      <c r="N6024" s="181"/>
      <c r="O6024" s="181"/>
      <c r="P6024" s="181"/>
    </row>
    <row r="6025">
      <c r="B6025" s="292"/>
      <c r="C6025" s="181"/>
      <c r="D6025" s="181"/>
      <c r="E6025" s="181"/>
      <c r="F6025" s="181"/>
      <c r="G6025" s="181"/>
      <c r="H6025" s="181"/>
      <c r="I6025" s="181"/>
      <c r="J6025" s="181"/>
      <c r="K6025" s="181"/>
      <c r="L6025" s="181"/>
      <c r="M6025" s="181"/>
      <c r="N6025" s="181"/>
      <c r="O6025" s="181"/>
      <c r="P6025" s="181"/>
    </row>
    <row r="6026">
      <c r="B6026" s="292"/>
      <c r="C6026" s="181"/>
      <c r="D6026" s="181"/>
      <c r="E6026" s="181"/>
      <c r="F6026" s="181"/>
      <c r="G6026" s="181"/>
      <c r="H6026" s="181"/>
      <c r="I6026" s="181"/>
      <c r="J6026" s="181"/>
      <c r="K6026" s="181"/>
      <c r="L6026" s="181"/>
      <c r="M6026" s="181"/>
      <c r="N6026" s="181"/>
      <c r="O6026" s="181"/>
      <c r="P6026" s="181"/>
    </row>
    <row r="6027">
      <c r="B6027" s="292"/>
      <c r="C6027" s="181"/>
      <c r="D6027" s="181"/>
      <c r="E6027" s="181"/>
      <c r="F6027" s="181"/>
      <c r="G6027" s="181"/>
      <c r="H6027" s="181"/>
      <c r="I6027" s="181"/>
      <c r="J6027" s="181"/>
      <c r="K6027" s="181"/>
      <c r="L6027" s="181"/>
      <c r="M6027" s="181"/>
      <c r="N6027" s="181"/>
      <c r="O6027" s="181"/>
      <c r="P6027" s="181"/>
    </row>
    <row r="6028">
      <c r="B6028" s="292"/>
      <c r="C6028" s="181"/>
      <c r="D6028" s="181"/>
      <c r="E6028" s="181"/>
      <c r="F6028" s="181"/>
      <c r="G6028" s="181"/>
      <c r="H6028" s="181"/>
      <c r="I6028" s="181"/>
      <c r="J6028" s="181"/>
      <c r="K6028" s="181"/>
      <c r="L6028" s="181"/>
      <c r="M6028" s="181"/>
      <c r="N6028" s="181"/>
      <c r="O6028" s="181"/>
      <c r="P6028" s="181"/>
    </row>
    <row r="6029">
      <c r="B6029" s="292"/>
      <c r="C6029" s="181"/>
      <c r="D6029" s="181"/>
      <c r="E6029" s="181"/>
      <c r="F6029" s="181"/>
      <c r="G6029" s="181"/>
      <c r="H6029" s="181"/>
      <c r="I6029" s="181"/>
      <c r="J6029" s="181"/>
      <c r="K6029" s="181"/>
      <c r="L6029" s="181"/>
      <c r="M6029" s="181"/>
      <c r="N6029" s="181"/>
      <c r="O6029" s="181"/>
      <c r="P6029" s="181"/>
    </row>
    <row r="6030">
      <c r="B6030" s="292"/>
      <c r="C6030" s="181"/>
      <c r="D6030" s="181"/>
      <c r="E6030" s="181"/>
      <c r="F6030" s="181"/>
      <c r="G6030" s="181"/>
      <c r="H6030" s="181"/>
      <c r="I6030" s="181"/>
      <c r="J6030" s="181"/>
      <c r="K6030" s="181"/>
      <c r="L6030" s="181"/>
      <c r="M6030" s="181"/>
      <c r="N6030" s="181"/>
      <c r="O6030" s="181"/>
      <c r="P6030" s="181"/>
    </row>
    <row r="6031">
      <c r="B6031" s="292"/>
      <c r="C6031" s="181"/>
      <c r="D6031" s="181"/>
      <c r="E6031" s="181"/>
      <c r="F6031" s="181"/>
      <c r="G6031" s="181"/>
      <c r="H6031" s="181"/>
      <c r="I6031" s="181"/>
      <c r="J6031" s="181"/>
      <c r="K6031" s="181"/>
      <c r="L6031" s="181"/>
      <c r="M6031" s="181"/>
      <c r="N6031" s="181"/>
      <c r="O6031" s="181"/>
      <c r="P6031" s="181"/>
    </row>
    <row r="6032">
      <c r="B6032" s="292"/>
      <c r="C6032" s="181"/>
      <c r="D6032" s="181"/>
      <c r="E6032" s="181"/>
      <c r="F6032" s="181"/>
      <c r="G6032" s="181"/>
      <c r="H6032" s="181"/>
      <c r="I6032" s="181"/>
      <c r="J6032" s="181"/>
      <c r="K6032" s="181"/>
      <c r="L6032" s="181"/>
      <c r="M6032" s="181"/>
      <c r="N6032" s="181"/>
      <c r="O6032" s="181"/>
      <c r="P6032" s="181"/>
    </row>
    <row r="6033">
      <c r="B6033" s="292"/>
      <c r="C6033" s="181"/>
      <c r="D6033" s="181"/>
      <c r="E6033" s="181"/>
      <c r="F6033" s="181"/>
      <c r="G6033" s="181"/>
      <c r="H6033" s="181"/>
      <c r="I6033" s="181"/>
      <c r="J6033" s="181"/>
      <c r="K6033" s="181"/>
      <c r="L6033" s="181"/>
      <c r="M6033" s="181"/>
      <c r="N6033" s="181"/>
      <c r="O6033" s="181"/>
      <c r="P6033" s="181"/>
    </row>
    <row r="6034">
      <c r="B6034" s="292"/>
      <c r="C6034" s="181"/>
      <c r="D6034" s="181"/>
      <c r="E6034" s="181"/>
      <c r="F6034" s="181"/>
      <c r="G6034" s="181"/>
      <c r="H6034" s="181"/>
      <c r="I6034" s="181"/>
      <c r="J6034" s="181"/>
      <c r="K6034" s="181"/>
      <c r="L6034" s="181"/>
      <c r="M6034" s="181"/>
      <c r="N6034" s="181"/>
      <c r="O6034" s="181"/>
      <c r="P6034" s="181"/>
    </row>
    <row r="6035">
      <c r="B6035" s="292"/>
      <c r="C6035" s="181"/>
      <c r="D6035" s="181"/>
      <c r="E6035" s="181"/>
      <c r="F6035" s="181"/>
      <c r="G6035" s="181"/>
      <c r="H6035" s="181"/>
      <c r="I6035" s="181"/>
      <c r="J6035" s="181"/>
      <c r="K6035" s="181"/>
      <c r="L6035" s="181"/>
      <c r="M6035" s="181"/>
      <c r="N6035" s="181"/>
      <c r="O6035" s="181"/>
      <c r="P6035" s="181"/>
    </row>
    <row r="6036">
      <c r="B6036" s="292"/>
      <c r="C6036" s="181"/>
      <c r="D6036" s="181"/>
      <c r="E6036" s="181"/>
      <c r="F6036" s="181"/>
      <c r="G6036" s="181"/>
      <c r="H6036" s="181"/>
      <c r="I6036" s="181"/>
      <c r="J6036" s="181"/>
      <c r="K6036" s="181"/>
      <c r="L6036" s="181"/>
      <c r="M6036" s="181"/>
      <c r="N6036" s="181"/>
      <c r="O6036" s="181"/>
      <c r="P6036" s="181"/>
    </row>
    <row r="6037">
      <c r="B6037" s="292"/>
      <c r="C6037" s="181"/>
      <c r="D6037" s="181"/>
      <c r="E6037" s="181"/>
      <c r="F6037" s="181"/>
      <c r="G6037" s="181"/>
      <c r="H6037" s="181"/>
      <c r="I6037" s="181"/>
      <c r="J6037" s="181"/>
      <c r="K6037" s="181"/>
      <c r="L6037" s="181"/>
      <c r="M6037" s="181"/>
      <c r="N6037" s="181"/>
      <c r="O6037" s="181"/>
      <c r="P6037" s="181"/>
    </row>
    <row r="6038">
      <c r="B6038" s="292"/>
      <c r="C6038" s="181"/>
      <c r="D6038" s="181"/>
      <c r="E6038" s="181"/>
      <c r="F6038" s="181"/>
      <c r="G6038" s="181"/>
      <c r="H6038" s="181"/>
      <c r="I6038" s="181"/>
      <c r="J6038" s="181"/>
      <c r="K6038" s="181"/>
      <c r="L6038" s="181"/>
      <c r="M6038" s="181"/>
      <c r="N6038" s="181"/>
      <c r="O6038" s="181"/>
      <c r="P6038" s="181"/>
    </row>
    <row r="6039">
      <c r="B6039" s="292"/>
      <c r="C6039" s="181"/>
      <c r="D6039" s="181"/>
      <c r="E6039" s="181"/>
      <c r="F6039" s="181"/>
      <c r="G6039" s="181"/>
      <c r="H6039" s="181"/>
      <c r="I6039" s="181"/>
      <c r="J6039" s="181"/>
      <c r="K6039" s="181"/>
      <c r="L6039" s="181"/>
      <c r="M6039" s="181"/>
      <c r="N6039" s="181"/>
      <c r="O6039" s="181"/>
      <c r="P6039" s="181"/>
    </row>
    <row r="6040">
      <c r="B6040" s="292"/>
      <c r="C6040" s="181"/>
      <c r="D6040" s="181"/>
      <c r="E6040" s="181"/>
      <c r="F6040" s="181"/>
      <c r="G6040" s="181"/>
      <c r="H6040" s="181"/>
      <c r="I6040" s="181"/>
      <c r="J6040" s="181"/>
      <c r="K6040" s="181"/>
      <c r="L6040" s="181"/>
      <c r="M6040" s="181"/>
      <c r="N6040" s="181"/>
      <c r="O6040" s="181"/>
      <c r="P6040" s="181"/>
    </row>
    <row r="6041">
      <c r="B6041" s="292"/>
      <c r="C6041" s="181"/>
      <c r="D6041" s="181"/>
      <c r="E6041" s="181"/>
      <c r="F6041" s="181"/>
      <c r="G6041" s="181"/>
      <c r="H6041" s="181"/>
      <c r="I6041" s="181"/>
      <c r="J6041" s="181"/>
      <c r="K6041" s="181"/>
      <c r="L6041" s="181"/>
      <c r="M6041" s="181"/>
      <c r="N6041" s="181"/>
      <c r="O6041" s="181"/>
      <c r="P6041" s="181"/>
    </row>
    <row r="6042">
      <c r="B6042" s="292"/>
      <c r="C6042" s="181"/>
      <c r="D6042" s="181"/>
      <c r="E6042" s="181"/>
      <c r="F6042" s="181"/>
      <c r="G6042" s="181"/>
      <c r="H6042" s="181"/>
      <c r="I6042" s="181"/>
      <c r="J6042" s="181"/>
      <c r="K6042" s="181"/>
      <c r="L6042" s="181"/>
      <c r="M6042" s="181"/>
      <c r="N6042" s="181"/>
      <c r="O6042" s="181"/>
      <c r="P6042" s="181"/>
    </row>
    <row r="6043">
      <c r="B6043" s="292"/>
      <c r="C6043" s="181"/>
      <c r="D6043" s="181"/>
      <c r="E6043" s="181"/>
      <c r="F6043" s="181"/>
      <c r="G6043" s="181"/>
      <c r="H6043" s="181"/>
      <c r="I6043" s="181"/>
      <c r="J6043" s="181"/>
      <c r="K6043" s="181"/>
      <c r="L6043" s="181"/>
      <c r="M6043" s="181"/>
      <c r="N6043" s="181"/>
      <c r="O6043" s="181"/>
      <c r="P6043" s="181"/>
    </row>
    <row r="6044">
      <c r="B6044" s="292"/>
      <c r="C6044" s="181"/>
      <c r="D6044" s="181"/>
      <c r="E6044" s="181"/>
      <c r="F6044" s="181"/>
      <c r="G6044" s="181"/>
      <c r="H6044" s="181"/>
      <c r="I6044" s="181"/>
      <c r="J6044" s="181"/>
      <c r="K6044" s="181"/>
      <c r="L6044" s="181"/>
      <c r="M6044" s="181"/>
      <c r="N6044" s="181"/>
      <c r="O6044" s="181"/>
      <c r="P6044" s="181"/>
    </row>
    <row r="6045">
      <c r="B6045" s="292"/>
      <c r="C6045" s="181"/>
      <c r="D6045" s="181"/>
      <c r="E6045" s="181"/>
      <c r="F6045" s="181"/>
      <c r="G6045" s="181"/>
      <c r="H6045" s="181"/>
      <c r="I6045" s="181"/>
      <c r="J6045" s="181"/>
      <c r="K6045" s="181"/>
      <c r="L6045" s="181"/>
      <c r="M6045" s="181"/>
      <c r="N6045" s="181"/>
      <c r="O6045" s="181"/>
      <c r="P6045" s="181"/>
    </row>
    <row r="6046">
      <c r="B6046" s="292"/>
      <c r="C6046" s="181"/>
      <c r="D6046" s="181"/>
      <c r="E6046" s="181"/>
      <c r="F6046" s="181"/>
      <c r="G6046" s="181"/>
      <c r="H6046" s="181"/>
      <c r="I6046" s="181"/>
      <c r="J6046" s="181"/>
      <c r="K6046" s="181"/>
      <c r="L6046" s="181"/>
      <c r="M6046" s="181"/>
      <c r="N6046" s="181"/>
      <c r="O6046" s="181"/>
      <c r="P6046" s="181"/>
    </row>
    <row r="6047">
      <c r="B6047" s="292"/>
      <c r="C6047" s="181"/>
      <c r="D6047" s="181"/>
      <c r="E6047" s="181"/>
      <c r="F6047" s="181"/>
      <c r="G6047" s="181"/>
      <c r="H6047" s="181"/>
      <c r="I6047" s="181"/>
      <c r="J6047" s="181"/>
      <c r="K6047" s="181"/>
      <c r="L6047" s="181"/>
      <c r="M6047" s="181"/>
      <c r="N6047" s="181"/>
      <c r="O6047" s="181"/>
      <c r="P6047" s="181"/>
    </row>
    <row r="6048">
      <c r="B6048" s="292"/>
      <c r="C6048" s="181"/>
      <c r="D6048" s="181"/>
      <c r="E6048" s="181"/>
      <c r="F6048" s="181"/>
      <c r="G6048" s="181"/>
      <c r="H6048" s="181"/>
      <c r="I6048" s="181"/>
      <c r="J6048" s="181"/>
      <c r="K6048" s="181"/>
      <c r="L6048" s="181"/>
      <c r="M6048" s="181"/>
      <c r="N6048" s="181"/>
      <c r="O6048" s="181"/>
      <c r="P6048" s="181"/>
    </row>
    <row r="6049">
      <c r="B6049" s="292"/>
      <c r="C6049" s="181"/>
      <c r="D6049" s="181"/>
      <c r="E6049" s="181"/>
      <c r="F6049" s="181"/>
      <c r="G6049" s="181"/>
      <c r="H6049" s="181"/>
      <c r="I6049" s="181"/>
      <c r="J6049" s="181"/>
      <c r="K6049" s="181"/>
      <c r="L6049" s="181"/>
      <c r="M6049" s="181"/>
      <c r="N6049" s="181"/>
      <c r="O6049" s="181"/>
      <c r="P6049" s="181"/>
    </row>
    <row r="6050">
      <c r="B6050" s="292"/>
      <c r="C6050" s="181"/>
      <c r="D6050" s="181"/>
      <c r="E6050" s="181"/>
      <c r="F6050" s="181"/>
      <c r="G6050" s="181"/>
      <c r="H6050" s="181"/>
      <c r="I6050" s="181"/>
      <c r="J6050" s="181"/>
      <c r="K6050" s="181"/>
      <c r="L6050" s="181"/>
      <c r="M6050" s="181"/>
      <c r="N6050" s="181"/>
      <c r="O6050" s="181"/>
      <c r="P6050" s="181"/>
    </row>
    <row r="6051">
      <c r="B6051" s="292"/>
      <c r="C6051" s="181"/>
      <c r="D6051" s="181"/>
      <c r="E6051" s="181"/>
      <c r="F6051" s="181"/>
      <c r="G6051" s="181"/>
      <c r="H6051" s="181"/>
      <c r="I6051" s="181"/>
      <c r="J6051" s="181"/>
      <c r="K6051" s="181"/>
      <c r="L6051" s="181"/>
      <c r="M6051" s="181"/>
      <c r="N6051" s="181"/>
      <c r="O6051" s="181"/>
      <c r="P6051" s="181"/>
    </row>
    <row r="6052">
      <c r="B6052" s="292"/>
      <c r="C6052" s="181"/>
      <c r="D6052" s="181"/>
      <c r="E6052" s="181"/>
      <c r="F6052" s="181"/>
      <c r="G6052" s="181"/>
      <c r="H6052" s="181"/>
      <c r="I6052" s="181"/>
      <c r="J6052" s="181"/>
      <c r="K6052" s="181"/>
      <c r="L6052" s="181"/>
      <c r="M6052" s="181"/>
      <c r="N6052" s="181"/>
      <c r="O6052" s="181"/>
      <c r="P6052" s="181"/>
    </row>
    <row r="6053">
      <c r="B6053" s="292"/>
      <c r="C6053" s="181"/>
      <c r="D6053" s="181"/>
      <c r="E6053" s="181"/>
      <c r="F6053" s="181"/>
      <c r="G6053" s="181"/>
      <c r="H6053" s="181"/>
      <c r="I6053" s="181"/>
      <c r="J6053" s="181"/>
      <c r="K6053" s="181"/>
      <c r="L6053" s="181"/>
      <c r="M6053" s="181"/>
      <c r="N6053" s="181"/>
      <c r="O6053" s="181"/>
      <c r="P6053" s="181"/>
    </row>
    <row r="6054">
      <c r="B6054" s="292"/>
      <c r="C6054" s="181"/>
      <c r="D6054" s="181"/>
      <c r="E6054" s="181"/>
      <c r="F6054" s="181"/>
      <c r="G6054" s="181"/>
      <c r="H6054" s="181"/>
      <c r="I6054" s="181"/>
      <c r="J6054" s="181"/>
      <c r="K6054" s="181"/>
      <c r="L6054" s="181"/>
      <c r="M6054" s="181"/>
      <c r="N6054" s="181"/>
      <c r="O6054" s="181"/>
      <c r="P6054" s="181"/>
    </row>
    <row r="6055">
      <c r="B6055" s="292"/>
      <c r="C6055" s="181"/>
      <c r="D6055" s="181"/>
      <c r="E6055" s="181"/>
      <c r="F6055" s="181"/>
      <c r="G6055" s="181"/>
      <c r="H6055" s="181"/>
      <c r="I6055" s="181"/>
      <c r="J6055" s="181"/>
      <c r="K6055" s="181"/>
      <c r="L6055" s="181"/>
      <c r="M6055" s="181"/>
      <c r="N6055" s="181"/>
      <c r="O6055" s="181"/>
      <c r="P6055" s="181"/>
    </row>
    <row r="6056">
      <c r="B6056" s="292"/>
      <c r="C6056" s="181"/>
      <c r="D6056" s="181"/>
      <c r="E6056" s="181"/>
      <c r="F6056" s="181"/>
      <c r="G6056" s="181"/>
      <c r="H6056" s="181"/>
      <c r="I6056" s="181"/>
      <c r="J6056" s="181"/>
      <c r="K6056" s="181"/>
      <c r="L6056" s="181"/>
      <c r="M6056" s="181"/>
      <c r="N6056" s="181"/>
      <c r="O6056" s="181"/>
      <c r="P6056" s="181"/>
    </row>
    <row r="6057">
      <c r="B6057" s="292"/>
      <c r="C6057" s="181"/>
      <c r="D6057" s="181"/>
      <c r="E6057" s="181"/>
      <c r="F6057" s="181"/>
      <c r="G6057" s="181"/>
      <c r="H6057" s="181"/>
      <c r="I6057" s="181"/>
      <c r="J6057" s="181"/>
      <c r="K6057" s="181"/>
      <c r="L6057" s="181"/>
      <c r="M6057" s="181"/>
      <c r="N6057" s="181"/>
      <c r="O6057" s="181"/>
      <c r="P6057" s="181"/>
    </row>
    <row r="6058">
      <c r="B6058" s="292"/>
      <c r="C6058" s="181"/>
      <c r="D6058" s="181"/>
      <c r="E6058" s="181"/>
      <c r="F6058" s="181"/>
      <c r="G6058" s="181"/>
      <c r="H6058" s="181"/>
      <c r="I6058" s="181"/>
      <c r="J6058" s="181"/>
      <c r="K6058" s="181"/>
      <c r="L6058" s="181"/>
      <c r="M6058" s="181"/>
      <c r="N6058" s="181"/>
      <c r="O6058" s="181"/>
      <c r="P6058" s="181"/>
    </row>
    <row r="6059">
      <c r="B6059" s="292"/>
      <c r="C6059" s="181"/>
      <c r="D6059" s="181"/>
      <c r="E6059" s="181"/>
      <c r="F6059" s="181"/>
      <c r="G6059" s="181"/>
      <c r="H6059" s="181"/>
      <c r="I6059" s="181"/>
      <c r="J6059" s="181"/>
      <c r="K6059" s="181"/>
      <c r="L6059" s="181"/>
      <c r="M6059" s="181"/>
      <c r="N6059" s="181"/>
      <c r="O6059" s="181"/>
      <c r="P6059" s="181"/>
    </row>
    <row r="6060">
      <c r="B6060" s="292"/>
      <c r="C6060" s="181"/>
      <c r="D6060" s="181"/>
      <c r="E6060" s="181"/>
      <c r="F6060" s="181"/>
      <c r="G6060" s="181"/>
      <c r="H6060" s="181"/>
      <c r="I6060" s="181"/>
      <c r="J6060" s="181"/>
      <c r="K6060" s="181"/>
      <c r="L6060" s="181"/>
      <c r="M6060" s="181"/>
      <c r="N6060" s="181"/>
      <c r="O6060" s="181"/>
      <c r="P6060" s="181"/>
    </row>
    <row r="6061">
      <c r="B6061" s="292"/>
      <c r="C6061" s="181"/>
      <c r="D6061" s="181"/>
      <c r="E6061" s="181"/>
      <c r="F6061" s="181"/>
      <c r="G6061" s="181"/>
      <c r="H6061" s="181"/>
      <c r="I6061" s="181"/>
      <c r="J6061" s="181"/>
      <c r="K6061" s="181"/>
      <c r="L6061" s="181"/>
      <c r="M6061" s="181"/>
      <c r="N6061" s="181"/>
      <c r="O6061" s="181"/>
      <c r="P6061" s="181"/>
    </row>
    <row r="6062">
      <c r="B6062" s="292"/>
      <c r="C6062" s="181"/>
      <c r="D6062" s="181"/>
      <c r="E6062" s="181"/>
      <c r="F6062" s="181"/>
      <c r="G6062" s="181"/>
      <c r="H6062" s="181"/>
      <c r="I6062" s="181"/>
      <c r="J6062" s="181"/>
      <c r="K6062" s="181"/>
      <c r="L6062" s="181"/>
      <c r="M6062" s="181"/>
      <c r="N6062" s="181"/>
      <c r="O6062" s="181"/>
      <c r="P6062" s="181"/>
    </row>
    <row r="6063">
      <c r="B6063" s="292"/>
      <c r="C6063" s="181"/>
      <c r="D6063" s="181"/>
      <c r="E6063" s="181"/>
      <c r="F6063" s="181"/>
      <c r="G6063" s="181"/>
      <c r="H6063" s="181"/>
      <c r="I6063" s="181"/>
      <c r="J6063" s="181"/>
      <c r="K6063" s="181"/>
      <c r="L6063" s="181"/>
      <c r="M6063" s="181"/>
      <c r="N6063" s="181"/>
      <c r="O6063" s="181"/>
      <c r="P6063" s="181"/>
    </row>
    <row r="6064">
      <c r="B6064" s="292"/>
      <c r="C6064" s="181"/>
      <c r="D6064" s="181"/>
      <c r="E6064" s="181"/>
      <c r="F6064" s="181"/>
      <c r="G6064" s="181"/>
      <c r="H6064" s="181"/>
      <c r="I6064" s="181"/>
      <c r="J6064" s="181"/>
      <c r="K6064" s="181"/>
      <c r="L6064" s="181"/>
      <c r="M6064" s="181"/>
      <c r="N6064" s="181"/>
      <c r="O6064" s="181"/>
      <c r="P6064" s="181"/>
    </row>
    <row r="6065">
      <c r="B6065" s="292"/>
      <c r="C6065" s="181"/>
      <c r="D6065" s="181"/>
      <c r="E6065" s="181"/>
      <c r="F6065" s="181"/>
      <c r="G6065" s="181"/>
      <c r="H6065" s="181"/>
      <c r="I6065" s="181"/>
      <c r="J6065" s="181"/>
      <c r="K6065" s="181"/>
      <c r="L6065" s="181"/>
      <c r="M6065" s="181"/>
      <c r="N6065" s="181"/>
      <c r="O6065" s="181"/>
      <c r="P6065" s="181"/>
    </row>
    <row r="6066">
      <c r="B6066" s="292"/>
      <c r="C6066" s="181"/>
      <c r="D6066" s="181"/>
      <c r="E6066" s="181"/>
      <c r="F6066" s="181"/>
      <c r="G6066" s="181"/>
      <c r="H6066" s="181"/>
      <c r="I6066" s="181"/>
      <c r="J6066" s="181"/>
      <c r="K6066" s="181"/>
      <c r="L6066" s="181"/>
      <c r="M6066" s="181"/>
      <c r="N6066" s="181"/>
      <c r="O6066" s="181"/>
      <c r="P6066" s="181"/>
    </row>
    <row r="6067">
      <c r="B6067" s="292"/>
      <c r="C6067" s="181"/>
      <c r="D6067" s="181"/>
      <c r="E6067" s="181"/>
      <c r="F6067" s="181"/>
      <c r="G6067" s="181"/>
      <c r="H6067" s="181"/>
      <c r="I6067" s="181"/>
      <c r="J6067" s="181"/>
      <c r="K6067" s="181"/>
      <c r="L6067" s="181"/>
      <c r="M6067" s="181"/>
      <c r="N6067" s="181"/>
      <c r="O6067" s="181"/>
      <c r="P6067" s="181"/>
    </row>
    <row r="6068">
      <c r="B6068" s="292"/>
      <c r="C6068" s="181"/>
      <c r="D6068" s="181"/>
      <c r="E6068" s="181"/>
      <c r="F6068" s="181"/>
      <c r="G6068" s="181"/>
      <c r="H6068" s="181"/>
      <c r="I6068" s="181"/>
      <c r="J6068" s="181"/>
      <c r="K6068" s="181"/>
      <c r="L6068" s="181"/>
      <c r="M6068" s="181"/>
      <c r="N6068" s="181"/>
      <c r="O6068" s="181"/>
      <c r="P6068" s="181"/>
    </row>
    <row r="6069">
      <c r="B6069" s="292"/>
      <c r="C6069" s="181"/>
      <c r="D6069" s="181"/>
      <c r="E6069" s="181"/>
      <c r="F6069" s="181"/>
      <c r="G6069" s="181"/>
      <c r="H6069" s="181"/>
      <c r="I6069" s="181"/>
      <c r="J6069" s="181"/>
      <c r="K6069" s="181"/>
      <c r="L6069" s="181"/>
      <c r="M6069" s="181"/>
      <c r="N6069" s="181"/>
      <c r="O6069" s="181"/>
      <c r="P6069" s="181"/>
    </row>
    <row r="6070">
      <c r="B6070" s="292"/>
      <c r="C6070" s="181"/>
      <c r="D6070" s="181"/>
      <c r="E6070" s="181"/>
      <c r="F6070" s="181"/>
      <c r="G6070" s="181"/>
      <c r="H6070" s="181"/>
      <c r="I6070" s="181"/>
      <c r="J6070" s="181"/>
      <c r="K6070" s="181"/>
      <c r="L6070" s="181"/>
      <c r="M6070" s="181"/>
      <c r="N6070" s="181"/>
      <c r="O6070" s="181"/>
      <c r="P6070" s="181"/>
    </row>
    <row r="6071">
      <c r="B6071" s="292"/>
      <c r="C6071" s="181"/>
      <c r="D6071" s="181"/>
      <c r="E6071" s="181"/>
      <c r="F6071" s="181"/>
      <c r="G6071" s="181"/>
      <c r="H6071" s="181"/>
      <c r="I6071" s="181"/>
      <c r="J6071" s="181"/>
      <c r="K6071" s="181"/>
      <c r="L6071" s="181"/>
      <c r="M6071" s="181"/>
      <c r="N6071" s="181"/>
      <c r="O6071" s="181"/>
      <c r="P6071" s="181"/>
    </row>
    <row r="6072">
      <c r="B6072" s="292"/>
      <c r="C6072" s="181"/>
      <c r="D6072" s="181"/>
      <c r="E6072" s="181"/>
      <c r="F6072" s="181"/>
      <c r="G6072" s="181"/>
      <c r="H6072" s="181"/>
      <c r="I6072" s="181"/>
      <c r="J6072" s="181"/>
      <c r="K6072" s="181"/>
      <c r="L6072" s="181"/>
      <c r="M6072" s="181"/>
      <c r="N6072" s="181"/>
      <c r="O6072" s="181"/>
      <c r="P6072" s="181"/>
    </row>
    <row r="6073">
      <c r="B6073" s="292"/>
      <c r="C6073" s="181"/>
      <c r="D6073" s="181"/>
      <c r="E6073" s="181"/>
      <c r="F6073" s="181"/>
      <c r="G6073" s="181"/>
      <c r="H6073" s="181"/>
      <c r="I6073" s="181"/>
      <c r="J6073" s="181"/>
      <c r="K6073" s="181"/>
      <c r="L6073" s="181"/>
      <c r="M6073" s="181"/>
      <c r="N6073" s="181"/>
      <c r="O6073" s="181"/>
      <c r="P6073" s="181"/>
    </row>
    <row r="6074">
      <c r="B6074" s="292"/>
      <c r="C6074" s="181"/>
      <c r="D6074" s="181"/>
      <c r="E6074" s="181"/>
      <c r="F6074" s="181"/>
      <c r="G6074" s="181"/>
      <c r="H6074" s="181"/>
      <c r="I6074" s="181"/>
      <c r="J6074" s="181"/>
      <c r="K6074" s="181"/>
      <c r="L6074" s="181"/>
      <c r="M6074" s="181"/>
      <c r="N6074" s="181"/>
      <c r="O6074" s="181"/>
      <c r="P6074" s="181"/>
    </row>
    <row r="6075">
      <c r="B6075" s="292"/>
      <c r="C6075" s="181"/>
      <c r="D6075" s="181"/>
      <c r="E6075" s="181"/>
      <c r="F6075" s="181"/>
      <c r="G6075" s="181"/>
      <c r="H6075" s="181"/>
      <c r="I6075" s="181"/>
      <c r="J6075" s="181"/>
      <c r="K6075" s="181"/>
      <c r="L6075" s="181"/>
      <c r="M6075" s="181"/>
      <c r="N6075" s="181"/>
      <c r="O6075" s="181"/>
      <c r="P6075" s="181"/>
    </row>
    <row r="6076">
      <c r="B6076" s="292"/>
      <c r="C6076" s="181"/>
      <c r="D6076" s="181"/>
      <c r="E6076" s="181"/>
      <c r="F6076" s="181"/>
      <c r="G6076" s="181"/>
      <c r="H6076" s="181"/>
      <c r="I6076" s="181"/>
      <c r="J6076" s="181"/>
      <c r="K6076" s="181"/>
      <c r="L6076" s="181"/>
      <c r="M6076" s="181"/>
      <c r="N6076" s="181"/>
      <c r="O6076" s="181"/>
      <c r="P6076" s="181"/>
    </row>
    <row r="6077">
      <c r="B6077" s="292"/>
      <c r="C6077" s="181"/>
      <c r="D6077" s="181"/>
      <c r="E6077" s="181"/>
      <c r="F6077" s="181"/>
      <c r="G6077" s="181"/>
      <c r="H6077" s="181"/>
      <c r="I6077" s="181"/>
      <c r="J6077" s="181"/>
      <c r="K6077" s="181"/>
      <c r="L6077" s="181"/>
      <c r="M6077" s="181"/>
      <c r="N6077" s="181"/>
      <c r="O6077" s="181"/>
      <c r="P6077" s="181"/>
    </row>
    <row r="6078">
      <c r="B6078" s="292"/>
      <c r="C6078" s="181"/>
      <c r="D6078" s="181"/>
      <c r="E6078" s="181"/>
      <c r="F6078" s="181"/>
      <c r="G6078" s="181"/>
      <c r="H6078" s="181"/>
      <c r="I6078" s="181"/>
      <c r="J6078" s="181"/>
      <c r="K6078" s="181"/>
      <c r="L6078" s="181"/>
      <c r="M6078" s="181"/>
      <c r="N6078" s="181"/>
      <c r="O6078" s="181"/>
      <c r="P6078" s="181"/>
    </row>
    <row r="6079">
      <c r="B6079" s="292"/>
      <c r="C6079" s="181"/>
      <c r="D6079" s="181"/>
      <c r="E6079" s="181"/>
      <c r="F6079" s="181"/>
      <c r="G6079" s="181"/>
      <c r="H6079" s="181"/>
      <c r="I6079" s="181"/>
      <c r="J6079" s="181"/>
      <c r="K6079" s="181"/>
      <c r="L6079" s="181"/>
      <c r="M6079" s="181"/>
      <c r="N6079" s="181"/>
      <c r="O6079" s="181"/>
      <c r="P6079" s="181"/>
    </row>
    <row r="6080">
      <c r="B6080" s="292"/>
      <c r="C6080" s="181"/>
      <c r="D6080" s="181"/>
      <c r="E6080" s="181"/>
      <c r="F6080" s="181"/>
      <c r="G6080" s="181"/>
      <c r="H6080" s="181"/>
      <c r="I6080" s="181"/>
      <c r="J6080" s="181"/>
      <c r="K6080" s="181"/>
      <c r="L6080" s="181"/>
      <c r="M6080" s="181"/>
      <c r="N6080" s="181"/>
      <c r="O6080" s="181"/>
      <c r="P6080" s="181"/>
    </row>
    <row r="6081">
      <c r="B6081" s="292"/>
      <c r="C6081" s="181"/>
      <c r="D6081" s="181"/>
      <c r="E6081" s="181"/>
      <c r="F6081" s="181"/>
      <c r="G6081" s="181"/>
      <c r="H6081" s="181"/>
      <c r="I6081" s="181"/>
      <c r="J6081" s="181"/>
      <c r="K6081" s="181"/>
      <c r="L6081" s="181"/>
      <c r="M6081" s="181"/>
      <c r="N6081" s="181"/>
      <c r="O6081" s="181"/>
      <c r="P6081" s="181"/>
    </row>
    <row r="6082">
      <c r="B6082" s="292"/>
      <c r="C6082" s="181"/>
      <c r="D6082" s="181"/>
      <c r="E6082" s="181"/>
      <c r="F6082" s="181"/>
      <c r="G6082" s="181"/>
      <c r="H6082" s="181"/>
      <c r="I6082" s="181"/>
      <c r="J6082" s="181"/>
      <c r="K6082" s="181"/>
      <c r="L6082" s="181"/>
      <c r="M6082" s="181"/>
      <c r="N6082" s="181"/>
      <c r="O6082" s="181"/>
      <c r="P6082" s="181"/>
    </row>
    <row r="6083">
      <c r="B6083" s="292"/>
      <c r="C6083" s="181"/>
      <c r="D6083" s="181"/>
      <c r="E6083" s="181"/>
      <c r="F6083" s="181"/>
      <c r="G6083" s="181"/>
      <c r="H6083" s="181"/>
      <c r="I6083" s="181"/>
      <c r="J6083" s="181"/>
      <c r="K6083" s="181"/>
      <c r="L6083" s="181"/>
      <c r="M6083" s="181"/>
      <c r="N6083" s="181"/>
      <c r="O6083" s="181"/>
      <c r="P6083" s="181"/>
    </row>
    <row r="6084">
      <c r="B6084" s="292"/>
      <c r="C6084" s="181"/>
      <c r="D6084" s="181"/>
      <c r="E6084" s="181"/>
      <c r="F6084" s="181"/>
      <c r="G6084" s="181"/>
      <c r="H6084" s="181"/>
      <c r="I6084" s="181"/>
      <c r="J6084" s="181"/>
      <c r="K6084" s="181"/>
      <c r="L6084" s="181"/>
      <c r="M6084" s="181"/>
      <c r="N6084" s="181"/>
      <c r="O6084" s="181"/>
      <c r="P6084" s="181"/>
    </row>
    <row r="6085">
      <c r="B6085" s="292"/>
      <c r="C6085" s="181"/>
      <c r="D6085" s="181"/>
      <c r="E6085" s="181"/>
      <c r="F6085" s="181"/>
      <c r="G6085" s="181"/>
      <c r="H6085" s="181"/>
      <c r="I6085" s="181"/>
      <c r="J6085" s="181"/>
      <c r="K6085" s="181"/>
      <c r="L6085" s="181"/>
      <c r="M6085" s="181"/>
      <c r="N6085" s="181"/>
      <c r="O6085" s="181"/>
      <c r="P6085" s="181"/>
    </row>
    <row r="6086">
      <c r="B6086" s="292"/>
      <c r="C6086" s="181"/>
      <c r="D6086" s="181"/>
      <c r="E6086" s="181"/>
      <c r="F6086" s="181"/>
      <c r="G6086" s="181"/>
      <c r="H6086" s="181"/>
      <c r="I6086" s="181"/>
      <c r="J6086" s="181"/>
      <c r="K6086" s="181"/>
      <c r="L6086" s="181"/>
      <c r="M6086" s="181"/>
      <c r="N6086" s="181"/>
      <c r="O6086" s="181"/>
      <c r="P6086" s="181"/>
    </row>
    <row r="6087">
      <c r="B6087" s="292"/>
      <c r="C6087" s="181"/>
      <c r="D6087" s="181"/>
      <c r="E6087" s="181"/>
      <c r="F6087" s="181"/>
      <c r="G6087" s="181"/>
      <c r="H6087" s="181"/>
      <c r="I6087" s="181"/>
      <c r="J6087" s="181"/>
      <c r="K6087" s="181"/>
      <c r="L6087" s="181"/>
      <c r="M6087" s="181"/>
      <c r="N6087" s="181"/>
      <c r="O6087" s="181"/>
      <c r="P6087" s="181"/>
    </row>
    <row r="6088">
      <c r="B6088" s="292"/>
      <c r="C6088" s="181"/>
      <c r="D6088" s="181"/>
      <c r="E6088" s="181"/>
      <c r="F6088" s="181"/>
      <c r="G6088" s="181"/>
      <c r="H6088" s="181"/>
      <c r="I6088" s="181"/>
      <c r="J6088" s="181"/>
      <c r="K6088" s="181"/>
      <c r="L6088" s="181"/>
      <c r="M6088" s="181"/>
      <c r="N6088" s="181"/>
      <c r="O6088" s="181"/>
      <c r="P6088" s="181"/>
    </row>
    <row r="6089">
      <c r="B6089" s="292"/>
      <c r="C6089" s="181"/>
      <c r="D6089" s="181"/>
      <c r="E6089" s="181"/>
      <c r="F6089" s="181"/>
      <c r="G6089" s="181"/>
      <c r="H6089" s="181"/>
      <c r="I6089" s="181"/>
      <c r="J6089" s="181"/>
      <c r="K6089" s="181"/>
      <c r="L6089" s="181"/>
      <c r="M6089" s="181"/>
      <c r="N6089" s="181"/>
      <c r="O6089" s="181"/>
      <c r="P6089" s="181"/>
    </row>
    <row r="6090">
      <c r="B6090" s="292"/>
      <c r="C6090" s="181"/>
      <c r="D6090" s="181"/>
      <c r="E6090" s="181"/>
      <c r="F6090" s="181"/>
      <c r="G6090" s="181"/>
      <c r="H6090" s="181"/>
      <c r="I6090" s="181"/>
      <c r="J6090" s="181"/>
      <c r="K6090" s="181"/>
      <c r="L6090" s="181"/>
      <c r="M6090" s="181"/>
      <c r="N6090" s="181"/>
      <c r="O6090" s="181"/>
      <c r="P6090" s="181"/>
    </row>
    <row r="6091">
      <c r="B6091" s="292"/>
      <c r="C6091" s="181"/>
      <c r="D6091" s="181"/>
      <c r="E6091" s="181"/>
      <c r="F6091" s="181"/>
      <c r="G6091" s="181"/>
      <c r="H6091" s="181"/>
      <c r="I6091" s="181"/>
      <c r="J6091" s="181"/>
      <c r="K6091" s="181"/>
      <c r="L6091" s="181"/>
      <c r="M6091" s="181"/>
      <c r="N6091" s="181"/>
      <c r="O6091" s="181"/>
      <c r="P6091" s="181"/>
    </row>
    <row r="6092">
      <c r="B6092" s="292"/>
      <c r="C6092" s="181"/>
      <c r="D6092" s="181"/>
      <c r="E6092" s="181"/>
      <c r="F6092" s="181"/>
      <c r="G6092" s="181"/>
      <c r="H6092" s="181"/>
      <c r="I6092" s="181"/>
      <c r="J6092" s="181"/>
      <c r="K6092" s="181"/>
      <c r="L6092" s="181"/>
      <c r="M6092" s="181"/>
      <c r="N6092" s="181"/>
      <c r="O6092" s="181"/>
      <c r="P6092" s="181"/>
    </row>
    <row r="6093">
      <c r="B6093" s="292"/>
      <c r="C6093" s="181"/>
      <c r="D6093" s="181"/>
      <c r="E6093" s="181"/>
      <c r="F6093" s="181"/>
      <c r="G6093" s="181"/>
      <c r="H6093" s="181"/>
      <c r="I6093" s="181"/>
      <c r="J6093" s="181"/>
      <c r="K6093" s="181"/>
      <c r="L6093" s="181"/>
      <c r="M6093" s="181"/>
      <c r="N6093" s="181"/>
      <c r="O6093" s="181"/>
      <c r="P6093" s="181"/>
    </row>
    <row r="6094">
      <c r="B6094" s="292"/>
      <c r="C6094" s="181"/>
      <c r="D6094" s="181"/>
      <c r="E6094" s="181"/>
      <c r="F6094" s="181"/>
      <c r="G6094" s="181"/>
      <c r="H6094" s="181"/>
      <c r="I6094" s="181"/>
      <c r="J6094" s="181"/>
      <c r="K6094" s="181"/>
      <c r="L6094" s="181"/>
      <c r="M6094" s="181"/>
      <c r="N6094" s="181"/>
      <c r="O6094" s="181"/>
      <c r="P6094" s="181"/>
    </row>
    <row r="6095">
      <c r="B6095" s="292"/>
      <c r="C6095" s="181"/>
      <c r="D6095" s="181"/>
      <c r="E6095" s="181"/>
      <c r="F6095" s="181"/>
      <c r="G6095" s="181"/>
      <c r="H6095" s="181"/>
      <c r="I6095" s="181"/>
      <c r="J6095" s="181"/>
      <c r="K6095" s="181"/>
      <c r="L6095" s="181"/>
      <c r="M6095" s="181"/>
      <c r="N6095" s="181"/>
      <c r="O6095" s="181"/>
      <c r="P6095" s="181"/>
    </row>
    <row r="6096">
      <c r="B6096" s="292"/>
      <c r="C6096" s="181"/>
      <c r="D6096" s="181"/>
      <c r="E6096" s="181"/>
      <c r="F6096" s="181"/>
      <c r="G6096" s="181"/>
      <c r="H6096" s="181"/>
      <c r="I6096" s="181"/>
      <c r="J6096" s="181"/>
      <c r="K6096" s="181"/>
      <c r="L6096" s="181"/>
      <c r="M6096" s="181"/>
      <c r="N6096" s="181"/>
      <c r="O6096" s="181"/>
      <c r="P6096" s="181"/>
    </row>
    <row r="6097">
      <c r="B6097" s="292"/>
      <c r="C6097" s="181"/>
      <c r="D6097" s="181"/>
      <c r="E6097" s="181"/>
      <c r="F6097" s="181"/>
      <c r="G6097" s="181"/>
      <c r="H6097" s="181"/>
      <c r="I6097" s="181"/>
      <c r="J6097" s="181"/>
      <c r="K6097" s="181"/>
      <c r="L6097" s="181"/>
      <c r="M6097" s="181"/>
      <c r="N6097" s="181"/>
      <c r="O6097" s="181"/>
      <c r="P6097" s="181"/>
    </row>
    <row r="6098">
      <c r="B6098" s="292"/>
      <c r="C6098" s="181"/>
      <c r="D6098" s="181"/>
      <c r="E6098" s="181"/>
      <c r="F6098" s="181"/>
      <c r="G6098" s="181"/>
      <c r="H6098" s="181"/>
      <c r="I6098" s="181"/>
      <c r="J6098" s="181"/>
      <c r="K6098" s="181"/>
      <c r="L6098" s="181"/>
      <c r="M6098" s="181"/>
      <c r="N6098" s="181"/>
      <c r="O6098" s="181"/>
      <c r="P6098" s="181"/>
    </row>
    <row r="6099">
      <c r="B6099" s="292"/>
      <c r="C6099" s="181"/>
      <c r="D6099" s="181"/>
      <c r="E6099" s="181"/>
      <c r="F6099" s="181"/>
      <c r="G6099" s="181"/>
      <c r="H6099" s="181"/>
      <c r="I6099" s="181"/>
      <c r="J6099" s="181"/>
      <c r="K6099" s="181"/>
      <c r="L6099" s="181"/>
      <c r="M6099" s="181"/>
      <c r="N6099" s="181"/>
      <c r="O6099" s="181"/>
      <c r="P6099" s="181"/>
    </row>
    <row r="6100">
      <c r="B6100" s="292"/>
      <c r="C6100" s="181"/>
      <c r="D6100" s="181"/>
      <c r="E6100" s="181"/>
      <c r="F6100" s="181"/>
      <c r="G6100" s="181"/>
      <c r="H6100" s="181"/>
      <c r="I6100" s="181"/>
      <c r="J6100" s="181"/>
      <c r="K6100" s="181"/>
      <c r="L6100" s="181"/>
      <c r="M6100" s="181"/>
      <c r="N6100" s="181"/>
      <c r="O6100" s="181"/>
      <c r="P6100" s="181"/>
    </row>
    <row r="6101">
      <c r="B6101" s="292"/>
      <c r="C6101" s="181"/>
      <c r="D6101" s="181"/>
      <c r="E6101" s="181"/>
      <c r="F6101" s="181"/>
      <c r="G6101" s="181"/>
      <c r="H6101" s="181"/>
      <c r="I6101" s="181"/>
      <c r="J6101" s="181"/>
      <c r="K6101" s="181"/>
      <c r="L6101" s="181"/>
      <c r="M6101" s="181"/>
      <c r="N6101" s="181"/>
      <c r="O6101" s="181"/>
      <c r="P6101" s="181"/>
    </row>
    <row r="6102">
      <c r="B6102" s="292"/>
      <c r="C6102" s="181"/>
      <c r="D6102" s="181"/>
      <c r="E6102" s="181"/>
      <c r="F6102" s="181"/>
      <c r="G6102" s="181"/>
      <c r="H6102" s="181"/>
      <c r="I6102" s="181"/>
      <c r="J6102" s="181"/>
      <c r="K6102" s="181"/>
      <c r="L6102" s="181"/>
      <c r="M6102" s="181"/>
      <c r="N6102" s="181"/>
      <c r="O6102" s="181"/>
      <c r="P6102" s="181"/>
    </row>
    <row r="6103">
      <c r="B6103" s="292"/>
      <c r="C6103" s="181"/>
      <c r="D6103" s="181"/>
      <c r="E6103" s="181"/>
      <c r="F6103" s="181"/>
      <c r="G6103" s="181"/>
      <c r="H6103" s="181"/>
      <c r="I6103" s="181"/>
      <c r="J6103" s="181"/>
      <c r="K6103" s="181"/>
      <c r="L6103" s="181"/>
      <c r="M6103" s="181"/>
      <c r="N6103" s="181"/>
      <c r="O6103" s="181"/>
      <c r="P6103" s="181"/>
    </row>
    <row r="6104">
      <c r="B6104" s="292"/>
      <c r="C6104" s="181"/>
      <c r="D6104" s="181"/>
      <c r="E6104" s="181"/>
      <c r="F6104" s="181"/>
      <c r="G6104" s="181"/>
      <c r="H6104" s="181"/>
      <c r="I6104" s="181"/>
      <c r="J6104" s="181"/>
      <c r="K6104" s="181"/>
      <c r="L6104" s="181"/>
      <c r="M6104" s="181"/>
      <c r="N6104" s="181"/>
      <c r="O6104" s="181"/>
      <c r="P6104" s="181"/>
    </row>
    <row r="6105">
      <c r="B6105" s="292"/>
      <c r="C6105" s="181"/>
      <c r="D6105" s="181"/>
      <c r="E6105" s="181"/>
      <c r="F6105" s="181"/>
      <c r="G6105" s="181"/>
      <c r="H6105" s="181"/>
      <c r="I6105" s="181"/>
      <c r="J6105" s="181"/>
      <c r="K6105" s="181"/>
      <c r="L6105" s="181"/>
      <c r="M6105" s="181"/>
      <c r="N6105" s="181"/>
      <c r="O6105" s="181"/>
      <c r="P6105" s="181"/>
    </row>
    <row r="6106">
      <c r="B6106" s="292"/>
      <c r="C6106" s="181"/>
      <c r="D6106" s="181"/>
      <c r="E6106" s="181"/>
      <c r="F6106" s="181"/>
      <c r="G6106" s="181"/>
      <c r="H6106" s="181"/>
      <c r="I6106" s="181"/>
      <c r="J6106" s="181"/>
      <c r="K6106" s="181"/>
      <c r="L6106" s="181"/>
      <c r="M6106" s="181"/>
      <c r="N6106" s="181"/>
      <c r="O6106" s="181"/>
      <c r="P6106" s="181"/>
    </row>
    <row r="6107">
      <c r="B6107" s="292"/>
      <c r="C6107" s="181"/>
      <c r="D6107" s="181"/>
      <c r="E6107" s="181"/>
      <c r="F6107" s="181"/>
      <c r="G6107" s="181"/>
      <c r="H6107" s="181"/>
      <c r="I6107" s="181"/>
      <c r="J6107" s="181"/>
      <c r="K6107" s="181"/>
      <c r="L6107" s="181"/>
      <c r="M6107" s="181"/>
      <c r="N6107" s="181"/>
      <c r="O6107" s="181"/>
      <c r="P6107" s="181"/>
    </row>
    <row r="6108">
      <c r="B6108" s="292"/>
      <c r="C6108" s="181"/>
      <c r="D6108" s="181"/>
      <c r="E6108" s="181"/>
      <c r="F6108" s="181"/>
      <c r="G6108" s="181"/>
      <c r="H6108" s="181"/>
      <c r="I6108" s="181"/>
      <c r="J6108" s="181"/>
      <c r="K6108" s="181"/>
      <c r="L6108" s="181"/>
      <c r="M6108" s="181"/>
      <c r="N6108" s="181"/>
      <c r="O6108" s="181"/>
      <c r="P6108" s="181"/>
    </row>
    <row r="6109">
      <c r="B6109" s="292"/>
      <c r="C6109" s="181"/>
      <c r="D6109" s="181"/>
      <c r="E6109" s="181"/>
      <c r="F6109" s="181"/>
      <c r="G6109" s="181"/>
      <c r="H6109" s="181"/>
      <c r="I6109" s="181"/>
      <c r="J6109" s="181"/>
      <c r="K6109" s="181"/>
      <c r="L6109" s="181"/>
      <c r="M6109" s="181"/>
      <c r="N6109" s="181"/>
      <c r="O6109" s="181"/>
      <c r="P6109" s="181"/>
    </row>
    <row r="6110">
      <c r="B6110" s="292"/>
      <c r="C6110" s="181"/>
      <c r="D6110" s="181"/>
      <c r="E6110" s="181"/>
      <c r="F6110" s="181"/>
      <c r="G6110" s="181"/>
      <c r="H6110" s="181"/>
      <c r="I6110" s="181"/>
      <c r="J6110" s="181"/>
      <c r="K6110" s="181"/>
      <c r="L6110" s="181"/>
      <c r="M6110" s="181"/>
      <c r="N6110" s="181"/>
      <c r="O6110" s="181"/>
      <c r="P6110" s="181"/>
    </row>
    <row r="6111">
      <c r="B6111" s="292"/>
      <c r="C6111" s="181"/>
      <c r="D6111" s="181"/>
      <c r="E6111" s="181"/>
      <c r="F6111" s="181"/>
      <c r="G6111" s="181"/>
      <c r="H6111" s="181"/>
      <c r="I6111" s="181"/>
      <c r="J6111" s="181"/>
      <c r="K6111" s="181"/>
      <c r="L6111" s="181"/>
      <c r="M6111" s="181"/>
      <c r="N6111" s="181"/>
      <c r="O6111" s="181"/>
      <c r="P6111" s="181"/>
    </row>
    <row r="6112">
      <c r="B6112" s="292"/>
      <c r="C6112" s="181"/>
      <c r="D6112" s="181"/>
      <c r="E6112" s="181"/>
      <c r="F6112" s="181"/>
      <c r="G6112" s="181"/>
      <c r="H6112" s="181"/>
      <c r="I6112" s="181"/>
      <c r="J6112" s="181"/>
      <c r="K6112" s="181"/>
      <c r="L6112" s="181"/>
      <c r="M6112" s="181"/>
      <c r="N6112" s="181"/>
      <c r="O6112" s="181"/>
      <c r="P6112" s="181"/>
    </row>
    <row r="6113">
      <c r="B6113" s="292"/>
      <c r="C6113" s="181"/>
      <c r="D6113" s="181"/>
      <c r="E6113" s="181"/>
      <c r="F6113" s="181"/>
      <c r="G6113" s="181"/>
      <c r="H6113" s="181"/>
      <c r="I6113" s="181"/>
      <c r="J6113" s="181"/>
      <c r="K6113" s="181"/>
      <c r="L6113" s="181"/>
      <c r="M6113" s="181"/>
      <c r="N6113" s="181"/>
      <c r="O6113" s="181"/>
      <c r="P6113" s="181"/>
    </row>
    <row r="6114">
      <c r="B6114" s="292"/>
      <c r="C6114" s="181"/>
      <c r="D6114" s="181"/>
      <c r="E6114" s="181"/>
      <c r="F6114" s="181"/>
      <c r="G6114" s="181"/>
      <c r="H6114" s="181"/>
      <c r="I6114" s="181"/>
      <c r="J6114" s="181"/>
      <c r="K6114" s="181"/>
      <c r="L6114" s="181"/>
      <c r="M6114" s="181"/>
      <c r="N6114" s="181"/>
      <c r="O6114" s="181"/>
      <c r="P6114" s="181"/>
    </row>
    <row r="6115">
      <c r="B6115" s="292"/>
      <c r="C6115" s="181"/>
      <c r="D6115" s="181"/>
      <c r="E6115" s="181"/>
      <c r="F6115" s="181"/>
      <c r="G6115" s="181"/>
      <c r="H6115" s="181"/>
      <c r="I6115" s="181"/>
      <c r="J6115" s="181"/>
      <c r="K6115" s="181"/>
      <c r="L6115" s="181"/>
      <c r="M6115" s="181"/>
      <c r="N6115" s="181"/>
      <c r="O6115" s="181"/>
      <c r="P6115" s="181"/>
    </row>
    <row r="6116">
      <c r="B6116" s="292"/>
      <c r="C6116" s="181"/>
      <c r="D6116" s="181"/>
      <c r="E6116" s="181"/>
      <c r="F6116" s="181"/>
      <c r="G6116" s="181"/>
      <c r="H6116" s="181"/>
      <c r="I6116" s="181"/>
      <c r="J6116" s="181"/>
      <c r="K6116" s="181"/>
      <c r="L6116" s="181"/>
      <c r="M6116" s="181"/>
      <c r="N6116" s="181"/>
      <c r="O6116" s="181"/>
      <c r="P6116" s="181"/>
    </row>
    <row r="6117">
      <c r="B6117" s="292"/>
      <c r="C6117" s="181"/>
      <c r="D6117" s="181"/>
      <c r="E6117" s="181"/>
      <c r="F6117" s="181"/>
      <c r="G6117" s="181"/>
      <c r="H6117" s="181"/>
      <c r="I6117" s="181"/>
      <c r="J6117" s="181"/>
      <c r="K6117" s="181"/>
      <c r="L6117" s="181"/>
      <c r="M6117" s="181"/>
      <c r="N6117" s="181"/>
      <c r="O6117" s="181"/>
      <c r="P6117" s="181"/>
    </row>
    <row r="6118">
      <c r="B6118" s="292"/>
      <c r="C6118" s="181"/>
      <c r="D6118" s="181"/>
      <c r="E6118" s="181"/>
      <c r="F6118" s="181"/>
      <c r="G6118" s="181"/>
      <c r="H6118" s="181"/>
      <c r="I6118" s="181"/>
      <c r="J6118" s="181"/>
      <c r="K6118" s="181"/>
      <c r="L6118" s="181"/>
      <c r="M6118" s="181"/>
      <c r="N6118" s="181"/>
      <c r="O6118" s="181"/>
      <c r="P6118" s="181"/>
    </row>
    <row r="6119">
      <c r="B6119" s="292"/>
      <c r="C6119" s="181"/>
      <c r="D6119" s="181"/>
      <c r="E6119" s="181"/>
      <c r="F6119" s="181"/>
      <c r="G6119" s="181"/>
      <c r="H6119" s="181"/>
      <c r="I6119" s="181"/>
      <c r="J6119" s="181"/>
      <c r="K6119" s="181"/>
      <c r="L6119" s="181"/>
      <c r="M6119" s="181"/>
      <c r="N6119" s="181"/>
      <c r="O6119" s="181"/>
      <c r="P6119" s="181"/>
    </row>
    <row r="6120">
      <c r="B6120" s="292"/>
      <c r="C6120" s="181"/>
      <c r="D6120" s="181"/>
      <c r="E6120" s="181"/>
      <c r="F6120" s="181"/>
      <c r="G6120" s="181"/>
      <c r="H6120" s="181"/>
      <c r="I6120" s="181"/>
      <c r="J6120" s="181"/>
      <c r="K6120" s="181"/>
      <c r="L6120" s="181"/>
      <c r="M6120" s="181"/>
      <c r="N6120" s="181"/>
      <c r="O6120" s="181"/>
      <c r="P6120" s="181"/>
    </row>
    <row r="6121">
      <c r="B6121" s="292"/>
      <c r="C6121" s="181"/>
      <c r="D6121" s="181"/>
      <c r="E6121" s="181"/>
      <c r="F6121" s="181"/>
      <c r="G6121" s="181"/>
      <c r="H6121" s="181"/>
      <c r="I6121" s="181"/>
      <c r="J6121" s="181"/>
      <c r="K6121" s="181"/>
      <c r="L6121" s="181"/>
      <c r="M6121" s="181"/>
      <c r="N6121" s="181"/>
      <c r="O6121" s="181"/>
      <c r="P6121" s="181"/>
    </row>
    <row r="6122">
      <c r="B6122" s="292"/>
      <c r="C6122" s="181"/>
      <c r="D6122" s="181"/>
      <c r="E6122" s="181"/>
      <c r="F6122" s="181"/>
      <c r="G6122" s="181"/>
      <c r="H6122" s="181"/>
      <c r="I6122" s="181"/>
      <c r="J6122" s="181"/>
      <c r="K6122" s="181"/>
      <c r="L6122" s="181"/>
      <c r="M6122" s="181"/>
      <c r="N6122" s="181"/>
      <c r="O6122" s="181"/>
      <c r="P6122" s="181"/>
    </row>
    <row r="6123">
      <c r="B6123" s="292"/>
      <c r="C6123" s="181"/>
      <c r="D6123" s="181"/>
      <c r="E6123" s="181"/>
      <c r="F6123" s="181"/>
      <c r="G6123" s="181"/>
      <c r="H6123" s="181"/>
      <c r="I6123" s="181"/>
      <c r="J6123" s="181"/>
      <c r="K6123" s="181"/>
      <c r="L6123" s="181"/>
      <c r="M6123" s="181"/>
      <c r="N6123" s="181"/>
      <c r="O6123" s="181"/>
      <c r="P6123" s="181"/>
    </row>
    <row r="6124">
      <c r="B6124" s="292"/>
      <c r="C6124" s="181"/>
      <c r="D6124" s="181"/>
      <c r="E6124" s="181"/>
      <c r="F6124" s="181"/>
      <c r="G6124" s="181"/>
      <c r="H6124" s="181"/>
      <c r="I6124" s="181"/>
      <c r="J6124" s="181"/>
      <c r="K6124" s="181"/>
      <c r="L6124" s="181"/>
      <c r="M6124" s="181"/>
      <c r="N6124" s="181"/>
      <c r="O6124" s="181"/>
      <c r="P6124" s="181"/>
    </row>
    <row r="6125">
      <c r="B6125" s="292"/>
      <c r="C6125" s="181"/>
      <c r="D6125" s="181"/>
      <c r="E6125" s="181"/>
      <c r="F6125" s="181"/>
      <c r="G6125" s="181"/>
      <c r="H6125" s="181"/>
      <c r="I6125" s="181"/>
      <c r="J6125" s="181"/>
      <c r="K6125" s="181"/>
      <c r="L6125" s="181"/>
      <c r="M6125" s="181"/>
      <c r="N6125" s="181"/>
      <c r="O6125" s="181"/>
      <c r="P6125" s="181"/>
    </row>
    <row r="6126">
      <c r="B6126" s="292"/>
      <c r="C6126" s="181"/>
      <c r="D6126" s="181"/>
      <c r="E6126" s="181"/>
      <c r="F6126" s="181"/>
      <c r="G6126" s="181"/>
      <c r="H6126" s="181"/>
      <c r="I6126" s="181"/>
      <c r="J6126" s="181"/>
      <c r="K6126" s="181"/>
      <c r="L6126" s="181"/>
      <c r="M6126" s="181"/>
      <c r="N6126" s="181"/>
      <c r="O6126" s="181"/>
      <c r="P6126" s="181"/>
    </row>
    <row r="6127">
      <c r="B6127" s="292"/>
      <c r="C6127" s="181"/>
      <c r="D6127" s="181"/>
      <c r="E6127" s="181"/>
      <c r="F6127" s="181"/>
      <c r="G6127" s="181"/>
      <c r="H6127" s="181"/>
      <c r="I6127" s="181"/>
      <c r="J6127" s="181"/>
      <c r="K6127" s="181"/>
      <c r="L6127" s="181"/>
      <c r="M6127" s="181"/>
      <c r="N6127" s="181"/>
      <c r="O6127" s="181"/>
      <c r="P6127" s="181"/>
    </row>
    <row r="6128">
      <c r="B6128" s="292"/>
      <c r="C6128" s="181"/>
      <c r="D6128" s="181"/>
      <c r="E6128" s="181"/>
      <c r="F6128" s="181"/>
      <c r="G6128" s="181"/>
      <c r="H6128" s="181"/>
      <c r="I6128" s="181"/>
      <c r="J6128" s="181"/>
      <c r="K6128" s="181"/>
      <c r="L6128" s="181"/>
      <c r="M6128" s="181"/>
      <c r="N6128" s="181"/>
      <c r="O6128" s="181"/>
      <c r="P6128" s="181"/>
    </row>
    <row r="6129">
      <c r="B6129" s="292"/>
      <c r="C6129" s="181"/>
      <c r="D6129" s="181"/>
      <c r="E6129" s="181"/>
      <c r="F6129" s="181"/>
      <c r="G6129" s="181"/>
      <c r="H6129" s="181"/>
      <c r="I6129" s="181"/>
      <c r="J6129" s="181"/>
      <c r="K6129" s="181"/>
      <c r="L6129" s="181"/>
      <c r="M6129" s="181"/>
      <c r="N6129" s="181"/>
      <c r="O6129" s="181"/>
      <c r="P6129" s="181"/>
    </row>
    <row r="6130">
      <c r="B6130" s="292"/>
      <c r="C6130" s="181"/>
      <c r="D6130" s="181"/>
      <c r="E6130" s="181"/>
      <c r="F6130" s="181"/>
      <c r="G6130" s="181"/>
      <c r="H6130" s="181"/>
      <c r="I6130" s="181"/>
      <c r="J6130" s="181"/>
      <c r="K6130" s="181"/>
      <c r="L6130" s="181"/>
      <c r="M6130" s="181"/>
      <c r="N6130" s="181"/>
      <c r="O6130" s="181"/>
      <c r="P6130" s="181"/>
    </row>
    <row r="6131">
      <c r="B6131" s="292"/>
      <c r="C6131" s="181"/>
      <c r="D6131" s="181"/>
      <c r="E6131" s="181"/>
      <c r="F6131" s="181"/>
      <c r="G6131" s="181"/>
      <c r="H6131" s="181"/>
      <c r="I6131" s="181"/>
      <c r="J6131" s="181"/>
      <c r="K6131" s="181"/>
      <c r="L6131" s="181"/>
      <c r="M6131" s="181"/>
      <c r="N6131" s="181"/>
      <c r="O6131" s="181"/>
      <c r="P6131" s="181"/>
    </row>
    <row r="6132">
      <c r="B6132" s="292"/>
      <c r="C6132" s="181"/>
      <c r="D6132" s="181"/>
      <c r="E6132" s="181"/>
      <c r="F6132" s="181"/>
      <c r="G6132" s="181"/>
      <c r="H6132" s="181"/>
      <c r="I6132" s="181"/>
      <c r="J6132" s="181"/>
      <c r="K6132" s="181"/>
      <c r="L6132" s="181"/>
      <c r="M6132" s="181"/>
      <c r="N6132" s="181"/>
      <c r="O6132" s="181"/>
      <c r="P6132" s="181"/>
    </row>
    <row r="6133">
      <c r="B6133" s="292"/>
      <c r="C6133" s="181"/>
      <c r="D6133" s="181"/>
      <c r="E6133" s="181"/>
      <c r="F6133" s="181"/>
      <c r="G6133" s="181"/>
      <c r="H6133" s="181"/>
      <c r="I6133" s="181"/>
      <c r="J6133" s="181"/>
      <c r="K6133" s="181"/>
      <c r="L6133" s="181"/>
      <c r="M6133" s="181"/>
      <c r="N6133" s="181"/>
      <c r="O6133" s="181"/>
      <c r="P6133" s="181"/>
    </row>
    <row r="6134">
      <c r="B6134" s="292"/>
      <c r="C6134" s="181"/>
      <c r="D6134" s="181"/>
      <c r="E6134" s="181"/>
      <c r="F6134" s="181"/>
      <c r="G6134" s="181"/>
      <c r="H6134" s="181"/>
      <c r="I6134" s="181"/>
      <c r="J6134" s="181"/>
      <c r="K6134" s="181"/>
      <c r="L6134" s="181"/>
      <c r="M6134" s="181"/>
      <c r="N6134" s="181"/>
      <c r="O6134" s="181"/>
      <c r="P6134" s="181"/>
    </row>
    <row r="6135">
      <c r="B6135" s="292"/>
      <c r="C6135" s="181"/>
      <c r="D6135" s="181"/>
      <c r="E6135" s="181"/>
      <c r="F6135" s="181"/>
      <c r="G6135" s="181"/>
      <c r="H6135" s="181"/>
      <c r="I6135" s="181"/>
      <c r="J6135" s="181"/>
      <c r="K6135" s="181"/>
      <c r="L6135" s="181"/>
      <c r="M6135" s="181"/>
      <c r="N6135" s="181"/>
      <c r="O6135" s="181"/>
      <c r="P6135" s="181"/>
    </row>
    <row r="6136">
      <c r="B6136" s="292"/>
      <c r="C6136" s="181"/>
      <c r="D6136" s="181"/>
      <c r="E6136" s="181"/>
      <c r="F6136" s="181"/>
      <c r="G6136" s="181"/>
      <c r="H6136" s="181"/>
      <c r="I6136" s="181"/>
      <c r="J6136" s="181"/>
      <c r="K6136" s="181"/>
      <c r="L6136" s="181"/>
      <c r="M6136" s="181"/>
      <c r="N6136" s="181"/>
      <c r="O6136" s="181"/>
      <c r="P6136" s="181"/>
    </row>
    <row r="6137">
      <c r="B6137" s="292"/>
      <c r="C6137" s="181"/>
      <c r="D6137" s="181"/>
      <c r="E6137" s="181"/>
      <c r="F6137" s="181"/>
      <c r="G6137" s="181"/>
      <c r="H6137" s="181"/>
      <c r="I6137" s="181"/>
      <c r="J6137" s="181"/>
      <c r="K6137" s="181"/>
      <c r="L6137" s="181"/>
      <c r="M6137" s="181"/>
      <c r="N6137" s="181"/>
      <c r="O6137" s="181"/>
      <c r="P6137" s="181"/>
    </row>
    <row r="6138">
      <c r="B6138" s="292"/>
      <c r="C6138" s="181"/>
      <c r="D6138" s="181"/>
      <c r="E6138" s="181"/>
      <c r="F6138" s="181"/>
      <c r="G6138" s="181"/>
      <c r="H6138" s="181"/>
      <c r="I6138" s="181"/>
      <c r="J6138" s="181"/>
      <c r="K6138" s="181"/>
      <c r="L6138" s="181"/>
      <c r="M6138" s="181"/>
      <c r="N6138" s="181"/>
      <c r="O6138" s="181"/>
      <c r="P6138" s="181"/>
    </row>
    <row r="6139">
      <c r="B6139" s="292"/>
      <c r="C6139" s="181"/>
      <c r="D6139" s="181"/>
      <c r="E6139" s="181"/>
      <c r="F6139" s="181"/>
      <c r="G6139" s="181"/>
      <c r="H6139" s="181"/>
      <c r="I6139" s="181"/>
      <c r="J6139" s="181"/>
      <c r="K6139" s="181"/>
      <c r="L6139" s="181"/>
      <c r="M6139" s="181"/>
      <c r="N6139" s="181"/>
      <c r="O6139" s="181"/>
      <c r="P6139" s="181"/>
    </row>
    <row r="6140">
      <c r="B6140" s="292"/>
      <c r="C6140" s="181"/>
      <c r="D6140" s="181"/>
      <c r="E6140" s="181"/>
      <c r="F6140" s="181"/>
      <c r="G6140" s="181"/>
      <c r="H6140" s="181"/>
      <c r="I6140" s="181"/>
      <c r="J6140" s="181"/>
      <c r="K6140" s="181"/>
      <c r="L6140" s="181"/>
      <c r="M6140" s="181"/>
      <c r="N6140" s="181"/>
      <c r="O6140" s="181"/>
      <c r="P6140" s="181"/>
    </row>
    <row r="6141">
      <c r="B6141" s="292"/>
      <c r="C6141" s="181"/>
      <c r="D6141" s="181"/>
      <c r="E6141" s="181"/>
      <c r="F6141" s="181"/>
      <c r="G6141" s="181"/>
      <c r="H6141" s="181"/>
      <c r="I6141" s="181"/>
      <c r="J6141" s="181"/>
      <c r="K6141" s="181"/>
      <c r="L6141" s="181"/>
      <c r="M6141" s="181"/>
      <c r="N6141" s="181"/>
      <c r="O6141" s="181"/>
      <c r="P6141" s="181"/>
    </row>
    <row r="6142">
      <c r="B6142" s="292"/>
      <c r="C6142" s="181"/>
      <c r="D6142" s="181"/>
      <c r="E6142" s="181"/>
      <c r="F6142" s="181"/>
      <c r="G6142" s="181"/>
      <c r="H6142" s="181"/>
      <c r="I6142" s="181"/>
      <c r="J6142" s="181"/>
      <c r="K6142" s="181"/>
      <c r="L6142" s="181"/>
      <c r="M6142" s="181"/>
      <c r="N6142" s="181"/>
      <c r="O6142" s="181"/>
      <c r="P6142" s="181"/>
    </row>
    <row r="6143">
      <c r="B6143" s="292"/>
      <c r="C6143" s="181"/>
      <c r="D6143" s="181"/>
      <c r="E6143" s="181"/>
      <c r="F6143" s="181"/>
      <c r="G6143" s="181"/>
      <c r="H6143" s="181"/>
      <c r="I6143" s="181"/>
      <c r="J6143" s="181"/>
      <c r="K6143" s="181"/>
      <c r="L6143" s="181"/>
      <c r="M6143" s="181"/>
      <c r="N6143" s="181"/>
      <c r="O6143" s="181"/>
      <c r="P6143" s="181"/>
    </row>
    <row r="6144">
      <c r="B6144" s="292"/>
      <c r="C6144" s="181"/>
      <c r="D6144" s="181"/>
      <c r="E6144" s="181"/>
      <c r="F6144" s="181"/>
      <c r="G6144" s="181"/>
      <c r="H6144" s="181"/>
      <c r="I6144" s="181"/>
      <c r="J6144" s="181"/>
      <c r="K6144" s="181"/>
      <c r="L6144" s="181"/>
      <c r="M6144" s="181"/>
      <c r="N6144" s="181"/>
      <c r="O6144" s="181"/>
      <c r="P6144" s="181"/>
    </row>
    <row r="6145">
      <c r="B6145" s="292"/>
      <c r="C6145" s="181"/>
      <c r="D6145" s="181"/>
      <c r="E6145" s="181"/>
      <c r="F6145" s="181"/>
      <c r="G6145" s="181"/>
      <c r="H6145" s="181"/>
      <c r="I6145" s="181"/>
      <c r="J6145" s="181"/>
      <c r="K6145" s="181"/>
      <c r="L6145" s="181"/>
      <c r="M6145" s="181"/>
      <c r="N6145" s="181"/>
      <c r="O6145" s="181"/>
      <c r="P6145" s="181"/>
    </row>
    <row r="6146">
      <c r="B6146" s="292"/>
      <c r="C6146" s="181"/>
      <c r="D6146" s="181"/>
      <c r="E6146" s="181"/>
      <c r="F6146" s="181"/>
      <c r="G6146" s="181"/>
      <c r="H6146" s="181"/>
      <c r="I6146" s="181"/>
      <c r="J6146" s="181"/>
      <c r="K6146" s="181"/>
      <c r="L6146" s="181"/>
      <c r="M6146" s="181"/>
      <c r="N6146" s="181"/>
      <c r="O6146" s="181"/>
      <c r="P6146" s="181"/>
    </row>
    <row r="6147">
      <c r="B6147" s="292"/>
      <c r="C6147" s="181"/>
      <c r="D6147" s="181"/>
      <c r="E6147" s="181"/>
      <c r="F6147" s="181"/>
      <c r="G6147" s="181"/>
      <c r="H6147" s="181"/>
      <c r="I6147" s="181"/>
      <c r="J6147" s="181"/>
      <c r="K6147" s="181"/>
      <c r="L6147" s="181"/>
      <c r="M6147" s="181"/>
      <c r="N6147" s="181"/>
      <c r="O6147" s="181"/>
      <c r="P6147" s="181"/>
    </row>
    <row r="6148">
      <c r="B6148" s="292"/>
      <c r="C6148" s="181"/>
      <c r="D6148" s="181"/>
      <c r="E6148" s="181"/>
      <c r="F6148" s="181"/>
      <c r="G6148" s="181"/>
      <c r="H6148" s="181"/>
      <c r="I6148" s="181"/>
      <c r="J6148" s="181"/>
      <c r="K6148" s="181"/>
      <c r="L6148" s="181"/>
      <c r="M6148" s="181"/>
      <c r="N6148" s="181"/>
      <c r="O6148" s="181"/>
      <c r="P6148" s="181"/>
    </row>
    <row r="6149">
      <c r="B6149" s="292"/>
      <c r="C6149" s="181"/>
      <c r="D6149" s="181"/>
      <c r="E6149" s="181"/>
      <c r="F6149" s="181"/>
      <c r="G6149" s="181"/>
      <c r="H6149" s="181"/>
      <c r="I6149" s="181"/>
      <c r="J6149" s="181"/>
      <c r="K6149" s="181"/>
      <c r="L6149" s="181"/>
      <c r="M6149" s="181"/>
      <c r="N6149" s="181"/>
      <c r="O6149" s="181"/>
      <c r="P6149" s="181"/>
    </row>
    <row r="6150">
      <c r="B6150" s="292"/>
      <c r="C6150" s="181"/>
      <c r="D6150" s="181"/>
      <c r="E6150" s="181"/>
      <c r="F6150" s="181"/>
      <c r="G6150" s="181"/>
      <c r="H6150" s="181"/>
      <c r="I6150" s="181"/>
      <c r="J6150" s="181"/>
      <c r="K6150" s="181"/>
      <c r="L6150" s="181"/>
      <c r="M6150" s="181"/>
      <c r="N6150" s="181"/>
      <c r="O6150" s="181"/>
      <c r="P6150" s="181"/>
    </row>
    <row r="6151">
      <c r="B6151" s="292"/>
      <c r="C6151" s="181"/>
      <c r="D6151" s="181"/>
      <c r="E6151" s="181"/>
      <c r="F6151" s="181"/>
      <c r="G6151" s="181"/>
      <c r="H6151" s="181"/>
      <c r="I6151" s="181"/>
      <c r="J6151" s="181"/>
      <c r="K6151" s="181"/>
      <c r="L6151" s="181"/>
      <c r="M6151" s="181"/>
      <c r="N6151" s="181"/>
      <c r="O6151" s="181"/>
      <c r="P6151" s="181"/>
    </row>
    <row r="6152">
      <c r="B6152" s="292"/>
      <c r="C6152" s="181"/>
      <c r="D6152" s="181"/>
      <c r="E6152" s="181"/>
      <c r="F6152" s="181"/>
      <c r="G6152" s="181"/>
      <c r="H6152" s="181"/>
      <c r="I6152" s="181"/>
      <c r="J6152" s="181"/>
      <c r="K6152" s="181"/>
      <c r="L6152" s="181"/>
      <c r="M6152" s="181"/>
      <c r="N6152" s="181"/>
      <c r="O6152" s="181"/>
      <c r="P6152" s="181"/>
    </row>
    <row r="6153">
      <c r="B6153" s="292"/>
      <c r="C6153" s="181"/>
      <c r="D6153" s="181"/>
      <c r="E6153" s="181"/>
      <c r="F6153" s="181"/>
      <c r="G6153" s="181"/>
      <c r="H6153" s="181"/>
      <c r="I6153" s="181"/>
      <c r="J6153" s="181"/>
      <c r="K6153" s="181"/>
      <c r="L6153" s="181"/>
      <c r="M6153" s="181"/>
      <c r="N6153" s="181"/>
      <c r="O6153" s="181"/>
      <c r="P6153" s="181"/>
    </row>
    <row r="6154">
      <c r="B6154" s="292"/>
      <c r="C6154" s="181"/>
      <c r="D6154" s="181"/>
      <c r="E6154" s="181"/>
      <c r="F6154" s="181"/>
      <c r="G6154" s="181"/>
      <c r="H6154" s="181"/>
      <c r="I6154" s="181"/>
      <c r="J6154" s="181"/>
      <c r="K6154" s="181"/>
      <c r="L6154" s="181"/>
      <c r="M6154" s="181"/>
      <c r="N6154" s="181"/>
      <c r="O6154" s="181"/>
      <c r="P6154" s="181"/>
    </row>
    <row r="6155">
      <c r="B6155" s="292"/>
      <c r="C6155" s="181"/>
      <c r="D6155" s="181"/>
      <c r="E6155" s="181"/>
      <c r="F6155" s="181"/>
      <c r="G6155" s="181"/>
      <c r="H6155" s="181"/>
      <c r="I6155" s="181"/>
      <c r="J6155" s="181"/>
      <c r="K6155" s="181"/>
      <c r="L6155" s="181"/>
      <c r="M6155" s="181"/>
      <c r="N6155" s="181"/>
      <c r="O6155" s="181"/>
      <c r="P6155" s="181"/>
    </row>
    <row r="6156">
      <c r="B6156" s="292"/>
      <c r="C6156" s="181"/>
      <c r="D6156" s="181"/>
      <c r="E6156" s="181"/>
      <c r="F6156" s="181"/>
      <c r="G6156" s="181"/>
      <c r="H6156" s="181"/>
      <c r="I6156" s="181"/>
      <c r="J6156" s="181"/>
      <c r="K6156" s="181"/>
      <c r="L6156" s="181"/>
      <c r="M6156" s="181"/>
      <c r="N6156" s="181"/>
      <c r="O6156" s="181"/>
      <c r="P6156" s="181"/>
    </row>
    <row r="6157">
      <c r="B6157" s="292"/>
      <c r="C6157" s="181"/>
      <c r="D6157" s="181"/>
      <c r="E6157" s="181"/>
      <c r="F6157" s="181"/>
      <c r="G6157" s="181"/>
      <c r="H6157" s="181"/>
      <c r="I6157" s="181"/>
      <c r="J6157" s="181"/>
      <c r="K6157" s="181"/>
      <c r="L6157" s="181"/>
      <c r="M6157" s="181"/>
      <c r="N6157" s="181"/>
      <c r="O6157" s="181"/>
      <c r="P6157" s="181"/>
    </row>
    <row r="6158">
      <c r="B6158" s="292"/>
      <c r="C6158" s="181"/>
      <c r="D6158" s="181"/>
      <c r="E6158" s="181"/>
      <c r="F6158" s="181"/>
      <c r="G6158" s="181"/>
      <c r="H6158" s="181"/>
      <c r="I6158" s="181"/>
      <c r="J6158" s="181"/>
      <c r="K6158" s="181"/>
      <c r="L6158" s="181"/>
      <c r="M6158" s="181"/>
      <c r="N6158" s="181"/>
      <c r="O6158" s="181"/>
      <c r="P6158" s="181"/>
    </row>
    <row r="6159">
      <c r="B6159" s="292"/>
      <c r="C6159" s="181"/>
      <c r="D6159" s="181"/>
      <c r="E6159" s="181"/>
      <c r="F6159" s="181"/>
      <c r="G6159" s="181"/>
      <c r="H6159" s="181"/>
      <c r="I6159" s="181"/>
      <c r="J6159" s="181"/>
      <c r="K6159" s="181"/>
      <c r="L6159" s="181"/>
      <c r="M6159" s="181"/>
      <c r="N6159" s="181"/>
      <c r="O6159" s="181"/>
      <c r="P6159" s="181"/>
    </row>
    <row r="6160">
      <c r="B6160" s="292"/>
      <c r="C6160" s="181"/>
      <c r="D6160" s="181"/>
      <c r="E6160" s="181"/>
      <c r="F6160" s="181"/>
      <c r="G6160" s="181"/>
      <c r="H6160" s="181"/>
      <c r="I6160" s="181"/>
      <c r="J6160" s="181"/>
      <c r="K6160" s="181"/>
      <c r="L6160" s="181"/>
      <c r="M6160" s="181"/>
      <c r="N6160" s="181"/>
      <c r="O6160" s="181"/>
      <c r="P6160" s="181"/>
    </row>
    <row r="6161">
      <c r="B6161" s="292"/>
      <c r="C6161" s="181"/>
      <c r="D6161" s="181"/>
      <c r="E6161" s="181"/>
      <c r="F6161" s="181"/>
      <c r="G6161" s="181"/>
      <c r="H6161" s="181"/>
      <c r="I6161" s="181"/>
      <c r="J6161" s="181"/>
      <c r="K6161" s="181"/>
      <c r="L6161" s="181"/>
      <c r="M6161" s="181"/>
      <c r="N6161" s="181"/>
      <c r="O6161" s="181"/>
      <c r="P6161" s="181"/>
    </row>
    <row r="6162">
      <c r="B6162" s="292"/>
      <c r="C6162" s="181"/>
      <c r="D6162" s="181"/>
      <c r="E6162" s="181"/>
      <c r="F6162" s="181"/>
      <c r="G6162" s="181"/>
      <c r="H6162" s="181"/>
      <c r="I6162" s="181"/>
      <c r="J6162" s="181"/>
      <c r="K6162" s="181"/>
      <c r="L6162" s="181"/>
      <c r="M6162" s="181"/>
      <c r="N6162" s="181"/>
      <c r="O6162" s="181"/>
      <c r="P6162" s="181"/>
    </row>
    <row r="6163">
      <c r="B6163" s="292"/>
      <c r="C6163" s="181"/>
      <c r="D6163" s="181"/>
      <c r="E6163" s="181"/>
      <c r="F6163" s="181"/>
      <c r="G6163" s="181"/>
      <c r="H6163" s="181"/>
      <c r="I6163" s="181"/>
      <c r="J6163" s="181"/>
      <c r="K6163" s="181"/>
      <c r="L6163" s="181"/>
      <c r="M6163" s="181"/>
      <c r="N6163" s="181"/>
      <c r="O6163" s="181"/>
      <c r="P6163" s="181"/>
    </row>
    <row r="6164">
      <c r="B6164" s="292"/>
      <c r="C6164" s="181"/>
      <c r="D6164" s="181"/>
      <c r="E6164" s="181"/>
      <c r="F6164" s="181"/>
      <c r="G6164" s="181"/>
      <c r="H6164" s="181"/>
      <c r="I6164" s="181"/>
      <c r="J6164" s="181"/>
      <c r="K6164" s="181"/>
      <c r="L6164" s="181"/>
      <c r="M6164" s="181"/>
      <c r="N6164" s="181"/>
      <c r="O6164" s="181"/>
      <c r="P6164" s="181"/>
    </row>
    <row r="6165">
      <c r="B6165" s="292"/>
      <c r="C6165" s="181"/>
      <c r="D6165" s="181"/>
      <c r="E6165" s="181"/>
      <c r="F6165" s="181"/>
      <c r="G6165" s="181"/>
      <c r="H6165" s="181"/>
      <c r="I6165" s="181"/>
      <c r="J6165" s="181"/>
      <c r="K6165" s="181"/>
      <c r="L6165" s="181"/>
      <c r="M6165" s="181"/>
      <c r="N6165" s="181"/>
      <c r="O6165" s="181"/>
      <c r="P6165" s="181"/>
    </row>
    <row r="6166">
      <c r="B6166" s="292"/>
      <c r="C6166" s="181"/>
      <c r="D6166" s="181"/>
      <c r="E6166" s="181"/>
      <c r="F6166" s="181"/>
      <c r="G6166" s="181"/>
      <c r="H6166" s="181"/>
      <c r="I6166" s="181"/>
      <c r="J6166" s="181"/>
      <c r="K6166" s="181"/>
      <c r="L6166" s="181"/>
      <c r="M6166" s="181"/>
      <c r="N6166" s="181"/>
      <c r="O6166" s="181"/>
      <c r="P6166" s="181"/>
    </row>
    <row r="6167">
      <c r="B6167" s="292"/>
      <c r="C6167" s="181"/>
      <c r="D6167" s="181"/>
      <c r="E6167" s="181"/>
      <c r="F6167" s="181"/>
      <c r="G6167" s="181"/>
      <c r="H6167" s="181"/>
      <c r="I6167" s="181"/>
      <c r="J6167" s="181"/>
      <c r="K6167" s="181"/>
      <c r="L6167" s="181"/>
      <c r="M6167" s="181"/>
      <c r="N6167" s="181"/>
      <c r="O6167" s="181"/>
      <c r="P6167" s="181"/>
    </row>
    <row r="6168">
      <c r="B6168" s="292"/>
      <c r="C6168" s="181"/>
      <c r="D6168" s="181"/>
      <c r="E6168" s="181"/>
      <c r="F6168" s="181"/>
      <c r="G6168" s="181"/>
      <c r="H6168" s="181"/>
      <c r="I6168" s="181"/>
      <c r="J6168" s="181"/>
      <c r="K6168" s="181"/>
      <c r="L6168" s="181"/>
      <c r="M6168" s="181"/>
      <c r="N6168" s="181"/>
      <c r="O6168" s="181"/>
      <c r="P6168" s="181"/>
    </row>
    <row r="6169">
      <c r="B6169" s="292"/>
      <c r="C6169" s="181"/>
      <c r="D6169" s="181"/>
      <c r="E6169" s="181"/>
      <c r="F6169" s="181"/>
      <c r="G6169" s="181"/>
      <c r="H6169" s="181"/>
      <c r="I6169" s="181"/>
      <c r="J6169" s="181"/>
      <c r="K6169" s="181"/>
      <c r="L6169" s="181"/>
      <c r="M6169" s="181"/>
      <c r="N6169" s="181"/>
      <c r="O6169" s="181"/>
      <c r="P6169" s="181"/>
    </row>
    <row r="6170">
      <c r="B6170" s="292"/>
      <c r="C6170" s="181"/>
      <c r="D6170" s="181"/>
      <c r="E6170" s="181"/>
      <c r="F6170" s="181"/>
      <c r="G6170" s="181"/>
      <c r="H6170" s="181"/>
      <c r="I6170" s="181"/>
      <c r="J6170" s="181"/>
      <c r="K6170" s="181"/>
      <c r="L6170" s="181"/>
      <c r="M6170" s="181"/>
      <c r="N6170" s="181"/>
      <c r="O6170" s="181"/>
      <c r="P6170" s="181"/>
    </row>
    <row r="6171">
      <c r="B6171" s="292"/>
      <c r="C6171" s="181"/>
      <c r="D6171" s="181"/>
      <c r="E6171" s="181"/>
      <c r="F6171" s="181"/>
      <c r="G6171" s="181"/>
      <c r="H6171" s="181"/>
      <c r="I6171" s="181"/>
      <c r="J6171" s="181"/>
      <c r="K6171" s="181"/>
      <c r="L6171" s="181"/>
      <c r="M6171" s="181"/>
      <c r="N6171" s="181"/>
      <c r="O6171" s="181"/>
      <c r="P6171" s="181"/>
    </row>
    <row r="6172">
      <c r="B6172" s="292"/>
      <c r="C6172" s="181"/>
      <c r="D6172" s="181"/>
      <c r="E6172" s="181"/>
      <c r="F6172" s="181"/>
      <c r="G6172" s="181"/>
      <c r="H6172" s="181"/>
      <c r="I6172" s="181"/>
      <c r="J6172" s="181"/>
      <c r="K6172" s="181"/>
      <c r="L6172" s="181"/>
      <c r="M6172" s="181"/>
      <c r="N6172" s="181"/>
      <c r="O6172" s="181"/>
      <c r="P6172" s="181"/>
    </row>
    <row r="6173">
      <c r="B6173" s="292"/>
      <c r="C6173" s="181"/>
      <c r="D6173" s="181"/>
      <c r="E6173" s="181"/>
      <c r="F6173" s="181"/>
      <c r="G6173" s="181"/>
      <c r="H6173" s="181"/>
      <c r="I6173" s="181"/>
      <c r="J6173" s="181"/>
      <c r="K6173" s="181"/>
      <c r="L6173" s="181"/>
      <c r="M6173" s="181"/>
      <c r="N6173" s="181"/>
      <c r="O6173" s="181"/>
      <c r="P6173" s="181"/>
    </row>
    <row r="6174">
      <c r="B6174" s="292"/>
      <c r="C6174" s="181"/>
      <c r="D6174" s="181"/>
      <c r="E6174" s="181"/>
      <c r="F6174" s="181"/>
      <c r="G6174" s="181"/>
      <c r="H6174" s="181"/>
      <c r="I6174" s="181"/>
      <c r="J6174" s="181"/>
      <c r="K6174" s="181"/>
      <c r="L6174" s="181"/>
      <c r="M6174" s="181"/>
      <c r="N6174" s="181"/>
      <c r="O6174" s="181"/>
      <c r="P6174" s="181"/>
    </row>
    <row r="6175">
      <c r="B6175" s="292"/>
      <c r="C6175" s="181"/>
      <c r="D6175" s="181"/>
      <c r="E6175" s="181"/>
      <c r="F6175" s="181"/>
      <c r="G6175" s="181"/>
      <c r="H6175" s="181"/>
      <c r="I6175" s="181"/>
      <c r="J6175" s="181"/>
      <c r="K6175" s="181"/>
      <c r="L6175" s="181"/>
      <c r="M6175" s="181"/>
      <c r="N6175" s="181"/>
      <c r="O6175" s="181"/>
      <c r="P6175" s="181"/>
    </row>
    <row r="6176">
      <c r="B6176" s="292"/>
      <c r="C6176" s="181"/>
      <c r="D6176" s="181"/>
      <c r="E6176" s="181"/>
      <c r="F6176" s="181"/>
      <c r="G6176" s="181"/>
      <c r="H6176" s="181"/>
      <c r="I6176" s="181"/>
      <c r="J6176" s="181"/>
      <c r="K6176" s="181"/>
      <c r="L6176" s="181"/>
      <c r="M6176" s="181"/>
      <c r="N6176" s="181"/>
      <c r="O6176" s="181"/>
      <c r="P6176" s="181"/>
    </row>
    <row r="6177">
      <c r="B6177" s="292"/>
      <c r="C6177" s="181"/>
      <c r="D6177" s="181"/>
      <c r="E6177" s="181"/>
      <c r="F6177" s="181"/>
      <c r="G6177" s="181"/>
      <c r="H6177" s="181"/>
      <c r="I6177" s="181"/>
      <c r="J6177" s="181"/>
      <c r="K6177" s="181"/>
      <c r="L6177" s="181"/>
      <c r="M6177" s="181"/>
      <c r="N6177" s="181"/>
      <c r="O6177" s="181"/>
      <c r="P6177" s="181"/>
    </row>
    <row r="6178">
      <c r="B6178" s="292"/>
      <c r="C6178" s="181"/>
      <c r="D6178" s="181"/>
      <c r="E6178" s="181"/>
      <c r="F6178" s="181"/>
      <c r="G6178" s="181"/>
      <c r="H6178" s="181"/>
      <c r="I6178" s="181"/>
      <c r="J6178" s="181"/>
      <c r="K6178" s="181"/>
      <c r="L6178" s="181"/>
      <c r="M6178" s="181"/>
      <c r="N6178" s="181"/>
      <c r="O6178" s="181"/>
      <c r="P6178" s="181"/>
    </row>
    <row r="6179">
      <c r="B6179" s="292"/>
      <c r="C6179" s="181"/>
      <c r="D6179" s="181"/>
      <c r="E6179" s="181"/>
      <c r="F6179" s="181"/>
      <c r="G6179" s="181"/>
      <c r="H6179" s="181"/>
      <c r="I6179" s="181"/>
      <c r="J6179" s="181"/>
      <c r="K6179" s="181"/>
      <c r="L6179" s="181"/>
      <c r="M6179" s="181"/>
      <c r="N6179" s="181"/>
      <c r="O6179" s="181"/>
      <c r="P6179" s="181"/>
    </row>
    <row r="6180">
      <c r="B6180" s="292"/>
      <c r="C6180" s="181"/>
      <c r="D6180" s="181"/>
      <c r="E6180" s="181"/>
      <c r="F6180" s="181"/>
      <c r="G6180" s="181"/>
      <c r="H6180" s="181"/>
      <c r="I6180" s="181"/>
      <c r="J6180" s="181"/>
      <c r="K6180" s="181"/>
      <c r="L6180" s="181"/>
      <c r="M6180" s="181"/>
      <c r="N6180" s="181"/>
      <c r="O6180" s="181"/>
      <c r="P6180" s="181"/>
    </row>
    <row r="6181">
      <c r="B6181" s="292"/>
      <c r="C6181" s="181"/>
      <c r="D6181" s="181"/>
      <c r="E6181" s="181"/>
      <c r="F6181" s="181"/>
      <c r="G6181" s="181"/>
      <c r="H6181" s="181"/>
      <c r="I6181" s="181"/>
      <c r="J6181" s="181"/>
      <c r="K6181" s="181"/>
      <c r="L6181" s="181"/>
      <c r="M6181" s="181"/>
      <c r="N6181" s="181"/>
      <c r="O6181" s="181"/>
      <c r="P6181" s="181"/>
    </row>
    <row r="6182">
      <c r="B6182" s="292"/>
      <c r="C6182" s="181"/>
      <c r="D6182" s="181"/>
      <c r="E6182" s="181"/>
      <c r="F6182" s="181"/>
      <c r="G6182" s="181"/>
      <c r="H6182" s="181"/>
      <c r="I6182" s="181"/>
      <c r="J6182" s="181"/>
      <c r="K6182" s="181"/>
      <c r="L6182" s="181"/>
      <c r="M6182" s="181"/>
      <c r="N6182" s="181"/>
      <c r="O6182" s="181"/>
      <c r="P6182" s="181"/>
    </row>
    <row r="6183">
      <c r="B6183" s="292"/>
      <c r="C6183" s="181"/>
      <c r="D6183" s="181"/>
      <c r="E6183" s="181"/>
      <c r="F6183" s="181"/>
      <c r="G6183" s="181"/>
      <c r="H6183" s="181"/>
      <c r="I6183" s="181"/>
      <c r="J6183" s="181"/>
      <c r="K6183" s="181"/>
      <c r="L6183" s="181"/>
      <c r="M6183" s="181"/>
      <c r="N6183" s="181"/>
      <c r="O6183" s="181"/>
      <c r="P6183" s="181"/>
    </row>
    <row r="6184">
      <c r="B6184" s="292"/>
      <c r="C6184" s="181"/>
      <c r="D6184" s="181"/>
      <c r="E6184" s="181"/>
      <c r="F6184" s="181"/>
      <c r="G6184" s="181"/>
      <c r="H6184" s="181"/>
      <c r="I6184" s="181"/>
      <c r="J6184" s="181"/>
      <c r="K6184" s="181"/>
      <c r="L6184" s="181"/>
      <c r="M6184" s="181"/>
      <c r="N6184" s="181"/>
      <c r="O6184" s="181"/>
      <c r="P6184" s="181"/>
    </row>
    <row r="6185">
      <c r="B6185" s="292"/>
      <c r="C6185" s="181"/>
      <c r="D6185" s="181"/>
      <c r="E6185" s="181"/>
      <c r="F6185" s="181"/>
      <c r="G6185" s="181"/>
      <c r="H6185" s="181"/>
      <c r="I6185" s="181"/>
      <c r="J6185" s="181"/>
      <c r="K6185" s="181"/>
      <c r="L6185" s="181"/>
      <c r="M6185" s="181"/>
      <c r="N6185" s="181"/>
      <c r="O6185" s="181"/>
      <c r="P6185" s="181"/>
    </row>
    <row r="6186">
      <c r="B6186" s="292"/>
      <c r="C6186" s="181"/>
      <c r="D6186" s="181"/>
      <c r="E6186" s="181"/>
      <c r="F6186" s="181"/>
      <c r="G6186" s="181"/>
      <c r="H6186" s="181"/>
      <c r="I6186" s="181"/>
      <c r="J6186" s="181"/>
      <c r="K6186" s="181"/>
      <c r="L6186" s="181"/>
      <c r="M6186" s="181"/>
      <c r="N6186" s="181"/>
      <c r="O6186" s="181"/>
      <c r="P6186" s="181"/>
    </row>
    <row r="6187">
      <c r="B6187" s="292"/>
      <c r="C6187" s="181"/>
      <c r="D6187" s="181"/>
      <c r="E6187" s="181"/>
      <c r="F6187" s="181"/>
      <c r="G6187" s="181"/>
      <c r="H6187" s="181"/>
      <c r="I6187" s="181"/>
      <c r="J6187" s="181"/>
      <c r="K6187" s="181"/>
      <c r="L6187" s="181"/>
      <c r="M6187" s="181"/>
      <c r="N6187" s="181"/>
      <c r="O6187" s="181"/>
      <c r="P6187" s="181"/>
    </row>
    <row r="6188">
      <c r="B6188" s="292"/>
      <c r="C6188" s="181"/>
      <c r="D6188" s="181"/>
      <c r="E6188" s="181"/>
      <c r="F6188" s="181"/>
      <c r="G6188" s="181"/>
      <c r="H6188" s="181"/>
      <c r="I6188" s="181"/>
      <c r="J6188" s="181"/>
      <c r="K6188" s="181"/>
      <c r="L6188" s="181"/>
      <c r="M6188" s="181"/>
      <c r="N6188" s="181"/>
      <c r="O6188" s="181"/>
      <c r="P6188" s="181"/>
    </row>
    <row r="6189">
      <c r="B6189" s="292"/>
      <c r="C6189" s="181"/>
      <c r="D6189" s="181"/>
      <c r="E6189" s="181"/>
      <c r="F6189" s="181"/>
      <c r="G6189" s="181"/>
      <c r="H6189" s="181"/>
      <c r="I6189" s="181"/>
      <c r="J6189" s="181"/>
      <c r="K6189" s="181"/>
      <c r="L6189" s="181"/>
      <c r="M6189" s="181"/>
      <c r="N6189" s="181"/>
      <c r="O6189" s="181"/>
      <c r="P6189" s="181"/>
    </row>
    <row r="6190">
      <c r="B6190" s="292"/>
      <c r="C6190" s="181"/>
      <c r="D6190" s="181"/>
      <c r="E6190" s="181"/>
      <c r="F6190" s="181"/>
      <c r="G6190" s="181"/>
      <c r="H6190" s="181"/>
      <c r="I6190" s="181"/>
      <c r="J6190" s="181"/>
      <c r="K6190" s="181"/>
      <c r="L6190" s="181"/>
      <c r="M6190" s="181"/>
      <c r="N6190" s="181"/>
      <c r="O6190" s="181"/>
      <c r="P6190" s="181"/>
    </row>
    <row r="6191">
      <c r="B6191" s="292"/>
      <c r="C6191" s="181"/>
      <c r="D6191" s="181"/>
      <c r="E6191" s="181"/>
      <c r="F6191" s="181"/>
      <c r="G6191" s="181"/>
      <c r="H6191" s="181"/>
      <c r="I6191" s="181"/>
      <c r="J6191" s="181"/>
      <c r="K6191" s="181"/>
      <c r="L6191" s="181"/>
      <c r="M6191" s="181"/>
      <c r="N6191" s="181"/>
      <c r="O6191" s="181"/>
      <c r="P6191" s="181"/>
    </row>
    <row r="6192">
      <c r="B6192" s="292"/>
      <c r="C6192" s="181"/>
      <c r="D6192" s="181"/>
      <c r="E6192" s="181"/>
      <c r="F6192" s="181"/>
      <c r="G6192" s="181"/>
      <c r="H6192" s="181"/>
      <c r="I6192" s="181"/>
      <c r="J6192" s="181"/>
      <c r="K6192" s="181"/>
      <c r="L6192" s="181"/>
      <c r="M6192" s="181"/>
      <c r="N6192" s="181"/>
      <c r="O6192" s="181"/>
      <c r="P6192" s="181"/>
    </row>
    <row r="6193">
      <c r="B6193" s="292"/>
      <c r="C6193" s="181"/>
      <c r="D6193" s="181"/>
      <c r="E6193" s="181"/>
      <c r="F6193" s="181"/>
      <c r="G6193" s="181"/>
      <c r="H6193" s="181"/>
      <c r="I6193" s="181"/>
      <c r="J6193" s="181"/>
      <c r="K6193" s="181"/>
      <c r="L6193" s="181"/>
      <c r="M6193" s="181"/>
      <c r="N6193" s="181"/>
      <c r="O6193" s="181"/>
      <c r="P6193" s="181"/>
    </row>
    <row r="6194">
      <c r="B6194" s="292"/>
      <c r="C6194" s="181"/>
      <c r="D6194" s="181"/>
      <c r="E6194" s="181"/>
      <c r="F6194" s="181"/>
      <c r="G6194" s="181"/>
      <c r="H6194" s="181"/>
      <c r="I6194" s="181"/>
      <c r="J6194" s="181"/>
      <c r="K6194" s="181"/>
      <c r="L6194" s="181"/>
      <c r="M6194" s="181"/>
      <c r="N6194" s="181"/>
      <c r="O6194" s="181"/>
      <c r="P6194" s="181"/>
    </row>
    <row r="6195">
      <c r="B6195" s="292"/>
      <c r="C6195" s="181"/>
      <c r="D6195" s="181"/>
      <c r="E6195" s="181"/>
      <c r="F6195" s="181"/>
      <c r="G6195" s="181"/>
      <c r="H6195" s="181"/>
      <c r="I6195" s="181"/>
      <c r="J6195" s="181"/>
      <c r="K6195" s="181"/>
      <c r="L6195" s="181"/>
      <c r="M6195" s="181"/>
      <c r="N6195" s="181"/>
      <c r="O6195" s="181"/>
      <c r="P6195" s="181"/>
    </row>
    <row r="6196">
      <c r="B6196" s="292"/>
      <c r="C6196" s="181"/>
      <c r="D6196" s="181"/>
      <c r="E6196" s="181"/>
      <c r="F6196" s="181"/>
      <c r="G6196" s="181"/>
      <c r="H6196" s="181"/>
      <c r="I6196" s="181"/>
      <c r="J6196" s="181"/>
      <c r="K6196" s="181"/>
      <c r="L6196" s="181"/>
      <c r="M6196" s="181"/>
      <c r="N6196" s="181"/>
      <c r="O6196" s="181"/>
      <c r="P6196" s="181"/>
    </row>
    <row r="6197">
      <c r="B6197" s="292"/>
      <c r="C6197" s="181"/>
      <c r="D6197" s="181"/>
      <c r="E6197" s="181"/>
      <c r="F6197" s="181"/>
      <c r="G6197" s="181"/>
      <c r="H6197" s="181"/>
      <c r="I6197" s="181"/>
      <c r="J6197" s="181"/>
      <c r="K6197" s="181"/>
      <c r="L6197" s="181"/>
      <c r="M6197" s="181"/>
      <c r="N6197" s="181"/>
      <c r="O6197" s="181"/>
      <c r="P6197" s="181"/>
    </row>
    <row r="6198">
      <c r="B6198" s="292"/>
      <c r="C6198" s="181"/>
      <c r="D6198" s="181"/>
      <c r="E6198" s="181"/>
      <c r="F6198" s="181"/>
      <c r="G6198" s="181"/>
      <c r="H6198" s="181"/>
      <c r="I6198" s="181"/>
      <c r="J6198" s="181"/>
      <c r="K6198" s="181"/>
      <c r="L6198" s="181"/>
      <c r="M6198" s="181"/>
      <c r="N6198" s="181"/>
      <c r="O6198" s="181"/>
      <c r="P6198" s="181"/>
    </row>
    <row r="6199">
      <c r="B6199" s="292"/>
      <c r="C6199" s="181"/>
      <c r="D6199" s="181"/>
      <c r="E6199" s="181"/>
      <c r="F6199" s="181"/>
      <c r="G6199" s="181"/>
      <c r="H6199" s="181"/>
      <c r="I6199" s="181"/>
      <c r="J6199" s="181"/>
      <c r="K6199" s="181"/>
      <c r="L6199" s="181"/>
      <c r="M6199" s="181"/>
      <c r="N6199" s="181"/>
      <c r="O6199" s="181"/>
      <c r="P6199" s="181"/>
    </row>
    <row r="6200">
      <c r="B6200" s="292"/>
      <c r="C6200" s="181"/>
      <c r="D6200" s="181"/>
      <c r="E6200" s="181"/>
      <c r="F6200" s="181"/>
      <c r="G6200" s="181"/>
      <c r="H6200" s="181"/>
      <c r="I6200" s="181"/>
      <c r="J6200" s="181"/>
      <c r="K6200" s="181"/>
      <c r="L6200" s="181"/>
      <c r="M6200" s="181"/>
      <c r="N6200" s="181"/>
      <c r="O6200" s="181"/>
      <c r="P6200" s="181"/>
    </row>
    <row r="6201">
      <c r="B6201" s="292"/>
      <c r="C6201" s="181"/>
      <c r="D6201" s="181"/>
      <c r="E6201" s="181"/>
      <c r="F6201" s="181"/>
      <c r="G6201" s="181"/>
      <c r="H6201" s="181"/>
      <c r="I6201" s="181"/>
      <c r="J6201" s="181"/>
      <c r="K6201" s="181"/>
      <c r="L6201" s="181"/>
      <c r="M6201" s="181"/>
      <c r="N6201" s="181"/>
      <c r="O6201" s="181"/>
      <c r="P6201" s="181"/>
    </row>
    <row r="6202">
      <c r="B6202" s="292"/>
      <c r="C6202" s="181"/>
      <c r="D6202" s="181"/>
      <c r="E6202" s="181"/>
      <c r="F6202" s="181"/>
      <c r="G6202" s="181"/>
      <c r="H6202" s="181"/>
      <c r="I6202" s="181"/>
      <c r="J6202" s="181"/>
      <c r="K6202" s="181"/>
      <c r="L6202" s="181"/>
      <c r="M6202" s="181"/>
      <c r="N6202" s="181"/>
      <c r="O6202" s="181"/>
      <c r="P6202" s="181"/>
    </row>
    <row r="6203">
      <c r="B6203" s="292"/>
      <c r="C6203" s="181"/>
      <c r="D6203" s="181"/>
      <c r="E6203" s="181"/>
      <c r="F6203" s="181"/>
      <c r="G6203" s="181"/>
      <c r="H6203" s="181"/>
      <c r="I6203" s="181"/>
      <c r="J6203" s="181"/>
      <c r="K6203" s="181"/>
      <c r="L6203" s="181"/>
      <c r="M6203" s="181"/>
      <c r="N6203" s="181"/>
      <c r="O6203" s="181"/>
      <c r="P6203" s="181"/>
    </row>
    <row r="6204">
      <c r="B6204" s="292"/>
      <c r="C6204" s="181"/>
      <c r="D6204" s="181"/>
      <c r="E6204" s="181"/>
      <c r="F6204" s="181"/>
      <c r="G6204" s="181"/>
      <c r="H6204" s="181"/>
      <c r="I6204" s="181"/>
      <c r="J6204" s="181"/>
      <c r="K6204" s="181"/>
      <c r="L6204" s="181"/>
      <c r="M6204" s="181"/>
      <c r="N6204" s="181"/>
      <c r="O6204" s="181"/>
      <c r="P6204" s="181"/>
    </row>
    <row r="6205">
      <c r="B6205" s="292"/>
      <c r="C6205" s="181"/>
      <c r="D6205" s="181"/>
      <c r="E6205" s="181"/>
      <c r="F6205" s="181"/>
      <c r="G6205" s="181"/>
      <c r="H6205" s="181"/>
      <c r="I6205" s="181"/>
      <c r="J6205" s="181"/>
      <c r="K6205" s="181"/>
      <c r="L6205" s="181"/>
      <c r="M6205" s="181"/>
      <c r="N6205" s="181"/>
      <c r="O6205" s="181"/>
      <c r="P6205" s="181"/>
    </row>
    <row r="6206">
      <c r="B6206" s="292"/>
      <c r="C6206" s="181"/>
      <c r="D6206" s="181"/>
      <c r="E6206" s="181"/>
      <c r="F6206" s="181"/>
      <c r="G6206" s="181"/>
      <c r="H6206" s="181"/>
      <c r="I6206" s="181"/>
      <c r="J6206" s="181"/>
      <c r="K6206" s="181"/>
      <c r="L6206" s="181"/>
      <c r="M6206" s="181"/>
      <c r="N6206" s="181"/>
      <c r="O6206" s="181"/>
      <c r="P6206" s="181"/>
    </row>
    <row r="6207">
      <c r="B6207" s="292"/>
      <c r="C6207" s="181"/>
      <c r="D6207" s="181"/>
      <c r="E6207" s="181"/>
      <c r="F6207" s="181"/>
      <c r="G6207" s="181"/>
      <c r="H6207" s="181"/>
      <c r="I6207" s="181"/>
      <c r="J6207" s="181"/>
      <c r="K6207" s="181"/>
      <c r="L6207" s="181"/>
      <c r="M6207" s="181"/>
      <c r="N6207" s="181"/>
      <c r="O6207" s="181"/>
      <c r="P6207" s="181"/>
    </row>
    <row r="6208">
      <c r="B6208" s="292"/>
      <c r="C6208" s="181"/>
      <c r="D6208" s="181"/>
      <c r="E6208" s="181"/>
      <c r="F6208" s="181"/>
      <c r="G6208" s="181"/>
      <c r="H6208" s="181"/>
      <c r="I6208" s="181"/>
      <c r="J6208" s="181"/>
      <c r="K6208" s="181"/>
      <c r="L6208" s="181"/>
      <c r="M6208" s="181"/>
      <c r="N6208" s="181"/>
      <c r="O6208" s="181"/>
      <c r="P6208" s="181"/>
    </row>
    <row r="6209">
      <c r="B6209" s="292"/>
      <c r="C6209" s="181"/>
      <c r="D6209" s="181"/>
      <c r="E6209" s="181"/>
      <c r="F6209" s="181"/>
      <c r="G6209" s="181"/>
      <c r="H6209" s="181"/>
      <c r="I6209" s="181"/>
      <c r="J6209" s="181"/>
      <c r="K6209" s="181"/>
      <c r="L6209" s="181"/>
      <c r="M6209" s="181"/>
      <c r="N6209" s="181"/>
      <c r="O6209" s="181"/>
      <c r="P6209" s="181"/>
    </row>
    <row r="6210">
      <c r="B6210" s="292"/>
      <c r="C6210" s="181"/>
      <c r="D6210" s="181"/>
      <c r="E6210" s="181"/>
      <c r="F6210" s="181"/>
      <c r="G6210" s="181"/>
      <c r="H6210" s="181"/>
      <c r="I6210" s="181"/>
      <c r="J6210" s="181"/>
      <c r="K6210" s="181"/>
      <c r="L6210" s="181"/>
      <c r="M6210" s="181"/>
      <c r="N6210" s="181"/>
      <c r="O6210" s="181"/>
      <c r="P6210" s="181"/>
    </row>
    <row r="6211">
      <c r="B6211" s="292"/>
      <c r="C6211" s="181"/>
      <c r="D6211" s="181"/>
      <c r="E6211" s="181"/>
      <c r="F6211" s="181"/>
      <c r="G6211" s="181"/>
      <c r="H6211" s="181"/>
      <c r="I6211" s="181"/>
      <c r="J6211" s="181"/>
      <c r="K6211" s="181"/>
      <c r="L6211" s="181"/>
      <c r="M6211" s="181"/>
      <c r="N6211" s="181"/>
      <c r="O6211" s="181"/>
      <c r="P6211" s="181"/>
    </row>
    <row r="6212">
      <c r="B6212" s="292"/>
      <c r="C6212" s="181"/>
      <c r="D6212" s="181"/>
      <c r="E6212" s="181"/>
      <c r="F6212" s="181"/>
      <c r="G6212" s="181"/>
      <c r="H6212" s="181"/>
      <c r="I6212" s="181"/>
      <c r="J6212" s="181"/>
      <c r="K6212" s="181"/>
      <c r="L6212" s="181"/>
      <c r="M6212" s="181"/>
      <c r="N6212" s="181"/>
      <c r="O6212" s="181"/>
      <c r="P6212" s="181"/>
    </row>
    <row r="6213">
      <c r="B6213" s="292"/>
      <c r="C6213" s="181"/>
      <c r="D6213" s="181"/>
      <c r="E6213" s="181"/>
      <c r="F6213" s="181"/>
      <c r="G6213" s="181"/>
      <c r="H6213" s="181"/>
      <c r="I6213" s="181"/>
      <c r="J6213" s="181"/>
      <c r="K6213" s="181"/>
      <c r="L6213" s="181"/>
      <c r="M6213" s="181"/>
      <c r="N6213" s="181"/>
      <c r="O6213" s="181"/>
      <c r="P6213" s="181"/>
    </row>
    <row r="6214">
      <c r="B6214" s="292"/>
      <c r="C6214" s="181"/>
      <c r="D6214" s="181"/>
      <c r="E6214" s="181"/>
      <c r="F6214" s="181"/>
      <c r="G6214" s="181"/>
      <c r="H6214" s="181"/>
      <c r="I6214" s="181"/>
      <c r="J6214" s="181"/>
      <c r="K6214" s="181"/>
      <c r="L6214" s="181"/>
      <c r="M6214" s="181"/>
      <c r="N6214" s="181"/>
      <c r="O6214" s="181"/>
      <c r="P6214" s="181"/>
    </row>
    <row r="6215">
      <c r="B6215" s="292"/>
      <c r="C6215" s="181"/>
      <c r="D6215" s="181"/>
      <c r="E6215" s="181"/>
      <c r="F6215" s="181"/>
      <c r="G6215" s="181"/>
      <c r="H6215" s="181"/>
      <c r="I6215" s="181"/>
      <c r="J6215" s="181"/>
      <c r="K6215" s="181"/>
      <c r="L6215" s="181"/>
      <c r="M6215" s="181"/>
      <c r="N6215" s="181"/>
      <c r="O6215" s="181"/>
      <c r="P6215" s="181"/>
    </row>
    <row r="6216">
      <c r="B6216" s="292"/>
      <c r="C6216" s="181"/>
      <c r="D6216" s="181"/>
      <c r="E6216" s="181"/>
      <c r="F6216" s="181"/>
      <c r="G6216" s="181"/>
      <c r="H6216" s="181"/>
      <c r="I6216" s="181"/>
      <c r="J6216" s="181"/>
      <c r="K6216" s="181"/>
      <c r="L6216" s="181"/>
      <c r="M6216" s="181"/>
      <c r="N6216" s="181"/>
      <c r="O6216" s="181"/>
      <c r="P6216" s="181"/>
    </row>
    <row r="6217">
      <c r="B6217" s="292"/>
      <c r="C6217" s="181"/>
      <c r="D6217" s="181"/>
      <c r="E6217" s="181"/>
      <c r="F6217" s="181"/>
      <c r="G6217" s="181"/>
      <c r="H6217" s="181"/>
      <c r="I6217" s="181"/>
      <c r="J6217" s="181"/>
      <c r="K6217" s="181"/>
      <c r="L6217" s="181"/>
      <c r="M6217" s="181"/>
      <c r="N6217" s="181"/>
      <c r="O6217" s="181"/>
      <c r="P6217" s="181"/>
    </row>
    <row r="6218">
      <c r="B6218" s="292"/>
      <c r="C6218" s="181"/>
      <c r="D6218" s="181"/>
      <c r="E6218" s="181"/>
      <c r="F6218" s="181"/>
      <c r="G6218" s="181"/>
      <c r="H6218" s="181"/>
      <c r="I6218" s="181"/>
      <c r="J6218" s="181"/>
      <c r="K6218" s="181"/>
      <c r="L6218" s="181"/>
      <c r="M6218" s="181"/>
      <c r="N6218" s="181"/>
      <c r="O6218" s="181"/>
      <c r="P6218" s="181"/>
    </row>
    <row r="6219">
      <c r="B6219" s="292"/>
      <c r="C6219" s="181"/>
      <c r="D6219" s="181"/>
      <c r="E6219" s="181"/>
      <c r="F6219" s="181"/>
      <c r="G6219" s="181"/>
      <c r="H6219" s="181"/>
      <c r="I6219" s="181"/>
      <c r="J6219" s="181"/>
      <c r="K6219" s="181"/>
      <c r="L6219" s="181"/>
      <c r="M6219" s="181"/>
      <c r="N6219" s="181"/>
      <c r="O6219" s="181"/>
      <c r="P6219" s="181"/>
    </row>
    <row r="6220">
      <c r="B6220" s="292"/>
      <c r="C6220" s="181"/>
      <c r="D6220" s="181"/>
      <c r="E6220" s="181"/>
      <c r="F6220" s="181"/>
      <c r="G6220" s="181"/>
      <c r="H6220" s="181"/>
      <c r="I6220" s="181"/>
      <c r="J6220" s="181"/>
      <c r="K6220" s="181"/>
      <c r="L6220" s="181"/>
      <c r="M6220" s="181"/>
      <c r="N6220" s="181"/>
      <c r="O6220" s="181"/>
      <c r="P6220" s="181"/>
    </row>
    <row r="6221">
      <c r="B6221" s="292"/>
      <c r="C6221" s="181"/>
      <c r="D6221" s="181"/>
      <c r="E6221" s="181"/>
      <c r="F6221" s="181"/>
      <c r="G6221" s="181"/>
      <c r="H6221" s="181"/>
      <c r="I6221" s="181"/>
      <c r="J6221" s="181"/>
      <c r="K6221" s="181"/>
      <c r="L6221" s="181"/>
      <c r="M6221" s="181"/>
      <c r="N6221" s="181"/>
      <c r="O6221" s="181"/>
      <c r="P6221" s="181"/>
    </row>
    <row r="6222">
      <c r="B6222" s="292"/>
      <c r="C6222" s="181"/>
      <c r="D6222" s="181"/>
      <c r="E6222" s="181"/>
      <c r="F6222" s="181"/>
      <c r="G6222" s="181"/>
      <c r="H6222" s="181"/>
      <c r="I6222" s="181"/>
      <c r="J6222" s="181"/>
      <c r="K6222" s="181"/>
      <c r="L6222" s="181"/>
      <c r="M6222" s="181"/>
      <c r="N6222" s="181"/>
      <c r="O6222" s="181"/>
      <c r="P6222" s="181"/>
    </row>
    <row r="6223">
      <c r="B6223" s="292"/>
      <c r="C6223" s="181"/>
      <c r="D6223" s="181"/>
      <c r="E6223" s="181"/>
      <c r="F6223" s="181"/>
      <c r="G6223" s="181"/>
      <c r="H6223" s="181"/>
      <c r="I6223" s="181"/>
      <c r="J6223" s="181"/>
      <c r="K6223" s="181"/>
      <c r="L6223" s="181"/>
      <c r="M6223" s="181"/>
      <c r="N6223" s="181"/>
      <c r="O6223" s="181"/>
      <c r="P6223" s="181"/>
    </row>
    <row r="6224">
      <c r="B6224" s="292"/>
      <c r="C6224" s="181"/>
      <c r="D6224" s="181"/>
      <c r="E6224" s="181"/>
      <c r="F6224" s="181"/>
      <c r="G6224" s="181"/>
      <c r="H6224" s="181"/>
      <c r="I6224" s="181"/>
      <c r="J6224" s="181"/>
      <c r="K6224" s="181"/>
      <c r="L6224" s="181"/>
      <c r="M6224" s="181"/>
      <c r="N6224" s="181"/>
      <c r="O6224" s="181"/>
      <c r="P6224" s="181"/>
    </row>
    <row r="6225">
      <c r="B6225" s="292"/>
      <c r="C6225" s="181"/>
      <c r="D6225" s="181"/>
      <c r="E6225" s="181"/>
      <c r="F6225" s="181"/>
      <c r="G6225" s="181"/>
      <c r="H6225" s="181"/>
      <c r="I6225" s="181"/>
      <c r="J6225" s="181"/>
      <c r="K6225" s="181"/>
      <c r="L6225" s="181"/>
      <c r="M6225" s="181"/>
      <c r="N6225" s="181"/>
      <c r="O6225" s="181"/>
      <c r="P6225" s="181"/>
    </row>
    <row r="6226">
      <c r="B6226" s="292"/>
      <c r="C6226" s="181"/>
      <c r="D6226" s="181"/>
      <c r="E6226" s="181"/>
      <c r="F6226" s="181"/>
      <c r="G6226" s="181"/>
      <c r="H6226" s="181"/>
      <c r="I6226" s="181"/>
      <c r="J6226" s="181"/>
      <c r="K6226" s="181"/>
      <c r="L6226" s="181"/>
      <c r="M6226" s="181"/>
      <c r="N6226" s="181"/>
      <c r="O6226" s="181"/>
      <c r="P6226" s="181"/>
    </row>
    <row r="6227">
      <c r="B6227" s="292"/>
      <c r="C6227" s="181"/>
      <c r="D6227" s="181"/>
      <c r="E6227" s="181"/>
      <c r="F6227" s="181"/>
      <c r="G6227" s="181"/>
      <c r="H6227" s="181"/>
      <c r="I6227" s="181"/>
      <c r="J6227" s="181"/>
      <c r="K6227" s="181"/>
      <c r="L6227" s="181"/>
      <c r="M6227" s="181"/>
      <c r="N6227" s="181"/>
      <c r="O6227" s="181"/>
      <c r="P6227" s="181"/>
    </row>
    <row r="6228">
      <c r="B6228" s="292"/>
      <c r="C6228" s="181"/>
      <c r="D6228" s="181"/>
      <c r="E6228" s="181"/>
      <c r="F6228" s="181"/>
      <c r="G6228" s="181"/>
      <c r="H6228" s="181"/>
      <c r="I6228" s="181"/>
      <c r="J6228" s="181"/>
      <c r="K6228" s="181"/>
      <c r="L6228" s="181"/>
      <c r="M6228" s="181"/>
      <c r="N6228" s="181"/>
      <c r="O6228" s="181"/>
      <c r="P6228" s="181"/>
    </row>
    <row r="6229">
      <c r="B6229" s="292"/>
      <c r="C6229" s="181"/>
      <c r="D6229" s="181"/>
      <c r="E6229" s="181"/>
      <c r="F6229" s="181"/>
      <c r="G6229" s="181"/>
      <c r="H6229" s="181"/>
      <c r="I6229" s="181"/>
      <c r="J6229" s="181"/>
      <c r="K6229" s="181"/>
      <c r="L6229" s="181"/>
      <c r="M6229" s="181"/>
      <c r="N6229" s="181"/>
      <c r="O6229" s="181"/>
      <c r="P6229" s="181"/>
    </row>
    <row r="6230">
      <c r="B6230" s="292"/>
      <c r="C6230" s="181"/>
      <c r="D6230" s="181"/>
      <c r="E6230" s="181"/>
      <c r="F6230" s="181"/>
      <c r="G6230" s="181"/>
      <c r="H6230" s="181"/>
      <c r="I6230" s="181"/>
      <c r="J6230" s="181"/>
      <c r="K6230" s="181"/>
      <c r="L6230" s="181"/>
      <c r="M6230" s="181"/>
      <c r="N6230" s="181"/>
      <c r="O6230" s="181"/>
      <c r="P6230" s="181"/>
    </row>
    <row r="6231">
      <c r="B6231" s="292"/>
      <c r="C6231" s="181"/>
      <c r="D6231" s="181"/>
      <c r="E6231" s="181"/>
      <c r="F6231" s="181"/>
      <c r="G6231" s="181"/>
      <c r="H6231" s="181"/>
      <c r="I6231" s="181"/>
      <c r="J6231" s="181"/>
      <c r="K6231" s="181"/>
      <c r="L6231" s="181"/>
      <c r="M6231" s="181"/>
      <c r="N6231" s="181"/>
      <c r="O6231" s="181"/>
      <c r="P6231" s="181"/>
    </row>
    <row r="6232">
      <c r="B6232" s="292"/>
      <c r="C6232" s="181"/>
      <c r="D6232" s="181"/>
      <c r="E6232" s="181"/>
      <c r="F6232" s="181"/>
      <c r="G6232" s="181"/>
      <c r="H6232" s="181"/>
      <c r="I6232" s="181"/>
      <c r="J6232" s="181"/>
      <c r="K6232" s="181"/>
      <c r="L6232" s="181"/>
      <c r="M6232" s="181"/>
      <c r="N6232" s="181"/>
      <c r="O6232" s="181"/>
      <c r="P6232" s="181"/>
    </row>
    <row r="6233">
      <c r="B6233" s="292"/>
      <c r="C6233" s="181"/>
      <c r="D6233" s="181"/>
      <c r="E6233" s="181"/>
      <c r="F6233" s="181"/>
      <c r="G6233" s="181"/>
      <c r="H6233" s="181"/>
      <c r="I6233" s="181"/>
      <c r="J6233" s="181"/>
      <c r="K6233" s="181"/>
      <c r="L6233" s="181"/>
      <c r="M6233" s="181"/>
      <c r="N6233" s="181"/>
      <c r="O6233" s="181"/>
      <c r="P6233" s="181"/>
    </row>
    <row r="6234">
      <c r="B6234" s="292"/>
      <c r="C6234" s="181"/>
      <c r="D6234" s="181"/>
      <c r="E6234" s="181"/>
      <c r="F6234" s="181"/>
      <c r="G6234" s="181"/>
      <c r="H6234" s="181"/>
      <c r="I6234" s="181"/>
      <c r="J6234" s="181"/>
      <c r="K6234" s="181"/>
      <c r="L6234" s="181"/>
      <c r="M6234" s="181"/>
      <c r="N6234" s="181"/>
      <c r="O6234" s="181"/>
      <c r="P6234" s="181"/>
    </row>
    <row r="6235">
      <c r="B6235" s="292"/>
      <c r="C6235" s="181"/>
      <c r="D6235" s="181"/>
      <c r="E6235" s="181"/>
      <c r="F6235" s="181"/>
      <c r="G6235" s="181"/>
      <c r="H6235" s="181"/>
      <c r="I6235" s="181"/>
      <c r="J6235" s="181"/>
      <c r="K6235" s="181"/>
      <c r="L6235" s="181"/>
      <c r="M6235" s="181"/>
      <c r="N6235" s="181"/>
      <c r="O6235" s="181"/>
      <c r="P6235" s="181"/>
    </row>
    <row r="6236">
      <c r="B6236" s="292"/>
      <c r="C6236" s="181"/>
      <c r="D6236" s="181"/>
      <c r="E6236" s="181"/>
      <c r="F6236" s="181"/>
      <c r="G6236" s="181"/>
      <c r="H6236" s="181"/>
      <c r="I6236" s="181"/>
      <c r="J6236" s="181"/>
      <c r="K6236" s="181"/>
      <c r="L6236" s="181"/>
      <c r="M6236" s="181"/>
      <c r="N6236" s="181"/>
      <c r="O6236" s="181"/>
      <c r="P6236" s="181"/>
    </row>
    <row r="6237">
      <c r="B6237" s="292"/>
      <c r="C6237" s="181"/>
      <c r="D6237" s="181"/>
      <c r="E6237" s="181"/>
      <c r="F6237" s="181"/>
      <c r="G6237" s="181"/>
      <c r="H6237" s="181"/>
      <c r="I6237" s="181"/>
      <c r="J6237" s="181"/>
      <c r="K6237" s="181"/>
      <c r="L6237" s="181"/>
      <c r="M6237" s="181"/>
      <c r="N6237" s="181"/>
      <c r="O6237" s="181"/>
      <c r="P6237" s="181"/>
    </row>
    <row r="6238">
      <c r="B6238" s="292"/>
      <c r="C6238" s="181"/>
      <c r="D6238" s="181"/>
      <c r="E6238" s="181"/>
      <c r="F6238" s="181"/>
      <c r="G6238" s="181"/>
      <c r="H6238" s="181"/>
      <c r="I6238" s="181"/>
      <c r="J6238" s="181"/>
      <c r="K6238" s="181"/>
      <c r="L6238" s="181"/>
      <c r="M6238" s="181"/>
      <c r="N6238" s="181"/>
      <c r="O6238" s="181"/>
      <c r="P6238" s="181"/>
    </row>
    <row r="6239">
      <c r="B6239" s="292"/>
      <c r="C6239" s="181"/>
      <c r="D6239" s="181"/>
      <c r="E6239" s="181"/>
      <c r="F6239" s="181"/>
      <c r="G6239" s="181"/>
      <c r="H6239" s="181"/>
      <c r="I6239" s="181"/>
      <c r="J6239" s="181"/>
      <c r="K6239" s="181"/>
      <c r="L6239" s="181"/>
      <c r="M6239" s="181"/>
      <c r="N6239" s="181"/>
      <c r="O6239" s="181"/>
      <c r="P6239" s="181"/>
    </row>
    <row r="6240">
      <c r="B6240" s="292"/>
      <c r="C6240" s="181"/>
      <c r="D6240" s="181"/>
      <c r="E6240" s="181"/>
      <c r="F6240" s="181"/>
      <c r="G6240" s="181"/>
      <c r="H6240" s="181"/>
      <c r="I6240" s="181"/>
      <c r="J6240" s="181"/>
      <c r="K6240" s="181"/>
      <c r="L6240" s="181"/>
      <c r="M6240" s="181"/>
      <c r="N6240" s="181"/>
      <c r="O6240" s="181"/>
      <c r="P6240" s="181"/>
    </row>
    <row r="6241">
      <c r="B6241" s="292"/>
      <c r="C6241" s="181"/>
      <c r="D6241" s="181"/>
      <c r="E6241" s="181"/>
      <c r="F6241" s="181"/>
      <c r="G6241" s="181"/>
      <c r="H6241" s="181"/>
      <c r="I6241" s="181"/>
      <c r="J6241" s="181"/>
      <c r="K6241" s="181"/>
      <c r="L6241" s="181"/>
      <c r="M6241" s="181"/>
      <c r="N6241" s="181"/>
      <c r="O6241" s="181"/>
      <c r="P6241" s="181"/>
    </row>
    <row r="6242">
      <c r="B6242" s="292"/>
      <c r="C6242" s="181"/>
      <c r="D6242" s="181"/>
      <c r="E6242" s="181"/>
      <c r="F6242" s="181"/>
      <c r="G6242" s="181"/>
      <c r="H6242" s="181"/>
      <c r="I6242" s="181"/>
      <c r="J6242" s="181"/>
      <c r="K6242" s="181"/>
      <c r="L6242" s="181"/>
      <c r="M6242" s="181"/>
      <c r="N6242" s="181"/>
      <c r="O6242" s="181"/>
      <c r="P6242" s="181"/>
    </row>
    <row r="6243">
      <c r="B6243" s="292"/>
      <c r="C6243" s="181"/>
      <c r="D6243" s="181"/>
      <c r="E6243" s="181"/>
      <c r="F6243" s="181"/>
      <c r="G6243" s="181"/>
      <c r="H6243" s="181"/>
      <c r="I6243" s="181"/>
      <c r="J6243" s="181"/>
      <c r="K6243" s="181"/>
      <c r="L6243" s="181"/>
      <c r="M6243" s="181"/>
      <c r="N6243" s="181"/>
      <c r="O6243" s="181"/>
      <c r="P6243" s="181"/>
    </row>
    <row r="6244">
      <c r="B6244" s="292"/>
      <c r="C6244" s="181"/>
      <c r="D6244" s="181"/>
      <c r="E6244" s="181"/>
      <c r="F6244" s="181"/>
      <c r="G6244" s="181"/>
      <c r="H6244" s="181"/>
      <c r="I6244" s="181"/>
      <c r="J6244" s="181"/>
      <c r="K6244" s="181"/>
      <c r="L6244" s="181"/>
      <c r="M6244" s="181"/>
      <c r="N6244" s="181"/>
      <c r="O6244" s="181"/>
      <c r="P6244" s="181"/>
    </row>
    <row r="6245">
      <c r="B6245" s="292"/>
      <c r="C6245" s="181"/>
      <c r="D6245" s="181"/>
      <c r="E6245" s="181"/>
      <c r="F6245" s="181"/>
      <c r="G6245" s="181"/>
      <c r="H6245" s="181"/>
      <c r="I6245" s="181"/>
      <c r="J6245" s="181"/>
      <c r="K6245" s="181"/>
      <c r="L6245" s="181"/>
      <c r="M6245" s="181"/>
      <c r="N6245" s="181"/>
      <c r="O6245" s="181"/>
      <c r="P6245" s="181"/>
    </row>
    <row r="6246">
      <c r="B6246" s="292"/>
      <c r="C6246" s="181"/>
      <c r="D6246" s="181"/>
      <c r="E6246" s="181"/>
      <c r="F6246" s="181"/>
      <c r="G6246" s="181"/>
      <c r="H6246" s="181"/>
      <c r="I6246" s="181"/>
      <c r="J6246" s="181"/>
      <c r="K6246" s="181"/>
      <c r="L6246" s="181"/>
      <c r="M6246" s="181"/>
      <c r="N6246" s="181"/>
      <c r="O6246" s="181"/>
      <c r="P6246" s="181"/>
    </row>
    <row r="6247">
      <c r="B6247" s="292"/>
      <c r="C6247" s="181"/>
      <c r="D6247" s="181"/>
      <c r="E6247" s="181"/>
      <c r="F6247" s="181"/>
      <c r="G6247" s="181"/>
      <c r="H6247" s="181"/>
      <c r="I6247" s="181"/>
      <c r="J6247" s="181"/>
      <c r="K6247" s="181"/>
      <c r="L6247" s="181"/>
      <c r="M6247" s="181"/>
      <c r="N6247" s="181"/>
      <c r="O6247" s="181"/>
      <c r="P6247" s="181"/>
    </row>
    <row r="6248">
      <c r="B6248" s="292"/>
      <c r="C6248" s="181"/>
      <c r="D6248" s="181"/>
      <c r="E6248" s="181"/>
      <c r="F6248" s="181"/>
      <c r="G6248" s="181"/>
      <c r="H6248" s="181"/>
      <c r="I6248" s="181"/>
      <c r="J6248" s="181"/>
      <c r="K6248" s="181"/>
      <c r="L6248" s="181"/>
      <c r="M6248" s="181"/>
      <c r="N6248" s="181"/>
      <c r="O6248" s="181"/>
      <c r="P6248" s="181"/>
    </row>
    <row r="6249">
      <c r="B6249" s="292"/>
      <c r="C6249" s="181"/>
      <c r="D6249" s="181"/>
      <c r="E6249" s="181"/>
      <c r="F6249" s="181"/>
      <c r="G6249" s="181"/>
      <c r="H6249" s="181"/>
      <c r="I6249" s="181"/>
      <c r="J6249" s="181"/>
      <c r="K6249" s="181"/>
      <c r="L6249" s="181"/>
      <c r="M6249" s="181"/>
      <c r="N6249" s="181"/>
      <c r="O6249" s="181"/>
      <c r="P6249" s="181"/>
    </row>
    <row r="6250">
      <c r="B6250" s="292"/>
      <c r="C6250" s="181"/>
      <c r="D6250" s="181"/>
      <c r="E6250" s="181"/>
      <c r="F6250" s="181"/>
      <c r="G6250" s="181"/>
      <c r="H6250" s="181"/>
      <c r="I6250" s="181"/>
      <c r="J6250" s="181"/>
      <c r="K6250" s="181"/>
      <c r="L6250" s="181"/>
      <c r="M6250" s="181"/>
      <c r="N6250" s="181"/>
      <c r="O6250" s="181"/>
      <c r="P6250" s="181"/>
    </row>
    <row r="6251">
      <c r="B6251" s="292"/>
      <c r="C6251" s="181"/>
      <c r="D6251" s="181"/>
      <c r="E6251" s="181"/>
      <c r="F6251" s="181"/>
      <c r="G6251" s="181"/>
      <c r="H6251" s="181"/>
      <c r="I6251" s="181"/>
      <c r="J6251" s="181"/>
      <c r="K6251" s="181"/>
      <c r="L6251" s="181"/>
      <c r="M6251" s="181"/>
      <c r="N6251" s="181"/>
      <c r="O6251" s="181"/>
      <c r="P6251" s="181"/>
    </row>
    <row r="6252">
      <c r="B6252" s="292"/>
      <c r="C6252" s="181"/>
      <c r="D6252" s="181"/>
      <c r="E6252" s="181"/>
      <c r="F6252" s="181"/>
      <c r="G6252" s="181"/>
      <c r="H6252" s="181"/>
      <c r="I6252" s="181"/>
      <c r="J6252" s="181"/>
      <c r="K6252" s="181"/>
      <c r="L6252" s="181"/>
      <c r="M6252" s="181"/>
      <c r="N6252" s="181"/>
      <c r="O6252" s="181"/>
      <c r="P6252" s="181"/>
    </row>
    <row r="6253">
      <c r="B6253" s="292"/>
      <c r="C6253" s="181"/>
      <c r="D6253" s="181"/>
      <c r="E6253" s="181"/>
      <c r="F6253" s="181"/>
      <c r="G6253" s="181"/>
      <c r="H6253" s="181"/>
      <c r="I6253" s="181"/>
      <c r="J6253" s="181"/>
      <c r="K6253" s="181"/>
      <c r="L6253" s="181"/>
      <c r="M6253" s="181"/>
      <c r="N6253" s="181"/>
      <c r="O6253" s="181"/>
      <c r="P6253" s="181"/>
    </row>
    <row r="6254">
      <c r="B6254" s="292"/>
      <c r="C6254" s="181"/>
      <c r="D6254" s="181"/>
      <c r="E6254" s="181"/>
      <c r="F6254" s="181"/>
      <c r="G6254" s="181"/>
      <c r="H6254" s="181"/>
      <c r="I6254" s="181"/>
      <c r="J6254" s="181"/>
      <c r="K6254" s="181"/>
      <c r="L6254" s="181"/>
      <c r="M6254" s="181"/>
      <c r="N6254" s="181"/>
      <c r="O6254" s="181"/>
      <c r="P6254" s="181"/>
    </row>
    <row r="6255">
      <c r="B6255" s="292"/>
      <c r="C6255" s="181"/>
      <c r="D6255" s="181"/>
      <c r="E6255" s="181"/>
      <c r="F6255" s="181"/>
      <c r="G6255" s="181"/>
      <c r="H6255" s="181"/>
      <c r="I6255" s="181"/>
      <c r="J6255" s="181"/>
      <c r="K6255" s="181"/>
      <c r="L6255" s="181"/>
      <c r="M6255" s="181"/>
      <c r="N6255" s="181"/>
      <c r="O6255" s="181"/>
      <c r="P6255" s="181"/>
    </row>
    <row r="6256">
      <c r="B6256" s="292"/>
      <c r="C6256" s="181"/>
      <c r="D6256" s="181"/>
      <c r="E6256" s="181"/>
      <c r="F6256" s="181"/>
      <c r="G6256" s="181"/>
      <c r="H6256" s="181"/>
      <c r="I6256" s="181"/>
      <c r="J6256" s="181"/>
      <c r="K6256" s="181"/>
      <c r="L6256" s="181"/>
      <c r="M6256" s="181"/>
      <c r="N6256" s="181"/>
      <c r="O6256" s="181"/>
      <c r="P6256" s="181"/>
    </row>
    <row r="6257">
      <c r="B6257" s="292"/>
      <c r="C6257" s="181"/>
      <c r="D6257" s="181"/>
      <c r="E6257" s="181"/>
      <c r="F6257" s="181"/>
      <c r="G6257" s="181"/>
      <c r="H6257" s="181"/>
      <c r="I6257" s="181"/>
      <c r="J6257" s="181"/>
      <c r="K6257" s="181"/>
      <c r="L6257" s="181"/>
      <c r="M6257" s="181"/>
      <c r="N6257" s="181"/>
      <c r="O6257" s="181"/>
      <c r="P6257" s="181"/>
    </row>
    <row r="6258">
      <c r="B6258" s="292"/>
      <c r="C6258" s="181"/>
      <c r="D6258" s="181"/>
      <c r="E6258" s="181"/>
      <c r="F6258" s="181"/>
      <c r="G6258" s="181"/>
      <c r="H6258" s="181"/>
      <c r="I6258" s="181"/>
      <c r="J6258" s="181"/>
      <c r="K6258" s="181"/>
      <c r="L6258" s="181"/>
      <c r="M6258" s="181"/>
      <c r="N6258" s="181"/>
      <c r="O6258" s="181"/>
      <c r="P6258" s="181"/>
    </row>
    <row r="6259">
      <c r="B6259" s="292"/>
      <c r="C6259" s="181"/>
      <c r="D6259" s="181"/>
      <c r="E6259" s="181"/>
      <c r="F6259" s="181"/>
      <c r="G6259" s="181"/>
      <c r="H6259" s="181"/>
      <c r="I6259" s="181"/>
      <c r="J6259" s="181"/>
      <c r="K6259" s="181"/>
      <c r="L6259" s="181"/>
      <c r="M6259" s="181"/>
      <c r="N6259" s="181"/>
      <c r="O6259" s="181"/>
      <c r="P6259" s="181"/>
    </row>
    <row r="6260">
      <c r="B6260" s="292"/>
      <c r="C6260" s="181"/>
      <c r="D6260" s="181"/>
      <c r="E6260" s="181"/>
      <c r="F6260" s="181"/>
      <c r="G6260" s="181"/>
      <c r="H6260" s="181"/>
      <c r="I6260" s="181"/>
      <c r="J6260" s="181"/>
      <c r="K6260" s="181"/>
      <c r="L6260" s="181"/>
      <c r="M6260" s="181"/>
      <c r="N6260" s="181"/>
      <c r="O6260" s="181"/>
      <c r="P6260" s="181"/>
    </row>
    <row r="6261">
      <c r="B6261" s="292"/>
      <c r="C6261" s="181"/>
      <c r="D6261" s="181"/>
      <c r="E6261" s="181"/>
      <c r="F6261" s="181"/>
      <c r="G6261" s="181"/>
      <c r="H6261" s="181"/>
      <c r="I6261" s="181"/>
      <c r="J6261" s="181"/>
      <c r="K6261" s="181"/>
      <c r="L6261" s="181"/>
      <c r="M6261" s="181"/>
      <c r="N6261" s="181"/>
      <c r="O6261" s="181"/>
      <c r="P6261" s="181"/>
    </row>
    <row r="6262">
      <c r="B6262" s="292"/>
      <c r="C6262" s="181"/>
      <c r="D6262" s="181"/>
      <c r="E6262" s="181"/>
      <c r="F6262" s="181"/>
      <c r="G6262" s="181"/>
      <c r="H6262" s="181"/>
      <c r="I6262" s="181"/>
      <c r="J6262" s="181"/>
      <c r="K6262" s="181"/>
      <c r="L6262" s="181"/>
      <c r="M6262" s="181"/>
      <c r="N6262" s="181"/>
      <c r="O6262" s="181"/>
      <c r="P6262" s="181"/>
    </row>
    <row r="6263">
      <c r="B6263" s="292"/>
      <c r="C6263" s="181"/>
      <c r="D6263" s="181"/>
      <c r="E6263" s="181"/>
      <c r="F6263" s="181"/>
      <c r="G6263" s="181"/>
      <c r="H6263" s="181"/>
      <c r="I6263" s="181"/>
      <c r="J6263" s="181"/>
      <c r="K6263" s="181"/>
      <c r="L6263" s="181"/>
      <c r="M6263" s="181"/>
      <c r="N6263" s="181"/>
      <c r="O6263" s="181"/>
      <c r="P6263" s="181"/>
    </row>
    <row r="6264">
      <c r="B6264" s="292"/>
      <c r="C6264" s="181"/>
      <c r="D6264" s="181"/>
      <c r="E6264" s="181"/>
      <c r="F6264" s="181"/>
      <c r="G6264" s="181"/>
      <c r="H6264" s="181"/>
      <c r="I6264" s="181"/>
      <c r="J6264" s="181"/>
      <c r="K6264" s="181"/>
      <c r="L6264" s="181"/>
      <c r="M6264" s="181"/>
      <c r="N6264" s="181"/>
      <c r="O6264" s="181"/>
      <c r="P6264" s="181"/>
    </row>
    <row r="6265">
      <c r="B6265" s="292"/>
      <c r="C6265" s="181"/>
      <c r="D6265" s="181"/>
      <c r="E6265" s="181"/>
      <c r="F6265" s="181"/>
      <c r="G6265" s="181"/>
      <c r="H6265" s="181"/>
      <c r="I6265" s="181"/>
      <c r="J6265" s="181"/>
      <c r="K6265" s="181"/>
      <c r="L6265" s="181"/>
      <c r="M6265" s="181"/>
      <c r="N6265" s="181"/>
      <c r="O6265" s="181"/>
      <c r="P6265" s="181"/>
    </row>
    <row r="6266">
      <c r="B6266" s="292"/>
      <c r="C6266" s="181"/>
      <c r="D6266" s="181"/>
      <c r="E6266" s="181"/>
      <c r="F6266" s="181"/>
      <c r="G6266" s="181"/>
      <c r="H6266" s="181"/>
      <c r="I6266" s="181"/>
      <c r="J6266" s="181"/>
      <c r="K6266" s="181"/>
      <c r="L6266" s="181"/>
      <c r="M6266" s="181"/>
      <c r="N6266" s="181"/>
      <c r="O6266" s="181"/>
      <c r="P6266" s="181"/>
    </row>
    <row r="6267">
      <c r="B6267" s="292"/>
      <c r="C6267" s="181"/>
      <c r="D6267" s="181"/>
      <c r="E6267" s="181"/>
      <c r="F6267" s="181"/>
      <c r="G6267" s="181"/>
      <c r="H6267" s="181"/>
      <c r="I6267" s="181"/>
      <c r="J6267" s="181"/>
      <c r="K6267" s="181"/>
      <c r="L6267" s="181"/>
      <c r="M6267" s="181"/>
      <c r="N6267" s="181"/>
      <c r="O6267" s="181"/>
      <c r="P6267" s="181"/>
    </row>
    <row r="6268">
      <c r="B6268" s="292"/>
      <c r="C6268" s="181"/>
      <c r="D6268" s="181"/>
      <c r="E6268" s="181"/>
      <c r="F6268" s="181"/>
      <c r="G6268" s="181"/>
      <c r="H6268" s="181"/>
      <c r="I6268" s="181"/>
      <c r="J6268" s="181"/>
      <c r="K6268" s="181"/>
      <c r="L6268" s="181"/>
      <c r="M6268" s="181"/>
      <c r="N6268" s="181"/>
      <c r="O6268" s="181"/>
      <c r="P6268" s="181"/>
    </row>
    <row r="6269">
      <c r="B6269" s="292"/>
      <c r="C6269" s="181"/>
      <c r="D6269" s="181"/>
      <c r="E6269" s="181"/>
      <c r="F6269" s="181"/>
      <c r="G6269" s="181"/>
      <c r="H6269" s="181"/>
      <c r="I6269" s="181"/>
      <c r="J6269" s="181"/>
      <c r="K6269" s="181"/>
      <c r="L6269" s="181"/>
      <c r="M6269" s="181"/>
      <c r="N6269" s="181"/>
      <c r="O6269" s="181"/>
      <c r="P6269" s="181"/>
    </row>
    <row r="6270">
      <c r="B6270" s="292"/>
      <c r="C6270" s="181"/>
      <c r="D6270" s="181"/>
      <c r="E6270" s="181"/>
      <c r="F6270" s="181"/>
      <c r="G6270" s="181"/>
      <c r="H6270" s="181"/>
      <c r="I6270" s="181"/>
      <c r="J6270" s="181"/>
      <c r="K6270" s="181"/>
      <c r="L6270" s="181"/>
      <c r="M6270" s="181"/>
      <c r="N6270" s="181"/>
      <c r="O6270" s="181"/>
      <c r="P6270" s="181"/>
    </row>
    <row r="6271">
      <c r="B6271" s="292"/>
      <c r="C6271" s="181"/>
      <c r="D6271" s="181"/>
      <c r="E6271" s="181"/>
      <c r="F6271" s="181"/>
      <c r="G6271" s="181"/>
      <c r="H6271" s="181"/>
      <c r="I6271" s="181"/>
      <c r="J6271" s="181"/>
      <c r="K6271" s="181"/>
      <c r="L6271" s="181"/>
      <c r="M6271" s="181"/>
      <c r="N6271" s="181"/>
      <c r="O6271" s="181"/>
      <c r="P6271" s="181"/>
    </row>
    <row r="6272">
      <c r="B6272" s="292"/>
      <c r="C6272" s="181"/>
      <c r="D6272" s="181"/>
      <c r="E6272" s="181"/>
      <c r="F6272" s="181"/>
      <c r="G6272" s="181"/>
      <c r="H6272" s="181"/>
      <c r="I6272" s="181"/>
      <c r="J6272" s="181"/>
      <c r="K6272" s="181"/>
      <c r="L6272" s="181"/>
      <c r="M6272" s="181"/>
      <c r="N6272" s="181"/>
      <c r="O6272" s="181"/>
      <c r="P6272" s="181"/>
    </row>
    <row r="6273">
      <c r="B6273" s="292"/>
      <c r="C6273" s="181"/>
      <c r="D6273" s="181"/>
      <c r="E6273" s="181"/>
      <c r="F6273" s="181"/>
      <c r="G6273" s="181"/>
      <c r="H6273" s="181"/>
      <c r="I6273" s="181"/>
      <c r="J6273" s="181"/>
      <c r="K6273" s="181"/>
      <c r="L6273" s="181"/>
      <c r="M6273" s="181"/>
      <c r="N6273" s="181"/>
      <c r="O6273" s="181"/>
      <c r="P6273" s="181"/>
    </row>
    <row r="6274">
      <c r="B6274" s="292"/>
      <c r="C6274" s="181"/>
      <c r="D6274" s="181"/>
      <c r="E6274" s="181"/>
      <c r="F6274" s="181"/>
      <c r="G6274" s="181"/>
      <c r="H6274" s="181"/>
      <c r="I6274" s="181"/>
      <c r="J6274" s="181"/>
      <c r="K6274" s="181"/>
      <c r="L6274" s="181"/>
      <c r="M6274" s="181"/>
      <c r="N6274" s="181"/>
      <c r="O6274" s="181"/>
      <c r="P6274" s="181"/>
    </row>
    <row r="6275">
      <c r="B6275" s="292"/>
      <c r="C6275" s="181"/>
      <c r="D6275" s="181"/>
      <c r="E6275" s="181"/>
      <c r="F6275" s="181"/>
      <c r="G6275" s="181"/>
      <c r="H6275" s="181"/>
      <c r="I6275" s="181"/>
      <c r="J6275" s="181"/>
      <c r="K6275" s="181"/>
      <c r="L6275" s="181"/>
      <c r="M6275" s="181"/>
      <c r="N6275" s="181"/>
      <c r="O6275" s="181"/>
      <c r="P6275" s="181"/>
    </row>
    <row r="6276">
      <c r="B6276" s="292"/>
      <c r="C6276" s="181"/>
      <c r="D6276" s="181"/>
      <c r="E6276" s="181"/>
      <c r="F6276" s="181"/>
      <c r="G6276" s="181"/>
      <c r="H6276" s="181"/>
      <c r="I6276" s="181"/>
      <c r="J6276" s="181"/>
      <c r="K6276" s="181"/>
      <c r="L6276" s="181"/>
      <c r="M6276" s="181"/>
      <c r="N6276" s="181"/>
      <c r="O6276" s="181"/>
      <c r="P6276" s="181"/>
    </row>
    <row r="6277">
      <c r="B6277" s="292"/>
      <c r="C6277" s="181"/>
      <c r="D6277" s="181"/>
      <c r="E6277" s="181"/>
      <c r="F6277" s="181"/>
      <c r="G6277" s="181"/>
      <c r="H6277" s="181"/>
      <c r="I6277" s="181"/>
      <c r="J6277" s="181"/>
      <c r="K6277" s="181"/>
      <c r="L6277" s="181"/>
      <c r="M6277" s="181"/>
      <c r="N6277" s="181"/>
      <c r="O6277" s="181"/>
      <c r="P6277" s="181"/>
    </row>
    <row r="6278">
      <c r="B6278" s="292"/>
      <c r="C6278" s="181"/>
      <c r="D6278" s="181"/>
      <c r="E6278" s="181"/>
      <c r="F6278" s="181"/>
      <c r="G6278" s="181"/>
      <c r="H6278" s="181"/>
      <c r="I6278" s="181"/>
      <c r="J6278" s="181"/>
      <c r="K6278" s="181"/>
      <c r="L6278" s="181"/>
      <c r="M6278" s="181"/>
      <c r="N6278" s="181"/>
      <c r="O6278" s="181"/>
      <c r="P6278" s="181"/>
    </row>
    <row r="6279">
      <c r="B6279" s="292"/>
      <c r="C6279" s="181"/>
      <c r="D6279" s="181"/>
      <c r="E6279" s="181"/>
      <c r="F6279" s="181"/>
      <c r="G6279" s="181"/>
      <c r="H6279" s="181"/>
      <c r="I6279" s="181"/>
      <c r="J6279" s="181"/>
      <c r="K6279" s="181"/>
      <c r="L6279" s="181"/>
      <c r="M6279" s="181"/>
      <c r="N6279" s="181"/>
      <c r="O6279" s="181"/>
      <c r="P6279" s="181"/>
    </row>
    <row r="6280">
      <c r="B6280" s="292"/>
      <c r="C6280" s="181"/>
      <c r="D6280" s="181"/>
      <c r="E6280" s="181"/>
      <c r="F6280" s="181"/>
      <c r="G6280" s="181"/>
      <c r="H6280" s="181"/>
      <c r="I6280" s="181"/>
      <c r="J6280" s="181"/>
      <c r="K6280" s="181"/>
      <c r="L6280" s="181"/>
      <c r="M6280" s="181"/>
      <c r="N6280" s="181"/>
      <c r="O6280" s="181"/>
      <c r="P6280" s="181"/>
    </row>
    <row r="6281">
      <c r="B6281" s="292"/>
      <c r="C6281" s="181"/>
      <c r="D6281" s="181"/>
      <c r="E6281" s="181"/>
      <c r="F6281" s="181"/>
      <c r="G6281" s="181"/>
      <c r="H6281" s="181"/>
      <c r="I6281" s="181"/>
      <c r="J6281" s="181"/>
      <c r="K6281" s="181"/>
      <c r="L6281" s="181"/>
      <c r="M6281" s="181"/>
      <c r="N6281" s="181"/>
      <c r="O6281" s="181"/>
      <c r="P6281" s="181"/>
    </row>
    <row r="6282">
      <c r="B6282" s="292"/>
      <c r="C6282" s="181"/>
      <c r="D6282" s="181"/>
      <c r="E6282" s="181"/>
      <c r="F6282" s="181"/>
      <c r="G6282" s="181"/>
      <c r="H6282" s="181"/>
      <c r="I6282" s="181"/>
      <c r="J6282" s="181"/>
      <c r="K6282" s="181"/>
      <c r="L6282" s="181"/>
      <c r="M6282" s="181"/>
      <c r="N6282" s="181"/>
      <c r="O6282" s="181"/>
      <c r="P6282" s="181"/>
    </row>
    <row r="6283">
      <c r="B6283" s="292"/>
      <c r="C6283" s="181"/>
      <c r="D6283" s="181"/>
      <c r="E6283" s="181"/>
      <c r="F6283" s="181"/>
      <c r="G6283" s="181"/>
      <c r="H6283" s="181"/>
      <c r="I6283" s="181"/>
      <c r="J6283" s="181"/>
      <c r="K6283" s="181"/>
      <c r="L6283" s="181"/>
      <c r="M6283" s="181"/>
      <c r="N6283" s="181"/>
      <c r="O6283" s="181"/>
      <c r="P6283" s="181"/>
    </row>
    <row r="6284">
      <c r="B6284" s="292"/>
      <c r="C6284" s="181"/>
      <c r="D6284" s="181"/>
      <c r="E6284" s="181"/>
      <c r="F6284" s="181"/>
      <c r="G6284" s="181"/>
      <c r="H6284" s="181"/>
      <c r="I6284" s="181"/>
      <c r="J6284" s="181"/>
      <c r="K6284" s="181"/>
      <c r="L6284" s="181"/>
      <c r="M6284" s="181"/>
      <c r="N6284" s="181"/>
      <c r="O6284" s="181"/>
      <c r="P6284" s="181"/>
    </row>
    <row r="6285">
      <c r="B6285" s="292"/>
      <c r="C6285" s="181"/>
      <c r="D6285" s="181"/>
      <c r="E6285" s="181"/>
      <c r="F6285" s="181"/>
      <c r="G6285" s="181"/>
      <c r="H6285" s="181"/>
      <c r="I6285" s="181"/>
      <c r="J6285" s="181"/>
      <c r="K6285" s="181"/>
      <c r="L6285" s="181"/>
      <c r="M6285" s="181"/>
      <c r="N6285" s="181"/>
      <c r="O6285" s="181"/>
      <c r="P6285" s="181"/>
    </row>
    <row r="6286">
      <c r="B6286" s="292"/>
      <c r="C6286" s="181"/>
      <c r="D6286" s="181"/>
      <c r="E6286" s="181"/>
      <c r="F6286" s="181"/>
      <c r="G6286" s="181"/>
      <c r="H6286" s="181"/>
      <c r="I6286" s="181"/>
      <c r="J6286" s="181"/>
      <c r="K6286" s="181"/>
      <c r="L6286" s="181"/>
      <c r="M6286" s="181"/>
      <c r="N6286" s="181"/>
      <c r="O6286" s="181"/>
      <c r="P6286" s="181"/>
    </row>
    <row r="6287">
      <c r="B6287" s="292"/>
      <c r="C6287" s="181"/>
      <c r="D6287" s="181"/>
      <c r="E6287" s="181"/>
      <c r="F6287" s="181"/>
      <c r="G6287" s="181"/>
      <c r="H6287" s="181"/>
      <c r="I6287" s="181"/>
      <c r="J6287" s="181"/>
      <c r="K6287" s="181"/>
      <c r="L6287" s="181"/>
      <c r="M6287" s="181"/>
      <c r="N6287" s="181"/>
      <c r="O6287" s="181"/>
      <c r="P6287" s="181"/>
    </row>
    <row r="6288">
      <c r="B6288" s="292"/>
      <c r="C6288" s="181"/>
      <c r="D6288" s="181"/>
      <c r="E6288" s="181"/>
      <c r="F6288" s="181"/>
      <c r="G6288" s="181"/>
      <c r="H6288" s="181"/>
      <c r="I6288" s="181"/>
      <c r="J6288" s="181"/>
      <c r="K6288" s="181"/>
      <c r="L6288" s="181"/>
      <c r="M6288" s="181"/>
      <c r="N6288" s="181"/>
      <c r="O6288" s="181"/>
      <c r="P6288" s="181"/>
    </row>
    <row r="6289">
      <c r="B6289" s="292"/>
      <c r="C6289" s="181"/>
      <c r="D6289" s="181"/>
      <c r="E6289" s="181"/>
      <c r="F6289" s="181"/>
      <c r="G6289" s="181"/>
      <c r="H6289" s="181"/>
      <c r="I6289" s="181"/>
      <c r="J6289" s="181"/>
      <c r="K6289" s="181"/>
      <c r="L6289" s="181"/>
      <c r="M6289" s="181"/>
      <c r="N6289" s="181"/>
      <c r="O6289" s="181"/>
      <c r="P6289" s="181"/>
    </row>
    <row r="6290">
      <c r="B6290" s="292"/>
      <c r="C6290" s="181"/>
      <c r="D6290" s="181"/>
      <c r="E6290" s="181"/>
      <c r="F6290" s="181"/>
      <c r="G6290" s="181"/>
      <c r="H6290" s="181"/>
      <c r="I6290" s="181"/>
      <c r="J6290" s="181"/>
      <c r="K6290" s="181"/>
      <c r="L6290" s="181"/>
      <c r="M6290" s="181"/>
      <c r="N6290" s="181"/>
      <c r="O6290" s="181"/>
      <c r="P6290" s="181"/>
    </row>
    <row r="6291">
      <c r="B6291" s="292"/>
      <c r="C6291" s="181"/>
      <c r="D6291" s="181"/>
      <c r="E6291" s="181"/>
      <c r="F6291" s="181"/>
      <c r="G6291" s="181"/>
      <c r="H6291" s="181"/>
      <c r="I6291" s="181"/>
      <c r="J6291" s="181"/>
      <c r="K6291" s="181"/>
      <c r="L6291" s="181"/>
      <c r="M6291" s="181"/>
      <c r="N6291" s="181"/>
      <c r="O6291" s="181"/>
      <c r="P6291" s="181"/>
    </row>
    <row r="6292">
      <c r="B6292" s="292"/>
      <c r="C6292" s="181"/>
      <c r="D6292" s="181"/>
      <c r="E6292" s="181"/>
      <c r="F6292" s="181"/>
      <c r="G6292" s="181"/>
      <c r="H6292" s="181"/>
      <c r="I6292" s="181"/>
      <c r="J6292" s="181"/>
      <c r="K6292" s="181"/>
      <c r="L6292" s="181"/>
      <c r="M6292" s="181"/>
      <c r="N6292" s="181"/>
      <c r="O6292" s="181"/>
      <c r="P6292" s="181"/>
    </row>
    <row r="6293">
      <c r="B6293" s="292"/>
      <c r="C6293" s="181"/>
      <c r="D6293" s="181"/>
      <c r="E6293" s="181"/>
      <c r="F6293" s="181"/>
      <c r="G6293" s="181"/>
      <c r="H6293" s="181"/>
      <c r="I6293" s="181"/>
      <c r="J6293" s="181"/>
      <c r="K6293" s="181"/>
      <c r="L6293" s="181"/>
      <c r="M6293" s="181"/>
      <c r="N6293" s="181"/>
      <c r="O6293" s="181"/>
      <c r="P6293" s="181"/>
    </row>
    <row r="6294">
      <c r="B6294" s="292"/>
      <c r="C6294" s="181"/>
      <c r="D6294" s="181"/>
      <c r="E6294" s="181"/>
      <c r="F6294" s="181"/>
      <c r="G6294" s="181"/>
      <c r="H6294" s="181"/>
      <c r="I6294" s="181"/>
      <c r="J6294" s="181"/>
      <c r="K6294" s="181"/>
      <c r="L6294" s="181"/>
      <c r="M6294" s="181"/>
      <c r="N6294" s="181"/>
      <c r="O6294" s="181"/>
      <c r="P6294" s="181"/>
    </row>
    <row r="6295">
      <c r="B6295" s="292"/>
      <c r="C6295" s="181"/>
      <c r="D6295" s="181"/>
      <c r="E6295" s="181"/>
      <c r="F6295" s="181"/>
      <c r="G6295" s="181"/>
      <c r="H6295" s="181"/>
      <c r="I6295" s="181"/>
      <c r="J6295" s="181"/>
      <c r="K6295" s="181"/>
      <c r="L6295" s="181"/>
      <c r="M6295" s="181"/>
      <c r="N6295" s="181"/>
      <c r="O6295" s="181"/>
      <c r="P6295" s="181"/>
    </row>
    <row r="6296">
      <c r="B6296" s="292"/>
      <c r="C6296" s="181"/>
      <c r="D6296" s="181"/>
      <c r="E6296" s="181"/>
      <c r="F6296" s="181"/>
      <c r="G6296" s="181"/>
      <c r="H6296" s="181"/>
      <c r="I6296" s="181"/>
      <c r="J6296" s="181"/>
      <c r="K6296" s="181"/>
      <c r="L6296" s="181"/>
      <c r="M6296" s="181"/>
      <c r="N6296" s="181"/>
      <c r="O6296" s="181"/>
      <c r="P6296" s="181"/>
    </row>
    <row r="6297">
      <c r="B6297" s="292"/>
      <c r="C6297" s="181"/>
      <c r="D6297" s="181"/>
      <c r="E6297" s="181"/>
      <c r="F6297" s="181"/>
      <c r="G6297" s="181"/>
      <c r="H6297" s="181"/>
      <c r="I6297" s="181"/>
      <c r="J6297" s="181"/>
      <c r="K6297" s="181"/>
      <c r="L6297" s="181"/>
      <c r="M6297" s="181"/>
      <c r="N6297" s="181"/>
      <c r="O6297" s="181"/>
      <c r="P6297" s="181"/>
    </row>
    <row r="6298">
      <c r="B6298" s="292"/>
      <c r="C6298" s="181"/>
      <c r="D6298" s="181"/>
      <c r="E6298" s="181"/>
      <c r="F6298" s="181"/>
      <c r="G6298" s="181"/>
      <c r="H6298" s="181"/>
      <c r="I6298" s="181"/>
      <c r="J6298" s="181"/>
      <c r="K6298" s="181"/>
      <c r="L6298" s="181"/>
      <c r="M6298" s="181"/>
      <c r="N6298" s="181"/>
      <c r="O6298" s="181"/>
      <c r="P6298" s="181"/>
    </row>
    <row r="6299">
      <c r="B6299" s="292"/>
      <c r="C6299" s="181"/>
      <c r="D6299" s="181"/>
      <c r="E6299" s="181"/>
      <c r="F6299" s="181"/>
      <c r="G6299" s="181"/>
      <c r="H6299" s="181"/>
      <c r="I6299" s="181"/>
      <c r="J6299" s="181"/>
      <c r="K6299" s="181"/>
      <c r="L6299" s="181"/>
      <c r="M6299" s="181"/>
      <c r="N6299" s="181"/>
      <c r="O6299" s="181"/>
      <c r="P6299" s="181"/>
    </row>
    <row r="6300">
      <c r="B6300" s="292"/>
      <c r="C6300" s="181"/>
      <c r="D6300" s="181"/>
      <c r="E6300" s="181"/>
      <c r="F6300" s="181"/>
      <c r="G6300" s="181"/>
      <c r="H6300" s="181"/>
      <c r="I6300" s="181"/>
      <c r="J6300" s="181"/>
      <c r="K6300" s="181"/>
      <c r="L6300" s="181"/>
      <c r="M6300" s="181"/>
      <c r="N6300" s="181"/>
      <c r="O6300" s="181"/>
      <c r="P6300" s="181"/>
    </row>
    <row r="6301">
      <c r="B6301" s="292"/>
      <c r="C6301" s="181"/>
      <c r="D6301" s="181"/>
      <c r="E6301" s="181"/>
      <c r="F6301" s="181"/>
      <c r="G6301" s="181"/>
      <c r="H6301" s="181"/>
      <c r="I6301" s="181"/>
      <c r="J6301" s="181"/>
      <c r="K6301" s="181"/>
      <c r="L6301" s="181"/>
      <c r="M6301" s="181"/>
      <c r="N6301" s="181"/>
      <c r="O6301" s="181"/>
      <c r="P6301" s="181"/>
    </row>
    <row r="6302">
      <c r="B6302" s="292"/>
      <c r="C6302" s="181"/>
      <c r="D6302" s="181"/>
      <c r="E6302" s="181"/>
      <c r="F6302" s="181"/>
      <c r="G6302" s="181"/>
      <c r="H6302" s="181"/>
      <c r="I6302" s="181"/>
      <c r="J6302" s="181"/>
      <c r="K6302" s="181"/>
      <c r="L6302" s="181"/>
      <c r="M6302" s="181"/>
      <c r="N6302" s="181"/>
      <c r="O6302" s="181"/>
      <c r="P6302" s="181"/>
    </row>
    <row r="6303">
      <c r="B6303" s="292"/>
      <c r="C6303" s="181"/>
      <c r="D6303" s="181"/>
      <c r="E6303" s="181"/>
      <c r="F6303" s="181"/>
      <c r="G6303" s="181"/>
      <c r="H6303" s="181"/>
      <c r="I6303" s="181"/>
      <c r="J6303" s="181"/>
      <c r="K6303" s="181"/>
      <c r="L6303" s="181"/>
      <c r="M6303" s="181"/>
      <c r="N6303" s="181"/>
      <c r="O6303" s="181"/>
      <c r="P6303" s="181"/>
    </row>
    <row r="6304">
      <c r="B6304" s="292"/>
      <c r="C6304" s="181"/>
      <c r="D6304" s="181"/>
      <c r="E6304" s="181"/>
      <c r="F6304" s="181"/>
      <c r="G6304" s="181"/>
      <c r="H6304" s="181"/>
      <c r="I6304" s="181"/>
      <c r="J6304" s="181"/>
      <c r="K6304" s="181"/>
      <c r="L6304" s="181"/>
      <c r="M6304" s="181"/>
      <c r="N6304" s="181"/>
      <c r="O6304" s="181"/>
      <c r="P6304" s="181"/>
    </row>
    <row r="6305">
      <c r="B6305" s="292"/>
      <c r="C6305" s="181"/>
      <c r="D6305" s="181"/>
      <c r="E6305" s="181"/>
      <c r="F6305" s="181"/>
      <c r="G6305" s="181"/>
      <c r="H6305" s="181"/>
      <c r="I6305" s="181"/>
      <c r="J6305" s="181"/>
      <c r="K6305" s="181"/>
      <c r="L6305" s="181"/>
      <c r="M6305" s="181"/>
      <c r="N6305" s="181"/>
      <c r="O6305" s="181"/>
      <c r="P6305" s="181"/>
    </row>
    <row r="6306">
      <c r="B6306" s="292"/>
      <c r="C6306" s="181"/>
      <c r="D6306" s="181"/>
      <c r="E6306" s="181"/>
      <c r="F6306" s="181"/>
      <c r="G6306" s="181"/>
      <c r="H6306" s="181"/>
      <c r="I6306" s="181"/>
      <c r="J6306" s="181"/>
      <c r="K6306" s="181"/>
      <c r="L6306" s="181"/>
      <c r="M6306" s="181"/>
      <c r="N6306" s="181"/>
      <c r="O6306" s="181"/>
      <c r="P6306" s="181"/>
    </row>
    <row r="6307">
      <c r="B6307" s="292"/>
      <c r="C6307" s="181"/>
      <c r="D6307" s="181"/>
      <c r="E6307" s="181"/>
      <c r="F6307" s="181"/>
      <c r="G6307" s="181"/>
      <c r="H6307" s="181"/>
      <c r="I6307" s="181"/>
      <c r="J6307" s="181"/>
      <c r="K6307" s="181"/>
      <c r="L6307" s="181"/>
      <c r="M6307" s="181"/>
      <c r="N6307" s="181"/>
      <c r="O6307" s="181"/>
      <c r="P6307" s="181"/>
    </row>
    <row r="6308">
      <c r="B6308" s="292"/>
      <c r="C6308" s="181"/>
      <c r="D6308" s="181"/>
      <c r="E6308" s="181"/>
      <c r="F6308" s="181"/>
      <c r="G6308" s="181"/>
      <c r="H6308" s="181"/>
      <c r="I6308" s="181"/>
      <c r="J6308" s="181"/>
      <c r="K6308" s="181"/>
      <c r="L6308" s="181"/>
      <c r="M6308" s="181"/>
      <c r="N6308" s="181"/>
      <c r="O6308" s="181"/>
      <c r="P6308" s="181"/>
    </row>
    <row r="6309">
      <c r="B6309" s="292"/>
      <c r="C6309" s="181"/>
      <c r="D6309" s="181"/>
      <c r="E6309" s="181"/>
      <c r="F6309" s="181"/>
      <c r="G6309" s="181"/>
      <c r="H6309" s="181"/>
      <c r="I6309" s="181"/>
      <c r="J6309" s="181"/>
      <c r="K6309" s="181"/>
      <c r="L6309" s="181"/>
      <c r="M6309" s="181"/>
      <c r="N6309" s="181"/>
      <c r="O6309" s="181"/>
      <c r="P6309" s="181"/>
    </row>
    <row r="6310">
      <c r="B6310" s="292"/>
      <c r="C6310" s="181"/>
      <c r="D6310" s="181"/>
      <c r="E6310" s="181"/>
      <c r="F6310" s="181"/>
      <c r="G6310" s="181"/>
      <c r="H6310" s="181"/>
      <c r="I6310" s="181"/>
      <c r="J6310" s="181"/>
      <c r="K6310" s="181"/>
      <c r="L6310" s="181"/>
      <c r="M6310" s="181"/>
      <c r="N6310" s="181"/>
      <c r="O6310" s="181"/>
      <c r="P6310" s="181"/>
    </row>
    <row r="6311">
      <c r="B6311" s="292"/>
      <c r="C6311" s="181"/>
      <c r="D6311" s="181"/>
      <c r="E6311" s="181"/>
      <c r="F6311" s="181"/>
      <c r="G6311" s="181"/>
      <c r="H6311" s="181"/>
      <c r="I6311" s="181"/>
      <c r="J6311" s="181"/>
      <c r="K6311" s="181"/>
      <c r="L6311" s="181"/>
      <c r="M6311" s="181"/>
      <c r="N6311" s="181"/>
      <c r="O6311" s="181"/>
      <c r="P6311" s="181"/>
    </row>
    <row r="6312">
      <c r="B6312" s="292"/>
      <c r="C6312" s="181"/>
      <c r="D6312" s="181"/>
      <c r="E6312" s="181"/>
      <c r="F6312" s="181"/>
      <c r="G6312" s="181"/>
      <c r="H6312" s="181"/>
      <c r="I6312" s="181"/>
      <c r="J6312" s="181"/>
      <c r="K6312" s="181"/>
      <c r="L6312" s="181"/>
      <c r="M6312" s="181"/>
      <c r="N6312" s="181"/>
      <c r="O6312" s="181"/>
      <c r="P6312" s="181"/>
    </row>
    <row r="6313">
      <c r="B6313" s="292"/>
      <c r="C6313" s="181"/>
      <c r="D6313" s="181"/>
      <c r="E6313" s="181"/>
      <c r="F6313" s="181"/>
      <c r="G6313" s="181"/>
      <c r="H6313" s="181"/>
      <c r="I6313" s="181"/>
      <c r="J6313" s="181"/>
      <c r="K6313" s="181"/>
      <c r="L6313" s="181"/>
      <c r="M6313" s="181"/>
      <c r="N6313" s="181"/>
      <c r="O6313" s="181"/>
      <c r="P6313" s="181"/>
    </row>
    <row r="6314">
      <c r="B6314" s="292"/>
      <c r="C6314" s="181"/>
      <c r="D6314" s="181"/>
      <c r="E6314" s="181"/>
      <c r="F6314" s="181"/>
      <c r="G6314" s="181"/>
      <c r="H6314" s="181"/>
      <c r="I6314" s="181"/>
      <c r="J6314" s="181"/>
      <c r="K6314" s="181"/>
      <c r="L6314" s="181"/>
      <c r="M6314" s="181"/>
      <c r="N6314" s="181"/>
      <c r="O6314" s="181"/>
      <c r="P6314" s="181"/>
    </row>
    <row r="6315">
      <c r="B6315" s="292"/>
      <c r="C6315" s="181"/>
      <c r="D6315" s="181"/>
      <c r="E6315" s="181"/>
      <c r="F6315" s="181"/>
      <c r="G6315" s="181"/>
      <c r="H6315" s="181"/>
      <c r="I6315" s="181"/>
      <c r="J6315" s="181"/>
      <c r="K6315" s="181"/>
      <c r="L6315" s="181"/>
      <c r="M6315" s="181"/>
      <c r="N6315" s="181"/>
      <c r="O6315" s="181"/>
      <c r="P6315" s="181"/>
    </row>
    <row r="6316">
      <c r="B6316" s="292"/>
      <c r="C6316" s="181"/>
      <c r="D6316" s="181"/>
      <c r="E6316" s="181"/>
      <c r="F6316" s="181"/>
      <c r="G6316" s="181"/>
      <c r="H6316" s="181"/>
      <c r="I6316" s="181"/>
      <c r="J6316" s="181"/>
      <c r="K6316" s="181"/>
      <c r="L6316" s="181"/>
      <c r="M6316" s="181"/>
      <c r="N6316" s="181"/>
      <c r="O6316" s="181"/>
      <c r="P6316" s="181"/>
    </row>
    <row r="6317">
      <c r="B6317" s="292"/>
      <c r="C6317" s="181"/>
      <c r="D6317" s="181"/>
      <c r="E6317" s="181"/>
      <c r="F6317" s="181"/>
      <c r="G6317" s="181"/>
      <c r="H6317" s="181"/>
      <c r="I6317" s="181"/>
      <c r="J6317" s="181"/>
      <c r="K6317" s="181"/>
      <c r="L6317" s="181"/>
      <c r="M6317" s="181"/>
      <c r="N6317" s="181"/>
      <c r="O6317" s="181"/>
      <c r="P6317" s="181"/>
    </row>
    <row r="6318">
      <c r="B6318" s="292"/>
      <c r="C6318" s="181"/>
      <c r="D6318" s="181"/>
      <c r="E6318" s="181"/>
      <c r="F6318" s="181"/>
      <c r="G6318" s="181"/>
      <c r="H6318" s="181"/>
      <c r="I6318" s="181"/>
      <c r="J6318" s="181"/>
      <c r="K6318" s="181"/>
      <c r="L6318" s="181"/>
      <c r="M6318" s="181"/>
      <c r="N6318" s="181"/>
      <c r="O6318" s="181"/>
      <c r="P6318" s="181"/>
    </row>
    <row r="6319">
      <c r="B6319" s="292"/>
      <c r="C6319" s="181"/>
      <c r="D6319" s="181"/>
      <c r="E6319" s="181"/>
      <c r="F6319" s="181"/>
      <c r="G6319" s="181"/>
      <c r="H6319" s="181"/>
      <c r="I6319" s="181"/>
      <c r="J6319" s="181"/>
      <c r="K6319" s="181"/>
      <c r="L6319" s="181"/>
      <c r="M6319" s="181"/>
      <c r="N6319" s="181"/>
      <c r="O6319" s="181"/>
      <c r="P6319" s="181"/>
    </row>
    <row r="6320">
      <c r="B6320" s="292"/>
      <c r="C6320" s="181"/>
      <c r="D6320" s="181"/>
      <c r="E6320" s="181"/>
      <c r="F6320" s="181"/>
      <c r="G6320" s="181"/>
      <c r="H6320" s="181"/>
      <c r="I6320" s="181"/>
      <c r="J6320" s="181"/>
      <c r="K6320" s="181"/>
      <c r="L6320" s="181"/>
      <c r="M6320" s="181"/>
      <c r="N6320" s="181"/>
      <c r="O6320" s="181"/>
      <c r="P6320" s="181"/>
    </row>
    <row r="6321">
      <c r="B6321" s="292"/>
      <c r="C6321" s="181"/>
      <c r="D6321" s="181"/>
      <c r="E6321" s="181"/>
      <c r="F6321" s="181"/>
      <c r="G6321" s="181"/>
      <c r="H6321" s="181"/>
      <c r="I6321" s="181"/>
      <c r="J6321" s="181"/>
      <c r="K6321" s="181"/>
      <c r="L6321" s="181"/>
      <c r="M6321" s="181"/>
      <c r="N6321" s="181"/>
      <c r="O6321" s="181"/>
      <c r="P6321" s="181"/>
    </row>
    <row r="6322">
      <c r="B6322" s="292"/>
      <c r="C6322" s="181"/>
      <c r="D6322" s="181"/>
      <c r="E6322" s="181"/>
      <c r="F6322" s="181"/>
      <c r="G6322" s="181"/>
      <c r="H6322" s="181"/>
      <c r="I6322" s="181"/>
      <c r="J6322" s="181"/>
      <c r="K6322" s="181"/>
      <c r="L6322" s="181"/>
      <c r="M6322" s="181"/>
      <c r="N6322" s="181"/>
      <c r="O6322" s="181"/>
      <c r="P6322" s="181"/>
    </row>
    <row r="6323">
      <c r="B6323" s="292"/>
      <c r="C6323" s="181"/>
      <c r="D6323" s="181"/>
      <c r="E6323" s="181"/>
      <c r="F6323" s="181"/>
      <c r="G6323" s="181"/>
      <c r="H6323" s="181"/>
      <c r="I6323" s="181"/>
      <c r="J6323" s="181"/>
      <c r="K6323" s="181"/>
      <c r="L6323" s="181"/>
      <c r="M6323" s="181"/>
      <c r="N6323" s="181"/>
      <c r="O6323" s="181"/>
      <c r="P6323" s="181"/>
    </row>
    <row r="6324">
      <c r="B6324" s="292"/>
      <c r="C6324" s="181"/>
      <c r="D6324" s="181"/>
      <c r="E6324" s="181"/>
      <c r="F6324" s="181"/>
      <c r="G6324" s="181"/>
      <c r="H6324" s="181"/>
      <c r="I6324" s="181"/>
      <c r="J6324" s="181"/>
      <c r="K6324" s="181"/>
      <c r="L6324" s="181"/>
      <c r="M6324" s="181"/>
      <c r="N6324" s="181"/>
      <c r="O6324" s="181"/>
      <c r="P6324" s="181"/>
    </row>
    <row r="6325">
      <c r="B6325" s="292"/>
      <c r="C6325" s="181"/>
      <c r="D6325" s="181"/>
      <c r="E6325" s="181"/>
      <c r="F6325" s="181"/>
      <c r="G6325" s="181"/>
      <c r="H6325" s="181"/>
      <c r="I6325" s="181"/>
      <c r="J6325" s="181"/>
      <c r="K6325" s="181"/>
      <c r="L6325" s="181"/>
      <c r="M6325" s="181"/>
      <c r="N6325" s="181"/>
      <c r="O6325" s="181"/>
      <c r="P6325" s="181"/>
    </row>
    <row r="6326">
      <c r="B6326" s="292"/>
      <c r="C6326" s="181"/>
      <c r="D6326" s="181"/>
      <c r="E6326" s="181"/>
      <c r="F6326" s="181"/>
      <c r="G6326" s="181"/>
      <c r="H6326" s="181"/>
      <c r="I6326" s="181"/>
      <c r="J6326" s="181"/>
      <c r="K6326" s="181"/>
      <c r="L6326" s="181"/>
      <c r="M6326" s="181"/>
      <c r="N6326" s="181"/>
      <c r="O6326" s="181"/>
      <c r="P6326" s="181"/>
    </row>
    <row r="6327">
      <c r="B6327" s="292"/>
      <c r="C6327" s="181"/>
      <c r="D6327" s="181"/>
      <c r="E6327" s="181"/>
      <c r="F6327" s="181"/>
      <c r="G6327" s="181"/>
      <c r="H6327" s="181"/>
      <c r="I6327" s="181"/>
      <c r="J6327" s="181"/>
      <c r="K6327" s="181"/>
      <c r="L6327" s="181"/>
      <c r="M6327" s="181"/>
      <c r="N6327" s="181"/>
      <c r="O6327" s="181"/>
      <c r="P6327" s="181"/>
    </row>
    <row r="6328">
      <c r="B6328" s="292"/>
      <c r="C6328" s="181"/>
      <c r="D6328" s="181"/>
      <c r="E6328" s="181"/>
      <c r="F6328" s="181"/>
      <c r="G6328" s="181"/>
      <c r="H6328" s="181"/>
      <c r="I6328" s="181"/>
      <c r="J6328" s="181"/>
      <c r="K6328" s="181"/>
      <c r="L6328" s="181"/>
      <c r="M6328" s="181"/>
      <c r="N6328" s="181"/>
      <c r="O6328" s="181"/>
      <c r="P6328" s="181"/>
    </row>
    <row r="6329">
      <c r="B6329" s="292"/>
      <c r="C6329" s="181"/>
      <c r="D6329" s="181"/>
      <c r="E6329" s="181"/>
      <c r="F6329" s="181"/>
      <c r="G6329" s="181"/>
      <c r="H6329" s="181"/>
      <c r="I6329" s="181"/>
      <c r="J6329" s="181"/>
      <c r="K6329" s="181"/>
      <c r="L6329" s="181"/>
      <c r="M6329" s="181"/>
      <c r="N6329" s="181"/>
      <c r="O6329" s="181"/>
      <c r="P6329" s="181"/>
    </row>
    <row r="6330">
      <c r="B6330" s="292"/>
      <c r="C6330" s="181"/>
      <c r="D6330" s="181"/>
      <c r="E6330" s="181"/>
      <c r="F6330" s="181"/>
      <c r="G6330" s="181"/>
      <c r="H6330" s="181"/>
      <c r="I6330" s="181"/>
      <c r="J6330" s="181"/>
      <c r="K6330" s="181"/>
      <c r="L6330" s="181"/>
      <c r="M6330" s="181"/>
      <c r="N6330" s="181"/>
      <c r="O6330" s="181"/>
      <c r="P6330" s="181"/>
    </row>
    <row r="6331">
      <c r="B6331" s="292"/>
      <c r="C6331" s="181"/>
      <c r="D6331" s="181"/>
      <c r="E6331" s="181"/>
      <c r="F6331" s="181"/>
      <c r="G6331" s="181"/>
      <c r="H6331" s="181"/>
      <c r="I6331" s="181"/>
      <c r="J6331" s="181"/>
      <c r="K6331" s="181"/>
      <c r="L6331" s="181"/>
      <c r="M6331" s="181"/>
      <c r="N6331" s="181"/>
      <c r="O6331" s="181"/>
      <c r="P6331" s="181"/>
    </row>
    <row r="6332">
      <c r="B6332" s="292"/>
      <c r="C6332" s="181"/>
      <c r="D6332" s="181"/>
      <c r="E6332" s="181"/>
      <c r="F6332" s="181"/>
      <c r="G6332" s="181"/>
      <c r="H6332" s="181"/>
      <c r="I6332" s="181"/>
      <c r="J6332" s="181"/>
      <c r="K6332" s="181"/>
      <c r="L6332" s="181"/>
      <c r="M6332" s="181"/>
      <c r="N6332" s="181"/>
      <c r="O6332" s="181"/>
      <c r="P6332" s="181"/>
    </row>
    <row r="6333">
      <c r="B6333" s="292"/>
      <c r="C6333" s="181"/>
      <c r="D6333" s="181"/>
      <c r="E6333" s="181"/>
      <c r="F6333" s="181"/>
      <c r="G6333" s="181"/>
      <c r="H6333" s="181"/>
      <c r="I6333" s="181"/>
      <c r="J6333" s="181"/>
      <c r="K6333" s="181"/>
      <c r="L6333" s="181"/>
      <c r="M6333" s="181"/>
      <c r="N6333" s="181"/>
      <c r="O6333" s="181"/>
      <c r="P6333" s="181"/>
    </row>
    <row r="6334">
      <c r="B6334" s="292"/>
      <c r="C6334" s="181"/>
      <c r="D6334" s="181"/>
      <c r="E6334" s="181"/>
      <c r="F6334" s="181"/>
      <c r="G6334" s="181"/>
      <c r="H6334" s="181"/>
      <c r="I6334" s="181"/>
      <c r="J6334" s="181"/>
      <c r="K6334" s="181"/>
      <c r="L6334" s="181"/>
      <c r="M6334" s="181"/>
      <c r="N6334" s="181"/>
      <c r="O6334" s="181"/>
      <c r="P6334" s="181"/>
    </row>
    <row r="6335">
      <c r="B6335" s="292"/>
      <c r="C6335" s="181"/>
      <c r="D6335" s="181"/>
      <c r="E6335" s="181"/>
      <c r="F6335" s="181"/>
      <c r="G6335" s="181"/>
      <c r="H6335" s="181"/>
      <c r="I6335" s="181"/>
      <c r="J6335" s="181"/>
      <c r="K6335" s="181"/>
      <c r="L6335" s="181"/>
      <c r="M6335" s="181"/>
      <c r="N6335" s="181"/>
      <c r="O6335" s="181"/>
      <c r="P6335" s="181"/>
    </row>
    <row r="6336">
      <c r="B6336" s="292"/>
      <c r="C6336" s="181"/>
      <c r="D6336" s="181"/>
      <c r="E6336" s="181"/>
      <c r="F6336" s="181"/>
      <c r="G6336" s="181"/>
      <c r="H6336" s="181"/>
      <c r="I6336" s="181"/>
      <c r="J6336" s="181"/>
      <c r="K6336" s="181"/>
      <c r="L6336" s="181"/>
      <c r="M6336" s="181"/>
      <c r="N6336" s="181"/>
      <c r="O6336" s="181"/>
      <c r="P6336" s="181"/>
    </row>
    <row r="6337">
      <c r="B6337" s="292"/>
      <c r="C6337" s="181"/>
      <c r="D6337" s="181"/>
      <c r="E6337" s="181"/>
      <c r="F6337" s="181"/>
      <c r="G6337" s="181"/>
      <c r="H6337" s="181"/>
      <c r="I6337" s="181"/>
      <c r="J6337" s="181"/>
      <c r="K6337" s="181"/>
      <c r="L6337" s="181"/>
      <c r="M6337" s="181"/>
      <c r="N6337" s="181"/>
      <c r="O6337" s="181"/>
      <c r="P6337" s="181"/>
    </row>
    <row r="6338">
      <c r="B6338" s="292"/>
      <c r="C6338" s="181"/>
      <c r="D6338" s="181"/>
      <c r="E6338" s="181"/>
      <c r="F6338" s="181"/>
      <c r="G6338" s="181"/>
      <c r="H6338" s="181"/>
      <c r="I6338" s="181"/>
      <c r="J6338" s="181"/>
      <c r="K6338" s="181"/>
      <c r="L6338" s="181"/>
      <c r="M6338" s="181"/>
      <c r="N6338" s="181"/>
      <c r="O6338" s="181"/>
      <c r="P6338" s="181"/>
    </row>
    <row r="6339">
      <c r="B6339" s="292"/>
      <c r="C6339" s="181"/>
      <c r="D6339" s="181"/>
      <c r="E6339" s="181"/>
      <c r="F6339" s="181"/>
      <c r="G6339" s="181"/>
      <c r="H6339" s="181"/>
      <c r="I6339" s="181"/>
      <c r="J6339" s="181"/>
      <c r="K6339" s="181"/>
      <c r="L6339" s="181"/>
      <c r="M6339" s="181"/>
      <c r="N6339" s="181"/>
      <c r="O6339" s="181"/>
      <c r="P6339" s="181"/>
    </row>
    <row r="6340">
      <c r="B6340" s="292"/>
      <c r="C6340" s="181"/>
      <c r="D6340" s="181"/>
      <c r="E6340" s="181"/>
      <c r="F6340" s="181"/>
      <c r="G6340" s="181"/>
      <c r="H6340" s="181"/>
      <c r="I6340" s="181"/>
      <c r="J6340" s="181"/>
      <c r="K6340" s="181"/>
      <c r="L6340" s="181"/>
      <c r="M6340" s="181"/>
      <c r="N6340" s="181"/>
      <c r="O6340" s="181"/>
      <c r="P6340" s="181"/>
    </row>
    <row r="6341">
      <c r="B6341" s="292"/>
      <c r="C6341" s="181"/>
      <c r="D6341" s="181"/>
      <c r="E6341" s="181"/>
      <c r="F6341" s="181"/>
      <c r="G6341" s="181"/>
      <c r="H6341" s="181"/>
      <c r="I6341" s="181"/>
      <c r="J6341" s="181"/>
      <c r="K6341" s="181"/>
      <c r="L6341" s="181"/>
      <c r="M6341" s="181"/>
      <c r="N6341" s="181"/>
      <c r="O6341" s="181"/>
      <c r="P6341" s="181"/>
    </row>
    <row r="6342">
      <c r="B6342" s="292"/>
      <c r="C6342" s="181"/>
      <c r="D6342" s="181"/>
      <c r="E6342" s="181"/>
      <c r="F6342" s="181"/>
      <c r="G6342" s="181"/>
      <c r="H6342" s="181"/>
      <c r="I6342" s="181"/>
      <c r="J6342" s="181"/>
      <c r="K6342" s="181"/>
      <c r="L6342" s="181"/>
      <c r="M6342" s="181"/>
      <c r="N6342" s="181"/>
      <c r="O6342" s="181"/>
      <c r="P6342" s="181"/>
    </row>
    <row r="6343">
      <c r="B6343" s="292"/>
      <c r="C6343" s="181"/>
      <c r="D6343" s="181"/>
      <c r="E6343" s="181"/>
      <c r="F6343" s="181"/>
      <c r="G6343" s="181"/>
      <c r="H6343" s="181"/>
      <c r="I6343" s="181"/>
      <c r="J6343" s="181"/>
      <c r="K6343" s="181"/>
      <c r="L6343" s="181"/>
      <c r="M6343" s="181"/>
      <c r="N6343" s="181"/>
      <c r="O6343" s="181"/>
      <c r="P6343" s="181"/>
    </row>
    <row r="6344">
      <c r="B6344" s="292"/>
      <c r="C6344" s="181"/>
      <c r="D6344" s="181"/>
      <c r="E6344" s="181"/>
      <c r="F6344" s="181"/>
      <c r="G6344" s="181"/>
      <c r="H6344" s="181"/>
      <c r="I6344" s="181"/>
      <c r="J6344" s="181"/>
      <c r="K6344" s="181"/>
      <c r="L6344" s="181"/>
      <c r="M6344" s="181"/>
      <c r="N6344" s="181"/>
      <c r="O6344" s="181"/>
      <c r="P6344" s="181"/>
    </row>
    <row r="6345">
      <c r="B6345" s="292"/>
      <c r="C6345" s="181"/>
      <c r="D6345" s="181"/>
      <c r="E6345" s="181"/>
      <c r="F6345" s="181"/>
      <c r="G6345" s="181"/>
      <c r="H6345" s="181"/>
      <c r="I6345" s="181"/>
      <c r="J6345" s="181"/>
      <c r="K6345" s="181"/>
      <c r="L6345" s="181"/>
      <c r="M6345" s="181"/>
      <c r="N6345" s="181"/>
      <c r="O6345" s="181"/>
      <c r="P6345" s="181"/>
    </row>
    <row r="6346">
      <c r="B6346" s="292"/>
      <c r="C6346" s="181"/>
      <c r="D6346" s="181"/>
      <c r="E6346" s="181"/>
      <c r="F6346" s="181"/>
      <c r="G6346" s="181"/>
      <c r="H6346" s="181"/>
      <c r="I6346" s="181"/>
      <c r="J6346" s="181"/>
      <c r="K6346" s="181"/>
      <c r="L6346" s="181"/>
      <c r="M6346" s="181"/>
      <c r="N6346" s="181"/>
      <c r="O6346" s="181"/>
      <c r="P6346" s="181"/>
    </row>
    <row r="6347">
      <c r="B6347" s="292"/>
      <c r="C6347" s="181"/>
      <c r="D6347" s="181"/>
      <c r="E6347" s="181"/>
      <c r="F6347" s="181"/>
      <c r="G6347" s="181"/>
      <c r="H6347" s="181"/>
      <c r="I6347" s="181"/>
      <c r="J6347" s="181"/>
      <c r="K6347" s="181"/>
      <c r="L6347" s="181"/>
      <c r="M6347" s="181"/>
      <c r="N6347" s="181"/>
      <c r="O6347" s="181"/>
      <c r="P6347" s="181"/>
    </row>
    <row r="6348">
      <c r="B6348" s="292"/>
      <c r="C6348" s="181"/>
      <c r="D6348" s="181"/>
      <c r="E6348" s="181"/>
      <c r="F6348" s="181"/>
      <c r="G6348" s="181"/>
      <c r="H6348" s="181"/>
      <c r="I6348" s="181"/>
      <c r="J6348" s="181"/>
      <c r="K6348" s="181"/>
      <c r="L6348" s="181"/>
      <c r="M6348" s="181"/>
      <c r="N6348" s="181"/>
      <c r="O6348" s="181"/>
      <c r="P6348" s="181"/>
    </row>
    <row r="6349">
      <c r="B6349" s="292"/>
      <c r="C6349" s="181"/>
      <c r="D6349" s="181"/>
      <c r="E6349" s="181"/>
      <c r="F6349" s="181"/>
      <c r="G6349" s="181"/>
      <c r="H6349" s="181"/>
      <c r="I6349" s="181"/>
      <c r="J6349" s="181"/>
      <c r="K6349" s="181"/>
      <c r="L6349" s="181"/>
      <c r="M6349" s="181"/>
      <c r="N6349" s="181"/>
      <c r="O6349" s="181"/>
      <c r="P6349" s="181"/>
    </row>
    <row r="6350">
      <c r="B6350" s="292"/>
      <c r="C6350" s="181"/>
      <c r="D6350" s="181"/>
      <c r="E6350" s="181"/>
      <c r="F6350" s="181"/>
      <c r="G6350" s="181"/>
      <c r="H6350" s="181"/>
      <c r="I6350" s="181"/>
      <c r="J6350" s="181"/>
      <c r="K6350" s="181"/>
      <c r="L6350" s="181"/>
      <c r="M6350" s="181"/>
      <c r="N6350" s="181"/>
      <c r="O6350" s="181"/>
      <c r="P6350" s="181"/>
    </row>
    <row r="6351">
      <c r="B6351" s="292"/>
      <c r="C6351" s="181"/>
      <c r="D6351" s="181"/>
      <c r="E6351" s="181"/>
      <c r="F6351" s="181"/>
      <c r="G6351" s="181"/>
      <c r="H6351" s="181"/>
      <c r="I6351" s="181"/>
      <c r="J6351" s="181"/>
      <c r="K6351" s="181"/>
      <c r="L6351" s="181"/>
      <c r="M6351" s="181"/>
      <c r="N6351" s="181"/>
      <c r="O6351" s="181"/>
      <c r="P6351" s="181"/>
    </row>
    <row r="6352">
      <c r="B6352" s="292"/>
      <c r="C6352" s="181"/>
      <c r="D6352" s="181"/>
      <c r="E6352" s="181"/>
      <c r="F6352" s="181"/>
      <c r="G6352" s="181"/>
      <c r="H6352" s="181"/>
      <c r="I6352" s="181"/>
      <c r="J6352" s="181"/>
      <c r="K6352" s="181"/>
      <c r="L6352" s="181"/>
      <c r="M6352" s="181"/>
      <c r="N6352" s="181"/>
      <c r="O6352" s="181"/>
      <c r="P6352" s="181"/>
    </row>
    <row r="6353">
      <c r="B6353" s="292"/>
      <c r="C6353" s="181"/>
      <c r="D6353" s="181"/>
      <c r="E6353" s="181"/>
      <c r="F6353" s="181"/>
      <c r="G6353" s="181"/>
      <c r="H6353" s="181"/>
      <c r="I6353" s="181"/>
      <c r="J6353" s="181"/>
      <c r="K6353" s="181"/>
      <c r="L6353" s="181"/>
      <c r="M6353" s="181"/>
      <c r="N6353" s="181"/>
      <c r="O6353" s="181"/>
      <c r="P6353" s="181"/>
    </row>
    <row r="6354">
      <c r="B6354" s="292"/>
      <c r="C6354" s="181"/>
      <c r="D6354" s="181"/>
      <c r="E6354" s="181"/>
      <c r="F6354" s="181"/>
      <c r="G6354" s="181"/>
      <c r="H6354" s="181"/>
      <c r="I6354" s="181"/>
      <c r="J6354" s="181"/>
      <c r="K6354" s="181"/>
      <c r="L6354" s="181"/>
      <c r="M6354" s="181"/>
      <c r="N6354" s="181"/>
      <c r="O6354" s="181"/>
      <c r="P6354" s="181"/>
    </row>
    <row r="6355">
      <c r="B6355" s="292"/>
      <c r="C6355" s="181"/>
      <c r="D6355" s="181"/>
      <c r="E6355" s="181"/>
      <c r="F6355" s="181"/>
      <c r="G6355" s="181"/>
      <c r="H6355" s="181"/>
      <c r="I6355" s="181"/>
      <c r="J6355" s="181"/>
      <c r="K6355" s="181"/>
      <c r="L6355" s="181"/>
      <c r="M6355" s="181"/>
      <c r="N6355" s="181"/>
      <c r="O6355" s="181"/>
      <c r="P6355" s="181"/>
    </row>
    <row r="6356">
      <c r="B6356" s="292"/>
      <c r="C6356" s="181"/>
      <c r="D6356" s="181"/>
      <c r="E6356" s="181"/>
      <c r="F6356" s="181"/>
      <c r="G6356" s="181"/>
      <c r="H6356" s="181"/>
      <c r="I6356" s="181"/>
      <c r="J6356" s="181"/>
      <c r="K6356" s="181"/>
      <c r="L6356" s="181"/>
      <c r="M6356" s="181"/>
      <c r="N6356" s="181"/>
      <c r="O6356" s="181"/>
      <c r="P6356" s="181"/>
    </row>
    <row r="6357">
      <c r="B6357" s="292"/>
      <c r="C6357" s="181"/>
      <c r="D6357" s="181"/>
      <c r="E6357" s="181"/>
      <c r="F6357" s="181"/>
      <c r="G6357" s="181"/>
      <c r="H6357" s="181"/>
      <c r="I6357" s="181"/>
      <c r="J6357" s="181"/>
      <c r="K6357" s="181"/>
      <c r="L6357" s="181"/>
      <c r="M6357" s="181"/>
      <c r="N6357" s="181"/>
      <c r="O6357" s="181"/>
      <c r="P6357" s="181"/>
    </row>
    <row r="6358">
      <c r="B6358" s="292"/>
      <c r="C6358" s="181"/>
      <c r="D6358" s="181"/>
      <c r="E6358" s="181"/>
      <c r="F6358" s="181"/>
      <c r="G6358" s="181"/>
      <c r="H6358" s="181"/>
      <c r="I6358" s="181"/>
      <c r="J6358" s="181"/>
      <c r="K6358" s="181"/>
      <c r="L6358" s="181"/>
      <c r="M6358" s="181"/>
      <c r="N6358" s="181"/>
      <c r="O6358" s="181"/>
      <c r="P6358" s="181"/>
    </row>
    <row r="6359">
      <c r="B6359" s="292"/>
      <c r="C6359" s="181"/>
      <c r="D6359" s="181"/>
      <c r="E6359" s="181"/>
      <c r="F6359" s="181"/>
      <c r="G6359" s="181"/>
      <c r="H6359" s="181"/>
      <c r="I6359" s="181"/>
      <c r="J6359" s="181"/>
      <c r="K6359" s="181"/>
      <c r="L6359" s="181"/>
      <c r="M6359" s="181"/>
      <c r="N6359" s="181"/>
      <c r="O6359" s="181"/>
      <c r="P6359" s="181"/>
    </row>
    <row r="6360">
      <c r="B6360" s="292"/>
      <c r="C6360" s="181"/>
      <c r="D6360" s="181"/>
      <c r="E6360" s="181"/>
      <c r="F6360" s="181"/>
      <c r="G6360" s="181"/>
      <c r="H6360" s="181"/>
      <c r="I6360" s="181"/>
      <c r="J6360" s="181"/>
      <c r="K6360" s="181"/>
      <c r="L6360" s="181"/>
      <c r="M6360" s="181"/>
      <c r="N6360" s="181"/>
      <c r="O6360" s="181"/>
      <c r="P6360" s="181"/>
    </row>
    <row r="6361">
      <c r="B6361" s="292"/>
      <c r="C6361" s="181"/>
      <c r="D6361" s="181"/>
      <c r="E6361" s="181"/>
      <c r="F6361" s="181"/>
      <c r="G6361" s="181"/>
      <c r="H6361" s="181"/>
      <c r="I6361" s="181"/>
      <c r="J6361" s="181"/>
      <c r="K6361" s="181"/>
      <c r="L6361" s="181"/>
      <c r="M6361" s="181"/>
      <c r="N6361" s="181"/>
      <c r="O6361" s="181"/>
      <c r="P6361" s="181"/>
    </row>
    <row r="6362">
      <c r="B6362" s="292"/>
      <c r="C6362" s="181"/>
      <c r="D6362" s="181"/>
      <c r="E6362" s="181"/>
      <c r="F6362" s="181"/>
      <c r="G6362" s="181"/>
      <c r="H6362" s="181"/>
      <c r="I6362" s="181"/>
      <c r="J6362" s="181"/>
      <c r="K6362" s="181"/>
      <c r="L6362" s="181"/>
      <c r="M6362" s="181"/>
      <c r="N6362" s="181"/>
      <c r="O6362" s="181"/>
      <c r="P6362" s="181"/>
    </row>
    <row r="6363">
      <c r="B6363" s="292"/>
      <c r="C6363" s="181"/>
      <c r="D6363" s="181"/>
      <c r="E6363" s="181"/>
      <c r="F6363" s="181"/>
      <c r="G6363" s="181"/>
      <c r="H6363" s="181"/>
      <c r="I6363" s="181"/>
      <c r="J6363" s="181"/>
      <c r="K6363" s="181"/>
      <c r="L6363" s="181"/>
      <c r="M6363" s="181"/>
      <c r="N6363" s="181"/>
      <c r="O6363" s="181"/>
      <c r="P6363" s="181"/>
    </row>
    <row r="6364">
      <c r="B6364" s="292"/>
      <c r="C6364" s="181"/>
      <c r="D6364" s="181"/>
      <c r="E6364" s="181"/>
      <c r="F6364" s="181"/>
      <c r="G6364" s="181"/>
      <c r="H6364" s="181"/>
      <c r="I6364" s="181"/>
      <c r="J6364" s="181"/>
      <c r="K6364" s="181"/>
      <c r="L6364" s="181"/>
      <c r="M6364" s="181"/>
      <c r="N6364" s="181"/>
      <c r="O6364" s="181"/>
      <c r="P6364" s="181"/>
    </row>
    <row r="6365">
      <c r="B6365" s="292"/>
      <c r="C6365" s="181"/>
      <c r="D6365" s="181"/>
      <c r="E6365" s="181"/>
      <c r="F6365" s="181"/>
      <c r="G6365" s="181"/>
      <c r="H6365" s="181"/>
      <c r="I6365" s="181"/>
      <c r="J6365" s="181"/>
      <c r="K6365" s="181"/>
      <c r="L6365" s="181"/>
      <c r="M6365" s="181"/>
      <c r="N6365" s="181"/>
      <c r="O6365" s="181"/>
      <c r="P6365" s="181"/>
    </row>
    <row r="6366">
      <c r="B6366" s="292"/>
      <c r="C6366" s="181"/>
      <c r="D6366" s="181"/>
      <c r="E6366" s="181"/>
      <c r="F6366" s="181"/>
      <c r="G6366" s="181"/>
      <c r="H6366" s="181"/>
      <c r="I6366" s="181"/>
      <c r="J6366" s="181"/>
      <c r="K6366" s="181"/>
      <c r="L6366" s="181"/>
      <c r="M6366" s="181"/>
      <c r="N6366" s="181"/>
      <c r="O6366" s="181"/>
      <c r="P6366" s="181"/>
    </row>
    <row r="6367">
      <c r="B6367" s="292"/>
      <c r="C6367" s="181"/>
      <c r="D6367" s="181"/>
      <c r="E6367" s="181"/>
      <c r="F6367" s="181"/>
      <c r="G6367" s="181"/>
      <c r="H6367" s="181"/>
      <c r="I6367" s="181"/>
      <c r="J6367" s="181"/>
      <c r="K6367" s="181"/>
      <c r="L6367" s="181"/>
      <c r="M6367" s="181"/>
      <c r="N6367" s="181"/>
      <c r="O6367" s="181"/>
      <c r="P6367" s="181"/>
    </row>
    <row r="6368">
      <c r="B6368" s="292"/>
      <c r="C6368" s="181"/>
      <c r="D6368" s="181"/>
      <c r="E6368" s="181"/>
      <c r="F6368" s="181"/>
      <c r="G6368" s="181"/>
      <c r="H6368" s="181"/>
      <c r="I6368" s="181"/>
      <c r="J6368" s="181"/>
      <c r="K6368" s="181"/>
      <c r="L6368" s="181"/>
      <c r="M6368" s="181"/>
      <c r="N6368" s="181"/>
      <c r="O6368" s="181"/>
      <c r="P6368" s="181"/>
    </row>
    <row r="6369">
      <c r="B6369" s="292"/>
      <c r="C6369" s="181"/>
      <c r="D6369" s="181"/>
      <c r="E6369" s="181"/>
      <c r="F6369" s="181"/>
      <c r="G6369" s="181"/>
      <c r="H6369" s="181"/>
      <c r="I6369" s="181"/>
      <c r="J6369" s="181"/>
      <c r="K6369" s="181"/>
      <c r="L6369" s="181"/>
      <c r="M6369" s="181"/>
      <c r="N6369" s="181"/>
      <c r="O6369" s="181"/>
      <c r="P6369" s="181"/>
    </row>
    <row r="6370">
      <c r="B6370" s="292"/>
      <c r="C6370" s="181"/>
      <c r="D6370" s="181"/>
      <c r="E6370" s="181"/>
      <c r="F6370" s="181"/>
      <c r="G6370" s="181"/>
      <c r="H6370" s="181"/>
      <c r="I6370" s="181"/>
      <c r="J6370" s="181"/>
      <c r="K6370" s="181"/>
      <c r="L6370" s="181"/>
      <c r="M6370" s="181"/>
      <c r="N6370" s="181"/>
      <c r="O6370" s="181"/>
      <c r="P6370" s="181"/>
    </row>
    <row r="6371">
      <c r="B6371" s="292"/>
      <c r="C6371" s="181"/>
      <c r="D6371" s="181"/>
      <c r="E6371" s="181"/>
      <c r="F6371" s="181"/>
      <c r="G6371" s="181"/>
      <c r="H6371" s="181"/>
      <c r="I6371" s="181"/>
      <c r="J6371" s="181"/>
      <c r="K6371" s="181"/>
      <c r="L6371" s="181"/>
      <c r="M6371" s="181"/>
      <c r="N6371" s="181"/>
      <c r="O6371" s="181"/>
      <c r="P6371" s="181"/>
    </row>
    <row r="6372">
      <c r="B6372" s="292"/>
      <c r="C6372" s="181"/>
      <c r="D6372" s="181"/>
      <c r="E6372" s="181"/>
      <c r="F6372" s="181"/>
      <c r="G6372" s="181"/>
      <c r="H6372" s="181"/>
      <c r="I6372" s="181"/>
      <c r="J6372" s="181"/>
      <c r="K6372" s="181"/>
      <c r="L6372" s="181"/>
      <c r="M6372" s="181"/>
      <c r="N6372" s="181"/>
      <c r="O6372" s="181"/>
      <c r="P6372" s="181"/>
    </row>
    <row r="6373">
      <c r="B6373" s="292"/>
      <c r="C6373" s="181"/>
      <c r="D6373" s="181"/>
      <c r="E6373" s="181"/>
      <c r="F6373" s="181"/>
      <c r="G6373" s="181"/>
      <c r="H6373" s="181"/>
      <c r="I6373" s="181"/>
      <c r="J6373" s="181"/>
      <c r="K6373" s="181"/>
      <c r="L6373" s="181"/>
      <c r="M6373" s="181"/>
      <c r="N6373" s="181"/>
      <c r="O6373" s="181"/>
      <c r="P6373" s="181"/>
    </row>
    <row r="6374">
      <c r="B6374" s="292"/>
      <c r="C6374" s="181"/>
      <c r="D6374" s="181"/>
      <c r="E6374" s="181"/>
      <c r="F6374" s="181"/>
      <c r="G6374" s="181"/>
      <c r="H6374" s="181"/>
      <c r="I6374" s="181"/>
      <c r="J6374" s="181"/>
      <c r="K6374" s="181"/>
      <c r="L6374" s="181"/>
      <c r="M6374" s="181"/>
      <c r="N6374" s="181"/>
      <c r="O6374" s="181"/>
      <c r="P6374" s="181"/>
    </row>
    <row r="6375">
      <c r="B6375" s="292"/>
      <c r="C6375" s="181"/>
      <c r="D6375" s="181"/>
      <c r="E6375" s="181"/>
      <c r="F6375" s="181"/>
      <c r="G6375" s="181"/>
      <c r="H6375" s="181"/>
      <c r="I6375" s="181"/>
      <c r="J6375" s="181"/>
      <c r="K6375" s="181"/>
      <c r="L6375" s="181"/>
      <c r="M6375" s="181"/>
      <c r="N6375" s="181"/>
      <c r="O6375" s="181"/>
      <c r="P6375" s="181"/>
    </row>
    <row r="6376">
      <c r="B6376" s="292"/>
      <c r="C6376" s="181"/>
      <c r="D6376" s="181"/>
      <c r="E6376" s="181"/>
      <c r="F6376" s="181"/>
      <c r="G6376" s="181"/>
      <c r="H6376" s="181"/>
      <c r="I6376" s="181"/>
      <c r="J6376" s="181"/>
      <c r="K6376" s="181"/>
      <c r="L6376" s="181"/>
      <c r="M6376" s="181"/>
      <c r="N6376" s="181"/>
      <c r="O6376" s="181"/>
      <c r="P6376" s="181"/>
    </row>
    <row r="6377">
      <c r="B6377" s="292"/>
      <c r="C6377" s="181"/>
      <c r="D6377" s="181"/>
      <c r="E6377" s="181"/>
      <c r="F6377" s="181"/>
      <c r="G6377" s="181"/>
      <c r="H6377" s="181"/>
      <c r="I6377" s="181"/>
      <c r="J6377" s="181"/>
      <c r="K6377" s="181"/>
      <c r="L6377" s="181"/>
      <c r="M6377" s="181"/>
      <c r="N6377" s="181"/>
      <c r="O6377" s="181"/>
      <c r="P6377" s="181"/>
    </row>
    <row r="6378">
      <c r="B6378" s="292"/>
      <c r="C6378" s="181"/>
      <c r="D6378" s="181"/>
      <c r="E6378" s="181"/>
      <c r="F6378" s="181"/>
      <c r="G6378" s="181"/>
      <c r="H6378" s="181"/>
      <c r="I6378" s="181"/>
      <c r="J6378" s="181"/>
      <c r="K6378" s="181"/>
      <c r="L6378" s="181"/>
      <c r="M6378" s="181"/>
      <c r="N6378" s="181"/>
      <c r="O6378" s="181"/>
      <c r="P6378" s="181"/>
    </row>
    <row r="6379">
      <c r="B6379" s="292"/>
      <c r="C6379" s="181"/>
      <c r="D6379" s="181"/>
      <c r="E6379" s="181"/>
      <c r="F6379" s="181"/>
      <c r="G6379" s="181"/>
      <c r="H6379" s="181"/>
      <c r="I6379" s="181"/>
      <c r="J6379" s="181"/>
      <c r="K6379" s="181"/>
      <c r="L6379" s="181"/>
      <c r="M6379" s="181"/>
      <c r="N6379" s="181"/>
      <c r="O6379" s="181"/>
      <c r="P6379" s="181"/>
    </row>
    <row r="6380">
      <c r="B6380" s="292"/>
      <c r="C6380" s="181"/>
      <c r="D6380" s="181"/>
      <c r="E6380" s="181"/>
      <c r="F6380" s="181"/>
      <c r="G6380" s="181"/>
      <c r="H6380" s="181"/>
      <c r="I6380" s="181"/>
      <c r="J6380" s="181"/>
      <c r="K6380" s="181"/>
      <c r="L6380" s="181"/>
      <c r="M6380" s="181"/>
      <c r="N6380" s="181"/>
      <c r="O6380" s="181"/>
      <c r="P6380" s="181"/>
    </row>
    <row r="6381">
      <c r="B6381" s="292"/>
      <c r="C6381" s="181"/>
      <c r="D6381" s="181"/>
      <c r="E6381" s="181"/>
      <c r="F6381" s="181"/>
      <c r="G6381" s="181"/>
      <c r="H6381" s="181"/>
      <c r="I6381" s="181"/>
      <c r="J6381" s="181"/>
      <c r="K6381" s="181"/>
      <c r="L6381" s="181"/>
      <c r="M6381" s="181"/>
      <c r="N6381" s="181"/>
      <c r="O6381" s="181"/>
      <c r="P6381" s="181"/>
    </row>
    <row r="6382">
      <c r="B6382" s="292"/>
      <c r="C6382" s="181"/>
      <c r="D6382" s="181"/>
      <c r="E6382" s="181"/>
      <c r="F6382" s="181"/>
      <c r="G6382" s="181"/>
      <c r="H6382" s="181"/>
      <c r="I6382" s="181"/>
      <c r="J6382" s="181"/>
      <c r="K6382" s="181"/>
      <c r="L6382" s="181"/>
      <c r="M6382" s="181"/>
      <c r="N6382" s="181"/>
      <c r="O6382" s="181"/>
      <c r="P6382" s="181"/>
    </row>
    <row r="6383">
      <c r="B6383" s="292"/>
      <c r="C6383" s="181"/>
      <c r="D6383" s="181"/>
      <c r="E6383" s="181"/>
      <c r="F6383" s="181"/>
      <c r="G6383" s="181"/>
      <c r="H6383" s="181"/>
      <c r="I6383" s="181"/>
      <c r="J6383" s="181"/>
      <c r="K6383" s="181"/>
      <c r="L6383" s="181"/>
      <c r="M6383" s="181"/>
      <c r="N6383" s="181"/>
      <c r="O6383" s="181"/>
      <c r="P6383" s="181"/>
    </row>
    <row r="6384">
      <c r="B6384" s="292"/>
      <c r="C6384" s="181"/>
      <c r="D6384" s="181"/>
      <c r="E6384" s="181"/>
      <c r="F6384" s="181"/>
      <c r="G6384" s="181"/>
      <c r="H6384" s="181"/>
      <c r="I6384" s="181"/>
      <c r="J6384" s="181"/>
      <c r="K6384" s="181"/>
      <c r="L6384" s="181"/>
      <c r="M6384" s="181"/>
      <c r="N6384" s="181"/>
      <c r="O6384" s="181"/>
      <c r="P6384" s="181"/>
    </row>
    <row r="6385">
      <c r="B6385" s="292"/>
      <c r="C6385" s="181"/>
      <c r="D6385" s="181"/>
      <c r="E6385" s="181"/>
      <c r="F6385" s="181"/>
      <c r="G6385" s="181"/>
      <c r="H6385" s="181"/>
      <c r="I6385" s="181"/>
      <c r="J6385" s="181"/>
      <c r="K6385" s="181"/>
      <c r="L6385" s="181"/>
      <c r="M6385" s="181"/>
      <c r="N6385" s="181"/>
      <c r="O6385" s="181"/>
      <c r="P6385" s="181"/>
    </row>
    <row r="6386">
      <c r="B6386" s="292"/>
      <c r="C6386" s="181"/>
      <c r="D6386" s="181"/>
      <c r="E6386" s="181"/>
      <c r="F6386" s="181"/>
      <c r="G6386" s="181"/>
      <c r="H6386" s="181"/>
      <c r="I6386" s="181"/>
      <c r="J6386" s="181"/>
      <c r="K6386" s="181"/>
      <c r="L6386" s="181"/>
      <c r="M6386" s="181"/>
      <c r="N6386" s="181"/>
      <c r="O6386" s="181"/>
      <c r="P6386" s="181"/>
    </row>
    <row r="6387">
      <c r="B6387" s="292"/>
      <c r="C6387" s="181"/>
      <c r="D6387" s="181"/>
      <c r="E6387" s="181"/>
      <c r="F6387" s="181"/>
      <c r="G6387" s="181"/>
      <c r="H6387" s="181"/>
      <c r="I6387" s="181"/>
      <c r="J6387" s="181"/>
      <c r="K6387" s="181"/>
      <c r="L6387" s="181"/>
      <c r="M6387" s="181"/>
      <c r="N6387" s="181"/>
      <c r="O6387" s="181"/>
      <c r="P6387" s="181"/>
    </row>
    <row r="6388">
      <c r="B6388" s="292"/>
      <c r="C6388" s="181"/>
      <c r="D6388" s="181"/>
      <c r="E6388" s="181"/>
      <c r="F6388" s="181"/>
      <c r="G6388" s="181"/>
      <c r="H6388" s="181"/>
      <c r="I6388" s="181"/>
      <c r="J6388" s="181"/>
      <c r="K6388" s="181"/>
      <c r="L6388" s="181"/>
      <c r="M6388" s="181"/>
      <c r="N6388" s="181"/>
      <c r="O6388" s="181"/>
      <c r="P6388" s="181"/>
    </row>
    <row r="6389">
      <c r="B6389" s="292"/>
      <c r="C6389" s="181"/>
      <c r="D6389" s="181"/>
      <c r="E6389" s="181"/>
      <c r="F6389" s="181"/>
      <c r="G6389" s="181"/>
      <c r="H6389" s="181"/>
      <c r="I6389" s="181"/>
      <c r="J6389" s="181"/>
      <c r="K6389" s="181"/>
      <c r="L6389" s="181"/>
      <c r="M6389" s="181"/>
      <c r="N6389" s="181"/>
      <c r="O6389" s="181"/>
      <c r="P6389" s="181"/>
    </row>
    <row r="6390">
      <c r="B6390" s="292"/>
      <c r="C6390" s="181"/>
      <c r="D6390" s="181"/>
      <c r="E6390" s="181"/>
      <c r="F6390" s="181"/>
      <c r="G6390" s="181"/>
      <c r="H6390" s="181"/>
      <c r="I6390" s="181"/>
      <c r="J6390" s="181"/>
      <c r="K6390" s="181"/>
      <c r="L6390" s="181"/>
      <c r="M6390" s="181"/>
      <c r="N6390" s="181"/>
      <c r="O6390" s="181"/>
      <c r="P6390" s="181"/>
    </row>
    <row r="6391">
      <c r="B6391" s="292"/>
      <c r="C6391" s="181"/>
      <c r="D6391" s="181"/>
      <c r="E6391" s="181"/>
      <c r="F6391" s="181"/>
      <c r="G6391" s="181"/>
      <c r="H6391" s="181"/>
      <c r="I6391" s="181"/>
      <c r="J6391" s="181"/>
      <c r="K6391" s="181"/>
      <c r="L6391" s="181"/>
      <c r="M6391" s="181"/>
      <c r="N6391" s="181"/>
      <c r="O6391" s="181"/>
      <c r="P6391" s="181"/>
    </row>
    <row r="6392">
      <c r="B6392" s="292"/>
      <c r="C6392" s="181"/>
      <c r="D6392" s="181"/>
      <c r="E6392" s="181"/>
      <c r="F6392" s="181"/>
      <c r="G6392" s="181"/>
      <c r="H6392" s="181"/>
      <c r="I6392" s="181"/>
      <c r="J6392" s="181"/>
      <c r="K6392" s="181"/>
      <c r="L6392" s="181"/>
      <c r="M6392" s="181"/>
      <c r="N6392" s="181"/>
      <c r="O6392" s="181"/>
      <c r="P6392" s="181"/>
    </row>
    <row r="6393">
      <c r="B6393" s="292"/>
      <c r="C6393" s="181"/>
      <c r="D6393" s="181"/>
      <c r="E6393" s="181"/>
      <c r="F6393" s="181"/>
      <c r="G6393" s="181"/>
      <c r="H6393" s="181"/>
      <c r="I6393" s="181"/>
      <c r="J6393" s="181"/>
      <c r="K6393" s="181"/>
      <c r="L6393" s="181"/>
      <c r="M6393" s="181"/>
      <c r="N6393" s="181"/>
      <c r="O6393" s="181"/>
      <c r="P6393" s="181"/>
    </row>
    <row r="6394">
      <c r="B6394" s="292"/>
      <c r="C6394" s="181"/>
      <c r="D6394" s="181"/>
      <c r="E6394" s="181"/>
      <c r="F6394" s="181"/>
      <c r="G6394" s="181"/>
      <c r="H6394" s="181"/>
      <c r="I6394" s="181"/>
      <c r="J6394" s="181"/>
      <c r="K6394" s="181"/>
      <c r="L6394" s="181"/>
      <c r="M6394" s="181"/>
      <c r="N6394" s="181"/>
      <c r="O6394" s="181"/>
      <c r="P6394" s="181"/>
    </row>
    <row r="6395">
      <c r="B6395" s="292"/>
      <c r="C6395" s="181"/>
      <c r="D6395" s="181"/>
      <c r="E6395" s="181"/>
      <c r="F6395" s="181"/>
      <c r="G6395" s="181"/>
      <c r="H6395" s="181"/>
      <c r="I6395" s="181"/>
      <c r="J6395" s="181"/>
      <c r="K6395" s="181"/>
      <c r="L6395" s="181"/>
      <c r="M6395" s="181"/>
      <c r="N6395" s="181"/>
      <c r="O6395" s="181"/>
      <c r="P6395" s="181"/>
    </row>
    <row r="6396">
      <c r="B6396" s="292"/>
      <c r="C6396" s="181"/>
      <c r="D6396" s="181"/>
      <c r="E6396" s="181"/>
      <c r="F6396" s="181"/>
      <c r="G6396" s="181"/>
      <c r="H6396" s="181"/>
      <c r="I6396" s="181"/>
      <c r="J6396" s="181"/>
      <c r="K6396" s="181"/>
      <c r="L6396" s="181"/>
      <c r="M6396" s="181"/>
      <c r="N6396" s="181"/>
      <c r="O6396" s="181"/>
      <c r="P6396" s="181"/>
    </row>
    <row r="6397">
      <c r="B6397" s="292"/>
      <c r="C6397" s="181"/>
      <c r="D6397" s="181"/>
      <c r="E6397" s="181"/>
      <c r="F6397" s="181"/>
      <c r="G6397" s="181"/>
      <c r="H6397" s="181"/>
      <c r="I6397" s="181"/>
      <c r="J6397" s="181"/>
      <c r="K6397" s="181"/>
      <c r="L6397" s="181"/>
      <c r="M6397" s="181"/>
      <c r="N6397" s="181"/>
      <c r="O6397" s="181"/>
      <c r="P6397" s="181"/>
    </row>
    <row r="6398">
      <c r="B6398" s="292"/>
      <c r="C6398" s="181"/>
      <c r="D6398" s="181"/>
      <c r="E6398" s="181"/>
      <c r="F6398" s="181"/>
      <c r="G6398" s="181"/>
      <c r="H6398" s="181"/>
      <c r="I6398" s="181"/>
      <c r="J6398" s="181"/>
      <c r="K6398" s="181"/>
      <c r="L6398" s="181"/>
      <c r="M6398" s="181"/>
      <c r="N6398" s="181"/>
      <c r="O6398" s="181"/>
      <c r="P6398" s="181"/>
    </row>
    <row r="6399">
      <c r="B6399" s="292"/>
      <c r="C6399" s="181"/>
      <c r="D6399" s="181"/>
      <c r="E6399" s="181"/>
      <c r="F6399" s="181"/>
      <c r="G6399" s="181"/>
      <c r="H6399" s="181"/>
      <c r="I6399" s="181"/>
      <c r="J6399" s="181"/>
      <c r="K6399" s="181"/>
      <c r="L6399" s="181"/>
      <c r="M6399" s="181"/>
      <c r="N6399" s="181"/>
      <c r="O6399" s="181"/>
      <c r="P6399" s="181"/>
    </row>
    <row r="6400">
      <c r="B6400" s="292"/>
      <c r="C6400" s="181"/>
      <c r="D6400" s="181"/>
      <c r="E6400" s="181"/>
      <c r="F6400" s="181"/>
      <c r="G6400" s="181"/>
      <c r="H6400" s="181"/>
      <c r="I6400" s="181"/>
      <c r="J6400" s="181"/>
      <c r="K6400" s="181"/>
      <c r="L6400" s="181"/>
      <c r="M6400" s="181"/>
      <c r="N6400" s="181"/>
      <c r="O6400" s="181"/>
      <c r="P6400" s="181"/>
    </row>
    <row r="6401">
      <c r="B6401" s="292"/>
      <c r="C6401" s="181"/>
      <c r="D6401" s="181"/>
      <c r="E6401" s="181"/>
      <c r="F6401" s="181"/>
      <c r="G6401" s="181"/>
      <c r="H6401" s="181"/>
      <c r="I6401" s="181"/>
      <c r="J6401" s="181"/>
      <c r="K6401" s="181"/>
      <c r="L6401" s="181"/>
      <c r="M6401" s="181"/>
      <c r="N6401" s="181"/>
      <c r="O6401" s="181"/>
      <c r="P6401" s="181"/>
    </row>
    <row r="6402">
      <c r="B6402" s="292"/>
      <c r="C6402" s="181"/>
      <c r="D6402" s="181"/>
      <c r="E6402" s="181"/>
      <c r="F6402" s="181"/>
      <c r="G6402" s="181"/>
      <c r="H6402" s="181"/>
      <c r="I6402" s="181"/>
      <c r="J6402" s="181"/>
      <c r="K6402" s="181"/>
      <c r="L6402" s="181"/>
      <c r="M6402" s="181"/>
      <c r="N6402" s="181"/>
      <c r="O6402" s="181"/>
      <c r="P6402" s="181"/>
    </row>
    <row r="6403">
      <c r="B6403" s="292"/>
      <c r="C6403" s="181"/>
      <c r="D6403" s="181"/>
      <c r="E6403" s="181"/>
      <c r="F6403" s="181"/>
      <c r="G6403" s="181"/>
      <c r="H6403" s="181"/>
      <c r="I6403" s="181"/>
      <c r="J6403" s="181"/>
      <c r="K6403" s="181"/>
      <c r="L6403" s="181"/>
      <c r="M6403" s="181"/>
      <c r="N6403" s="181"/>
      <c r="O6403" s="181"/>
      <c r="P6403" s="181"/>
    </row>
    <row r="6404">
      <c r="B6404" s="292"/>
      <c r="C6404" s="181"/>
      <c r="D6404" s="181"/>
      <c r="E6404" s="181"/>
      <c r="F6404" s="181"/>
      <c r="G6404" s="181"/>
      <c r="H6404" s="181"/>
      <c r="I6404" s="181"/>
      <c r="J6404" s="181"/>
      <c r="K6404" s="181"/>
      <c r="L6404" s="181"/>
      <c r="M6404" s="181"/>
      <c r="N6404" s="181"/>
      <c r="O6404" s="181"/>
      <c r="P6404" s="181"/>
    </row>
    <row r="6405">
      <c r="B6405" s="292"/>
      <c r="C6405" s="181"/>
      <c r="D6405" s="181"/>
      <c r="E6405" s="181"/>
      <c r="F6405" s="181"/>
      <c r="G6405" s="181"/>
      <c r="H6405" s="181"/>
      <c r="I6405" s="181"/>
      <c r="J6405" s="181"/>
      <c r="K6405" s="181"/>
      <c r="L6405" s="181"/>
      <c r="M6405" s="181"/>
      <c r="N6405" s="181"/>
      <c r="O6405" s="181"/>
      <c r="P6405" s="181"/>
    </row>
    <row r="6406">
      <c r="B6406" s="292"/>
      <c r="C6406" s="181"/>
      <c r="D6406" s="181"/>
      <c r="E6406" s="181"/>
      <c r="F6406" s="181"/>
      <c r="G6406" s="181"/>
      <c r="H6406" s="181"/>
      <c r="I6406" s="181"/>
      <c r="J6406" s="181"/>
      <c r="K6406" s="181"/>
      <c r="L6406" s="181"/>
      <c r="M6406" s="181"/>
      <c r="N6406" s="181"/>
      <c r="O6406" s="181"/>
      <c r="P6406" s="181"/>
    </row>
    <row r="6407">
      <c r="B6407" s="292"/>
      <c r="C6407" s="181"/>
      <c r="D6407" s="181"/>
      <c r="E6407" s="181"/>
      <c r="F6407" s="181"/>
      <c r="G6407" s="181"/>
      <c r="H6407" s="181"/>
      <c r="I6407" s="181"/>
      <c r="J6407" s="181"/>
      <c r="K6407" s="181"/>
      <c r="L6407" s="181"/>
      <c r="M6407" s="181"/>
      <c r="N6407" s="181"/>
      <c r="O6407" s="181"/>
      <c r="P6407" s="181"/>
    </row>
    <row r="6408">
      <c r="B6408" s="292"/>
      <c r="C6408" s="181"/>
      <c r="D6408" s="181"/>
      <c r="E6408" s="181"/>
      <c r="F6408" s="181"/>
      <c r="G6408" s="181"/>
      <c r="H6408" s="181"/>
      <c r="I6408" s="181"/>
      <c r="J6408" s="181"/>
      <c r="K6408" s="181"/>
      <c r="L6408" s="181"/>
      <c r="M6408" s="181"/>
      <c r="N6408" s="181"/>
      <c r="O6408" s="181"/>
      <c r="P6408" s="181"/>
    </row>
    <row r="6409">
      <c r="B6409" s="292"/>
      <c r="C6409" s="181"/>
      <c r="D6409" s="181"/>
      <c r="E6409" s="181"/>
      <c r="F6409" s="181"/>
      <c r="G6409" s="181"/>
      <c r="H6409" s="181"/>
      <c r="I6409" s="181"/>
      <c r="J6409" s="181"/>
      <c r="K6409" s="181"/>
      <c r="L6409" s="181"/>
      <c r="M6409" s="181"/>
      <c r="N6409" s="181"/>
      <c r="O6409" s="181"/>
      <c r="P6409" s="181"/>
    </row>
    <row r="6410">
      <c r="B6410" s="292"/>
      <c r="C6410" s="181"/>
      <c r="D6410" s="181"/>
      <c r="E6410" s="181"/>
      <c r="F6410" s="181"/>
      <c r="G6410" s="181"/>
      <c r="H6410" s="181"/>
      <c r="I6410" s="181"/>
      <c r="J6410" s="181"/>
      <c r="K6410" s="181"/>
      <c r="L6410" s="181"/>
      <c r="M6410" s="181"/>
      <c r="N6410" s="181"/>
      <c r="O6410" s="181"/>
      <c r="P6410" s="181"/>
    </row>
    <row r="6411">
      <c r="B6411" s="292"/>
      <c r="C6411" s="181"/>
      <c r="D6411" s="181"/>
      <c r="E6411" s="181"/>
      <c r="F6411" s="181"/>
      <c r="G6411" s="181"/>
      <c r="H6411" s="181"/>
      <c r="I6411" s="181"/>
      <c r="J6411" s="181"/>
      <c r="K6411" s="181"/>
      <c r="L6411" s="181"/>
      <c r="M6411" s="181"/>
      <c r="N6411" s="181"/>
      <c r="O6411" s="181"/>
      <c r="P6411" s="181"/>
    </row>
    <row r="6412">
      <c r="B6412" s="292"/>
      <c r="C6412" s="181"/>
      <c r="D6412" s="181"/>
      <c r="E6412" s="181"/>
      <c r="F6412" s="181"/>
      <c r="G6412" s="181"/>
      <c r="H6412" s="181"/>
      <c r="I6412" s="181"/>
      <c r="J6412" s="181"/>
      <c r="K6412" s="181"/>
      <c r="L6412" s="181"/>
      <c r="M6412" s="181"/>
      <c r="N6412" s="181"/>
      <c r="O6412" s="181"/>
      <c r="P6412" s="181"/>
    </row>
    <row r="6413">
      <c r="B6413" s="292"/>
      <c r="C6413" s="181"/>
      <c r="D6413" s="181"/>
      <c r="E6413" s="181"/>
      <c r="F6413" s="181"/>
      <c r="G6413" s="181"/>
      <c r="H6413" s="181"/>
      <c r="I6413" s="181"/>
      <c r="J6413" s="181"/>
      <c r="K6413" s="181"/>
      <c r="L6413" s="181"/>
      <c r="M6413" s="181"/>
      <c r="N6413" s="181"/>
      <c r="O6413" s="181"/>
      <c r="P6413" s="181"/>
    </row>
    <row r="6414">
      <c r="B6414" s="292"/>
      <c r="C6414" s="181"/>
      <c r="D6414" s="181"/>
      <c r="E6414" s="181"/>
      <c r="F6414" s="181"/>
      <c r="G6414" s="181"/>
      <c r="H6414" s="181"/>
      <c r="I6414" s="181"/>
      <c r="J6414" s="181"/>
      <c r="K6414" s="181"/>
      <c r="L6414" s="181"/>
      <c r="M6414" s="181"/>
      <c r="N6414" s="181"/>
      <c r="O6414" s="181"/>
      <c r="P6414" s="181"/>
    </row>
    <row r="6415">
      <c r="B6415" s="292"/>
      <c r="C6415" s="181"/>
      <c r="D6415" s="181"/>
      <c r="E6415" s="181"/>
      <c r="F6415" s="181"/>
      <c r="G6415" s="181"/>
      <c r="H6415" s="181"/>
      <c r="I6415" s="181"/>
      <c r="J6415" s="181"/>
      <c r="K6415" s="181"/>
      <c r="L6415" s="181"/>
      <c r="M6415" s="181"/>
      <c r="N6415" s="181"/>
      <c r="O6415" s="181"/>
      <c r="P6415" s="181"/>
    </row>
    <row r="6416">
      <c r="B6416" s="292"/>
      <c r="C6416" s="181"/>
      <c r="D6416" s="181"/>
      <c r="E6416" s="181"/>
      <c r="F6416" s="181"/>
      <c r="G6416" s="181"/>
      <c r="H6416" s="181"/>
      <c r="I6416" s="181"/>
      <c r="J6416" s="181"/>
      <c r="K6416" s="181"/>
      <c r="L6416" s="181"/>
      <c r="M6416" s="181"/>
      <c r="N6416" s="181"/>
      <c r="O6416" s="181"/>
      <c r="P6416" s="181"/>
    </row>
    <row r="6417">
      <c r="B6417" s="292"/>
      <c r="C6417" s="181"/>
      <c r="D6417" s="181"/>
      <c r="E6417" s="181"/>
      <c r="F6417" s="181"/>
      <c r="G6417" s="181"/>
      <c r="H6417" s="181"/>
      <c r="I6417" s="181"/>
      <c r="J6417" s="181"/>
      <c r="K6417" s="181"/>
      <c r="L6417" s="181"/>
      <c r="M6417" s="181"/>
      <c r="N6417" s="181"/>
      <c r="O6417" s="181"/>
      <c r="P6417" s="181"/>
    </row>
    <row r="6418">
      <c r="B6418" s="292"/>
      <c r="C6418" s="181"/>
      <c r="D6418" s="181"/>
      <c r="E6418" s="181"/>
      <c r="F6418" s="181"/>
      <c r="G6418" s="181"/>
      <c r="H6418" s="181"/>
      <c r="I6418" s="181"/>
      <c r="J6418" s="181"/>
      <c r="K6418" s="181"/>
      <c r="L6418" s="181"/>
      <c r="M6418" s="181"/>
      <c r="N6418" s="181"/>
      <c r="O6418" s="181"/>
      <c r="P6418" s="181"/>
    </row>
    <row r="6419">
      <c r="B6419" s="292"/>
      <c r="C6419" s="181"/>
      <c r="D6419" s="181"/>
      <c r="E6419" s="181"/>
      <c r="F6419" s="181"/>
      <c r="G6419" s="181"/>
      <c r="H6419" s="181"/>
      <c r="I6419" s="181"/>
      <c r="J6419" s="181"/>
      <c r="K6419" s="181"/>
      <c r="L6419" s="181"/>
      <c r="M6419" s="181"/>
      <c r="N6419" s="181"/>
      <c r="O6419" s="181"/>
      <c r="P6419" s="181"/>
    </row>
    <row r="6420">
      <c r="B6420" s="292"/>
      <c r="C6420" s="181"/>
      <c r="D6420" s="181"/>
      <c r="E6420" s="181"/>
      <c r="F6420" s="181"/>
      <c r="G6420" s="181"/>
      <c r="H6420" s="181"/>
      <c r="I6420" s="181"/>
      <c r="J6420" s="181"/>
      <c r="K6420" s="181"/>
      <c r="L6420" s="181"/>
      <c r="M6420" s="181"/>
      <c r="N6420" s="181"/>
      <c r="O6420" s="181"/>
      <c r="P6420" s="181"/>
    </row>
    <row r="6421">
      <c r="B6421" s="292"/>
      <c r="C6421" s="181"/>
      <c r="D6421" s="181"/>
      <c r="E6421" s="181"/>
      <c r="F6421" s="181"/>
      <c r="G6421" s="181"/>
      <c r="H6421" s="181"/>
      <c r="I6421" s="181"/>
      <c r="J6421" s="181"/>
      <c r="K6421" s="181"/>
      <c r="L6421" s="181"/>
      <c r="M6421" s="181"/>
      <c r="N6421" s="181"/>
      <c r="O6421" s="181"/>
      <c r="P6421" s="181"/>
    </row>
    <row r="6422">
      <c r="B6422" s="292"/>
      <c r="C6422" s="181"/>
      <c r="D6422" s="181"/>
      <c r="E6422" s="181"/>
      <c r="F6422" s="181"/>
      <c r="G6422" s="181"/>
      <c r="H6422" s="181"/>
      <c r="I6422" s="181"/>
      <c r="J6422" s="181"/>
      <c r="K6422" s="181"/>
      <c r="L6422" s="181"/>
      <c r="M6422" s="181"/>
      <c r="N6422" s="181"/>
      <c r="O6422" s="181"/>
      <c r="P6422" s="181"/>
    </row>
    <row r="6423">
      <c r="B6423" s="292"/>
      <c r="C6423" s="181"/>
      <c r="D6423" s="181"/>
      <c r="E6423" s="181"/>
      <c r="F6423" s="181"/>
      <c r="G6423" s="181"/>
      <c r="H6423" s="181"/>
      <c r="I6423" s="181"/>
      <c r="J6423" s="181"/>
      <c r="K6423" s="181"/>
      <c r="L6423" s="181"/>
      <c r="M6423" s="181"/>
      <c r="N6423" s="181"/>
      <c r="O6423" s="181"/>
      <c r="P6423" s="181"/>
    </row>
    <row r="6424">
      <c r="B6424" s="292"/>
      <c r="C6424" s="181"/>
      <c r="D6424" s="181"/>
      <c r="E6424" s="181"/>
      <c r="F6424" s="181"/>
      <c r="G6424" s="181"/>
      <c r="H6424" s="181"/>
      <c r="I6424" s="181"/>
      <c r="J6424" s="181"/>
      <c r="K6424" s="181"/>
      <c r="L6424" s="181"/>
      <c r="M6424" s="181"/>
      <c r="N6424" s="181"/>
      <c r="O6424" s="181"/>
      <c r="P6424" s="181"/>
    </row>
    <row r="6425">
      <c r="B6425" s="292"/>
      <c r="C6425" s="181"/>
      <c r="D6425" s="181"/>
      <c r="E6425" s="181"/>
      <c r="F6425" s="181"/>
      <c r="G6425" s="181"/>
      <c r="H6425" s="181"/>
      <c r="I6425" s="181"/>
      <c r="J6425" s="181"/>
      <c r="K6425" s="181"/>
      <c r="L6425" s="181"/>
      <c r="M6425" s="181"/>
      <c r="N6425" s="181"/>
      <c r="O6425" s="181"/>
      <c r="P6425" s="181"/>
    </row>
    <row r="6426">
      <c r="B6426" s="292"/>
      <c r="C6426" s="181"/>
      <c r="D6426" s="181"/>
      <c r="E6426" s="181"/>
      <c r="F6426" s="181"/>
      <c r="G6426" s="181"/>
      <c r="H6426" s="181"/>
      <c r="I6426" s="181"/>
      <c r="J6426" s="181"/>
      <c r="K6426" s="181"/>
      <c r="L6426" s="181"/>
      <c r="M6426" s="181"/>
      <c r="N6426" s="181"/>
      <c r="O6426" s="181"/>
      <c r="P6426" s="181"/>
    </row>
    <row r="6427">
      <c r="B6427" s="292"/>
      <c r="C6427" s="181"/>
      <c r="D6427" s="181"/>
      <c r="E6427" s="181"/>
      <c r="F6427" s="181"/>
      <c r="G6427" s="181"/>
      <c r="H6427" s="181"/>
      <c r="I6427" s="181"/>
      <c r="J6427" s="181"/>
      <c r="K6427" s="181"/>
      <c r="L6427" s="181"/>
      <c r="M6427" s="181"/>
      <c r="N6427" s="181"/>
      <c r="O6427" s="181"/>
      <c r="P6427" s="181"/>
    </row>
    <row r="6428">
      <c r="B6428" s="292"/>
      <c r="C6428" s="181"/>
      <c r="D6428" s="181"/>
      <c r="E6428" s="181"/>
      <c r="F6428" s="181"/>
      <c r="G6428" s="181"/>
      <c r="H6428" s="181"/>
      <c r="I6428" s="181"/>
      <c r="J6428" s="181"/>
      <c r="K6428" s="181"/>
      <c r="L6428" s="181"/>
      <c r="M6428" s="181"/>
      <c r="N6428" s="181"/>
      <c r="O6428" s="181"/>
      <c r="P6428" s="181"/>
    </row>
    <row r="6429">
      <c r="B6429" s="292"/>
      <c r="C6429" s="181"/>
      <c r="D6429" s="181"/>
      <c r="E6429" s="181"/>
      <c r="F6429" s="181"/>
      <c r="G6429" s="181"/>
      <c r="H6429" s="181"/>
      <c r="I6429" s="181"/>
      <c r="J6429" s="181"/>
      <c r="K6429" s="181"/>
      <c r="L6429" s="181"/>
      <c r="M6429" s="181"/>
      <c r="N6429" s="181"/>
      <c r="O6429" s="181"/>
      <c r="P6429" s="181"/>
    </row>
    <row r="6430">
      <c r="B6430" s="292"/>
      <c r="C6430" s="181"/>
      <c r="D6430" s="181"/>
      <c r="E6430" s="181"/>
      <c r="F6430" s="181"/>
      <c r="G6430" s="181"/>
      <c r="H6430" s="181"/>
      <c r="I6430" s="181"/>
      <c r="J6430" s="181"/>
      <c r="K6430" s="181"/>
      <c r="L6430" s="181"/>
      <c r="M6430" s="181"/>
      <c r="N6430" s="181"/>
      <c r="O6430" s="181"/>
      <c r="P6430" s="181"/>
    </row>
    <row r="6431">
      <c r="B6431" s="292"/>
      <c r="C6431" s="181"/>
      <c r="D6431" s="181"/>
      <c r="E6431" s="181"/>
      <c r="F6431" s="181"/>
      <c r="G6431" s="181"/>
      <c r="H6431" s="181"/>
      <c r="I6431" s="181"/>
      <c r="J6431" s="181"/>
      <c r="K6431" s="181"/>
      <c r="L6431" s="181"/>
      <c r="M6431" s="181"/>
      <c r="N6431" s="181"/>
      <c r="O6431" s="181"/>
      <c r="P6431" s="181"/>
    </row>
    <row r="6432">
      <c r="B6432" s="292"/>
      <c r="C6432" s="181"/>
      <c r="D6432" s="181"/>
      <c r="E6432" s="181"/>
      <c r="F6432" s="181"/>
      <c r="G6432" s="181"/>
      <c r="H6432" s="181"/>
      <c r="I6432" s="181"/>
      <c r="J6432" s="181"/>
      <c r="K6432" s="181"/>
      <c r="L6432" s="181"/>
      <c r="M6432" s="181"/>
      <c r="N6432" s="181"/>
      <c r="O6432" s="181"/>
      <c r="P6432" s="181"/>
    </row>
    <row r="6433">
      <c r="B6433" s="292"/>
      <c r="C6433" s="181"/>
      <c r="D6433" s="181"/>
      <c r="E6433" s="181"/>
      <c r="F6433" s="181"/>
      <c r="G6433" s="181"/>
      <c r="H6433" s="181"/>
      <c r="I6433" s="181"/>
      <c r="J6433" s="181"/>
      <c r="K6433" s="181"/>
      <c r="L6433" s="181"/>
      <c r="M6433" s="181"/>
      <c r="N6433" s="181"/>
      <c r="O6433" s="181"/>
      <c r="P6433" s="181"/>
    </row>
    <row r="6434">
      <c r="B6434" s="292"/>
      <c r="C6434" s="181"/>
      <c r="D6434" s="181"/>
      <c r="E6434" s="181"/>
      <c r="F6434" s="181"/>
      <c r="G6434" s="181"/>
      <c r="H6434" s="181"/>
      <c r="I6434" s="181"/>
      <c r="J6434" s="181"/>
      <c r="K6434" s="181"/>
      <c r="L6434" s="181"/>
      <c r="M6434" s="181"/>
      <c r="N6434" s="181"/>
      <c r="O6434" s="181"/>
      <c r="P6434" s="181"/>
    </row>
    <row r="6435">
      <c r="B6435" s="292"/>
      <c r="C6435" s="181"/>
      <c r="D6435" s="181"/>
      <c r="E6435" s="181"/>
      <c r="F6435" s="181"/>
      <c r="G6435" s="181"/>
      <c r="H6435" s="181"/>
      <c r="I6435" s="181"/>
      <c r="J6435" s="181"/>
      <c r="K6435" s="181"/>
      <c r="L6435" s="181"/>
      <c r="M6435" s="181"/>
      <c r="N6435" s="181"/>
      <c r="O6435" s="181"/>
      <c r="P6435" s="181"/>
    </row>
    <row r="6436">
      <c r="B6436" s="292"/>
      <c r="C6436" s="181"/>
      <c r="D6436" s="181"/>
      <c r="E6436" s="181"/>
      <c r="F6436" s="181"/>
      <c r="G6436" s="181"/>
      <c r="H6436" s="181"/>
      <c r="I6436" s="181"/>
      <c r="J6436" s="181"/>
      <c r="K6436" s="181"/>
      <c r="L6436" s="181"/>
      <c r="M6436" s="181"/>
      <c r="N6436" s="181"/>
      <c r="O6436" s="181"/>
      <c r="P6436" s="181"/>
    </row>
    <row r="6437">
      <c r="B6437" s="292"/>
      <c r="C6437" s="181"/>
      <c r="D6437" s="181"/>
      <c r="E6437" s="181"/>
      <c r="F6437" s="181"/>
      <c r="G6437" s="181"/>
      <c r="H6437" s="181"/>
      <c r="I6437" s="181"/>
      <c r="J6437" s="181"/>
      <c r="K6437" s="181"/>
      <c r="L6437" s="181"/>
      <c r="M6437" s="181"/>
      <c r="N6437" s="181"/>
      <c r="O6437" s="181"/>
      <c r="P6437" s="181"/>
    </row>
    <row r="6438">
      <c r="B6438" s="292"/>
      <c r="C6438" s="181"/>
      <c r="D6438" s="181"/>
      <c r="E6438" s="181"/>
      <c r="F6438" s="181"/>
      <c r="G6438" s="181"/>
      <c r="H6438" s="181"/>
      <c r="I6438" s="181"/>
      <c r="J6438" s="181"/>
      <c r="K6438" s="181"/>
      <c r="L6438" s="181"/>
      <c r="M6438" s="181"/>
      <c r="N6438" s="181"/>
      <c r="O6438" s="181"/>
      <c r="P6438" s="181"/>
    </row>
    <row r="6439">
      <c r="B6439" s="292"/>
      <c r="C6439" s="181"/>
      <c r="D6439" s="181"/>
      <c r="E6439" s="181"/>
      <c r="F6439" s="181"/>
      <c r="G6439" s="181"/>
      <c r="H6439" s="181"/>
      <c r="I6439" s="181"/>
      <c r="J6439" s="181"/>
      <c r="K6439" s="181"/>
      <c r="L6439" s="181"/>
      <c r="M6439" s="181"/>
      <c r="N6439" s="181"/>
      <c r="O6439" s="181"/>
      <c r="P6439" s="181"/>
    </row>
    <row r="6440">
      <c r="B6440" s="292"/>
      <c r="C6440" s="181"/>
      <c r="D6440" s="181"/>
      <c r="E6440" s="181"/>
      <c r="F6440" s="181"/>
      <c r="G6440" s="181"/>
      <c r="H6440" s="181"/>
      <c r="I6440" s="181"/>
      <c r="J6440" s="181"/>
      <c r="K6440" s="181"/>
      <c r="L6440" s="181"/>
      <c r="M6440" s="181"/>
      <c r="N6440" s="181"/>
      <c r="O6440" s="181"/>
      <c r="P6440" s="181"/>
    </row>
    <row r="6441">
      <c r="B6441" s="292"/>
      <c r="C6441" s="181"/>
      <c r="D6441" s="181"/>
      <c r="E6441" s="181"/>
      <c r="F6441" s="181"/>
      <c r="G6441" s="181"/>
      <c r="H6441" s="181"/>
      <c r="I6441" s="181"/>
      <c r="J6441" s="181"/>
      <c r="K6441" s="181"/>
      <c r="L6441" s="181"/>
      <c r="M6441" s="181"/>
      <c r="N6441" s="181"/>
      <c r="O6441" s="181"/>
      <c r="P6441" s="181"/>
    </row>
    <row r="6442">
      <c r="B6442" s="292"/>
      <c r="C6442" s="181"/>
      <c r="D6442" s="181"/>
      <c r="E6442" s="181"/>
      <c r="F6442" s="181"/>
      <c r="G6442" s="181"/>
      <c r="H6442" s="181"/>
      <c r="I6442" s="181"/>
      <c r="J6442" s="181"/>
      <c r="K6442" s="181"/>
      <c r="L6442" s="181"/>
      <c r="M6442" s="181"/>
      <c r="N6442" s="181"/>
      <c r="O6442" s="181"/>
      <c r="P6442" s="181"/>
    </row>
    <row r="6443">
      <c r="B6443" s="292"/>
      <c r="C6443" s="181"/>
      <c r="D6443" s="181"/>
      <c r="E6443" s="181"/>
      <c r="F6443" s="181"/>
      <c r="G6443" s="181"/>
      <c r="H6443" s="181"/>
      <c r="I6443" s="181"/>
      <c r="J6443" s="181"/>
      <c r="K6443" s="181"/>
      <c r="L6443" s="181"/>
      <c r="M6443" s="181"/>
      <c r="N6443" s="181"/>
      <c r="O6443" s="181"/>
      <c r="P6443" s="181"/>
    </row>
    <row r="6444">
      <c r="B6444" s="292"/>
      <c r="C6444" s="181"/>
      <c r="D6444" s="181"/>
      <c r="E6444" s="181"/>
      <c r="F6444" s="181"/>
      <c r="G6444" s="181"/>
      <c r="H6444" s="181"/>
      <c r="I6444" s="181"/>
      <c r="J6444" s="181"/>
      <c r="K6444" s="181"/>
      <c r="L6444" s="181"/>
      <c r="M6444" s="181"/>
      <c r="N6444" s="181"/>
      <c r="O6444" s="181"/>
      <c r="P6444" s="181"/>
    </row>
    <row r="6445">
      <c r="B6445" s="292"/>
      <c r="C6445" s="181"/>
      <c r="D6445" s="181"/>
      <c r="E6445" s="181"/>
      <c r="F6445" s="181"/>
      <c r="G6445" s="181"/>
      <c r="H6445" s="181"/>
      <c r="I6445" s="181"/>
      <c r="J6445" s="181"/>
      <c r="K6445" s="181"/>
      <c r="L6445" s="181"/>
      <c r="M6445" s="181"/>
      <c r="N6445" s="181"/>
      <c r="O6445" s="181"/>
      <c r="P6445" s="181"/>
    </row>
    <row r="6446">
      <c r="B6446" s="292"/>
      <c r="C6446" s="181"/>
      <c r="D6446" s="181"/>
      <c r="E6446" s="181"/>
      <c r="F6446" s="181"/>
      <c r="G6446" s="181"/>
      <c r="H6446" s="181"/>
      <c r="I6446" s="181"/>
      <c r="J6446" s="181"/>
      <c r="K6446" s="181"/>
      <c r="L6446" s="181"/>
      <c r="M6446" s="181"/>
      <c r="N6446" s="181"/>
      <c r="O6446" s="181"/>
      <c r="P6446" s="181"/>
    </row>
    <row r="6447">
      <c r="B6447" s="292"/>
      <c r="C6447" s="181"/>
      <c r="D6447" s="181"/>
      <c r="E6447" s="181"/>
      <c r="F6447" s="181"/>
      <c r="G6447" s="181"/>
      <c r="H6447" s="181"/>
      <c r="I6447" s="181"/>
      <c r="J6447" s="181"/>
      <c r="K6447" s="181"/>
      <c r="L6447" s="181"/>
      <c r="M6447" s="181"/>
      <c r="N6447" s="181"/>
      <c r="O6447" s="181"/>
      <c r="P6447" s="181"/>
    </row>
    <row r="6448">
      <c r="B6448" s="292"/>
      <c r="C6448" s="181"/>
      <c r="D6448" s="181"/>
      <c r="E6448" s="181"/>
      <c r="F6448" s="181"/>
      <c r="G6448" s="181"/>
      <c r="H6448" s="181"/>
      <c r="I6448" s="181"/>
      <c r="J6448" s="181"/>
      <c r="K6448" s="181"/>
      <c r="L6448" s="181"/>
      <c r="M6448" s="181"/>
      <c r="N6448" s="181"/>
      <c r="O6448" s="181"/>
      <c r="P6448" s="181"/>
    </row>
    <row r="6449">
      <c r="B6449" s="292"/>
      <c r="C6449" s="181"/>
      <c r="D6449" s="181"/>
      <c r="E6449" s="181"/>
      <c r="F6449" s="181"/>
      <c r="G6449" s="181"/>
      <c r="H6449" s="181"/>
      <c r="I6449" s="181"/>
      <c r="J6449" s="181"/>
      <c r="K6449" s="181"/>
      <c r="L6449" s="181"/>
      <c r="M6449" s="181"/>
      <c r="N6449" s="181"/>
      <c r="O6449" s="181"/>
      <c r="P6449" s="181"/>
    </row>
    <row r="6450">
      <c r="B6450" s="292"/>
      <c r="C6450" s="181"/>
      <c r="D6450" s="181"/>
      <c r="E6450" s="181"/>
      <c r="F6450" s="181"/>
      <c r="G6450" s="181"/>
      <c r="H6450" s="181"/>
      <c r="I6450" s="181"/>
      <c r="J6450" s="181"/>
      <c r="K6450" s="181"/>
      <c r="L6450" s="181"/>
      <c r="M6450" s="181"/>
      <c r="N6450" s="181"/>
      <c r="O6450" s="181"/>
      <c r="P6450" s="181"/>
    </row>
    <row r="6451">
      <c r="B6451" s="292"/>
      <c r="C6451" s="181"/>
      <c r="D6451" s="181"/>
      <c r="E6451" s="181"/>
      <c r="F6451" s="181"/>
      <c r="G6451" s="181"/>
      <c r="H6451" s="181"/>
      <c r="I6451" s="181"/>
      <c r="J6451" s="181"/>
      <c r="K6451" s="181"/>
      <c r="L6451" s="181"/>
      <c r="M6451" s="181"/>
      <c r="N6451" s="181"/>
      <c r="O6451" s="181"/>
      <c r="P6451" s="181"/>
    </row>
    <row r="6452">
      <c r="B6452" s="292"/>
      <c r="C6452" s="181"/>
      <c r="D6452" s="181"/>
      <c r="E6452" s="181"/>
      <c r="F6452" s="181"/>
      <c r="G6452" s="181"/>
      <c r="H6452" s="181"/>
      <c r="I6452" s="181"/>
      <c r="J6452" s="181"/>
      <c r="K6452" s="181"/>
      <c r="L6452" s="181"/>
      <c r="M6452" s="181"/>
      <c r="N6452" s="181"/>
      <c r="O6452" s="181"/>
      <c r="P6452" s="181"/>
    </row>
    <row r="6453">
      <c r="B6453" s="292"/>
      <c r="C6453" s="181"/>
      <c r="D6453" s="181"/>
      <c r="E6453" s="181"/>
      <c r="F6453" s="181"/>
      <c r="G6453" s="181"/>
      <c r="H6453" s="181"/>
      <c r="I6453" s="181"/>
      <c r="J6453" s="181"/>
      <c r="K6453" s="181"/>
      <c r="L6453" s="181"/>
      <c r="M6453" s="181"/>
      <c r="N6453" s="181"/>
      <c r="O6453" s="181"/>
      <c r="P6453" s="181"/>
    </row>
    <row r="6454">
      <c r="B6454" s="292"/>
      <c r="C6454" s="181"/>
      <c r="D6454" s="181"/>
      <c r="E6454" s="181"/>
      <c r="F6454" s="181"/>
      <c r="G6454" s="181"/>
      <c r="H6454" s="181"/>
      <c r="I6454" s="181"/>
      <c r="J6454" s="181"/>
      <c r="K6454" s="181"/>
      <c r="L6454" s="181"/>
      <c r="M6454" s="181"/>
      <c r="N6454" s="181"/>
      <c r="O6454" s="181"/>
      <c r="P6454" s="181"/>
    </row>
    <row r="6455">
      <c r="B6455" s="292"/>
      <c r="C6455" s="181"/>
      <c r="D6455" s="181"/>
      <c r="E6455" s="181"/>
      <c r="F6455" s="181"/>
      <c r="G6455" s="181"/>
      <c r="H6455" s="181"/>
      <c r="I6455" s="181"/>
      <c r="J6455" s="181"/>
      <c r="K6455" s="181"/>
      <c r="L6455" s="181"/>
      <c r="M6455" s="181"/>
      <c r="N6455" s="181"/>
      <c r="O6455" s="181"/>
      <c r="P6455" s="181"/>
    </row>
    <row r="6456">
      <c r="B6456" s="292"/>
      <c r="C6456" s="181"/>
      <c r="D6456" s="181"/>
      <c r="E6456" s="181"/>
      <c r="F6456" s="181"/>
      <c r="G6456" s="181"/>
      <c r="H6456" s="181"/>
      <c r="I6456" s="181"/>
      <c r="J6456" s="181"/>
      <c r="K6456" s="181"/>
      <c r="L6456" s="181"/>
      <c r="M6456" s="181"/>
      <c r="N6456" s="181"/>
      <c r="O6456" s="181"/>
      <c r="P6456" s="181"/>
    </row>
    <row r="6457">
      <c r="B6457" s="292"/>
      <c r="C6457" s="181"/>
      <c r="D6457" s="181"/>
      <c r="E6457" s="181"/>
      <c r="F6457" s="181"/>
      <c r="G6457" s="181"/>
      <c r="H6457" s="181"/>
      <c r="I6457" s="181"/>
      <c r="J6457" s="181"/>
      <c r="K6457" s="181"/>
      <c r="L6457" s="181"/>
      <c r="M6457" s="181"/>
      <c r="N6457" s="181"/>
      <c r="O6457" s="181"/>
      <c r="P6457" s="181"/>
    </row>
    <row r="6458">
      <c r="B6458" s="292"/>
      <c r="C6458" s="181"/>
      <c r="D6458" s="181"/>
      <c r="E6458" s="181"/>
      <c r="F6458" s="181"/>
      <c r="G6458" s="181"/>
      <c r="H6458" s="181"/>
      <c r="I6458" s="181"/>
      <c r="J6458" s="181"/>
      <c r="K6458" s="181"/>
      <c r="L6458" s="181"/>
      <c r="M6458" s="181"/>
      <c r="N6458" s="181"/>
      <c r="O6458" s="181"/>
      <c r="P6458" s="181"/>
    </row>
    <row r="6459">
      <c r="B6459" s="292"/>
      <c r="C6459" s="181"/>
      <c r="D6459" s="181"/>
      <c r="E6459" s="181"/>
      <c r="F6459" s="181"/>
      <c r="G6459" s="181"/>
      <c r="H6459" s="181"/>
      <c r="I6459" s="181"/>
      <c r="J6459" s="181"/>
      <c r="K6459" s="181"/>
      <c r="L6459" s="181"/>
      <c r="M6459" s="181"/>
      <c r="N6459" s="181"/>
      <c r="O6459" s="181"/>
      <c r="P6459" s="181"/>
    </row>
    <row r="6460">
      <c r="B6460" s="292"/>
      <c r="C6460" s="181"/>
      <c r="D6460" s="181"/>
      <c r="E6460" s="181"/>
      <c r="F6460" s="181"/>
      <c r="G6460" s="181"/>
      <c r="H6460" s="181"/>
      <c r="I6460" s="181"/>
      <c r="J6460" s="181"/>
      <c r="K6460" s="181"/>
      <c r="L6460" s="181"/>
      <c r="M6460" s="181"/>
      <c r="N6460" s="181"/>
      <c r="O6460" s="181"/>
      <c r="P6460" s="181"/>
    </row>
    <row r="6461">
      <c r="B6461" s="292"/>
      <c r="C6461" s="181"/>
      <c r="D6461" s="181"/>
      <c r="E6461" s="181"/>
      <c r="F6461" s="181"/>
      <c r="G6461" s="181"/>
      <c r="H6461" s="181"/>
      <c r="I6461" s="181"/>
      <c r="J6461" s="181"/>
      <c r="K6461" s="181"/>
      <c r="L6461" s="181"/>
      <c r="M6461" s="181"/>
      <c r="N6461" s="181"/>
      <c r="O6461" s="181"/>
      <c r="P6461" s="181"/>
    </row>
    <row r="6462">
      <c r="B6462" s="292"/>
      <c r="C6462" s="181"/>
      <c r="D6462" s="181"/>
      <c r="E6462" s="181"/>
      <c r="F6462" s="181"/>
      <c r="G6462" s="181"/>
      <c r="H6462" s="181"/>
      <c r="I6462" s="181"/>
      <c r="J6462" s="181"/>
      <c r="K6462" s="181"/>
      <c r="L6462" s="181"/>
      <c r="M6462" s="181"/>
      <c r="N6462" s="181"/>
      <c r="O6462" s="181"/>
      <c r="P6462" s="181"/>
    </row>
    <row r="6463">
      <c r="B6463" s="292"/>
      <c r="C6463" s="181"/>
      <c r="D6463" s="181"/>
      <c r="E6463" s="181"/>
      <c r="F6463" s="181"/>
      <c r="G6463" s="181"/>
      <c r="H6463" s="181"/>
      <c r="I6463" s="181"/>
      <c r="J6463" s="181"/>
      <c r="K6463" s="181"/>
      <c r="L6463" s="181"/>
      <c r="M6463" s="181"/>
      <c r="N6463" s="181"/>
      <c r="O6463" s="181"/>
      <c r="P6463" s="181"/>
    </row>
    <row r="6464">
      <c r="B6464" s="292"/>
      <c r="C6464" s="181"/>
      <c r="D6464" s="181"/>
      <c r="E6464" s="181"/>
      <c r="F6464" s="181"/>
      <c r="G6464" s="181"/>
      <c r="H6464" s="181"/>
      <c r="I6464" s="181"/>
      <c r="J6464" s="181"/>
      <c r="K6464" s="181"/>
      <c r="L6464" s="181"/>
      <c r="M6464" s="181"/>
      <c r="N6464" s="181"/>
      <c r="O6464" s="181"/>
      <c r="P6464" s="181"/>
    </row>
    <row r="6465">
      <c r="B6465" s="292"/>
      <c r="C6465" s="181"/>
      <c r="D6465" s="181"/>
      <c r="E6465" s="181"/>
      <c r="F6465" s="181"/>
      <c r="G6465" s="181"/>
      <c r="H6465" s="181"/>
      <c r="I6465" s="181"/>
      <c r="J6465" s="181"/>
      <c r="K6465" s="181"/>
      <c r="L6465" s="181"/>
      <c r="M6465" s="181"/>
      <c r="N6465" s="181"/>
      <c r="O6465" s="181"/>
      <c r="P6465" s="181"/>
    </row>
    <row r="6466">
      <c r="B6466" s="292"/>
      <c r="C6466" s="181"/>
      <c r="D6466" s="181"/>
      <c r="E6466" s="181"/>
      <c r="F6466" s="181"/>
      <c r="G6466" s="181"/>
      <c r="H6466" s="181"/>
      <c r="I6466" s="181"/>
      <c r="J6466" s="181"/>
      <c r="K6466" s="181"/>
      <c r="L6466" s="181"/>
      <c r="M6466" s="181"/>
      <c r="N6466" s="181"/>
      <c r="O6466" s="181"/>
      <c r="P6466" s="181"/>
    </row>
    <row r="6467">
      <c r="B6467" s="292"/>
      <c r="C6467" s="181"/>
      <c r="D6467" s="181"/>
      <c r="E6467" s="181"/>
      <c r="F6467" s="181"/>
      <c r="G6467" s="181"/>
      <c r="H6467" s="181"/>
      <c r="I6467" s="181"/>
      <c r="J6467" s="181"/>
      <c r="K6467" s="181"/>
      <c r="L6467" s="181"/>
      <c r="M6467" s="181"/>
      <c r="N6467" s="181"/>
      <c r="O6467" s="181"/>
      <c r="P6467" s="181"/>
    </row>
    <row r="6468">
      <c r="B6468" s="292"/>
      <c r="C6468" s="181"/>
      <c r="D6468" s="181"/>
      <c r="E6468" s="181"/>
      <c r="F6468" s="181"/>
      <c r="G6468" s="181"/>
      <c r="H6468" s="181"/>
      <c r="I6468" s="181"/>
      <c r="J6468" s="181"/>
      <c r="K6468" s="181"/>
      <c r="L6468" s="181"/>
      <c r="M6468" s="181"/>
      <c r="N6468" s="181"/>
      <c r="O6468" s="181"/>
      <c r="P6468" s="181"/>
    </row>
    <row r="6469">
      <c r="B6469" s="292"/>
      <c r="C6469" s="181"/>
      <c r="D6469" s="181"/>
      <c r="E6469" s="181"/>
      <c r="F6469" s="181"/>
      <c r="G6469" s="181"/>
      <c r="H6469" s="181"/>
      <c r="I6469" s="181"/>
      <c r="J6469" s="181"/>
      <c r="K6469" s="181"/>
      <c r="L6469" s="181"/>
      <c r="M6469" s="181"/>
      <c r="N6469" s="181"/>
      <c r="O6469" s="181"/>
      <c r="P6469" s="181"/>
    </row>
    <row r="6470">
      <c r="B6470" s="292"/>
      <c r="C6470" s="181"/>
      <c r="D6470" s="181"/>
      <c r="E6470" s="181"/>
      <c r="F6470" s="181"/>
      <c r="G6470" s="181"/>
      <c r="H6470" s="181"/>
      <c r="I6470" s="181"/>
      <c r="J6470" s="181"/>
      <c r="K6470" s="181"/>
      <c r="L6470" s="181"/>
      <c r="M6470" s="181"/>
      <c r="N6470" s="181"/>
      <c r="O6470" s="181"/>
      <c r="P6470" s="181"/>
    </row>
    <row r="6471">
      <c r="B6471" s="292"/>
      <c r="C6471" s="181"/>
      <c r="D6471" s="181"/>
      <c r="E6471" s="181"/>
      <c r="F6471" s="181"/>
      <c r="G6471" s="181"/>
      <c r="H6471" s="181"/>
      <c r="I6471" s="181"/>
      <c r="J6471" s="181"/>
      <c r="K6471" s="181"/>
      <c r="L6471" s="181"/>
      <c r="M6471" s="181"/>
      <c r="N6471" s="181"/>
      <c r="O6471" s="181"/>
      <c r="P6471" s="181"/>
    </row>
    <row r="6472">
      <c r="B6472" s="292"/>
      <c r="C6472" s="181"/>
      <c r="D6472" s="181"/>
      <c r="E6472" s="181"/>
      <c r="F6472" s="181"/>
      <c r="G6472" s="181"/>
      <c r="H6472" s="181"/>
      <c r="I6472" s="181"/>
      <c r="J6472" s="181"/>
      <c r="K6472" s="181"/>
      <c r="L6472" s="181"/>
      <c r="M6472" s="181"/>
      <c r="N6472" s="181"/>
      <c r="O6472" s="181"/>
      <c r="P6472" s="181"/>
    </row>
    <row r="6473">
      <c r="B6473" s="292"/>
      <c r="C6473" s="181"/>
      <c r="D6473" s="181"/>
      <c r="E6473" s="181"/>
      <c r="F6473" s="181"/>
      <c r="G6473" s="181"/>
      <c r="H6473" s="181"/>
      <c r="I6473" s="181"/>
      <c r="J6473" s="181"/>
      <c r="K6473" s="181"/>
      <c r="L6473" s="181"/>
      <c r="M6473" s="181"/>
      <c r="N6473" s="181"/>
      <c r="O6473" s="181"/>
      <c r="P6473" s="181"/>
    </row>
    <row r="6474">
      <c r="B6474" s="292"/>
      <c r="C6474" s="181"/>
      <c r="D6474" s="181"/>
      <c r="E6474" s="181"/>
      <c r="F6474" s="181"/>
      <c r="G6474" s="181"/>
      <c r="H6474" s="181"/>
      <c r="I6474" s="181"/>
      <c r="J6474" s="181"/>
      <c r="K6474" s="181"/>
      <c r="L6474" s="181"/>
      <c r="M6474" s="181"/>
      <c r="N6474" s="181"/>
      <c r="O6474" s="181"/>
      <c r="P6474" s="181"/>
    </row>
    <row r="6475">
      <c r="B6475" s="292"/>
      <c r="C6475" s="181"/>
      <c r="D6475" s="181"/>
      <c r="E6475" s="181"/>
      <c r="F6475" s="181"/>
      <c r="G6475" s="181"/>
      <c r="H6475" s="181"/>
      <c r="I6475" s="181"/>
      <c r="J6475" s="181"/>
      <c r="K6475" s="181"/>
      <c r="L6475" s="181"/>
      <c r="M6475" s="181"/>
      <c r="N6475" s="181"/>
      <c r="O6475" s="181"/>
      <c r="P6475" s="181"/>
    </row>
    <row r="6476">
      <c r="B6476" s="292"/>
      <c r="C6476" s="181"/>
      <c r="D6476" s="181"/>
      <c r="E6476" s="181"/>
      <c r="F6476" s="181"/>
      <c r="G6476" s="181"/>
      <c r="H6476" s="181"/>
      <c r="I6476" s="181"/>
      <c r="J6476" s="181"/>
      <c r="K6476" s="181"/>
      <c r="L6476" s="181"/>
      <c r="M6476" s="181"/>
      <c r="N6476" s="181"/>
      <c r="O6476" s="181"/>
      <c r="P6476" s="181"/>
    </row>
    <row r="6477">
      <c r="B6477" s="292"/>
      <c r="C6477" s="181"/>
      <c r="D6477" s="181"/>
      <c r="E6477" s="181"/>
      <c r="F6477" s="181"/>
      <c r="G6477" s="181"/>
      <c r="H6477" s="181"/>
      <c r="I6477" s="181"/>
      <c r="J6477" s="181"/>
      <c r="K6477" s="181"/>
      <c r="L6477" s="181"/>
      <c r="M6477" s="181"/>
      <c r="N6477" s="181"/>
      <c r="O6477" s="181"/>
      <c r="P6477" s="181"/>
    </row>
    <row r="6478">
      <c r="B6478" s="292"/>
      <c r="C6478" s="181"/>
      <c r="D6478" s="181"/>
      <c r="E6478" s="181"/>
      <c r="F6478" s="181"/>
      <c r="G6478" s="181"/>
      <c r="H6478" s="181"/>
      <c r="I6478" s="181"/>
      <c r="J6478" s="181"/>
      <c r="K6478" s="181"/>
      <c r="L6478" s="181"/>
      <c r="M6478" s="181"/>
      <c r="N6478" s="181"/>
      <c r="O6478" s="181"/>
      <c r="P6478" s="181"/>
    </row>
    <row r="6479">
      <c r="B6479" s="292"/>
      <c r="C6479" s="181"/>
      <c r="D6479" s="181"/>
      <c r="E6479" s="181"/>
      <c r="F6479" s="181"/>
      <c r="G6479" s="181"/>
      <c r="H6479" s="181"/>
      <c r="I6479" s="181"/>
      <c r="J6479" s="181"/>
      <c r="K6479" s="181"/>
      <c r="L6479" s="181"/>
      <c r="M6479" s="181"/>
      <c r="N6479" s="181"/>
      <c r="O6479" s="181"/>
      <c r="P6479" s="181"/>
    </row>
    <row r="6480">
      <c r="B6480" s="292"/>
      <c r="C6480" s="181"/>
      <c r="D6480" s="181"/>
      <c r="E6480" s="181"/>
      <c r="F6480" s="181"/>
      <c r="G6480" s="181"/>
      <c r="H6480" s="181"/>
      <c r="I6480" s="181"/>
      <c r="J6480" s="181"/>
      <c r="K6480" s="181"/>
      <c r="L6480" s="181"/>
      <c r="M6480" s="181"/>
      <c r="N6480" s="181"/>
      <c r="O6480" s="181"/>
      <c r="P6480" s="181"/>
    </row>
    <row r="6481">
      <c r="B6481" s="292"/>
      <c r="C6481" s="181"/>
      <c r="D6481" s="181"/>
      <c r="E6481" s="181"/>
      <c r="F6481" s="181"/>
      <c r="G6481" s="181"/>
      <c r="H6481" s="181"/>
      <c r="I6481" s="181"/>
      <c r="J6481" s="181"/>
      <c r="K6481" s="181"/>
      <c r="L6481" s="181"/>
      <c r="M6481" s="181"/>
      <c r="N6481" s="181"/>
      <c r="O6481" s="181"/>
      <c r="P6481" s="181"/>
    </row>
    <row r="6482">
      <c r="B6482" s="292"/>
      <c r="C6482" s="181"/>
      <c r="D6482" s="181"/>
      <c r="E6482" s="181"/>
      <c r="F6482" s="181"/>
      <c r="G6482" s="181"/>
      <c r="H6482" s="181"/>
      <c r="I6482" s="181"/>
      <c r="J6482" s="181"/>
      <c r="K6482" s="181"/>
      <c r="L6482" s="181"/>
      <c r="M6482" s="181"/>
      <c r="N6482" s="181"/>
      <c r="O6482" s="181"/>
      <c r="P6482" s="181"/>
    </row>
    <row r="6483">
      <c r="B6483" s="292"/>
      <c r="C6483" s="181"/>
      <c r="D6483" s="181"/>
      <c r="E6483" s="181"/>
      <c r="F6483" s="181"/>
      <c r="G6483" s="181"/>
      <c r="H6483" s="181"/>
      <c r="I6483" s="181"/>
      <c r="J6483" s="181"/>
      <c r="K6483" s="181"/>
      <c r="L6483" s="181"/>
      <c r="M6483" s="181"/>
      <c r="N6483" s="181"/>
      <c r="O6483" s="181"/>
      <c r="P6483" s="181"/>
    </row>
    <row r="6484">
      <c r="B6484" s="292"/>
      <c r="C6484" s="181"/>
      <c r="D6484" s="181"/>
      <c r="E6484" s="181"/>
      <c r="F6484" s="181"/>
      <c r="G6484" s="181"/>
      <c r="H6484" s="181"/>
      <c r="I6484" s="181"/>
      <c r="J6484" s="181"/>
      <c r="K6484" s="181"/>
      <c r="L6484" s="181"/>
      <c r="M6484" s="181"/>
      <c r="N6484" s="181"/>
      <c r="O6484" s="181"/>
      <c r="P6484" s="181"/>
    </row>
    <row r="6485">
      <c r="B6485" s="292"/>
      <c r="C6485" s="181"/>
      <c r="D6485" s="181"/>
      <c r="E6485" s="181"/>
      <c r="F6485" s="181"/>
      <c r="G6485" s="181"/>
      <c r="H6485" s="181"/>
      <c r="I6485" s="181"/>
      <c r="J6485" s="181"/>
      <c r="K6485" s="181"/>
      <c r="L6485" s="181"/>
      <c r="M6485" s="181"/>
      <c r="N6485" s="181"/>
      <c r="O6485" s="181"/>
      <c r="P6485" s="181"/>
    </row>
    <row r="6486">
      <c r="B6486" s="292"/>
      <c r="C6486" s="181"/>
      <c r="D6486" s="181"/>
      <c r="E6486" s="181"/>
      <c r="F6486" s="181"/>
      <c r="G6486" s="181"/>
      <c r="H6486" s="181"/>
      <c r="I6486" s="181"/>
      <c r="J6486" s="181"/>
      <c r="K6486" s="181"/>
      <c r="L6486" s="181"/>
      <c r="M6486" s="181"/>
      <c r="N6486" s="181"/>
      <c r="O6486" s="181"/>
      <c r="P6486" s="181"/>
    </row>
    <row r="6487">
      <c r="B6487" s="292"/>
      <c r="C6487" s="181"/>
      <c r="D6487" s="181"/>
      <c r="E6487" s="181"/>
      <c r="F6487" s="181"/>
      <c r="G6487" s="181"/>
      <c r="H6487" s="181"/>
      <c r="I6487" s="181"/>
      <c r="J6487" s="181"/>
      <c r="K6487" s="181"/>
      <c r="L6487" s="181"/>
      <c r="M6487" s="181"/>
      <c r="N6487" s="181"/>
      <c r="O6487" s="181"/>
      <c r="P6487" s="181"/>
    </row>
    <row r="6488">
      <c r="B6488" s="292"/>
      <c r="C6488" s="181"/>
      <c r="D6488" s="181"/>
      <c r="E6488" s="181"/>
      <c r="F6488" s="181"/>
      <c r="G6488" s="181"/>
      <c r="H6488" s="181"/>
      <c r="I6488" s="181"/>
      <c r="J6488" s="181"/>
      <c r="K6488" s="181"/>
      <c r="L6488" s="181"/>
      <c r="M6488" s="181"/>
      <c r="N6488" s="181"/>
      <c r="O6488" s="181"/>
      <c r="P6488" s="181"/>
    </row>
    <row r="6489">
      <c r="B6489" s="292"/>
      <c r="C6489" s="181"/>
      <c r="D6489" s="181"/>
      <c r="E6489" s="181"/>
      <c r="F6489" s="181"/>
      <c r="G6489" s="181"/>
      <c r="H6489" s="181"/>
      <c r="I6489" s="181"/>
      <c r="J6489" s="181"/>
      <c r="K6489" s="181"/>
      <c r="L6489" s="181"/>
      <c r="M6489" s="181"/>
      <c r="N6489" s="181"/>
      <c r="O6489" s="181"/>
      <c r="P6489" s="181"/>
    </row>
    <row r="6490">
      <c r="B6490" s="292"/>
      <c r="C6490" s="181"/>
      <c r="D6490" s="181"/>
      <c r="E6490" s="181"/>
      <c r="F6490" s="181"/>
      <c r="G6490" s="181"/>
      <c r="H6490" s="181"/>
      <c r="I6490" s="181"/>
      <c r="J6490" s="181"/>
      <c r="K6490" s="181"/>
      <c r="L6490" s="181"/>
      <c r="M6490" s="181"/>
      <c r="N6490" s="181"/>
      <c r="O6490" s="181"/>
      <c r="P6490" s="181"/>
    </row>
    <row r="6491">
      <c r="B6491" s="292"/>
      <c r="C6491" s="181"/>
      <c r="D6491" s="181"/>
      <c r="E6491" s="181"/>
      <c r="F6491" s="181"/>
      <c r="G6491" s="181"/>
      <c r="H6491" s="181"/>
      <c r="I6491" s="181"/>
      <c r="J6491" s="181"/>
      <c r="K6491" s="181"/>
      <c r="L6491" s="181"/>
      <c r="M6491" s="181"/>
      <c r="N6491" s="181"/>
      <c r="O6491" s="181"/>
      <c r="P6491" s="181"/>
    </row>
    <row r="6492">
      <c r="B6492" s="292"/>
      <c r="C6492" s="181"/>
      <c r="D6492" s="181"/>
      <c r="E6492" s="181"/>
      <c r="F6492" s="181"/>
      <c r="G6492" s="181"/>
      <c r="H6492" s="181"/>
      <c r="I6492" s="181"/>
      <c r="J6492" s="181"/>
      <c r="K6492" s="181"/>
      <c r="L6492" s="181"/>
      <c r="M6492" s="181"/>
      <c r="N6492" s="181"/>
      <c r="O6492" s="181"/>
      <c r="P6492" s="181"/>
    </row>
    <row r="6493">
      <c r="B6493" s="292"/>
      <c r="C6493" s="181"/>
      <c r="D6493" s="181"/>
      <c r="E6493" s="181"/>
      <c r="F6493" s="181"/>
      <c r="G6493" s="181"/>
      <c r="H6493" s="181"/>
      <c r="I6493" s="181"/>
      <c r="J6493" s="181"/>
      <c r="K6493" s="181"/>
      <c r="L6493" s="181"/>
      <c r="M6493" s="181"/>
      <c r="N6493" s="181"/>
      <c r="O6493" s="181"/>
      <c r="P6493" s="181"/>
    </row>
    <row r="6494">
      <c r="B6494" s="292"/>
      <c r="C6494" s="181"/>
      <c r="D6494" s="181"/>
      <c r="E6494" s="181"/>
      <c r="F6494" s="181"/>
      <c r="G6494" s="181"/>
      <c r="H6494" s="181"/>
      <c r="I6494" s="181"/>
      <c r="J6494" s="181"/>
      <c r="K6494" s="181"/>
      <c r="L6494" s="181"/>
      <c r="M6494" s="181"/>
      <c r="N6494" s="181"/>
      <c r="O6494" s="181"/>
      <c r="P6494" s="181"/>
    </row>
    <row r="6495">
      <c r="B6495" s="292"/>
      <c r="C6495" s="181"/>
      <c r="D6495" s="181"/>
      <c r="E6495" s="181"/>
      <c r="F6495" s="181"/>
      <c r="G6495" s="181"/>
      <c r="H6495" s="181"/>
      <c r="I6495" s="181"/>
      <c r="J6495" s="181"/>
      <c r="K6495" s="181"/>
      <c r="L6495" s="181"/>
      <c r="M6495" s="181"/>
      <c r="N6495" s="181"/>
      <c r="O6495" s="181"/>
      <c r="P6495" s="181"/>
    </row>
    <row r="6496">
      <c r="B6496" s="292"/>
      <c r="C6496" s="181"/>
      <c r="D6496" s="181"/>
      <c r="E6496" s="181"/>
      <c r="F6496" s="181"/>
      <c r="G6496" s="181"/>
      <c r="H6496" s="181"/>
      <c r="I6496" s="181"/>
      <c r="J6496" s="181"/>
      <c r="K6496" s="181"/>
      <c r="L6496" s="181"/>
      <c r="M6496" s="181"/>
      <c r="N6496" s="181"/>
      <c r="O6496" s="181"/>
      <c r="P6496" s="181"/>
    </row>
    <row r="6497">
      <c r="B6497" s="292"/>
      <c r="C6497" s="181"/>
      <c r="D6497" s="181"/>
      <c r="E6497" s="181"/>
      <c r="F6497" s="181"/>
      <c r="G6497" s="181"/>
      <c r="H6497" s="181"/>
      <c r="I6497" s="181"/>
      <c r="J6497" s="181"/>
      <c r="K6497" s="181"/>
      <c r="L6497" s="181"/>
      <c r="M6497" s="181"/>
      <c r="N6497" s="181"/>
      <c r="O6497" s="181"/>
      <c r="P6497" s="181"/>
    </row>
    <row r="6498">
      <c r="B6498" s="292"/>
      <c r="C6498" s="181"/>
      <c r="D6498" s="181"/>
      <c r="E6498" s="181"/>
      <c r="F6498" s="181"/>
      <c r="G6498" s="181"/>
      <c r="H6498" s="181"/>
      <c r="I6498" s="181"/>
      <c r="J6498" s="181"/>
      <c r="K6498" s="181"/>
      <c r="L6498" s="181"/>
      <c r="M6498" s="181"/>
      <c r="N6498" s="181"/>
      <c r="O6498" s="181"/>
      <c r="P6498" s="181"/>
    </row>
    <row r="6499">
      <c r="B6499" s="292"/>
      <c r="C6499" s="181"/>
      <c r="D6499" s="181"/>
      <c r="E6499" s="181"/>
      <c r="F6499" s="181"/>
      <c r="G6499" s="181"/>
      <c r="H6499" s="181"/>
      <c r="I6499" s="181"/>
      <c r="J6499" s="181"/>
      <c r="K6499" s="181"/>
      <c r="L6499" s="181"/>
      <c r="M6499" s="181"/>
      <c r="N6499" s="181"/>
      <c r="O6499" s="181"/>
      <c r="P6499" s="181"/>
    </row>
    <row r="6500">
      <c r="B6500" s="292"/>
      <c r="C6500" s="181"/>
      <c r="D6500" s="181"/>
      <c r="E6500" s="181"/>
      <c r="F6500" s="181"/>
      <c r="G6500" s="181"/>
      <c r="H6500" s="181"/>
      <c r="I6500" s="181"/>
      <c r="J6500" s="181"/>
      <c r="K6500" s="181"/>
      <c r="L6500" s="181"/>
      <c r="M6500" s="181"/>
      <c r="N6500" s="181"/>
      <c r="O6500" s="181"/>
      <c r="P6500" s="181"/>
    </row>
    <row r="6501">
      <c r="B6501" s="292"/>
      <c r="C6501" s="181"/>
      <c r="D6501" s="181"/>
      <c r="E6501" s="181"/>
      <c r="F6501" s="181"/>
      <c r="G6501" s="181"/>
      <c r="H6501" s="181"/>
      <c r="I6501" s="181"/>
      <c r="J6501" s="181"/>
      <c r="K6501" s="181"/>
      <c r="L6501" s="181"/>
      <c r="M6501" s="181"/>
      <c r="N6501" s="181"/>
      <c r="O6501" s="181"/>
      <c r="P6501" s="181"/>
    </row>
    <row r="6502">
      <c r="B6502" s="292"/>
      <c r="C6502" s="181"/>
      <c r="D6502" s="181"/>
      <c r="E6502" s="181"/>
      <c r="F6502" s="181"/>
      <c r="G6502" s="181"/>
      <c r="H6502" s="181"/>
      <c r="I6502" s="181"/>
      <c r="J6502" s="181"/>
      <c r="K6502" s="181"/>
      <c r="L6502" s="181"/>
      <c r="M6502" s="181"/>
      <c r="N6502" s="181"/>
      <c r="O6502" s="181"/>
      <c r="P6502" s="181"/>
    </row>
    <row r="6503">
      <c r="B6503" s="292"/>
      <c r="C6503" s="181"/>
      <c r="D6503" s="181"/>
      <c r="E6503" s="181"/>
      <c r="F6503" s="181"/>
      <c r="G6503" s="181"/>
      <c r="H6503" s="181"/>
      <c r="I6503" s="181"/>
      <c r="J6503" s="181"/>
      <c r="K6503" s="181"/>
      <c r="L6503" s="181"/>
      <c r="M6503" s="181"/>
      <c r="N6503" s="181"/>
      <c r="O6503" s="181"/>
      <c r="P6503" s="181"/>
    </row>
    <row r="6504">
      <c r="B6504" s="292"/>
      <c r="C6504" s="181"/>
      <c r="D6504" s="181"/>
      <c r="E6504" s="181"/>
      <c r="F6504" s="181"/>
      <c r="G6504" s="181"/>
      <c r="H6504" s="181"/>
      <c r="I6504" s="181"/>
      <c r="J6504" s="181"/>
      <c r="K6504" s="181"/>
      <c r="L6504" s="181"/>
      <c r="M6504" s="181"/>
      <c r="N6504" s="181"/>
      <c r="O6504" s="181"/>
      <c r="P6504" s="181"/>
    </row>
    <row r="6505">
      <c r="B6505" s="292"/>
      <c r="C6505" s="181"/>
      <c r="D6505" s="181"/>
      <c r="E6505" s="181"/>
      <c r="F6505" s="181"/>
      <c r="G6505" s="181"/>
      <c r="H6505" s="181"/>
      <c r="I6505" s="181"/>
      <c r="J6505" s="181"/>
      <c r="K6505" s="181"/>
      <c r="L6505" s="181"/>
      <c r="M6505" s="181"/>
      <c r="N6505" s="181"/>
      <c r="O6505" s="181"/>
      <c r="P6505" s="181"/>
    </row>
    <row r="6506">
      <c r="B6506" s="292"/>
      <c r="C6506" s="181"/>
      <c r="D6506" s="181"/>
      <c r="E6506" s="181"/>
      <c r="F6506" s="181"/>
      <c r="G6506" s="181"/>
      <c r="H6506" s="181"/>
      <c r="I6506" s="181"/>
      <c r="J6506" s="181"/>
      <c r="K6506" s="181"/>
      <c r="L6506" s="181"/>
      <c r="M6506" s="181"/>
      <c r="N6506" s="181"/>
      <c r="O6506" s="181"/>
      <c r="P6506" s="181"/>
    </row>
    <row r="6507">
      <c r="B6507" s="292"/>
      <c r="C6507" s="181"/>
      <c r="D6507" s="181"/>
      <c r="E6507" s="181"/>
      <c r="F6507" s="181"/>
      <c r="G6507" s="181"/>
      <c r="H6507" s="181"/>
      <c r="I6507" s="181"/>
      <c r="J6507" s="181"/>
      <c r="K6507" s="181"/>
      <c r="L6507" s="181"/>
      <c r="M6507" s="181"/>
      <c r="N6507" s="181"/>
      <c r="O6507" s="181"/>
      <c r="P6507" s="181"/>
    </row>
    <row r="6508">
      <c r="B6508" s="292"/>
      <c r="C6508" s="181"/>
      <c r="D6508" s="181"/>
      <c r="E6508" s="181"/>
      <c r="F6508" s="181"/>
      <c r="G6508" s="181"/>
      <c r="H6508" s="181"/>
      <c r="I6508" s="181"/>
      <c r="J6508" s="181"/>
      <c r="K6508" s="181"/>
      <c r="L6508" s="181"/>
      <c r="M6508" s="181"/>
      <c r="N6508" s="181"/>
      <c r="O6508" s="181"/>
      <c r="P6508" s="181"/>
    </row>
    <row r="6509">
      <c r="B6509" s="292"/>
      <c r="C6509" s="181"/>
      <c r="D6509" s="181"/>
      <c r="E6509" s="181"/>
      <c r="F6509" s="181"/>
      <c r="G6509" s="181"/>
      <c r="H6509" s="181"/>
      <c r="I6509" s="181"/>
      <c r="J6509" s="181"/>
      <c r="K6509" s="181"/>
      <c r="L6509" s="181"/>
      <c r="M6509" s="181"/>
      <c r="N6509" s="181"/>
      <c r="O6509" s="181"/>
      <c r="P6509" s="181"/>
    </row>
    <row r="6510">
      <c r="B6510" s="292"/>
      <c r="C6510" s="181"/>
      <c r="D6510" s="181"/>
      <c r="E6510" s="181"/>
      <c r="F6510" s="181"/>
      <c r="G6510" s="181"/>
      <c r="H6510" s="181"/>
      <c r="I6510" s="181"/>
      <c r="J6510" s="181"/>
      <c r="K6510" s="181"/>
      <c r="L6510" s="181"/>
      <c r="M6510" s="181"/>
      <c r="N6510" s="181"/>
      <c r="O6510" s="181"/>
      <c r="P6510" s="181"/>
    </row>
    <row r="6511">
      <c r="B6511" s="292"/>
      <c r="C6511" s="181"/>
      <c r="D6511" s="181"/>
      <c r="E6511" s="181"/>
      <c r="F6511" s="181"/>
      <c r="G6511" s="181"/>
      <c r="H6511" s="181"/>
      <c r="I6511" s="181"/>
      <c r="J6511" s="181"/>
      <c r="K6511" s="181"/>
      <c r="L6511" s="181"/>
      <c r="M6511" s="181"/>
      <c r="N6511" s="181"/>
      <c r="O6511" s="181"/>
      <c r="P6511" s="181"/>
    </row>
    <row r="6512">
      <c r="B6512" s="292"/>
      <c r="C6512" s="181"/>
      <c r="D6512" s="181"/>
      <c r="E6512" s="181"/>
      <c r="F6512" s="181"/>
      <c r="G6512" s="181"/>
      <c r="H6512" s="181"/>
      <c r="I6512" s="181"/>
      <c r="J6512" s="181"/>
      <c r="K6512" s="181"/>
      <c r="L6512" s="181"/>
      <c r="M6512" s="181"/>
      <c r="N6512" s="181"/>
      <c r="O6512" s="181"/>
      <c r="P6512" s="181"/>
    </row>
    <row r="6513">
      <c r="B6513" s="292"/>
      <c r="C6513" s="181"/>
      <c r="D6513" s="181"/>
      <c r="E6513" s="181"/>
      <c r="F6513" s="181"/>
      <c r="G6513" s="181"/>
      <c r="H6513" s="181"/>
      <c r="I6513" s="181"/>
      <c r="J6513" s="181"/>
      <c r="K6513" s="181"/>
      <c r="L6513" s="181"/>
      <c r="M6513" s="181"/>
      <c r="N6513" s="181"/>
      <c r="O6513" s="181"/>
      <c r="P6513" s="181"/>
    </row>
    <row r="6514">
      <c r="B6514" s="292"/>
      <c r="C6514" s="181"/>
      <c r="D6514" s="181"/>
      <c r="E6514" s="181"/>
      <c r="F6514" s="181"/>
      <c r="G6514" s="181"/>
      <c r="H6514" s="181"/>
      <c r="I6514" s="181"/>
      <c r="J6514" s="181"/>
      <c r="K6514" s="181"/>
      <c r="L6514" s="181"/>
      <c r="M6514" s="181"/>
      <c r="N6514" s="181"/>
      <c r="O6514" s="181"/>
      <c r="P6514" s="181"/>
    </row>
    <row r="6515">
      <c r="B6515" s="292"/>
      <c r="C6515" s="181"/>
      <c r="D6515" s="181"/>
      <c r="E6515" s="181"/>
      <c r="F6515" s="181"/>
      <c r="G6515" s="181"/>
      <c r="H6515" s="181"/>
      <c r="I6515" s="181"/>
      <c r="J6515" s="181"/>
      <c r="K6515" s="181"/>
      <c r="L6515" s="181"/>
      <c r="M6515" s="181"/>
      <c r="N6515" s="181"/>
      <c r="O6515" s="181"/>
      <c r="P6515" s="181"/>
    </row>
    <row r="6516">
      <c r="B6516" s="292"/>
      <c r="C6516" s="181"/>
      <c r="D6516" s="181"/>
      <c r="E6516" s="181"/>
      <c r="F6516" s="181"/>
      <c r="G6516" s="181"/>
      <c r="H6516" s="181"/>
      <c r="I6516" s="181"/>
      <c r="J6516" s="181"/>
      <c r="K6516" s="181"/>
      <c r="L6516" s="181"/>
      <c r="M6516" s="181"/>
      <c r="N6516" s="181"/>
      <c r="O6516" s="181"/>
      <c r="P6516" s="181"/>
    </row>
    <row r="6517">
      <c r="B6517" s="292"/>
      <c r="C6517" s="181"/>
      <c r="D6517" s="181"/>
      <c r="E6517" s="181"/>
      <c r="F6517" s="181"/>
      <c r="G6517" s="181"/>
      <c r="H6517" s="181"/>
      <c r="I6517" s="181"/>
      <c r="J6517" s="181"/>
      <c r="K6517" s="181"/>
      <c r="L6517" s="181"/>
      <c r="M6517" s="181"/>
      <c r="N6517" s="181"/>
      <c r="O6517" s="181"/>
      <c r="P6517" s="181"/>
    </row>
    <row r="6518">
      <c r="B6518" s="292"/>
      <c r="C6518" s="181"/>
      <c r="D6518" s="181"/>
      <c r="E6518" s="181"/>
      <c r="F6518" s="181"/>
      <c r="G6518" s="181"/>
      <c r="H6518" s="181"/>
      <c r="I6518" s="181"/>
      <c r="J6518" s="181"/>
      <c r="K6518" s="181"/>
      <c r="L6518" s="181"/>
      <c r="M6518" s="181"/>
      <c r="N6518" s="181"/>
      <c r="O6518" s="181"/>
      <c r="P6518" s="181"/>
    </row>
    <row r="6519">
      <c r="B6519" s="292"/>
      <c r="C6519" s="181"/>
      <c r="D6519" s="181"/>
      <c r="E6519" s="181"/>
      <c r="F6519" s="181"/>
      <c r="G6519" s="181"/>
      <c r="H6519" s="181"/>
      <c r="I6519" s="181"/>
      <c r="J6519" s="181"/>
      <c r="K6519" s="181"/>
      <c r="L6519" s="181"/>
      <c r="M6519" s="181"/>
      <c r="N6519" s="181"/>
      <c r="O6519" s="181"/>
      <c r="P6519" s="181"/>
    </row>
    <row r="6520">
      <c r="B6520" s="292"/>
      <c r="C6520" s="181"/>
      <c r="D6520" s="181"/>
      <c r="E6520" s="181"/>
      <c r="F6520" s="181"/>
      <c r="G6520" s="181"/>
      <c r="H6520" s="181"/>
      <c r="I6520" s="181"/>
      <c r="J6520" s="181"/>
      <c r="K6520" s="181"/>
      <c r="L6520" s="181"/>
      <c r="M6520" s="181"/>
      <c r="N6520" s="181"/>
      <c r="O6520" s="181"/>
      <c r="P6520" s="181"/>
    </row>
    <row r="6521">
      <c r="B6521" s="292"/>
      <c r="C6521" s="181"/>
      <c r="D6521" s="181"/>
      <c r="E6521" s="181"/>
      <c r="F6521" s="181"/>
      <c r="G6521" s="181"/>
      <c r="H6521" s="181"/>
      <c r="I6521" s="181"/>
      <c r="J6521" s="181"/>
      <c r="K6521" s="181"/>
      <c r="L6521" s="181"/>
      <c r="M6521" s="181"/>
      <c r="N6521" s="181"/>
      <c r="O6521" s="181"/>
      <c r="P6521" s="181"/>
    </row>
    <row r="6522">
      <c r="B6522" s="292"/>
      <c r="C6522" s="181"/>
      <c r="D6522" s="181"/>
      <c r="E6522" s="181"/>
      <c r="F6522" s="181"/>
      <c r="G6522" s="181"/>
      <c r="H6522" s="181"/>
      <c r="I6522" s="181"/>
      <c r="J6522" s="181"/>
      <c r="K6522" s="181"/>
      <c r="L6522" s="181"/>
      <c r="M6522" s="181"/>
      <c r="N6522" s="181"/>
      <c r="O6522" s="181"/>
      <c r="P6522" s="181"/>
    </row>
    <row r="6523">
      <c r="B6523" s="292"/>
      <c r="C6523" s="181"/>
      <c r="D6523" s="181"/>
      <c r="E6523" s="181"/>
      <c r="F6523" s="181"/>
      <c r="G6523" s="181"/>
      <c r="H6523" s="181"/>
      <c r="I6523" s="181"/>
      <c r="J6523" s="181"/>
      <c r="K6523" s="181"/>
      <c r="L6523" s="181"/>
      <c r="M6523" s="181"/>
      <c r="N6523" s="181"/>
      <c r="O6523" s="181"/>
      <c r="P6523" s="181"/>
    </row>
    <row r="6524">
      <c r="B6524" s="292"/>
      <c r="C6524" s="181"/>
      <c r="D6524" s="181"/>
      <c r="E6524" s="181"/>
      <c r="F6524" s="181"/>
      <c r="G6524" s="181"/>
      <c r="H6524" s="181"/>
      <c r="I6524" s="181"/>
      <c r="J6524" s="181"/>
      <c r="K6524" s="181"/>
      <c r="L6524" s="181"/>
      <c r="M6524" s="181"/>
      <c r="N6524" s="181"/>
      <c r="O6524" s="181"/>
      <c r="P6524" s="181"/>
    </row>
    <row r="6525">
      <c r="B6525" s="292"/>
      <c r="C6525" s="181"/>
      <c r="D6525" s="181"/>
      <c r="E6525" s="181"/>
      <c r="F6525" s="181"/>
      <c r="G6525" s="181"/>
      <c r="H6525" s="181"/>
      <c r="I6525" s="181"/>
      <c r="J6525" s="181"/>
      <c r="K6525" s="181"/>
      <c r="L6525" s="181"/>
      <c r="M6525" s="181"/>
      <c r="N6525" s="181"/>
      <c r="O6525" s="181"/>
      <c r="P6525" s="181"/>
    </row>
    <row r="6526">
      <c r="B6526" s="292"/>
      <c r="C6526" s="181"/>
      <c r="D6526" s="181"/>
      <c r="E6526" s="181"/>
      <c r="F6526" s="181"/>
      <c r="G6526" s="181"/>
      <c r="H6526" s="181"/>
      <c r="I6526" s="181"/>
      <c r="J6526" s="181"/>
      <c r="K6526" s="181"/>
      <c r="L6526" s="181"/>
      <c r="M6526" s="181"/>
      <c r="N6526" s="181"/>
      <c r="O6526" s="181"/>
      <c r="P6526" s="181"/>
    </row>
    <row r="6527">
      <c r="B6527" s="292"/>
      <c r="C6527" s="181"/>
      <c r="D6527" s="181"/>
      <c r="E6527" s="181"/>
      <c r="F6527" s="181"/>
      <c r="G6527" s="181"/>
      <c r="H6527" s="181"/>
      <c r="I6527" s="181"/>
      <c r="J6527" s="181"/>
      <c r="K6527" s="181"/>
      <c r="L6527" s="181"/>
      <c r="M6527" s="181"/>
      <c r="N6527" s="181"/>
      <c r="O6527" s="181"/>
      <c r="P6527" s="181"/>
    </row>
    <row r="6528">
      <c r="B6528" s="292"/>
      <c r="C6528" s="181"/>
      <c r="D6528" s="181"/>
      <c r="E6528" s="181"/>
      <c r="F6528" s="181"/>
      <c r="G6528" s="181"/>
      <c r="H6528" s="181"/>
      <c r="I6528" s="181"/>
      <c r="J6528" s="181"/>
      <c r="K6528" s="181"/>
      <c r="L6528" s="181"/>
      <c r="M6528" s="181"/>
      <c r="N6528" s="181"/>
      <c r="O6528" s="181"/>
      <c r="P6528" s="181"/>
    </row>
    <row r="6529">
      <c r="B6529" s="292"/>
      <c r="C6529" s="181"/>
      <c r="D6529" s="181"/>
      <c r="E6529" s="181"/>
      <c r="F6529" s="181"/>
      <c r="G6529" s="181"/>
      <c r="H6529" s="181"/>
      <c r="I6529" s="181"/>
      <c r="J6529" s="181"/>
      <c r="K6529" s="181"/>
      <c r="L6529" s="181"/>
      <c r="M6529" s="181"/>
      <c r="N6529" s="181"/>
      <c r="O6529" s="181"/>
      <c r="P6529" s="181"/>
    </row>
    <row r="6530">
      <c r="B6530" s="292"/>
      <c r="C6530" s="181"/>
      <c r="D6530" s="181"/>
      <c r="E6530" s="181"/>
      <c r="F6530" s="181"/>
      <c r="G6530" s="181"/>
      <c r="H6530" s="181"/>
      <c r="I6530" s="181"/>
      <c r="J6530" s="181"/>
      <c r="K6530" s="181"/>
      <c r="L6530" s="181"/>
      <c r="M6530" s="181"/>
      <c r="N6530" s="181"/>
      <c r="O6530" s="181"/>
      <c r="P6530" s="181"/>
    </row>
    <row r="6531">
      <c r="B6531" s="292"/>
      <c r="C6531" s="181"/>
      <c r="D6531" s="181"/>
      <c r="E6531" s="181"/>
      <c r="F6531" s="181"/>
      <c r="G6531" s="181"/>
      <c r="H6531" s="181"/>
      <c r="I6531" s="181"/>
      <c r="J6531" s="181"/>
      <c r="K6531" s="181"/>
      <c r="L6531" s="181"/>
      <c r="M6531" s="181"/>
      <c r="N6531" s="181"/>
      <c r="O6531" s="181"/>
      <c r="P6531" s="181"/>
    </row>
    <row r="6532">
      <c r="B6532" s="292"/>
      <c r="C6532" s="181"/>
      <c r="D6532" s="181"/>
      <c r="E6532" s="181"/>
      <c r="F6532" s="181"/>
      <c r="G6532" s="181"/>
      <c r="H6532" s="181"/>
      <c r="I6532" s="181"/>
      <c r="J6532" s="181"/>
      <c r="K6532" s="181"/>
      <c r="L6532" s="181"/>
      <c r="M6532" s="181"/>
      <c r="N6532" s="181"/>
      <c r="O6532" s="181"/>
      <c r="P6532" s="181"/>
    </row>
    <row r="6533">
      <c r="B6533" s="292"/>
      <c r="C6533" s="181"/>
      <c r="D6533" s="181"/>
      <c r="E6533" s="181"/>
      <c r="F6533" s="181"/>
      <c r="G6533" s="181"/>
      <c r="H6533" s="181"/>
      <c r="I6533" s="181"/>
      <c r="J6533" s="181"/>
      <c r="K6533" s="181"/>
      <c r="L6533" s="181"/>
      <c r="M6533" s="181"/>
      <c r="N6533" s="181"/>
      <c r="O6533" s="181"/>
      <c r="P6533" s="181"/>
    </row>
    <row r="6534">
      <c r="B6534" s="292"/>
      <c r="C6534" s="181"/>
      <c r="D6534" s="181"/>
      <c r="E6534" s="181"/>
      <c r="F6534" s="181"/>
      <c r="G6534" s="181"/>
      <c r="H6534" s="181"/>
      <c r="I6534" s="181"/>
      <c r="J6534" s="181"/>
      <c r="K6534" s="181"/>
      <c r="L6534" s="181"/>
      <c r="M6534" s="181"/>
      <c r="N6534" s="181"/>
      <c r="O6534" s="181"/>
      <c r="P6534" s="181"/>
    </row>
    <row r="6535">
      <c r="B6535" s="292"/>
      <c r="C6535" s="181"/>
      <c r="D6535" s="181"/>
      <c r="E6535" s="181"/>
      <c r="F6535" s="181"/>
      <c r="G6535" s="181"/>
      <c r="H6535" s="181"/>
      <c r="I6535" s="181"/>
      <c r="J6535" s="181"/>
      <c r="K6535" s="181"/>
      <c r="L6535" s="181"/>
      <c r="M6535" s="181"/>
      <c r="N6535" s="181"/>
      <c r="O6535" s="181"/>
      <c r="P6535" s="181"/>
    </row>
    <row r="6536">
      <c r="B6536" s="292"/>
      <c r="C6536" s="181"/>
      <c r="D6536" s="181"/>
      <c r="E6536" s="181"/>
      <c r="F6536" s="181"/>
      <c r="G6536" s="181"/>
      <c r="H6536" s="181"/>
      <c r="I6536" s="181"/>
      <c r="J6536" s="181"/>
      <c r="K6536" s="181"/>
      <c r="L6536" s="181"/>
      <c r="M6536" s="181"/>
      <c r="N6536" s="181"/>
      <c r="O6536" s="181"/>
      <c r="P6536" s="181"/>
    </row>
    <row r="6537">
      <c r="B6537" s="292"/>
      <c r="C6537" s="181"/>
      <c r="D6537" s="181"/>
      <c r="E6537" s="181"/>
      <c r="F6537" s="181"/>
      <c r="G6537" s="181"/>
      <c r="H6537" s="181"/>
      <c r="I6537" s="181"/>
      <c r="J6537" s="181"/>
      <c r="K6537" s="181"/>
      <c r="L6537" s="181"/>
      <c r="M6537" s="181"/>
      <c r="N6537" s="181"/>
      <c r="O6537" s="181"/>
      <c r="P6537" s="181"/>
    </row>
    <row r="6538">
      <c r="B6538" s="292"/>
      <c r="C6538" s="181"/>
      <c r="D6538" s="181"/>
      <c r="E6538" s="181"/>
      <c r="F6538" s="181"/>
      <c r="G6538" s="181"/>
      <c r="H6538" s="181"/>
      <c r="I6538" s="181"/>
      <c r="J6538" s="181"/>
      <c r="K6538" s="181"/>
      <c r="L6538" s="181"/>
      <c r="M6538" s="181"/>
      <c r="N6538" s="181"/>
      <c r="O6538" s="181"/>
      <c r="P6538" s="181"/>
    </row>
    <row r="6539">
      <c r="B6539" s="292"/>
      <c r="C6539" s="181"/>
      <c r="D6539" s="181"/>
      <c r="E6539" s="181"/>
      <c r="F6539" s="181"/>
      <c r="G6539" s="181"/>
      <c r="H6539" s="181"/>
      <c r="I6539" s="181"/>
      <c r="J6539" s="181"/>
      <c r="K6539" s="181"/>
      <c r="L6539" s="181"/>
      <c r="M6539" s="181"/>
      <c r="N6539" s="181"/>
      <c r="O6539" s="181"/>
      <c r="P6539" s="181"/>
    </row>
    <row r="6540">
      <c r="B6540" s="292"/>
      <c r="C6540" s="181"/>
      <c r="D6540" s="181"/>
      <c r="E6540" s="181"/>
      <c r="F6540" s="181"/>
      <c r="G6540" s="181"/>
      <c r="H6540" s="181"/>
      <c r="I6540" s="181"/>
      <c r="J6540" s="181"/>
      <c r="K6540" s="181"/>
      <c r="L6540" s="181"/>
      <c r="M6540" s="181"/>
      <c r="N6540" s="181"/>
      <c r="O6540" s="181"/>
      <c r="P6540" s="181"/>
    </row>
    <row r="6541">
      <c r="B6541" s="292"/>
      <c r="C6541" s="181"/>
      <c r="D6541" s="181"/>
      <c r="E6541" s="181"/>
      <c r="F6541" s="181"/>
      <c r="G6541" s="181"/>
      <c r="H6541" s="181"/>
      <c r="I6541" s="181"/>
      <c r="J6541" s="181"/>
      <c r="K6541" s="181"/>
      <c r="L6541" s="181"/>
      <c r="M6541" s="181"/>
      <c r="N6541" s="181"/>
      <c r="O6541" s="181"/>
      <c r="P6541" s="181"/>
    </row>
    <row r="6542">
      <c r="B6542" s="292"/>
      <c r="C6542" s="181"/>
      <c r="D6542" s="181"/>
      <c r="E6542" s="181"/>
      <c r="F6542" s="181"/>
      <c r="G6542" s="181"/>
      <c r="H6542" s="181"/>
      <c r="I6542" s="181"/>
      <c r="J6542" s="181"/>
      <c r="K6542" s="181"/>
      <c r="L6542" s="181"/>
      <c r="M6542" s="181"/>
      <c r="N6542" s="181"/>
      <c r="O6542" s="181"/>
      <c r="P6542" s="181"/>
    </row>
    <row r="6543">
      <c r="B6543" s="292"/>
      <c r="C6543" s="181"/>
      <c r="D6543" s="181"/>
      <c r="E6543" s="181"/>
      <c r="F6543" s="181"/>
      <c r="G6543" s="181"/>
      <c r="H6543" s="181"/>
      <c r="I6543" s="181"/>
      <c r="J6543" s="181"/>
      <c r="K6543" s="181"/>
      <c r="L6543" s="181"/>
      <c r="M6543" s="181"/>
      <c r="N6543" s="181"/>
      <c r="O6543" s="181"/>
      <c r="P6543" s="181"/>
    </row>
    <row r="6544">
      <c r="B6544" s="292"/>
      <c r="C6544" s="181"/>
      <c r="D6544" s="181"/>
      <c r="E6544" s="181"/>
      <c r="F6544" s="181"/>
      <c r="G6544" s="181"/>
      <c r="H6544" s="181"/>
      <c r="I6544" s="181"/>
      <c r="J6544" s="181"/>
      <c r="K6544" s="181"/>
      <c r="L6544" s="181"/>
      <c r="M6544" s="181"/>
      <c r="N6544" s="181"/>
      <c r="O6544" s="181"/>
      <c r="P6544" s="181"/>
    </row>
    <row r="6545">
      <c r="B6545" s="292"/>
      <c r="C6545" s="181"/>
      <c r="D6545" s="181"/>
      <c r="E6545" s="181"/>
      <c r="F6545" s="181"/>
      <c r="G6545" s="181"/>
      <c r="H6545" s="181"/>
      <c r="I6545" s="181"/>
      <c r="J6545" s="181"/>
      <c r="K6545" s="181"/>
      <c r="L6545" s="181"/>
      <c r="M6545" s="181"/>
      <c r="N6545" s="181"/>
      <c r="O6545" s="181"/>
      <c r="P6545" s="181"/>
    </row>
    <row r="6546">
      <c r="B6546" s="292"/>
      <c r="C6546" s="181"/>
      <c r="D6546" s="181"/>
      <c r="E6546" s="181"/>
      <c r="F6546" s="181"/>
      <c r="G6546" s="181"/>
      <c r="H6546" s="181"/>
      <c r="I6546" s="181"/>
      <c r="J6546" s="181"/>
      <c r="K6546" s="181"/>
      <c r="L6546" s="181"/>
      <c r="M6546" s="181"/>
      <c r="N6546" s="181"/>
      <c r="O6546" s="181"/>
      <c r="P6546" s="181"/>
    </row>
    <row r="6547">
      <c r="B6547" s="292"/>
      <c r="C6547" s="181"/>
      <c r="D6547" s="181"/>
      <c r="E6547" s="181"/>
      <c r="F6547" s="181"/>
      <c r="G6547" s="181"/>
      <c r="H6547" s="181"/>
      <c r="I6547" s="181"/>
      <c r="J6547" s="181"/>
      <c r="K6547" s="181"/>
      <c r="L6547" s="181"/>
      <c r="M6547" s="181"/>
      <c r="N6547" s="181"/>
      <c r="O6547" s="181"/>
      <c r="P6547" s="181"/>
    </row>
    <row r="6548">
      <c r="B6548" s="292"/>
      <c r="C6548" s="181"/>
      <c r="D6548" s="181"/>
      <c r="E6548" s="181"/>
      <c r="F6548" s="181"/>
      <c r="G6548" s="181"/>
      <c r="H6548" s="181"/>
      <c r="I6548" s="181"/>
      <c r="J6548" s="181"/>
      <c r="K6548" s="181"/>
      <c r="L6548" s="181"/>
      <c r="M6548" s="181"/>
      <c r="N6548" s="181"/>
      <c r="O6548" s="181"/>
      <c r="P6548" s="181"/>
    </row>
    <row r="6549">
      <c r="B6549" s="292"/>
      <c r="C6549" s="181"/>
      <c r="D6549" s="181"/>
      <c r="E6549" s="181"/>
      <c r="F6549" s="181"/>
      <c r="G6549" s="181"/>
      <c r="H6549" s="181"/>
      <c r="I6549" s="181"/>
      <c r="J6549" s="181"/>
      <c r="K6549" s="181"/>
      <c r="L6549" s="181"/>
      <c r="M6549" s="181"/>
      <c r="N6549" s="181"/>
      <c r="O6549" s="181"/>
      <c r="P6549" s="181"/>
    </row>
    <row r="6550">
      <c r="B6550" s="292"/>
      <c r="C6550" s="181"/>
      <c r="D6550" s="181"/>
      <c r="E6550" s="181"/>
      <c r="F6550" s="181"/>
      <c r="G6550" s="181"/>
      <c r="H6550" s="181"/>
      <c r="I6550" s="181"/>
      <c r="J6550" s="181"/>
      <c r="K6550" s="181"/>
      <c r="L6550" s="181"/>
      <c r="M6550" s="181"/>
      <c r="N6550" s="181"/>
      <c r="O6550" s="181"/>
      <c r="P6550" s="181"/>
    </row>
    <row r="6551">
      <c r="B6551" s="292"/>
      <c r="C6551" s="181"/>
      <c r="D6551" s="181"/>
      <c r="E6551" s="181"/>
      <c r="F6551" s="181"/>
      <c r="G6551" s="181"/>
      <c r="H6551" s="181"/>
      <c r="I6551" s="181"/>
      <c r="J6551" s="181"/>
      <c r="K6551" s="181"/>
      <c r="L6551" s="181"/>
      <c r="M6551" s="181"/>
      <c r="N6551" s="181"/>
      <c r="O6551" s="181"/>
      <c r="P6551" s="181"/>
    </row>
    <row r="6552">
      <c r="B6552" s="292"/>
      <c r="C6552" s="181"/>
      <c r="D6552" s="181"/>
      <c r="E6552" s="181"/>
      <c r="F6552" s="181"/>
      <c r="G6552" s="181"/>
      <c r="H6552" s="181"/>
      <c r="I6552" s="181"/>
      <c r="J6552" s="181"/>
      <c r="K6552" s="181"/>
      <c r="L6552" s="181"/>
      <c r="M6552" s="181"/>
      <c r="N6552" s="181"/>
      <c r="O6552" s="181"/>
      <c r="P6552" s="181"/>
    </row>
    <row r="6553">
      <c r="B6553" s="292"/>
      <c r="C6553" s="181"/>
      <c r="D6553" s="181"/>
      <c r="E6553" s="181"/>
      <c r="F6553" s="181"/>
      <c r="G6553" s="181"/>
      <c r="H6553" s="181"/>
      <c r="I6553" s="181"/>
      <c r="J6553" s="181"/>
      <c r="K6553" s="181"/>
      <c r="L6553" s="181"/>
      <c r="M6553" s="181"/>
      <c r="N6553" s="181"/>
      <c r="O6553" s="181"/>
      <c r="P6553" s="181"/>
    </row>
    <row r="6554">
      <c r="B6554" s="292"/>
      <c r="C6554" s="181"/>
      <c r="D6554" s="181"/>
      <c r="E6554" s="181"/>
      <c r="F6554" s="181"/>
      <c r="G6554" s="181"/>
      <c r="H6554" s="181"/>
      <c r="I6554" s="181"/>
      <c r="J6554" s="181"/>
      <c r="K6554" s="181"/>
      <c r="L6554" s="181"/>
      <c r="M6554" s="181"/>
      <c r="N6554" s="181"/>
      <c r="O6554" s="181"/>
      <c r="P6554" s="181"/>
    </row>
    <row r="6555">
      <c r="B6555" s="292"/>
      <c r="C6555" s="181"/>
      <c r="D6555" s="181"/>
      <c r="E6555" s="181"/>
      <c r="F6555" s="181"/>
      <c r="G6555" s="181"/>
      <c r="H6555" s="181"/>
      <c r="I6555" s="181"/>
      <c r="J6555" s="181"/>
      <c r="K6555" s="181"/>
      <c r="L6555" s="181"/>
      <c r="M6555" s="181"/>
      <c r="N6555" s="181"/>
      <c r="O6555" s="181"/>
      <c r="P6555" s="181"/>
    </row>
    <row r="6556">
      <c r="B6556" s="292"/>
      <c r="C6556" s="181"/>
      <c r="D6556" s="181"/>
      <c r="E6556" s="181"/>
      <c r="F6556" s="181"/>
      <c r="G6556" s="181"/>
      <c r="H6556" s="181"/>
      <c r="I6556" s="181"/>
      <c r="J6556" s="181"/>
      <c r="K6556" s="181"/>
      <c r="L6556" s="181"/>
      <c r="M6556" s="181"/>
      <c r="N6556" s="181"/>
      <c r="O6556" s="181"/>
      <c r="P6556" s="181"/>
    </row>
    <row r="6557">
      <c r="B6557" s="292"/>
      <c r="C6557" s="181"/>
      <c r="D6557" s="181"/>
      <c r="E6557" s="181"/>
      <c r="F6557" s="181"/>
      <c r="G6557" s="181"/>
      <c r="H6557" s="181"/>
      <c r="I6557" s="181"/>
      <c r="J6557" s="181"/>
      <c r="K6557" s="181"/>
      <c r="L6557" s="181"/>
      <c r="M6557" s="181"/>
      <c r="N6557" s="181"/>
      <c r="O6557" s="181"/>
      <c r="P6557" s="181"/>
    </row>
    <row r="6558">
      <c r="B6558" s="292"/>
      <c r="C6558" s="181"/>
      <c r="D6558" s="181"/>
      <c r="E6558" s="181"/>
      <c r="F6558" s="181"/>
      <c r="G6558" s="181"/>
      <c r="H6558" s="181"/>
      <c r="I6558" s="181"/>
      <c r="J6558" s="181"/>
      <c r="K6558" s="181"/>
      <c r="L6558" s="181"/>
      <c r="M6558" s="181"/>
      <c r="N6558" s="181"/>
      <c r="O6558" s="181"/>
      <c r="P6558" s="181"/>
    </row>
    <row r="6559">
      <c r="B6559" s="292"/>
      <c r="C6559" s="181"/>
      <c r="D6559" s="181"/>
      <c r="E6559" s="181"/>
      <c r="F6559" s="181"/>
      <c r="G6559" s="181"/>
      <c r="H6559" s="181"/>
      <c r="I6559" s="181"/>
      <c r="J6559" s="181"/>
      <c r="K6559" s="181"/>
      <c r="L6559" s="181"/>
      <c r="M6559" s="181"/>
      <c r="N6559" s="181"/>
      <c r="O6559" s="181"/>
      <c r="P6559" s="181"/>
    </row>
    <row r="6560">
      <c r="B6560" s="292"/>
      <c r="C6560" s="181"/>
      <c r="D6560" s="181"/>
      <c r="E6560" s="181"/>
      <c r="F6560" s="181"/>
      <c r="G6560" s="181"/>
      <c r="H6560" s="181"/>
      <c r="I6560" s="181"/>
      <c r="J6560" s="181"/>
      <c r="K6560" s="181"/>
      <c r="L6560" s="181"/>
      <c r="M6560" s="181"/>
      <c r="N6560" s="181"/>
      <c r="O6560" s="181"/>
      <c r="P6560" s="181"/>
    </row>
    <row r="6561">
      <c r="B6561" s="292"/>
      <c r="C6561" s="181"/>
      <c r="D6561" s="181"/>
      <c r="E6561" s="181"/>
      <c r="F6561" s="181"/>
      <c r="G6561" s="181"/>
      <c r="H6561" s="181"/>
      <c r="I6561" s="181"/>
      <c r="J6561" s="181"/>
      <c r="K6561" s="181"/>
      <c r="L6561" s="181"/>
      <c r="M6561" s="181"/>
      <c r="N6561" s="181"/>
      <c r="O6561" s="181"/>
      <c r="P6561" s="181"/>
    </row>
    <row r="6562">
      <c r="B6562" s="292"/>
      <c r="C6562" s="181"/>
      <c r="D6562" s="181"/>
      <c r="E6562" s="181"/>
      <c r="F6562" s="181"/>
      <c r="G6562" s="181"/>
      <c r="H6562" s="181"/>
      <c r="I6562" s="181"/>
      <c r="J6562" s="181"/>
      <c r="K6562" s="181"/>
      <c r="L6562" s="181"/>
      <c r="M6562" s="181"/>
      <c r="N6562" s="181"/>
      <c r="O6562" s="181"/>
      <c r="P6562" s="181"/>
    </row>
    <row r="6563">
      <c r="B6563" s="292"/>
      <c r="C6563" s="181"/>
      <c r="D6563" s="181"/>
      <c r="E6563" s="181"/>
      <c r="F6563" s="181"/>
      <c r="G6563" s="181"/>
      <c r="H6563" s="181"/>
      <c r="I6563" s="181"/>
      <c r="J6563" s="181"/>
      <c r="K6563" s="181"/>
      <c r="L6563" s="181"/>
      <c r="M6563" s="181"/>
      <c r="N6563" s="181"/>
      <c r="O6563" s="181"/>
      <c r="P6563" s="181"/>
    </row>
    <row r="6564">
      <c r="B6564" s="292"/>
      <c r="C6564" s="181"/>
      <c r="D6564" s="181"/>
      <c r="E6564" s="181"/>
      <c r="F6564" s="181"/>
      <c r="G6564" s="181"/>
      <c r="H6564" s="181"/>
      <c r="I6564" s="181"/>
      <c r="J6564" s="181"/>
      <c r="K6564" s="181"/>
      <c r="L6564" s="181"/>
      <c r="M6564" s="181"/>
      <c r="N6564" s="181"/>
      <c r="O6564" s="181"/>
      <c r="P6564" s="181"/>
    </row>
    <row r="6565">
      <c r="B6565" s="292"/>
      <c r="C6565" s="181"/>
      <c r="D6565" s="181"/>
      <c r="E6565" s="181"/>
      <c r="F6565" s="181"/>
      <c r="G6565" s="181"/>
      <c r="H6565" s="181"/>
      <c r="I6565" s="181"/>
      <c r="J6565" s="181"/>
      <c r="K6565" s="181"/>
      <c r="L6565" s="181"/>
      <c r="M6565" s="181"/>
      <c r="N6565" s="181"/>
      <c r="O6565" s="181"/>
      <c r="P6565" s="181"/>
    </row>
    <row r="6566">
      <c r="B6566" s="292"/>
      <c r="C6566" s="181"/>
      <c r="D6566" s="181"/>
      <c r="E6566" s="181"/>
      <c r="F6566" s="181"/>
      <c r="G6566" s="181"/>
      <c r="H6566" s="181"/>
      <c r="I6566" s="181"/>
      <c r="J6566" s="181"/>
      <c r="K6566" s="181"/>
      <c r="L6566" s="181"/>
      <c r="M6566" s="181"/>
      <c r="N6566" s="181"/>
      <c r="O6566" s="181"/>
      <c r="P6566" s="181"/>
    </row>
    <row r="6567">
      <c r="B6567" s="292"/>
      <c r="C6567" s="181"/>
      <c r="D6567" s="181"/>
      <c r="E6567" s="181"/>
      <c r="F6567" s="181"/>
      <c r="G6567" s="181"/>
      <c r="H6567" s="181"/>
      <c r="I6567" s="181"/>
      <c r="J6567" s="181"/>
      <c r="K6567" s="181"/>
      <c r="L6567" s="181"/>
      <c r="M6567" s="181"/>
      <c r="N6567" s="181"/>
      <c r="O6567" s="181"/>
      <c r="P6567" s="181"/>
    </row>
    <row r="6568">
      <c r="B6568" s="292"/>
      <c r="C6568" s="181"/>
      <c r="D6568" s="181"/>
      <c r="E6568" s="181"/>
      <c r="F6568" s="181"/>
      <c r="G6568" s="181"/>
      <c r="H6568" s="181"/>
      <c r="I6568" s="181"/>
      <c r="J6568" s="181"/>
      <c r="K6568" s="181"/>
      <c r="L6568" s="181"/>
      <c r="M6568" s="181"/>
      <c r="N6568" s="181"/>
      <c r="O6568" s="181"/>
      <c r="P6568" s="181"/>
    </row>
    <row r="6569">
      <c r="B6569" s="292"/>
      <c r="C6569" s="181"/>
      <c r="D6569" s="181"/>
      <c r="E6569" s="181"/>
      <c r="F6569" s="181"/>
      <c r="G6569" s="181"/>
      <c r="H6569" s="181"/>
      <c r="I6569" s="181"/>
      <c r="J6569" s="181"/>
      <c r="K6569" s="181"/>
      <c r="L6569" s="181"/>
      <c r="M6569" s="181"/>
      <c r="N6569" s="181"/>
      <c r="O6569" s="181"/>
      <c r="P6569" s="181"/>
    </row>
    <row r="6570">
      <c r="B6570" s="292"/>
      <c r="C6570" s="181"/>
      <c r="D6570" s="181"/>
      <c r="E6570" s="181"/>
      <c r="F6570" s="181"/>
      <c r="G6570" s="181"/>
      <c r="H6570" s="181"/>
      <c r="I6570" s="181"/>
      <c r="J6570" s="181"/>
      <c r="K6570" s="181"/>
      <c r="L6570" s="181"/>
      <c r="M6570" s="181"/>
      <c r="N6570" s="181"/>
      <c r="O6570" s="181"/>
      <c r="P6570" s="181"/>
    </row>
    <row r="6571">
      <c r="B6571" s="292"/>
      <c r="C6571" s="181"/>
      <c r="D6571" s="181"/>
      <c r="E6571" s="181"/>
      <c r="F6571" s="181"/>
      <c r="G6571" s="181"/>
      <c r="H6571" s="181"/>
      <c r="I6571" s="181"/>
      <c r="J6571" s="181"/>
      <c r="K6571" s="181"/>
      <c r="L6571" s="181"/>
      <c r="M6571" s="181"/>
      <c r="N6571" s="181"/>
      <c r="O6571" s="181"/>
      <c r="P6571" s="181"/>
    </row>
    <row r="6572">
      <c r="B6572" s="292"/>
      <c r="C6572" s="181"/>
      <c r="D6572" s="181"/>
      <c r="E6572" s="181"/>
      <c r="F6572" s="181"/>
      <c r="G6572" s="181"/>
      <c r="H6572" s="181"/>
      <c r="I6572" s="181"/>
      <c r="J6572" s="181"/>
      <c r="K6572" s="181"/>
      <c r="L6572" s="181"/>
      <c r="M6572" s="181"/>
      <c r="N6572" s="181"/>
      <c r="O6572" s="181"/>
      <c r="P6572" s="181"/>
    </row>
    <row r="6573">
      <c r="B6573" s="292"/>
      <c r="C6573" s="181"/>
      <c r="D6573" s="181"/>
      <c r="E6573" s="181"/>
      <c r="F6573" s="181"/>
      <c r="G6573" s="181"/>
      <c r="H6573" s="181"/>
      <c r="I6573" s="181"/>
      <c r="J6573" s="181"/>
      <c r="K6573" s="181"/>
      <c r="L6573" s="181"/>
      <c r="M6573" s="181"/>
      <c r="N6573" s="181"/>
      <c r="O6573" s="181"/>
      <c r="P6573" s="181"/>
    </row>
    <row r="6574">
      <c r="B6574" s="292"/>
      <c r="C6574" s="181"/>
      <c r="D6574" s="181"/>
      <c r="E6574" s="181"/>
      <c r="F6574" s="181"/>
      <c r="G6574" s="181"/>
      <c r="H6574" s="181"/>
      <c r="I6574" s="181"/>
      <c r="J6574" s="181"/>
      <c r="K6574" s="181"/>
      <c r="L6574" s="181"/>
      <c r="M6574" s="181"/>
      <c r="N6574" s="181"/>
      <c r="O6574" s="181"/>
      <c r="P6574" s="181"/>
    </row>
    <row r="6575">
      <c r="B6575" s="292"/>
      <c r="C6575" s="181"/>
      <c r="D6575" s="181"/>
      <c r="E6575" s="181"/>
      <c r="F6575" s="181"/>
      <c r="G6575" s="181"/>
      <c r="H6575" s="181"/>
      <c r="I6575" s="181"/>
      <c r="J6575" s="181"/>
      <c r="K6575" s="181"/>
      <c r="L6575" s="181"/>
      <c r="M6575" s="181"/>
      <c r="N6575" s="181"/>
      <c r="O6575" s="181"/>
      <c r="P6575" s="181"/>
    </row>
    <row r="6576">
      <c r="B6576" s="292"/>
      <c r="C6576" s="181"/>
      <c r="D6576" s="181"/>
      <c r="E6576" s="181"/>
      <c r="F6576" s="181"/>
      <c r="G6576" s="181"/>
      <c r="H6576" s="181"/>
      <c r="I6576" s="181"/>
      <c r="J6576" s="181"/>
      <c r="K6576" s="181"/>
      <c r="L6576" s="181"/>
      <c r="M6576" s="181"/>
      <c r="N6576" s="181"/>
      <c r="O6576" s="181"/>
      <c r="P6576" s="181"/>
    </row>
    <row r="6577">
      <c r="B6577" s="292"/>
      <c r="C6577" s="181"/>
      <c r="D6577" s="181"/>
      <c r="E6577" s="181"/>
      <c r="F6577" s="181"/>
      <c r="G6577" s="181"/>
      <c r="H6577" s="181"/>
      <c r="I6577" s="181"/>
      <c r="J6577" s="181"/>
      <c r="K6577" s="181"/>
      <c r="L6577" s="181"/>
      <c r="M6577" s="181"/>
      <c r="N6577" s="181"/>
      <c r="O6577" s="181"/>
      <c r="P6577" s="181"/>
    </row>
    <row r="6578">
      <c r="B6578" s="292"/>
      <c r="C6578" s="181"/>
      <c r="D6578" s="181"/>
      <c r="E6578" s="181"/>
      <c r="F6578" s="181"/>
      <c r="G6578" s="181"/>
      <c r="H6578" s="181"/>
      <c r="I6578" s="181"/>
      <c r="J6578" s="181"/>
      <c r="K6578" s="181"/>
      <c r="L6578" s="181"/>
      <c r="M6578" s="181"/>
      <c r="N6578" s="181"/>
      <c r="O6578" s="181"/>
      <c r="P6578" s="181"/>
    </row>
    <row r="6579">
      <c r="B6579" s="292"/>
      <c r="C6579" s="181"/>
      <c r="D6579" s="181"/>
      <c r="E6579" s="181"/>
      <c r="F6579" s="181"/>
      <c r="G6579" s="181"/>
      <c r="H6579" s="181"/>
      <c r="I6579" s="181"/>
      <c r="J6579" s="181"/>
      <c r="K6579" s="181"/>
      <c r="L6579" s="181"/>
      <c r="M6579" s="181"/>
      <c r="N6579" s="181"/>
      <c r="O6579" s="181"/>
      <c r="P6579" s="181"/>
    </row>
    <row r="6580">
      <c r="B6580" s="292"/>
      <c r="C6580" s="181"/>
      <c r="D6580" s="181"/>
      <c r="E6580" s="181"/>
      <c r="F6580" s="181"/>
      <c r="G6580" s="181"/>
      <c r="H6580" s="181"/>
      <c r="I6580" s="181"/>
      <c r="J6580" s="181"/>
      <c r="K6580" s="181"/>
      <c r="L6580" s="181"/>
      <c r="M6580" s="181"/>
      <c r="N6580" s="181"/>
      <c r="O6580" s="181"/>
      <c r="P6580" s="181"/>
    </row>
    <row r="6581">
      <c r="B6581" s="292"/>
      <c r="C6581" s="181"/>
      <c r="D6581" s="181"/>
      <c r="E6581" s="181"/>
      <c r="F6581" s="181"/>
      <c r="G6581" s="181"/>
      <c r="H6581" s="181"/>
      <c r="I6581" s="181"/>
      <c r="J6581" s="181"/>
      <c r="K6581" s="181"/>
      <c r="L6581" s="181"/>
      <c r="M6581" s="181"/>
      <c r="N6581" s="181"/>
      <c r="O6581" s="181"/>
      <c r="P6581" s="181"/>
    </row>
    <row r="6582">
      <c r="B6582" s="292"/>
      <c r="C6582" s="181"/>
      <c r="D6582" s="181"/>
      <c r="E6582" s="181"/>
      <c r="F6582" s="181"/>
      <c r="G6582" s="181"/>
      <c r="H6582" s="181"/>
      <c r="I6582" s="181"/>
      <c r="J6582" s="181"/>
      <c r="K6582" s="181"/>
      <c r="L6582" s="181"/>
      <c r="M6582" s="181"/>
      <c r="N6582" s="181"/>
      <c r="O6582" s="181"/>
      <c r="P6582" s="181"/>
    </row>
    <row r="6583">
      <c r="B6583" s="292"/>
      <c r="C6583" s="181"/>
      <c r="D6583" s="181"/>
      <c r="E6583" s="181"/>
      <c r="F6583" s="181"/>
      <c r="G6583" s="181"/>
      <c r="H6583" s="181"/>
      <c r="I6583" s="181"/>
      <c r="J6583" s="181"/>
      <c r="K6583" s="181"/>
      <c r="L6583" s="181"/>
      <c r="M6583" s="181"/>
      <c r="N6583" s="181"/>
      <c r="O6583" s="181"/>
      <c r="P6583" s="181"/>
    </row>
    <row r="6584">
      <c r="B6584" s="292"/>
      <c r="C6584" s="181"/>
      <c r="D6584" s="181"/>
      <c r="E6584" s="181"/>
      <c r="F6584" s="181"/>
      <c r="G6584" s="181"/>
      <c r="H6584" s="181"/>
      <c r="I6584" s="181"/>
      <c r="J6584" s="181"/>
      <c r="K6584" s="181"/>
      <c r="L6584" s="181"/>
      <c r="M6584" s="181"/>
      <c r="N6584" s="181"/>
      <c r="O6584" s="181"/>
      <c r="P6584" s="181"/>
    </row>
    <row r="6585">
      <c r="B6585" s="292"/>
      <c r="C6585" s="181"/>
      <c r="D6585" s="181"/>
      <c r="E6585" s="181"/>
      <c r="F6585" s="181"/>
      <c r="G6585" s="181"/>
      <c r="H6585" s="181"/>
      <c r="I6585" s="181"/>
      <c r="J6585" s="181"/>
      <c r="K6585" s="181"/>
      <c r="L6585" s="181"/>
      <c r="M6585" s="181"/>
      <c r="N6585" s="181"/>
      <c r="O6585" s="181"/>
      <c r="P6585" s="181"/>
    </row>
    <row r="6586">
      <c r="B6586" s="292"/>
      <c r="C6586" s="181"/>
      <c r="D6586" s="181"/>
      <c r="E6586" s="181"/>
      <c r="F6586" s="181"/>
      <c r="G6586" s="181"/>
      <c r="H6586" s="181"/>
      <c r="I6586" s="181"/>
      <c r="J6586" s="181"/>
      <c r="K6586" s="181"/>
      <c r="L6586" s="181"/>
      <c r="M6586" s="181"/>
      <c r="N6586" s="181"/>
      <c r="O6586" s="181"/>
      <c r="P6586" s="181"/>
    </row>
    <row r="6587">
      <c r="B6587" s="292"/>
      <c r="C6587" s="181"/>
      <c r="D6587" s="181"/>
      <c r="E6587" s="181"/>
      <c r="F6587" s="181"/>
      <c r="G6587" s="181"/>
      <c r="H6587" s="181"/>
      <c r="I6587" s="181"/>
      <c r="J6587" s="181"/>
      <c r="K6587" s="181"/>
      <c r="L6587" s="181"/>
      <c r="M6587" s="181"/>
      <c r="N6587" s="181"/>
      <c r="O6587" s="181"/>
      <c r="P6587" s="181"/>
    </row>
    <row r="6588">
      <c r="B6588" s="292"/>
      <c r="C6588" s="181"/>
      <c r="D6588" s="181"/>
      <c r="E6588" s="181"/>
      <c r="F6588" s="181"/>
      <c r="G6588" s="181"/>
      <c r="H6588" s="181"/>
      <c r="I6588" s="181"/>
      <c r="J6588" s="181"/>
      <c r="K6588" s="181"/>
      <c r="L6588" s="181"/>
      <c r="M6588" s="181"/>
      <c r="N6588" s="181"/>
      <c r="O6588" s="181"/>
      <c r="P6588" s="181"/>
    </row>
    <row r="6589">
      <c r="B6589" s="292"/>
      <c r="C6589" s="181"/>
      <c r="D6589" s="181"/>
      <c r="E6589" s="181"/>
      <c r="F6589" s="181"/>
      <c r="G6589" s="181"/>
      <c r="H6589" s="181"/>
      <c r="I6589" s="181"/>
      <c r="J6589" s="181"/>
      <c r="K6589" s="181"/>
      <c r="L6589" s="181"/>
      <c r="M6589" s="181"/>
      <c r="N6589" s="181"/>
      <c r="O6589" s="181"/>
      <c r="P6589" s="181"/>
    </row>
    <row r="6590">
      <c r="B6590" s="292"/>
      <c r="C6590" s="181"/>
      <c r="D6590" s="181"/>
      <c r="E6590" s="181"/>
      <c r="F6590" s="181"/>
      <c r="G6590" s="181"/>
      <c r="H6590" s="181"/>
      <c r="I6590" s="181"/>
      <c r="J6590" s="181"/>
      <c r="K6590" s="181"/>
      <c r="L6590" s="181"/>
      <c r="M6590" s="181"/>
      <c r="N6590" s="181"/>
      <c r="O6590" s="181"/>
      <c r="P6590" s="181"/>
    </row>
    <row r="6591">
      <c r="B6591" s="292"/>
      <c r="C6591" s="181"/>
      <c r="D6591" s="181"/>
      <c r="E6591" s="181"/>
      <c r="F6591" s="181"/>
      <c r="G6591" s="181"/>
      <c r="H6591" s="181"/>
      <c r="I6591" s="181"/>
      <c r="J6591" s="181"/>
      <c r="K6591" s="181"/>
      <c r="L6591" s="181"/>
      <c r="M6591" s="181"/>
      <c r="N6591" s="181"/>
      <c r="O6591" s="181"/>
      <c r="P6591" s="181"/>
    </row>
    <row r="6592">
      <c r="B6592" s="292"/>
      <c r="C6592" s="181"/>
      <c r="D6592" s="181"/>
      <c r="E6592" s="181"/>
      <c r="F6592" s="181"/>
      <c r="G6592" s="181"/>
      <c r="H6592" s="181"/>
      <c r="I6592" s="181"/>
      <c r="J6592" s="181"/>
      <c r="K6592" s="181"/>
      <c r="L6592" s="181"/>
      <c r="M6592" s="181"/>
      <c r="N6592" s="181"/>
      <c r="O6592" s="181"/>
      <c r="P6592" s="181"/>
    </row>
    <row r="6593">
      <c r="B6593" s="292"/>
      <c r="C6593" s="181"/>
      <c r="D6593" s="181"/>
      <c r="E6593" s="181"/>
      <c r="F6593" s="181"/>
      <c r="G6593" s="181"/>
      <c r="H6593" s="181"/>
      <c r="I6593" s="181"/>
      <c r="J6593" s="181"/>
      <c r="K6593" s="181"/>
      <c r="L6593" s="181"/>
      <c r="M6593" s="181"/>
      <c r="N6593" s="181"/>
      <c r="O6593" s="181"/>
      <c r="P6593" s="181"/>
    </row>
    <row r="6594">
      <c r="B6594" s="292"/>
      <c r="C6594" s="181"/>
      <c r="D6594" s="181"/>
      <c r="E6594" s="181"/>
      <c r="F6594" s="181"/>
      <c r="G6594" s="181"/>
      <c r="H6594" s="181"/>
      <c r="I6594" s="181"/>
      <c r="J6594" s="181"/>
      <c r="K6594" s="181"/>
      <c r="L6594" s="181"/>
      <c r="M6594" s="181"/>
      <c r="N6594" s="181"/>
      <c r="O6594" s="181"/>
      <c r="P6594" s="181"/>
    </row>
    <row r="6595">
      <c r="B6595" s="292"/>
      <c r="C6595" s="181"/>
      <c r="D6595" s="181"/>
      <c r="E6595" s="181"/>
      <c r="F6595" s="181"/>
      <c r="G6595" s="181"/>
      <c r="H6595" s="181"/>
      <c r="I6595" s="181"/>
      <c r="J6595" s="181"/>
      <c r="K6595" s="181"/>
      <c r="L6595" s="181"/>
      <c r="M6595" s="181"/>
      <c r="N6595" s="181"/>
      <c r="O6595" s="181"/>
      <c r="P6595" s="181"/>
    </row>
    <row r="6596">
      <c r="B6596" s="292"/>
      <c r="C6596" s="181"/>
      <c r="D6596" s="181"/>
      <c r="E6596" s="181"/>
      <c r="F6596" s="181"/>
      <c r="G6596" s="181"/>
      <c r="H6596" s="181"/>
      <c r="I6596" s="181"/>
      <c r="J6596" s="181"/>
      <c r="K6596" s="181"/>
      <c r="L6596" s="181"/>
      <c r="M6596" s="181"/>
      <c r="N6596" s="181"/>
      <c r="O6596" s="181"/>
      <c r="P6596" s="181"/>
    </row>
    <row r="6597">
      <c r="B6597" s="292"/>
      <c r="C6597" s="181"/>
      <c r="D6597" s="181"/>
      <c r="E6597" s="181"/>
      <c r="F6597" s="181"/>
      <c r="G6597" s="181"/>
      <c r="H6597" s="181"/>
      <c r="I6597" s="181"/>
      <c r="J6597" s="181"/>
      <c r="K6597" s="181"/>
      <c r="L6597" s="181"/>
      <c r="M6597" s="181"/>
      <c r="N6597" s="181"/>
      <c r="O6597" s="181"/>
      <c r="P6597" s="181"/>
    </row>
    <row r="6598">
      <c r="B6598" s="292"/>
      <c r="C6598" s="181"/>
      <c r="D6598" s="181"/>
      <c r="E6598" s="181"/>
      <c r="F6598" s="181"/>
      <c r="G6598" s="181"/>
      <c r="H6598" s="181"/>
      <c r="I6598" s="181"/>
      <c r="J6598" s="181"/>
      <c r="K6598" s="181"/>
      <c r="L6598" s="181"/>
      <c r="M6598" s="181"/>
      <c r="N6598" s="181"/>
      <c r="O6598" s="181"/>
      <c r="P6598" s="181"/>
    </row>
    <row r="6599">
      <c r="B6599" s="292"/>
      <c r="C6599" s="181"/>
      <c r="D6599" s="181"/>
      <c r="E6599" s="181"/>
      <c r="F6599" s="181"/>
      <c r="G6599" s="181"/>
      <c r="H6599" s="181"/>
      <c r="I6599" s="181"/>
      <c r="J6599" s="181"/>
      <c r="K6599" s="181"/>
      <c r="L6599" s="181"/>
      <c r="M6599" s="181"/>
      <c r="N6599" s="181"/>
      <c r="O6599" s="181"/>
      <c r="P6599" s="181"/>
    </row>
    <row r="6600">
      <c r="B6600" s="292"/>
      <c r="C6600" s="181"/>
      <c r="D6600" s="181"/>
      <c r="E6600" s="181"/>
      <c r="F6600" s="181"/>
      <c r="G6600" s="181"/>
      <c r="H6600" s="181"/>
      <c r="I6600" s="181"/>
      <c r="J6600" s="181"/>
      <c r="K6600" s="181"/>
      <c r="L6600" s="181"/>
      <c r="M6600" s="181"/>
      <c r="N6600" s="181"/>
      <c r="O6600" s="181"/>
      <c r="P6600" s="181"/>
    </row>
    <row r="6601">
      <c r="B6601" s="292"/>
      <c r="C6601" s="181"/>
      <c r="D6601" s="181"/>
      <c r="E6601" s="181"/>
      <c r="F6601" s="181"/>
      <c r="G6601" s="181"/>
      <c r="H6601" s="181"/>
      <c r="I6601" s="181"/>
      <c r="J6601" s="181"/>
      <c r="K6601" s="181"/>
      <c r="L6601" s="181"/>
      <c r="M6601" s="181"/>
      <c r="N6601" s="181"/>
      <c r="O6601" s="181"/>
      <c r="P6601" s="181"/>
    </row>
    <row r="6602">
      <c r="B6602" s="292"/>
      <c r="C6602" s="181"/>
      <c r="D6602" s="181"/>
      <c r="E6602" s="181"/>
      <c r="F6602" s="181"/>
      <c r="G6602" s="181"/>
      <c r="H6602" s="181"/>
      <c r="I6602" s="181"/>
      <c r="J6602" s="181"/>
      <c r="K6602" s="181"/>
      <c r="L6602" s="181"/>
      <c r="M6602" s="181"/>
      <c r="N6602" s="181"/>
      <c r="O6602" s="181"/>
      <c r="P6602" s="181"/>
    </row>
    <row r="6603">
      <c r="B6603" s="292"/>
      <c r="C6603" s="181"/>
      <c r="D6603" s="181"/>
      <c r="E6603" s="181"/>
      <c r="F6603" s="181"/>
      <c r="G6603" s="181"/>
      <c r="H6603" s="181"/>
      <c r="I6603" s="181"/>
      <c r="J6603" s="181"/>
      <c r="K6603" s="181"/>
      <c r="L6603" s="181"/>
      <c r="M6603" s="181"/>
      <c r="N6603" s="181"/>
      <c r="O6603" s="181"/>
      <c r="P6603" s="181"/>
    </row>
    <row r="6604">
      <c r="B6604" s="292"/>
      <c r="C6604" s="181"/>
      <c r="D6604" s="181"/>
      <c r="E6604" s="181"/>
      <c r="F6604" s="181"/>
      <c r="G6604" s="181"/>
      <c r="H6604" s="181"/>
      <c r="I6604" s="181"/>
      <c r="J6604" s="181"/>
      <c r="K6604" s="181"/>
      <c r="L6604" s="181"/>
      <c r="M6604" s="181"/>
      <c r="N6604" s="181"/>
      <c r="O6604" s="181"/>
      <c r="P6604" s="181"/>
    </row>
    <row r="6605">
      <c r="B6605" s="292"/>
      <c r="C6605" s="181"/>
      <c r="D6605" s="181"/>
      <c r="E6605" s="181"/>
      <c r="F6605" s="181"/>
      <c r="G6605" s="181"/>
      <c r="H6605" s="181"/>
      <c r="I6605" s="181"/>
      <c r="J6605" s="181"/>
      <c r="K6605" s="181"/>
      <c r="L6605" s="181"/>
      <c r="M6605" s="181"/>
      <c r="N6605" s="181"/>
      <c r="O6605" s="181"/>
      <c r="P6605" s="181"/>
    </row>
    <row r="6606">
      <c r="B6606" s="292"/>
      <c r="C6606" s="181"/>
      <c r="D6606" s="181"/>
      <c r="E6606" s="181"/>
      <c r="F6606" s="181"/>
      <c r="G6606" s="181"/>
      <c r="H6606" s="181"/>
      <c r="I6606" s="181"/>
      <c r="J6606" s="181"/>
      <c r="K6606" s="181"/>
      <c r="L6606" s="181"/>
      <c r="M6606" s="181"/>
      <c r="N6606" s="181"/>
      <c r="O6606" s="181"/>
      <c r="P6606" s="181"/>
    </row>
    <row r="6607">
      <c r="B6607" s="292"/>
      <c r="C6607" s="181"/>
      <c r="D6607" s="181"/>
      <c r="E6607" s="181"/>
      <c r="F6607" s="181"/>
      <c r="G6607" s="181"/>
      <c r="H6607" s="181"/>
      <c r="I6607" s="181"/>
      <c r="J6607" s="181"/>
      <c r="K6607" s="181"/>
      <c r="L6607" s="181"/>
      <c r="M6607" s="181"/>
      <c r="N6607" s="181"/>
      <c r="O6607" s="181"/>
      <c r="P6607" s="181"/>
    </row>
    <row r="6608">
      <c r="B6608" s="292"/>
      <c r="C6608" s="181"/>
      <c r="D6608" s="181"/>
      <c r="E6608" s="181"/>
      <c r="F6608" s="181"/>
      <c r="G6608" s="181"/>
      <c r="H6608" s="181"/>
      <c r="I6608" s="181"/>
      <c r="J6608" s="181"/>
      <c r="K6608" s="181"/>
      <c r="L6608" s="181"/>
      <c r="M6608" s="181"/>
      <c r="N6608" s="181"/>
      <c r="O6608" s="181"/>
      <c r="P6608" s="181"/>
    </row>
    <row r="6609">
      <c r="B6609" s="292"/>
      <c r="C6609" s="181"/>
      <c r="D6609" s="181"/>
      <c r="E6609" s="181"/>
      <c r="F6609" s="181"/>
      <c r="G6609" s="181"/>
      <c r="H6609" s="181"/>
      <c r="I6609" s="181"/>
      <c r="J6609" s="181"/>
      <c r="K6609" s="181"/>
      <c r="L6609" s="181"/>
      <c r="M6609" s="181"/>
      <c r="N6609" s="181"/>
      <c r="O6609" s="181"/>
      <c r="P6609" s="181"/>
    </row>
    <row r="6610">
      <c r="B6610" s="292"/>
      <c r="C6610" s="181"/>
      <c r="D6610" s="181"/>
      <c r="E6610" s="181"/>
      <c r="F6610" s="181"/>
      <c r="G6610" s="181"/>
      <c r="H6610" s="181"/>
      <c r="I6610" s="181"/>
      <c r="J6610" s="181"/>
      <c r="K6610" s="181"/>
      <c r="L6610" s="181"/>
      <c r="M6610" s="181"/>
      <c r="N6610" s="181"/>
      <c r="O6610" s="181"/>
      <c r="P6610" s="181"/>
    </row>
    <row r="6611">
      <c r="B6611" s="292"/>
      <c r="C6611" s="181"/>
      <c r="D6611" s="181"/>
      <c r="E6611" s="181"/>
      <c r="F6611" s="181"/>
      <c r="G6611" s="181"/>
      <c r="H6611" s="181"/>
      <c r="I6611" s="181"/>
      <c r="J6611" s="181"/>
      <c r="K6611" s="181"/>
      <c r="L6611" s="181"/>
      <c r="M6611" s="181"/>
      <c r="N6611" s="181"/>
      <c r="O6611" s="181"/>
      <c r="P6611" s="181"/>
    </row>
    <row r="6612">
      <c r="B6612" s="292"/>
      <c r="C6612" s="181"/>
      <c r="D6612" s="181"/>
      <c r="E6612" s="181"/>
      <c r="F6612" s="181"/>
      <c r="G6612" s="181"/>
      <c r="H6612" s="181"/>
      <c r="I6612" s="181"/>
      <c r="J6612" s="181"/>
      <c r="K6612" s="181"/>
      <c r="L6612" s="181"/>
      <c r="M6612" s="181"/>
      <c r="N6612" s="181"/>
      <c r="O6612" s="181"/>
      <c r="P6612" s="181"/>
    </row>
    <row r="6613">
      <c r="B6613" s="292"/>
      <c r="C6613" s="181"/>
      <c r="D6613" s="181"/>
      <c r="E6613" s="181"/>
      <c r="F6613" s="181"/>
      <c r="G6613" s="181"/>
      <c r="H6613" s="181"/>
      <c r="I6613" s="181"/>
      <c r="J6613" s="181"/>
      <c r="K6613" s="181"/>
      <c r="L6613" s="181"/>
      <c r="M6613" s="181"/>
      <c r="N6613" s="181"/>
      <c r="O6613" s="181"/>
      <c r="P6613" s="181"/>
    </row>
    <row r="6614">
      <c r="B6614" s="292"/>
      <c r="C6614" s="181"/>
      <c r="D6614" s="181"/>
      <c r="E6614" s="181"/>
      <c r="F6614" s="181"/>
      <c r="G6614" s="181"/>
      <c r="H6614" s="181"/>
      <c r="I6614" s="181"/>
      <c r="J6614" s="181"/>
      <c r="K6614" s="181"/>
      <c r="L6614" s="181"/>
      <c r="M6614" s="181"/>
      <c r="N6614" s="181"/>
      <c r="O6614" s="181"/>
      <c r="P6614" s="181"/>
    </row>
    <row r="6615">
      <c r="B6615" s="292"/>
      <c r="C6615" s="181"/>
      <c r="D6615" s="181"/>
      <c r="E6615" s="181"/>
      <c r="F6615" s="181"/>
      <c r="G6615" s="181"/>
      <c r="H6615" s="181"/>
      <c r="I6615" s="181"/>
      <c r="J6615" s="181"/>
      <c r="K6615" s="181"/>
      <c r="L6615" s="181"/>
      <c r="M6615" s="181"/>
      <c r="N6615" s="181"/>
      <c r="O6615" s="181"/>
      <c r="P6615" s="181"/>
    </row>
    <row r="6616">
      <c r="B6616" s="292"/>
      <c r="C6616" s="181"/>
      <c r="D6616" s="181"/>
      <c r="E6616" s="181"/>
      <c r="F6616" s="181"/>
      <c r="G6616" s="181"/>
      <c r="H6616" s="181"/>
      <c r="I6616" s="181"/>
      <c r="J6616" s="181"/>
      <c r="K6616" s="181"/>
      <c r="L6616" s="181"/>
      <c r="M6616" s="181"/>
      <c r="N6616" s="181"/>
      <c r="O6616" s="181"/>
      <c r="P6616" s="181"/>
    </row>
    <row r="6617">
      <c r="B6617" s="292"/>
      <c r="C6617" s="181"/>
      <c r="D6617" s="181"/>
      <c r="E6617" s="181"/>
      <c r="F6617" s="181"/>
      <c r="G6617" s="181"/>
      <c r="H6617" s="181"/>
      <c r="I6617" s="181"/>
      <c r="J6617" s="181"/>
      <c r="K6617" s="181"/>
      <c r="L6617" s="181"/>
      <c r="M6617" s="181"/>
      <c r="N6617" s="181"/>
      <c r="O6617" s="181"/>
      <c r="P6617" s="181"/>
    </row>
    <row r="6618">
      <c r="B6618" s="292"/>
      <c r="C6618" s="181"/>
      <c r="D6618" s="181"/>
      <c r="E6618" s="181"/>
      <c r="F6618" s="181"/>
      <c r="G6618" s="181"/>
      <c r="H6618" s="181"/>
      <c r="I6618" s="181"/>
      <c r="J6618" s="181"/>
      <c r="K6618" s="181"/>
      <c r="L6618" s="181"/>
      <c r="M6618" s="181"/>
      <c r="N6618" s="181"/>
      <c r="O6618" s="181"/>
      <c r="P6618" s="181"/>
    </row>
    <row r="6619">
      <c r="B6619" s="292"/>
      <c r="C6619" s="181"/>
      <c r="D6619" s="181"/>
      <c r="E6619" s="181"/>
      <c r="F6619" s="181"/>
      <c r="G6619" s="181"/>
      <c r="H6619" s="181"/>
      <c r="I6619" s="181"/>
      <c r="J6619" s="181"/>
      <c r="K6619" s="181"/>
      <c r="L6619" s="181"/>
      <c r="M6619" s="181"/>
      <c r="N6619" s="181"/>
      <c r="O6619" s="181"/>
      <c r="P6619" s="181"/>
    </row>
    <row r="6620">
      <c r="B6620" s="292"/>
      <c r="C6620" s="181"/>
      <c r="D6620" s="181"/>
      <c r="E6620" s="181"/>
      <c r="F6620" s="181"/>
      <c r="G6620" s="181"/>
      <c r="H6620" s="181"/>
      <c r="I6620" s="181"/>
      <c r="J6620" s="181"/>
      <c r="K6620" s="181"/>
      <c r="L6620" s="181"/>
      <c r="M6620" s="181"/>
      <c r="N6620" s="181"/>
      <c r="O6620" s="181"/>
      <c r="P6620" s="181"/>
    </row>
    <row r="6621">
      <c r="B6621" s="292"/>
      <c r="C6621" s="181"/>
      <c r="D6621" s="181"/>
      <c r="E6621" s="181"/>
      <c r="F6621" s="181"/>
      <c r="G6621" s="181"/>
      <c r="H6621" s="181"/>
      <c r="I6621" s="181"/>
      <c r="J6621" s="181"/>
      <c r="K6621" s="181"/>
      <c r="L6621" s="181"/>
      <c r="M6621" s="181"/>
      <c r="N6621" s="181"/>
      <c r="O6621" s="181"/>
      <c r="P6621" s="181"/>
    </row>
    <row r="6622">
      <c r="B6622" s="292"/>
      <c r="C6622" s="181"/>
      <c r="D6622" s="181"/>
      <c r="E6622" s="181"/>
      <c r="F6622" s="181"/>
      <c r="G6622" s="181"/>
      <c r="H6622" s="181"/>
      <c r="I6622" s="181"/>
      <c r="J6622" s="181"/>
      <c r="K6622" s="181"/>
      <c r="L6622" s="181"/>
      <c r="M6622" s="181"/>
      <c r="N6622" s="181"/>
      <c r="O6622" s="181"/>
      <c r="P6622" s="181"/>
    </row>
    <row r="6623">
      <c r="B6623" s="292"/>
      <c r="C6623" s="181"/>
      <c r="D6623" s="181"/>
      <c r="E6623" s="181"/>
      <c r="F6623" s="181"/>
      <c r="G6623" s="181"/>
      <c r="H6623" s="181"/>
      <c r="I6623" s="181"/>
      <c r="J6623" s="181"/>
      <c r="K6623" s="181"/>
      <c r="L6623" s="181"/>
      <c r="M6623" s="181"/>
      <c r="N6623" s="181"/>
      <c r="O6623" s="181"/>
      <c r="P6623" s="181"/>
    </row>
    <row r="6624">
      <c r="B6624" s="292"/>
      <c r="C6624" s="181"/>
      <c r="D6624" s="181"/>
      <c r="E6624" s="181"/>
      <c r="F6624" s="181"/>
      <c r="G6624" s="181"/>
      <c r="H6624" s="181"/>
      <c r="I6624" s="181"/>
      <c r="J6624" s="181"/>
      <c r="K6624" s="181"/>
      <c r="L6624" s="181"/>
      <c r="M6624" s="181"/>
      <c r="N6624" s="181"/>
      <c r="O6624" s="181"/>
      <c r="P6624" s="181"/>
    </row>
    <row r="6625">
      <c r="B6625" s="292"/>
      <c r="C6625" s="181"/>
      <c r="D6625" s="181"/>
      <c r="E6625" s="181"/>
      <c r="F6625" s="181"/>
      <c r="G6625" s="181"/>
      <c r="H6625" s="181"/>
      <c r="I6625" s="181"/>
      <c r="J6625" s="181"/>
      <c r="K6625" s="181"/>
      <c r="L6625" s="181"/>
      <c r="M6625" s="181"/>
      <c r="N6625" s="181"/>
      <c r="O6625" s="181"/>
      <c r="P6625" s="181"/>
    </row>
    <row r="6626">
      <c r="B6626" s="292"/>
      <c r="C6626" s="181"/>
      <c r="D6626" s="181"/>
      <c r="E6626" s="181"/>
      <c r="F6626" s="181"/>
      <c r="G6626" s="181"/>
      <c r="H6626" s="181"/>
      <c r="I6626" s="181"/>
      <c r="J6626" s="181"/>
      <c r="K6626" s="181"/>
      <c r="L6626" s="181"/>
      <c r="M6626" s="181"/>
      <c r="N6626" s="181"/>
      <c r="O6626" s="181"/>
      <c r="P6626" s="181"/>
    </row>
    <row r="6627">
      <c r="B6627" s="292"/>
      <c r="C6627" s="181"/>
      <c r="D6627" s="181"/>
      <c r="E6627" s="181"/>
      <c r="F6627" s="181"/>
      <c r="G6627" s="181"/>
      <c r="H6627" s="181"/>
      <c r="I6627" s="181"/>
      <c r="J6627" s="181"/>
      <c r="K6627" s="181"/>
      <c r="L6627" s="181"/>
      <c r="M6627" s="181"/>
      <c r="N6627" s="181"/>
      <c r="O6627" s="181"/>
      <c r="P6627" s="181"/>
    </row>
    <row r="6628">
      <c r="B6628" s="292"/>
      <c r="C6628" s="181"/>
      <c r="D6628" s="181"/>
      <c r="E6628" s="181"/>
      <c r="F6628" s="181"/>
      <c r="G6628" s="181"/>
      <c r="H6628" s="181"/>
      <c r="I6628" s="181"/>
      <c r="J6628" s="181"/>
      <c r="K6628" s="181"/>
      <c r="L6628" s="181"/>
      <c r="M6628" s="181"/>
      <c r="N6628" s="181"/>
      <c r="O6628" s="181"/>
      <c r="P6628" s="181"/>
    </row>
    <row r="6629">
      <c r="B6629" s="292"/>
      <c r="C6629" s="181"/>
      <c r="D6629" s="181"/>
      <c r="E6629" s="181"/>
      <c r="F6629" s="181"/>
      <c r="G6629" s="181"/>
      <c r="H6629" s="181"/>
      <c r="I6629" s="181"/>
      <c r="J6629" s="181"/>
      <c r="K6629" s="181"/>
      <c r="L6629" s="181"/>
      <c r="M6629" s="181"/>
      <c r="N6629" s="181"/>
      <c r="O6629" s="181"/>
      <c r="P6629" s="181"/>
    </row>
    <row r="6630">
      <c r="B6630" s="292"/>
      <c r="C6630" s="181"/>
      <c r="D6630" s="181"/>
      <c r="E6630" s="181"/>
      <c r="F6630" s="181"/>
      <c r="G6630" s="181"/>
      <c r="H6630" s="181"/>
      <c r="I6630" s="181"/>
      <c r="J6630" s="181"/>
      <c r="K6630" s="181"/>
      <c r="L6630" s="181"/>
      <c r="M6630" s="181"/>
      <c r="N6630" s="181"/>
      <c r="O6630" s="181"/>
      <c r="P6630" s="181"/>
    </row>
    <row r="6631">
      <c r="B6631" s="292"/>
      <c r="C6631" s="181"/>
      <c r="D6631" s="181"/>
      <c r="E6631" s="181"/>
      <c r="F6631" s="181"/>
      <c r="G6631" s="181"/>
      <c r="H6631" s="181"/>
      <c r="I6631" s="181"/>
      <c r="J6631" s="181"/>
      <c r="K6631" s="181"/>
      <c r="L6631" s="181"/>
      <c r="M6631" s="181"/>
      <c r="N6631" s="181"/>
      <c r="O6631" s="181"/>
      <c r="P6631" s="181"/>
    </row>
    <row r="6632">
      <c r="B6632" s="292"/>
      <c r="C6632" s="181"/>
      <c r="D6632" s="181"/>
      <c r="E6632" s="181"/>
      <c r="F6632" s="181"/>
      <c r="G6632" s="181"/>
      <c r="H6632" s="181"/>
      <c r="I6632" s="181"/>
      <c r="J6632" s="181"/>
      <c r="K6632" s="181"/>
      <c r="L6632" s="181"/>
      <c r="M6632" s="181"/>
      <c r="N6632" s="181"/>
      <c r="O6632" s="181"/>
      <c r="P6632" s="181"/>
    </row>
    <row r="6633">
      <c r="B6633" s="292"/>
      <c r="C6633" s="181"/>
      <c r="D6633" s="181"/>
      <c r="E6633" s="181"/>
      <c r="F6633" s="181"/>
      <c r="G6633" s="181"/>
      <c r="H6633" s="181"/>
      <c r="I6633" s="181"/>
      <c r="J6633" s="181"/>
      <c r="K6633" s="181"/>
      <c r="L6633" s="181"/>
      <c r="M6633" s="181"/>
      <c r="N6633" s="181"/>
      <c r="O6633" s="181"/>
      <c r="P6633" s="181"/>
    </row>
    <row r="6634">
      <c r="B6634" s="292"/>
      <c r="C6634" s="181"/>
      <c r="D6634" s="181"/>
      <c r="E6634" s="181"/>
      <c r="F6634" s="181"/>
      <c r="G6634" s="181"/>
      <c r="H6634" s="181"/>
      <c r="I6634" s="181"/>
      <c r="J6634" s="181"/>
      <c r="K6634" s="181"/>
      <c r="L6634" s="181"/>
      <c r="M6634" s="181"/>
      <c r="N6634" s="181"/>
      <c r="O6634" s="181"/>
      <c r="P6634" s="181"/>
    </row>
    <row r="6635">
      <c r="B6635" s="292"/>
      <c r="C6635" s="181"/>
      <c r="D6635" s="181"/>
      <c r="E6635" s="181"/>
      <c r="F6635" s="181"/>
      <c r="G6635" s="181"/>
      <c r="H6635" s="181"/>
      <c r="I6635" s="181"/>
      <c r="J6635" s="181"/>
      <c r="K6635" s="181"/>
      <c r="L6635" s="181"/>
      <c r="M6635" s="181"/>
      <c r="N6635" s="181"/>
      <c r="O6635" s="181"/>
      <c r="P6635" s="181"/>
    </row>
    <row r="6636">
      <c r="B6636" s="292"/>
      <c r="C6636" s="181"/>
      <c r="D6636" s="181"/>
      <c r="E6636" s="181"/>
      <c r="F6636" s="181"/>
      <c r="G6636" s="181"/>
      <c r="H6636" s="181"/>
      <c r="I6636" s="181"/>
      <c r="J6636" s="181"/>
      <c r="K6636" s="181"/>
      <c r="L6636" s="181"/>
      <c r="M6636" s="181"/>
      <c r="N6636" s="181"/>
      <c r="O6636" s="181"/>
      <c r="P6636" s="181"/>
    </row>
    <row r="6637">
      <c r="B6637" s="292"/>
      <c r="C6637" s="181"/>
      <c r="D6637" s="181"/>
      <c r="E6637" s="181"/>
      <c r="F6637" s="181"/>
      <c r="G6637" s="181"/>
      <c r="H6637" s="181"/>
      <c r="I6637" s="181"/>
      <c r="J6637" s="181"/>
      <c r="K6637" s="181"/>
      <c r="L6637" s="181"/>
      <c r="M6637" s="181"/>
      <c r="N6637" s="181"/>
      <c r="O6637" s="181"/>
      <c r="P6637" s="181"/>
    </row>
    <row r="6638">
      <c r="B6638" s="292"/>
      <c r="C6638" s="181"/>
      <c r="D6638" s="181"/>
      <c r="E6638" s="181"/>
      <c r="F6638" s="181"/>
      <c r="G6638" s="181"/>
      <c r="H6638" s="181"/>
      <c r="I6638" s="181"/>
      <c r="J6638" s="181"/>
      <c r="K6638" s="181"/>
      <c r="L6638" s="181"/>
      <c r="M6638" s="181"/>
      <c r="N6638" s="181"/>
      <c r="O6638" s="181"/>
      <c r="P6638" s="181"/>
    </row>
    <row r="6639">
      <c r="B6639" s="292"/>
      <c r="C6639" s="181"/>
      <c r="D6639" s="181"/>
      <c r="E6639" s="181"/>
      <c r="F6639" s="181"/>
      <c r="G6639" s="181"/>
      <c r="H6639" s="181"/>
      <c r="I6639" s="181"/>
      <c r="J6639" s="181"/>
      <c r="K6639" s="181"/>
      <c r="L6639" s="181"/>
      <c r="M6639" s="181"/>
      <c r="N6639" s="181"/>
      <c r="O6639" s="181"/>
      <c r="P6639" s="181"/>
    </row>
    <row r="6640">
      <c r="B6640" s="292"/>
      <c r="C6640" s="181"/>
      <c r="D6640" s="181"/>
      <c r="E6640" s="181"/>
      <c r="F6640" s="181"/>
      <c r="G6640" s="181"/>
      <c r="H6640" s="181"/>
      <c r="I6640" s="181"/>
      <c r="J6640" s="181"/>
      <c r="K6640" s="181"/>
      <c r="L6640" s="181"/>
      <c r="M6640" s="181"/>
      <c r="N6640" s="181"/>
      <c r="O6640" s="181"/>
      <c r="P6640" s="181"/>
    </row>
    <row r="6641">
      <c r="B6641" s="292"/>
      <c r="C6641" s="181"/>
      <c r="D6641" s="181"/>
      <c r="E6641" s="181"/>
      <c r="F6641" s="181"/>
      <c r="G6641" s="181"/>
      <c r="H6641" s="181"/>
      <c r="I6641" s="181"/>
      <c r="J6641" s="181"/>
      <c r="K6641" s="181"/>
      <c r="L6641" s="181"/>
      <c r="M6641" s="181"/>
      <c r="N6641" s="181"/>
      <c r="O6641" s="181"/>
      <c r="P6641" s="181"/>
    </row>
    <row r="6642">
      <c r="B6642" s="292"/>
      <c r="C6642" s="181"/>
      <c r="D6642" s="181"/>
      <c r="E6642" s="181"/>
      <c r="F6642" s="181"/>
      <c r="G6642" s="181"/>
      <c r="H6642" s="181"/>
      <c r="I6642" s="181"/>
      <c r="J6642" s="181"/>
      <c r="K6642" s="181"/>
      <c r="L6642" s="181"/>
      <c r="M6642" s="181"/>
      <c r="N6642" s="181"/>
      <c r="O6642" s="181"/>
      <c r="P6642" s="181"/>
    </row>
    <row r="6643">
      <c r="B6643" s="292"/>
      <c r="C6643" s="181"/>
      <c r="D6643" s="181"/>
      <c r="E6643" s="181"/>
      <c r="F6643" s="181"/>
      <c r="G6643" s="181"/>
      <c r="H6643" s="181"/>
      <c r="I6643" s="181"/>
      <c r="J6643" s="181"/>
      <c r="K6643" s="181"/>
      <c r="L6643" s="181"/>
      <c r="M6643" s="181"/>
      <c r="N6643" s="181"/>
      <c r="O6643" s="181"/>
      <c r="P6643" s="181"/>
    </row>
    <row r="6644">
      <c r="B6644" s="292"/>
      <c r="C6644" s="181"/>
      <c r="D6644" s="181"/>
      <c r="E6644" s="181"/>
      <c r="F6644" s="181"/>
      <c r="G6644" s="181"/>
      <c r="H6644" s="181"/>
      <c r="I6644" s="181"/>
      <c r="J6644" s="181"/>
      <c r="K6644" s="181"/>
      <c r="L6644" s="181"/>
      <c r="M6644" s="181"/>
      <c r="N6644" s="181"/>
      <c r="O6644" s="181"/>
      <c r="P6644" s="181"/>
    </row>
    <row r="6645">
      <c r="B6645" s="292"/>
      <c r="C6645" s="181"/>
      <c r="D6645" s="181"/>
      <c r="E6645" s="181"/>
      <c r="F6645" s="181"/>
      <c r="G6645" s="181"/>
      <c r="H6645" s="181"/>
      <c r="I6645" s="181"/>
      <c r="J6645" s="181"/>
      <c r="K6645" s="181"/>
      <c r="L6645" s="181"/>
      <c r="M6645" s="181"/>
      <c r="N6645" s="181"/>
      <c r="O6645" s="181"/>
      <c r="P6645" s="181"/>
    </row>
    <row r="6646">
      <c r="B6646" s="292"/>
      <c r="C6646" s="181"/>
      <c r="D6646" s="181"/>
      <c r="E6646" s="181"/>
      <c r="F6646" s="181"/>
      <c r="G6646" s="181"/>
      <c r="H6646" s="181"/>
      <c r="I6646" s="181"/>
      <c r="J6646" s="181"/>
      <c r="K6646" s="181"/>
      <c r="L6646" s="181"/>
      <c r="M6646" s="181"/>
      <c r="N6646" s="181"/>
      <c r="O6646" s="181"/>
      <c r="P6646" s="181"/>
    </row>
    <row r="6647">
      <c r="B6647" s="292"/>
      <c r="C6647" s="181"/>
      <c r="D6647" s="181"/>
      <c r="E6647" s="181"/>
      <c r="F6647" s="181"/>
      <c r="G6647" s="181"/>
      <c r="H6647" s="181"/>
      <c r="I6647" s="181"/>
      <c r="J6647" s="181"/>
      <c r="K6647" s="181"/>
      <c r="L6647" s="181"/>
      <c r="M6647" s="181"/>
      <c r="N6647" s="181"/>
      <c r="O6647" s="181"/>
      <c r="P6647" s="181"/>
    </row>
    <row r="6648">
      <c r="B6648" s="292"/>
      <c r="C6648" s="181"/>
      <c r="D6648" s="181"/>
      <c r="E6648" s="181"/>
      <c r="F6648" s="181"/>
      <c r="G6648" s="181"/>
      <c r="H6648" s="181"/>
      <c r="I6648" s="181"/>
      <c r="J6648" s="181"/>
      <c r="K6648" s="181"/>
      <c r="L6648" s="181"/>
      <c r="M6648" s="181"/>
      <c r="N6648" s="181"/>
      <c r="O6648" s="181"/>
      <c r="P6648" s="181"/>
    </row>
    <row r="6649">
      <c r="B6649" s="292"/>
      <c r="C6649" s="181"/>
      <c r="D6649" s="181"/>
      <c r="E6649" s="181"/>
      <c r="F6649" s="181"/>
      <c r="G6649" s="181"/>
      <c r="H6649" s="181"/>
      <c r="I6649" s="181"/>
      <c r="J6649" s="181"/>
      <c r="K6649" s="181"/>
      <c r="L6649" s="181"/>
      <c r="M6649" s="181"/>
      <c r="N6649" s="181"/>
      <c r="O6649" s="181"/>
      <c r="P6649" s="181"/>
    </row>
    <row r="6650">
      <c r="B6650" s="292"/>
      <c r="C6650" s="181"/>
      <c r="D6650" s="181"/>
      <c r="E6650" s="181"/>
      <c r="F6650" s="181"/>
      <c r="G6650" s="181"/>
      <c r="H6650" s="181"/>
      <c r="I6650" s="181"/>
      <c r="J6650" s="181"/>
      <c r="K6650" s="181"/>
      <c r="L6650" s="181"/>
      <c r="M6650" s="181"/>
      <c r="N6650" s="181"/>
      <c r="O6650" s="181"/>
      <c r="P6650" s="181"/>
    </row>
    <row r="6651">
      <c r="B6651" s="292"/>
      <c r="C6651" s="181"/>
      <c r="D6651" s="181"/>
      <c r="E6651" s="181"/>
      <c r="F6651" s="181"/>
      <c r="G6651" s="181"/>
      <c r="H6651" s="181"/>
      <c r="I6651" s="181"/>
      <c r="J6651" s="181"/>
      <c r="K6651" s="181"/>
      <c r="L6651" s="181"/>
      <c r="M6651" s="181"/>
      <c r="N6651" s="181"/>
      <c r="O6651" s="181"/>
      <c r="P6651" s="181"/>
    </row>
    <row r="6652">
      <c r="B6652" s="292"/>
      <c r="C6652" s="181"/>
      <c r="D6652" s="181"/>
      <c r="E6652" s="181"/>
      <c r="F6652" s="181"/>
      <c r="G6652" s="181"/>
      <c r="H6652" s="181"/>
      <c r="I6652" s="181"/>
      <c r="J6652" s="181"/>
      <c r="K6652" s="181"/>
      <c r="L6652" s="181"/>
      <c r="M6652" s="181"/>
      <c r="N6652" s="181"/>
      <c r="O6652" s="181"/>
      <c r="P6652" s="181"/>
    </row>
    <row r="6653">
      <c r="B6653" s="292"/>
      <c r="C6653" s="181"/>
      <c r="D6653" s="181"/>
      <c r="E6653" s="181"/>
      <c r="F6653" s="181"/>
      <c r="G6653" s="181"/>
      <c r="H6653" s="181"/>
      <c r="I6653" s="181"/>
      <c r="J6653" s="181"/>
      <c r="K6653" s="181"/>
      <c r="L6653" s="181"/>
      <c r="M6653" s="181"/>
      <c r="N6653" s="181"/>
      <c r="O6653" s="181"/>
      <c r="P6653" s="181"/>
    </row>
    <row r="6654">
      <c r="B6654" s="292"/>
      <c r="C6654" s="181"/>
      <c r="D6654" s="181"/>
      <c r="E6654" s="181"/>
      <c r="F6654" s="181"/>
      <c r="G6654" s="181"/>
      <c r="H6654" s="181"/>
      <c r="I6654" s="181"/>
      <c r="J6654" s="181"/>
      <c r="K6654" s="181"/>
      <c r="L6654" s="181"/>
      <c r="M6654" s="181"/>
      <c r="N6654" s="181"/>
      <c r="O6654" s="181"/>
      <c r="P6654" s="181"/>
    </row>
    <row r="6655">
      <c r="B6655" s="292"/>
      <c r="C6655" s="181"/>
      <c r="D6655" s="181"/>
      <c r="E6655" s="181"/>
      <c r="F6655" s="181"/>
      <c r="G6655" s="181"/>
      <c r="H6655" s="181"/>
      <c r="I6655" s="181"/>
      <c r="J6655" s="181"/>
      <c r="K6655" s="181"/>
      <c r="L6655" s="181"/>
      <c r="M6655" s="181"/>
      <c r="N6655" s="181"/>
      <c r="O6655" s="181"/>
      <c r="P6655" s="181"/>
    </row>
    <row r="6656">
      <c r="B6656" s="292"/>
      <c r="C6656" s="181"/>
      <c r="D6656" s="181"/>
      <c r="E6656" s="181"/>
      <c r="F6656" s="181"/>
      <c r="G6656" s="181"/>
      <c r="H6656" s="181"/>
      <c r="I6656" s="181"/>
      <c r="J6656" s="181"/>
      <c r="K6656" s="181"/>
      <c r="L6656" s="181"/>
      <c r="M6656" s="181"/>
      <c r="N6656" s="181"/>
      <c r="O6656" s="181"/>
      <c r="P6656" s="181"/>
    </row>
    <row r="6657">
      <c r="B6657" s="292"/>
      <c r="C6657" s="181"/>
      <c r="D6657" s="181"/>
      <c r="E6657" s="181"/>
      <c r="F6657" s="181"/>
      <c r="G6657" s="181"/>
      <c r="H6657" s="181"/>
      <c r="I6657" s="181"/>
      <c r="J6657" s="181"/>
      <c r="K6657" s="181"/>
      <c r="L6657" s="181"/>
      <c r="M6657" s="181"/>
      <c r="N6657" s="181"/>
      <c r="O6657" s="181"/>
      <c r="P6657" s="181"/>
    </row>
    <row r="6658">
      <c r="B6658" s="292"/>
      <c r="C6658" s="181"/>
      <c r="D6658" s="181"/>
      <c r="E6658" s="181"/>
      <c r="F6658" s="181"/>
      <c r="G6658" s="181"/>
      <c r="H6658" s="181"/>
      <c r="I6658" s="181"/>
      <c r="J6658" s="181"/>
      <c r="K6658" s="181"/>
      <c r="L6658" s="181"/>
      <c r="M6658" s="181"/>
      <c r="N6658" s="181"/>
      <c r="O6658" s="181"/>
      <c r="P6658" s="181"/>
    </row>
    <row r="6659">
      <c r="B6659" s="292"/>
      <c r="C6659" s="181"/>
      <c r="D6659" s="181"/>
      <c r="E6659" s="181"/>
      <c r="F6659" s="181"/>
      <c r="G6659" s="181"/>
      <c r="H6659" s="181"/>
      <c r="I6659" s="181"/>
      <c r="J6659" s="181"/>
      <c r="K6659" s="181"/>
      <c r="L6659" s="181"/>
      <c r="M6659" s="181"/>
      <c r="N6659" s="181"/>
      <c r="O6659" s="181"/>
      <c r="P6659" s="181"/>
    </row>
    <row r="6660">
      <c r="B6660" s="292"/>
      <c r="C6660" s="181"/>
      <c r="D6660" s="181"/>
      <c r="E6660" s="181"/>
      <c r="F6660" s="181"/>
      <c r="G6660" s="181"/>
      <c r="H6660" s="181"/>
      <c r="I6660" s="181"/>
      <c r="J6660" s="181"/>
      <c r="K6660" s="181"/>
      <c r="L6660" s="181"/>
      <c r="M6660" s="181"/>
      <c r="N6660" s="181"/>
      <c r="O6660" s="181"/>
      <c r="P6660" s="181"/>
    </row>
    <row r="6661">
      <c r="B6661" s="292"/>
      <c r="C6661" s="181"/>
      <c r="D6661" s="181"/>
      <c r="E6661" s="181"/>
      <c r="F6661" s="181"/>
      <c r="G6661" s="181"/>
      <c r="H6661" s="181"/>
      <c r="I6661" s="181"/>
      <c r="J6661" s="181"/>
      <c r="K6661" s="181"/>
      <c r="L6661" s="181"/>
      <c r="M6661" s="181"/>
      <c r="N6661" s="181"/>
      <c r="O6661" s="181"/>
      <c r="P6661" s="181"/>
    </row>
    <row r="6662">
      <c r="B6662" s="292"/>
      <c r="C6662" s="181"/>
      <c r="D6662" s="181"/>
      <c r="E6662" s="181"/>
      <c r="F6662" s="181"/>
      <c r="G6662" s="181"/>
      <c r="H6662" s="181"/>
      <c r="I6662" s="181"/>
      <c r="J6662" s="181"/>
      <c r="K6662" s="181"/>
      <c r="L6662" s="181"/>
      <c r="M6662" s="181"/>
      <c r="N6662" s="181"/>
      <c r="O6662" s="181"/>
      <c r="P6662" s="181"/>
    </row>
    <row r="6663">
      <c r="B6663" s="292"/>
      <c r="C6663" s="181"/>
      <c r="D6663" s="181"/>
      <c r="E6663" s="181"/>
      <c r="F6663" s="181"/>
      <c r="G6663" s="181"/>
      <c r="H6663" s="181"/>
      <c r="I6663" s="181"/>
      <c r="J6663" s="181"/>
      <c r="K6663" s="181"/>
      <c r="L6663" s="181"/>
      <c r="M6663" s="181"/>
      <c r="N6663" s="181"/>
      <c r="O6663" s="181"/>
      <c r="P6663" s="181"/>
    </row>
    <row r="6664">
      <c r="B6664" s="292"/>
      <c r="C6664" s="181"/>
      <c r="D6664" s="181"/>
      <c r="E6664" s="181"/>
      <c r="F6664" s="181"/>
      <c r="G6664" s="181"/>
      <c r="H6664" s="181"/>
      <c r="I6664" s="181"/>
      <c r="J6664" s="181"/>
      <c r="K6664" s="181"/>
      <c r="L6664" s="181"/>
      <c r="M6664" s="181"/>
      <c r="N6664" s="181"/>
      <c r="O6664" s="181"/>
      <c r="P6664" s="181"/>
    </row>
    <row r="6665">
      <c r="B6665" s="292"/>
      <c r="C6665" s="181"/>
      <c r="D6665" s="181"/>
      <c r="E6665" s="181"/>
      <c r="F6665" s="181"/>
      <c r="G6665" s="181"/>
      <c r="H6665" s="181"/>
      <c r="I6665" s="181"/>
      <c r="J6665" s="181"/>
      <c r="K6665" s="181"/>
      <c r="L6665" s="181"/>
      <c r="M6665" s="181"/>
      <c r="N6665" s="181"/>
      <c r="O6665" s="181"/>
      <c r="P6665" s="181"/>
    </row>
    <row r="6666">
      <c r="B6666" s="292"/>
      <c r="C6666" s="181"/>
      <c r="D6666" s="181"/>
      <c r="E6666" s="181"/>
      <c r="F6666" s="181"/>
      <c r="G6666" s="181"/>
      <c r="H6666" s="181"/>
      <c r="I6666" s="181"/>
      <c r="J6666" s="181"/>
      <c r="K6666" s="181"/>
      <c r="L6666" s="181"/>
      <c r="M6666" s="181"/>
      <c r="N6666" s="181"/>
      <c r="O6666" s="181"/>
      <c r="P6666" s="181"/>
    </row>
    <row r="6667">
      <c r="B6667" s="292"/>
      <c r="C6667" s="181"/>
      <c r="D6667" s="181"/>
      <c r="E6667" s="181"/>
      <c r="F6667" s="181"/>
      <c r="G6667" s="181"/>
      <c r="H6667" s="181"/>
      <c r="I6667" s="181"/>
      <c r="J6667" s="181"/>
      <c r="K6667" s="181"/>
      <c r="L6667" s="181"/>
      <c r="M6667" s="181"/>
      <c r="N6667" s="181"/>
      <c r="O6667" s="181"/>
      <c r="P6667" s="181"/>
    </row>
    <row r="6668">
      <c r="B6668" s="292"/>
      <c r="C6668" s="181"/>
      <c r="D6668" s="181"/>
      <c r="E6668" s="181"/>
      <c r="F6668" s="181"/>
      <c r="G6668" s="181"/>
      <c r="H6668" s="181"/>
      <c r="I6668" s="181"/>
      <c r="J6668" s="181"/>
      <c r="K6668" s="181"/>
      <c r="L6668" s="181"/>
      <c r="M6668" s="181"/>
      <c r="N6668" s="181"/>
      <c r="O6668" s="181"/>
      <c r="P6668" s="181"/>
    </row>
    <row r="6669">
      <c r="B6669" s="292"/>
      <c r="C6669" s="181"/>
      <c r="D6669" s="181"/>
      <c r="E6669" s="181"/>
      <c r="F6669" s="181"/>
      <c r="G6669" s="181"/>
      <c r="H6669" s="181"/>
      <c r="I6669" s="181"/>
      <c r="J6669" s="181"/>
      <c r="K6669" s="181"/>
      <c r="L6669" s="181"/>
      <c r="M6669" s="181"/>
      <c r="N6669" s="181"/>
      <c r="O6669" s="181"/>
      <c r="P6669" s="181"/>
    </row>
    <row r="6670">
      <c r="B6670" s="292"/>
      <c r="C6670" s="181"/>
      <c r="D6670" s="181"/>
      <c r="E6670" s="181"/>
      <c r="F6670" s="181"/>
      <c r="G6670" s="181"/>
      <c r="H6670" s="181"/>
      <c r="I6670" s="181"/>
      <c r="J6670" s="181"/>
      <c r="K6670" s="181"/>
      <c r="L6670" s="181"/>
      <c r="M6670" s="181"/>
      <c r="N6670" s="181"/>
      <c r="O6670" s="181"/>
      <c r="P6670" s="181"/>
    </row>
    <row r="6671">
      <c r="B6671" s="292"/>
      <c r="C6671" s="181"/>
      <c r="D6671" s="181"/>
      <c r="E6671" s="181"/>
      <c r="F6671" s="181"/>
      <c r="G6671" s="181"/>
      <c r="H6671" s="181"/>
      <c r="I6671" s="181"/>
      <c r="J6671" s="181"/>
      <c r="K6671" s="181"/>
      <c r="L6671" s="181"/>
      <c r="M6671" s="181"/>
      <c r="N6671" s="181"/>
      <c r="O6671" s="181"/>
      <c r="P6671" s="181"/>
    </row>
    <row r="6672">
      <c r="B6672" s="292"/>
      <c r="C6672" s="181"/>
      <c r="D6672" s="181"/>
      <c r="E6672" s="181"/>
      <c r="F6672" s="181"/>
      <c r="G6672" s="181"/>
      <c r="H6672" s="181"/>
      <c r="I6672" s="181"/>
      <c r="J6672" s="181"/>
      <c r="K6672" s="181"/>
      <c r="L6672" s="181"/>
      <c r="M6672" s="181"/>
      <c r="N6672" s="181"/>
      <c r="O6672" s="181"/>
      <c r="P6672" s="181"/>
    </row>
    <row r="6673">
      <c r="B6673" s="292"/>
      <c r="C6673" s="181"/>
      <c r="D6673" s="181"/>
      <c r="E6673" s="181"/>
      <c r="F6673" s="181"/>
      <c r="G6673" s="181"/>
      <c r="H6673" s="181"/>
      <c r="I6673" s="181"/>
      <c r="J6673" s="181"/>
      <c r="K6673" s="181"/>
      <c r="L6673" s="181"/>
      <c r="M6673" s="181"/>
      <c r="N6673" s="181"/>
      <c r="O6673" s="181"/>
      <c r="P6673" s="181"/>
    </row>
    <row r="6674">
      <c r="B6674" s="292"/>
      <c r="C6674" s="181"/>
      <c r="D6674" s="181"/>
      <c r="E6674" s="181"/>
      <c r="F6674" s="181"/>
      <c r="G6674" s="181"/>
      <c r="H6674" s="181"/>
      <c r="I6674" s="181"/>
      <c r="J6674" s="181"/>
      <c r="K6674" s="181"/>
      <c r="L6674" s="181"/>
      <c r="M6674" s="181"/>
      <c r="N6674" s="181"/>
      <c r="O6674" s="181"/>
      <c r="P6674" s="181"/>
    </row>
    <row r="6675">
      <c r="B6675" s="292"/>
      <c r="C6675" s="181"/>
      <c r="D6675" s="181"/>
      <c r="E6675" s="181"/>
      <c r="F6675" s="181"/>
      <c r="G6675" s="181"/>
      <c r="H6675" s="181"/>
      <c r="I6675" s="181"/>
      <c r="J6675" s="181"/>
      <c r="K6675" s="181"/>
      <c r="L6675" s="181"/>
      <c r="M6675" s="181"/>
      <c r="N6675" s="181"/>
      <c r="O6675" s="181"/>
      <c r="P6675" s="181"/>
    </row>
    <row r="6676">
      <c r="B6676" s="292"/>
      <c r="C6676" s="181"/>
      <c r="D6676" s="181"/>
      <c r="E6676" s="181"/>
      <c r="F6676" s="181"/>
      <c r="G6676" s="181"/>
      <c r="H6676" s="181"/>
      <c r="I6676" s="181"/>
      <c r="J6676" s="181"/>
      <c r="K6676" s="181"/>
      <c r="L6676" s="181"/>
      <c r="M6676" s="181"/>
      <c r="N6676" s="181"/>
      <c r="O6676" s="181"/>
      <c r="P6676" s="181"/>
    </row>
    <row r="6677">
      <c r="B6677" s="292"/>
      <c r="C6677" s="181"/>
      <c r="D6677" s="181"/>
      <c r="E6677" s="181"/>
      <c r="F6677" s="181"/>
      <c r="G6677" s="181"/>
      <c r="H6677" s="181"/>
      <c r="I6677" s="181"/>
      <c r="J6677" s="181"/>
      <c r="K6677" s="181"/>
      <c r="L6677" s="181"/>
      <c r="M6677" s="181"/>
      <c r="N6677" s="181"/>
      <c r="O6677" s="181"/>
      <c r="P6677" s="181"/>
    </row>
    <row r="6678">
      <c r="B6678" s="292"/>
      <c r="C6678" s="181"/>
      <c r="D6678" s="181"/>
      <c r="E6678" s="181"/>
      <c r="F6678" s="181"/>
      <c r="G6678" s="181"/>
      <c r="H6678" s="181"/>
      <c r="I6678" s="181"/>
      <c r="J6678" s="181"/>
      <c r="K6678" s="181"/>
      <c r="L6678" s="181"/>
      <c r="M6678" s="181"/>
      <c r="N6678" s="181"/>
      <c r="O6678" s="181"/>
      <c r="P6678" s="181"/>
    </row>
    <row r="6679">
      <c r="B6679" s="292"/>
      <c r="C6679" s="181"/>
      <c r="D6679" s="181"/>
      <c r="E6679" s="181"/>
      <c r="F6679" s="181"/>
      <c r="G6679" s="181"/>
      <c r="H6679" s="181"/>
      <c r="I6679" s="181"/>
      <c r="J6679" s="181"/>
      <c r="K6679" s="181"/>
      <c r="L6679" s="181"/>
      <c r="M6679" s="181"/>
      <c r="N6679" s="181"/>
      <c r="O6679" s="181"/>
      <c r="P6679" s="181"/>
    </row>
    <row r="6680">
      <c r="B6680" s="292"/>
      <c r="C6680" s="181"/>
      <c r="D6680" s="181"/>
      <c r="E6680" s="181"/>
      <c r="F6680" s="181"/>
      <c r="G6680" s="181"/>
      <c r="H6680" s="181"/>
      <c r="I6680" s="181"/>
      <c r="J6680" s="181"/>
      <c r="K6680" s="181"/>
      <c r="L6680" s="181"/>
      <c r="M6680" s="181"/>
      <c r="N6680" s="181"/>
      <c r="O6680" s="181"/>
      <c r="P6680" s="181"/>
    </row>
    <row r="6681">
      <c r="B6681" s="292"/>
      <c r="C6681" s="181"/>
      <c r="D6681" s="181"/>
      <c r="E6681" s="181"/>
      <c r="F6681" s="181"/>
      <c r="G6681" s="181"/>
      <c r="H6681" s="181"/>
      <c r="I6681" s="181"/>
      <c r="J6681" s="181"/>
      <c r="K6681" s="181"/>
      <c r="L6681" s="181"/>
      <c r="M6681" s="181"/>
      <c r="N6681" s="181"/>
      <c r="O6681" s="181"/>
      <c r="P6681" s="181"/>
    </row>
    <row r="6682">
      <c r="B6682" s="292"/>
      <c r="C6682" s="181"/>
      <c r="D6682" s="181"/>
      <c r="E6682" s="181"/>
      <c r="F6682" s="181"/>
      <c r="G6682" s="181"/>
      <c r="H6682" s="181"/>
      <c r="I6682" s="181"/>
      <c r="J6682" s="181"/>
      <c r="K6682" s="181"/>
      <c r="L6682" s="181"/>
      <c r="M6682" s="181"/>
      <c r="N6682" s="181"/>
      <c r="O6682" s="181"/>
      <c r="P6682" s="181"/>
    </row>
    <row r="6683">
      <c r="B6683" s="292"/>
      <c r="C6683" s="181"/>
      <c r="D6683" s="181"/>
      <c r="E6683" s="181"/>
      <c r="F6683" s="181"/>
      <c r="G6683" s="181"/>
      <c r="H6683" s="181"/>
      <c r="I6683" s="181"/>
      <c r="J6683" s="181"/>
      <c r="K6683" s="181"/>
      <c r="L6683" s="181"/>
      <c r="M6683" s="181"/>
      <c r="N6683" s="181"/>
      <c r="O6683" s="181"/>
      <c r="P6683" s="181"/>
    </row>
    <row r="6684">
      <c r="B6684" s="292"/>
      <c r="C6684" s="181"/>
      <c r="D6684" s="181"/>
      <c r="E6684" s="181"/>
      <c r="F6684" s="181"/>
      <c r="G6684" s="181"/>
      <c r="H6684" s="181"/>
      <c r="I6684" s="181"/>
      <c r="J6684" s="181"/>
      <c r="K6684" s="181"/>
      <c r="L6684" s="181"/>
      <c r="M6684" s="181"/>
      <c r="N6684" s="181"/>
      <c r="O6684" s="181"/>
      <c r="P6684" s="181"/>
    </row>
    <row r="6685">
      <c r="B6685" s="292"/>
      <c r="C6685" s="181"/>
      <c r="D6685" s="181"/>
      <c r="E6685" s="181"/>
      <c r="F6685" s="181"/>
      <c r="G6685" s="181"/>
      <c r="H6685" s="181"/>
      <c r="I6685" s="181"/>
      <c r="J6685" s="181"/>
      <c r="K6685" s="181"/>
      <c r="L6685" s="181"/>
      <c r="M6685" s="181"/>
      <c r="N6685" s="181"/>
      <c r="O6685" s="181"/>
      <c r="P6685" s="181"/>
    </row>
    <row r="6686">
      <c r="B6686" s="292"/>
      <c r="C6686" s="181"/>
      <c r="D6686" s="181"/>
      <c r="E6686" s="181"/>
      <c r="F6686" s="181"/>
      <c r="G6686" s="181"/>
      <c r="H6686" s="181"/>
      <c r="I6686" s="181"/>
      <c r="J6686" s="181"/>
      <c r="K6686" s="181"/>
      <c r="L6686" s="181"/>
      <c r="M6686" s="181"/>
      <c r="N6686" s="181"/>
      <c r="O6686" s="181"/>
      <c r="P6686" s="181"/>
    </row>
    <row r="6687">
      <c r="B6687" s="292"/>
      <c r="C6687" s="181"/>
      <c r="D6687" s="181"/>
      <c r="E6687" s="181"/>
      <c r="F6687" s="181"/>
      <c r="G6687" s="181"/>
      <c r="H6687" s="181"/>
      <c r="I6687" s="181"/>
      <c r="J6687" s="181"/>
      <c r="K6687" s="181"/>
      <c r="L6687" s="181"/>
      <c r="M6687" s="181"/>
      <c r="N6687" s="181"/>
      <c r="O6687" s="181"/>
      <c r="P6687" s="181"/>
    </row>
    <row r="6688">
      <c r="B6688" s="292"/>
      <c r="C6688" s="181"/>
      <c r="D6688" s="181"/>
      <c r="E6688" s="181"/>
      <c r="F6688" s="181"/>
      <c r="G6688" s="181"/>
      <c r="H6688" s="181"/>
      <c r="I6688" s="181"/>
      <c r="J6688" s="181"/>
      <c r="K6688" s="181"/>
      <c r="L6688" s="181"/>
      <c r="M6688" s="181"/>
      <c r="N6688" s="181"/>
      <c r="O6688" s="181"/>
      <c r="P6688" s="181"/>
    </row>
    <row r="6689">
      <c r="B6689" s="292"/>
      <c r="C6689" s="181"/>
      <c r="D6689" s="181"/>
      <c r="E6689" s="181"/>
      <c r="F6689" s="181"/>
      <c r="G6689" s="181"/>
      <c r="H6689" s="181"/>
      <c r="I6689" s="181"/>
      <c r="J6689" s="181"/>
      <c r="K6689" s="181"/>
      <c r="L6689" s="181"/>
      <c r="M6689" s="181"/>
      <c r="N6689" s="181"/>
      <c r="O6689" s="181"/>
      <c r="P6689" s="181"/>
    </row>
    <row r="6690">
      <c r="B6690" s="292"/>
      <c r="C6690" s="181"/>
      <c r="D6690" s="181"/>
      <c r="E6690" s="181"/>
      <c r="F6690" s="181"/>
      <c r="G6690" s="181"/>
      <c r="H6690" s="181"/>
      <c r="I6690" s="181"/>
      <c r="J6690" s="181"/>
      <c r="K6690" s="181"/>
      <c r="L6690" s="181"/>
      <c r="M6690" s="181"/>
      <c r="N6690" s="181"/>
      <c r="O6690" s="181"/>
      <c r="P6690" s="181"/>
    </row>
    <row r="6691">
      <c r="B6691" s="292"/>
      <c r="C6691" s="181"/>
      <c r="D6691" s="181"/>
      <c r="E6691" s="181"/>
      <c r="F6691" s="181"/>
      <c r="G6691" s="181"/>
      <c r="H6691" s="181"/>
      <c r="I6691" s="181"/>
      <c r="J6691" s="181"/>
      <c r="K6691" s="181"/>
      <c r="L6691" s="181"/>
      <c r="M6691" s="181"/>
      <c r="N6691" s="181"/>
      <c r="O6691" s="181"/>
      <c r="P6691" s="181"/>
    </row>
    <row r="6692">
      <c r="B6692" s="292"/>
      <c r="C6692" s="181"/>
      <c r="D6692" s="181"/>
      <c r="E6692" s="181"/>
      <c r="F6692" s="181"/>
      <c r="G6692" s="181"/>
      <c r="H6692" s="181"/>
      <c r="I6692" s="181"/>
      <c r="J6692" s="181"/>
      <c r="K6692" s="181"/>
      <c r="L6692" s="181"/>
      <c r="M6692" s="181"/>
      <c r="N6692" s="181"/>
      <c r="O6692" s="181"/>
      <c r="P6692" s="181"/>
    </row>
    <row r="6693">
      <c r="B6693" s="292"/>
      <c r="C6693" s="181"/>
      <c r="D6693" s="181"/>
      <c r="E6693" s="181"/>
      <c r="F6693" s="181"/>
      <c r="G6693" s="181"/>
      <c r="H6693" s="181"/>
      <c r="I6693" s="181"/>
      <c r="J6693" s="181"/>
      <c r="K6693" s="181"/>
      <c r="L6693" s="181"/>
      <c r="M6693" s="181"/>
      <c r="N6693" s="181"/>
      <c r="O6693" s="181"/>
      <c r="P6693" s="181"/>
    </row>
    <row r="6694">
      <c r="B6694" s="292"/>
      <c r="C6694" s="181"/>
      <c r="D6694" s="181"/>
      <c r="E6694" s="181"/>
      <c r="F6694" s="181"/>
      <c r="G6694" s="181"/>
      <c r="H6694" s="181"/>
      <c r="I6694" s="181"/>
      <c r="J6694" s="181"/>
      <c r="K6694" s="181"/>
      <c r="L6694" s="181"/>
      <c r="M6694" s="181"/>
      <c r="N6694" s="181"/>
      <c r="O6694" s="181"/>
      <c r="P6694" s="181"/>
    </row>
    <row r="6695">
      <c r="B6695" s="292"/>
      <c r="C6695" s="181"/>
      <c r="D6695" s="181"/>
      <c r="E6695" s="181"/>
      <c r="F6695" s="181"/>
      <c r="G6695" s="181"/>
      <c r="H6695" s="181"/>
      <c r="I6695" s="181"/>
      <c r="J6695" s="181"/>
      <c r="K6695" s="181"/>
      <c r="L6695" s="181"/>
      <c r="M6695" s="181"/>
      <c r="N6695" s="181"/>
      <c r="O6695" s="181"/>
      <c r="P6695" s="181"/>
    </row>
    <row r="6696">
      <c r="B6696" s="292"/>
      <c r="C6696" s="181"/>
      <c r="D6696" s="181"/>
      <c r="E6696" s="181"/>
      <c r="F6696" s="181"/>
      <c r="G6696" s="181"/>
      <c r="H6696" s="181"/>
      <c r="I6696" s="181"/>
      <c r="J6696" s="181"/>
      <c r="K6696" s="181"/>
      <c r="L6696" s="181"/>
      <c r="M6696" s="181"/>
      <c r="N6696" s="181"/>
      <c r="O6696" s="181"/>
      <c r="P6696" s="181"/>
    </row>
    <row r="6697">
      <c r="B6697" s="292"/>
      <c r="C6697" s="181"/>
      <c r="D6697" s="181"/>
      <c r="E6697" s="181"/>
      <c r="F6697" s="181"/>
      <c r="G6697" s="181"/>
      <c r="H6697" s="181"/>
      <c r="I6697" s="181"/>
      <c r="J6697" s="181"/>
      <c r="K6697" s="181"/>
      <c r="L6697" s="181"/>
      <c r="M6697" s="181"/>
      <c r="N6697" s="181"/>
      <c r="O6697" s="181"/>
      <c r="P6697" s="181"/>
    </row>
    <row r="6698">
      <c r="B6698" s="292"/>
      <c r="C6698" s="181"/>
      <c r="D6698" s="181"/>
      <c r="E6698" s="181"/>
      <c r="F6698" s="181"/>
      <c r="G6698" s="181"/>
      <c r="H6698" s="181"/>
      <c r="I6698" s="181"/>
      <c r="J6698" s="181"/>
      <c r="K6698" s="181"/>
      <c r="L6698" s="181"/>
      <c r="M6698" s="181"/>
      <c r="N6698" s="181"/>
      <c r="O6698" s="181"/>
      <c r="P6698" s="181"/>
    </row>
    <row r="6699">
      <c r="B6699" s="292"/>
      <c r="C6699" s="181"/>
      <c r="D6699" s="181"/>
      <c r="E6699" s="181"/>
      <c r="F6699" s="181"/>
      <c r="G6699" s="181"/>
      <c r="H6699" s="181"/>
      <c r="I6699" s="181"/>
      <c r="J6699" s="181"/>
      <c r="K6699" s="181"/>
      <c r="L6699" s="181"/>
      <c r="M6699" s="181"/>
      <c r="N6699" s="181"/>
      <c r="O6699" s="181"/>
      <c r="P6699" s="181"/>
    </row>
    <row r="6700">
      <c r="B6700" s="292"/>
      <c r="C6700" s="181"/>
      <c r="D6700" s="181"/>
      <c r="E6700" s="181"/>
      <c r="F6700" s="181"/>
      <c r="G6700" s="181"/>
      <c r="H6700" s="181"/>
      <c r="I6700" s="181"/>
      <c r="J6700" s="181"/>
      <c r="K6700" s="181"/>
      <c r="L6700" s="181"/>
      <c r="M6700" s="181"/>
      <c r="N6700" s="181"/>
      <c r="O6700" s="181"/>
      <c r="P6700" s="181"/>
    </row>
    <row r="6701">
      <c r="B6701" s="292"/>
      <c r="C6701" s="181"/>
      <c r="D6701" s="181"/>
      <c r="E6701" s="181"/>
      <c r="F6701" s="181"/>
      <c r="G6701" s="181"/>
      <c r="H6701" s="181"/>
      <c r="I6701" s="181"/>
      <c r="J6701" s="181"/>
      <c r="K6701" s="181"/>
      <c r="L6701" s="181"/>
      <c r="M6701" s="181"/>
      <c r="N6701" s="181"/>
      <c r="O6701" s="181"/>
      <c r="P6701" s="181"/>
    </row>
    <row r="6702">
      <c r="B6702" s="292"/>
      <c r="C6702" s="181"/>
      <c r="D6702" s="181"/>
      <c r="E6702" s="181"/>
      <c r="F6702" s="181"/>
      <c r="G6702" s="181"/>
      <c r="H6702" s="181"/>
      <c r="I6702" s="181"/>
      <c r="J6702" s="181"/>
      <c r="K6702" s="181"/>
      <c r="L6702" s="181"/>
      <c r="M6702" s="181"/>
      <c r="N6702" s="181"/>
      <c r="O6702" s="181"/>
      <c r="P6702" s="181"/>
    </row>
    <row r="6703">
      <c r="B6703" s="292"/>
      <c r="C6703" s="181"/>
      <c r="D6703" s="181"/>
      <c r="E6703" s="181"/>
      <c r="F6703" s="181"/>
      <c r="G6703" s="181"/>
      <c r="H6703" s="181"/>
      <c r="I6703" s="181"/>
      <c r="J6703" s="181"/>
      <c r="K6703" s="181"/>
      <c r="L6703" s="181"/>
      <c r="M6703" s="181"/>
      <c r="N6703" s="181"/>
      <c r="O6703" s="181"/>
      <c r="P6703" s="181"/>
    </row>
    <row r="6704">
      <c r="B6704" s="292"/>
      <c r="C6704" s="181"/>
      <c r="D6704" s="181"/>
      <c r="E6704" s="181"/>
      <c r="F6704" s="181"/>
      <c r="G6704" s="181"/>
      <c r="H6704" s="181"/>
      <c r="I6704" s="181"/>
      <c r="J6704" s="181"/>
      <c r="K6704" s="181"/>
      <c r="L6704" s="181"/>
      <c r="M6704" s="181"/>
      <c r="N6704" s="181"/>
      <c r="O6704" s="181"/>
      <c r="P6704" s="181"/>
    </row>
    <row r="6705">
      <c r="B6705" s="292"/>
      <c r="C6705" s="181"/>
      <c r="D6705" s="181"/>
      <c r="E6705" s="181"/>
      <c r="F6705" s="181"/>
      <c r="G6705" s="181"/>
      <c r="H6705" s="181"/>
      <c r="I6705" s="181"/>
      <c r="J6705" s="181"/>
      <c r="K6705" s="181"/>
      <c r="L6705" s="181"/>
      <c r="M6705" s="181"/>
      <c r="N6705" s="181"/>
      <c r="O6705" s="181"/>
      <c r="P6705" s="181"/>
    </row>
    <row r="6706">
      <c r="B6706" s="292"/>
      <c r="C6706" s="181"/>
      <c r="D6706" s="181"/>
      <c r="E6706" s="181"/>
      <c r="F6706" s="181"/>
      <c r="G6706" s="181"/>
      <c r="H6706" s="181"/>
      <c r="I6706" s="181"/>
      <c r="J6706" s="181"/>
      <c r="K6706" s="181"/>
      <c r="L6706" s="181"/>
      <c r="M6706" s="181"/>
      <c r="N6706" s="181"/>
      <c r="O6706" s="181"/>
      <c r="P6706" s="181"/>
    </row>
    <row r="6707">
      <c r="B6707" s="292"/>
      <c r="C6707" s="181"/>
      <c r="D6707" s="181"/>
      <c r="E6707" s="181"/>
      <c r="F6707" s="181"/>
      <c r="G6707" s="181"/>
      <c r="H6707" s="181"/>
      <c r="I6707" s="181"/>
      <c r="J6707" s="181"/>
      <c r="K6707" s="181"/>
      <c r="L6707" s="181"/>
      <c r="M6707" s="181"/>
      <c r="N6707" s="181"/>
      <c r="O6707" s="181"/>
      <c r="P6707" s="181"/>
    </row>
    <row r="6708">
      <c r="B6708" s="292"/>
      <c r="C6708" s="181"/>
      <c r="D6708" s="181"/>
      <c r="E6708" s="181"/>
      <c r="F6708" s="181"/>
      <c r="G6708" s="181"/>
      <c r="H6708" s="181"/>
      <c r="I6708" s="181"/>
      <c r="J6708" s="181"/>
      <c r="K6708" s="181"/>
      <c r="L6708" s="181"/>
      <c r="M6708" s="181"/>
      <c r="N6708" s="181"/>
      <c r="O6708" s="181"/>
      <c r="P6708" s="181"/>
    </row>
    <row r="6709">
      <c r="B6709" s="292"/>
      <c r="C6709" s="181"/>
      <c r="D6709" s="181"/>
      <c r="E6709" s="181"/>
      <c r="F6709" s="181"/>
      <c r="G6709" s="181"/>
      <c r="H6709" s="181"/>
      <c r="I6709" s="181"/>
      <c r="J6709" s="181"/>
      <c r="K6709" s="181"/>
      <c r="L6709" s="181"/>
      <c r="M6709" s="181"/>
      <c r="N6709" s="181"/>
      <c r="O6709" s="181"/>
      <c r="P6709" s="181"/>
    </row>
    <row r="6710">
      <c r="B6710" s="292"/>
      <c r="C6710" s="181"/>
      <c r="D6710" s="181"/>
      <c r="E6710" s="181"/>
      <c r="F6710" s="181"/>
      <c r="G6710" s="181"/>
      <c r="H6710" s="181"/>
      <c r="I6710" s="181"/>
      <c r="J6710" s="181"/>
      <c r="K6710" s="181"/>
      <c r="L6710" s="181"/>
      <c r="M6710" s="181"/>
      <c r="N6710" s="181"/>
      <c r="O6710" s="181"/>
      <c r="P6710" s="181"/>
    </row>
    <row r="6711">
      <c r="B6711" s="292"/>
      <c r="C6711" s="181"/>
      <c r="D6711" s="181"/>
      <c r="E6711" s="181"/>
      <c r="F6711" s="181"/>
      <c r="G6711" s="181"/>
      <c r="H6711" s="181"/>
      <c r="I6711" s="181"/>
      <c r="J6711" s="181"/>
      <c r="K6711" s="181"/>
      <c r="L6711" s="181"/>
      <c r="M6711" s="181"/>
      <c r="N6711" s="181"/>
      <c r="O6711" s="181"/>
      <c r="P6711" s="181"/>
    </row>
    <row r="6712">
      <c r="B6712" s="292"/>
      <c r="C6712" s="181"/>
      <c r="D6712" s="181"/>
      <c r="E6712" s="181"/>
      <c r="F6712" s="181"/>
      <c r="G6712" s="181"/>
      <c r="H6712" s="181"/>
      <c r="I6712" s="181"/>
      <c r="J6712" s="181"/>
      <c r="K6712" s="181"/>
      <c r="L6712" s="181"/>
      <c r="M6712" s="181"/>
      <c r="N6712" s="181"/>
      <c r="O6712" s="181"/>
      <c r="P6712" s="181"/>
    </row>
    <row r="6713">
      <c r="B6713" s="292"/>
      <c r="C6713" s="181"/>
      <c r="D6713" s="181"/>
      <c r="E6713" s="181"/>
      <c r="F6713" s="181"/>
      <c r="G6713" s="181"/>
      <c r="H6713" s="181"/>
      <c r="I6713" s="181"/>
      <c r="J6713" s="181"/>
      <c r="K6713" s="181"/>
      <c r="L6713" s="181"/>
      <c r="M6713" s="181"/>
      <c r="N6713" s="181"/>
      <c r="O6713" s="181"/>
      <c r="P6713" s="181"/>
    </row>
    <row r="6714">
      <c r="B6714" s="292"/>
      <c r="C6714" s="181"/>
      <c r="D6714" s="181"/>
      <c r="E6714" s="181"/>
      <c r="F6714" s="181"/>
      <c r="G6714" s="181"/>
      <c r="H6714" s="181"/>
      <c r="I6714" s="181"/>
      <c r="J6714" s="181"/>
      <c r="K6714" s="181"/>
      <c r="L6714" s="181"/>
      <c r="M6714" s="181"/>
      <c r="N6714" s="181"/>
      <c r="O6714" s="181"/>
      <c r="P6714" s="181"/>
    </row>
    <row r="6715">
      <c r="B6715" s="292"/>
      <c r="C6715" s="181"/>
      <c r="D6715" s="181"/>
      <c r="E6715" s="181"/>
      <c r="F6715" s="181"/>
      <c r="G6715" s="181"/>
      <c r="H6715" s="181"/>
      <c r="I6715" s="181"/>
      <c r="J6715" s="181"/>
      <c r="K6715" s="181"/>
      <c r="L6715" s="181"/>
      <c r="M6715" s="181"/>
      <c r="N6715" s="181"/>
      <c r="O6715" s="181"/>
      <c r="P6715" s="181"/>
    </row>
    <row r="6716">
      <c r="B6716" s="292"/>
      <c r="C6716" s="181"/>
      <c r="D6716" s="181"/>
      <c r="E6716" s="181"/>
      <c r="F6716" s="181"/>
      <c r="G6716" s="181"/>
      <c r="H6716" s="181"/>
      <c r="I6716" s="181"/>
      <c r="J6716" s="181"/>
      <c r="K6716" s="181"/>
      <c r="L6716" s="181"/>
      <c r="M6716" s="181"/>
      <c r="N6716" s="181"/>
      <c r="O6716" s="181"/>
      <c r="P6716" s="181"/>
    </row>
    <row r="6717">
      <c r="B6717" s="292"/>
      <c r="C6717" s="181"/>
      <c r="D6717" s="181"/>
      <c r="E6717" s="181"/>
      <c r="F6717" s="181"/>
      <c r="G6717" s="181"/>
      <c r="H6717" s="181"/>
      <c r="I6717" s="181"/>
      <c r="J6717" s="181"/>
      <c r="K6717" s="181"/>
      <c r="L6717" s="181"/>
      <c r="M6717" s="181"/>
      <c r="N6717" s="181"/>
      <c r="O6717" s="181"/>
      <c r="P6717" s="181"/>
    </row>
    <row r="6718">
      <c r="B6718" s="292"/>
      <c r="C6718" s="181"/>
      <c r="D6718" s="181"/>
      <c r="E6718" s="181"/>
      <c r="F6718" s="181"/>
      <c r="G6718" s="181"/>
      <c r="H6718" s="181"/>
      <c r="I6718" s="181"/>
      <c r="J6718" s="181"/>
      <c r="K6718" s="181"/>
      <c r="L6718" s="181"/>
      <c r="M6718" s="181"/>
      <c r="N6718" s="181"/>
      <c r="O6718" s="181"/>
      <c r="P6718" s="181"/>
    </row>
    <row r="6719">
      <c r="B6719" s="292"/>
      <c r="C6719" s="181"/>
      <c r="D6719" s="181"/>
      <c r="E6719" s="181"/>
      <c r="F6719" s="181"/>
      <c r="G6719" s="181"/>
      <c r="H6719" s="181"/>
      <c r="I6719" s="181"/>
      <c r="J6719" s="181"/>
      <c r="K6719" s="181"/>
      <c r="L6719" s="181"/>
      <c r="M6719" s="181"/>
      <c r="N6719" s="181"/>
      <c r="O6719" s="181"/>
      <c r="P6719" s="181"/>
    </row>
    <row r="6720">
      <c r="B6720" s="292"/>
      <c r="C6720" s="181"/>
      <c r="D6720" s="181"/>
      <c r="E6720" s="181"/>
      <c r="F6720" s="181"/>
      <c r="G6720" s="181"/>
      <c r="H6720" s="181"/>
      <c r="I6720" s="181"/>
      <c r="J6720" s="181"/>
      <c r="K6720" s="181"/>
      <c r="L6720" s="181"/>
      <c r="M6720" s="181"/>
      <c r="N6720" s="181"/>
      <c r="O6720" s="181"/>
      <c r="P6720" s="181"/>
    </row>
    <row r="6721">
      <c r="B6721" s="292"/>
      <c r="C6721" s="181"/>
      <c r="D6721" s="181"/>
      <c r="E6721" s="181"/>
      <c r="F6721" s="181"/>
      <c r="G6721" s="181"/>
      <c r="H6721" s="181"/>
      <c r="I6721" s="181"/>
      <c r="J6721" s="181"/>
      <c r="K6721" s="181"/>
      <c r="L6721" s="181"/>
      <c r="M6721" s="181"/>
      <c r="N6721" s="181"/>
      <c r="O6721" s="181"/>
      <c r="P6721" s="181"/>
    </row>
    <row r="6722">
      <c r="B6722" s="292"/>
      <c r="C6722" s="181"/>
      <c r="D6722" s="181"/>
      <c r="E6722" s="181"/>
      <c r="F6722" s="181"/>
      <c r="G6722" s="181"/>
      <c r="H6722" s="181"/>
      <c r="I6722" s="181"/>
      <c r="J6722" s="181"/>
      <c r="K6722" s="181"/>
      <c r="L6722" s="181"/>
      <c r="M6722" s="181"/>
      <c r="N6722" s="181"/>
      <c r="O6722" s="181"/>
      <c r="P6722" s="181"/>
    </row>
    <row r="6723">
      <c r="B6723" s="292"/>
      <c r="C6723" s="181"/>
      <c r="D6723" s="181"/>
      <c r="E6723" s="181"/>
      <c r="F6723" s="181"/>
      <c r="G6723" s="181"/>
      <c r="H6723" s="181"/>
      <c r="I6723" s="181"/>
      <c r="J6723" s="181"/>
      <c r="K6723" s="181"/>
      <c r="L6723" s="181"/>
      <c r="M6723" s="181"/>
      <c r="N6723" s="181"/>
      <c r="O6723" s="181"/>
      <c r="P6723" s="181"/>
    </row>
    <row r="6724">
      <c r="B6724" s="292"/>
      <c r="C6724" s="181"/>
      <c r="D6724" s="181"/>
      <c r="E6724" s="181"/>
      <c r="F6724" s="181"/>
      <c r="G6724" s="181"/>
      <c r="H6724" s="181"/>
      <c r="I6724" s="181"/>
      <c r="J6724" s="181"/>
      <c r="K6724" s="181"/>
      <c r="L6724" s="181"/>
      <c r="M6724" s="181"/>
      <c r="N6724" s="181"/>
      <c r="O6724" s="181"/>
      <c r="P6724" s="181"/>
    </row>
    <row r="6725">
      <c r="B6725" s="292"/>
      <c r="C6725" s="181"/>
      <c r="D6725" s="181"/>
      <c r="E6725" s="181"/>
      <c r="F6725" s="181"/>
      <c r="G6725" s="181"/>
      <c r="H6725" s="181"/>
      <c r="I6725" s="181"/>
      <c r="J6725" s="181"/>
      <c r="K6725" s="181"/>
      <c r="L6725" s="181"/>
      <c r="M6725" s="181"/>
      <c r="N6725" s="181"/>
      <c r="O6725" s="181"/>
      <c r="P6725" s="181"/>
    </row>
    <row r="6726">
      <c r="B6726" s="292"/>
      <c r="C6726" s="181"/>
      <c r="D6726" s="181"/>
      <c r="E6726" s="181"/>
      <c r="F6726" s="181"/>
      <c r="G6726" s="181"/>
      <c r="H6726" s="181"/>
      <c r="I6726" s="181"/>
      <c r="J6726" s="181"/>
      <c r="K6726" s="181"/>
      <c r="L6726" s="181"/>
      <c r="M6726" s="181"/>
      <c r="N6726" s="181"/>
      <c r="O6726" s="181"/>
      <c r="P6726" s="181"/>
    </row>
    <row r="6727">
      <c r="B6727" s="292"/>
      <c r="C6727" s="181"/>
      <c r="D6727" s="181"/>
      <c r="E6727" s="181"/>
      <c r="F6727" s="181"/>
      <c r="G6727" s="181"/>
      <c r="H6727" s="181"/>
      <c r="I6727" s="181"/>
      <c r="J6727" s="181"/>
      <c r="K6727" s="181"/>
      <c r="L6727" s="181"/>
      <c r="M6727" s="181"/>
      <c r="N6727" s="181"/>
      <c r="O6727" s="181"/>
      <c r="P6727" s="181"/>
    </row>
    <row r="6728">
      <c r="B6728" s="292"/>
      <c r="C6728" s="181"/>
      <c r="D6728" s="181"/>
      <c r="E6728" s="181"/>
      <c r="F6728" s="181"/>
      <c r="G6728" s="181"/>
      <c r="H6728" s="181"/>
      <c r="I6728" s="181"/>
      <c r="J6728" s="181"/>
      <c r="K6728" s="181"/>
      <c r="L6728" s="181"/>
      <c r="M6728" s="181"/>
      <c r="N6728" s="181"/>
      <c r="O6728" s="181"/>
      <c r="P6728" s="181"/>
    </row>
    <row r="6729">
      <c r="B6729" s="292"/>
      <c r="C6729" s="181"/>
      <c r="D6729" s="181"/>
      <c r="E6729" s="181"/>
      <c r="F6729" s="181"/>
      <c r="G6729" s="181"/>
      <c r="H6729" s="181"/>
      <c r="I6729" s="181"/>
      <c r="J6729" s="181"/>
      <c r="K6729" s="181"/>
      <c r="L6729" s="181"/>
      <c r="M6729" s="181"/>
      <c r="N6729" s="181"/>
      <c r="O6729" s="181"/>
      <c r="P6729" s="181"/>
    </row>
    <row r="6730">
      <c r="B6730" s="292"/>
      <c r="C6730" s="181"/>
      <c r="D6730" s="181"/>
      <c r="E6730" s="181"/>
      <c r="F6730" s="181"/>
      <c r="G6730" s="181"/>
      <c r="H6730" s="181"/>
      <c r="I6730" s="181"/>
      <c r="J6730" s="181"/>
      <c r="K6730" s="181"/>
      <c r="L6730" s="181"/>
      <c r="M6730" s="181"/>
      <c r="N6730" s="181"/>
      <c r="O6730" s="181"/>
      <c r="P6730" s="181"/>
    </row>
    <row r="6731">
      <c r="B6731" s="292"/>
      <c r="C6731" s="181"/>
      <c r="D6731" s="181"/>
      <c r="E6731" s="181"/>
      <c r="F6731" s="181"/>
      <c r="G6731" s="181"/>
      <c r="H6731" s="181"/>
      <c r="I6731" s="181"/>
      <c r="J6731" s="181"/>
      <c r="K6731" s="181"/>
      <c r="L6731" s="181"/>
      <c r="M6731" s="181"/>
      <c r="N6731" s="181"/>
      <c r="O6731" s="181"/>
      <c r="P6731" s="181"/>
    </row>
    <row r="6732">
      <c r="B6732" s="292"/>
      <c r="C6732" s="181"/>
      <c r="D6732" s="181"/>
      <c r="E6732" s="181"/>
      <c r="F6732" s="181"/>
      <c r="G6732" s="181"/>
      <c r="H6732" s="181"/>
      <c r="I6732" s="181"/>
      <c r="J6732" s="181"/>
      <c r="K6732" s="181"/>
      <c r="L6732" s="181"/>
      <c r="M6732" s="181"/>
      <c r="N6732" s="181"/>
      <c r="O6732" s="181"/>
      <c r="P6732" s="181"/>
    </row>
    <row r="6733">
      <c r="B6733" s="292"/>
      <c r="C6733" s="181"/>
      <c r="D6733" s="181"/>
      <c r="E6733" s="181"/>
      <c r="F6733" s="181"/>
      <c r="G6733" s="181"/>
      <c r="H6733" s="181"/>
      <c r="I6733" s="181"/>
      <c r="J6733" s="181"/>
      <c r="K6733" s="181"/>
      <c r="L6733" s="181"/>
      <c r="M6733" s="181"/>
      <c r="N6733" s="181"/>
      <c r="O6733" s="181"/>
      <c r="P6733" s="181"/>
    </row>
    <row r="6734">
      <c r="B6734" s="292"/>
      <c r="C6734" s="181"/>
      <c r="D6734" s="181"/>
      <c r="E6734" s="181"/>
      <c r="F6734" s="181"/>
      <c r="G6734" s="181"/>
      <c r="H6734" s="181"/>
      <c r="I6734" s="181"/>
      <c r="J6734" s="181"/>
      <c r="K6734" s="181"/>
      <c r="L6734" s="181"/>
      <c r="M6734" s="181"/>
      <c r="N6734" s="181"/>
      <c r="O6734" s="181"/>
      <c r="P6734" s="181"/>
    </row>
    <row r="6735">
      <c r="B6735" s="292"/>
      <c r="C6735" s="181"/>
      <c r="D6735" s="181"/>
      <c r="E6735" s="181"/>
      <c r="F6735" s="181"/>
      <c r="G6735" s="181"/>
      <c r="H6735" s="181"/>
      <c r="I6735" s="181"/>
      <c r="J6735" s="181"/>
      <c r="K6735" s="181"/>
      <c r="L6735" s="181"/>
      <c r="M6735" s="181"/>
      <c r="N6735" s="181"/>
      <c r="O6735" s="181"/>
      <c r="P6735" s="181"/>
    </row>
    <row r="6736">
      <c r="B6736" s="292"/>
      <c r="C6736" s="181"/>
      <c r="D6736" s="181"/>
      <c r="E6736" s="181"/>
      <c r="F6736" s="181"/>
      <c r="G6736" s="181"/>
      <c r="H6736" s="181"/>
      <c r="I6736" s="181"/>
      <c r="J6736" s="181"/>
      <c r="K6736" s="181"/>
      <c r="L6736" s="181"/>
      <c r="M6736" s="181"/>
      <c r="N6736" s="181"/>
      <c r="O6736" s="181"/>
      <c r="P6736" s="181"/>
    </row>
    <row r="6737">
      <c r="B6737" s="292"/>
      <c r="C6737" s="181"/>
      <c r="D6737" s="181"/>
      <c r="E6737" s="181"/>
      <c r="F6737" s="181"/>
      <c r="G6737" s="181"/>
      <c r="H6737" s="181"/>
      <c r="I6737" s="181"/>
      <c r="J6737" s="181"/>
      <c r="K6737" s="181"/>
      <c r="L6737" s="181"/>
      <c r="M6737" s="181"/>
      <c r="N6737" s="181"/>
      <c r="O6737" s="181"/>
      <c r="P6737" s="181"/>
    </row>
    <row r="6738">
      <c r="B6738" s="292"/>
      <c r="C6738" s="181"/>
      <c r="D6738" s="181"/>
      <c r="E6738" s="181"/>
      <c r="F6738" s="181"/>
      <c r="G6738" s="181"/>
      <c r="H6738" s="181"/>
      <c r="I6738" s="181"/>
      <c r="J6738" s="181"/>
      <c r="K6738" s="181"/>
      <c r="L6738" s="181"/>
      <c r="M6738" s="181"/>
      <c r="N6738" s="181"/>
      <c r="O6738" s="181"/>
      <c r="P6738" s="181"/>
    </row>
    <row r="6739">
      <c r="B6739" s="292"/>
      <c r="C6739" s="181"/>
      <c r="D6739" s="181"/>
      <c r="E6739" s="181"/>
      <c r="F6739" s="181"/>
      <c r="G6739" s="181"/>
      <c r="H6739" s="181"/>
      <c r="I6739" s="181"/>
      <c r="J6739" s="181"/>
      <c r="K6739" s="181"/>
      <c r="L6739" s="181"/>
      <c r="M6739" s="181"/>
      <c r="N6739" s="181"/>
      <c r="O6739" s="181"/>
      <c r="P6739" s="181"/>
    </row>
    <row r="6740">
      <c r="B6740" s="292"/>
      <c r="C6740" s="181"/>
      <c r="D6740" s="181"/>
      <c r="E6740" s="181"/>
      <c r="F6740" s="181"/>
      <c r="G6740" s="181"/>
      <c r="H6740" s="181"/>
      <c r="I6740" s="181"/>
      <c r="J6740" s="181"/>
      <c r="K6740" s="181"/>
      <c r="L6740" s="181"/>
      <c r="M6740" s="181"/>
      <c r="N6740" s="181"/>
      <c r="O6740" s="181"/>
      <c r="P6740" s="181"/>
    </row>
    <row r="6741">
      <c r="B6741" s="292"/>
      <c r="C6741" s="181"/>
      <c r="D6741" s="181"/>
      <c r="E6741" s="181"/>
      <c r="F6741" s="181"/>
      <c r="G6741" s="181"/>
      <c r="H6741" s="181"/>
      <c r="I6741" s="181"/>
      <c r="J6741" s="181"/>
      <c r="K6741" s="181"/>
      <c r="L6741" s="181"/>
      <c r="M6741" s="181"/>
      <c r="N6741" s="181"/>
      <c r="O6741" s="181"/>
      <c r="P6741" s="181"/>
    </row>
    <row r="6742">
      <c r="B6742" s="292"/>
      <c r="C6742" s="181"/>
      <c r="D6742" s="181"/>
      <c r="E6742" s="181"/>
      <c r="F6742" s="181"/>
      <c r="G6742" s="181"/>
      <c r="H6742" s="181"/>
      <c r="I6742" s="181"/>
      <c r="J6742" s="181"/>
      <c r="K6742" s="181"/>
      <c r="L6742" s="181"/>
      <c r="M6742" s="181"/>
      <c r="N6742" s="181"/>
      <c r="O6742" s="181"/>
      <c r="P6742" s="181"/>
    </row>
    <row r="6743">
      <c r="B6743" s="292"/>
      <c r="C6743" s="181"/>
      <c r="D6743" s="181"/>
      <c r="E6743" s="181"/>
      <c r="F6743" s="181"/>
      <c r="G6743" s="181"/>
      <c r="H6743" s="181"/>
      <c r="I6743" s="181"/>
      <c r="J6743" s="181"/>
      <c r="K6743" s="181"/>
      <c r="L6743" s="181"/>
      <c r="M6743" s="181"/>
      <c r="N6743" s="181"/>
      <c r="O6743" s="181"/>
      <c r="P6743" s="181"/>
    </row>
    <row r="6744">
      <c r="B6744" s="292"/>
      <c r="C6744" s="181"/>
      <c r="D6744" s="181"/>
      <c r="E6744" s="181"/>
      <c r="F6744" s="181"/>
      <c r="G6744" s="181"/>
      <c r="H6744" s="181"/>
      <c r="I6744" s="181"/>
      <c r="J6744" s="181"/>
      <c r="K6744" s="181"/>
      <c r="L6744" s="181"/>
      <c r="M6744" s="181"/>
      <c r="N6744" s="181"/>
      <c r="O6744" s="181"/>
      <c r="P6744" s="181"/>
    </row>
    <row r="6745">
      <c r="B6745" s="292"/>
      <c r="C6745" s="181"/>
      <c r="D6745" s="181"/>
      <c r="E6745" s="181"/>
      <c r="F6745" s="181"/>
      <c r="G6745" s="181"/>
      <c r="H6745" s="181"/>
      <c r="I6745" s="181"/>
      <c r="J6745" s="181"/>
      <c r="K6745" s="181"/>
      <c r="L6745" s="181"/>
      <c r="M6745" s="181"/>
      <c r="N6745" s="181"/>
      <c r="O6745" s="181"/>
      <c r="P6745" s="181"/>
    </row>
    <row r="6746">
      <c r="B6746" s="292"/>
      <c r="C6746" s="181"/>
      <c r="D6746" s="181"/>
      <c r="E6746" s="181"/>
      <c r="F6746" s="181"/>
      <c r="G6746" s="181"/>
      <c r="H6746" s="181"/>
      <c r="I6746" s="181"/>
      <c r="J6746" s="181"/>
      <c r="K6746" s="181"/>
      <c r="L6746" s="181"/>
      <c r="M6746" s="181"/>
      <c r="N6746" s="181"/>
      <c r="O6746" s="181"/>
      <c r="P6746" s="181"/>
    </row>
    <row r="6747">
      <c r="B6747" s="292"/>
      <c r="C6747" s="181"/>
      <c r="D6747" s="181"/>
      <c r="E6747" s="181"/>
      <c r="F6747" s="181"/>
      <c r="G6747" s="181"/>
      <c r="H6747" s="181"/>
      <c r="I6747" s="181"/>
      <c r="J6747" s="181"/>
      <c r="K6747" s="181"/>
      <c r="L6747" s="181"/>
      <c r="M6747" s="181"/>
      <c r="N6747" s="181"/>
      <c r="O6747" s="181"/>
      <c r="P6747" s="181"/>
    </row>
    <row r="6748">
      <c r="B6748" s="292"/>
      <c r="C6748" s="181"/>
      <c r="D6748" s="181"/>
      <c r="E6748" s="181"/>
      <c r="F6748" s="181"/>
      <c r="G6748" s="181"/>
      <c r="H6748" s="181"/>
      <c r="I6748" s="181"/>
      <c r="J6748" s="181"/>
      <c r="K6748" s="181"/>
      <c r="L6748" s="181"/>
      <c r="M6748" s="181"/>
      <c r="N6748" s="181"/>
      <c r="O6748" s="181"/>
      <c r="P6748" s="181"/>
    </row>
    <row r="6749">
      <c r="B6749" s="292"/>
      <c r="C6749" s="181"/>
      <c r="D6749" s="181"/>
      <c r="E6749" s="181"/>
      <c r="F6749" s="181"/>
      <c r="G6749" s="181"/>
      <c r="H6749" s="181"/>
      <c r="I6749" s="181"/>
      <c r="J6749" s="181"/>
      <c r="K6749" s="181"/>
      <c r="L6749" s="181"/>
      <c r="M6749" s="181"/>
      <c r="N6749" s="181"/>
      <c r="O6749" s="181"/>
      <c r="P6749" s="181"/>
    </row>
    <row r="6750">
      <c r="B6750" s="292"/>
      <c r="C6750" s="181"/>
      <c r="D6750" s="181"/>
      <c r="E6750" s="181"/>
      <c r="F6750" s="181"/>
      <c r="G6750" s="181"/>
      <c r="H6750" s="181"/>
      <c r="I6750" s="181"/>
      <c r="J6750" s="181"/>
      <c r="K6750" s="181"/>
      <c r="L6750" s="181"/>
      <c r="M6750" s="181"/>
      <c r="N6750" s="181"/>
      <c r="O6750" s="181"/>
      <c r="P6750" s="181"/>
    </row>
    <row r="6751">
      <c r="B6751" s="292"/>
      <c r="C6751" s="181"/>
      <c r="D6751" s="181"/>
      <c r="E6751" s="181"/>
      <c r="F6751" s="181"/>
      <c r="G6751" s="181"/>
      <c r="H6751" s="181"/>
      <c r="I6751" s="181"/>
      <c r="J6751" s="181"/>
      <c r="K6751" s="181"/>
      <c r="L6751" s="181"/>
      <c r="M6751" s="181"/>
      <c r="N6751" s="181"/>
      <c r="O6751" s="181"/>
      <c r="P6751" s="181"/>
    </row>
    <row r="6752">
      <c r="B6752" s="292"/>
      <c r="C6752" s="181"/>
      <c r="D6752" s="181"/>
      <c r="E6752" s="181"/>
      <c r="F6752" s="181"/>
      <c r="G6752" s="181"/>
      <c r="H6752" s="181"/>
      <c r="I6752" s="181"/>
      <c r="J6752" s="181"/>
      <c r="K6752" s="181"/>
      <c r="L6752" s="181"/>
      <c r="M6752" s="181"/>
      <c r="N6752" s="181"/>
      <c r="O6752" s="181"/>
      <c r="P6752" s="181"/>
    </row>
    <row r="6753">
      <c r="B6753" s="292"/>
      <c r="C6753" s="181"/>
      <c r="D6753" s="181"/>
      <c r="E6753" s="181"/>
      <c r="F6753" s="181"/>
      <c r="G6753" s="181"/>
      <c r="H6753" s="181"/>
      <c r="I6753" s="181"/>
      <c r="J6753" s="181"/>
      <c r="K6753" s="181"/>
      <c r="L6753" s="181"/>
      <c r="M6753" s="181"/>
      <c r="N6753" s="181"/>
      <c r="O6753" s="181"/>
      <c r="P6753" s="181"/>
    </row>
    <row r="6754">
      <c r="B6754" s="292"/>
      <c r="C6754" s="181"/>
      <c r="D6754" s="181"/>
      <c r="E6754" s="181"/>
      <c r="F6754" s="181"/>
      <c r="G6754" s="181"/>
      <c r="H6754" s="181"/>
      <c r="I6754" s="181"/>
      <c r="J6754" s="181"/>
      <c r="K6754" s="181"/>
      <c r="L6754" s="181"/>
      <c r="M6754" s="181"/>
      <c r="N6754" s="181"/>
      <c r="O6754" s="181"/>
      <c r="P6754" s="181"/>
    </row>
    <row r="6755">
      <c r="B6755" s="292"/>
      <c r="C6755" s="181"/>
      <c r="D6755" s="181"/>
      <c r="E6755" s="181"/>
      <c r="F6755" s="181"/>
      <c r="G6755" s="181"/>
      <c r="H6755" s="181"/>
      <c r="I6755" s="181"/>
      <c r="J6755" s="181"/>
      <c r="K6755" s="181"/>
      <c r="L6755" s="181"/>
      <c r="M6755" s="181"/>
      <c r="N6755" s="181"/>
      <c r="O6755" s="181"/>
      <c r="P6755" s="181"/>
    </row>
    <row r="6756">
      <c r="B6756" s="292"/>
      <c r="C6756" s="181"/>
      <c r="D6756" s="181"/>
      <c r="E6756" s="181"/>
      <c r="F6756" s="181"/>
      <c r="G6756" s="181"/>
      <c r="H6756" s="181"/>
      <c r="I6756" s="181"/>
      <c r="J6756" s="181"/>
      <c r="K6756" s="181"/>
      <c r="L6756" s="181"/>
      <c r="M6756" s="181"/>
      <c r="N6756" s="181"/>
      <c r="O6756" s="181"/>
      <c r="P6756" s="181"/>
    </row>
    <row r="6757">
      <c r="B6757" s="292"/>
      <c r="C6757" s="181"/>
      <c r="D6757" s="181"/>
      <c r="E6757" s="181"/>
      <c r="F6757" s="181"/>
      <c r="G6757" s="181"/>
      <c r="H6757" s="181"/>
      <c r="I6757" s="181"/>
      <c r="J6757" s="181"/>
      <c r="K6757" s="181"/>
      <c r="L6757" s="181"/>
      <c r="M6757" s="181"/>
      <c r="N6757" s="181"/>
      <c r="O6757" s="181"/>
      <c r="P6757" s="181"/>
    </row>
    <row r="6758">
      <c r="B6758" s="292"/>
      <c r="C6758" s="181"/>
      <c r="D6758" s="181"/>
      <c r="E6758" s="181"/>
      <c r="F6758" s="181"/>
      <c r="G6758" s="181"/>
      <c r="H6758" s="181"/>
      <c r="I6758" s="181"/>
      <c r="J6758" s="181"/>
      <c r="K6758" s="181"/>
      <c r="L6758" s="181"/>
      <c r="M6758" s="181"/>
      <c r="N6758" s="181"/>
      <c r="O6758" s="181"/>
      <c r="P6758" s="181"/>
    </row>
    <row r="6759">
      <c r="B6759" s="292"/>
      <c r="C6759" s="181"/>
      <c r="D6759" s="181"/>
      <c r="E6759" s="181"/>
      <c r="F6759" s="181"/>
      <c r="G6759" s="181"/>
      <c r="H6759" s="181"/>
      <c r="I6759" s="181"/>
      <c r="J6759" s="181"/>
      <c r="K6759" s="181"/>
      <c r="L6759" s="181"/>
      <c r="M6759" s="181"/>
      <c r="N6759" s="181"/>
      <c r="O6759" s="181"/>
      <c r="P6759" s="181"/>
    </row>
    <row r="6760">
      <c r="B6760" s="292"/>
      <c r="C6760" s="181"/>
      <c r="D6760" s="181"/>
      <c r="E6760" s="181"/>
      <c r="F6760" s="181"/>
      <c r="G6760" s="181"/>
      <c r="H6760" s="181"/>
      <c r="I6760" s="181"/>
      <c r="J6760" s="181"/>
      <c r="K6760" s="181"/>
      <c r="L6760" s="181"/>
      <c r="M6760" s="181"/>
      <c r="N6760" s="181"/>
      <c r="O6760" s="181"/>
      <c r="P6760" s="181"/>
    </row>
    <row r="6761">
      <c r="B6761" s="292"/>
      <c r="C6761" s="181"/>
      <c r="D6761" s="181"/>
      <c r="E6761" s="181"/>
      <c r="F6761" s="181"/>
      <c r="G6761" s="181"/>
      <c r="H6761" s="181"/>
      <c r="I6761" s="181"/>
      <c r="J6761" s="181"/>
      <c r="K6761" s="181"/>
      <c r="L6761" s="181"/>
      <c r="M6761" s="181"/>
      <c r="N6761" s="181"/>
      <c r="O6761" s="181"/>
      <c r="P6761" s="181"/>
    </row>
    <row r="6762">
      <c r="B6762" s="292"/>
      <c r="C6762" s="181"/>
      <c r="D6762" s="181"/>
      <c r="E6762" s="181"/>
      <c r="F6762" s="181"/>
      <c r="G6762" s="181"/>
      <c r="H6762" s="181"/>
      <c r="I6762" s="181"/>
      <c r="J6762" s="181"/>
      <c r="K6762" s="181"/>
      <c r="L6762" s="181"/>
      <c r="M6762" s="181"/>
      <c r="N6762" s="181"/>
      <c r="O6762" s="181"/>
      <c r="P6762" s="181"/>
    </row>
    <row r="6763">
      <c r="B6763" s="292"/>
      <c r="C6763" s="181"/>
      <c r="D6763" s="181"/>
      <c r="E6763" s="181"/>
      <c r="F6763" s="181"/>
      <c r="G6763" s="181"/>
      <c r="H6763" s="181"/>
      <c r="I6763" s="181"/>
      <c r="J6763" s="181"/>
      <c r="K6763" s="181"/>
      <c r="L6763" s="181"/>
      <c r="M6763" s="181"/>
      <c r="N6763" s="181"/>
      <c r="O6763" s="181"/>
      <c r="P6763" s="181"/>
    </row>
    <row r="6764">
      <c r="B6764" s="292"/>
      <c r="C6764" s="181"/>
      <c r="D6764" s="181"/>
      <c r="E6764" s="181"/>
      <c r="F6764" s="181"/>
      <c r="G6764" s="181"/>
      <c r="H6764" s="181"/>
      <c r="I6764" s="181"/>
      <c r="J6764" s="181"/>
      <c r="K6764" s="181"/>
      <c r="L6764" s="181"/>
      <c r="M6764" s="181"/>
      <c r="N6764" s="181"/>
      <c r="O6764" s="181"/>
      <c r="P6764" s="181"/>
    </row>
    <row r="6765">
      <c r="B6765" s="292"/>
      <c r="C6765" s="181"/>
      <c r="D6765" s="181"/>
      <c r="E6765" s="181"/>
      <c r="F6765" s="181"/>
      <c r="G6765" s="181"/>
      <c r="H6765" s="181"/>
      <c r="I6765" s="181"/>
      <c r="J6765" s="181"/>
      <c r="K6765" s="181"/>
      <c r="L6765" s="181"/>
      <c r="M6765" s="181"/>
      <c r="N6765" s="181"/>
      <c r="O6765" s="181"/>
      <c r="P6765" s="181"/>
    </row>
    <row r="6766">
      <c r="B6766" s="292"/>
      <c r="C6766" s="181"/>
      <c r="D6766" s="181"/>
      <c r="E6766" s="181"/>
      <c r="F6766" s="181"/>
      <c r="G6766" s="181"/>
      <c r="H6766" s="181"/>
      <c r="I6766" s="181"/>
      <c r="J6766" s="181"/>
      <c r="K6766" s="181"/>
      <c r="L6766" s="181"/>
      <c r="M6766" s="181"/>
      <c r="N6766" s="181"/>
      <c r="O6766" s="181"/>
      <c r="P6766" s="181"/>
    </row>
    <row r="6767">
      <c r="B6767" s="292"/>
      <c r="C6767" s="181"/>
      <c r="D6767" s="181"/>
      <c r="E6767" s="181"/>
      <c r="F6767" s="181"/>
      <c r="G6767" s="181"/>
      <c r="H6767" s="181"/>
      <c r="I6767" s="181"/>
      <c r="J6767" s="181"/>
      <c r="K6767" s="181"/>
      <c r="L6767" s="181"/>
      <c r="M6767" s="181"/>
      <c r="N6767" s="181"/>
      <c r="O6767" s="181"/>
      <c r="P6767" s="181"/>
    </row>
    <row r="6768">
      <c r="B6768" s="292"/>
      <c r="C6768" s="181"/>
      <c r="D6768" s="181"/>
      <c r="E6768" s="181"/>
      <c r="F6768" s="181"/>
      <c r="G6768" s="181"/>
      <c r="H6768" s="181"/>
      <c r="I6768" s="181"/>
      <c r="J6768" s="181"/>
      <c r="K6768" s="181"/>
      <c r="L6768" s="181"/>
      <c r="M6768" s="181"/>
      <c r="N6768" s="181"/>
      <c r="O6768" s="181"/>
      <c r="P6768" s="181"/>
    </row>
    <row r="6769">
      <c r="B6769" s="292"/>
      <c r="C6769" s="181"/>
      <c r="D6769" s="181"/>
      <c r="E6769" s="181"/>
      <c r="F6769" s="181"/>
      <c r="G6769" s="181"/>
      <c r="H6769" s="181"/>
      <c r="I6769" s="181"/>
      <c r="J6769" s="181"/>
      <c r="K6769" s="181"/>
      <c r="L6769" s="181"/>
      <c r="M6769" s="181"/>
      <c r="N6769" s="181"/>
      <c r="O6769" s="181"/>
      <c r="P6769" s="181"/>
    </row>
    <row r="6770">
      <c r="B6770" s="292"/>
      <c r="C6770" s="181"/>
      <c r="D6770" s="181"/>
      <c r="E6770" s="181"/>
      <c r="F6770" s="181"/>
      <c r="G6770" s="181"/>
      <c r="H6770" s="181"/>
      <c r="I6770" s="181"/>
      <c r="J6770" s="181"/>
      <c r="K6770" s="181"/>
      <c r="L6770" s="181"/>
      <c r="M6770" s="181"/>
      <c r="N6770" s="181"/>
      <c r="O6770" s="181"/>
      <c r="P6770" s="181"/>
    </row>
    <row r="6771">
      <c r="B6771" s="292"/>
      <c r="C6771" s="181"/>
      <c r="D6771" s="181"/>
      <c r="E6771" s="181"/>
      <c r="F6771" s="181"/>
      <c r="G6771" s="181"/>
      <c r="H6771" s="181"/>
      <c r="I6771" s="181"/>
      <c r="J6771" s="181"/>
      <c r="K6771" s="181"/>
      <c r="L6771" s="181"/>
      <c r="M6771" s="181"/>
      <c r="N6771" s="181"/>
      <c r="O6771" s="181"/>
      <c r="P6771" s="181"/>
    </row>
    <row r="6772">
      <c r="B6772" s="292"/>
      <c r="C6772" s="181"/>
      <c r="D6772" s="181"/>
      <c r="E6772" s="181"/>
      <c r="F6772" s="181"/>
      <c r="G6772" s="181"/>
      <c r="H6772" s="181"/>
      <c r="I6772" s="181"/>
      <c r="J6772" s="181"/>
      <c r="K6772" s="181"/>
      <c r="L6772" s="181"/>
      <c r="M6772" s="181"/>
      <c r="N6772" s="181"/>
      <c r="O6772" s="181"/>
      <c r="P6772" s="181"/>
    </row>
    <row r="6773">
      <c r="B6773" s="292"/>
      <c r="C6773" s="181"/>
      <c r="D6773" s="181"/>
      <c r="E6773" s="181"/>
      <c r="F6773" s="181"/>
      <c r="G6773" s="181"/>
      <c r="H6773" s="181"/>
      <c r="I6773" s="181"/>
      <c r="J6773" s="181"/>
      <c r="K6773" s="181"/>
      <c r="L6773" s="181"/>
      <c r="M6773" s="181"/>
      <c r="N6773" s="181"/>
      <c r="O6773" s="181"/>
      <c r="P6773" s="181"/>
    </row>
    <row r="6774">
      <c r="B6774" s="292"/>
      <c r="C6774" s="181"/>
      <c r="D6774" s="181"/>
      <c r="E6774" s="181"/>
      <c r="F6774" s="181"/>
      <c r="G6774" s="181"/>
      <c r="H6774" s="181"/>
      <c r="I6774" s="181"/>
      <c r="J6774" s="181"/>
      <c r="K6774" s="181"/>
      <c r="L6774" s="181"/>
      <c r="M6774" s="181"/>
      <c r="N6774" s="181"/>
      <c r="O6774" s="181"/>
      <c r="P6774" s="181"/>
    </row>
    <row r="6775">
      <c r="B6775" s="292"/>
      <c r="C6775" s="181"/>
      <c r="D6775" s="181"/>
      <c r="E6775" s="181"/>
      <c r="F6775" s="181"/>
      <c r="G6775" s="181"/>
      <c r="H6775" s="181"/>
      <c r="I6775" s="181"/>
      <c r="J6775" s="181"/>
      <c r="K6775" s="181"/>
      <c r="L6775" s="181"/>
      <c r="M6775" s="181"/>
      <c r="N6775" s="181"/>
      <c r="O6775" s="181"/>
      <c r="P6775" s="181"/>
    </row>
    <row r="6776">
      <c r="B6776" s="292"/>
      <c r="C6776" s="181"/>
      <c r="D6776" s="181"/>
      <c r="E6776" s="181"/>
      <c r="F6776" s="181"/>
      <c r="G6776" s="181"/>
      <c r="H6776" s="181"/>
      <c r="I6776" s="181"/>
      <c r="J6776" s="181"/>
      <c r="K6776" s="181"/>
      <c r="L6776" s="181"/>
      <c r="M6776" s="181"/>
      <c r="N6776" s="181"/>
      <c r="O6776" s="181"/>
      <c r="P6776" s="181"/>
    </row>
    <row r="6777">
      <c r="B6777" s="292"/>
      <c r="C6777" s="181"/>
      <c r="D6777" s="181"/>
      <c r="E6777" s="181"/>
      <c r="F6777" s="181"/>
      <c r="G6777" s="181"/>
      <c r="H6777" s="181"/>
      <c r="I6777" s="181"/>
      <c r="J6777" s="181"/>
      <c r="K6777" s="181"/>
      <c r="L6777" s="181"/>
      <c r="M6777" s="181"/>
      <c r="N6777" s="181"/>
      <c r="O6777" s="181"/>
      <c r="P6777" s="181"/>
    </row>
    <row r="6778">
      <c r="B6778" s="292"/>
      <c r="C6778" s="181"/>
      <c r="D6778" s="181"/>
      <c r="E6778" s="181"/>
      <c r="F6778" s="181"/>
      <c r="G6778" s="181"/>
      <c r="H6778" s="181"/>
      <c r="I6778" s="181"/>
      <c r="J6778" s="181"/>
      <c r="K6778" s="181"/>
      <c r="L6778" s="181"/>
      <c r="M6778" s="181"/>
      <c r="N6778" s="181"/>
      <c r="O6778" s="181"/>
      <c r="P6778" s="181"/>
    </row>
    <row r="6779">
      <c r="B6779" s="292"/>
      <c r="C6779" s="181"/>
      <c r="D6779" s="181"/>
      <c r="E6779" s="181"/>
      <c r="F6779" s="181"/>
      <c r="G6779" s="181"/>
      <c r="H6779" s="181"/>
      <c r="I6779" s="181"/>
      <c r="J6779" s="181"/>
      <c r="K6779" s="181"/>
      <c r="L6779" s="181"/>
      <c r="M6779" s="181"/>
      <c r="N6779" s="181"/>
      <c r="O6779" s="181"/>
      <c r="P6779" s="181"/>
    </row>
    <row r="6780">
      <c r="B6780" s="292"/>
      <c r="C6780" s="181"/>
      <c r="D6780" s="181"/>
      <c r="E6780" s="181"/>
      <c r="F6780" s="181"/>
      <c r="G6780" s="181"/>
      <c r="H6780" s="181"/>
      <c r="I6780" s="181"/>
      <c r="J6780" s="181"/>
      <c r="K6780" s="181"/>
      <c r="L6780" s="181"/>
      <c r="M6780" s="181"/>
      <c r="N6780" s="181"/>
      <c r="O6780" s="181"/>
      <c r="P6780" s="181"/>
    </row>
    <row r="6781">
      <c r="B6781" s="292"/>
      <c r="C6781" s="181"/>
      <c r="D6781" s="181"/>
      <c r="E6781" s="181"/>
      <c r="F6781" s="181"/>
      <c r="G6781" s="181"/>
      <c r="H6781" s="181"/>
      <c r="I6781" s="181"/>
      <c r="J6781" s="181"/>
      <c r="K6781" s="181"/>
      <c r="L6781" s="181"/>
      <c r="M6781" s="181"/>
      <c r="N6781" s="181"/>
      <c r="O6781" s="181"/>
      <c r="P6781" s="181"/>
    </row>
    <row r="6782">
      <c r="B6782" s="292"/>
      <c r="C6782" s="181"/>
      <c r="D6782" s="181"/>
      <c r="E6782" s="181"/>
      <c r="F6782" s="181"/>
      <c r="G6782" s="181"/>
      <c r="H6782" s="181"/>
      <c r="I6782" s="181"/>
      <c r="J6782" s="181"/>
      <c r="K6782" s="181"/>
      <c r="L6782" s="181"/>
      <c r="M6782" s="181"/>
      <c r="N6782" s="181"/>
      <c r="O6782" s="181"/>
      <c r="P6782" s="181"/>
    </row>
    <row r="6783">
      <c r="B6783" s="292"/>
      <c r="C6783" s="181"/>
      <c r="D6783" s="181"/>
      <c r="E6783" s="181"/>
      <c r="F6783" s="181"/>
      <c r="G6783" s="181"/>
      <c r="H6783" s="181"/>
      <c r="I6783" s="181"/>
      <c r="J6783" s="181"/>
      <c r="K6783" s="181"/>
      <c r="L6783" s="181"/>
      <c r="M6783" s="181"/>
      <c r="N6783" s="181"/>
      <c r="O6783" s="181"/>
      <c r="P6783" s="181"/>
    </row>
    <row r="6784">
      <c r="B6784" s="292"/>
      <c r="C6784" s="181"/>
      <c r="D6784" s="181"/>
      <c r="E6784" s="181"/>
      <c r="F6784" s="181"/>
      <c r="G6784" s="181"/>
      <c r="H6784" s="181"/>
      <c r="I6784" s="181"/>
      <c r="J6784" s="181"/>
      <c r="K6784" s="181"/>
      <c r="L6784" s="181"/>
      <c r="M6784" s="181"/>
      <c r="N6784" s="181"/>
      <c r="O6784" s="181"/>
      <c r="P6784" s="181"/>
    </row>
    <row r="6785">
      <c r="B6785" s="292"/>
      <c r="C6785" s="181"/>
      <c r="D6785" s="181"/>
      <c r="E6785" s="181"/>
      <c r="F6785" s="181"/>
      <c r="G6785" s="181"/>
      <c r="H6785" s="181"/>
      <c r="I6785" s="181"/>
      <c r="J6785" s="181"/>
      <c r="K6785" s="181"/>
      <c r="L6785" s="181"/>
      <c r="M6785" s="181"/>
      <c r="N6785" s="181"/>
      <c r="O6785" s="181"/>
      <c r="P6785" s="181"/>
    </row>
    <row r="6786">
      <c r="B6786" s="292"/>
      <c r="C6786" s="181"/>
      <c r="D6786" s="181"/>
      <c r="E6786" s="181"/>
      <c r="F6786" s="181"/>
      <c r="G6786" s="181"/>
      <c r="H6786" s="181"/>
      <c r="I6786" s="181"/>
      <c r="J6786" s="181"/>
      <c r="K6786" s="181"/>
      <c r="L6786" s="181"/>
      <c r="M6786" s="181"/>
      <c r="N6786" s="181"/>
      <c r="O6786" s="181"/>
      <c r="P6786" s="181"/>
    </row>
    <row r="6787">
      <c r="B6787" s="292"/>
      <c r="C6787" s="181"/>
      <c r="D6787" s="181"/>
      <c r="E6787" s="181"/>
      <c r="F6787" s="181"/>
      <c r="G6787" s="181"/>
      <c r="H6787" s="181"/>
      <c r="I6787" s="181"/>
      <c r="J6787" s="181"/>
      <c r="K6787" s="181"/>
      <c r="L6787" s="181"/>
      <c r="M6787" s="181"/>
      <c r="N6787" s="181"/>
      <c r="O6787" s="181"/>
      <c r="P6787" s="181"/>
    </row>
    <row r="6788">
      <c r="B6788" s="292"/>
      <c r="C6788" s="181"/>
      <c r="D6788" s="181"/>
      <c r="E6788" s="181"/>
      <c r="F6788" s="181"/>
      <c r="G6788" s="181"/>
      <c r="H6788" s="181"/>
      <c r="I6788" s="181"/>
      <c r="J6788" s="181"/>
      <c r="K6788" s="181"/>
      <c r="L6788" s="181"/>
      <c r="M6788" s="181"/>
      <c r="N6788" s="181"/>
      <c r="O6788" s="181"/>
      <c r="P6788" s="181"/>
    </row>
    <row r="6789">
      <c r="B6789" s="292"/>
      <c r="C6789" s="181"/>
      <c r="D6789" s="181"/>
      <c r="E6789" s="181"/>
      <c r="F6789" s="181"/>
      <c r="G6789" s="181"/>
      <c r="H6789" s="181"/>
      <c r="I6789" s="181"/>
      <c r="J6789" s="181"/>
      <c r="K6789" s="181"/>
      <c r="L6789" s="181"/>
      <c r="M6789" s="181"/>
      <c r="N6789" s="181"/>
      <c r="O6789" s="181"/>
      <c r="P6789" s="181"/>
    </row>
    <row r="6790">
      <c r="B6790" s="292"/>
      <c r="C6790" s="181"/>
      <c r="D6790" s="181"/>
      <c r="E6790" s="181"/>
      <c r="F6790" s="181"/>
      <c r="G6790" s="181"/>
      <c r="H6790" s="181"/>
      <c r="I6790" s="181"/>
      <c r="J6790" s="181"/>
      <c r="K6790" s="181"/>
      <c r="L6790" s="181"/>
      <c r="M6790" s="181"/>
      <c r="N6790" s="181"/>
      <c r="O6790" s="181"/>
      <c r="P6790" s="181"/>
    </row>
    <row r="6791">
      <c r="B6791" s="292"/>
      <c r="C6791" s="181"/>
      <c r="D6791" s="181"/>
      <c r="E6791" s="181"/>
      <c r="F6791" s="181"/>
      <c r="G6791" s="181"/>
      <c r="H6791" s="181"/>
      <c r="I6791" s="181"/>
      <c r="J6791" s="181"/>
      <c r="K6791" s="181"/>
      <c r="L6791" s="181"/>
      <c r="M6791" s="181"/>
      <c r="N6791" s="181"/>
      <c r="O6791" s="181"/>
      <c r="P6791" s="181"/>
    </row>
    <row r="6792">
      <c r="B6792" s="292"/>
      <c r="C6792" s="181"/>
      <c r="D6792" s="181"/>
      <c r="E6792" s="181"/>
      <c r="F6792" s="181"/>
      <c r="G6792" s="181"/>
      <c r="H6792" s="181"/>
      <c r="I6792" s="181"/>
      <c r="J6792" s="181"/>
      <c r="K6792" s="181"/>
      <c r="L6792" s="181"/>
      <c r="M6792" s="181"/>
      <c r="N6792" s="181"/>
      <c r="O6792" s="181"/>
      <c r="P6792" s="181"/>
    </row>
    <row r="6793">
      <c r="B6793" s="292"/>
      <c r="C6793" s="181"/>
      <c r="D6793" s="181"/>
      <c r="E6793" s="181"/>
      <c r="F6793" s="181"/>
      <c r="G6793" s="181"/>
      <c r="H6793" s="181"/>
      <c r="I6793" s="181"/>
      <c r="J6793" s="181"/>
      <c r="K6793" s="181"/>
      <c r="L6793" s="181"/>
      <c r="M6793" s="181"/>
      <c r="N6793" s="181"/>
      <c r="O6793" s="181"/>
      <c r="P6793" s="181"/>
    </row>
    <row r="6794">
      <c r="B6794" s="292"/>
      <c r="C6794" s="181"/>
      <c r="D6794" s="181"/>
      <c r="E6794" s="181"/>
      <c r="F6794" s="181"/>
      <c r="G6794" s="181"/>
      <c r="H6794" s="181"/>
      <c r="I6794" s="181"/>
      <c r="J6794" s="181"/>
      <c r="K6794" s="181"/>
      <c r="L6794" s="181"/>
      <c r="M6794" s="181"/>
      <c r="N6794" s="181"/>
      <c r="O6794" s="181"/>
      <c r="P6794" s="181"/>
    </row>
    <row r="6795">
      <c r="B6795" s="292"/>
      <c r="C6795" s="181"/>
      <c r="D6795" s="181"/>
      <c r="E6795" s="181"/>
      <c r="F6795" s="181"/>
      <c r="G6795" s="181"/>
      <c r="H6795" s="181"/>
      <c r="I6795" s="181"/>
      <c r="J6795" s="181"/>
      <c r="K6795" s="181"/>
      <c r="L6795" s="181"/>
      <c r="M6795" s="181"/>
      <c r="N6795" s="181"/>
      <c r="O6795" s="181"/>
      <c r="P6795" s="181"/>
    </row>
    <row r="6796">
      <c r="B6796" s="292"/>
      <c r="C6796" s="181"/>
      <c r="D6796" s="181"/>
      <c r="E6796" s="181"/>
      <c r="F6796" s="181"/>
      <c r="G6796" s="181"/>
      <c r="H6796" s="181"/>
      <c r="I6796" s="181"/>
      <c r="J6796" s="181"/>
      <c r="K6796" s="181"/>
      <c r="L6796" s="181"/>
      <c r="M6796" s="181"/>
      <c r="N6796" s="181"/>
      <c r="O6796" s="181"/>
      <c r="P6796" s="181"/>
    </row>
    <row r="6797">
      <c r="B6797" s="292"/>
      <c r="C6797" s="181"/>
      <c r="D6797" s="181"/>
      <c r="E6797" s="181"/>
      <c r="F6797" s="181"/>
      <c r="G6797" s="181"/>
      <c r="H6797" s="181"/>
      <c r="I6797" s="181"/>
      <c r="J6797" s="181"/>
      <c r="K6797" s="181"/>
      <c r="L6797" s="181"/>
      <c r="M6797" s="181"/>
      <c r="N6797" s="181"/>
      <c r="O6797" s="181"/>
      <c r="P6797" s="181"/>
    </row>
    <row r="6798">
      <c r="B6798" s="292"/>
      <c r="C6798" s="181"/>
      <c r="D6798" s="181"/>
      <c r="E6798" s="181"/>
      <c r="F6798" s="181"/>
      <c r="G6798" s="181"/>
      <c r="H6798" s="181"/>
      <c r="I6798" s="181"/>
      <c r="J6798" s="181"/>
      <c r="K6798" s="181"/>
      <c r="L6798" s="181"/>
      <c r="M6798" s="181"/>
      <c r="N6798" s="181"/>
      <c r="O6798" s="181"/>
      <c r="P6798" s="181"/>
    </row>
    <row r="6799">
      <c r="B6799" s="292"/>
      <c r="C6799" s="181"/>
      <c r="D6799" s="181"/>
      <c r="E6799" s="181"/>
      <c r="F6799" s="181"/>
      <c r="G6799" s="181"/>
      <c r="H6799" s="181"/>
      <c r="I6799" s="181"/>
      <c r="J6799" s="181"/>
      <c r="K6799" s="181"/>
      <c r="L6799" s="181"/>
      <c r="M6799" s="181"/>
      <c r="N6799" s="181"/>
      <c r="O6799" s="181"/>
      <c r="P6799" s="181"/>
    </row>
    <row r="6800">
      <c r="B6800" s="292"/>
      <c r="C6800" s="181"/>
      <c r="D6800" s="181"/>
      <c r="E6800" s="181"/>
      <c r="F6800" s="181"/>
      <c r="G6800" s="181"/>
      <c r="H6800" s="181"/>
      <c r="I6800" s="181"/>
      <c r="J6800" s="181"/>
      <c r="K6800" s="181"/>
      <c r="L6800" s="181"/>
      <c r="M6800" s="181"/>
      <c r="N6800" s="181"/>
      <c r="O6800" s="181"/>
      <c r="P6800" s="181"/>
    </row>
    <row r="6801">
      <c r="B6801" s="292"/>
      <c r="C6801" s="181"/>
      <c r="D6801" s="181"/>
      <c r="E6801" s="181"/>
      <c r="F6801" s="181"/>
      <c r="G6801" s="181"/>
      <c r="H6801" s="181"/>
      <c r="I6801" s="181"/>
      <c r="J6801" s="181"/>
      <c r="K6801" s="181"/>
      <c r="L6801" s="181"/>
      <c r="M6801" s="181"/>
      <c r="N6801" s="181"/>
      <c r="O6801" s="181"/>
      <c r="P6801" s="181"/>
    </row>
    <row r="6802">
      <c r="B6802" s="292"/>
      <c r="C6802" s="181"/>
      <c r="D6802" s="181"/>
      <c r="E6802" s="181"/>
      <c r="F6802" s="181"/>
      <c r="G6802" s="181"/>
      <c r="H6802" s="181"/>
      <c r="I6802" s="181"/>
      <c r="J6802" s="181"/>
      <c r="K6802" s="181"/>
      <c r="L6802" s="181"/>
      <c r="M6802" s="181"/>
      <c r="N6802" s="181"/>
      <c r="O6802" s="181"/>
      <c r="P6802" s="181"/>
    </row>
    <row r="6803">
      <c r="B6803" s="292"/>
      <c r="C6803" s="181"/>
      <c r="D6803" s="181"/>
      <c r="E6803" s="181"/>
      <c r="F6803" s="181"/>
      <c r="G6803" s="181"/>
      <c r="H6803" s="181"/>
      <c r="I6803" s="181"/>
      <c r="J6803" s="181"/>
      <c r="K6803" s="181"/>
      <c r="L6803" s="181"/>
      <c r="M6803" s="181"/>
      <c r="N6803" s="181"/>
      <c r="O6803" s="181"/>
      <c r="P6803" s="181"/>
    </row>
    <row r="6804">
      <c r="B6804" s="292"/>
      <c r="C6804" s="181"/>
      <c r="D6804" s="181"/>
      <c r="E6804" s="181"/>
      <c r="F6804" s="181"/>
      <c r="G6804" s="181"/>
      <c r="H6804" s="181"/>
      <c r="I6804" s="181"/>
      <c r="J6804" s="181"/>
      <c r="K6804" s="181"/>
      <c r="L6804" s="181"/>
      <c r="M6804" s="181"/>
      <c r="N6804" s="181"/>
      <c r="O6804" s="181"/>
      <c r="P6804" s="181"/>
    </row>
    <row r="6805">
      <c r="B6805" s="292"/>
      <c r="C6805" s="181"/>
      <c r="D6805" s="181"/>
      <c r="E6805" s="181"/>
      <c r="F6805" s="181"/>
      <c r="G6805" s="181"/>
      <c r="H6805" s="181"/>
      <c r="I6805" s="181"/>
      <c r="J6805" s="181"/>
      <c r="K6805" s="181"/>
      <c r="L6805" s="181"/>
      <c r="M6805" s="181"/>
      <c r="N6805" s="181"/>
      <c r="O6805" s="181"/>
      <c r="P6805" s="181"/>
    </row>
    <row r="6806">
      <c r="B6806" s="292"/>
      <c r="C6806" s="181"/>
      <c r="D6806" s="181"/>
      <c r="E6806" s="181"/>
      <c r="F6806" s="181"/>
      <c r="G6806" s="181"/>
      <c r="H6806" s="181"/>
      <c r="I6806" s="181"/>
      <c r="J6806" s="181"/>
      <c r="K6806" s="181"/>
      <c r="L6806" s="181"/>
      <c r="M6806" s="181"/>
      <c r="N6806" s="181"/>
      <c r="O6806" s="181"/>
      <c r="P6806" s="181"/>
    </row>
    <row r="6807">
      <c r="B6807" s="292"/>
      <c r="C6807" s="181"/>
      <c r="D6807" s="181"/>
      <c r="E6807" s="181"/>
      <c r="F6807" s="181"/>
      <c r="G6807" s="181"/>
      <c r="H6807" s="181"/>
      <c r="I6807" s="181"/>
      <c r="J6807" s="181"/>
      <c r="K6807" s="181"/>
      <c r="L6807" s="181"/>
      <c r="M6807" s="181"/>
      <c r="N6807" s="181"/>
      <c r="O6807" s="181"/>
      <c r="P6807" s="181"/>
    </row>
    <row r="6808">
      <c r="B6808" s="292"/>
      <c r="C6808" s="181"/>
      <c r="D6808" s="181"/>
      <c r="E6808" s="181"/>
      <c r="F6808" s="181"/>
      <c r="G6808" s="181"/>
      <c r="H6808" s="181"/>
      <c r="I6808" s="181"/>
      <c r="J6808" s="181"/>
      <c r="K6808" s="181"/>
      <c r="L6808" s="181"/>
      <c r="M6808" s="181"/>
      <c r="N6808" s="181"/>
      <c r="O6808" s="181"/>
      <c r="P6808" s="181"/>
    </row>
    <row r="6809">
      <c r="B6809" s="292"/>
      <c r="C6809" s="181"/>
      <c r="D6809" s="181"/>
      <c r="E6809" s="181"/>
      <c r="F6809" s="181"/>
      <c r="G6809" s="181"/>
      <c r="H6809" s="181"/>
      <c r="I6809" s="181"/>
      <c r="J6809" s="181"/>
      <c r="K6809" s="181"/>
      <c r="L6809" s="181"/>
      <c r="M6809" s="181"/>
      <c r="N6809" s="181"/>
      <c r="O6809" s="181"/>
      <c r="P6809" s="181"/>
    </row>
    <row r="6810">
      <c r="B6810" s="292"/>
      <c r="C6810" s="181"/>
      <c r="D6810" s="181"/>
      <c r="E6810" s="181"/>
      <c r="F6810" s="181"/>
      <c r="G6810" s="181"/>
      <c r="H6810" s="181"/>
      <c r="I6810" s="181"/>
      <c r="J6810" s="181"/>
      <c r="K6810" s="181"/>
      <c r="L6810" s="181"/>
      <c r="M6810" s="181"/>
      <c r="N6810" s="181"/>
      <c r="O6810" s="181"/>
      <c r="P6810" s="181"/>
    </row>
    <row r="6811">
      <c r="B6811" s="292"/>
      <c r="C6811" s="181"/>
      <c r="D6811" s="181"/>
      <c r="E6811" s="181"/>
      <c r="F6811" s="181"/>
      <c r="G6811" s="181"/>
      <c r="H6811" s="181"/>
      <c r="I6811" s="181"/>
      <c r="J6811" s="181"/>
      <c r="K6811" s="181"/>
      <c r="L6811" s="181"/>
      <c r="M6811" s="181"/>
      <c r="N6811" s="181"/>
      <c r="O6811" s="181"/>
      <c r="P6811" s="181"/>
    </row>
    <row r="6812">
      <c r="B6812" s="292"/>
      <c r="C6812" s="181"/>
      <c r="D6812" s="181"/>
      <c r="E6812" s="181"/>
      <c r="F6812" s="181"/>
      <c r="G6812" s="181"/>
      <c r="H6812" s="181"/>
      <c r="I6812" s="181"/>
      <c r="J6812" s="181"/>
      <c r="K6812" s="181"/>
      <c r="L6812" s="181"/>
      <c r="M6812" s="181"/>
      <c r="N6812" s="181"/>
      <c r="O6812" s="181"/>
      <c r="P6812" s="181"/>
    </row>
    <row r="6813">
      <c r="B6813" s="292"/>
      <c r="C6813" s="181"/>
      <c r="D6813" s="181"/>
      <c r="E6813" s="181"/>
      <c r="F6813" s="181"/>
      <c r="G6813" s="181"/>
      <c r="H6813" s="181"/>
      <c r="I6813" s="181"/>
      <c r="J6813" s="181"/>
      <c r="K6813" s="181"/>
      <c r="L6813" s="181"/>
      <c r="M6813" s="181"/>
      <c r="N6813" s="181"/>
      <c r="O6813" s="181"/>
      <c r="P6813" s="181"/>
    </row>
    <row r="6814">
      <c r="B6814" s="292"/>
      <c r="C6814" s="181"/>
      <c r="D6814" s="181"/>
      <c r="E6814" s="181"/>
      <c r="F6814" s="181"/>
      <c r="G6814" s="181"/>
      <c r="H6814" s="181"/>
      <c r="I6814" s="181"/>
      <c r="J6814" s="181"/>
      <c r="K6814" s="181"/>
      <c r="L6814" s="181"/>
      <c r="M6814" s="181"/>
      <c r="N6814" s="181"/>
      <c r="O6814" s="181"/>
      <c r="P6814" s="181"/>
    </row>
    <row r="6815">
      <c r="B6815" s="292"/>
      <c r="C6815" s="181"/>
      <c r="D6815" s="181"/>
      <c r="E6815" s="181"/>
      <c r="F6815" s="181"/>
      <c r="G6815" s="181"/>
      <c r="H6815" s="181"/>
      <c r="I6815" s="181"/>
      <c r="J6815" s="181"/>
      <c r="K6815" s="181"/>
      <c r="L6815" s="181"/>
      <c r="M6815" s="181"/>
      <c r="N6815" s="181"/>
      <c r="O6815" s="181"/>
      <c r="P6815" s="181"/>
    </row>
    <row r="6816">
      <c r="B6816" s="292"/>
      <c r="C6816" s="181"/>
      <c r="D6816" s="181"/>
      <c r="E6816" s="181"/>
      <c r="F6816" s="181"/>
      <c r="G6816" s="181"/>
      <c r="H6816" s="181"/>
      <c r="I6816" s="181"/>
      <c r="J6816" s="181"/>
      <c r="K6816" s="181"/>
      <c r="L6816" s="181"/>
      <c r="M6816" s="181"/>
      <c r="N6816" s="181"/>
      <c r="O6816" s="181"/>
      <c r="P6816" s="181"/>
    </row>
    <row r="6817">
      <c r="B6817" s="292"/>
      <c r="C6817" s="181"/>
      <c r="D6817" s="181"/>
      <c r="E6817" s="181"/>
      <c r="F6817" s="181"/>
      <c r="G6817" s="181"/>
      <c r="H6817" s="181"/>
      <c r="I6817" s="181"/>
      <c r="J6817" s="181"/>
      <c r="K6817" s="181"/>
      <c r="L6817" s="181"/>
      <c r="M6817" s="181"/>
      <c r="N6817" s="181"/>
      <c r="O6817" s="181"/>
      <c r="P6817" s="181"/>
    </row>
    <row r="6818">
      <c r="B6818" s="292"/>
      <c r="C6818" s="181"/>
      <c r="D6818" s="181"/>
      <c r="E6818" s="181"/>
      <c r="F6818" s="181"/>
      <c r="G6818" s="181"/>
      <c r="H6818" s="181"/>
      <c r="I6818" s="181"/>
      <c r="J6818" s="181"/>
      <c r="K6818" s="181"/>
      <c r="L6818" s="181"/>
      <c r="M6818" s="181"/>
      <c r="N6818" s="181"/>
      <c r="O6818" s="181"/>
      <c r="P6818" s="181"/>
    </row>
    <row r="6819">
      <c r="B6819" s="292"/>
      <c r="C6819" s="181"/>
      <c r="D6819" s="181"/>
      <c r="E6819" s="181"/>
      <c r="F6819" s="181"/>
      <c r="G6819" s="181"/>
      <c r="H6819" s="181"/>
      <c r="I6819" s="181"/>
      <c r="J6819" s="181"/>
      <c r="K6819" s="181"/>
      <c r="L6819" s="181"/>
      <c r="M6819" s="181"/>
      <c r="N6819" s="181"/>
      <c r="O6819" s="181"/>
      <c r="P6819" s="181"/>
    </row>
    <row r="6820">
      <c r="B6820" s="292"/>
      <c r="C6820" s="181"/>
      <c r="D6820" s="181"/>
      <c r="E6820" s="181"/>
      <c r="F6820" s="181"/>
      <c r="G6820" s="181"/>
      <c r="H6820" s="181"/>
      <c r="I6820" s="181"/>
      <c r="J6820" s="181"/>
      <c r="K6820" s="181"/>
      <c r="L6820" s="181"/>
      <c r="M6820" s="181"/>
      <c r="N6820" s="181"/>
      <c r="O6820" s="181"/>
      <c r="P6820" s="181"/>
    </row>
    <row r="6821">
      <c r="B6821" s="292"/>
      <c r="C6821" s="181"/>
      <c r="D6821" s="181"/>
      <c r="E6821" s="181"/>
      <c r="F6821" s="181"/>
      <c r="G6821" s="181"/>
      <c r="H6821" s="181"/>
      <c r="I6821" s="181"/>
      <c r="J6821" s="181"/>
      <c r="K6821" s="181"/>
      <c r="L6821" s="181"/>
      <c r="M6821" s="181"/>
      <c r="N6821" s="181"/>
      <c r="O6821" s="181"/>
      <c r="P6821" s="181"/>
    </row>
    <row r="6822">
      <c r="B6822" s="292"/>
      <c r="C6822" s="181"/>
      <c r="D6822" s="181"/>
      <c r="E6822" s="181"/>
      <c r="F6822" s="181"/>
      <c r="G6822" s="181"/>
      <c r="H6822" s="181"/>
      <c r="I6822" s="181"/>
      <c r="J6822" s="181"/>
      <c r="K6822" s="181"/>
      <c r="L6822" s="181"/>
      <c r="M6822" s="181"/>
      <c r="N6822" s="181"/>
      <c r="O6822" s="181"/>
      <c r="P6822" s="181"/>
    </row>
    <row r="6823">
      <c r="B6823" s="292"/>
      <c r="C6823" s="181"/>
      <c r="D6823" s="181"/>
      <c r="E6823" s="181"/>
      <c r="F6823" s="181"/>
      <c r="G6823" s="181"/>
      <c r="H6823" s="181"/>
      <c r="I6823" s="181"/>
      <c r="J6823" s="181"/>
      <c r="K6823" s="181"/>
      <c r="L6823" s="181"/>
      <c r="M6823" s="181"/>
      <c r="N6823" s="181"/>
      <c r="O6823" s="181"/>
      <c r="P6823" s="181"/>
    </row>
    <row r="6824">
      <c r="B6824" s="292"/>
      <c r="C6824" s="181"/>
      <c r="D6824" s="181"/>
      <c r="E6824" s="181"/>
      <c r="F6824" s="181"/>
      <c r="G6824" s="181"/>
      <c r="H6824" s="181"/>
      <c r="I6824" s="181"/>
      <c r="J6824" s="181"/>
      <c r="K6824" s="181"/>
      <c r="L6824" s="181"/>
      <c r="M6824" s="181"/>
      <c r="N6824" s="181"/>
      <c r="O6824" s="181"/>
      <c r="P6824" s="181"/>
    </row>
    <row r="6825">
      <c r="B6825" s="292"/>
      <c r="C6825" s="181"/>
      <c r="D6825" s="181"/>
      <c r="E6825" s="181"/>
      <c r="F6825" s="181"/>
      <c r="G6825" s="181"/>
      <c r="H6825" s="181"/>
      <c r="I6825" s="181"/>
      <c r="J6825" s="181"/>
      <c r="K6825" s="181"/>
      <c r="L6825" s="181"/>
      <c r="M6825" s="181"/>
      <c r="N6825" s="181"/>
      <c r="O6825" s="181"/>
      <c r="P6825" s="181"/>
    </row>
    <row r="6826">
      <c r="B6826" s="292"/>
      <c r="C6826" s="181"/>
      <c r="D6826" s="181"/>
      <c r="E6826" s="181"/>
      <c r="F6826" s="181"/>
      <c r="G6826" s="181"/>
      <c r="H6826" s="181"/>
      <c r="I6826" s="181"/>
      <c r="J6826" s="181"/>
      <c r="K6826" s="181"/>
      <c r="L6826" s="181"/>
      <c r="M6826" s="181"/>
      <c r="N6826" s="181"/>
      <c r="O6826" s="181"/>
      <c r="P6826" s="181"/>
    </row>
    <row r="6827">
      <c r="B6827" s="292"/>
      <c r="C6827" s="181"/>
      <c r="D6827" s="181"/>
      <c r="E6827" s="181"/>
      <c r="F6827" s="181"/>
      <c r="G6827" s="181"/>
      <c r="H6827" s="181"/>
      <c r="I6827" s="181"/>
      <c r="J6827" s="181"/>
      <c r="K6827" s="181"/>
      <c r="L6827" s="181"/>
      <c r="M6827" s="181"/>
      <c r="N6827" s="181"/>
      <c r="O6827" s="181"/>
      <c r="P6827" s="181"/>
    </row>
    <row r="6828">
      <c r="B6828" s="292"/>
      <c r="C6828" s="181"/>
      <c r="D6828" s="181"/>
      <c r="E6828" s="181"/>
      <c r="F6828" s="181"/>
      <c r="G6828" s="181"/>
      <c r="H6828" s="181"/>
      <c r="I6828" s="181"/>
      <c r="J6828" s="181"/>
      <c r="K6828" s="181"/>
      <c r="L6828" s="181"/>
      <c r="M6828" s="181"/>
      <c r="N6828" s="181"/>
      <c r="O6828" s="181"/>
      <c r="P6828" s="181"/>
    </row>
    <row r="6829">
      <c r="B6829" s="292"/>
      <c r="C6829" s="181"/>
      <c r="D6829" s="181"/>
      <c r="E6829" s="181"/>
      <c r="F6829" s="181"/>
      <c r="G6829" s="181"/>
      <c r="H6829" s="181"/>
      <c r="I6829" s="181"/>
      <c r="J6829" s="181"/>
      <c r="K6829" s="181"/>
      <c r="L6829" s="181"/>
      <c r="M6829" s="181"/>
      <c r="N6829" s="181"/>
      <c r="O6829" s="181"/>
      <c r="P6829" s="181"/>
    </row>
    <row r="6830">
      <c r="B6830" s="292"/>
      <c r="C6830" s="181"/>
      <c r="D6830" s="181"/>
      <c r="E6830" s="181"/>
      <c r="F6830" s="181"/>
      <c r="G6830" s="181"/>
      <c r="H6830" s="181"/>
      <c r="I6830" s="181"/>
      <c r="J6830" s="181"/>
      <c r="K6830" s="181"/>
      <c r="L6830" s="181"/>
      <c r="M6830" s="181"/>
      <c r="N6830" s="181"/>
      <c r="O6830" s="181"/>
      <c r="P6830" s="181"/>
    </row>
    <row r="6831">
      <c r="B6831" s="292"/>
      <c r="C6831" s="181"/>
      <c r="D6831" s="181"/>
      <c r="E6831" s="181"/>
      <c r="F6831" s="181"/>
      <c r="G6831" s="181"/>
      <c r="H6831" s="181"/>
      <c r="I6831" s="181"/>
      <c r="J6831" s="181"/>
      <c r="K6831" s="181"/>
      <c r="L6831" s="181"/>
      <c r="M6831" s="181"/>
      <c r="N6831" s="181"/>
      <c r="O6831" s="181"/>
      <c r="P6831" s="181"/>
    </row>
    <row r="6832">
      <c r="B6832" s="292"/>
      <c r="C6832" s="181"/>
      <c r="D6832" s="181"/>
      <c r="E6832" s="181"/>
      <c r="F6832" s="181"/>
      <c r="G6832" s="181"/>
      <c r="H6832" s="181"/>
      <c r="I6832" s="181"/>
      <c r="J6832" s="181"/>
      <c r="K6832" s="181"/>
      <c r="L6832" s="181"/>
      <c r="M6832" s="181"/>
      <c r="N6832" s="181"/>
      <c r="O6832" s="181"/>
      <c r="P6832" s="181"/>
    </row>
    <row r="6833">
      <c r="B6833" s="292"/>
      <c r="C6833" s="181"/>
      <c r="D6833" s="181"/>
      <c r="E6833" s="181"/>
      <c r="F6833" s="181"/>
      <c r="G6833" s="181"/>
      <c r="H6833" s="181"/>
      <c r="I6833" s="181"/>
      <c r="J6833" s="181"/>
      <c r="K6833" s="181"/>
      <c r="L6833" s="181"/>
      <c r="M6833" s="181"/>
      <c r="N6833" s="181"/>
      <c r="O6833" s="181"/>
      <c r="P6833" s="181"/>
    </row>
    <row r="6834">
      <c r="B6834" s="292"/>
      <c r="C6834" s="181"/>
      <c r="D6834" s="181"/>
      <c r="E6834" s="181"/>
      <c r="F6834" s="181"/>
      <c r="G6834" s="181"/>
      <c r="H6834" s="181"/>
      <c r="I6834" s="181"/>
      <c r="J6834" s="181"/>
      <c r="K6834" s="181"/>
      <c r="L6834" s="181"/>
      <c r="M6834" s="181"/>
      <c r="N6834" s="181"/>
      <c r="O6834" s="181"/>
      <c r="P6834" s="181"/>
    </row>
    <row r="6835">
      <c r="B6835" s="292"/>
      <c r="C6835" s="181"/>
      <c r="D6835" s="181"/>
      <c r="E6835" s="181"/>
      <c r="F6835" s="181"/>
      <c r="G6835" s="181"/>
      <c r="H6835" s="181"/>
      <c r="I6835" s="181"/>
      <c r="J6835" s="181"/>
      <c r="K6835" s="181"/>
      <c r="L6835" s="181"/>
      <c r="M6835" s="181"/>
      <c r="N6835" s="181"/>
      <c r="O6835" s="181"/>
      <c r="P6835" s="181"/>
    </row>
    <row r="6836">
      <c r="B6836" s="292"/>
      <c r="C6836" s="181"/>
      <c r="D6836" s="181"/>
      <c r="E6836" s="181"/>
      <c r="F6836" s="181"/>
      <c r="G6836" s="181"/>
      <c r="H6836" s="181"/>
      <c r="I6836" s="181"/>
      <c r="J6836" s="181"/>
      <c r="K6836" s="181"/>
      <c r="L6836" s="181"/>
      <c r="M6836" s="181"/>
      <c r="N6836" s="181"/>
      <c r="O6836" s="181"/>
      <c r="P6836" s="181"/>
    </row>
    <row r="6837">
      <c r="B6837" s="292"/>
      <c r="C6837" s="181"/>
      <c r="D6837" s="181"/>
      <c r="E6837" s="181"/>
      <c r="F6837" s="181"/>
      <c r="G6837" s="181"/>
      <c r="H6837" s="181"/>
      <c r="I6837" s="181"/>
      <c r="J6837" s="181"/>
      <c r="K6837" s="181"/>
      <c r="L6837" s="181"/>
      <c r="M6837" s="181"/>
      <c r="N6837" s="181"/>
      <c r="O6837" s="181"/>
      <c r="P6837" s="181"/>
    </row>
    <row r="6838">
      <c r="B6838" s="292"/>
      <c r="C6838" s="181"/>
      <c r="D6838" s="181"/>
      <c r="E6838" s="181"/>
      <c r="F6838" s="181"/>
      <c r="G6838" s="181"/>
      <c r="H6838" s="181"/>
      <c r="I6838" s="181"/>
      <c r="J6838" s="181"/>
      <c r="K6838" s="181"/>
      <c r="L6838" s="181"/>
      <c r="M6838" s="181"/>
      <c r="N6838" s="181"/>
      <c r="O6838" s="181"/>
      <c r="P6838" s="181"/>
    </row>
    <row r="6839">
      <c r="B6839" s="292"/>
      <c r="C6839" s="181"/>
      <c r="D6839" s="181"/>
      <c r="E6839" s="181"/>
      <c r="F6839" s="181"/>
      <c r="G6839" s="181"/>
      <c r="H6839" s="181"/>
      <c r="I6839" s="181"/>
      <c r="J6839" s="181"/>
      <c r="K6839" s="181"/>
      <c r="L6839" s="181"/>
      <c r="M6839" s="181"/>
      <c r="N6839" s="181"/>
      <c r="O6839" s="181"/>
      <c r="P6839" s="181"/>
    </row>
    <row r="6840">
      <c r="B6840" s="292"/>
      <c r="C6840" s="181"/>
      <c r="D6840" s="181"/>
      <c r="E6840" s="181"/>
      <c r="F6840" s="181"/>
      <c r="G6840" s="181"/>
      <c r="H6840" s="181"/>
      <c r="I6840" s="181"/>
      <c r="J6840" s="181"/>
      <c r="K6840" s="181"/>
      <c r="L6840" s="181"/>
      <c r="M6840" s="181"/>
      <c r="N6840" s="181"/>
      <c r="O6840" s="181"/>
      <c r="P6840" s="181"/>
    </row>
    <row r="6841">
      <c r="B6841" s="292"/>
      <c r="C6841" s="181"/>
      <c r="D6841" s="181"/>
      <c r="E6841" s="181"/>
      <c r="F6841" s="181"/>
      <c r="G6841" s="181"/>
      <c r="H6841" s="181"/>
      <c r="I6841" s="181"/>
      <c r="J6841" s="181"/>
      <c r="K6841" s="181"/>
      <c r="L6841" s="181"/>
      <c r="M6841" s="181"/>
      <c r="N6841" s="181"/>
      <c r="O6841" s="181"/>
      <c r="P6841" s="181"/>
    </row>
    <row r="6842">
      <c r="B6842" s="292"/>
      <c r="C6842" s="181"/>
      <c r="D6842" s="181"/>
      <c r="E6842" s="181"/>
      <c r="F6842" s="181"/>
      <c r="G6842" s="181"/>
      <c r="H6842" s="181"/>
      <c r="I6842" s="181"/>
      <c r="J6842" s="181"/>
      <c r="K6842" s="181"/>
      <c r="L6842" s="181"/>
      <c r="M6842" s="181"/>
      <c r="N6842" s="181"/>
      <c r="O6842" s="181"/>
      <c r="P6842" s="181"/>
    </row>
    <row r="6843">
      <c r="B6843" s="292"/>
      <c r="C6843" s="181"/>
      <c r="D6843" s="181"/>
      <c r="E6843" s="181"/>
      <c r="F6843" s="181"/>
      <c r="G6843" s="181"/>
      <c r="H6843" s="181"/>
      <c r="I6843" s="181"/>
      <c r="J6843" s="181"/>
      <c r="K6843" s="181"/>
      <c r="L6843" s="181"/>
      <c r="M6843" s="181"/>
      <c r="N6843" s="181"/>
      <c r="O6843" s="181"/>
      <c r="P6843" s="181"/>
    </row>
    <row r="6844">
      <c r="B6844" s="292"/>
      <c r="C6844" s="181"/>
      <c r="D6844" s="181"/>
      <c r="E6844" s="181"/>
      <c r="F6844" s="181"/>
      <c r="G6844" s="181"/>
      <c r="H6844" s="181"/>
      <c r="I6844" s="181"/>
      <c r="J6844" s="181"/>
      <c r="K6844" s="181"/>
      <c r="L6844" s="181"/>
      <c r="M6844" s="181"/>
      <c r="N6844" s="181"/>
      <c r="O6844" s="181"/>
      <c r="P6844" s="181"/>
    </row>
    <row r="6845">
      <c r="B6845" s="292"/>
      <c r="C6845" s="181"/>
      <c r="D6845" s="181"/>
      <c r="E6845" s="181"/>
      <c r="F6845" s="181"/>
      <c r="G6845" s="181"/>
      <c r="H6845" s="181"/>
      <c r="I6845" s="181"/>
      <c r="J6845" s="181"/>
      <c r="K6845" s="181"/>
      <c r="L6845" s="181"/>
      <c r="M6845" s="181"/>
      <c r="N6845" s="181"/>
      <c r="O6845" s="181"/>
      <c r="P6845" s="181"/>
    </row>
    <row r="6846">
      <c r="B6846" s="292"/>
      <c r="C6846" s="181"/>
      <c r="D6846" s="181"/>
      <c r="E6846" s="181"/>
      <c r="F6846" s="181"/>
      <c r="G6846" s="181"/>
      <c r="H6846" s="181"/>
      <c r="I6846" s="181"/>
      <c r="J6846" s="181"/>
      <c r="K6846" s="181"/>
      <c r="L6846" s="181"/>
      <c r="M6846" s="181"/>
      <c r="N6846" s="181"/>
      <c r="O6846" s="181"/>
      <c r="P6846" s="181"/>
    </row>
    <row r="6847">
      <c r="B6847" s="292"/>
      <c r="C6847" s="181"/>
      <c r="D6847" s="181"/>
      <c r="E6847" s="181"/>
      <c r="F6847" s="181"/>
      <c r="G6847" s="181"/>
      <c r="H6847" s="181"/>
      <c r="I6847" s="181"/>
      <c r="J6847" s="181"/>
      <c r="K6847" s="181"/>
      <c r="L6847" s="181"/>
      <c r="M6847" s="181"/>
      <c r="N6847" s="181"/>
      <c r="O6847" s="181"/>
      <c r="P6847" s="181"/>
    </row>
    <row r="6848">
      <c r="B6848" s="292"/>
      <c r="C6848" s="181"/>
      <c r="D6848" s="181"/>
      <c r="E6848" s="181"/>
      <c r="F6848" s="181"/>
      <c r="G6848" s="181"/>
      <c r="H6848" s="181"/>
      <c r="I6848" s="181"/>
      <c r="J6848" s="181"/>
      <c r="K6848" s="181"/>
      <c r="L6848" s="181"/>
      <c r="M6848" s="181"/>
      <c r="N6848" s="181"/>
      <c r="O6848" s="181"/>
      <c r="P6848" s="181"/>
    </row>
    <row r="6849">
      <c r="B6849" s="292"/>
      <c r="C6849" s="181"/>
      <c r="D6849" s="181"/>
      <c r="E6849" s="181"/>
      <c r="F6849" s="181"/>
      <c r="G6849" s="181"/>
      <c r="H6849" s="181"/>
      <c r="I6849" s="181"/>
      <c r="J6849" s="181"/>
      <c r="K6849" s="181"/>
      <c r="L6849" s="181"/>
      <c r="M6849" s="181"/>
      <c r="N6849" s="181"/>
      <c r="O6849" s="181"/>
      <c r="P6849" s="181"/>
    </row>
    <row r="6850">
      <c r="B6850" s="292"/>
      <c r="C6850" s="181"/>
      <c r="D6850" s="181"/>
      <c r="E6850" s="181"/>
      <c r="F6850" s="181"/>
      <c r="G6850" s="181"/>
      <c r="H6850" s="181"/>
      <c r="I6850" s="181"/>
      <c r="J6850" s="181"/>
      <c r="K6850" s="181"/>
      <c r="L6850" s="181"/>
      <c r="M6850" s="181"/>
      <c r="N6850" s="181"/>
      <c r="O6850" s="181"/>
      <c r="P6850" s="181"/>
    </row>
    <row r="6851">
      <c r="B6851" s="292"/>
      <c r="C6851" s="181"/>
      <c r="D6851" s="181"/>
      <c r="E6851" s="181"/>
      <c r="F6851" s="181"/>
      <c r="G6851" s="181"/>
      <c r="H6851" s="181"/>
      <c r="I6851" s="181"/>
      <c r="J6851" s="181"/>
      <c r="K6851" s="181"/>
      <c r="L6851" s="181"/>
      <c r="M6851" s="181"/>
      <c r="N6851" s="181"/>
      <c r="O6851" s="181"/>
      <c r="P6851" s="181"/>
    </row>
    <row r="6852">
      <c r="B6852" s="292"/>
      <c r="C6852" s="181"/>
      <c r="D6852" s="181"/>
      <c r="E6852" s="181"/>
      <c r="F6852" s="181"/>
      <c r="G6852" s="181"/>
      <c r="H6852" s="181"/>
      <c r="I6852" s="181"/>
      <c r="J6852" s="181"/>
      <c r="K6852" s="181"/>
      <c r="L6852" s="181"/>
      <c r="M6852" s="181"/>
      <c r="N6852" s="181"/>
      <c r="O6852" s="181"/>
      <c r="P6852" s="181"/>
    </row>
    <row r="6853">
      <c r="B6853" s="292"/>
      <c r="C6853" s="181"/>
      <c r="D6853" s="181"/>
      <c r="E6853" s="181"/>
      <c r="F6853" s="181"/>
      <c r="G6853" s="181"/>
      <c r="H6853" s="181"/>
      <c r="I6853" s="181"/>
      <c r="J6853" s="181"/>
      <c r="K6853" s="181"/>
      <c r="L6853" s="181"/>
      <c r="M6853" s="181"/>
      <c r="N6853" s="181"/>
      <c r="O6853" s="181"/>
      <c r="P6853" s="181"/>
    </row>
    <row r="6854">
      <c r="B6854" s="292"/>
      <c r="C6854" s="181"/>
      <c r="D6854" s="181"/>
      <c r="E6854" s="181"/>
      <c r="F6854" s="181"/>
      <c r="G6854" s="181"/>
      <c r="H6854" s="181"/>
      <c r="I6854" s="181"/>
      <c r="J6854" s="181"/>
      <c r="K6854" s="181"/>
      <c r="L6854" s="181"/>
      <c r="M6854" s="181"/>
      <c r="N6854" s="181"/>
      <c r="O6854" s="181"/>
      <c r="P6854" s="181"/>
    </row>
    <row r="6855">
      <c r="B6855" s="292"/>
      <c r="C6855" s="181"/>
      <c r="D6855" s="181"/>
      <c r="E6855" s="181"/>
      <c r="F6855" s="181"/>
      <c r="G6855" s="181"/>
      <c r="H6855" s="181"/>
      <c r="I6855" s="181"/>
      <c r="J6855" s="181"/>
      <c r="K6855" s="181"/>
      <c r="L6855" s="181"/>
      <c r="M6855" s="181"/>
      <c r="N6855" s="181"/>
      <c r="O6855" s="181"/>
      <c r="P6855" s="181"/>
    </row>
    <row r="6856">
      <c r="B6856" s="292"/>
      <c r="C6856" s="181"/>
      <c r="D6856" s="181"/>
      <c r="E6856" s="181"/>
      <c r="F6856" s="181"/>
      <c r="G6856" s="181"/>
      <c r="H6856" s="181"/>
      <c r="I6856" s="181"/>
      <c r="J6856" s="181"/>
      <c r="K6856" s="181"/>
      <c r="L6856" s="181"/>
      <c r="M6856" s="181"/>
      <c r="N6856" s="181"/>
      <c r="O6856" s="181"/>
      <c r="P6856" s="181"/>
    </row>
    <row r="6857">
      <c r="B6857" s="292"/>
      <c r="C6857" s="181"/>
      <c r="D6857" s="181"/>
      <c r="E6857" s="181"/>
      <c r="F6857" s="181"/>
      <c r="G6857" s="181"/>
      <c r="H6857" s="181"/>
      <c r="I6857" s="181"/>
      <c r="J6857" s="181"/>
      <c r="K6857" s="181"/>
      <c r="L6857" s="181"/>
      <c r="M6857" s="181"/>
      <c r="N6857" s="181"/>
      <c r="O6857" s="181"/>
      <c r="P6857" s="181"/>
    </row>
    <row r="6858">
      <c r="B6858" s="292"/>
      <c r="C6858" s="181"/>
      <c r="D6858" s="181"/>
      <c r="E6858" s="181"/>
      <c r="F6858" s="181"/>
      <c r="G6858" s="181"/>
      <c r="H6858" s="181"/>
      <c r="I6858" s="181"/>
      <c r="J6858" s="181"/>
      <c r="K6858" s="181"/>
      <c r="L6858" s="181"/>
      <c r="M6858" s="181"/>
      <c r="N6858" s="181"/>
      <c r="O6858" s="181"/>
      <c r="P6858" s="181"/>
    </row>
    <row r="6859">
      <c r="B6859" s="292"/>
      <c r="C6859" s="181"/>
      <c r="D6859" s="181"/>
      <c r="E6859" s="181"/>
      <c r="F6859" s="181"/>
      <c r="G6859" s="181"/>
      <c r="H6859" s="181"/>
      <c r="I6859" s="181"/>
      <c r="J6859" s="181"/>
      <c r="K6859" s="181"/>
      <c r="L6859" s="181"/>
      <c r="M6859" s="181"/>
      <c r="N6859" s="181"/>
      <c r="O6859" s="181"/>
      <c r="P6859" s="181"/>
    </row>
    <row r="6860">
      <c r="B6860" s="292"/>
      <c r="C6860" s="181"/>
      <c r="D6860" s="181"/>
      <c r="E6860" s="181"/>
      <c r="F6860" s="181"/>
      <c r="G6860" s="181"/>
      <c r="H6860" s="181"/>
      <c r="I6860" s="181"/>
      <c r="J6860" s="181"/>
      <c r="K6860" s="181"/>
      <c r="L6860" s="181"/>
      <c r="M6860" s="181"/>
      <c r="N6860" s="181"/>
      <c r="O6860" s="181"/>
      <c r="P6860" s="181"/>
    </row>
    <row r="6861">
      <c r="B6861" s="292"/>
      <c r="C6861" s="181"/>
      <c r="D6861" s="181"/>
      <c r="E6861" s="181"/>
      <c r="F6861" s="181"/>
      <c r="G6861" s="181"/>
      <c r="H6861" s="181"/>
      <c r="I6861" s="181"/>
      <c r="J6861" s="181"/>
      <c r="K6861" s="181"/>
      <c r="L6861" s="181"/>
      <c r="M6861" s="181"/>
      <c r="N6861" s="181"/>
      <c r="O6861" s="181"/>
      <c r="P6861" s="181"/>
    </row>
    <row r="6862">
      <c r="B6862" s="292"/>
      <c r="C6862" s="181"/>
      <c r="D6862" s="181"/>
      <c r="E6862" s="181"/>
      <c r="F6862" s="181"/>
      <c r="G6862" s="181"/>
      <c r="H6862" s="181"/>
      <c r="I6862" s="181"/>
      <c r="J6862" s="181"/>
      <c r="K6862" s="181"/>
      <c r="L6862" s="181"/>
      <c r="M6862" s="181"/>
      <c r="N6862" s="181"/>
      <c r="O6862" s="181"/>
      <c r="P6862" s="181"/>
    </row>
    <row r="6863">
      <c r="B6863" s="292"/>
      <c r="C6863" s="181"/>
      <c r="D6863" s="181"/>
      <c r="E6863" s="181"/>
      <c r="F6863" s="181"/>
      <c r="G6863" s="181"/>
      <c r="H6863" s="181"/>
      <c r="I6863" s="181"/>
      <c r="J6863" s="181"/>
      <c r="K6863" s="181"/>
      <c r="L6863" s="181"/>
      <c r="M6863" s="181"/>
      <c r="N6863" s="181"/>
      <c r="O6863" s="181"/>
      <c r="P6863" s="181"/>
    </row>
    <row r="6864">
      <c r="B6864" s="292"/>
      <c r="C6864" s="181"/>
      <c r="D6864" s="181"/>
      <c r="E6864" s="181"/>
      <c r="F6864" s="181"/>
      <c r="G6864" s="181"/>
      <c r="H6864" s="181"/>
      <c r="I6864" s="181"/>
      <c r="J6864" s="181"/>
      <c r="K6864" s="181"/>
      <c r="L6864" s="181"/>
      <c r="M6864" s="181"/>
      <c r="N6864" s="181"/>
      <c r="O6864" s="181"/>
      <c r="P6864" s="181"/>
    </row>
    <row r="6865">
      <c r="B6865" s="292"/>
      <c r="C6865" s="181"/>
      <c r="D6865" s="181"/>
      <c r="E6865" s="181"/>
      <c r="F6865" s="181"/>
      <c r="G6865" s="181"/>
      <c r="H6865" s="181"/>
      <c r="I6865" s="181"/>
      <c r="J6865" s="181"/>
      <c r="K6865" s="181"/>
      <c r="L6865" s="181"/>
      <c r="M6865" s="181"/>
      <c r="N6865" s="181"/>
      <c r="O6865" s="181"/>
      <c r="P6865" s="181"/>
    </row>
    <row r="6866">
      <c r="B6866" s="292"/>
      <c r="C6866" s="181"/>
      <c r="D6866" s="181"/>
      <c r="E6866" s="181"/>
      <c r="F6866" s="181"/>
      <c r="G6866" s="181"/>
      <c r="H6866" s="181"/>
      <c r="I6866" s="181"/>
      <c r="J6866" s="181"/>
      <c r="K6866" s="181"/>
      <c r="L6866" s="181"/>
      <c r="M6866" s="181"/>
      <c r="N6866" s="181"/>
      <c r="O6866" s="181"/>
      <c r="P6866" s="181"/>
    </row>
    <row r="6867">
      <c r="B6867" s="292"/>
      <c r="C6867" s="181"/>
      <c r="D6867" s="181"/>
      <c r="E6867" s="181"/>
      <c r="F6867" s="181"/>
      <c r="G6867" s="181"/>
      <c r="H6867" s="181"/>
      <c r="I6867" s="181"/>
      <c r="J6867" s="181"/>
      <c r="K6867" s="181"/>
      <c r="L6867" s="181"/>
      <c r="M6867" s="181"/>
      <c r="N6867" s="181"/>
      <c r="O6867" s="181"/>
      <c r="P6867" s="181"/>
    </row>
    <row r="6868">
      <c r="B6868" s="292"/>
      <c r="C6868" s="181"/>
      <c r="D6868" s="181"/>
      <c r="E6868" s="181"/>
      <c r="F6868" s="181"/>
      <c r="G6868" s="181"/>
      <c r="H6868" s="181"/>
      <c r="I6868" s="181"/>
      <c r="J6868" s="181"/>
      <c r="K6868" s="181"/>
      <c r="L6868" s="181"/>
      <c r="M6868" s="181"/>
      <c r="N6868" s="181"/>
      <c r="O6868" s="181"/>
      <c r="P6868" s="181"/>
    </row>
    <row r="6869">
      <c r="B6869" s="292"/>
      <c r="C6869" s="181"/>
      <c r="D6869" s="181"/>
      <c r="E6869" s="181"/>
      <c r="F6869" s="181"/>
      <c r="G6869" s="181"/>
      <c r="H6869" s="181"/>
      <c r="I6869" s="181"/>
      <c r="J6869" s="181"/>
      <c r="K6869" s="181"/>
      <c r="L6869" s="181"/>
      <c r="M6869" s="181"/>
      <c r="N6869" s="181"/>
      <c r="O6869" s="181"/>
      <c r="P6869" s="181"/>
    </row>
    <row r="6870">
      <c r="B6870" s="292"/>
      <c r="C6870" s="181"/>
      <c r="D6870" s="181"/>
      <c r="E6870" s="181"/>
      <c r="F6870" s="181"/>
      <c r="G6870" s="181"/>
      <c r="H6870" s="181"/>
      <c r="I6870" s="181"/>
      <c r="J6870" s="181"/>
      <c r="K6870" s="181"/>
      <c r="L6870" s="181"/>
      <c r="M6870" s="181"/>
      <c r="N6870" s="181"/>
      <c r="O6870" s="181"/>
      <c r="P6870" s="181"/>
    </row>
    <row r="6871">
      <c r="B6871" s="292"/>
      <c r="C6871" s="181"/>
      <c r="D6871" s="181"/>
      <c r="E6871" s="181"/>
      <c r="F6871" s="181"/>
      <c r="G6871" s="181"/>
      <c r="H6871" s="181"/>
      <c r="I6871" s="181"/>
      <c r="J6871" s="181"/>
      <c r="K6871" s="181"/>
      <c r="L6871" s="181"/>
      <c r="M6871" s="181"/>
      <c r="N6871" s="181"/>
      <c r="O6871" s="181"/>
      <c r="P6871" s="181"/>
    </row>
    <row r="6872">
      <c r="B6872" s="292"/>
      <c r="C6872" s="181"/>
      <c r="D6872" s="181"/>
      <c r="E6872" s="181"/>
      <c r="F6872" s="181"/>
      <c r="G6872" s="181"/>
      <c r="H6872" s="181"/>
      <c r="I6872" s="181"/>
      <c r="J6872" s="181"/>
      <c r="K6872" s="181"/>
      <c r="L6872" s="181"/>
      <c r="M6872" s="181"/>
      <c r="N6872" s="181"/>
      <c r="O6872" s="181"/>
      <c r="P6872" s="181"/>
    </row>
    <row r="6873">
      <c r="B6873" s="292"/>
      <c r="C6873" s="181"/>
      <c r="D6873" s="181"/>
      <c r="E6873" s="181"/>
      <c r="F6873" s="181"/>
      <c r="G6873" s="181"/>
      <c r="H6873" s="181"/>
      <c r="I6873" s="181"/>
      <c r="J6873" s="181"/>
      <c r="K6873" s="181"/>
      <c r="L6873" s="181"/>
      <c r="M6873" s="181"/>
      <c r="N6873" s="181"/>
      <c r="O6873" s="181"/>
      <c r="P6873" s="181"/>
    </row>
    <row r="6874">
      <c r="B6874" s="292"/>
      <c r="C6874" s="181"/>
      <c r="D6874" s="181"/>
      <c r="E6874" s="181"/>
      <c r="F6874" s="181"/>
      <c r="G6874" s="181"/>
      <c r="H6874" s="181"/>
      <c r="I6874" s="181"/>
      <c r="J6874" s="181"/>
      <c r="K6874" s="181"/>
      <c r="L6874" s="181"/>
      <c r="M6874" s="181"/>
      <c r="N6874" s="181"/>
      <c r="O6874" s="181"/>
      <c r="P6874" s="181"/>
    </row>
    <row r="6875">
      <c r="B6875" s="292"/>
      <c r="C6875" s="181"/>
      <c r="D6875" s="181"/>
      <c r="E6875" s="181"/>
      <c r="F6875" s="181"/>
      <c r="G6875" s="181"/>
      <c r="H6875" s="181"/>
      <c r="I6875" s="181"/>
      <c r="J6875" s="181"/>
      <c r="K6875" s="181"/>
      <c r="L6875" s="181"/>
      <c r="M6875" s="181"/>
      <c r="N6875" s="181"/>
      <c r="O6875" s="181"/>
      <c r="P6875" s="181"/>
    </row>
    <row r="6876">
      <c r="B6876" s="292"/>
      <c r="C6876" s="181"/>
      <c r="D6876" s="181"/>
      <c r="E6876" s="181"/>
      <c r="F6876" s="181"/>
      <c r="G6876" s="181"/>
      <c r="H6876" s="181"/>
      <c r="I6876" s="181"/>
      <c r="J6876" s="181"/>
      <c r="K6876" s="181"/>
      <c r="L6876" s="181"/>
      <c r="M6876" s="181"/>
      <c r="N6876" s="181"/>
      <c r="O6876" s="181"/>
      <c r="P6876" s="181"/>
    </row>
    <row r="6877">
      <c r="B6877" s="292"/>
      <c r="C6877" s="181"/>
      <c r="D6877" s="181"/>
      <c r="E6877" s="181"/>
      <c r="F6877" s="181"/>
      <c r="G6877" s="181"/>
      <c r="H6877" s="181"/>
      <c r="I6877" s="181"/>
      <c r="J6877" s="181"/>
      <c r="K6877" s="181"/>
      <c r="L6877" s="181"/>
      <c r="M6877" s="181"/>
      <c r="N6877" s="181"/>
      <c r="O6877" s="181"/>
      <c r="P6877" s="181"/>
    </row>
    <row r="6878">
      <c r="B6878" s="292"/>
      <c r="C6878" s="181"/>
      <c r="D6878" s="181"/>
      <c r="E6878" s="181"/>
      <c r="F6878" s="181"/>
      <c r="G6878" s="181"/>
      <c r="H6878" s="181"/>
      <c r="I6878" s="181"/>
      <c r="J6878" s="181"/>
      <c r="K6878" s="181"/>
      <c r="L6878" s="181"/>
      <c r="M6878" s="181"/>
      <c r="N6878" s="181"/>
      <c r="O6878" s="181"/>
      <c r="P6878" s="181"/>
    </row>
    <row r="6879">
      <c r="B6879" s="292"/>
      <c r="C6879" s="181"/>
      <c r="D6879" s="181"/>
      <c r="E6879" s="181"/>
      <c r="F6879" s="181"/>
      <c r="G6879" s="181"/>
      <c r="H6879" s="181"/>
      <c r="I6879" s="181"/>
      <c r="J6879" s="181"/>
      <c r="K6879" s="181"/>
      <c r="L6879" s="181"/>
      <c r="M6879" s="181"/>
      <c r="N6879" s="181"/>
      <c r="O6879" s="181"/>
      <c r="P6879" s="181"/>
    </row>
    <row r="6880">
      <c r="B6880" s="292"/>
      <c r="C6880" s="181"/>
      <c r="D6880" s="181"/>
      <c r="E6880" s="181"/>
      <c r="F6880" s="181"/>
      <c r="G6880" s="181"/>
      <c r="H6880" s="181"/>
      <c r="I6880" s="181"/>
      <c r="J6880" s="181"/>
      <c r="K6880" s="181"/>
      <c r="L6880" s="181"/>
      <c r="M6880" s="181"/>
      <c r="N6880" s="181"/>
      <c r="O6880" s="181"/>
      <c r="P6880" s="181"/>
    </row>
    <row r="6881">
      <c r="B6881" s="292"/>
      <c r="C6881" s="181"/>
      <c r="D6881" s="181"/>
      <c r="E6881" s="181"/>
      <c r="F6881" s="181"/>
      <c r="G6881" s="181"/>
      <c r="H6881" s="181"/>
      <c r="I6881" s="181"/>
      <c r="J6881" s="181"/>
      <c r="K6881" s="181"/>
      <c r="L6881" s="181"/>
      <c r="M6881" s="181"/>
      <c r="N6881" s="181"/>
      <c r="O6881" s="181"/>
      <c r="P6881" s="181"/>
    </row>
    <row r="6882">
      <c r="B6882" s="292"/>
      <c r="C6882" s="181"/>
      <c r="D6882" s="181"/>
      <c r="E6882" s="181"/>
      <c r="F6882" s="181"/>
      <c r="G6882" s="181"/>
      <c r="H6882" s="181"/>
      <c r="I6882" s="181"/>
      <c r="J6882" s="181"/>
      <c r="K6882" s="181"/>
      <c r="L6882" s="181"/>
      <c r="M6882" s="181"/>
      <c r="N6882" s="181"/>
      <c r="O6882" s="181"/>
      <c r="P6882" s="181"/>
    </row>
    <row r="6883">
      <c r="B6883" s="292"/>
      <c r="C6883" s="181"/>
      <c r="D6883" s="181"/>
      <c r="E6883" s="181"/>
      <c r="F6883" s="181"/>
      <c r="G6883" s="181"/>
      <c r="H6883" s="181"/>
      <c r="I6883" s="181"/>
      <c r="J6883" s="181"/>
      <c r="K6883" s="181"/>
      <c r="L6883" s="181"/>
      <c r="M6883" s="181"/>
      <c r="N6883" s="181"/>
      <c r="O6883" s="181"/>
      <c r="P6883" s="181"/>
    </row>
    <row r="6884">
      <c r="B6884" s="292"/>
      <c r="C6884" s="181"/>
      <c r="D6884" s="181"/>
      <c r="E6884" s="181"/>
      <c r="F6884" s="181"/>
      <c r="G6884" s="181"/>
      <c r="H6884" s="181"/>
      <c r="I6884" s="181"/>
      <c r="J6884" s="181"/>
      <c r="K6884" s="181"/>
      <c r="L6884" s="181"/>
      <c r="M6884" s="181"/>
      <c r="N6884" s="181"/>
      <c r="O6884" s="181"/>
      <c r="P6884" s="181"/>
    </row>
    <row r="6885">
      <c r="B6885" s="292"/>
      <c r="C6885" s="181"/>
      <c r="D6885" s="181"/>
      <c r="E6885" s="181"/>
      <c r="F6885" s="181"/>
      <c r="G6885" s="181"/>
      <c r="H6885" s="181"/>
      <c r="I6885" s="181"/>
      <c r="J6885" s="181"/>
      <c r="K6885" s="181"/>
      <c r="L6885" s="181"/>
      <c r="M6885" s="181"/>
      <c r="N6885" s="181"/>
      <c r="O6885" s="181"/>
      <c r="P6885" s="181"/>
    </row>
    <row r="6886">
      <c r="B6886" s="292"/>
      <c r="C6886" s="181"/>
      <c r="D6886" s="181"/>
      <c r="E6886" s="181"/>
      <c r="F6886" s="181"/>
      <c r="G6886" s="181"/>
      <c r="H6886" s="181"/>
      <c r="I6886" s="181"/>
      <c r="J6886" s="181"/>
      <c r="K6886" s="181"/>
      <c r="L6886" s="181"/>
      <c r="M6886" s="181"/>
      <c r="N6886" s="181"/>
      <c r="O6886" s="181"/>
      <c r="P6886" s="181"/>
    </row>
    <row r="6887">
      <c r="B6887" s="292"/>
      <c r="C6887" s="181"/>
      <c r="D6887" s="181"/>
      <c r="E6887" s="181"/>
      <c r="F6887" s="181"/>
      <c r="G6887" s="181"/>
      <c r="H6887" s="181"/>
      <c r="I6887" s="181"/>
      <c r="J6887" s="181"/>
      <c r="K6887" s="181"/>
      <c r="L6887" s="181"/>
      <c r="M6887" s="181"/>
      <c r="N6887" s="181"/>
      <c r="O6887" s="181"/>
      <c r="P6887" s="181"/>
    </row>
    <row r="6888">
      <c r="B6888" s="292"/>
      <c r="C6888" s="181"/>
      <c r="D6888" s="181"/>
      <c r="E6888" s="181"/>
      <c r="F6888" s="181"/>
      <c r="G6888" s="181"/>
      <c r="H6888" s="181"/>
      <c r="I6888" s="181"/>
      <c r="J6888" s="181"/>
      <c r="K6888" s="181"/>
      <c r="L6888" s="181"/>
      <c r="M6888" s="181"/>
      <c r="N6888" s="181"/>
      <c r="O6888" s="181"/>
      <c r="P6888" s="181"/>
    </row>
    <row r="6889">
      <c r="B6889" s="292"/>
      <c r="C6889" s="181"/>
      <c r="D6889" s="181"/>
      <c r="E6889" s="181"/>
      <c r="F6889" s="181"/>
      <c r="G6889" s="181"/>
      <c r="H6889" s="181"/>
      <c r="I6889" s="181"/>
      <c r="J6889" s="181"/>
      <c r="K6889" s="181"/>
      <c r="L6889" s="181"/>
      <c r="M6889" s="181"/>
      <c r="N6889" s="181"/>
      <c r="O6889" s="181"/>
      <c r="P6889" s="181"/>
    </row>
    <row r="6890">
      <c r="B6890" s="292"/>
      <c r="C6890" s="181"/>
      <c r="D6890" s="181"/>
      <c r="E6890" s="181"/>
      <c r="F6890" s="181"/>
      <c r="G6890" s="181"/>
      <c r="H6890" s="181"/>
      <c r="I6890" s="181"/>
      <c r="J6890" s="181"/>
      <c r="K6890" s="181"/>
      <c r="L6890" s="181"/>
      <c r="M6890" s="181"/>
      <c r="N6890" s="181"/>
      <c r="O6890" s="181"/>
      <c r="P6890" s="181"/>
    </row>
    <row r="6891">
      <c r="B6891" s="292"/>
      <c r="C6891" s="181"/>
      <c r="D6891" s="181"/>
      <c r="E6891" s="181"/>
      <c r="F6891" s="181"/>
      <c r="G6891" s="181"/>
      <c r="H6891" s="181"/>
      <c r="I6891" s="181"/>
      <c r="J6891" s="181"/>
      <c r="K6891" s="181"/>
      <c r="L6891" s="181"/>
      <c r="M6891" s="181"/>
      <c r="N6891" s="181"/>
      <c r="O6891" s="181"/>
      <c r="P6891" s="181"/>
    </row>
    <row r="6892">
      <c r="B6892" s="292"/>
      <c r="C6892" s="181"/>
      <c r="D6892" s="181"/>
      <c r="E6892" s="181"/>
      <c r="F6892" s="181"/>
      <c r="G6892" s="181"/>
      <c r="H6892" s="181"/>
      <c r="I6892" s="181"/>
      <c r="J6892" s="181"/>
      <c r="K6892" s="181"/>
      <c r="L6892" s="181"/>
      <c r="M6892" s="181"/>
      <c r="N6892" s="181"/>
      <c r="O6892" s="181"/>
      <c r="P6892" s="181"/>
    </row>
    <row r="6893">
      <c r="B6893" s="292"/>
      <c r="C6893" s="181"/>
      <c r="D6893" s="181"/>
      <c r="E6893" s="181"/>
      <c r="F6893" s="181"/>
      <c r="G6893" s="181"/>
      <c r="H6893" s="181"/>
      <c r="I6893" s="181"/>
      <c r="J6893" s="181"/>
      <c r="K6893" s="181"/>
      <c r="L6893" s="181"/>
      <c r="M6893" s="181"/>
      <c r="N6893" s="181"/>
      <c r="O6893" s="181"/>
      <c r="P6893" s="181"/>
    </row>
    <row r="6894">
      <c r="B6894" s="292"/>
      <c r="C6894" s="181"/>
      <c r="D6894" s="181"/>
      <c r="E6894" s="181"/>
      <c r="F6894" s="181"/>
      <c r="G6894" s="181"/>
      <c r="H6894" s="181"/>
      <c r="I6894" s="181"/>
      <c r="J6894" s="181"/>
      <c r="K6894" s="181"/>
      <c r="L6894" s="181"/>
      <c r="M6894" s="181"/>
      <c r="N6894" s="181"/>
      <c r="O6894" s="181"/>
      <c r="P6894" s="181"/>
    </row>
    <row r="6895">
      <c r="B6895" s="292"/>
      <c r="C6895" s="181"/>
      <c r="D6895" s="181"/>
      <c r="E6895" s="181"/>
      <c r="F6895" s="181"/>
      <c r="G6895" s="181"/>
      <c r="H6895" s="181"/>
      <c r="I6895" s="181"/>
      <c r="J6895" s="181"/>
      <c r="K6895" s="181"/>
      <c r="L6895" s="181"/>
      <c r="M6895" s="181"/>
      <c r="N6895" s="181"/>
      <c r="O6895" s="181"/>
      <c r="P6895" s="181"/>
    </row>
    <row r="6896">
      <c r="B6896" s="292"/>
      <c r="C6896" s="181"/>
      <c r="D6896" s="181"/>
      <c r="E6896" s="181"/>
      <c r="F6896" s="181"/>
      <c r="G6896" s="181"/>
      <c r="H6896" s="181"/>
      <c r="I6896" s="181"/>
      <c r="J6896" s="181"/>
      <c r="K6896" s="181"/>
      <c r="L6896" s="181"/>
      <c r="M6896" s="181"/>
      <c r="N6896" s="181"/>
      <c r="O6896" s="181"/>
      <c r="P6896" s="181"/>
    </row>
    <row r="6897">
      <c r="B6897" s="292"/>
      <c r="C6897" s="181"/>
      <c r="D6897" s="181"/>
      <c r="E6897" s="181"/>
      <c r="F6897" s="181"/>
      <c r="G6897" s="181"/>
      <c r="H6897" s="181"/>
      <c r="I6897" s="181"/>
      <c r="J6897" s="181"/>
      <c r="K6897" s="181"/>
      <c r="L6897" s="181"/>
      <c r="M6897" s="181"/>
      <c r="N6897" s="181"/>
      <c r="O6897" s="181"/>
      <c r="P6897" s="181"/>
    </row>
    <row r="6898">
      <c r="B6898" s="292"/>
      <c r="C6898" s="181"/>
      <c r="D6898" s="181"/>
      <c r="E6898" s="181"/>
      <c r="F6898" s="181"/>
      <c r="G6898" s="181"/>
      <c r="H6898" s="181"/>
      <c r="I6898" s="181"/>
      <c r="J6898" s="181"/>
      <c r="K6898" s="181"/>
      <c r="L6898" s="181"/>
      <c r="M6898" s="181"/>
      <c r="N6898" s="181"/>
      <c r="O6898" s="181"/>
      <c r="P6898" s="181"/>
    </row>
    <row r="6899">
      <c r="B6899" s="292"/>
      <c r="C6899" s="181"/>
      <c r="D6899" s="181"/>
      <c r="E6899" s="181"/>
      <c r="F6899" s="181"/>
      <c r="G6899" s="181"/>
      <c r="H6899" s="181"/>
      <c r="I6899" s="181"/>
      <c r="J6899" s="181"/>
      <c r="K6899" s="181"/>
      <c r="L6899" s="181"/>
      <c r="M6899" s="181"/>
      <c r="N6899" s="181"/>
      <c r="O6899" s="181"/>
      <c r="P6899" s="181"/>
    </row>
    <row r="6900">
      <c r="B6900" s="292"/>
      <c r="C6900" s="181"/>
      <c r="D6900" s="181"/>
      <c r="E6900" s="181"/>
      <c r="F6900" s="181"/>
      <c r="G6900" s="181"/>
      <c r="H6900" s="181"/>
      <c r="I6900" s="181"/>
      <c r="J6900" s="181"/>
      <c r="K6900" s="181"/>
      <c r="L6900" s="181"/>
      <c r="M6900" s="181"/>
      <c r="N6900" s="181"/>
      <c r="O6900" s="181"/>
      <c r="P6900" s="181"/>
    </row>
    <row r="6901">
      <c r="B6901" s="292"/>
      <c r="C6901" s="181"/>
      <c r="D6901" s="181"/>
      <c r="E6901" s="181"/>
      <c r="F6901" s="181"/>
      <c r="G6901" s="181"/>
      <c r="H6901" s="181"/>
      <c r="I6901" s="181"/>
      <c r="J6901" s="181"/>
      <c r="K6901" s="181"/>
      <c r="L6901" s="181"/>
      <c r="M6901" s="181"/>
      <c r="N6901" s="181"/>
      <c r="O6901" s="181"/>
      <c r="P6901" s="181"/>
    </row>
    <row r="6902">
      <c r="B6902" s="292"/>
      <c r="C6902" s="181"/>
      <c r="D6902" s="181"/>
      <c r="E6902" s="181"/>
      <c r="F6902" s="181"/>
      <c r="G6902" s="181"/>
      <c r="H6902" s="181"/>
      <c r="I6902" s="181"/>
      <c r="J6902" s="181"/>
      <c r="K6902" s="181"/>
      <c r="L6902" s="181"/>
      <c r="M6902" s="181"/>
      <c r="N6902" s="181"/>
      <c r="O6902" s="181"/>
      <c r="P6902" s="181"/>
    </row>
    <row r="6903">
      <c r="B6903" s="292"/>
      <c r="C6903" s="181"/>
      <c r="D6903" s="181"/>
      <c r="E6903" s="181"/>
      <c r="F6903" s="181"/>
      <c r="G6903" s="181"/>
      <c r="H6903" s="181"/>
      <c r="I6903" s="181"/>
      <c r="J6903" s="181"/>
      <c r="K6903" s="181"/>
      <c r="L6903" s="181"/>
      <c r="M6903" s="181"/>
      <c r="N6903" s="181"/>
      <c r="O6903" s="181"/>
      <c r="P6903" s="181"/>
    </row>
    <row r="6904">
      <c r="B6904" s="292"/>
      <c r="C6904" s="181"/>
      <c r="D6904" s="181"/>
      <c r="E6904" s="181"/>
      <c r="F6904" s="181"/>
      <c r="G6904" s="181"/>
      <c r="H6904" s="181"/>
      <c r="I6904" s="181"/>
      <c r="J6904" s="181"/>
      <c r="K6904" s="181"/>
      <c r="L6904" s="181"/>
      <c r="M6904" s="181"/>
      <c r="N6904" s="181"/>
      <c r="O6904" s="181"/>
      <c r="P6904" s="181"/>
    </row>
    <row r="6905">
      <c r="B6905" s="292"/>
      <c r="C6905" s="181"/>
      <c r="D6905" s="181"/>
      <c r="E6905" s="181"/>
      <c r="F6905" s="181"/>
      <c r="G6905" s="181"/>
      <c r="H6905" s="181"/>
      <c r="I6905" s="181"/>
      <c r="J6905" s="181"/>
      <c r="K6905" s="181"/>
      <c r="L6905" s="181"/>
      <c r="M6905" s="181"/>
      <c r="N6905" s="181"/>
      <c r="O6905" s="181"/>
      <c r="P6905" s="181"/>
    </row>
    <row r="6906">
      <c r="B6906" s="292"/>
      <c r="C6906" s="181"/>
      <c r="D6906" s="181"/>
      <c r="E6906" s="181"/>
      <c r="F6906" s="181"/>
      <c r="G6906" s="181"/>
      <c r="H6906" s="181"/>
      <c r="I6906" s="181"/>
      <c r="J6906" s="181"/>
      <c r="K6906" s="181"/>
      <c r="L6906" s="181"/>
      <c r="M6906" s="181"/>
      <c r="N6906" s="181"/>
      <c r="O6906" s="181"/>
      <c r="P6906" s="181"/>
    </row>
    <row r="6907">
      <c r="B6907" s="292"/>
      <c r="C6907" s="181"/>
      <c r="D6907" s="181"/>
      <c r="E6907" s="181"/>
      <c r="F6907" s="181"/>
      <c r="G6907" s="181"/>
      <c r="H6907" s="181"/>
      <c r="I6907" s="181"/>
      <c r="J6907" s="181"/>
      <c r="K6907" s="181"/>
      <c r="L6907" s="181"/>
      <c r="M6907" s="181"/>
      <c r="N6907" s="181"/>
      <c r="O6907" s="181"/>
      <c r="P6907" s="181"/>
    </row>
    <row r="6908">
      <c r="B6908" s="292"/>
      <c r="C6908" s="181"/>
      <c r="D6908" s="181"/>
      <c r="E6908" s="181"/>
      <c r="F6908" s="181"/>
      <c r="G6908" s="181"/>
      <c r="H6908" s="181"/>
      <c r="I6908" s="181"/>
      <c r="J6908" s="181"/>
      <c r="K6908" s="181"/>
      <c r="L6908" s="181"/>
      <c r="M6908" s="181"/>
      <c r="N6908" s="181"/>
      <c r="O6908" s="181"/>
      <c r="P6908" s="181"/>
    </row>
    <row r="6909">
      <c r="B6909" s="292"/>
      <c r="C6909" s="181"/>
      <c r="D6909" s="181"/>
      <c r="E6909" s="181"/>
      <c r="F6909" s="181"/>
      <c r="G6909" s="181"/>
      <c r="H6909" s="181"/>
      <c r="I6909" s="181"/>
      <c r="J6909" s="181"/>
      <c r="K6909" s="181"/>
      <c r="L6909" s="181"/>
      <c r="M6909" s="181"/>
      <c r="N6909" s="181"/>
      <c r="O6909" s="181"/>
      <c r="P6909" s="181"/>
    </row>
    <row r="6910">
      <c r="B6910" s="292"/>
      <c r="C6910" s="181"/>
      <c r="D6910" s="181"/>
      <c r="E6910" s="181"/>
      <c r="F6910" s="181"/>
      <c r="G6910" s="181"/>
      <c r="H6910" s="181"/>
      <c r="I6910" s="181"/>
      <c r="J6910" s="181"/>
      <c r="K6910" s="181"/>
      <c r="L6910" s="181"/>
      <c r="M6910" s="181"/>
      <c r="N6910" s="181"/>
      <c r="O6910" s="181"/>
      <c r="P6910" s="181"/>
    </row>
    <row r="6911">
      <c r="B6911" s="292"/>
      <c r="C6911" s="181"/>
      <c r="D6911" s="181"/>
      <c r="E6911" s="181"/>
      <c r="F6911" s="181"/>
      <c r="G6911" s="181"/>
      <c r="H6911" s="181"/>
      <c r="I6911" s="181"/>
      <c r="J6911" s="181"/>
      <c r="K6911" s="181"/>
      <c r="L6911" s="181"/>
      <c r="M6911" s="181"/>
      <c r="N6911" s="181"/>
      <c r="O6911" s="181"/>
      <c r="P6911" s="181"/>
    </row>
    <row r="6912">
      <c r="B6912" s="292"/>
      <c r="C6912" s="181"/>
      <c r="D6912" s="181"/>
      <c r="E6912" s="181"/>
      <c r="F6912" s="181"/>
      <c r="G6912" s="181"/>
      <c r="H6912" s="181"/>
      <c r="I6912" s="181"/>
      <c r="J6912" s="181"/>
      <c r="K6912" s="181"/>
      <c r="L6912" s="181"/>
      <c r="M6912" s="181"/>
      <c r="N6912" s="181"/>
      <c r="O6912" s="181"/>
      <c r="P6912" s="181"/>
    </row>
    <row r="6913">
      <c r="B6913" s="292"/>
      <c r="C6913" s="181"/>
      <c r="D6913" s="181"/>
      <c r="E6913" s="181"/>
      <c r="F6913" s="181"/>
      <c r="G6913" s="181"/>
      <c r="H6913" s="181"/>
      <c r="I6913" s="181"/>
      <c r="J6913" s="181"/>
      <c r="K6913" s="181"/>
      <c r="L6913" s="181"/>
      <c r="M6913" s="181"/>
      <c r="N6913" s="181"/>
      <c r="O6913" s="181"/>
      <c r="P6913" s="181"/>
    </row>
    <row r="6914">
      <c r="B6914" s="292"/>
      <c r="C6914" s="181"/>
      <c r="D6914" s="181"/>
      <c r="E6914" s="181"/>
      <c r="F6914" s="181"/>
      <c r="G6914" s="181"/>
      <c r="H6914" s="181"/>
      <c r="I6914" s="181"/>
      <c r="J6914" s="181"/>
      <c r="K6914" s="181"/>
      <c r="L6914" s="181"/>
      <c r="M6914" s="181"/>
      <c r="N6914" s="181"/>
      <c r="O6914" s="181"/>
      <c r="P6914" s="181"/>
    </row>
    <row r="6915">
      <c r="B6915" s="292"/>
      <c r="C6915" s="181"/>
      <c r="D6915" s="181"/>
      <c r="E6915" s="181"/>
      <c r="F6915" s="181"/>
      <c r="G6915" s="181"/>
      <c r="H6915" s="181"/>
      <c r="I6915" s="181"/>
      <c r="J6915" s="181"/>
      <c r="K6915" s="181"/>
      <c r="L6915" s="181"/>
      <c r="M6915" s="181"/>
      <c r="N6915" s="181"/>
      <c r="O6915" s="181"/>
      <c r="P6915" s="181"/>
    </row>
    <row r="6916">
      <c r="B6916" s="292"/>
      <c r="C6916" s="181"/>
      <c r="D6916" s="181"/>
      <c r="E6916" s="181"/>
      <c r="F6916" s="181"/>
      <c r="G6916" s="181"/>
      <c r="H6916" s="181"/>
      <c r="I6916" s="181"/>
      <c r="J6916" s="181"/>
      <c r="K6916" s="181"/>
      <c r="L6916" s="181"/>
      <c r="M6916" s="181"/>
      <c r="N6916" s="181"/>
      <c r="O6916" s="181"/>
      <c r="P6916" s="181"/>
    </row>
    <row r="6917">
      <c r="B6917" s="292"/>
      <c r="C6917" s="181"/>
      <c r="D6917" s="181"/>
      <c r="E6917" s="181"/>
      <c r="F6917" s="181"/>
      <c r="G6917" s="181"/>
      <c r="H6917" s="181"/>
      <c r="I6917" s="181"/>
      <c r="J6917" s="181"/>
      <c r="K6917" s="181"/>
      <c r="L6917" s="181"/>
      <c r="M6917" s="181"/>
      <c r="N6917" s="181"/>
      <c r="O6917" s="181"/>
      <c r="P6917" s="181"/>
    </row>
    <row r="6918">
      <c r="B6918" s="292"/>
      <c r="C6918" s="181"/>
      <c r="D6918" s="181"/>
      <c r="E6918" s="181"/>
      <c r="F6918" s="181"/>
      <c r="G6918" s="181"/>
      <c r="H6918" s="181"/>
      <c r="I6918" s="181"/>
      <c r="J6918" s="181"/>
      <c r="K6918" s="181"/>
      <c r="L6918" s="181"/>
      <c r="M6918" s="181"/>
      <c r="N6918" s="181"/>
      <c r="O6918" s="181"/>
      <c r="P6918" s="181"/>
    </row>
    <row r="6919">
      <c r="B6919" s="292"/>
      <c r="C6919" s="181"/>
      <c r="D6919" s="181"/>
      <c r="E6919" s="181"/>
      <c r="F6919" s="181"/>
      <c r="G6919" s="181"/>
      <c r="H6919" s="181"/>
      <c r="I6919" s="181"/>
      <c r="J6919" s="181"/>
      <c r="K6919" s="181"/>
      <c r="L6919" s="181"/>
      <c r="M6919" s="181"/>
      <c r="N6919" s="181"/>
      <c r="O6919" s="181"/>
      <c r="P6919" s="181"/>
    </row>
    <row r="6920">
      <c r="B6920" s="292"/>
      <c r="C6920" s="181"/>
      <c r="D6920" s="181"/>
      <c r="E6920" s="181"/>
      <c r="F6920" s="181"/>
      <c r="G6920" s="181"/>
      <c r="H6920" s="181"/>
      <c r="I6920" s="181"/>
      <c r="J6920" s="181"/>
      <c r="K6920" s="181"/>
      <c r="L6920" s="181"/>
      <c r="M6920" s="181"/>
      <c r="N6920" s="181"/>
      <c r="O6920" s="181"/>
      <c r="P6920" s="181"/>
    </row>
    <row r="6921">
      <c r="B6921" s="292"/>
      <c r="C6921" s="181"/>
      <c r="D6921" s="181"/>
      <c r="E6921" s="181"/>
      <c r="F6921" s="181"/>
      <c r="G6921" s="181"/>
      <c r="H6921" s="181"/>
      <c r="I6921" s="181"/>
      <c r="J6921" s="181"/>
      <c r="K6921" s="181"/>
      <c r="L6921" s="181"/>
      <c r="M6921" s="181"/>
      <c r="N6921" s="181"/>
      <c r="O6921" s="181"/>
      <c r="P6921" s="181"/>
    </row>
    <row r="6922">
      <c r="B6922" s="292"/>
      <c r="C6922" s="181"/>
      <c r="D6922" s="181"/>
      <c r="E6922" s="181"/>
      <c r="F6922" s="181"/>
      <c r="G6922" s="181"/>
      <c r="H6922" s="181"/>
      <c r="I6922" s="181"/>
      <c r="J6922" s="181"/>
      <c r="K6922" s="181"/>
      <c r="L6922" s="181"/>
      <c r="M6922" s="181"/>
      <c r="N6922" s="181"/>
      <c r="O6922" s="181"/>
      <c r="P6922" s="181"/>
    </row>
    <row r="6923">
      <c r="B6923" s="292"/>
      <c r="C6923" s="181"/>
      <c r="D6923" s="181"/>
      <c r="E6923" s="181"/>
      <c r="F6923" s="181"/>
      <c r="G6923" s="181"/>
      <c r="H6923" s="181"/>
      <c r="I6923" s="181"/>
      <c r="J6923" s="181"/>
      <c r="K6923" s="181"/>
      <c r="L6923" s="181"/>
      <c r="M6923" s="181"/>
      <c r="N6923" s="181"/>
      <c r="O6923" s="181"/>
      <c r="P6923" s="181"/>
    </row>
    <row r="6924">
      <c r="B6924" s="292"/>
      <c r="C6924" s="181"/>
      <c r="D6924" s="181"/>
      <c r="E6924" s="181"/>
      <c r="F6924" s="181"/>
      <c r="G6924" s="181"/>
      <c r="H6924" s="181"/>
      <c r="I6924" s="181"/>
      <c r="J6924" s="181"/>
      <c r="K6924" s="181"/>
      <c r="L6924" s="181"/>
      <c r="M6924" s="181"/>
      <c r="N6924" s="181"/>
      <c r="O6924" s="181"/>
      <c r="P6924" s="181"/>
    </row>
    <row r="6925">
      <c r="B6925" s="292"/>
      <c r="C6925" s="181"/>
      <c r="D6925" s="181"/>
      <c r="E6925" s="181"/>
      <c r="F6925" s="181"/>
      <c r="G6925" s="181"/>
      <c r="H6925" s="181"/>
      <c r="I6925" s="181"/>
      <c r="J6925" s="181"/>
      <c r="K6925" s="181"/>
      <c r="L6925" s="181"/>
      <c r="M6925" s="181"/>
      <c r="N6925" s="181"/>
      <c r="O6925" s="181"/>
      <c r="P6925" s="181"/>
    </row>
    <row r="6926">
      <c r="B6926" s="292"/>
      <c r="C6926" s="181"/>
      <c r="D6926" s="181"/>
      <c r="E6926" s="181"/>
      <c r="F6926" s="181"/>
      <c r="G6926" s="181"/>
      <c r="H6926" s="181"/>
      <c r="I6926" s="181"/>
      <c r="J6926" s="181"/>
      <c r="K6926" s="181"/>
      <c r="L6926" s="181"/>
      <c r="M6926" s="181"/>
      <c r="N6926" s="181"/>
      <c r="O6926" s="181"/>
      <c r="P6926" s="181"/>
    </row>
    <row r="6927">
      <c r="B6927" s="292"/>
      <c r="C6927" s="181"/>
      <c r="D6927" s="181"/>
      <c r="E6927" s="181"/>
      <c r="F6927" s="181"/>
      <c r="G6927" s="181"/>
      <c r="H6927" s="181"/>
      <c r="I6927" s="181"/>
      <c r="J6927" s="181"/>
      <c r="K6927" s="181"/>
      <c r="L6927" s="181"/>
      <c r="M6927" s="181"/>
      <c r="N6927" s="181"/>
      <c r="O6927" s="181"/>
      <c r="P6927" s="181"/>
    </row>
    <row r="6928">
      <c r="B6928" s="292"/>
      <c r="C6928" s="181"/>
      <c r="D6928" s="181"/>
      <c r="E6928" s="181"/>
      <c r="F6928" s="181"/>
      <c r="G6928" s="181"/>
      <c r="H6928" s="181"/>
      <c r="I6928" s="181"/>
      <c r="J6928" s="181"/>
      <c r="K6928" s="181"/>
      <c r="L6928" s="181"/>
      <c r="M6928" s="181"/>
      <c r="N6928" s="181"/>
      <c r="O6928" s="181"/>
      <c r="P6928" s="181"/>
    </row>
    <row r="6929">
      <c r="B6929" s="292"/>
      <c r="C6929" s="181"/>
      <c r="D6929" s="181"/>
      <c r="E6929" s="181"/>
      <c r="F6929" s="181"/>
      <c r="G6929" s="181"/>
      <c r="H6929" s="181"/>
      <c r="I6929" s="181"/>
      <c r="J6929" s="181"/>
      <c r="K6929" s="181"/>
      <c r="L6929" s="181"/>
      <c r="M6929" s="181"/>
      <c r="N6929" s="181"/>
      <c r="O6929" s="181"/>
      <c r="P6929" s="181"/>
    </row>
    <row r="6930">
      <c r="B6930" s="292"/>
      <c r="C6930" s="181"/>
      <c r="D6930" s="181"/>
      <c r="E6930" s="181"/>
      <c r="F6930" s="181"/>
      <c r="G6930" s="181"/>
      <c r="H6930" s="181"/>
      <c r="I6930" s="181"/>
      <c r="J6930" s="181"/>
      <c r="K6930" s="181"/>
      <c r="L6930" s="181"/>
      <c r="M6930" s="181"/>
      <c r="N6930" s="181"/>
      <c r="O6930" s="181"/>
      <c r="P6930" s="181"/>
    </row>
    <row r="6931">
      <c r="B6931" s="292"/>
      <c r="C6931" s="181"/>
      <c r="D6931" s="181"/>
      <c r="E6931" s="181"/>
      <c r="F6931" s="181"/>
      <c r="G6931" s="181"/>
      <c r="H6931" s="181"/>
      <c r="I6931" s="181"/>
      <c r="J6931" s="181"/>
      <c r="K6931" s="181"/>
      <c r="L6931" s="181"/>
      <c r="M6931" s="181"/>
      <c r="N6931" s="181"/>
      <c r="O6931" s="181"/>
      <c r="P6931" s="181"/>
    </row>
    <row r="6932">
      <c r="B6932" s="292"/>
      <c r="C6932" s="181"/>
      <c r="D6932" s="181"/>
      <c r="E6932" s="181"/>
      <c r="F6932" s="181"/>
      <c r="G6932" s="181"/>
      <c r="H6932" s="181"/>
      <c r="I6932" s="181"/>
      <c r="J6932" s="181"/>
      <c r="K6932" s="181"/>
      <c r="L6932" s="181"/>
      <c r="M6932" s="181"/>
      <c r="N6932" s="181"/>
      <c r="O6932" s="181"/>
      <c r="P6932" s="181"/>
    </row>
    <row r="6933">
      <c r="B6933" s="292"/>
      <c r="C6933" s="181"/>
      <c r="D6933" s="181"/>
      <c r="E6933" s="181"/>
      <c r="F6933" s="181"/>
      <c r="G6933" s="181"/>
      <c r="H6933" s="181"/>
      <c r="I6933" s="181"/>
      <c r="J6933" s="181"/>
      <c r="K6933" s="181"/>
      <c r="L6933" s="181"/>
      <c r="M6933" s="181"/>
      <c r="N6933" s="181"/>
      <c r="O6933" s="181"/>
      <c r="P6933" s="181"/>
    </row>
    <row r="6934">
      <c r="B6934" s="292"/>
      <c r="C6934" s="181"/>
      <c r="D6934" s="181"/>
      <c r="E6934" s="181"/>
      <c r="F6934" s="181"/>
      <c r="G6934" s="181"/>
      <c r="H6934" s="181"/>
      <c r="I6934" s="181"/>
      <c r="J6934" s="181"/>
      <c r="K6934" s="181"/>
      <c r="L6934" s="181"/>
      <c r="M6934" s="181"/>
      <c r="N6934" s="181"/>
      <c r="O6934" s="181"/>
      <c r="P6934" s="181"/>
    </row>
    <row r="6935">
      <c r="B6935" s="292"/>
      <c r="C6935" s="181"/>
      <c r="D6935" s="181"/>
      <c r="E6935" s="181"/>
      <c r="F6935" s="181"/>
      <c r="G6935" s="181"/>
      <c r="H6935" s="181"/>
      <c r="I6935" s="181"/>
      <c r="J6935" s="181"/>
      <c r="K6935" s="181"/>
      <c r="L6935" s="181"/>
      <c r="M6935" s="181"/>
      <c r="N6935" s="181"/>
      <c r="O6935" s="181"/>
      <c r="P6935" s="181"/>
    </row>
    <row r="6936">
      <c r="B6936" s="292"/>
      <c r="C6936" s="181"/>
      <c r="D6936" s="181"/>
      <c r="E6936" s="181"/>
      <c r="F6936" s="181"/>
      <c r="G6936" s="181"/>
      <c r="H6936" s="181"/>
      <c r="I6936" s="181"/>
      <c r="J6936" s="181"/>
      <c r="K6936" s="181"/>
      <c r="L6936" s="181"/>
      <c r="M6936" s="181"/>
      <c r="N6936" s="181"/>
      <c r="O6936" s="181"/>
      <c r="P6936" s="181"/>
    </row>
    <row r="6937">
      <c r="B6937" s="292"/>
      <c r="C6937" s="181"/>
      <c r="D6937" s="181"/>
      <c r="E6937" s="181"/>
      <c r="F6937" s="181"/>
      <c r="G6937" s="181"/>
      <c r="H6937" s="181"/>
      <c r="I6937" s="181"/>
      <c r="J6937" s="181"/>
      <c r="K6937" s="181"/>
      <c r="L6937" s="181"/>
      <c r="M6937" s="181"/>
      <c r="N6937" s="181"/>
      <c r="O6937" s="181"/>
      <c r="P6937" s="181"/>
    </row>
    <row r="6938">
      <c r="B6938" s="292"/>
      <c r="C6938" s="181"/>
      <c r="D6938" s="181"/>
      <c r="E6938" s="181"/>
      <c r="F6938" s="181"/>
      <c r="G6938" s="181"/>
      <c r="H6938" s="181"/>
      <c r="I6938" s="181"/>
      <c r="J6938" s="181"/>
      <c r="K6938" s="181"/>
      <c r="L6938" s="181"/>
      <c r="M6938" s="181"/>
      <c r="N6938" s="181"/>
      <c r="O6938" s="181"/>
      <c r="P6938" s="181"/>
    </row>
    <row r="6939">
      <c r="B6939" s="292"/>
      <c r="C6939" s="181"/>
      <c r="D6939" s="181"/>
      <c r="E6939" s="181"/>
      <c r="F6939" s="181"/>
      <c r="G6939" s="181"/>
      <c r="H6939" s="181"/>
      <c r="I6939" s="181"/>
      <c r="J6939" s="181"/>
      <c r="K6939" s="181"/>
      <c r="L6939" s="181"/>
      <c r="M6939" s="181"/>
      <c r="N6939" s="181"/>
      <c r="O6939" s="181"/>
      <c r="P6939" s="181"/>
    </row>
    <row r="6940">
      <c r="B6940" s="292"/>
      <c r="C6940" s="181"/>
      <c r="D6940" s="181"/>
      <c r="E6940" s="181"/>
      <c r="F6940" s="181"/>
      <c r="G6940" s="181"/>
      <c r="H6940" s="181"/>
      <c r="I6940" s="181"/>
      <c r="J6940" s="181"/>
      <c r="K6940" s="181"/>
      <c r="L6940" s="181"/>
      <c r="M6940" s="181"/>
      <c r="N6940" s="181"/>
      <c r="O6940" s="181"/>
      <c r="P6940" s="181"/>
    </row>
    <row r="6941">
      <c r="B6941" s="292"/>
      <c r="C6941" s="181"/>
      <c r="D6941" s="181"/>
      <c r="E6941" s="181"/>
      <c r="F6941" s="181"/>
      <c r="G6941" s="181"/>
      <c r="H6941" s="181"/>
      <c r="I6941" s="181"/>
      <c r="J6941" s="181"/>
      <c r="K6941" s="181"/>
      <c r="L6941" s="181"/>
      <c r="M6941" s="181"/>
      <c r="N6941" s="181"/>
      <c r="O6941" s="181"/>
      <c r="P6941" s="181"/>
    </row>
    <row r="6942">
      <c r="B6942" s="292"/>
      <c r="C6942" s="181"/>
      <c r="D6942" s="181"/>
      <c r="E6942" s="181"/>
      <c r="F6942" s="181"/>
      <c r="G6942" s="181"/>
      <c r="H6942" s="181"/>
      <c r="I6942" s="181"/>
      <c r="J6942" s="181"/>
      <c r="K6942" s="181"/>
      <c r="L6942" s="181"/>
      <c r="M6942" s="181"/>
      <c r="N6942" s="181"/>
      <c r="O6942" s="181"/>
      <c r="P6942" s="181"/>
    </row>
    <row r="6943">
      <c r="B6943" s="292"/>
      <c r="C6943" s="181"/>
      <c r="D6943" s="181"/>
      <c r="E6943" s="181"/>
      <c r="F6943" s="181"/>
      <c r="G6943" s="181"/>
      <c r="H6943" s="181"/>
      <c r="I6943" s="181"/>
      <c r="J6943" s="181"/>
      <c r="K6943" s="181"/>
      <c r="L6943" s="181"/>
      <c r="M6943" s="181"/>
      <c r="N6943" s="181"/>
      <c r="O6943" s="181"/>
      <c r="P6943" s="181"/>
    </row>
    <row r="6944">
      <c r="B6944" s="292"/>
      <c r="C6944" s="181"/>
      <c r="D6944" s="181"/>
      <c r="E6944" s="181"/>
      <c r="F6944" s="181"/>
      <c r="G6944" s="181"/>
      <c r="H6944" s="181"/>
      <c r="I6944" s="181"/>
      <c r="J6944" s="181"/>
      <c r="K6944" s="181"/>
      <c r="L6944" s="181"/>
      <c r="M6944" s="181"/>
      <c r="N6944" s="181"/>
      <c r="O6944" s="181"/>
      <c r="P6944" s="181"/>
    </row>
    <row r="6945">
      <c r="B6945" s="292"/>
      <c r="C6945" s="181"/>
      <c r="D6945" s="181"/>
      <c r="E6945" s="181"/>
      <c r="F6945" s="181"/>
      <c r="G6945" s="181"/>
      <c r="H6945" s="181"/>
      <c r="I6945" s="181"/>
      <c r="J6945" s="181"/>
      <c r="K6945" s="181"/>
      <c r="L6945" s="181"/>
      <c r="M6945" s="181"/>
      <c r="N6945" s="181"/>
      <c r="O6945" s="181"/>
      <c r="P6945" s="181"/>
    </row>
    <row r="6946">
      <c r="B6946" s="292"/>
      <c r="C6946" s="181"/>
      <c r="D6946" s="181"/>
      <c r="E6946" s="181"/>
      <c r="F6946" s="181"/>
      <c r="G6946" s="181"/>
      <c r="H6946" s="181"/>
      <c r="I6946" s="181"/>
      <c r="J6946" s="181"/>
      <c r="K6946" s="181"/>
      <c r="L6946" s="181"/>
      <c r="M6946" s="181"/>
      <c r="N6946" s="181"/>
      <c r="O6946" s="181"/>
      <c r="P6946" s="181"/>
    </row>
    <row r="6947">
      <c r="B6947" s="292"/>
      <c r="C6947" s="181"/>
      <c r="D6947" s="181"/>
      <c r="E6947" s="181"/>
      <c r="F6947" s="181"/>
      <c r="G6947" s="181"/>
      <c r="H6947" s="181"/>
      <c r="I6947" s="181"/>
      <c r="J6947" s="181"/>
      <c r="K6947" s="181"/>
      <c r="L6947" s="181"/>
      <c r="M6947" s="181"/>
      <c r="N6947" s="181"/>
      <c r="O6947" s="181"/>
      <c r="P6947" s="181"/>
    </row>
    <row r="6948">
      <c r="B6948" s="292"/>
      <c r="C6948" s="181"/>
      <c r="D6948" s="181"/>
      <c r="E6948" s="181"/>
      <c r="F6948" s="181"/>
      <c r="G6948" s="181"/>
      <c r="H6948" s="181"/>
      <c r="I6948" s="181"/>
      <c r="J6948" s="181"/>
      <c r="K6948" s="181"/>
      <c r="L6948" s="181"/>
      <c r="M6948" s="181"/>
      <c r="N6948" s="181"/>
      <c r="O6948" s="181"/>
      <c r="P6948" s="181"/>
    </row>
    <row r="6949">
      <c r="B6949" s="292"/>
      <c r="C6949" s="181"/>
      <c r="D6949" s="181"/>
      <c r="E6949" s="181"/>
      <c r="F6949" s="181"/>
      <c r="G6949" s="181"/>
      <c r="H6949" s="181"/>
      <c r="I6949" s="181"/>
      <c r="J6949" s="181"/>
      <c r="K6949" s="181"/>
      <c r="L6949" s="181"/>
      <c r="M6949" s="181"/>
      <c r="N6949" s="181"/>
      <c r="O6949" s="181"/>
      <c r="P6949" s="181"/>
    </row>
    <row r="6950">
      <c r="B6950" s="292"/>
      <c r="C6950" s="181"/>
      <c r="D6950" s="181"/>
      <c r="E6950" s="181"/>
      <c r="F6950" s="181"/>
      <c r="G6950" s="181"/>
      <c r="H6950" s="181"/>
      <c r="I6950" s="181"/>
      <c r="J6950" s="181"/>
      <c r="K6950" s="181"/>
      <c r="L6950" s="181"/>
      <c r="M6950" s="181"/>
      <c r="N6950" s="181"/>
      <c r="O6950" s="181"/>
      <c r="P6950" s="181"/>
    </row>
    <row r="6951">
      <c r="B6951" s="292"/>
      <c r="C6951" s="181"/>
      <c r="D6951" s="181"/>
      <c r="E6951" s="181"/>
      <c r="F6951" s="181"/>
      <c r="G6951" s="181"/>
      <c r="H6951" s="181"/>
      <c r="I6951" s="181"/>
      <c r="J6951" s="181"/>
      <c r="K6951" s="181"/>
      <c r="L6951" s="181"/>
      <c r="M6951" s="181"/>
      <c r="N6951" s="181"/>
      <c r="O6951" s="181"/>
      <c r="P6951" s="181"/>
    </row>
    <row r="6952">
      <c r="B6952" s="292"/>
      <c r="C6952" s="181"/>
      <c r="D6952" s="181"/>
      <c r="E6952" s="181"/>
      <c r="F6952" s="181"/>
      <c r="G6952" s="181"/>
      <c r="H6952" s="181"/>
      <c r="I6952" s="181"/>
      <c r="J6952" s="181"/>
      <c r="K6952" s="181"/>
      <c r="L6952" s="181"/>
      <c r="M6952" s="181"/>
      <c r="N6952" s="181"/>
      <c r="O6952" s="181"/>
      <c r="P6952" s="181"/>
    </row>
    <row r="6953">
      <c r="B6953" s="292"/>
      <c r="C6953" s="181"/>
      <c r="D6953" s="181"/>
      <c r="E6953" s="181"/>
      <c r="F6953" s="181"/>
      <c r="G6953" s="181"/>
      <c r="H6953" s="181"/>
      <c r="I6953" s="181"/>
      <c r="J6953" s="181"/>
      <c r="K6953" s="181"/>
      <c r="L6953" s="181"/>
      <c r="M6953" s="181"/>
      <c r="N6953" s="181"/>
      <c r="O6953" s="181"/>
      <c r="P6953" s="181"/>
    </row>
    <row r="6954">
      <c r="B6954" s="292"/>
      <c r="C6954" s="181"/>
      <c r="D6954" s="181"/>
      <c r="E6954" s="181"/>
      <c r="F6954" s="181"/>
      <c r="G6954" s="181"/>
      <c r="H6954" s="181"/>
      <c r="I6954" s="181"/>
      <c r="J6954" s="181"/>
      <c r="K6954" s="181"/>
      <c r="L6954" s="181"/>
      <c r="M6954" s="181"/>
      <c r="N6954" s="181"/>
      <c r="O6954" s="181"/>
      <c r="P6954" s="181"/>
    </row>
    <row r="6955">
      <c r="B6955" s="292"/>
      <c r="C6955" s="181"/>
      <c r="D6955" s="181"/>
      <c r="E6955" s="181"/>
      <c r="F6955" s="181"/>
      <c r="G6955" s="181"/>
      <c r="H6955" s="181"/>
      <c r="I6955" s="181"/>
      <c r="J6955" s="181"/>
      <c r="K6955" s="181"/>
      <c r="L6955" s="181"/>
      <c r="M6955" s="181"/>
      <c r="N6955" s="181"/>
      <c r="O6955" s="181"/>
      <c r="P6955" s="181"/>
    </row>
    <row r="6956">
      <c r="B6956" s="292"/>
      <c r="C6956" s="181"/>
      <c r="D6956" s="181"/>
      <c r="E6956" s="181"/>
      <c r="F6956" s="181"/>
      <c r="G6956" s="181"/>
      <c r="H6956" s="181"/>
      <c r="I6956" s="181"/>
      <c r="J6956" s="181"/>
      <c r="K6956" s="181"/>
      <c r="L6956" s="181"/>
      <c r="M6956" s="181"/>
      <c r="N6956" s="181"/>
      <c r="O6956" s="181"/>
      <c r="P6956" s="181"/>
    </row>
    <row r="6957">
      <c r="B6957" s="292"/>
      <c r="C6957" s="181"/>
      <c r="D6957" s="181"/>
      <c r="E6957" s="181"/>
      <c r="F6957" s="181"/>
      <c r="G6957" s="181"/>
      <c r="H6957" s="181"/>
      <c r="I6957" s="181"/>
      <c r="J6957" s="181"/>
      <c r="K6957" s="181"/>
      <c r="L6957" s="181"/>
      <c r="M6957" s="181"/>
      <c r="N6957" s="181"/>
      <c r="O6957" s="181"/>
      <c r="P6957" s="181"/>
    </row>
    <row r="6958">
      <c r="B6958" s="292"/>
      <c r="C6958" s="181"/>
      <c r="D6958" s="181"/>
      <c r="E6958" s="181"/>
      <c r="F6958" s="181"/>
      <c r="G6958" s="181"/>
      <c r="H6958" s="181"/>
      <c r="I6958" s="181"/>
      <c r="J6958" s="181"/>
      <c r="K6958" s="181"/>
      <c r="L6958" s="181"/>
      <c r="M6958" s="181"/>
      <c r="N6958" s="181"/>
      <c r="O6958" s="181"/>
      <c r="P6958" s="181"/>
    </row>
    <row r="6959">
      <c r="B6959" s="292"/>
      <c r="C6959" s="181"/>
      <c r="D6959" s="181"/>
      <c r="E6959" s="181"/>
      <c r="F6959" s="181"/>
      <c r="G6959" s="181"/>
      <c r="H6959" s="181"/>
      <c r="I6959" s="181"/>
      <c r="J6959" s="181"/>
      <c r="K6959" s="181"/>
      <c r="L6959" s="181"/>
      <c r="M6959" s="181"/>
      <c r="N6959" s="181"/>
      <c r="O6959" s="181"/>
      <c r="P6959" s="181"/>
    </row>
    <row r="6960">
      <c r="B6960" s="292"/>
      <c r="C6960" s="181"/>
      <c r="D6960" s="181"/>
      <c r="E6960" s="181"/>
      <c r="F6960" s="181"/>
      <c r="G6960" s="181"/>
      <c r="H6960" s="181"/>
      <c r="I6960" s="181"/>
      <c r="J6960" s="181"/>
      <c r="K6960" s="181"/>
      <c r="L6960" s="181"/>
      <c r="M6960" s="181"/>
      <c r="N6960" s="181"/>
      <c r="O6960" s="181"/>
      <c r="P6960" s="181"/>
    </row>
    <row r="6961">
      <c r="B6961" s="292"/>
      <c r="C6961" s="181"/>
      <c r="D6961" s="181"/>
      <c r="E6961" s="181"/>
      <c r="F6961" s="181"/>
      <c r="G6961" s="181"/>
      <c r="H6961" s="181"/>
      <c r="I6961" s="181"/>
      <c r="J6961" s="181"/>
      <c r="K6961" s="181"/>
      <c r="L6961" s="181"/>
      <c r="M6961" s="181"/>
      <c r="N6961" s="181"/>
      <c r="O6961" s="181"/>
      <c r="P6961" s="181"/>
    </row>
    <row r="6962">
      <c r="B6962" s="292"/>
      <c r="C6962" s="181"/>
      <c r="D6962" s="181"/>
      <c r="E6962" s="181"/>
      <c r="F6962" s="181"/>
      <c r="G6962" s="181"/>
      <c r="H6962" s="181"/>
      <c r="I6962" s="181"/>
      <c r="J6962" s="181"/>
      <c r="K6962" s="181"/>
      <c r="L6962" s="181"/>
      <c r="M6962" s="181"/>
      <c r="N6962" s="181"/>
      <c r="O6962" s="181"/>
      <c r="P6962" s="181"/>
    </row>
    <row r="6963">
      <c r="B6963" s="292"/>
      <c r="C6963" s="181"/>
      <c r="D6963" s="181"/>
      <c r="E6963" s="181"/>
      <c r="F6963" s="181"/>
      <c r="G6963" s="181"/>
      <c r="H6963" s="181"/>
      <c r="I6963" s="181"/>
      <c r="J6963" s="181"/>
      <c r="K6963" s="181"/>
      <c r="L6963" s="181"/>
      <c r="M6963" s="181"/>
      <c r="N6963" s="181"/>
      <c r="O6963" s="181"/>
      <c r="P6963" s="181"/>
    </row>
    <row r="6964">
      <c r="B6964" s="292"/>
      <c r="C6964" s="181"/>
      <c r="D6964" s="181"/>
      <c r="E6964" s="181"/>
      <c r="F6964" s="181"/>
      <c r="G6964" s="181"/>
      <c r="H6964" s="181"/>
      <c r="I6964" s="181"/>
      <c r="J6964" s="181"/>
      <c r="K6964" s="181"/>
      <c r="L6964" s="181"/>
      <c r="M6964" s="181"/>
      <c r="N6964" s="181"/>
      <c r="O6964" s="181"/>
      <c r="P6964" s="181"/>
    </row>
    <row r="6965">
      <c r="B6965" s="292"/>
      <c r="C6965" s="181"/>
      <c r="D6965" s="181"/>
      <c r="E6965" s="181"/>
      <c r="F6965" s="181"/>
      <c r="G6965" s="181"/>
      <c r="H6965" s="181"/>
      <c r="I6965" s="181"/>
      <c r="J6965" s="181"/>
      <c r="K6965" s="181"/>
      <c r="L6965" s="181"/>
      <c r="M6965" s="181"/>
      <c r="N6965" s="181"/>
      <c r="O6965" s="181"/>
      <c r="P6965" s="181"/>
    </row>
    <row r="6966">
      <c r="B6966" s="292"/>
      <c r="C6966" s="181"/>
      <c r="D6966" s="181"/>
      <c r="E6966" s="181"/>
      <c r="F6966" s="181"/>
      <c r="G6966" s="181"/>
      <c r="H6966" s="181"/>
      <c r="I6966" s="181"/>
      <c r="J6966" s="181"/>
      <c r="K6966" s="181"/>
      <c r="L6966" s="181"/>
      <c r="M6966" s="181"/>
      <c r="N6966" s="181"/>
      <c r="O6966" s="181"/>
      <c r="P6966" s="181"/>
    </row>
    <row r="6967">
      <c r="B6967" s="292"/>
      <c r="C6967" s="181"/>
      <c r="D6967" s="181"/>
      <c r="E6967" s="181"/>
      <c r="F6967" s="181"/>
      <c r="G6967" s="181"/>
      <c r="H6967" s="181"/>
      <c r="I6967" s="181"/>
      <c r="J6967" s="181"/>
      <c r="K6967" s="181"/>
      <c r="L6967" s="181"/>
      <c r="M6967" s="181"/>
      <c r="N6967" s="181"/>
      <c r="O6967" s="181"/>
      <c r="P6967" s="181"/>
    </row>
    <row r="6968">
      <c r="B6968" s="292"/>
      <c r="C6968" s="181"/>
      <c r="D6968" s="181"/>
      <c r="E6968" s="181"/>
      <c r="F6968" s="181"/>
      <c r="G6968" s="181"/>
      <c r="H6968" s="181"/>
      <c r="I6968" s="181"/>
      <c r="J6968" s="181"/>
      <c r="K6968" s="181"/>
      <c r="L6968" s="181"/>
      <c r="M6968" s="181"/>
      <c r="N6968" s="181"/>
      <c r="O6968" s="181"/>
      <c r="P6968" s="181"/>
    </row>
    <row r="6969">
      <c r="B6969" s="292"/>
      <c r="C6969" s="181"/>
      <c r="D6969" s="181"/>
      <c r="E6969" s="181"/>
      <c r="F6969" s="181"/>
      <c r="G6969" s="181"/>
      <c r="H6969" s="181"/>
      <c r="I6969" s="181"/>
      <c r="J6969" s="181"/>
      <c r="K6969" s="181"/>
      <c r="L6969" s="181"/>
      <c r="M6969" s="181"/>
      <c r="N6969" s="181"/>
      <c r="O6969" s="181"/>
      <c r="P6969" s="181"/>
    </row>
    <row r="6970">
      <c r="B6970" s="292"/>
      <c r="C6970" s="181"/>
      <c r="D6970" s="181"/>
      <c r="E6970" s="181"/>
      <c r="F6970" s="181"/>
      <c r="G6970" s="181"/>
      <c r="H6970" s="181"/>
      <c r="I6970" s="181"/>
      <c r="J6970" s="181"/>
      <c r="K6970" s="181"/>
      <c r="L6970" s="181"/>
      <c r="M6970" s="181"/>
      <c r="N6970" s="181"/>
      <c r="O6970" s="181"/>
      <c r="P6970" s="181"/>
    </row>
    <row r="6971">
      <c r="B6971" s="292"/>
      <c r="C6971" s="181"/>
      <c r="D6971" s="181"/>
      <c r="E6971" s="181"/>
      <c r="F6971" s="181"/>
      <c r="G6971" s="181"/>
      <c r="H6971" s="181"/>
      <c r="I6971" s="181"/>
      <c r="J6971" s="181"/>
      <c r="K6971" s="181"/>
      <c r="L6971" s="181"/>
      <c r="M6971" s="181"/>
      <c r="N6971" s="181"/>
      <c r="O6971" s="181"/>
      <c r="P6971" s="181"/>
    </row>
    <row r="6972">
      <c r="B6972" s="292"/>
      <c r="C6972" s="181"/>
      <c r="D6972" s="181"/>
      <c r="E6972" s="181"/>
      <c r="F6972" s="181"/>
      <c r="G6972" s="181"/>
      <c r="H6972" s="181"/>
      <c r="I6972" s="181"/>
      <c r="J6972" s="181"/>
      <c r="K6972" s="181"/>
      <c r="L6972" s="181"/>
      <c r="M6972" s="181"/>
      <c r="N6972" s="181"/>
      <c r="O6972" s="181"/>
      <c r="P6972" s="181"/>
    </row>
    <row r="6973">
      <c r="B6973" s="292"/>
      <c r="C6973" s="181"/>
      <c r="D6973" s="181"/>
      <c r="E6973" s="181"/>
      <c r="F6973" s="181"/>
      <c r="G6973" s="181"/>
      <c r="H6973" s="181"/>
      <c r="I6973" s="181"/>
      <c r="J6973" s="181"/>
      <c r="K6973" s="181"/>
      <c r="L6973" s="181"/>
      <c r="M6973" s="181"/>
      <c r="N6973" s="181"/>
      <c r="O6973" s="181"/>
      <c r="P6973" s="181"/>
    </row>
    <row r="6974">
      <c r="B6974" s="292"/>
      <c r="C6974" s="181"/>
      <c r="D6974" s="181"/>
      <c r="E6974" s="181"/>
      <c r="F6974" s="181"/>
      <c r="G6974" s="181"/>
      <c r="H6974" s="181"/>
      <c r="I6974" s="181"/>
      <c r="J6974" s="181"/>
      <c r="K6974" s="181"/>
      <c r="L6974" s="181"/>
      <c r="M6974" s="181"/>
      <c r="N6974" s="181"/>
      <c r="O6974" s="181"/>
      <c r="P6974" s="181"/>
    </row>
    <row r="6975">
      <c r="B6975" s="292"/>
      <c r="C6975" s="181"/>
      <c r="D6975" s="181"/>
      <c r="E6975" s="181"/>
      <c r="F6975" s="181"/>
      <c r="G6975" s="181"/>
      <c r="H6975" s="181"/>
      <c r="I6975" s="181"/>
      <c r="J6975" s="181"/>
      <c r="K6975" s="181"/>
      <c r="L6975" s="181"/>
      <c r="M6975" s="181"/>
      <c r="N6975" s="181"/>
      <c r="O6975" s="181"/>
      <c r="P6975" s="181"/>
    </row>
    <row r="6976">
      <c r="B6976" s="292"/>
      <c r="C6976" s="181"/>
      <c r="D6976" s="181"/>
      <c r="E6976" s="181"/>
      <c r="F6976" s="181"/>
      <c r="G6976" s="181"/>
      <c r="H6976" s="181"/>
      <c r="I6976" s="181"/>
      <c r="J6976" s="181"/>
      <c r="K6976" s="181"/>
      <c r="L6976" s="181"/>
      <c r="M6976" s="181"/>
      <c r="N6976" s="181"/>
      <c r="O6976" s="181"/>
      <c r="P6976" s="181"/>
    </row>
    <row r="6977">
      <c r="B6977" s="292"/>
      <c r="C6977" s="181"/>
      <c r="D6977" s="181"/>
      <c r="E6977" s="181"/>
      <c r="F6977" s="181"/>
      <c r="G6977" s="181"/>
      <c r="H6977" s="181"/>
      <c r="I6977" s="181"/>
      <c r="J6977" s="181"/>
      <c r="K6977" s="181"/>
      <c r="L6977" s="181"/>
      <c r="M6977" s="181"/>
      <c r="N6977" s="181"/>
      <c r="O6977" s="181"/>
      <c r="P6977" s="181"/>
    </row>
    <row r="6978">
      <c r="B6978" s="292"/>
      <c r="C6978" s="181"/>
      <c r="D6978" s="181"/>
      <c r="E6978" s="181"/>
      <c r="F6978" s="181"/>
      <c r="G6978" s="181"/>
      <c r="H6978" s="181"/>
      <c r="I6978" s="181"/>
      <c r="J6978" s="181"/>
      <c r="K6978" s="181"/>
      <c r="L6978" s="181"/>
      <c r="M6978" s="181"/>
      <c r="N6978" s="181"/>
      <c r="O6978" s="181"/>
      <c r="P6978" s="181"/>
    </row>
    <row r="6979">
      <c r="B6979" s="292"/>
      <c r="C6979" s="181"/>
      <c r="D6979" s="181"/>
      <c r="E6979" s="181"/>
      <c r="F6979" s="181"/>
      <c r="G6979" s="181"/>
      <c r="H6979" s="181"/>
      <c r="I6979" s="181"/>
      <c r="J6979" s="181"/>
      <c r="K6979" s="181"/>
      <c r="L6979" s="181"/>
      <c r="M6979" s="181"/>
      <c r="N6979" s="181"/>
      <c r="O6979" s="181"/>
      <c r="P6979" s="181"/>
    </row>
    <row r="6980">
      <c r="B6980" s="292"/>
      <c r="C6980" s="181"/>
      <c r="D6980" s="181"/>
      <c r="E6980" s="181"/>
      <c r="F6980" s="181"/>
      <c r="G6980" s="181"/>
      <c r="H6980" s="181"/>
      <c r="I6980" s="181"/>
      <c r="J6980" s="181"/>
      <c r="K6980" s="181"/>
      <c r="L6980" s="181"/>
      <c r="M6980" s="181"/>
      <c r="N6980" s="181"/>
      <c r="O6980" s="181"/>
      <c r="P6980" s="181"/>
    </row>
    <row r="6981">
      <c r="B6981" s="292"/>
      <c r="C6981" s="181"/>
      <c r="D6981" s="181"/>
      <c r="E6981" s="181"/>
      <c r="F6981" s="181"/>
      <c r="G6981" s="181"/>
      <c r="H6981" s="181"/>
      <c r="I6981" s="181"/>
      <c r="J6981" s="181"/>
      <c r="K6981" s="181"/>
      <c r="L6981" s="181"/>
      <c r="M6981" s="181"/>
      <c r="N6981" s="181"/>
      <c r="O6981" s="181"/>
      <c r="P6981" s="181"/>
    </row>
    <row r="6982">
      <c r="B6982" s="292"/>
      <c r="C6982" s="181"/>
      <c r="D6982" s="181"/>
      <c r="E6982" s="181"/>
      <c r="F6982" s="181"/>
      <c r="G6982" s="181"/>
      <c r="H6982" s="181"/>
      <c r="I6982" s="181"/>
      <c r="J6982" s="181"/>
      <c r="K6982" s="181"/>
      <c r="L6982" s="181"/>
      <c r="M6982" s="181"/>
      <c r="N6982" s="181"/>
      <c r="O6982" s="181"/>
      <c r="P6982" s="181"/>
    </row>
    <row r="6983">
      <c r="B6983" s="292"/>
      <c r="C6983" s="181"/>
      <c r="D6983" s="181"/>
      <c r="E6983" s="181"/>
      <c r="F6983" s="181"/>
      <c r="G6983" s="181"/>
      <c r="H6983" s="181"/>
      <c r="I6983" s="181"/>
      <c r="J6983" s="181"/>
      <c r="K6983" s="181"/>
      <c r="L6983" s="181"/>
      <c r="M6983" s="181"/>
      <c r="N6983" s="181"/>
      <c r="O6983" s="181"/>
      <c r="P6983" s="181"/>
    </row>
    <row r="6984">
      <c r="B6984" s="292"/>
      <c r="C6984" s="181"/>
      <c r="D6984" s="181"/>
      <c r="E6984" s="181"/>
      <c r="F6984" s="181"/>
      <c r="G6984" s="181"/>
      <c r="H6984" s="181"/>
      <c r="I6984" s="181"/>
      <c r="J6984" s="181"/>
      <c r="K6984" s="181"/>
      <c r="L6984" s="181"/>
      <c r="M6984" s="181"/>
      <c r="N6984" s="181"/>
      <c r="O6984" s="181"/>
      <c r="P6984" s="181"/>
    </row>
    <row r="6985">
      <c r="B6985" s="292"/>
      <c r="C6985" s="181"/>
      <c r="D6985" s="181"/>
      <c r="E6985" s="181"/>
      <c r="F6985" s="181"/>
      <c r="G6985" s="181"/>
      <c r="H6985" s="181"/>
      <c r="I6985" s="181"/>
      <c r="J6985" s="181"/>
      <c r="K6985" s="181"/>
      <c r="L6985" s="181"/>
      <c r="M6985" s="181"/>
      <c r="N6985" s="181"/>
      <c r="O6985" s="181"/>
      <c r="P6985" s="181"/>
    </row>
    <row r="6986">
      <c r="B6986" s="292"/>
      <c r="C6986" s="181"/>
      <c r="D6986" s="181"/>
      <c r="E6986" s="181"/>
      <c r="F6986" s="181"/>
      <c r="G6986" s="181"/>
      <c r="H6986" s="181"/>
      <c r="I6986" s="181"/>
      <c r="J6986" s="181"/>
      <c r="K6986" s="181"/>
      <c r="L6986" s="181"/>
      <c r="M6986" s="181"/>
      <c r="N6986" s="181"/>
      <c r="O6986" s="181"/>
      <c r="P6986" s="181"/>
    </row>
    <row r="6987">
      <c r="B6987" s="292"/>
      <c r="C6987" s="181"/>
      <c r="D6987" s="181"/>
      <c r="E6987" s="181"/>
      <c r="F6987" s="181"/>
      <c r="G6987" s="181"/>
      <c r="H6987" s="181"/>
      <c r="I6987" s="181"/>
      <c r="J6987" s="181"/>
      <c r="K6987" s="181"/>
      <c r="L6987" s="181"/>
      <c r="M6987" s="181"/>
      <c r="N6987" s="181"/>
      <c r="O6987" s="181"/>
      <c r="P6987" s="181"/>
    </row>
    <row r="6988">
      <c r="B6988" s="292"/>
      <c r="C6988" s="181"/>
      <c r="D6988" s="181"/>
      <c r="E6988" s="181"/>
      <c r="F6988" s="181"/>
      <c r="G6988" s="181"/>
      <c r="H6988" s="181"/>
      <c r="I6988" s="181"/>
      <c r="J6988" s="181"/>
      <c r="K6988" s="181"/>
      <c r="L6988" s="181"/>
      <c r="M6988" s="181"/>
      <c r="N6988" s="181"/>
      <c r="O6988" s="181"/>
      <c r="P6988" s="181"/>
    </row>
    <row r="6989">
      <c r="B6989" s="292"/>
      <c r="C6989" s="181"/>
      <c r="D6989" s="181"/>
      <c r="E6989" s="181"/>
      <c r="F6989" s="181"/>
      <c r="G6989" s="181"/>
      <c r="H6989" s="181"/>
      <c r="I6989" s="181"/>
      <c r="J6989" s="181"/>
      <c r="K6989" s="181"/>
      <c r="L6989" s="181"/>
      <c r="M6989" s="181"/>
      <c r="N6989" s="181"/>
      <c r="O6989" s="181"/>
      <c r="P6989" s="181"/>
    </row>
    <row r="6990">
      <c r="B6990" s="292"/>
      <c r="C6990" s="181"/>
      <c r="D6990" s="181"/>
      <c r="E6990" s="181"/>
      <c r="F6990" s="181"/>
      <c r="G6990" s="181"/>
      <c r="H6990" s="181"/>
      <c r="I6990" s="181"/>
      <c r="J6990" s="181"/>
      <c r="K6990" s="181"/>
      <c r="L6990" s="181"/>
      <c r="M6990" s="181"/>
      <c r="N6990" s="181"/>
      <c r="O6990" s="181"/>
      <c r="P6990" s="181"/>
    </row>
    <row r="6991">
      <c r="B6991" s="292"/>
      <c r="C6991" s="181"/>
      <c r="D6991" s="181"/>
      <c r="E6991" s="181"/>
      <c r="F6991" s="181"/>
      <c r="G6991" s="181"/>
      <c r="H6991" s="181"/>
      <c r="I6991" s="181"/>
      <c r="J6991" s="181"/>
      <c r="K6991" s="181"/>
      <c r="L6991" s="181"/>
      <c r="M6991" s="181"/>
      <c r="N6991" s="181"/>
      <c r="O6991" s="181"/>
      <c r="P6991" s="181"/>
    </row>
    <row r="6992">
      <c r="B6992" s="292"/>
      <c r="C6992" s="181"/>
      <c r="D6992" s="181"/>
      <c r="E6992" s="181"/>
      <c r="F6992" s="181"/>
      <c r="G6992" s="181"/>
      <c r="H6992" s="181"/>
      <c r="I6992" s="181"/>
      <c r="J6992" s="181"/>
      <c r="K6992" s="181"/>
      <c r="L6992" s="181"/>
      <c r="M6992" s="181"/>
      <c r="N6992" s="181"/>
      <c r="O6992" s="181"/>
      <c r="P6992" s="181"/>
    </row>
    <row r="6993">
      <c r="B6993" s="292"/>
      <c r="C6993" s="181"/>
      <c r="D6993" s="181"/>
      <c r="E6993" s="181"/>
      <c r="F6993" s="181"/>
      <c r="G6993" s="181"/>
      <c r="H6993" s="181"/>
      <c r="I6993" s="181"/>
      <c r="J6993" s="181"/>
      <c r="K6993" s="181"/>
      <c r="L6993" s="181"/>
      <c r="M6993" s="181"/>
      <c r="N6993" s="181"/>
      <c r="O6993" s="181"/>
      <c r="P6993" s="181"/>
    </row>
    <row r="6994">
      <c r="B6994" s="292"/>
      <c r="C6994" s="181"/>
      <c r="D6994" s="181"/>
      <c r="E6994" s="181"/>
      <c r="F6994" s="181"/>
      <c r="G6994" s="181"/>
      <c r="H6994" s="181"/>
      <c r="I6994" s="181"/>
      <c r="J6994" s="181"/>
      <c r="K6994" s="181"/>
      <c r="L6994" s="181"/>
      <c r="M6994" s="181"/>
      <c r="N6994" s="181"/>
      <c r="O6994" s="181"/>
      <c r="P6994" s="181"/>
    </row>
    <row r="6995">
      <c r="B6995" s="292"/>
      <c r="C6995" s="181"/>
      <c r="D6995" s="181"/>
      <c r="E6995" s="181"/>
      <c r="F6995" s="181"/>
      <c r="G6995" s="181"/>
      <c r="H6995" s="181"/>
      <c r="I6995" s="181"/>
      <c r="J6995" s="181"/>
      <c r="K6995" s="181"/>
      <c r="L6995" s="181"/>
      <c r="M6995" s="181"/>
      <c r="N6995" s="181"/>
      <c r="O6995" s="181"/>
      <c r="P6995" s="181"/>
    </row>
    <row r="6996">
      <c r="B6996" s="292"/>
      <c r="C6996" s="181"/>
      <c r="D6996" s="181"/>
      <c r="E6996" s="181"/>
      <c r="F6996" s="181"/>
      <c r="G6996" s="181"/>
      <c r="H6996" s="181"/>
      <c r="I6996" s="181"/>
      <c r="J6996" s="181"/>
      <c r="K6996" s="181"/>
      <c r="L6996" s="181"/>
      <c r="M6996" s="181"/>
      <c r="N6996" s="181"/>
      <c r="O6996" s="181"/>
      <c r="P6996" s="181"/>
    </row>
    <row r="6997">
      <c r="B6997" s="292"/>
      <c r="C6997" s="181"/>
      <c r="D6997" s="181"/>
      <c r="E6997" s="181"/>
      <c r="F6997" s="181"/>
      <c r="G6997" s="181"/>
      <c r="H6997" s="181"/>
      <c r="I6997" s="181"/>
      <c r="J6997" s="181"/>
      <c r="K6997" s="181"/>
      <c r="L6997" s="181"/>
      <c r="M6997" s="181"/>
      <c r="N6997" s="181"/>
      <c r="O6997" s="181"/>
      <c r="P6997" s="181"/>
    </row>
    <row r="6998">
      <c r="B6998" s="292"/>
      <c r="C6998" s="181"/>
      <c r="D6998" s="181"/>
      <c r="E6998" s="181"/>
      <c r="F6998" s="181"/>
      <c r="G6998" s="181"/>
      <c r="H6998" s="181"/>
      <c r="I6998" s="181"/>
      <c r="J6998" s="181"/>
      <c r="K6998" s="181"/>
      <c r="L6998" s="181"/>
      <c r="M6998" s="181"/>
      <c r="N6998" s="181"/>
      <c r="O6998" s="181"/>
      <c r="P6998" s="181"/>
    </row>
    <row r="6999">
      <c r="B6999" s="292"/>
      <c r="C6999" s="181"/>
      <c r="D6999" s="181"/>
      <c r="E6999" s="181"/>
      <c r="F6999" s="181"/>
      <c r="G6999" s="181"/>
      <c r="H6999" s="181"/>
      <c r="I6999" s="181"/>
      <c r="J6999" s="181"/>
      <c r="K6999" s="181"/>
      <c r="L6999" s="181"/>
      <c r="M6999" s="181"/>
      <c r="N6999" s="181"/>
      <c r="O6999" s="181"/>
      <c r="P6999" s="181"/>
    </row>
    <row r="7000">
      <c r="B7000" s="292"/>
      <c r="C7000" s="181"/>
      <c r="D7000" s="181"/>
      <c r="E7000" s="181"/>
      <c r="F7000" s="181"/>
      <c r="G7000" s="181"/>
      <c r="H7000" s="181"/>
      <c r="I7000" s="181"/>
      <c r="J7000" s="181"/>
      <c r="K7000" s="181"/>
      <c r="L7000" s="181"/>
      <c r="M7000" s="181"/>
      <c r="N7000" s="181"/>
      <c r="O7000" s="181"/>
      <c r="P7000" s="181"/>
    </row>
    <row r="7001">
      <c r="B7001" s="292"/>
      <c r="C7001" s="181"/>
      <c r="D7001" s="181"/>
      <c r="E7001" s="181"/>
      <c r="F7001" s="181"/>
      <c r="G7001" s="181"/>
      <c r="H7001" s="181"/>
      <c r="I7001" s="181"/>
      <c r="J7001" s="181"/>
      <c r="K7001" s="181"/>
      <c r="L7001" s="181"/>
      <c r="M7001" s="181"/>
      <c r="N7001" s="181"/>
      <c r="O7001" s="181"/>
      <c r="P7001" s="181"/>
    </row>
    <row r="7002">
      <c r="B7002" s="292"/>
      <c r="C7002" s="181"/>
      <c r="D7002" s="181"/>
      <c r="E7002" s="181"/>
      <c r="F7002" s="181"/>
      <c r="G7002" s="181"/>
      <c r="H7002" s="181"/>
      <c r="I7002" s="181"/>
      <c r="J7002" s="181"/>
      <c r="K7002" s="181"/>
      <c r="L7002" s="181"/>
      <c r="M7002" s="181"/>
      <c r="N7002" s="181"/>
      <c r="O7002" s="181"/>
      <c r="P7002" s="181"/>
    </row>
    <row r="7003">
      <c r="B7003" s="292"/>
      <c r="C7003" s="181"/>
      <c r="D7003" s="181"/>
      <c r="E7003" s="181"/>
      <c r="F7003" s="181"/>
      <c r="G7003" s="181"/>
      <c r="H7003" s="181"/>
      <c r="I7003" s="181"/>
      <c r="J7003" s="181"/>
      <c r="K7003" s="181"/>
      <c r="L7003" s="181"/>
      <c r="M7003" s="181"/>
      <c r="N7003" s="181"/>
      <c r="O7003" s="181"/>
      <c r="P7003" s="181"/>
    </row>
    <row r="7004">
      <c r="B7004" s="292"/>
      <c r="C7004" s="181"/>
      <c r="D7004" s="181"/>
      <c r="E7004" s="181"/>
      <c r="F7004" s="181"/>
      <c r="G7004" s="181"/>
      <c r="H7004" s="181"/>
      <c r="I7004" s="181"/>
      <c r="J7004" s="181"/>
      <c r="K7004" s="181"/>
      <c r="L7004" s="181"/>
      <c r="M7004" s="181"/>
      <c r="N7004" s="181"/>
      <c r="O7004" s="181"/>
      <c r="P7004" s="181"/>
    </row>
    <row r="7005">
      <c r="B7005" s="292"/>
      <c r="C7005" s="181"/>
      <c r="D7005" s="181"/>
      <c r="E7005" s="181"/>
      <c r="F7005" s="181"/>
      <c r="G7005" s="181"/>
      <c r="H7005" s="181"/>
      <c r="I7005" s="181"/>
      <c r="J7005" s="181"/>
      <c r="K7005" s="181"/>
      <c r="L7005" s="181"/>
      <c r="M7005" s="181"/>
      <c r="N7005" s="181"/>
      <c r="O7005" s="181"/>
      <c r="P7005" s="181"/>
    </row>
    <row r="7006">
      <c r="B7006" s="292"/>
      <c r="C7006" s="181"/>
      <c r="D7006" s="181"/>
      <c r="E7006" s="181"/>
      <c r="F7006" s="181"/>
      <c r="G7006" s="181"/>
      <c r="H7006" s="181"/>
      <c r="I7006" s="181"/>
      <c r="J7006" s="181"/>
      <c r="K7006" s="181"/>
      <c r="L7006" s="181"/>
      <c r="M7006" s="181"/>
      <c r="N7006" s="181"/>
      <c r="O7006" s="181"/>
      <c r="P7006" s="181"/>
    </row>
    <row r="7007">
      <c r="B7007" s="292"/>
      <c r="C7007" s="181"/>
      <c r="D7007" s="181"/>
      <c r="E7007" s="181"/>
      <c r="F7007" s="181"/>
      <c r="G7007" s="181"/>
      <c r="H7007" s="181"/>
      <c r="I7007" s="181"/>
      <c r="J7007" s="181"/>
      <c r="K7007" s="181"/>
      <c r="L7007" s="181"/>
      <c r="M7007" s="181"/>
      <c r="N7007" s="181"/>
      <c r="O7007" s="181"/>
      <c r="P7007" s="181"/>
    </row>
    <row r="7008">
      <c r="B7008" s="292"/>
      <c r="C7008" s="181"/>
      <c r="D7008" s="181"/>
      <c r="E7008" s="181"/>
      <c r="F7008" s="181"/>
      <c r="G7008" s="181"/>
      <c r="H7008" s="181"/>
      <c r="I7008" s="181"/>
      <c r="J7008" s="181"/>
      <c r="K7008" s="181"/>
      <c r="L7008" s="181"/>
      <c r="M7008" s="181"/>
      <c r="N7008" s="181"/>
      <c r="O7008" s="181"/>
      <c r="P7008" s="181"/>
    </row>
    <row r="7009">
      <c r="B7009" s="292"/>
      <c r="C7009" s="181"/>
      <c r="D7009" s="181"/>
      <c r="E7009" s="181"/>
      <c r="F7009" s="181"/>
      <c r="G7009" s="181"/>
      <c r="H7009" s="181"/>
      <c r="I7009" s="181"/>
      <c r="J7009" s="181"/>
      <c r="K7009" s="181"/>
      <c r="L7009" s="181"/>
      <c r="M7009" s="181"/>
      <c r="N7009" s="181"/>
      <c r="O7009" s="181"/>
      <c r="P7009" s="181"/>
    </row>
    <row r="7010">
      <c r="B7010" s="292"/>
      <c r="C7010" s="181"/>
      <c r="D7010" s="181"/>
      <c r="E7010" s="181"/>
      <c r="F7010" s="181"/>
      <c r="G7010" s="181"/>
      <c r="H7010" s="181"/>
      <c r="I7010" s="181"/>
      <c r="J7010" s="181"/>
      <c r="K7010" s="181"/>
      <c r="L7010" s="181"/>
      <c r="M7010" s="181"/>
      <c r="N7010" s="181"/>
      <c r="O7010" s="181"/>
      <c r="P7010" s="181"/>
    </row>
    <row r="7011">
      <c r="B7011" s="292"/>
      <c r="C7011" s="181"/>
      <c r="D7011" s="181"/>
      <c r="E7011" s="181"/>
      <c r="F7011" s="181"/>
      <c r="G7011" s="181"/>
      <c r="H7011" s="181"/>
      <c r="I7011" s="181"/>
      <c r="J7011" s="181"/>
      <c r="K7011" s="181"/>
      <c r="L7011" s="181"/>
      <c r="M7011" s="181"/>
      <c r="N7011" s="181"/>
      <c r="O7011" s="181"/>
      <c r="P7011" s="181"/>
    </row>
    <row r="7012">
      <c r="B7012" s="292"/>
      <c r="C7012" s="181"/>
      <c r="D7012" s="181"/>
      <c r="E7012" s="181"/>
      <c r="F7012" s="181"/>
      <c r="G7012" s="181"/>
      <c r="H7012" s="181"/>
      <c r="I7012" s="181"/>
      <c r="J7012" s="181"/>
      <c r="K7012" s="181"/>
      <c r="L7012" s="181"/>
      <c r="M7012" s="181"/>
      <c r="N7012" s="181"/>
      <c r="O7012" s="181"/>
      <c r="P7012" s="181"/>
    </row>
    <row r="7013">
      <c r="B7013" s="292"/>
      <c r="C7013" s="181"/>
      <c r="D7013" s="181"/>
      <c r="E7013" s="181"/>
      <c r="F7013" s="181"/>
      <c r="G7013" s="181"/>
      <c r="H7013" s="181"/>
      <c r="I7013" s="181"/>
      <c r="J7013" s="181"/>
      <c r="K7013" s="181"/>
      <c r="L7013" s="181"/>
      <c r="M7013" s="181"/>
      <c r="N7013" s="181"/>
      <c r="O7013" s="181"/>
      <c r="P7013" s="181"/>
    </row>
    <row r="7014">
      <c r="B7014" s="292"/>
      <c r="C7014" s="181"/>
      <c r="D7014" s="181"/>
      <c r="E7014" s="181"/>
      <c r="F7014" s="181"/>
      <c r="G7014" s="181"/>
      <c r="H7014" s="181"/>
      <c r="I7014" s="181"/>
      <c r="J7014" s="181"/>
      <c r="K7014" s="181"/>
      <c r="L7014" s="181"/>
      <c r="M7014" s="181"/>
      <c r="N7014" s="181"/>
      <c r="O7014" s="181"/>
      <c r="P7014" s="181"/>
    </row>
    <row r="7015">
      <c r="B7015" s="292"/>
      <c r="C7015" s="181"/>
      <c r="D7015" s="181"/>
      <c r="E7015" s="181"/>
      <c r="F7015" s="181"/>
      <c r="G7015" s="181"/>
      <c r="H7015" s="181"/>
      <c r="I7015" s="181"/>
      <c r="J7015" s="181"/>
      <c r="K7015" s="181"/>
      <c r="L7015" s="181"/>
      <c r="M7015" s="181"/>
      <c r="N7015" s="181"/>
      <c r="O7015" s="181"/>
      <c r="P7015" s="181"/>
    </row>
    <row r="7016">
      <c r="B7016" s="292"/>
      <c r="C7016" s="181"/>
      <c r="D7016" s="181"/>
      <c r="E7016" s="181"/>
      <c r="F7016" s="181"/>
      <c r="G7016" s="181"/>
      <c r="H7016" s="181"/>
      <c r="I7016" s="181"/>
      <c r="J7016" s="181"/>
      <c r="K7016" s="181"/>
      <c r="L7016" s="181"/>
      <c r="M7016" s="181"/>
      <c r="N7016" s="181"/>
      <c r="O7016" s="181"/>
      <c r="P7016" s="181"/>
    </row>
    <row r="7017">
      <c r="B7017" s="292"/>
      <c r="C7017" s="181"/>
      <c r="D7017" s="181"/>
      <c r="E7017" s="181"/>
      <c r="F7017" s="181"/>
      <c r="G7017" s="181"/>
      <c r="H7017" s="181"/>
      <c r="I7017" s="181"/>
      <c r="J7017" s="181"/>
      <c r="K7017" s="181"/>
      <c r="L7017" s="181"/>
      <c r="M7017" s="181"/>
      <c r="N7017" s="181"/>
      <c r="O7017" s="181"/>
      <c r="P7017" s="181"/>
    </row>
    <row r="7018">
      <c r="B7018" s="292"/>
      <c r="C7018" s="181"/>
      <c r="D7018" s="181"/>
      <c r="E7018" s="181"/>
      <c r="F7018" s="181"/>
      <c r="G7018" s="181"/>
      <c r="H7018" s="181"/>
      <c r="I7018" s="181"/>
      <c r="J7018" s="181"/>
      <c r="K7018" s="181"/>
      <c r="L7018" s="181"/>
      <c r="M7018" s="181"/>
      <c r="N7018" s="181"/>
      <c r="O7018" s="181"/>
      <c r="P7018" s="181"/>
    </row>
    <row r="7019">
      <c r="B7019" s="292"/>
      <c r="C7019" s="181"/>
      <c r="D7019" s="181"/>
      <c r="E7019" s="181"/>
      <c r="F7019" s="181"/>
      <c r="G7019" s="181"/>
      <c r="H7019" s="181"/>
      <c r="I7019" s="181"/>
      <c r="J7019" s="181"/>
      <c r="K7019" s="181"/>
      <c r="L7019" s="181"/>
      <c r="M7019" s="181"/>
      <c r="N7019" s="181"/>
      <c r="O7019" s="181"/>
      <c r="P7019" s="181"/>
    </row>
    <row r="7020">
      <c r="B7020" s="292"/>
      <c r="C7020" s="181"/>
      <c r="D7020" s="181"/>
      <c r="E7020" s="181"/>
      <c r="F7020" s="181"/>
      <c r="G7020" s="181"/>
      <c r="H7020" s="181"/>
      <c r="I7020" s="181"/>
      <c r="J7020" s="181"/>
      <c r="K7020" s="181"/>
      <c r="L7020" s="181"/>
      <c r="M7020" s="181"/>
      <c r="N7020" s="181"/>
      <c r="O7020" s="181"/>
      <c r="P7020" s="181"/>
    </row>
    <row r="7021">
      <c r="B7021" s="292"/>
      <c r="C7021" s="181"/>
      <c r="D7021" s="181"/>
      <c r="E7021" s="181"/>
      <c r="F7021" s="181"/>
      <c r="G7021" s="181"/>
      <c r="H7021" s="181"/>
      <c r="I7021" s="181"/>
      <c r="J7021" s="181"/>
      <c r="K7021" s="181"/>
      <c r="L7021" s="181"/>
      <c r="M7021" s="181"/>
      <c r="N7021" s="181"/>
      <c r="O7021" s="181"/>
      <c r="P7021" s="181"/>
    </row>
    <row r="7022">
      <c r="B7022" s="292"/>
      <c r="C7022" s="181"/>
      <c r="D7022" s="181"/>
      <c r="E7022" s="181"/>
      <c r="F7022" s="181"/>
      <c r="G7022" s="181"/>
      <c r="H7022" s="181"/>
      <c r="I7022" s="181"/>
      <c r="J7022" s="181"/>
      <c r="K7022" s="181"/>
      <c r="L7022" s="181"/>
      <c r="M7022" s="181"/>
      <c r="N7022" s="181"/>
      <c r="O7022" s="181"/>
      <c r="P7022" s="181"/>
    </row>
    <row r="7023">
      <c r="B7023" s="292"/>
      <c r="C7023" s="181"/>
      <c r="D7023" s="181"/>
      <c r="E7023" s="181"/>
      <c r="F7023" s="181"/>
      <c r="G7023" s="181"/>
      <c r="H7023" s="181"/>
      <c r="I7023" s="181"/>
      <c r="J7023" s="181"/>
      <c r="K7023" s="181"/>
      <c r="L7023" s="181"/>
      <c r="M7023" s="181"/>
      <c r="N7023" s="181"/>
      <c r="O7023" s="181"/>
      <c r="P7023" s="181"/>
    </row>
    <row r="7024">
      <c r="B7024" s="292"/>
      <c r="C7024" s="181"/>
      <c r="D7024" s="181"/>
      <c r="E7024" s="181"/>
      <c r="F7024" s="181"/>
      <c r="G7024" s="181"/>
      <c r="H7024" s="181"/>
      <c r="I7024" s="181"/>
      <c r="J7024" s="181"/>
      <c r="K7024" s="181"/>
      <c r="L7024" s="181"/>
      <c r="M7024" s="181"/>
      <c r="N7024" s="181"/>
      <c r="O7024" s="181"/>
      <c r="P7024" s="181"/>
    </row>
    <row r="7025">
      <c r="B7025" s="292"/>
      <c r="C7025" s="181"/>
      <c r="D7025" s="181"/>
      <c r="E7025" s="181"/>
      <c r="F7025" s="181"/>
      <c r="G7025" s="181"/>
      <c r="H7025" s="181"/>
      <c r="I7025" s="181"/>
      <c r="J7025" s="181"/>
      <c r="K7025" s="181"/>
      <c r="L7025" s="181"/>
      <c r="M7025" s="181"/>
      <c r="N7025" s="181"/>
      <c r="O7025" s="181"/>
      <c r="P7025" s="181"/>
    </row>
    <row r="7026">
      <c r="B7026" s="292"/>
      <c r="C7026" s="181"/>
      <c r="D7026" s="181"/>
      <c r="E7026" s="181"/>
      <c r="F7026" s="181"/>
      <c r="G7026" s="181"/>
      <c r="H7026" s="181"/>
      <c r="I7026" s="181"/>
      <c r="J7026" s="181"/>
      <c r="K7026" s="181"/>
      <c r="L7026" s="181"/>
      <c r="M7026" s="181"/>
      <c r="N7026" s="181"/>
      <c r="O7026" s="181"/>
      <c r="P7026" s="181"/>
    </row>
    <row r="7027">
      <c r="B7027" s="292"/>
      <c r="C7027" s="181"/>
      <c r="D7027" s="181"/>
      <c r="E7027" s="181"/>
      <c r="F7027" s="181"/>
      <c r="G7027" s="181"/>
      <c r="H7027" s="181"/>
      <c r="I7027" s="181"/>
      <c r="J7027" s="181"/>
      <c r="K7027" s="181"/>
      <c r="L7027" s="181"/>
      <c r="M7027" s="181"/>
      <c r="N7027" s="181"/>
      <c r="O7027" s="181"/>
      <c r="P7027" s="181"/>
    </row>
    <row r="7028">
      <c r="B7028" s="292"/>
      <c r="C7028" s="181"/>
      <c r="D7028" s="181"/>
      <c r="E7028" s="181"/>
      <c r="F7028" s="181"/>
      <c r="G7028" s="181"/>
      <c r="H7028" s="181"/>
      <c r="I7028" s="181"/>
      <c r="J7028" s="181"/>
      <c r="K7028" s="181"/>
      <c r="L7028" s="181"/>
      <c r="M7028" s="181"/>
      <c r="N7028" s="181"/>
      <c r="O7028" s="181"/>
      <c r="P7028" s="181"/>
    </row>
    <row r="7029">
      <c r="B7029" s="292"/>
      <c r="C7029" s="181"/>
      <c r="D7029" s="181"/>
      <c r="E7029" s="181"/>
      <c r="F7029" s="181"/>
      <c r="G7029" s="181"/>
      <c r="H7029" s="181"/>
      <c r="I7029" s="181"/>
      <c r="J7029" s="181"/>
      <c r="K7029" s="181"/>
      <c r="L7029" s="181"/>
      <c r="M7029" s="181"/>
      <c r="N7029" s="181"/>
      <c r="O7029" s="181"/>
      <c r="P7029" s="181"/>
    </row>
    <row r="7030">
      <c r="B7030" s="292"/>
      <c r="C7030" s="181"/>
      <c r="D7030" s="181"/>
      <c r="E7030" s="181"/>
      <c r="F7030" s="181"/>
      <c r="G7030" s="181"/>
      <c r="H7030" s="181"/>
      <c r="I7030" s="181"/>
      <c r="J7030" s="181"/>
      <c r="K7030" s="181"/>
      <c r="L7030" s="181"/>
      <c r="M7030" s="181"/>
      <c r="N7030" s="181"/>
      <c r="O7030" s="181"/>
      <c r="P7030" s="181"/>
    </row>
    <row r="7031">
      <c r="B7031" s="292"/>
      <c r="C7031" s="181"/>
      <c r="D7031" s="181"/>
      <c r="E7031" s="181"/>
      <c r="F7031" s="181"/>
      <c r="G7031" s="181"/>
      <c r="H7031" s="181"/>
      <c r="I7031" s="181"/>
      <c r="J7031" s="181"/>
      <c r="K7031" s="181"/>
      <c r="L7031" s="181"/>
      <c r="M7031" s="181"/>
      <c r="N7031" s="181"/>
      <c r="O7031" s="181"/>
      <c r="P7031" s="181"/>
    </row>
    <row r="7032">
      <c r="B7032" s="292"/>
      <c r="C7032" s="181"/>
      <c r="D7032" s="181"/>
      <c r="E7032" s="181"/>
      <c r="F7032" s="181"/>
      <c r="G7032" s="181"/>
      <c r="H7032" s="181"/>
      <c r="I7032" s="181"/>
      <c r="J7032" s="181"/>
      <c r="K7032" s="181"/>
      <c r="L7032" s="181"/>
      <c r="M7032" s="181"/>
      <c r="N7032" s="181"/>
      <c r="O7032" s="181"/>
      <c r="P7032" s="181"/>
    </row>
    <row r="7033">
      <c r="B7033" s="292"/>
      <c r="C7033" s="181"/>
      <c r="D7033" s="181"/>
      <c r="E7033" s="181"/>
      <c r="F7033" s="181"/>
      <c r="G7033" s="181"/>
      <c r="H7033" s="181"/>
      <c r="I7033" s="181"/>
      <c r="J7033" s="181"/>
      <c r="K7033" s="181"/>
      <c r="L7033" s="181"/>
      <c r="M7033" s="181"/>
      <c r="N7033" s="181"/>
      <c r="O7033" s="181"/>
      <c r="P7033" s="181"/>
    </row>
    <row r="7034">
      <c r="B7034" s="292"/>
      <c r="C7034" s="181"/>
      <c r="D7034" s="181"/>
      <c r="E7034" s="181"/>
      <c r="F7034" s="181"/>
      <c r="G7034" s="181"/>
      <c r="H7034" s="181"/>
      <c r="I7034" s="181"/>
      <c r="J7034" s="181"/>
      <c r="K7034" s="181"/>
      <c r="L7034" s="181"/>
      <c r="M7034" s="181"/>
      <c r="N7034" s="181"/>
      <c r="O7034" s="181"/>
      <c r="P7034" s="181"/>
    </row>
    <row r="7035">
      <c r="B7035" s="292"/>
      <c r="C7035" s="181"/>
      <c r="D7035" s="181"/>
      <c r="E7035" s="181"/>
      <c r="F7035" s="181"/>
      <c r="G7035" s="181"/>
      <c r="H7035" s="181"/>
      <c r="I7035" s="181"/>
      <c r="J7035" s="181"/>
      <c r="K7035" s="181"/>
      <c r="L7035" s="181"/>
      <c r="M7035" s="181"/>
      <c r="N7035" s="181"/>
      <c r="O7035" s="181"/>
      <c r="P7035" s="181"/>
    </row>
    <row r="7036">
      <c r="B7036" s="292"/>
      <c r="C7036" s="181"/>
      <c r="D7036" s="181"/>
      <c r="E7036" s="181"/>
      <c r="F7036" s="181"/>
      <c r="G7036" s="181"/>
      <c r="H7036" s="181"/>
      <c r="I7036" s="181"/>
      <c r="J7036" s="181"/>
      <c r="K7036" s="181"/>
      <c r="L7036" s="181"/>
      <c r="M7036" s="181"/>
      <c r="N7036" s="181"/>
      <c r="O7036" s="181"/>
      <c r="P7036" s="181"/>
    </row>
    <row r="7037">
      <c r="B7037" s="292"/>
      <c r="C7037" s="181"/>
      <c r="D7037" s="181"/>
      <c r="E7037" s="181"/>
      <c r="F7037" s="181"/>
      <c r="G7037" s="181"/>
      <c r="H7037" s="181"/>
      <c r="I7037" s="181"/>
      <c r="J7037" s="181"/>
      <c r="K7037" s="181"/>
      <c r="L7037" s="181"/>
      <c r="M7037" s="181"/>
      <c r="N7037" s="181"/>
      <c r="O7037" s="181"/>
      <c r="P7037" s="181"/>
    </row>
    <row r="7038">
      <c r="B7038" s="292"/>
      <c r="C7038" s="181"/>
      <c r="D7038" s="181"/>
      <c r="E7038" s="181"/>
      <c r="F7038" s="181"/>
      <c r="G7038" s="181"/>
      <c r="H7038" s="181"/>
      <c r="I7038" s="181"/>
      <c r="J7038" s="181"/>
      <c r="K7038" s="181"/>
      <c r="L7038" s="181"/>
      <c r="M7038" s="181"/>
      <c r="N7038" s="181"/>
      <c r="O7038" s="181"/>
      <c r="P7038" s="181"/>
    </row>
    <row r="7039">
      <c r="B7039" s="292"/>
      <c r="C7039" s="181"/>
      <c r="D7039" s="181"/>
      <c r="E7039" s="181"/>
      <c r="F7039" s="181"/>
      <c r="G7039" s="181"/>
      <c r="H7039" s="181"/>
      <c r="I7039" s="181"/>
      <c r="J7039" s="181"/>
      <c r="K7039" s="181"/>
      <c r="L7039" s="181"/>
      <c r="M7039" s="181"/>
      <c r="N7039" s="181"/>
      <c r="O7039" s="181"/>
      <c r="P7039" s="181"/>
    </row>
    <row r="7040">
      <c r="B7040" s="292"/>
      <c r="C7040" s="181"/>
      <c r="D7040" s="181"/>
      <c r="E7040" s="181"/>
      <c r="F7040" s="181"/>
      <c r="G7040" s="181"/>
      <c r="H7040" s="181"/>
      <c r="I7040" s="181"/>
      <c r="J7040" s="181"/>
      <c r="K7040" s="181"/>
      <c r="L7040" s="181"/>
      <c r="M7040" s="181"/>
      <c r="N7040" s="181"/>
      <c r="O7040" s="181"/>
      <c r="P7040" s="181"/>
    </row>
    <row r="7041">
      <c r="B7041" s="292"/>
      <c r="C7041" s="181"/>
      <c r="D7041" s="181"/>
      <c r="E7041" s="181"/>
      <c r="F7041" s="181"/>
      <c r="G7041" s="181"/>
      <c r="H7041" s="181"/>
      <c r="I7041" s="181"/>
      <c r="J7041" s="181"/>
      <c r="K7041" s="181"/>
      <c r="L7041" s="181"/>
      <c r="M7041" s="181"/>
      <c r="N7041" s="181"/>
      <c r="O7041" s="181"/>
      <c r="P7041" s="181"/>
    </row>
    <row r="7042">
      <c r="B7042" s="292"/>
      <c r="C7042" s="181"/>
      <c r="D7042" s="181"/>
      <c r="E7042" s="181"/>
      <c r="F7042" s="181"/>
      <c r="G7042" s="181"/>
      <c r="H7042" s="181"/>
      <c r="I7042" s="181"/>
      <c r="J7042" s="181"/>
      <c r="K7042" s="181"/>
      <c r="L7042" s="181"/>
      <c r="M7042" s="181"/>
      <c r="N7042" s="181"/>
      <c r="O7042" s="181"/>
      <c r="P7042" s="181"/>
    </row>
    <row r="7043">
      <c r="B7043" s="292"/>
      <c r="C7043" s="181"/>
      <c r="D7043" s="181"/>
      <c r="E7043" s="181"/>
      <c r="F7043" s="181"/>
      <c r="G7043" s="181"/>
      <c r="H7043" s="181"/>
      <c r="I7043" s="181"/>
      <c r="J7043" s="181"/>
      <c r="K7043" s="181"/>
      <c r="L7043" s="181"/>
      <c r="M7043" s="181"/>
      <c r="N7043" s="181"/>
      <c r="O7043" s="181"/>
      <c r="P7043" s="181"/>
    </row>
    <row r="7044">
      <c r="B7044" s="292"/>
      <c r="C7044" s="181"/>
      <c r="D7044" s="181"/>
      <c r="E7044" s="181"/>
      <c r="F7044" s="181"/>
      <c r="G7044" s="181"/>
      <c r="H7044" s="181"/>
      <c r="I7044" s="181"/>
      <c r="J7044" s="181"/>
      <c r="K7044" s="181"/>
      <c r="L7044" s="181"/>
      <c r="M7044" s="181"/>
      <c r="N7044" s="181"/>
      <c r="O7044" s="181"/>
      <c r="P7044" s="181"/>
    </row>
    <row r="7045">
      <c r="B7045" s="292"/>
      <c r="C7045" s="181"/>
      <c r="D7045" s="181"/>
      <c r="E7045" s="181"/>
      <c r="F7045" s="181"/>
      <c r="G7045" s="181"/>
      <c r="H7045" s="181"/>
      <c r="I7045" s="181"/>
      <c r="J7045" s="181"/>
      <c r="K7045" s="181"/>
      <c r="L7045" s="181"/>
      <c r="M7045" s="181"/>
      <c r="N7045" s="181"/>
      <c r="O7045" s="181"/>
      <c r="P7045" s="181"/>
    </row>
    <row r="7046">
      <c r="B7046" s="292"/>
      <c r="C7046" s="181"/>
      <c r="D7046" s="181"/>
      <c r="E7046" s="181"/>
      <c r="F7046" s="181"/>
      <c r="G7046" s="181"/>
      <c r="H7046" s="181"/>
      <c r="I7046" s="181"/>
      <c r="J7046" s="181"/>
      <c r="K7046" s="181"/>
      <c r="L7046" s="181"/>
      <c r="M7046" s="181"/>
      <c r="N7046" s="181"/>
      <c r="O7046" s="181"/>
      <c r="P7046" s="181"/>
    </row>
    <row r="7047">
      <c r="B7047" s="292"/>
      <c r="C7047" s="181"/>
      <c r="D7047" s="181"/>
      <c r="E7047" s="181"/>
      <c r="F7047" s="181"/>
      <c r="G7047" s="181"/>
      <c r="H7047" s="181"/>
      <c r="I7047" s="181"/>
      <c r="J7047" s="181"/>
      <c r="K7047" s="181"/>
      <c r="L7047" s="181"/>
      <c r="M7047" s="181"/>
      <c r="N7047" s="181"/>
      <c r="O7047" s="181"/>
      <c r="P7047" s="181"/>
    </row>
    <row r="7048">
      <c r="B7048" s="292"/>
      <c r="C7048" s="181"/>
      <c r="D7048" s="181"/>
      <c r="E7048" s="181"/>
      <c r="F7048" s="181"/>
      <c r="G7048" s="181"/>
      <c r="H7048" s="181"/>
      <c r="I7048" s="181"/>
      <c r="J7048" s="181"/>
      <c r="K7048" s="181"/>
      <c r="L7048" s="181"/>
      <c r="M7048" s="181"/>
      <c r="N7048" s="181"/>
      <c r="O7048" s="181"/>
      <c r="P7048" s="181"/>
    </row>
    <row r="7049">
      <c r="B7049" s="292"/>
      <c r="C7049" s="181"/>
      <c r="D7049" s="181"/>
      <c r="E7049" s="181"/>
      <c r="F7049" s="181"/>
      <c r="G7049" s="181"/>
      <c r="H7049" s="181"/>
      <c r="I7049" s="181"/>
      <c r="J7049" s="181"/>
      <c r="K7049" s="181"/>
      <c r="L7049" s="181"/>
      <c r="M7049" s="181"/>
      <c r="N7049" s="181"/>
      <c r="O7049" s="181"/>
      <c r="P7049" s="181"/>
    </row>
    <row r="7050">
      <c r="B7050" s="292"/>
      <c r="C7050" s="181"/>
      <c r="D7050" s="181"/>
      <c r="E7050" s="181"/>
      <c r="F7050" s="181"/>
      <c r="G7050" s="181"/>
      <c r="H7050" s="181"/>
      <c r="I7050" s="181"/>
      <c r="J7050" s="181"/>
      <c r="K7050" s="181"/>
      <c r="L7050" s="181"/>
      <c r="M7050" s="181"/>
      <c r="N7050" s="181"/>
      <c r="O7050" s="181"/>
      <c r="P7050" s="181"/>
    </row>
    <row r="7051">
      <c r="B7051" s="292"/>
      <c r="C7051" s="181"/>
      <c r="D7051" s="181"/>
      <c r="E7051" s="181"/>
      <c r="F7051" s="181"/>
      <c r="G7051" s="181"/>
      <c r="H7051" s="181"/>
      <c r="I7051" s="181"/>
      <c r="J7051" s="181"/>
      <c r="K7051" s="181"/>
      <c r="L7051" s="181"/>
      <c r="M7051" s="181"/>
      <c r="N7051" s="181"/>
      <c r="O7051" s="181"/>
      <c r="P7051" s="181"/>
    </row>
    <row r="7052">
      <c r="B7052" s="292"/>
      <c r="C7052" s="181"/>
      <c r="D7052" s="181"/>
      <c r="E7052" s="181"/>
      <c r="F7052" s="181"/>
      <c r="G7052" s="181"/>
      <c r="H7052" s="181"/>
      <c r="I7052" s="181"/>
      <c r="J7052" s="181"/>
      <c r="K7052" s="181"/>
      <c r="L7052" s="181"/>
      <c r="M7052" s="181"/>
      <c r="N7052" s="181"/>
      <c r="O7052" s="181"/>
      <c r="P7052" s="181"/>
    </row>
    <row r="7053">
      <c r="B7053" s="292"/>
      <c r="C7053" s="181"/>
      <c r="D7053" s="181"/>
      <c r="E7053" s="181"/>
      <c r="F7053" s="181"/>
      <c r="G7053" s="181"/>
      <c r="H7053" s="181"/>
      <c r="I7053" s="181"/>
      <c r="J7053" s="181"/>
      <c r="K7053" s="181"/>
      <c r="L7053" s="181"/>
      <c r="M7053" s="181"/>
      <c r="N7053" s="181"/>
      <c r="O7053" s="181"/>
      <c r="P7053" s="181"/>
    </row>
    <row r="7054">
      <c r="B7054" s="292"/>
      <c r="C7054" s="181"/>
      <c r="D7054" s="181"/>
      <c r="E7054" s="181"/>
      <c r="F7054" s="181"/>
      <c r="G7054" s="181"/>
      <c r="H7054" s="181"/>
      <c r="I7054" s="181"/>
      <c r="J7054" s="181"/>
      <c r="K7054" s="181"/>
      <c r="L7054" s="181"/>
      <c r="M7054" s="181"/>
      <c r="N7054" s="181"/>
      <c r="O7054" s="181"/>
      <c r="P7054" s="181"/>
    </row>
    <row r="7055">
      <c r="B7055" s="292"/>
      <c r="C7055" s="181"/>
      <c r="D7055" s="181"/>
      <c r="E7055" s="181"/>
      <c r="F7055" s="181"/>
      <c r="G7055" s="181"/>
      <c r="H7055" s="181"/>
      <c r="I7055" s="181"/>
      <c r="J7055" s="181"/>
      <c r="K7055" s="181"/>
      <c r="L7055" s="181"/>
      <c r="M7055" s="181"/>
      <c r="N7055" s="181"/>
      <c r="O7055" s="181"/>
      <c r="P7055" s="181"/>
    </row>
    <row r="7056">
      <c r="B7056" s="292"/>
      <c r="C7056" s="181"/>
      <c r="D7056" s="181"/>
      <c r="E7056" s="181"/>
      <c r="F7056" s="181"/>
      <c r="G7056" s="181"/>
      <c r="H7056" s="181"/>
      <c r="I7056" s="181"/>
      <c r="J7056" s="181"/>
      <c r="K7056" s="181"/>
      <c r="L7056" s="181"/>
      <c r="M7056" s="181"/>
      <c r="N7056" s="181"/>
      <c r="O7056" s="181"/>
      <c r="P7056" s="181"/>
    </row>
    <row r="7057">
      <c r="B7057" s="292"/>
      <c r="C7057" s="181"/>
      <c r="D7057" s="181"/>
      <c r="E7057" s="181"/>
      <c r="F7057" s="181"/>
      <c r="G7057" s="181"/>
      <c r="H7057" s="181"/>
      <c r="I7057" s="181"/>
      <c r="J7057" s="181"/>
      <c r="K7057" s="181"/>
      <c r="L7057" s="181"/>
      <c r="M7057" s="181"/>
      <c r="N7057" s="181"/>
      <c r="O7057" s="181"/>
      <c r="P7057" s="181"/>
    </row>
    <row r="7058">
      <c r="B7058" s="292"/>
      <c r="C7058" s="181"/>
      <c r="D7058" s="181"/>
      <c r="E7058" s="181"/>
      <c r="F7058" s="181"/>
      <c r="G7058" s="181"/>
      <c r="H7058" s="181"/>
      <c r="I7058" s="181"/>
      <c r="J7058" s="181"/>
      <c r="K7058" s="181"/>
      <c r="L7058" s="181"/>
      <c r="M7058" s="181"/>
      <c r="N7058" s="181"/>
      <c r="O7058" s="181"/>
      <c r="P7058" s="181"/>
    </row>
    <row r="7059">
      <c r="B7059" s="292"/>
      <c r="C7059" s="181"/>
      <c r="D7059" s="181"/>
      <c r="E7059" s="181"/>
      <c r="F7059" s="181"/>
      <c r="G7059" s="181"/>
      <c r="H7059" s="181"/>
      <c r="I7059" s="181"/>
      <c r="J7059" s="181"/>
      <c r="K7059" s="181"/>
      <c r="L7059" s="181"/>
      <c r="M7059" s="181"/>
      <c r="N7059" s="181"/>
      <c r="O7059" s="181"/>
      <c r="P7059" s="181"/>
    </row>
    <row r="7060">
      <c r="B7060" s="292"/>
      <c r="C7060" s="181"/>
      <c r="D7060" s="181"/>
      <c r="E7060" s="181"/>
      <c r="F7060" s="181"/>
      <c r="G7060" s="181"/>
      <c r="H7060" s="181"/>
      <c r="I7060" s="181"/>
      <c r="J7060" s="181"/>
      <c r="K7060" s="181"/>
      <c r="L7060" s="181"/>
      <c r="M7060" s="181"/>
      <c r="N7060" s="181"/>
      <c r="O7060" s="181"/>
      <c r="P7060" s="181"/>
    </row>
    <row r="7061">
      <c r="B7061" s="292"/>
      <c r="C7061" s="181"/>
      <c r="D7061" s="181"/>
      <c r="E7061" s="181"/>
      <c r="F7061" s="181"/>
      <c r="G7061" s="181"/>
      <c r="H7061" s="181"/>
      <c r="I7061" s="181"/>
      <c r="J7061" s="181"/>
      <c r="K7061" s="181"/>
      <c r="L7061" s="181"/>
      <c r="M7061" s="181"/>
      <c r="N7061" s="181"/>
      <c r="O7061" s="181"/>
      <c r="P7061" s="181"/>
    </row>
    <row r="7062">
      <c r="B7062" s="292"/>
      <c r="C7062" s="181"/>
      <c r="D7062" s="181"/>
      <c r="E7062" s="181"/>
      <c r="F7062" s="181"/>
      <c r="G7062" s="181"/>
      <c r="H7062" s="181"/>
      <c r="I7062" s="181"/>
      <c r="J7062" s="181"/>
      <c r="K7062" s="181"/>
      <c r="L7062" s="181"/>
      <c r="M7062" s="181"/>
      <c r="N7062" s="181"/>
      <c r="O7062" s="181"/>
      <c r="P7062" s="181"/>
    </row>
    <row r="7063">
      <c r="B7063" s="292"/>
      <c r="C7063" s="181"/>
      <c r="D7063" s="181"/>
      <c r="E7063" s="181"/>
      <c r="F7063" s="181"/>
      <c r="G7063" s="181"/>
      <c r="H7063" s="181"/>
      <c r="I7063" s="181"/>
      <c r="J7063" s="181"/>
      <c r="K7063" s="181"/>
      <c r="L7063" s="181"/>
      <c r="M7063" s="181"/>
      <c r="N7063" s="181"/>
      <c r="O7063" s="181"/>
      <c r="P7063" s="181"/>
    </row>
    <row r="7064">
      <c r="B7064" s="292"/>
      <c r="C7064" s="181"/>
      <c r="D7064" s="181"/>
      <c r="E7064" s="181"/>
      <c r="F7064" s="181"/>
      <c r="G7064" s="181"/>
      <c r="H7064" s="181"/>
      <c r="I7064" s="181"/>
      <c r="J7064" s="181"/>
      <c r="K7064" s="181"/>
      <c r="L7064" s="181"/>
      <c r="M7064" s="181"/>
      <c r="N7064" s="181"/>
      <c r="O7064" s="181"/>
      <c r="P7064" s="181"/>
    </row>
    <row r="7065">
      <c r="B7065" s="292"/>
      <c r="C7065" s="181"/>
      <c r="D7065" s="181"/>
      <c r="E7065" s="181"/>
      <c r="F7065" s="181"/>
      <c r="G7065" s="181"/>
      <c r="H7065" s="181"/>
      <c r="I7065" s="181"/>
      <c r="J7065" s="181"/>
      <c r="K7065" s="181"/>
      <c r="L7065" s="181"/>
      <c r="M7065" s="181"/>
      <c r="N7065" s="181"/>
      <c r="O7065" s="181"/>
      <c r="P7065" s="181"/>
    </row>
    <row r="7066">
      <c r="B7066" s="292"/>
      <c r="C7066" s="181"/>
      <c r="D7066" s="181"/>
      <c r="E7066" s="181"/>
      <c r="F7066" s="181"/>
      <c r="G7066" s="181"/>
      <c r="H7066" s="181"/>
      <c r="I7066" s="181"/>
      <c r="J7066" s="181"/>
      <c r="K7066" s="181"/>
      <c r="L7066" s="181"/>
      <c r="M7066" s="181"/>
      <c r="N7066" s="181"/>
      <c r="O7066" s="181"/>
      <c r="P7066" s="181"/>
    </row>
    <row r="7067">
      <c r="B7067" s="292"/>
      <c r="C7067" s="181"/>
      <c r="D7067" s="181"/>
      <c r="E7067" s="181"/>
      <c r="F7067" s="181"/>
      <c r="G7067" s="181"/>
      <c r="H7067" s="181"/>
      <c r="I7067" s="181"/>
      <c r="J7067" s="181"/>
      <c r="K7067" s="181"/>
      <c r="L7067" s="181"/>
      <c r="M7067" s="181"/>
      <c r="N7067" s="181"/>
      <c r="O7067" s="181"/>
      <c r="P7067" s="181"/>
    </row>
    <row r="7068">
      <c r="B7068" s="292"/>
      <c r="C7068" s="181"/>
      <c r="D7068" s="181"/>
      <c r="E7068" s="181"/>
      <c r="F7068" s="181"/>
      <c r="G7068" s="181"/>
      <c r="H7068" s="181"/>
      <c r="I7068" s="181"/>
      <c r="J7068" s="181"/>
      <c r="K7068" s="181"/>
      <c r="L7068" s="181"/>
      <c r="M7068" s="181"/>
      <c r="N7068" s="181"/>
      <c r="O7068" s="181"/>
      <c r="P7068" s="181"/>
    </row>
    <row r="7069">
      <c r="B7069" s="292"/>
      <c r="C7069" s="181"/>
      <c r="D7069" s="181"/>
      <c r="E7069" s="181"/>
      <c r="F7069" s="181"/>
      <c r="G7069" s="181"/>
      <c r="H7069" s="181"/>
      <c r="I7069" s="181"/>
      <c r="J7069" s="181"/>
      <c r="K7069" s="181"/>
      <c r="L7069" s="181"/>
      <c r="M7069" s="181"/>
      <c r="N7069" s="181"/>
      <c r="O7069" s="181"/>
      <c r="P7069" s="181"/>
    </row>
    <row r="7070">
      <c r="B7070" s="292"/>
      <c r="C7070" s="181"/>
      <c r="D7070" s="181"/>
      <c r="E7070" s="181"/>
      <c r="F7070" s="181"/>
      <c r="G7070" s="181"/>
      <c r="H7070" s="181"/>
      <c r="I7070" s="181"/>
      <c r="J7070" s="181"/>
      <c r="K7070" s="181"/>
      <c r="L7070" s="181"/>
      <c r="M7070" s="181"/>
      <c r="N7070" s="181"/>
      <c r="O7070" s="181"/>
      <c r="P7070" s="181"/>
    </row>
    <row r="7071">
      <c r="B7071" s="292"/>
      <c r="C7071" s="181"/>
      <c r="D7071" s="181"/>
      <c r="E7071" s="181"/>
      <c r="F7071" s="181"/>
      <c r="G7071" s="181"/>
      <c r="H7071" s="181"/>
      <c r="I7071" s="181"/>
      <c r="J7071" s="181"/>
      <c r="K7071" s="181"/>
      <c r="L7071" s="181"/>
      <c r="M7071" s="181"/>
      <c r="N7071" s="181"/>
      <c r="O7071" s="181"/>
      <c r="P7071" s="181"/>
    </row>
    <row r="7072">
      <c r="B7072" s="292"/>
      <c r="C7072" s="181"/>
      <c r="D7072" s="181"/>
      <c r="E7072" s="181"/>
      <c r="F7072" s="181"/>
      <c r="G7072" s="181"/>
      <c r="H7072" s="181"/>
      <c r="I7072" s="181"/>
      <c r="J7072" s="181"/>
      <c r="K7072" s="181"/>
      <c r="L7072" s="181"/>
      <c r="M7072" s="181"/>
      <c r="N7072" s="181"/>
      <c r="O7072" s="181"/>
      <c r="P7072" s="181"/>
    </row>
    <row r="7073">
      <c r="B7073" s="292"/>
      <c r="C7073" s="181"/>
      <c r="D7073" s="181"/>
      <c r="E7073" s="181"/>
      <c r="F7073" s="181"/>
      <c r="G7073" s="181"/>
      <c r="H7073" s="181"/>
      <c r="I7073" s="181"/>
      <c r="J7073" s="181"/>
      <c r="K7073" s="181"/>
      <c r="L7073" s="181"/>
      <c r="M7073" s="181"/>
      <c r="N7073" s="181"/>
      <c r="O7073" s="181"/>
      <c r="P7073" s="181"/>
    </row>
    <row r="7074">
      <c r="B7074" s="292"/>
      <c r="C7074" s="181"/>
      <c r="D7074" s="181"/>
      <c r="E7074" s="181"/>
      <c r="F7074" s="181"/>
      <c r="G7074" s="181"/>
      <c r="H7074" s="181"/>
      <c r="I7074" s="181"/>
      <c r="J7074" s="181"/>
      <c r="K7074" s="181"/>
      <c r="L7074" s="181"/>
      <c r="M7074" s="181"/>
      <c r="N7074" s="181"/>
      <c r="O7074" s="181"/>
      <c r="P7074" s="181"/>
    </row>
    <row r="7075">
      <c r="B7075" s="292"/>
      <c r="C7075" s="181"/>
      <c r="D7075" s="181"/>
      <c r="E7075" s="181"/>
      <c r="F7075" s="181"/>
      <c r="G7075" s="181"/>
      <c r="H7075" s="181"/>
      <c r="I7075" s="181"/>
      <c r="J7075" s="181"/>
      <c r="K7075" s="181"/>
      <c r="L7075" s="181"/>
      <c r="M7075" s="181"/>
      <c r="N7075" s="181"/>
      <c r="O7075" s="181"/>
      <c r="P7075" s="181"/>
    </row>
    <row r="7076">
      <c r="B7076" s="292"/>
      <c r="C7076" s="181"/>
      <c r="D7076" s="181"/>
      <c r="E7076" s="181"/>
      <c r="F7076" s="181"/>
      <c r="G7076" s="181"/>
      <c r="H7076" s="181"/>
      <c r="I7076" s="181"/>
      <c r="J7076" s="181"/>
      <c r="K7076" s="181"/>
      <c r="L7076" s="181"/>
      <c r="M7076" s="181"/>
      <c r="N7076" s="181"/>
      <c r="O7076" s="181"/>
      <c r="P7076" s="181"/>
    </row>
    <row r="7077">
      <c r="B7077" s="292"/>
      <c r="C7077" s="181"/>
      <c r="D7077" s="181"/>
      <c r="E7077" s="181"/>
      <c r="F7077" s="181"/>
      <c r="G7077" s="181"/>
      <c r="H7077" s="181"/>
      <c r="I7077" s="181"/>
      <c r="J7077" s="181"/>
      <c r="K7077" s="181"/>
      <c r="L7077" s="181"/>
      <c r="M7077" s="181"/>
      <c r="N7077" s="181"/>
      <c r="O7077" s="181"/>
      <c r="P7077" s="181"/>
    </row>
    <row r="7078">
      <c r="B7078" s="292"/>
      <c r="C7078" s="181"/>
      <c r="D7078" s="181"/>
      <c r="E7078" s="181"/>
      <c r="F7078" s="181"/>
      <c r="G7078" s="181"/>
      <c r="H7078" s="181"/>
      <c r="I7078" s="181"/>
      <c r="J7078" s="181"/>
      <c r="K7078" s="181"/>
      <c r="L7078" s="181"/>
      <c r="M7078" s="181"/>
      <c r="N7078" s="181"/>
      <c r="O7078" s="181"/>
      <c r="P7078" s="181"/>
    </row>
    <row r="7079">
      <c r="B7079" s="292"/>
      <c r="C7079" s="181"/>
      <c r="D7079" s="181"/>
      <c r="E7079" s="181"/>
      <c r="F7079" s="181"/>
      <c r="G7079" s="181"/>
      <c r="H7079" s="181"/>
      <c r="I7079" s="181"/>
      <c r="J7079" s="181"/>
      <c r="K7079" s="181"/>
      <c r="L7079" s="181"/>
      <c r="M7079" s="181"/>
      <c r="N7079" s="181"/>
      <c r="O7079" s="181"/>
      <c r="P7079" s="181"/>
    </row>
    <row r="7080">
      <c r="B7080" s="292"/>
      <c r="C7080" s="181"/>
      <c r="D7080" s="181"/>
      <c r="E7080" s="181"/>
      <c r="F7080" s="181"/>
      <c r="G7080" s="181"/>
      <c r="H7080" s="181"/>
      <c r="I7080" s="181"/>
      <c r="J7080" s="181"/>
      <c r="K7080" s="181"/>
      <c r="L7080" s="181"/>
      <c r="M7080" s="181"/>
      <c r="N7080" s="181"/>
      <c r="O7080" s="181"/>
      <c r="P7080" s="181"/>
    </row>
    <row r="7081">
      <c r="B7081" s="292"/>
      <c r="C7081" s="181"/>
      <c r="D7081" s="181"/>
      <c r="E7081" s="181"/>
      <c r="F7081" s="181"/>
      <c r="G7081" s="181"/>
      <c r="H7081" s="181"/>
      <c r="I7081" s="181"/>
      <c r="J7081" s="181"/>
      <c r="K7081" s="181"/>
      <c r="L7081" s="181"/>
      <c r="M7081" s="181"/>
      <c r="N7081" s="181"/>
      <c r="O7081" s="181"/>
      <c r="P7081" s="181"/>
    </row>
    <row r="7082">
      <c r="B7082" s="292"/>
      <c r="C7082" s="181"/>
      <c r="D7082" s="181"/>
      <c r="E7082" s="181"/>
      <c r="F7082" s="181"/>
      <c r="G7082" s="181"/>
      <c r="H7082" s="181"/>
      <c r="I7082" s="181"/>
      <c r="J7082" s="181"/>
      <c r="K7082" s="181"/>
      <c r="L7082" s="181"/>
      <c r="M7082" s="181"/>
      <c r="N7082" s="181"/>
      <c r="O7082" s="181"/>
      <c r="P7082" s="181"/>
    </row>
    <row r="7083">
      <c r="B7083" s="292"/>
      <c r="C7083" s="181"/>
      <c r="D7083" s="181"/>
      <c r="E7083" s="181"/>
      <c r="F7083" s="181"/>
      <c r="G7083" s="181"/>
      <c r="H7083" s="181"/>
      <c r="I7083" s="181"/>
      <c r="J7083" s="181"/>
      <c r="K7083" s="181"/>
      <c r="L7083" s="181"/>
      <c r="M7083" s="181"/>
      <c r="N7083" s="181"/>
      <c r="O7083" s="181"/>
      <c r="P7083" s="181"/>
    </row>
    <row r="7084">
      <c r="B7084" s="292"/>
      <c r="C7084" s="181"/>
      <c r="D7084" s="181"/>
      <c r="E7084" s="181"/>
      <c r="F7084" s="181"/>
      <c r="G7084" s="181"/>
      <c r="H7084" s="181"/>
      <c r="I7084" s="181"/>
      <c r="J7084" s="181"/>
      <c r="K7084" s="181"/>
      <c r="L7084" s="181"/>
      <c r="M7084" s="181"/>
      <c r="N7084" s="181"/>
      <c r="O7084" s="181"/>
      <c r="P7084" s="181"/>
    </row>
    <row r="7085">
      <c r="B7085" s="292"/>
      <c r="C7085" s="181"/>
      <c r="D7085" s="181"/>
      <c r="E7085" s="181"/>
      <c r="F7085" s="181"/>
      <c r="G7085" s="181"/>
      <c r="H7085" s="181"/>
      <c r="I7085" s="181"/>
      <c r="J7085" s="181"/>
      <c r="K7085" s="181"/>
      <c r="L7085" s="181"/>
      <c r="M7085" s="181"/>
      <c r="N7085" s="181"/>
      <c r="O7085" s="181"/>
      <c r="P7085" s="181"/>
    </row>
    <row r="7086">
      <c r="B7086" s="292"/>
      <c r="C7086" s="181"/>
      <c r="D7086" s="181"/>
      <c r="E7086" s="181"/>
      <c r="F7086" s="181"/>
      <c r="G7086" s="181"/>
      <c r="H7086" s="181"/>
      <c r="I7086" s="181"/>
      <c r="J7086" s="181"/>
      <c r="K7086" s="181"/>
      <c r="L7086" s="181"/>
      <c r="M7086" s="181"/>
      <c r="N7086" s="181"/>
      <c r="O7086" s="181"/>
      <c r="P7086" s="181"/>
    </row>
    <row r="7087">
      <c r="B7087" s="292"/>
      <c r="C7087" s="181"/>
      <c r="D7087" s="181"/>
      <c r="E7087" s="181"/>
      <c r="F7087" s="181"/>
      <c r="G7087" s="181"/>
      <c r="H7087" s="181"/>
      <c r="I7087" s="181"/>
      <c r="J7087" s="181"/>
      <c r="K7087" s="181"/>
      <c r="L7087" s="181"/>
      <c r="M7087" s="181"/>
      <c r="N7087" s="181"/>
      <c r="O7087" s="181"/>
      <c r="P7087" s="181"/>
    </row>
    <row r="7088">
      <c r="B7088" s="292"/>
      <c r="C7088" s="181"/>
      <c r="D7088" s="181"/>
      <c r="E7088" s="181"/>
      <c r="F7088" s="181"/>
      <c r="G7088" s="181"/>
      <c r="H7088" s="181"/>
      <c r="I7088" s="181"/>
      <c r="J7088" s="181"/>
      <c r="K7088" s="181"/>
      <c r="L7088" s="181"/>
      <c r="M7088" s="181"/>
      <c r="N7088" s="181"/>
      <c r="O7088" s="181"/>
      <c r="P7088" s="181"/>
    </row>
    <row r="7089">
      <c r="B7089" s="292"/>
      <c r="C7089" s="181"/>
      <c r="D7089" s="181"/>
      <c r="E7089" s="181"/>
      <c r="F7089" s="181"/>
      <c r="G7089" s="181"/>
      <c r="H7089" s="181"/>
      <c r="I7089" s="181"/>
      <c r="J7089" s="181"/>
      <c r="K7089" s="181"/>
      <c r="L7089" s="181"/>
      <c r="M7089" s="181"/>
      <c r="N7089" s="181"/>
      <c r="O7089" s="181"/>
      <c r="P7089" s="181"/>
    </row>
    <row r="7090">
      <c r="B7090" s="292"/>
      <c r="C7090" s="181"/>
      <c r="D7090" s="181"/>
      <c r="E7090" s="181"/>
      <c r="F7090" s="181"/>
      <c r="G7090" s="181"/>
      <c r="H7090" s="181"/>
      <c r="I7090" s="181"/>
      <c r="J7090" s="181"/>
      <c r="K7090" s="181"/>
      <c r="L7090" s="181"/>
      <c r="M7090" s="181"/>
      <c r="N7090" s="181"/>
      <c r="O7090" s="181"/>
      <c r="P7090" s="181"/>
    </row>
    <row r="7091">
      <c r="B7091" s="292"/>
      <c r="C7091" s="181"/>
      <c r="D7091" s="181"/>
      <c r="E7091" s="181"/>
      <c r="F7091" s="181"/>
      <c r="G7091" s="181"/>
      <c r="H7091" s="181"/>
      <c r="I7091" s="181"/>
      <c r="J7091" s="181"/>
      <c r="K7091" s="181"/>
      <c r="L7091" s="181"/>
      <c r="M7091" s="181"/>
      <c r="N7091" s="181"/>
      <c r="O7091" s="181"/>
      <c r="P7091" s="181"/>
    </row>
    <row r="7092">
      <c r="B7092" s="292"/>
      <c r="C7092" s="181"/>
      <c r="D7092" s="181"/>
      <c r="E7092" s="181"/>
      <c r="F7092" s="181"/>
      <c r="G7092" s="181"/>
      <c r="H7092" s="181"/>
      <c r="I7092" s="181"/>
      <c r="J7092" s="181"/>
      <c r="K7092" s="181"/>
      <c r="L7092" s="181"/>
      <c r="M7092" s="181"/>
      <c r="N7092" s="181"/>
      <c r="O7092" s="181"/>
      <c r="P7092" s="181"/>
    </row>
    <row r="7093">
      <c r="B7093" s="292"/>
      <c r="C7093" s="181"/>
      <c r="D7093" s="181"/>
      <c r="E7093" s="181"/>
      <c r="F7093" s="181"/>
      <c r="G7093" s="181"/>
      <c r="H7093" s="181"/>
      <c r="I7093" s="181"/>
      <c r="J7093" s="181"/>
      <c r="K7093" s="181"/>
      <c r="L7093" s="181"/>
      <c r="M7093" s="181"/>
      <c r="N7093" s="181"/>
      <c r="O7093" s="181"/>
      <c r="P7093" s="181"/>
    </row>
    <row r="7094">
      <c r="B7094" s="292"/>
      <c r="C7094" s="181"/>
      <c r="D7094" s="181"/>
      <c r="E7094" s="181"/>
      <c r="F7094" s="181"/>
      <c r="G7094" s="181"/>
      <c r="H7094" s="181"/>
      <c r="I7094" s="181"/>
      <c r="J7094" s="181"/>
      <c r="K7094" s="181"/>
      <c r="L7094" s="181"/>
      <c r="M7094" s="181"/>
      <c r="N7094" s="181"/>
      <c r="O7094" s="181"/>
      <c r="P7094" s="181"/>
    </row>
    <row r="7095">
      <c r="B7095" s="292"/>
      <c r="C7095" s="181"/>
      <c r="D7095" s="181"/>
      <c r="E7095" s="181"/>
      <c r="F7095" s="181"/>
      <c r="G7095" s="181"/>
      <c r="H7095" s="181"/>
      <c r="I7095" s="181"/>
      <c r="J7095" s="181"/>
      <c r="K7095" s="181"/>
      <c r="L7095" s="181"/>
      <c r="M7095" s="181"/>
      <c r="N7095" s="181"/>
      <c r="O7095" s="181"/>
      <c r="P7095" s="181"/>
    </row>
    <row r="7096">
      <c r="B7096" s="292"/>
      <c r="C7096" s="181"/>
      <c r="D7096" s="181"/>
      <c r="E7096" s="181"/>
      <c r="F7096" s="181"/>
      <c r="G7096" s="181"/>
      <c r="H7096" s="181"/>
      <c r="I7096" s="181"/>
      <c r="J7096" s="181"/>
      <c r="K7096" s="181"/>
      <c r="L7096" s="181"/>
      <c r="M7096" s="181"/>
      <c r="N7096" s="181"/>
      <c r="O7096" s="181"/>
      <c r="P7096" s="181"/>
    </row>
    <row r="7097">
      <c r="B7097" s="292"/>
      <c r="C7097" s="181"/>
      <c r="D7097" s="181"/>
      <c r="E7097" s="181"/>
      <c r="F7097" s="181"/>
      <c r="G7097" s="181"/>
      <c r="H7097" s="181"/>
      <c r="I7097" s="181"/>
      <c r="J7097" s="181"/>
      <c r="K7097" s="181"/>
      <c r="L7097" s="181"/>
      <c r="M7097" s="181"/>
      <c r="N7097" s="181"/>
      <c r="O7097" s="181"/>
      <c r="P7097" s="181"/>
    </row>
    <row r="7098">
      <c r="B7098" s="292"/>
      <c r="C7098" s="181"/>
      <c r="D7098" s="181"/>
      <c r="E7098" s="181"/>
      <c r="F7098" s="181"/>
      <c r="G7098" s="181"/>
      <c r="H7098" s="181"/>
      <c r="I7098" s="181"/>
      <c r="J7098" s="181"/>
      <c r="K7098" s="181"/>
      <c r="L7098" s="181"/>
      <c r="M7098" s="181"/>
      <c r="N7098" s="181"/>
      <c r="O7098" s="181"/>
      <c r="P7098" s="181"/>
    </row>
    <row r="7099">
      <c r="B7099" s="292"/>
      <c r="C7099" s="181"/>
      <c r="D7099" s="181"/>
      <c r="E7099" s="181"/>
      <c r="F7099" s="181"/>
      <c r="G7099" s="181"/>
      <c r="H7099" s="181"/>
      <c r="I7099" s="181"/>
      <c r="J7099" s="181"/>
      <c r="K7099" s="181"/>
      <c r="L7099" s="181"/>
      <c r="M7099" s="181"/>
      <c r="N7099" s="181"/>
      <c r="O7099" s="181"/>
      <c r="P7099" s="181"/>
    </row>
    <row r="7100">
      <c r="B7100" s="292"/>
      <c r="C7100" s="181"/>
      <c r="D7100" s="181"/>
      <c r="E7100" s="181"/>
      <c r="F7100" s="181"/>
      <c r="G7100" s="181"/>
      <c r="H7100" s="181"/>
      <c r="I7100" s="181"/>
      <c r="J7100" s="181"/>
      <c r="K7100" s="181"/>
      <c r="L7100" s="181"/>
      <c r="M7100" s="181"/>
      <c r="N7100" s="181"/>
      <c r="O7100" s="181"/>
      <c r="P7100" s="181"/>
    </row>
    <row r="7101">
      <c r="B7101" s="292"/>
      <c r="C7101" s="181"/>
      <c r="D7101" s="181"/>
      <c r="E7101" s="181"/>
      <c r="F7101" s="181"/>
      <c r="G7101" s="181"/>
      <c r="H7101" s="181"/>
      <c r="I7101" s="181"/>
      <c r="J7101" s="181"/>
      <c r="K7101" s="181"/>
      <c r="L7101" s="181"/>
      <c r="M7101" s="181"/>
      <c r="N7101" s="181"/>
      <c r="O7101" s="181"/>
      <c r="P7101" s="181"/>
    </row>
    <row r="7102">
      <c r="B7102" s="292"/>
      <c r="C7102" s="181"/>
      <c r="D7102" s="181"/>
      <c r="E7102" s="181"/>
      <c r="F7102" s="181"/>
      <c r="G7102" s="181"/>
      <c r="H7102" s="181"/>
      <c r="I7102" s="181"/>
      <c r="J7102" s="181"/>
      <c r="K7102" s="181"/>
      <c r="L7102" s="181"/>
      <c r="M7102" s="181"/>
      <c r="N7102" s="181"/>
      <c r="O7102" s="181"/>
      <c r="P7102" s="181"/>
    </row>
    <row r="7103">
      <c r="B7103" s="292"/>
      <c r="C7103" s="181"/>
      <c r="D7103" s="181"/>
      <c r="E7103" s="181"/>
      <c r="F7103" s="181"/>
      <c r="G7103" s="181"/>
      <c r="H7103" s="181"/>
      <c r="I7103" s="181"/>
      <c r="J7103" s="181"/>
      <c r="K7103" s="181"/>
      <c r="L7103" s="181"/>
      <c r="M7103" s="181"/>
      <c r="N7103" s="181"/>
      <c r="O7103" s="181"/>
      <c r="P7103" s="181"/>
    </row>
    <row r="7104">
      <c r="B7104" s="292"/>
      <c r="C7104" s="181"/>
      <c r="D7104" s="181"/>
      <c r="E7104" s="181"/>
      <c r="F7104" s="181"/>
      <c r="G7104" s="181"/>
      <c r="H7104" s="181"/>
      <c r="I7104" s="181"/>
      <c r="J7104" s="181"/>
      <c r="K7104" s="181"/>
      <c r="L7104" s="181"/>
      <c r="M7104" s="181"/>
      <c r="N7104" s="181"/>
      <c r="O7104" s="181"/>
      <c r="P7104" s="181"/>
    </row>
    <row r="7105">
      <c r="B7105" s="292"/>
      <c r="C7105" s="181"/>
      <c r="D7105" s="181"/>
      <c r="E7105" s="181"/>
      <c r="F7105" s="181"/>
      <c r="G7105" s="181"/>
      <c r="H7105" s="181"/>
      <c r="I7105" s="181"/>
      <c r="J7105" s="181"/>
      <c r="K7105" s="181"/>
      <c r="L7105" s="181"/>
      <c r="M7105" s="181"/>
      <c r="N7105" s="181"/>
      <c r="O7105" s="181"/>
      <c r="P7105" s="181"/>
    </row>
    <row r="7106">
      <c r="B7106" s="292"/>
      <c r="C7106" s="181"/>
      <c r="D7106" s="181"/>
      <c r="E7106" s="181"/>
      <c r="F7106" s="181"/>
      <c r="G7106" s="181"/>
      <c r="H7106" s="181"/>
      <c r="I7106" s="181"/>
      <c r="J7106" s="181"/>
      <c r="K7106" s="181"/>
      <c r="L7106" s="181"/>
      <c r="M7106" s="181"/>
      <c r="N7106" s="181"/>
      <c r="O7106" s="181"/>
      <c r="P7106" s="181"/>
    </row>
    <row r="7107">
      <c r="B7107" s="292"/>
      <c r="C7107" s="181"/>
      <c r="D7107" s="181"/>
      <c r="E7107" s="181"/>
      <c r="F7107" s="181"/>
      <c r="G7107" s="181"/>
      <c r="H7107" s="181"/>
      <c r="I7107" s="181"/>
      <c r="J7107" s="181"/>
      <c r="K7107" s="181"/>
      <c r="L7107" s="181"/>
      <c r="M7107" s="181"/>
      <c r="N7107" s="181"/>
      <c r="O7107" s="181"/>
      <c r="P7107" s="181"/>
    </row>
    <row r="7108">
      <c r="B7108" s="292"/>
      <c r="C7108" s="181"/>
      <c r="D7108" s="181"/>
      <c r="E7108" s="181"/>
      <c r="F7108" s="181"/>
      <c r="G7108" s="181"/>
      <c r="H7108" s="181"/>
      <c r="I7108" s="181"/>
      <c r="J7108" s="181"/>
      <c r="K7108" s="181"/>
      <c r="L7108" s="181"/>
      <c r="M7108" s="181"/>
      <c r="N7108" s="181"/>
      <c r="O7108" s="181"/>
      <c r="P7108" s="181"/>
    </row>
    <row r="7109">
      <c r="B7109" s="292"/>
      <c r="C7109" s="181"/>
      <c r="D7109" s="181"/>
      <c r="E7109" s="181"/>
      <c r="F7109" s="181"/>
      <c r="G7109" s="181"/>
      <c r="H7109" s="181"/>
      <c r="I7109" s="181"/>
      <c r="J7109" s="181"/>
      <c r="K7109" s="181"/>
      <c r="L7109" s="181"/>
      <c r="M7109" s="181"/>
      <c r="N7109" s="181"/>
      <c r="O7109" s="181"/>
      <c r="P7109" s="181"/>
    </row>
    <row r="7110">
      <c r="B7110" s="292"/>
      <c r="C7110" s="181"/>
      <c r="D7110" s="181"/>
      <c r="E7110" s="181"/>
      <c r="F7110" s="181"/>
      <c r="G7110" s="181"/>
      <c r="H7110" s="181"/>
      <c r="I7110" s="181"/>
      <c r="J7110" s="181"/>
      <c r="K7110" s="181"/>
      <c r="L7110" s="181"/>
      <c r="M7110" s="181"/>
      <c r="N7110" s="181"/>
      <c r="O7110" s="181"/>
      <c r="P7110" s="181"/>
    </row>
    <row r="7111">
      <c r="B7111" s="292"/>
      <c r="C7111" s="181"/>
      <c r="D7111" s="181"/>
      <c r="E7111" s="181"/>
      <c r="F7111" s="181"/>
      <c r="G7111" s="181"/>
      <c r="H7111" s="181"/>
      <c r="I7111" s="181"/>
      <c r="J7111" s="181"/>
      <c r="K7111" s="181"/>
      <c r="L7111" s="181"/>
      <c r="M7111" s="181"/>
      <c r="N7111" s="181"/>
      <c r="O7111" s="181"/>
      <c r="P7111" s="181"/>
    </row>
    <row r="7112">
      <c r="B7112" s="292"/>
      <c r="C7112" s="181"/>
      <c r="D7112" s="181"/>
      <c r="E7112" s="181"/>
      <c r="F7112" s="181"/>
      <c r="G7112" s="181"/>
      <c r="H7112" s="181"/>
      <c r="I7112" s="181"/>
      <c r="J7112" s="181"/>
      <c r="K7112" s="181"/>
      <c r="L7112" s="181"/>
      <c r="M7112" s="181"/>
      <c r="N7112" s="181"/>
      <c r="O7112" s="181"/>
      <c r="P7112" s="181"/>
    </row>
    <row r="7113">
      <c r="B7113" s="292"/>
      <c r="C7113" s="181"/>
      <c r="D7113" s="181"/>
      <c r="E7113" s="181"/>
      <c r="F7113" s="181"/>
      <c r="G7113" s="181"/>
      <c r="H7113" s="181"/>
      <c r="I7113" s="181"/>
      <c r="J7113" s="181"/>
      <c r="K7113" s="181"/>
      <c r="L7113" s="181"/>
      <c r="M7113" s="181"/>
      <c r="N7113" s="181"/>
      <c r="O7113" s="181"/>
      <c r="P7113" s="181"/>
    </row>
    <row r="7114">
      <c r="B7114" s="292"/>
      <c r="C7114" s="181"/>
      <c r="D7114" s="181"/>
      <c r="E7114" s="181"/>
      <c r="F7114" s="181"/>
      <c r="G7114" s="181"/>
      <c r="H7114" s="181"/>
      <c r="I7114" s="181"/>
      <c r="J7114" s="181"/>
      <c r="K7114" s="181"/>
      <c r="L7114" s="181"/>
      <c r="M7114" s="181"/>
      <c r="N7114" s="181"/>
      <c r="O7114" s="181"/>
      <c r="P7114" s="181"/>
    </row>
    <row r="7115">
      <c r="B7115" s="292"/>
      <c r="C7115" s="181"/>
      <c r="D7115" s="181"/>
      <c r="E7115" s="181"/>
      <c r="F7115" s="181"/>
      <c r="G7115" s="181"/>
      <c r="H7115" s="181"/>
      <c r="I7115" s="181"/>
      <c r="J7115" s="181"/>
      <c r="K7115" s="181"/>
      <c r="L7115" s="181"/>
      <c r="M7115" s="181"/>
      <c r="N7115" s="181"/>
      <c r="O7115" s="181"/>
      <c r="P7115" s="181"/>
    </row>
    <row r="7116">
      <c r="B7116" s="292"/>
      <c r="C7116" s="181"/>
      <c r="D7116" s="181"/>
      <c r="E7116" s="181"/>
      <c r="F7116" s="181"/>
      <c r="G7116" s="181"/>
      <c r="H7116" s="181"/>
      <c r="I7116" s="181"/>
      <c r="J7116" s="181"/>
      <c r="K7116" s="181"/>
      <c r="L7116" s="181"/>
      <c r="M7116" s="181"/>
      <c r="N7116" s="181"/>
      <c r="O7116" s="181"/>
      <c r="P7116" s="181"/>
    </row>
    <row r="7117">
      <c r="B7117" s="292"/>
      <c r="C7117" s="181"/>
      <c r="D7117" s="181"/>
      <c r="E7117" s="181"/>
      <c r="F7117" s="181"/>
      <c r="G7117" s="181"/>
      <c r="H7117" s="181"/>
      <c r="I7117" s="181"/>
      <c r="J7117" s="181"/>
      <c r="K7117" s="181"/>
      <c r="L7117" s="181"/>
      <c r="M7117" s="181"/>
      <c r="N7117" s="181"/>
      <c r="O7117" s="181"/>
      <c r="P7117" s="181"/>
    </row>
    <row r="7118">
      <c r="B7118" s="292"/>
      <c r="C7118" s="181"/>
      <c r="D7118" s="181"/>
      <c r="E7118" s="181"/>
      <c r="F7118" s="181"/>
      <c r="G7118" s="181"/>
      <c r="H7118" s="181"/>
      <c r="I7118" s="181"/>
      <c r="J7118" s="181"/>
      <c r="K7118" s="181"/>
      <c r="L7118" s="181"/>
      <c r="M7118" s="181"/>
      <c r="N7118" s="181"/>
      <c r="O7118" s="181"/>
      <c r="P7118" s="181"/>
    </row>
    <row r="7119">
      <c r="B7119" s="292"/>
      <c r="C7119" s="181"/>
      <c r="D7119" s="181"/>
      <c r="E7119" s="181"/>
      <c r="F7119" s="181"/>
      <c r="G7119" s="181"/>
      <c r="H7119" s="181"/>
      <c r="I7119" s="181"/>
      <c r="J7119" s="181"/>
      <c r="K7119" s="181"/>
      <c r="L7119" s="181"/>
      <c r="M7119" s="181"/>
      <c r="N7119" s="181"/>
      <c r="O7119" s="181"/>
      <c r="P7119" s="181"/>
    </row>
    <row r="7120">
      <c r="B7120" s="292"/>
      <c r="C7120" s="181"/>
      <c r="D7120" s="181"/>
      <c r="E7120" s="181"/>
      <c r="F7120" s="181"/>
      <c r="G7120" s="181"/>
      <c r="H7120" s="181"/>
      <c r="I7120" s="181"/>
      <c r="J7120" s="181"/>
      <c r="K7120" s="181"/>
      <c r="L7120" s="181"/>
      <c r="M7120" s="181"/>
      <c r="N7120" s="181"/>
      <c r="O7120" s="181"/>
      <c r="P7120" s="181"/>
    </row>
    <row r="7121">
      <c r="B7121" s="292"/>
      <c r="C7121" s="181"/>
      <c r="D7121" s="181"/>
      <c r="E7121" s="181"/>
      <c r="F7121" s="181"/>
      <c r="G7121" s="181"/>
      <c r="H7121" s="181"/>
      <c r="I7121" s="181"/>
      <c r="J7121" s="181"/>
      <c r="K7121" s="181"/>
      <c r="L7121" s="181"/>
      <c r="M7121" s="181"/>
      <c r="N7121" s="181"/>
      <c r="O7121" s="181"/>
      <c r="P7121" s="181"/>
    </row>
    <row r="7122">
      <c r="B7122" s="292"/>
      <c r="C7122" s="181"/>
      <c r="D7122" s="181"/>
      <c r="E7122" s="181"/>
      <c r="F7122" s="181"/>
      <c r="G7122" s="181"/>
      <c r="H7122" s="181"/>
      <c r="I7122" s="181"/>
      <c r="J7122" s="181"/>
      <c r="K7122" s="181"/>
      <c r="L7122" s="181"/>
      <c r="M7122" s="181"/>
      <c r="N7122" s="181"/>
      <c r="O7122" s="181"/>
      <c r="P7122" s="181"/>
    </row>
    <row r="7123">
      <c r="B7123" s="292"/>
      <c r="C7123" s="181"/>
      <c r="D7123" s="181"/>
      <c r="E7123" s="181"/>
      <c r="F7123" s="181"/>
      <c r="G7123" s="181"/>
      <c r="H7123" s="181"/>
      <c r="I7123" s="181"/>
      <c r="J7123" s="181"/>
      <c r="K7123" s="181"/>
      <c r="L7123" s="181"/>
      <c r="M7123" s="181"/>
      <c r="N7123" s="181"/>
      <c r="O7123" s="181"/>
      <c r="P7123" s="181"/>
    </row>
    <row r="7124">
      <c r="B7124" s="292"/>
      <c r="C7124" s="181"/>
      <c r="D7124" s="181"/>
      <c r="E7124" s="181"/>
      <c r="F7124" s="181"/>
      <c r="G7124" s="181"/>
      <c r="H7124" s="181"/>
      <c r="I7124" s="181"/>
      <c r="J7124" s="181"/>
      <c r="K7124" s="181"/>
      <c r="L7124" s="181"/>
      <c r="M7124" s="181"/>
      <c r="N7124" s="181"/>
      <c r="O7124" s="181"/>
      <c r="P7124" s="181"/>
    </row>
    <row r="7125">
      <c r="B7125" s="292"/>
      <c r="C7125" s="181"/>
      <c r="D7125" s="181"/>
      <c r="E7125" s="181"/>
      <c r="F7125" s="181"/>
      <c r="G7125" s="181"/>
      <c r="H7125" s="181"/>
      <c r="I7125" s="181"/>
      <c r="J7125" s="181"/>
      <c r="K7125" s="181"/>
      <c r="L7125" s="181"/>
      <c r="M7125" s="181"/>
      <c r="N7125" s="181"/>
      <c r="O7125" s="181"/>
      <c r="P7125" s="181"/>
    </row>
    <row r="7126">
      <c r="B7126" s="292"/>
      <c r="C7126" s="181"/>
      <c r="D7126" s="181"/>
      <c r="E7126" s="181"/>
      <c r="F7126" s="181"/>
      <c r="G7126" s="181"/>
      <c r="H7126" s="181"/>
      <c r="I7126" s="181"/>
      <c r="J7126" s="181"/>
      <c r="K7126" s="181"/>
      <c r="L7126" s="181"/>
      <c r="M7126" s="181"/>
      <c r="N7126" s="181"/>
      <c r="O7126" s="181"/>
      <c r="P7126" s="181"/>
    </row>
    <row r="7127">
      <c r="B7127" s="292"/>
      <c r="C7127" s="181"/>
      <c r="D7127" s="181"/>
      <c r="E7127" s="181"/>
      <c r="F7127" s="181"/>
      <c r="G7127" s="181"/>
      <c r="H7127" s="181"/>
      <c r="I7127" s="181"/>
      <c r="J7127" s="181"/>
      <c r="K7127" s="181"/>
      <c r="L7127" s="181"/>
      <c r="M7127" s="181"/>
      <c r="N7127" s="181"/>
      <c r="O7127" s="181"/>
      <c r="P7127" s="181"/>
    </row>
    <row r="7128">
      <c r="B7128" s="292"/>
      <c r="C7128" s="181"/>
      <c r="D7128" s="181"/>
      <c r="E7128" s="181"/>
      <c r="F7128" s="181"/>
      <c r="G7128" s="181"/>
      <c r="H7128" s="181"/>
      <c r="I7128" s="181"/>
      <c r="J7128" s="181"/>
      <c r="K7128" s="181"/>
      <c r="L7128" s="181"/>
      <c r="M7128" s="181"/>
      <c r="N7128" s="181"/>
      <c r="O7128" s="181"/>
      <c r="P7128" s="181"/>
    </row>
    <row r="7129">
      <c r="B7129" s="292"/>
      <c r="C7129" s="181"/>
      <c r="D7129" s="181"/>
      <c r="E7129" s="181"/>
      <c r="F7129" s="181"/>
      <c r="G7129" s="181"/>
      <c r="H7129" s="181"/>
      <c r="I7129" s="181"/>
      <c r="J7129" s="181"/>
      <c r="K7129" s="181"/>
      <c r="L7129" s="181"/>
      <c r="M7129" s="181"/>
      <c r="N7129" s="181"/>
      <c r="O7129" s="181"/>
      <c r="P7129" s="181"/>
    </row>
    <row r="7130">
      <c r="B7130" s="292"/>
      <c r="C7130" s="181"/>
      <c r="D7130" s="181"/>
      <c r="E7130" s="181"/>
      <c r="F7130" s="181"/>
      <c r="G7130" s="181"/>
      <c r="H7130" s="181"/>
      <c r="I7130" s="181"/>
      <c r="J7130" s="181"/>
      <c r="K7130" s="181"/>
      <c r="L7130" s="181"/>
      <c r="M7130" s="181"/>
      <c r="N7130" s="181"/>
      <c r="O7130" s="181"/>
      <c r="P7130" s="181"/>
    </row>
    <row r="7131">
      <c r="B7131" s="292"/>
      <c r="C7131" s="181"/>
      <c r="D7131" s="181"/>
      <c r="E7131" s="181"/>
      <c r="F7131" s="181"/>
      <c r="G7131" s="181"/>
      <c r="H7131" s="181"/>
      <c r="I7131" s="181"/>
      <c r="J7131" s="181"/>
      <c r="K7131" s="181"/>
      <c r="L7131" s="181"/>
      <c r="M7131" s="181"/>
      <c r="N7131" s="181"/>
      <c r="O7131" s="181"/>
      <c r="P7131" s="181"/>
    </row>
    <row r="7132">
      <c r="B7132" s="292"/>
      <c r="C7132" s="181"/>
      <c r="D7132" s="181"/>
      <c r="E7132" s="181"/>
      <c r="F7132" s="181"/>
      <c r="G7132" s="181"/>
      <c r="H7132" s="181"/>
      <c r="I7132" s="181"/>
      <c r="J7132" s="181"/>
      <c r="K7132" s="181"/>
      <c r="L7132" s="181"/>
      <c r="M7132" s="181"/>
      <c r="N7132" s="181"/>
      <c r="O7132" s="181"/>
      <c r="P7132" s="181"/>
    </row>
    <row r="7133">
      <c r="B7133" s="292"/>
      <c r="C7133" s="181"/>
      <c r="D7133" s="181"/>
      <c r="E7133" s="181"/>
      <c r="F7133" s="181"/>
      <c r="G7133" s="181"/>
      <c r="H7133" s="181"/>
      <c r="I7133" s="181"/>
      <c r="J7133" s="181"/>
      <c r="K7133" s="181"/>
      <c r="L7133" s="181"/>
      <c r="M7133" s="181"/>
      <c r="N7133" s="181"/>
      <c r="O7133" s="181"/>
      <c r="P7133" s="181"/>
    </row>
    <row r="7134">
      <c r="B7134" s="292"/>
      <c r="C7134" s="181"/>
      <c r="D7134" s="181"/>
      <c r="E7134" s="181"/>
      <c r="F7134" s="181"/>
      <c r="G7134" s="181"/>
      <c r="H7134" s="181"/>
      <c r="I7134" s="181"/>
      <c r="J7134" s="181"/>
      <c r="K7134" s="181"/>
      <c r="L7134" s="181"/>
      <c r="M7134" s="181"/>
      <c r="N7134" s="181"/>
      <c r="O7134" s="181"/>
      <c r="P7134" s="181"/>
    </row>
    <row r="7135">
      <c r="B7135" s="292"/>
      <c r="C7135" s="181"/>
      <c r="D7135" s="181"/>
      <c r="E7135" s="181"/>
      <c r="F7135" s="181"/>
      <c r="G7135" s="181"/>
      <c r="H7135" s="181"/>
      <c r="I7135" s="181"/>
      <c r="J7135" s="181"/>
      <c r="K7135" s="181"/>
      <c r="L7135" s="181"/>
      <c r="M7135" s="181"/>
      <c r="N7135" s="181"/>
      <c r="O7135" s="181"/>
      <c r="P7135" s="181"/>
    </row>
    <row r="7136">
      <c r="B7136" s="292"/>
      <c r="C7136" s="181"/>
      <c r="D7136" s="181"/>
      <c r="E7136" s="181"/>
      <c r="F7136" s="181"/>
      <c r="G7136" s="181"/>
      <c r="H7136" s="181"/>
      <c r="I7136" s="181"/>
      <c r="J7136" s="181"/>
      <c r="K7136" s="181"/>
      <c r="L7136" s="181"/>
      <c r="M7136" s="181"/>
      <c r="N7136" s="181"/>
      <c r="O7136" s="181"/>
      <c r="P7136" s="181"/>
    </row>
    <row r="7137">
      <c r="B7137" s="292"/>
      <c r="C7137" s="181"/>
      <c r="D7137" s="181"/>
      <c r="E7137" s="181"/>
      <c r="F7137" s="181"/>
      <c r="G7137" s="181"/>
      <c r="H7137" s="181"/>
      <c r="I7137" s="181"/>
      <c r="J7137" s="181"/>
      <c r="K7137" s="181"/>
      <c r="L7137" s="181"/>
      <c r="M7137" s="181"/>
      <c r="N7137" s="181"/>
      <c r="O7137" s="181"/>
      <c r="P7137" s="181"/>
    </row>
    <row r="7138">
      <c r="B7138" s="292"/>
      <c r="C7138" s="181"/>
      <c r="D7138" s="181"/>
      <c r="E7138" s="181"/>
      <c r="F7138" s="181"/>
      <c r="G7138" s="181"/>
      <c r="H7138" s="181"/>
      <c r="I7138" s="181"/>
      <c r="J7138" s="181"/>
      <c r="K7138" s="181"/>
      <c r="L7138" s="181"/>
      <c r="M7138" s="181"/>
      <c r="N7138" s="181"/>
      <c r="O7138" s="181"/>
      <c r="P7138" s="181"/>
    </row>
    <row r="7139">
      <c r="B7139" s="292"/>
      <c r="C7139" s="181"/>
      <c r="D7139" s="181"/>
      <c r="E7139" s="181"/>
      <c r="F7139" s="181"/>
      <c r="G7139" s="181"/>
      <c r="H7139" s="181"/>
      <c r="I7139" s="181"/>
      <c r="J7139" s="181"/>
      <c r="K7139" s="181"/>
      <c r="L7139" s="181"/>
      <c r="M7139" s="181"/>
      <c r="N7139" s="181"/>
      <c r="O7139" s="181"/>
      <c r="P7139" s="181"/>
    </row>
    <row r="7140">
      <c r="B7140" s="292"/>
      <c r="C7140" s="181"/>
      <c r="D7140" s="181"/>
      <c r="E7140" s="181"/>
      <c r="F7140" s="181"/>
      <c r="G7140" s="181"/>
      <c r="H7140" s="181"/>
      <c r="I7140" s="181"/>
      <c r="J7140" s="181"/>
      <c r="K7140" s="181"/>
      <c r="L7140" s="181"/>
      <c r="M7140" s="181"/>
      <c r="N7140" s="181"/>
      <c r="O7140" s="181"/>
      <c r="P7140" s="181"/>
    </row>
    <row r="7141">
      <c r="B7141" s="292"/>
      <c r="C7141" s="181"/>
      <c r="D7141" s="181"/>
      <c r="E7141" s="181"/>
      <c r="F7141" s="181"/>
      <c r="G7141" s="181"/>
      <c r="H7141" s="181"/>
      <c r="I7141" s="181"/>
      <c r="J7141" s="181"/>
      <c r="K7141" s="181"/>
      <c r="L7141" s="181"/>
      <c r="M7141" s="181"/>
      <c r="N7141" s="181"/>
      <c r="O7141" s="181"/>
      <c r="P7141" s="181"/>
    </row>
    <row r="7142">
      <c r="B7142" s="292"/>
      <c r="C7142" s="181"/>
      <c r="D7142" s="181"/>
      <c r="E7142" s="181"/>
      <c r="F7142" s="181"/>
      <c r="G7142" s="181"/>
      <c r="H7142" s="181"/>
      <c r="I7142" s="181"/>
      <c r="J7142" s="181"/>
      <c r="K7142" s="181"/>
      <c r="L7142" s="181"/>
      <c r="M7142" s="181"/>
      <c r="N7142" s="181"/>
      <c r="O7142" s="181"/>
      <c r="P7142" s="181"/>
    </row>
    <row r="7143">
      <c r="B7143" s="292"/>
      <c r="C7143" s="181"/>
      <c r="D7143" s="181"/>
      <c r="E7143" s="181"/>
      <c r="F7143" s="181"/>
      <c r="G7143" s="181"/>
      <c r="H7143" s="181"/>
      <c r="I7143" s="181"/>
      <c r="J7143" s="181"/>
      <c r="K7143" s="181"/>
      <c r="L7143" s="181"/>
      <c r="M7143" s="181"/>
      <c r="N7143" s="181"/>
      <c r="O7143" s="181"/>
      <c r="P7143" s="181"/>
    </row>
    <row r="7144">
      <c r="B7144" s="292"/>
      <c r="C7144" s="181"/>
      <c r="D7144" s="181"/>
      <c r="E7144" s="181"/>
      <c r="F7144" s="181"/>
      <c r="G7144" s="181"/>
      <c r="H7144" s="181"/>
      <c r="I7144" s="181"/>
      <c r="J7144" s="181"/>
      <c r="K7144" s="181"/>
      <c r="L7144" s="181"/>
      <c r="M7144" s="181"/>
      <c r="N7144" s="181"/>
      <c r="O7144" s="181"/>
      <c r="P7144" s="181"/>
    </row>
    <row r="7145">
      <c r="B7145" s="292"/>
      <c r="C7145" s="181"/>
      <c r="D7145" s="181"/>
      <c r="E7145" s="181"/>
      <c r="F7145" s="181"/>
      <c r="G7145" s="181"/>
      <c r="H7145" s="181"/>
      <c r="I7145" s="181"/>
      <c r="J7145" s="181"/>
      <c r="K7145" s="181"/>
      <c r="L7145" s="181"/>
      <c r="M7145" s="181"/>
      <c r="N7145" s="181"/>
      <c r="O7145" s="181"/>
      <c r="P7145" s="181"/>
    </row>
    <row r="7146">
      <c r="B7146" s="292"/>
      <c r="C7146" s="181"/>
      <c r="D7146" s="181"/>
      <c r="E7146" s="181"/>
      <c r="F7146" s="181"/>
      <c r="G7146" s="181"/>
      <c r="H7146" s="181"/>
      <c r="I7146" s="181"/>
      <c r="J7146" s="181"/>
      <c r="K7146" s="181"/>
      <c r="L7146" s="181"/>
      <c r="M7146" s="181"/>
      <c r="N7146" s="181"/>
      <c r="O7146" s="181"/>
      <c r="P7146" s="181"/>
    </row>
    <row r="7147">
      <c r="B7147" s="292"/>
      <c r="C7147" s="181"/>
      <c r="D7147" s="181"/>
      <c r="E7147" s="181"/>
      <c r="F7147" s="181"/>
      <c r="G7147" s="181"/>
      <c r="H7147" s="181"/>
      <c r="I7147" s="181"/>
      <c r="J7147" s="181"/>
      <c r="K7147" s="181"/>
      <c r="L7147" s="181"/>
      <c r="M7147" s="181"/>
      <c r="N7147" s="181"/>
      <c r="O7147" s="181"/>
      <c r="P7147" s="181"/>
    </row>
    <row r="7148">
      <c r="B7148" s="292"/>
      <c r="C7148" s="181"/>
      <c r="D7148" s="181"/>
      <c r="E7148" s="181"/>
      <c r="F7148" s="181"/>
      <c r="G7148" s="181"/>
      <c r="H7148" s="181"/>
      <c r="I7148" s="181"/>
      <c r="J7148" s="181"/>
      <c r="K7148" s="181"/>
      <c r="L7148" s="181"/>
      <c r="M7148" s="181"/>
      <c r="N7148" s="181"/>
      <c r="O7148" s="181"/>
      <c r="P7148" s="181"/>
    </row>
    <row r="7149">
      <c r="B7149" s="292"/>
      <c r="C7149" s="181"/>
      <c r="D7149" s="181"/>
      <c r="E7149" s="181"/>
      <c r="F7149" s="181"/>
      <c r="G7149" s="181"/>
      <c r="H7149" s="181"/>
      <c r="I7149" s="181"/>
      <c r="J7149" s="181"/>
      <c r="K7149" s="181"/>
      <c r="L7149" s="181"/>
      <c r="M7149" s="181"/>
      <c r="N7149" s="181"/>
      <c r="O7149" s="181"/>
      <c r="P7149" s="181"/>
    </row>
    <row r="7150">
      <c r="B7150" s="292"/>
      <c r="C7150" s="181"/>
      <c r="D7150" s="181"/>
      <c r="E7150" s="181"/>
      <c r="F7150" s="181"/>
      <c r="G7150" s="181"/>
      <c r="H7150" s="181"/>
      <c r="I7150" s="181"/>
      <c r="J7150" s="181"/>
      <c r="K7150" s="181"/>
      <c r="L7150" s="181"/>
      <c r="M7150" s="181"/>
      <c r="N7150" s="181"/>
      <c r="O7150" s="181"/>
      <c r="P7150" s="181"/>
    </row>
    <row r="7151">
      <c r="B7151" s="292"/>
      <c r="C7151" s="181"/>
      <c r="D7151" s="181"/>
      <c r="E7151" s="181"/>
      <c r="F7151" s="181"/>
      <c r="G7151" s="181"/>
      <c r="H7151" s="181"/>
      <c r="I7151" s="181"/>
      <c r="J7151" s="181"/>
      <c r="K7151" s="181"/>
      <c r="L7151" s="181"/>
      <c r="M7151" s="181"/>
      <c r="N7151" s="181"/>
      <c r="O7151" s="181"/>
      <c r="P7151" s="181"/>
    </row>
    <row r="7152">
      <c r="B7152" s="292"/>
      <c r="C7152" s="181"/>
      <c r="D7152" s="181"/>
      <c r="E7152" s="181"/>
      <c r="F7152" s="181"/>
      <c r="G7152" s="181"/>
      <c r="H7152" s="181"/>
      <c r="I7152" s="181"/>
      <c r="J7152" s="181"/>
      <c r="K7152" s="181"/>
      <c r="L7152" s="181"/>
      <c r="M7152" s="181"/>
      <c r="N7152" s="181"/>
      <c r="O7152" s="181"/>
      <c r="P7152" s="181"/>
    </row>
    <row r="7153">
      <c r="B7153" s="292"/>
      <c r="C7153" s="181"/>
      <c r="D7153" s="181"/>
      <c r="E7153" s="181"/>
      <c r="F7153" s="181"/>
      <c r="G7153" s="181"/>
      <c r="H7153" s="181"/>
      <c r="I7153" s="181"/>
      <c r="J7153" s="181"/>
      <c r="K7153" s="181"/>
      <c r="L7153" s="181"/>
      <c r="M7153" s="181"/>
      <c r="N7153" s="181"/>
      <c r="O7153" s="181"/>
      <c r="P7153" s="181"/>
    </row>
    <row r="7154">
      <c r="B7154" s="292"/>
      <c r="C7154" s="181"/>
      <c r="D7154" s="181"/>
      <c r="E7154" s="181"/>
      <c r="F7154" s="181"/>
      <c r="G7154" s="181"/>
      <c r="H7154" s="181"/>
      <c r="I7154" s="181"/>
      <c r="J7154" s="181"/>
      <c r="K7154" s="181"/>
      <c r="L7154" s="181"/>
      <c r="M7154" s="181"/>
      <c r="N7154" s="181"/>
      <c r="O7154" s="181"/>
      <c r="P7154" s="181"/>
    </row>
    <row r="7155">
      <c r="B7155" s="292"/>
      <c r="C7155" s="181"/>
      <c r="D7155" s="181"/>
      <c r="E7155" s="181"/>
      <c r="F7155" s="181"/>
      <c r="G7155" s="181"/>
      <c r="H7155" s="181"/>
      <c r="I7155" s="181"/>
      <c r="J7155" s="181"/>
      <c r="K7155" s="181"/>
      <c r="L7155" s="181"/>
      <c r="M7155" s="181"/>
      <c r="N7155" s="181"/>
      <c r="O7155" s="181"/>
      <c r="P7155" s="181"/>
    </row>
    <row r="7156">
      <c r="B7156" s="292"/>
      <c r="C7156" s="181"/>
      <c r="D7156" s="181"/>
      <c r="E7156" s="181"/>
      <c r="F7156" s="181"/>
      <c r="G7156" s="181"/>
      <c r="H7156" s="181"/>
      <c r="I7156" s="181"/>
      <c r="J7156" s="181"/>
      <c r="K7156" s="181"/>
      <c r="L7156" s="181"/>
      <c r="M7156" s="181"/>
      <c r="N7156" s="181"/>
      <c r="O7156" s="181"/>
      <c r="P7156" s="181"/>
    </row>
    <row r="7157">
      <c r="B7157" s="292"/>
      <c r="C7157" s="181"/>
      <c r="D7157" s="181"/>
      <c r="E7157" s="181"/>
      <c r="F7157" s="181"/>
      <c r="G7157" s="181"/>
      <c r="H7157" s="181"/>
      <c r="I7157" s="181"/>
      <c r="J7157" s="181"/>
      <c r="K7157" s="181"/>
      <c r="L7157" s="181"/>
      <c r="M7157" s="181"/>
      <c r="N7157" s="181"/>
      <c r="O7157" s="181"/>
      <c r="P7157" s="181"/>
    </row>
    <row r="7158">
      <c r="B7158" s="292"/>
      <c r="C7158" s="181"/>
      <c r="D7158" s="181"/>
      <c r="E7158" s="181"/>
      <c r="F7158" s="181"/>
      <c r="G7158" s="181"/>
      <c r="H7158" s="181"/>
      <c r="I7158" s="181"/>
      <c r="J7158" s="181"/>
      <c r="K7158" s="181"/>
      <c r="L7158" s="181"/>
      <c r="M7158" s="181"/>
      <c r="N7158" s="181"/>
      <c r="O7158" s="181"/>
      <c r="P7158" s="181"/>
    </row>
    <row r="7159">
      <c r="B7159" s="292"/>
      <c r="C7159" s="181"/>
      <c r="D7159" s="181"/>
      <c r="E7159" s="181"/>
      <c r="F7159" s="181"/>
      <c r="G7159" s="181"/>
      <c r="H7159" s="181"/>
      <c r="I7159" s="181"/>
      <c r="J7159" s="181"/>
      <c r="K7159" s="181"/>
      <c r="L7159" s="181"/>
      <c r="M7159" s="181"/>
      <c r="N7159" s="181"/>
      <c r="O7159" s="181"/>
      <c r="P7159" s="181"/>
    </row>
    <row r="7160">
      <c r="B7160" s="292"/>
      <c r="C7160" s="181"/>
      <c r="D7160" s="181"/>
      <c r="E7160" s="181"/>
      <c r="F7160" s="181"/>
      <c r="G7160" s="181"/>
      <c r="H7160" s="181"/>
      <c r="I7160" s="181"/>
      <c r="J7160" s="181"/>
      <c r="K7160" s="181"/>
      <c r="L7160" s="181"/>
      <c r="M7160" s="181"/>
      <c r="N7160" s="181"/>
      <c r="O7160" s="181"/>
      <c r="P7160" s="181"/>
    </row>
    <row r="7161">
      <c r="B7161" s="292"/>
      <c r="C7161" s="181"/>
      <c r="D7161" s="181"/>
      <c r="E7161" s="181"/>
      <c r="F7161" s="181"/>
      <c r="G7161" s="181"/>
      <c r="H7161" s="181"/>
      <c r="I7161" s="181"/>
      <c r="J7161" s="181"/>
      <c r="K7161" s="181"/>
      <c r="L7161" s="181"/>
      <c r="M7161" s="181"/>
      <c r="N7161" s="181"/>
      <c r="O7161" s="181"/>
      <c r="P7161" s="181"/>
    </row>
    <row r="7162">
      <c r="B7162" s="292"/>
      <c r="C7162" s="181"/>
      <c r="D7162" s="181"/>
      <c r="E7162" s="181"/>
      <c r="F7162" s="181"/>
      <c r="G7162" s="181"/>
      <c r="H7162" s="181"/>
      <c r="I7162" s="181"/>
      <c r="J7162" s="181"/>
      <c r="K7162" s="181"/>
      <c r="L7162" s="181"/>
      <c r="M7162" s="181"/>
      <c r="N7162" s="181"/>
      <c r="O7162" s="181"/>
      <c r="P7162" s="181"/>
    </row>
    <row r="7163">
      <c r="B7163" s="292"/>
      <c r="C7163" s="181"/>
      <c r="D7163" s="181"/>
      <c r="E7163" s="181"/>
      <c r="F7163" s="181"/>
      <c r="G7163" s="181"/>
      <c r="H7163" s="181"/>
      <c r="I7163" s="181"/>
      <c r="J7163" s="181"/>
      <c r="K7163" s="181"/>
      <c r="L7163" s="181"/>
      <c r="M7163" s="181"/>
      <c r="N7163" s="181"/>
      <c r="O7163" s="181"/>
      <c r="P7163" s="181"/>
    </row>
    <row r="7164">
      <c r="B7164" s="292"/>
      <c r="C7164" s="181"/>
      <c r="D7164" s="181"/>
      <c r="E7164" s="181"/>
      <c r="F7164" s="181"/>
      <c r="G7164" s="181"/>
      <c r="H7164" s="181"/>
      <c r="I7164" s="181"/>
      <c r="J7164" s="181"/>
      <c r="K7164" s="181"/>
      <c r="L7164" s="181"/>
      <c r="M7164" s="181"/>
      <c r="N7164" s="181"/>
      <c r="O7164" s="181"/>
      <c r="P7164" s="181"/>
    </row>
    <row r="7165">
      <c r="B7165" s="292"/>
      <c r="C7165" s="181"/>
      <c r="D7165" s="181"/>
      <c r="E7165" s="181"/>
      <c r="F7165" s="181"/>
      <c r="G7165" s="181"/>
      <c r="H7165" s="181"/>
      <c r="I7165" s="181"/>
      <c r="J7165" s="181"/>
      <c r="K7165" s="181"/>
      <c r="L7165" s="181"/>
      <c r="M7165" s="181"/>
      <c r="N7165" s="181"/>
      <c r="O7165" s="181"/>
      <c r="P7165" s="181"/>
    </row>
    <row r="7166">
      <c r="B7166" s="292"/>
      <c r="C7166" s="181"/>
      <c r="D7166" s="181"/>
      <c r="E7166" s="181"/>
      <c r="F7166" s="181"/>
      <c r="G7166" s="181"/>
      <c r="H7166" s="181"/>
      <c r="I7166" s="181"/>
      <c r="J7166" s="181"/>
      <c r="K7166" s="181"/>
      <c r="L7166" s="181"/>
      <c r="M7166" s="181"/>
      <c r="N7166" s="181"/>
      <c r="O7166" s="181"/>
      <c r="P7166" s="181"/>
    </row>
    <row r="7167">
      <c r="B7167" s="292"/>
      <c r="C7167" s="181"/>
      <c r="D7167" s="181"/>
      <c r="E7167" s="181"/>
      <c r="F7167" s="181"/>
      <c r="G7167" s="181"/>
      <c r="H7167" s="181"/>
      <c r="I7167" s="181"/>
      <c r="J7167" s="181"/>
      <c r="K7167" s="181"/>
      <c r="L7167" s="181"/>
      <c r="M7167" s="181"/>
      <c r="N7167" s="181"/>
      <c r="O7167" s="181"/>
      <c r="P7167" s="181"/>
    </row>
    <row r="7168">
      <c r="B7168" s="292"/>
      <c r="C7168" s="181"/>
      <c r="D7168" s="181"/>
      <c r="E7168" s="181"/>
      <c r="F7168" s="181"/>
      <c r="G7168" s="181"/>
      <c r="H7168" s="181"/>
      <c r="I7168" s="181"/>
      <c r="J7168" s="181"/>
      <c r="K7168" s="181"/>
      <c r="L7168" s="181"/>
      <c r="M7168" s="181"/>
      <c r="N7168" s="181"/>
      <c r="O7168" s="181"/>
      <c r="P7168" s="181"/>
    </row>
    <row r="7169">
      <c r="B7169" s="292"/>
      <c r="C7169" s="181"/>
      <c r="D7169" s="181"/>
      <c r="E7169" s="181"/>
      <c r="F7169" s="181"/>
      <c r="G7169" s="181"/>
      <c r="H7169" s="181"/>
      <c r="I7169" s="181"/>
      <c r="J7169" s="181"/>
      <c r="K7169" s="181"/>
      <c r="L7169" s="181"/>
      <c r="M7169" s="181"/>
      <c r="N7169" s="181"/>
      <c r="O7169" s="181"/>
      <c r="P7169" s="181"/>
    </row>
    <row r="7170">
      <c r="B7170" s="292"/>
      <c r="C7170" s="181"/>
      <c r="D7170" s="181"/>
      <c r="E7170" s="181"/>
      <c r="F7170" s="181"/>
      <c r="G7170" s="181"/>
      <c r="H7170" s="181"/>
      <c r="I7170" s="181"/>
      <c r="J7170" s="181"/>
      <c r="K7170" s="181"/>
      <c r="L7170" s="181"/>
      <c r="M7170" s="181"/>
      <c r="N7170" s="181"/>
      <c r="O7170" s="181"/>
      <c r="P7170" s="181"/>
    </row>
    <row r="7171">
      <c r="B7171" s="292"/>
      <c r="C7171" s="181"/>
      <c r="D7171" s="181"/>
      <c r="E7171" s="181"/>
      <c r="F7171" s="181"/>
      <c r="G7171" s="181"/>
      <c r="H7171" s="181"/>
      <c r="I7171" s="181"/>
      <c r="J7171" s="181"/>
      <c r="K7171" s="181"/>
      <c r="L7171" s="181"/>
      <c r="M7171" s="181"/>
      <c r="N7171" s="181"/>
      <c r="O7171" s="181"/>
      <c r="P7171" s="181"/>
    </row>
    <row r="7172">
      <c r="B7172" s="292"/>
      <c r="C7172" s="181"/>
      <c r="D7172" s="181"/>
      <c r="E7172" s="181"/>
      <c r="F7172" s="181"/>
      <c r="G7172" s="181"/>
      <c r="H7172" s="181"/>
      <c r="I7172" s="181"/>
      <c r="J7172" s="181"/>
      <c r="K7172" s="181"/>
      <c r="L7172" s="181"/>
      <c r="M7172" s="181"/>
      <c r="N7172" s="181"/>
      <c r="O7172" s="181"/>
      <c r="P7172" s="181"/>
    </row>
    <row r="7173">
      <c r="B7173" s="292"/>
      <c r="C7173" s="181"/>
      <c r="D7173" s="181"/>
      <c r="E7173" s="181"/>
      <c r="F7173" s="181"/>
      <c r="G7173" s="181"/>
      <c r="H7173" s="181"/>
      <c r="I7173" s="181"/>
      <c r="J7173" s="181"/>
      <c r="K7173" s="181"/>
      <c r="L7173" s="181"/>
      <c r="M7173" s="181"/>
      <c r="N7173" s="181"/>
      <c r="O7173" s="181"/>
      <c r="P7173" s="181"/>
    </row>
    <row r="7174">
      <c r="B7174" s="292"/>
      <c r="C7174" s="181"/>
      <c r="D7174" s="181"/>
      <c r="E7174" s="181"/>
      <c r="F7174" s="181"/>
      <c r="G7174" s="181"/>
      <c r="H7174" s="181"/>
      <c r="I7174" s="181"/>
      <c r="J7174" s="181"/>
      <c r="K7174" s="181"/>
      <c r="L7174" s="181"/>
      <c r="M7174" s="181"/>
      <c r="N7174" s="181"/>
      <c r="O7174" s="181"/>
      <c r="P7174" s="181"/>
    </row>
    <row r="7175">
      <c r="B7175" s="292"/>
      <c r="C7175" s="181"/>
      <c r="D7175" s="181"/>
      <c r="E7175" s="181"/>
      <c r="F7175" s="181"/>
      <c r="G7175" s="181"/>
      <c r="H7175" s="181"/>
      <c r="I7175" s="181"/>
      <c r="J7175" s="181"/>
      <c r="K7175" s="181"/>
      <c r="L7175" s="181"/>
      <c r="M7175" s="181"/>
      <c r="N7175" s="181"/>
      <c r="O7175" s="181"/>
      <c r="P7175" s="181"/>
    </row>
    <row r="7176">
      <c r="B7176" s="292"/>
      <c r="C7176" s="181"/>
      <c r="D7176" s="181"/>
      <c r="E7176" s="181"/>
      <c r="F7176" s="181"/>
      <c r="G7176" s="181"/>
      <c r="H7176" s="181"/>
      <c r="I7176" s="181"/>
      <c r="J7176" s="181"/>
      <c r="K7176" s="181"/>
      <c r="L7176" s="181"/>
      <c r="M7176" s="181"/>
      <c r="N7176" s="181"/>
      <c r="O7176" s="181"/>
      <c r="P7176" s="181"/>
    </row>
    <row r="7177">
      <c r="B7177" s="292"/>
      <c r="C7177" s="181"/>
      <c r="D7177" s="181"/>
      <c r="E7177" s="181"/>
      <c r="F7177" s="181"/>
      <c r="G7177" s="181"/>
      <c r="H7177" s="181"/>
      <c r="I7177" s="181"/>
      <c r="J7177" s="181"/>
      <c r="K7177" s="181"/>
      <c r="L7177" s="181"/>
      <c r="M7177" s="181"/>
      <c r="N7177" s="181"/>
      <c r="O7177" s="181"/>
      <c r="P7177" s="181"/>
    </row>
    <row r="7178">
      <c r="B7178" s="292"/>
      <c r="C7178" s="181"/>
      <c r="D7178" s="181"/>
      <c r="E7178" s="181"/>
      <c r="F7178" s="181"/>
      <c r="G7178" s="181"/>
      <c r="H7178" s="181"/>
      <c r="I7178" s="181"/>
      <c r="J7178" s="181"/>
      <c r="K7178" s="181"/>
      <c r="L7178" s="181"/>
      <c r="M7178" s="181"/>
      <c r="N7178" s="181"/>
      <c r="O7178" s="181"/>
      <c r="P7178" s="181"/>
    </row>
    <row r="7179">
      <c r="B7179" s="292"/>
      <c r="C7179" s="181"/>
      <c r="D7179" s="181"/>
      <c r="E7179" s="181"/>
      <c r="F7179" s="181"/>
      <c r="G7179" s="181"/>
      <c r="H7179" s="181"/>
      <c r="I7179" s="181"/>
      <c r="J7179" s="181"/>
      <c r="K7179" s="181"/>
      <c r="L7179" s="181"/>
      <c r="M7179" s="181"/>
      <c r="N7179" s="181"/>
      <c r="O7179" s="181"/>
      <c r="P7179" s="181"/>
    </row>
    <row r="7180">
      <c r="B7180" s="292"/>
      <c r="C7180" s="181"/>
      <c r="D7180" s="181"/>
      <c r="E7180" s="181"/>
      <c r="F7180" s="181"/>
      <c r="G7180" s="181"/>
      <c r="H7180" s="181"/>
      <c r="I7180" s="181"/>
      <c r="J7180" s="181"/>
      <c r="K7180" s="181"/>
      <c r="L7180" s="181"/>
      <c r="M7180" s="181"/>
      <c r="N7180" s="181"/>
      <c r="O7180" s="181"/>
      <c r="P7180" s="181"/>
    </row>
    <row r="7181">
      <c r="B7181" s="292"/>
      <c r="C7181" s="181"/>
      <c r="D7181" s="181"/>
      <c r="E7181" s="181"/>
      <c r="F7181" s="181"/>
      <c r="G7181" s="181"/>
      <c r="H7181" s="181"/>
      <c r="I7181" s="181"/>
      <c r="J7181" s="181"/>
      <c r="K7181" s="181"/>
      <c r="L7181" s="181"/>
      <c r="M7181" s="181"/>
      <c r="N7181" s="181"/>
      <c r="O7181" s="181"/>
      <c r="P7181" s="181"/>
    </row>
    <row r="7182">
      <c r="B7182" s="292"/>
      <c r="C7182" s="181"/>
      <c r="D7182" s="181"/>
      <c r="E7182" s="181"/>
      <c r="F7182" s="181"/>
      <c r="G7182" s="181"/>
      <c r="H7182" s="181"/>
      <c r="I7182" s="181"/>
      <c r="J7182" s="181"/>
      <c r="K7182" s="181"/>
      <c r="L7182" s="181"/>
      <c r="M7182" s="181"/>
      <c r="N7182" s="181"/>
      <c r="O7182" s="181"/>
      <c r="P7182" s="181"/>
    </row>
    <row r="7183">
      <c r="B7183" s="292"/>
      <c r="C7183" s="181"/>
      <c r="D7183" s="181"/>
      <c r="E7183" s="181"/>
      <c r="F7183" s="181"/>
      <c r="G7183" s="181"/>
      <c r="H7183" s="181"/>
      <c r="I7183" s="181"/>
      <c r="J7183" s="181"/>
      <c r="K7183" s="181"/>
      <c r="L7183" s="181"/>
      <c r="M7183" s="181"/>
      <c r="N7183" s="181"/>
      <c r="O7183" s="181"/>
      <c r="P7183" s="181"/>
    </row>
    <row r="7184">
      <c r="B7184" s="292"/>
      <c r="C7184" s="181"/>
      <c r="D7184" s="181"/>
      <c r="E7184" s="181"/>
      <c r="F7184" s="181"/>
      <c r="G7184" s="181"/>
      <c r="H7184" s="181"/>
      <c r="I7184" s="181"/>
      <c r="J7184" s="181"/>
      <c r="K7184" s="181"/>
      <c r="L7184" s="181"/>
      <c r="M7184" s="181"/>
      <c r="N7184" s="181"/>
      <c r="O7184" s="181"/>
      <c r="P7184" s="181"/>
    </row>
    <row r="7185">
      <c r="B7185" s="292"/>
      <c r="C7185" s="181"/>
      <c r="D7185" s="181"/>
      <c r="E7185" s="181"/>
      <c r="F7185" s="181"/>
      <c r="G7185" s="181"/>
      <c r="H7185" s="181"/>
      <c r="I7185" s="181"/>
      <c r="J7185" s="181"/>
      <c r="K7185" s="181"/>
      <c r="L7185" s="181"/>
      <c r="M7185" s="181"/>
      <c r="N7185" s="181"/>
      <c r="O7185" s="181"/>
      <c r="P7185" s="181"/>
    </row>
    <row r="7186">
      <c r="B7186" s="292"/>
      <c r="C7186" s="181"/>
      <c r="D7186" s="181"/>
      <c r="E7186" s="181"/>
      <c r="F7186" s="181"/>
      <c r="G7186" s="181"/>
      <c r="H7186" s="181"/>
      <c r="I7186" s="181"/>
      <c r="J7186" s="181"/>
      <c r="K7186" s="181"/>
      <c r="L7186" s="181"/>
      <c r="M7186" s="181"/>
      <c r="N7186" s="181"/>
      <c r="O7186" s="181"/>
      <c r="P7186" s="181"/>
    </row>
    <row r="7187">
      <c r="B7187" s="292"/>
      <c r="C7187" s="181"/>
      <c r="D7187" s="181"/>
      <c r="E7187" s="181"/>
      <c r="F7187" s="181"/>
      <c r="G7187" s="181"/>
      <c r="H7187" s="181"/>
      <c r="I7187" s="181"/>
      <c r="J7187" s="181"/>
      <c r="K7187" s="181"/>
      <c r="L7187" s="181"/>
      <c r="M7187" s="181"/>
      <c r="N7187" s="181"/>
      <c r="O7187" s="181"/>
      <c r="P7187" s="181"/>
    </row>
    <row r="7188">
      <c r="B7188" s="292"/>
      <c r="C7188" s="181"/>
      <c r="D7188" s="181"/>
      <c r="E7188" s="181"/>
      <c r="F7188" s="181"/>
      <c r="G7188" s="181"/>
      <c r="H7188" s="181"/>
      <c r="I7188" s="181"/>
      <c r="J7188" s="181"/>
      <c r="K7188" s="181"/>
      <c r="L7188" s="181"/>
      <c r="M7188" s="181"/>
      <c r="N7188" s="181"/>
      <c r="O7188" s="181"/>
      <c r="P7188" s="181"/>
    </row>
    <row r="7189">
      <c r="B7189" s="292"/>
      <c r="C7189" s="181"/>
      <c r="D7189" s="181"/>
      <c r="E7189" s="181"/>
      <c r="F7189" s="181"/>
      <c r="G7189" s="181"/>
      <c r="H7189" s="181"/>
      <c r="I7189" s="181"/>
      <c r="J7189" s="181"/>
      <c r="K7189" s="181"/>
      <c r="L7189" s="181"/>
      <c r="M7189" s="181"/>
      <c r="N7189" s="181"/>
      <c r="O7189" s="181"/>
      <c r="P7189" s="181"/>
    </row>
    <row r="7190">
      <c r="B7190" s="292"/>
      <c r="C7190" s="181"/>
      <c r="D7190" s="181"/>
      <c r="E7190" s="181"/>
      <c r="F7190" s="181"/>
      <c r="G7190" s="181"/>
      <c r="H7190" s="181"/>
      <c r="I7190" s="181"/>
      <c r="J7190" s="181"/>
      <c r="K7190" s="181"/>
      <c r="L7190" s="181"/>
      <c r="M7190" s="181"/>
      <c r="N7190" s="181"/>
      <c r="O7190" s="181"/>
      <c r="P7190" s="181"/>
    </row>
    <row r="7191">
      <c r="B7191" s="292"/>
      <c r="C7191" s="181"/>
      <c r="D7191" s="181"/>
      <c r="E7191" s="181"/>
      <c r="F7191" s="181"/>
      <c r="G7191" s="181"/>
      <c r="H7191" s="181"/>
      <c r="I7191" s="181"/>
      <c r="J7191" s="181"/>
      <c r="K7191" s="181"/>
      <c r="L7191" s="181"/>
      <c r="M7191" s="181"/>
      <c r="N7191" s="181"/>
      <c r="O7191" s="181"/>
      <c r="P7191" s="181"/>
    </row>
    <row r="7192">
      <c r="B7192" s="292"/>
      <c r="C7192" s="181"/>
      <c r="D7192" s="181"/>
      <c r="E7192" s="181"/>
      <c r="F7192" s="181"/>
      <c r="G7192" s="181"/>
      <c r="H7192" s="181"/>
      <c r="I7192" s="181"/>
      <c r="J7192" s="181"/>
      <c r="K7192" s="181"/>
      <c r="L7192" s="181"/>
      <c r="M7192" s="181"/>
      <c r="N7192" s="181"/>
      <c r="O7192" s="181"/>
      <c r="P7192" s="181"/>
    </row>
    <row r="7193">
      <c r="B7193" s="292"/>
      <c r="C7193" s="181"/>
      <c r="D7193" s="181"/>
      <c r="E7193" s="181"/>
      <c r="F7193" s="181"/>
      <c r="G7193" s="181"/>
      <c r="H7193" s="181"/>
      <c r="I7193" s="181"/>
      <c r="J7193" s="181"/>
      <c r="K7193" s="181"/>
      <c r="L7193" s="181"/>
      <c r="M7193" s="181"/>
      <c r="N7193" s="181"/>
      <c r="O7193" s="181"/>
      <c r="P7193" s="181"/>
    </row>
    <row r="7194">
      <c r="B7194" s="292"/>
      <c r="C7194" s="181"/>
      <c r="D7194" s="181"/>
      <c r="E7194" s="181"/>
      <c r="F7194" s="181"/>
      <c r="G7194" s="181"/>
      <c r="H7194" s="181"/>
      <c r="I7194" s="181"/>
      <c r="J7194" s="181"/>
      <c r="K7194" s="181"/>
      <c r="L7194" s="181"/>
      <c r="M7194" s="181"/>
      <c r="N7194" s="181"/>
      <c r="O7194" s="181"/>
      <c r="P7194" s="181"/>
    </row>
    <row r="7195">
      <c r="B7195" s="292"/>
      <c r="C7195" s="181"/>
      <c r="D7195" s="181"/>
      <c r="E7195" s="181"/>
      <c r="F7195" s="181"/>
      <c r="G7195" s="181"/>
      <c r="H7195" s="181"/>
      <c r="I7195" s="181"/>
      <c r="J7195" s="181"/>
      <c r="K7195" s="181"/>
      <c r="L7195" s="181"/>
      <c r="M7195" s="181"/>
      <c r="N7195" s="181"/>
      <c r="O7195" s="181"/>
      <c r="P7195" s="181"/>
    </row>
    <row r="7196">
      <c r="B7196" s="292"/>
      <c r="C7196" s="181"/>
      <c r="D7196" s="181"/>
      <c r="E7196" s="181"/>
      <c r="F7196" s="181"/>
      <c r="G7196" s="181"/>
      <c r="H7196" s="181"/>
      <c r="I7196" s="181"/>
      <c r="J7196" s="181"/>
      <c r="K7196" s="181"/>
      <c r="L7196" s="181"/>
      <c r="M7196" s="181"/>
      <c r="N7196" s="181"/>
      <c r="O7196" s="181"/>
      <c r="P7196" s="181"/>
    </row>
    <row r="7197">
      <c r="B7197" s="292"/>
      <c r="C7197" s="181"/>
      <c r="D7197" s="181"/>
      <c r="E7197" s="181"/>
      <c r="F7197" s="181"/>
      <c r="G7197" s="181"/>
      <c r="H7197" s="181"/>
      <c r="I7197" s="181"/>
      <c r="J7197" s="181"/>
      <c r="K7197" s="181"/>
      <c r="L7197" s="181"/>
      <c r="M7197" s="181"/>
      <c r="N7197" s="181"/>
      <c r="O7197" s="181"/>
      <c r="P7197" s="181"/>
    </row>
    <row r="7198">
      <c r="B7198" s="292"/>
      <c r="C7198" s="181"/>
      <c r="D7198" s="181"/>
      <c r="E7198" s="181"/>
      <c r="F7198" s="181"/>
      <c r="G7198" s="181"/>
      <c r="H7198" s="181"/>
      <c r="I7198" s="181"/>
      <c r="J7198" s="181"/>
      <c r="K7198" s="181"/>
      <c r="L7198" s="181"/>
      <c r="M7198" s="181"/>
      <c r="N7198" s="181"/>
      <c r="O7198" s="181"/>
      <c r="P7198" s="181"/>
    </row>
    <row r="7199">
      <c r="B7199" s="292"/>
      <c r="C7199" s="181"/>
      <c r="D7199" s="181"/>
      <c r="E7199" s="181"/>
      <c r="F7199" s="181"/>
      <c r="G7199" s="181"/>
      <c r="H7199" s="181"/>
      <c r="I7199" s="181"/>
      <c r="J7199" s="181"/>
      <c r="K7199" s="181"/>
      <c r="L7199" s="181"/>
      <c r="M7199" s="181"/>
      <c r="N7199" s="181"/>
      <c r="O7199" s="181"/>
      <c r="P7199" s="181"/>
    </row>
    <row r="7200">
      <c r="B7200" s="292"/>
      <c r="C7200" s="181"/>
      <c r="D7200" s="181"/>
      <c r="E7200" s="181"/>
      <c r="F7200" s="181"/>
      <c r="G7200" s="181"/>
      <c r="H7200" s="181"/>
      <c r="I7200" s="181"/>
      <c r="J7200" s="181"/>
      <c r="K7200" s="181"/>
      <c r="L7200" s="181"/>
      <c r="M7200" s="181"/>
      <c r="N7200" s="181"/>
      <c r="O7200" s="181"/>
      <c r="P7200" s="181"/>
    </row>
    <row r="7201">
      <c r="B7201" s="292"/>
      <c r="C7201" s="181"/>
      <c r="D7201" s="181"/>
      <c r="E7201" s="181"/>
      <c r="F7201" s="181"/>
      <c r="G7201" s="181"/>
      <c r="H7201" s="181"/>
      <c r="I7201" s="181"/>
      <c r="J7201" s="181"/>
      <c r="K7201" s="181"/>
      <c r="L7201" s="181"/>
      <c r="M7201" s="181"/>
      <c r="N7201" s="181"/>
      <c r="O7201" s="181"/>
      <c r="P7201" s="181"/>
    </row>
    <row r="7202">
      <c r="B7202" s="292"/>
      <c r="C7202" s="181"/>
      <c r="D7202" s="181"/>
      <c r="E7202" s="181"/>
      <c r="F7202" s="181"/>
      <c r="G7202" s="181"/>
      <c r="H7202" s="181"/>
      <c r="I7202" s="181"/>
      <c r="J7202" s="181"/>
      <c r="K7202" s="181"/>
      <c r="L7202" s="181"/>
      <c r="M7202" s="181"/>
      <c r="N7202" s="181"/>
      <c r="O7202" s="181"/>
      <c r="P7202" s="181"/>
    </row>
    <row r="7203">
      <c r="B7203" s="292"/>
      <c r="C7203" s="181"/>
      <c r="D7203" s="181"/>
      <c r="E7203" s="181"/>
      <c r="F7203" s="181"/>
      <c r="G7203" s="181"/>
      <c r="H7203" s="181"/>
      <c r="I7203" s="181"/>
      <c r="J7203" s="181"/>
      <c r="K7203" s="181"/>
      <c r="L7203" s="181"/>
      <c r="M7203" s="181"/>
      <c r="N7203" s="181"/>
      <c r="O7203" s="181"/>
      <c r="P7203" s="181"/>
    </row>
    <row r="7204">
      <c r="B7204" s="292"/>
      <c r="C7204" s="181"/>
      <c r="D7204" s="181"/>
      <c r="E7204" s="181"/>
      <c r="F7204" s="181"/>
      <c r="G7204" s="181"/>
      <c r="H7204" s="181"/>
      <c r="I7204" s="181"/>
      <c r="J7204" s="181"/>
      <c r="K7204" s="181"/>
      <c r="L7204" s="181"/>
      <c r="M7204" s="181"/>
      <c r="N7204" s="181"/>
      <c r="O7204" s="181"/>
      <c r="P7204" s="181"/>
    </row>
    <row r="7205">
      <c r="B7205" s="292"/>
      <c r="C7205" s="181"/>
      <c r="D7205" s="181"/>
      <c r="E7205" s="181"/>
      <c r="F7205" s="181"/>
      <c r="G7205" s="181"/>
      <c r="H7205" s="181"/>
      <c r="I7205" s="181"/>
      <c r="J7205" s="181"/>
      <c r="K7205" s="181"/>
      <c r="L7205" s="181"/>
      <c r="M7205" s="181"/>
      <c r="N7205" s="181"/>
      <c r="O7205" s="181"/>
      <c r="P7205" s="181"/>
    </row>
    <row r="7206">
      <c r="B7206" s="292"/>
      <c r="C7206" s="181"/>
      <c r="D7206" s="181"/>
      <c r="E7206" s="181"/>
      <c r="F7206" s="181"/>
      <c r="G7206" s="181"/>
      <c r="H7206" s="181"/>
      <c r="I7206" s="181"/>
      <c r="J7206" s="181"/>
      <c r="K7206" s="181"/>
      <c r="L7206" s="181"/>
      <c r="M7206" s="181"/>
      <c r="N7206" s="181"/>
      <c r="O7206" s="181"/>
      <c r="P7206" s="181"/>
    </row>
    <row r="7207">
      <c r="B7207" s="292"/>
      <c r="C7207" s="181"/>
      <c r="D7207" s="181"/>
      <c r="E7207" s="181"/>
      <c r="F7207" s="181"/>
      <c r="G7207" s="181"/>
      <c r="H7207" s="181"/>
      <c r="I7207" s="181"/>
      <c r="J7207" s="181"/>
      <c r="K7207" s="181"/>
      <c r="L7207" s="181"/>
      <c r="M7207" s="181"/>
      <c r="N7207" s="181"/>
      <c r="O7207" s="181"/>
      <c r="P7207" s="181"/>
    </row>
    <row r="7208">
      <c r="B7208" s="292"/>
      <c r="C7208" s="181"/>
      <c r="D7208" s="181"/>
      <c r="E7208" s="181"/>
      <c r="F7208" s="181"/>
      <c r="G7208" s="181"/>
      <c r="H7208" s="181"/>
      <c r="I7208" s="181"/>
      <c r="J7208" s="181"/>
      <c r="K7208" s="181"/>
      <c r="L7208" s="181"/>
      <c r="M7208" s="181"/>
      <c r="N7208" s="181"/>
      <c r="O7208" s="181"/>
      <c r="P7208" s="181"/>
    </row>
    <row r="7209">
      <c r="B7209" s="292"/>
      <c r="C7209" s="181"/>
      <c r="D7209" s="181"/>
      <c r="E7209" s="181"/>
      <c r="F7209" s="181"/>
      <c r="G7209" s="181"/>
      <c r="H7209" s="181"/>
      <c r="I7209" s="181"/>
      <c r="J7209" s="181"/>
      <c r="K7209" s="181"/>
      <c r="L7209" s="181"/>
      <c r="M7209" s="181"/>
      <c r="N7209" s="181"/>
      <c r="O7209" s="181"/>
      <c r="P7209" s="181"/>
    </row>
    <row r="7210">
      <c r="B7210" s="292"/>
      <c r="C7210" s="181"/>
      <c r="D7210" s="181"/>
      <c r="E7210" s="181"/>
      <c r="F7210" s="181"/>
      <c r="G7210" s="181"/>
      <c r="H7210" s="181"/>
      <c r="I7210" s="181"/>
      <c r="J7210" s="181"/>
      <c r="K7210" s="181"/>
      <c r="L7210" s="181"/>
      <c r="M7210" s="181"/>
      <c r="N7210" s="181"/>
      <c r="O7210" s="181"/>
      <c r="P7210" s="181"/>
    </row>
    <row r="7211">
      <c r="B7211" s="292"/>
      <c r="C7211" s="181"/>
      <c r="D7211" s="181"/>
      <c r="E7211" s="181"/>
      <c r="F7211" s="181"/>
      <c r="G7211" s="181"/>
      <c r="H7211" s="181"/>
      <c r="I7211" s="181"/>
      <c r="J7211" s="181"/>
      <c r="K7211" s="181"/>
      <c r="L7211" s="181"/>
      <c r="M7211" s="181"/>
      <c r="N7211" s="181"/>
      <c r="O7211" s="181"/>
      <c r="P7211" s="181"/>
    </row>
    <row r="7212">
      <c r="B7212" s="292"/>
      <c r="C7212" s="181"/>
      <c r="D7212" s="181"/>
      <c r="E7212" s="181"/>
      <c r="F7212" s="181"/>
      <c r="G7212" s="181"/>
      <c r="H7212" s="181"/>
      <c r="I7212" s="181"/>
      <c r="J7212" s="181"/>
      <c r="K7212" s="181"/>
      <c r="L7212" s="181"/>
      <c r="M7212" s="181"/>
      <c r="N7212" s="181"/>
      <c r="O7212" s="181"/>
      <c r="P7212" s="181"/>
    </row>
    <row r="7213">
      <c r="B7213" s="292"/>
      <c r="C7213" s="181"/>
      <c r="D7213" s="181"/>
      <c r="E7213" s="181"/>
      <c r="F7213" s="181"/>
      <c r="G7213" s="181"/>
      <c r="H7213" s="181"/>
      <c r="I7213" s="181"/>
      <c r="J7213" s="181"/>
      <c r="K7213" s="181"/>
      <c r="L7213" s="181"/>
      <c r="M7213" s="181"/>
      <c r="N7213" s="181"/>
      <c r="O7213" s="181"/>
      <c r="P7213" s="181"/>
    </row>
    <row r="7214">
      <c r="B7214" s="292"/>
      <c r="C7214" s="181"/>
      <c r="D7214" s="181"/>
      <c r="E7214" s="181"/>
      <c r="F7214" s="181"/>
      <c r="G7214" s="181"/>
      <c r="H7214" s="181"/>
      <c r="I7214" s="181"/>
      <c r="J7214" s="181"/>
      <c r="K7214" s="181"/>
      <c r="L7214" s="181"/>
      <c r="M7214" s="181"/>
      <c r="N7214" s="181"/>
      <c r="O7214" s="181"/>
      <c r="P7214" s="181"/>
    </row>
    <row r="7215">
      <c r="B7215" s="292"/>
      <c r="C7215" s="181"/>
      <c r="D7215" s="181"/>
      <c r="E7215" s="181"/>
      <c r="F7215" s="181"/>
      <c r="G7215" s="181"/>
      <c r="H7215" s="181"/>
      <c r="I7215" s="181"/>
      <c r="J7215" s="181"/>
      <c r="K7215" s="181"/>
      <c r="L7215" s="181"/>
      <c r="M7215" s="181"/>
      <c r="N7215" s="181"/>
      <c r="O7215" s="181"/>
      <c r="P7215" s="181"/>
    </row>
    <row r="7216">
      <c r="B7216" s="292"/>
      <c r="C7216" s="181"/>
      <c r="D7216" s="181"/>
      <c r="E7216" s="181"/>
      <c r="F7216" s="181"/>
      <c r="G7216" s="181"/>
      <c r="H7216" s="181"/>
      <c r="I7216" s="181"/>
      <c r="J7216" s="181"/>
      <c r="K7216" s="181"/>
      <c r="L7216" s="181"/>
      <c r="M7216" s="181"/>
      <c r="N7216" s="181"/>
      <c r="O7216" s="181"/>
      <c r="P7216" s="181"/>
    </row>
    <row r="7217">
      <c r="B7217" s="292"/>
      <c r="C7217" s="181"/>
      <c r="D7217" s="181"/>
      <c r="E7217" s="181"/>
      <c r="F7217" s="181"/>
      <c r="G7217" s="181"/>
      <c r="H7217" s="181"/>
      <c r="I7217" s="181"/>
      <c r="J7217" s="181"/>
      <c r="K7217" s="181"/>
      <c r="L7217" s="181"/>
      <c r="M7217" s="181"/>
      <c r="N7217" s="181"/>
      <c r="O7217" s="181"/>
      <c r="P7217" s="181"/>
    </row>
    <row r="7218">
      <c r="B7218" s="292"/>
      <c r="C7218" s="181"/>
      <c r="D7218" s="181"/>
      <c r="E7218" s="181"/>
      <c r="F7218" s="181"/>
      <c r="G7218" s="181"/>
      <c r="H7218" s="181"/>
      <c r="I7218" s="181"/>
      <c r="J7218" s="181"/>
      <c r="K7218" s="181"/>
      <c r="L7218" s="181"/>
      <c r="M7218" s="181"/>
      <c r="N7218" s="181"/>
      <c r="O7218" s="181"/>
      <c r="P7218" s="181"/>
    </row>
    <row r="7219">
      <c r="B7219" s="292"/>
      <c r="C7219" s="181"/>
      <c r="D7219" s="181"/>
      <c r="E7219" s="181"/>
      <c r="F7219" s="181"/>
      <c r="G7219" s="181"/>
      <c r="H7219" s="181"/>
      <c r="I7219" s="181"/>
      <c r="J7219" s="181"/>
      <c r="K7219" s="181"/>
      <c r="L7219" s="181"/>
      <c r="M7219" s="181"/>
      <c r="N7219" s="181"/>
      <c r="O7219" s="181"/>
      <c r="P7219" s="181"/>
    </row>
    <row r="7220">
      <c r="B7220" s="292"/>
      <c r="C7220" s="181"/>
      <c r="D7220" s="181"/>
      <c r="E7220" s="181"/>
      <c r="F7220" s="181"/>
      <c r="G7220" s="181"/>
      <c r="H7220" s="181"/>
      <c r="I7220" s="181"/>
      <c r="J7220" s="181"/>
      <c r="K7220" s="181"/>
      <c r="L7220" s="181"/>
      <c r="M7220" s="181"/>
      <c r="N7220" s="181"/>
      <c r="O7220" s="181"/>
      <c r="P7220" s="181"/>
    </row>
    <row r="7221">
      <c r="B7221" s="292"/>
      <c r="C7221" s="181"/>
      <c r="D7221" s="181"/>
      <c r="E7221" s="181"/>
      <c r="F7221" s="181"/>
      <c r="G7221" s="181"/>
      <c r="H7221" s="181"/>
      <c r="I7221" s="181"/>
      <c r="J7221" s="181"/>
      <c r="K7221" s="181"/>
      <c r="L7221" s="181"/>
      <c r="M7221" s="181"/>
      <c r="N7221" s="181"/>
      <c r="O7221" s="181"/>
      <c r="P7221" s="181"/>
    </row>
    <row r="7222">
      <c r="B7222" s="292"/>
      <c r="C7222" s="181"/>
      <c r="D7222" s="181"/>
      <c r="E7222" s="181"/>
      <c r="F7222" s="181"/>
      <c r="G7222" s="181"/>
      <c r="H7222" s="181"/>
      <c r="I7222" s="181"/>
      <c r="J7222" s="181"/>
      <c r="K7222" s="181"/>
      <c r="L7222" s="181"/>
      <c r="M7222" s="181"/>
      <c r="N7222" s="181"/>
      <c r="O7222" s="181"/>
      <c r="P7222" s="181"/>
    </row>
    <row r="7223">
      <c r="B7223" s="292"/>
      <c r="C7223" s="181"/>
      <c r="D7223" s="181"/>
      <c r="E7223" s="181"/>
      <c r="F7223" s="181"/>
      <c r="G7223" s="181"/>
      <c r="H7223" s="181"/>
      <c r="I7223" s="181"/>
      <c r="J7223" s="181"/>
      <c r="K7223" s="181"/>
      <c r="L7223" s="181"/>
      <c r="M7223" s="181"/>
      <c r="N7223" s="181"/>
      <c r="O7223" s="181"/>
      <c r="P7223" s="181"/>
    </row>
    <row r="7224">
      <c r="B7224" s="292"/>
      <c r="C7224" s="181"/>
      <c r="D7224" s="181"/>
      <c r="E7224" s="181"/>
      <c r="F7224" s="181"/>
      <c r="G7224" s="181"/>
      <c r="H7224" s="181"/>
      <c r="I7224" s="181"/>
      <c r="J7224" s="181"/>
      <c r="K7224" s="181"/>
      <c r="L7224" s="181"/>
      <c r="M7224" s="181"/>
      <c r="N7224" s="181"/>
      <c r="O7224" s="181"/>
      <c r="P7224" s="181"/>
    </row>
    <row r="7225">
      <c r="B7225" s="292"/>
      <c r="C7225" s="181"/>
      <c r="D7225" s="181"/>
      <c r="E7225" s="181"/>
      <c r="F7225" s="181"/>
      <c r="G7225" s="181"/>
      <c r="H7225" s="181"/>
      <c r="I7225" s="181"/>
      <c r="J7225" s="181"/>
      <c r="K7225" s="181"/>
      <c r="L7225" s="181"/>
      <c r="M7225" s="181"/>
      <c r="N7225" s="181"/>
      <c r="O7225" s="181"/>
      <c r="P7225" s="181"/>
    </row>
    <row r="7226">
      <c r="B7226" s="292"/>
      <c r="C7226" s="181"/>
      <c r="D7226" s="181"/>
      <c r="E7226" s="181"/>
      <c r="F7226" s="181"/>
      <c r="G7226" s="181"/>
      <c r="H7226" s="181"/>
      <c r="I7226" s="181"/>
      <c r="J7226" s="181"/>
      <c r="K7226" s="181"/>
      <c r="L7226" s="181"/>
      <c r="M7226" s="181"/>
      <c r="N7226" s="181"/>
      <c r="O7226" s="181"/>
      <c r="P7226" s="181"/>
    </row>
    <row r="7227">
      <c r="B7227" s="292"/>
      <c r="C7227" s="181"/>
      <c r="D7227" s="181"/>
      <c r="E7227" s="181"/>
      <c r="F7227" s="181"/>
      <c r="G7227" s="181"/>
      <c r="H7227" s="181"/>
      <c r="I7227" s="181"/>
      <c r="J7227" s="181"/>
      <c r="K7227" s="181"/>
      <c r="L7227" s="181"/>
      <c r="M7227" s="181"/>
      <c r="N7227" s="181"/>
      <c r="O7227" s="181"/>
      <c r="P7227" s="181"/>
    </row>
    <row r="7228">
      <c r="B7228" s="292"/>
      <c r="C7228" s="181"/>
      <c r="D7228" s="181"/>
      <c r="E7228" s="181"/>
      <c r="F7228" s="181"/>
      <c r="G7228" s="181"/>
      <c r="H7228" s="181"/>
      <c r="I7228" s="181"/>
      <c r="J7228" s="181"/>
      <c r="K7228" s="181"/>
      <c r="L7228" s="181"/>
      <c r="M7228" s="181"/>
      <c r="N7228" s="181"/>
      <c r="O7228" s="181"/>
      <c r="P7228" s="181"/>
    </row>
    <row r="7229">
      <c r="B7229" s="292"/>
      <c r="C7229" s="181"/>
      <c r="D7229" s="181"/>
      <c r="E7229" s="181"/>
      <c r="F7229" s="181"/>
      <c r="G7229" s="181"/>
      <c r="H7229" s="181"/>
      <c r="I7229" s="181"/>
      <c r="J7229" s="181"/>
      <c r="K7229" s="181"/>
      <c r="L7229" s="181"/>
      <c r="M7229" s="181"/>
      <c r="N7229" s="181"/>
      <c r="O7229" s="181"/>
      <c r="P7229" s="181"/>
    </row>
    <row r="7230">
      <c r="B7230" s="292"/>
      <c r="C7230" s="181"/>
      <c r="D7230" s="181"/>
      <c r="E7230" s="181"/>
      <c r="F7230" s="181"/>
      <c r="G7230" s="181"/>
      <c r="H7230" s="181"/>
      <c r="I7230" s="181"/>
      <c r="J7230" s="181"/>
      <c r="K7230" s="181"/>
      <c r="L7230" s="181"/>
      <c r="M7230" s="181"/>
      <c r="N7230" s="181"/>
      <c r="O7230" s="181"/>
      <c r="P7230" s="181"/>
    </row>
    <row r="7231">
      <c r="B7231" s="292"/>
      <c r="C7231" s="181"/>
      <c r="D7231" s="181"/>
      <c r="E7231" s="181"/>
      <c r="F7231" s="181"/>
      <c r="G7231" s="181"/>
      <c r="H7231" s="181"/>
      <c r="I7231" s="181"/>
      <c r="J7231" s="181"/>
      <c r="K7231" s="181"/>
      <c r="L7231" s="181"/>
      <c r="M7231" s="181"/>
      <c r="N7231" s="181"/>
      <c r="O7231" s="181"/>
      <c r="P7231" s="181"/>
    </row>
    <row r="7232">
      <c r="B7232" s="292"/>
      <c r="C7232" s="181"/>
      <c r="D7232" s="181"/>
      <c r="E7232" s="181"/>
      <c r="F7232" s="181"/>
      <c r="G7232" s="181"/>
      <c r="H7232" s="181"/>
      <c r="I7232" s="181"/>
      <c r="J7232" s="181"/>
      <c r="K7232" s="181"/>
      <c r="L7232" s="181"/>
      <c r="M7232" s="181"/>
      <c r="N7232" s="181"/>
      <c r="O7232" s="181"/>
      <c r="P7232" s="181"/>
    </row>
    <row r="7233">
      <c r="B7233" s="292"/>
      <c r="C7233" s="181"/>
      <c r="D7233" s="181"/>
      <c r="E7233" s="181"/>
      <c r="F7233" s="181"/>
      <c r="G7233" s="181"/>
      <c r="H7233" s="181"/>
      <c r="I7233" s="181"/>
      <c r="J7233" s="181"/>
      <c r="K7233" s="181"/>
      <c r="L7233" s="181"/>
      <c r="M7233" s="181"/>
      <c r="N7233" s="181"/>
      <c r="O7233" s="181"/>
      <c r="P7233" s="181"/>
    </row>
    <row r="7234">
      <c r="B7234" s="292"/>
      <c r="C7234" s="181"/>
      <c r="D7234" s="181"/>
      <c r="E7234" s="181"/>
      <c r="F7234" s="181"/>
      <c r="G7234" s="181"/>
      <c r="H7234" s="181"/>
      <c r="I7234" s="181"/>
      <c r="J7234" s="181"/>
      <c r="K7234" s="181"/>
      <c r="L7234" s="181"/>
      <c r="M7234" s="181"/>
      <c r="N7234" s="181"/>
      <c r="O7234" s="181"/>
      <c r="P7234" s="181"/>
    </row>
    <row r="7235">
      <c r="B7235" s="292"/>
      <c r="C7235" s="181"/>
      <c r="D7235" s="181"/>
      <c r="E7235" s="181"/>
      <c r="F7235" s="181"/>
      <c r="G7235" s="181"/>
      <c r="H7235" s="181"/>
      <c r="I7235" s="181"/>
      <c r="J7235" s="181"/>
      <c r="K7235" s="181"/>
      <c r="L7235" s="181"/>
      <c r="M7235" s="181"/>
      <c r="N7235" s="181"/>
      <c r="O7235" s="181"/>
      <c r="P7235" s="181"/>
    </row>
    <row r="7236">
      <c r="B7236" s="292"/>
      <c r="C7236" s="181"/>
      <c r="D7236" s="181"/>
      <c r="E7236" s="181"/>
      <c r="F7236" s="181"/>
      <c r="G7236" s="181"/>
      <c r="H7236" s="181"/>
      <c r="I7236" s="181"/>
      <c r="J7236" s="181"/>
      <c r="K7236" s="181"/>
      <c r="L7236" s="181"/>
      <c r="M7236" s="181"/>
      <c r="N7236" s="181"/>
      <c r="O7236" s="181"/>
      <c r="P7236" s="181"/>
    </row>
    <row r="7237">
      <c r="B7237" s="292"/>
      <c r="C7237" s="181"/>
      <c r="D7237" s="181"/>
      <c r="E7237" s="181"/>
      <c r="F7237" s="181"/>
      <c r="G7237" s="181"/>
      <c r="H7237" s="181"/>
      <c r="I7237" s="181"/>
      <c r="J7237" s="181"/>
      <c r="K7237" s="181"/>
      <c r="L7237" s="181"/>
      <c r="M7237" s="181"/>
      <c r="N7237" s="181"/>
      <c r="O7237" s="181"/>
      <c r="P7237" s="181"/>
    </row>
    <row r="7238">
      <c r="B7238" s="292"/>
      <c r="C7238" s="181"/>
      <c r="D7238" s="181"/>
      <c r="E7238" s="181"/>
      <c r="F7238" s="181"/>
      <c r="G7238" s="181"/>
      <c r="H7238" s="181"/>
      <c r="I7238" s="181"/>
      <c r="J7238" s="181"/>
      <c r="K7238" s="181"/>
      <c r="L7238" s="181"/>
      <c r="M7238" s="181"/>
      <c r="N7238" s="181"/>
      <c r="O7238" s="181"/>
      <c r="P7238" s="181"/>
    </row>
    <row r="7239">
      <c r="B7239" s="292"/>
      <c r="C7239" s="181"/>
      <c r="D7239" s="181"/>
      <c r="E7239" s="181"/>
      <c r="F7239" s="181"/>
      <c r="G7239" s="181"/>
      <c r="H7239" s="181"/>
      <c r="I7239" s="181"/>
      <c r="J7239" s="181"/>
      <c r="K7239" s="181"/>
      <c r="L7239" s="181"/>
      <c r="M7239" s="181"/>
      <c r="N7239" s="181"/>
      <c r="O7239" s="181"/>
      <c r="P7239" s="181"/>
    </row>
    <row r="7240">
      <c r="B7240" s="292"/>
      <c r="C7240" s="181"/>
      <c r="D7240" s="181"/>
      <c r="E7240" s="181"/>
      <c r="F7240" s="181"/>
      <c r="G7240" s="181"/>
      <c r="H7240" s="181"/>
      <c r="I7240" s="181"/>
      <c r="J7240" s="181"/>
      <c r="K7240" s="181"/>
      <c r="L7240" s="181"/>
      <c r="M7240" s="181"/>
      <c r="N7240" s="181"/>
      <c r="O7240" s="181"/>
      <c r="P7240" s="181"/>
    </row>
    <row r="7241">
      <c r="B7241" s="292"/>
      <c r="C7241" s="181"/>
      <c r="D7241" s="181"/>
      <c r="E7241" s="181"/>
      <c r="F7241" s="181"/>
      <c r="G7241" s="181"/>
      <c r="H7241" s="181"/>
      <c r="I7241" s="181"/>
      <c r="J7241" s="181"/>
      <c r="K7241" s="181"/>
      <c r="L7241" s="181"/>
      <c r="M7241" s="181"/>
      <c r="N7241" s="181"/>
      <c r="O7241" s="181"/>
      <c r="P7241" s="181"/>
    </row>
    <row r="7242">
      <c r="B7242" s="292"/>
      <c r="C7242" s="181"/>
      <c r="D7242" s="181"/>
      <c r="E7242" s="181"/>
      <c r="F7242" s="181"/>
      <c r="G7242" s="181"/>
      <c r="H7242" s="181"/>
      <c r="I7242" s="181"/>
      <c r="J7242" s="181"/>
      <c r="K7242" s="181"/>
      <c r="L7242" s="181"/>
      <c r="M7242" s="181"/>
      <c r="N7242" s="181"/>
      <c r="O7242" s="181"/>
      <c r="P7242" s="181"/>
    </row>
    <row r="7243">
      <c r="B7243" s="292"/>
      <c r="C7243" s="181"/>
      <c r="D7243" s="181"/>
      <c r="E7243" s="181"/>
      <c r="F7243" s="181"/>
      <c r="G7243" s="181"/>
      <c r="H7243" s="181"/>
      <c r="I7243" s="181"/>
      <c r="J7243" s="181"/>
      <c r="K7243" s="181"/>
      <c r="L7243" s="181"/>
      <c r="M7243" s="181"/>
      <c r="N7243" s="181"/>
      <c r="O7243" s="181"/>
      <c r="P7243" s="181"/>
    </row>
    <row r="7244">
      <c r="B7244" s="292"/>
      <c r="C7244" s="181"/>
      <c r="D7244" s="181"/>
      <c r="E7244" s="181"/>
      <c r="F7244" s="181"/>
      <c r="G7244" s="181"/>
      <c r="H7244" s="181"/>
      <c r="I7244" s="181"/>
      <c r="J7244" s="181"/>
      <c r="K7244" s="181"/>
      <c r="L7244" s="181"/>
      <c r="M7244" s="181"/>
      <c r="N7244" s="181"/>
      <c r="O7244" s="181"/>
      <c r="P7244" s="181"/>
    </row>
    <row r="7245">
      <c r="B7245" s="292"/>
      <c r="C7245" s="181"/>
      <c r="D7245" s="181"/>
      <c r="E7245" s="181"/>
      <c r="F7245" s="181"/>
      <c r="G7245" s="181"/>
      <c r="H7245" s="181"/>
      <c r="I7245" s="181"/>
      <c r="J7245" s="181"/>
      <c r="K7245" s="181"/>
      <c r="L7245" s="181"/>
      <c r="M7245" s="181"/>
      <c r="N7245" s="181"/>
      <c r="O7245" s="181"/>
      <c r="P7245" s="181"/>
    </row>
    <row r="7246">
      <c r="B7246" s="292"/>
      <c r="C7246" s="181"/>
      <c r="D7246" s="181"/>
      <c r="E7246" s="181"/>
      <c r="F7246" s="181"/>
      <c r="G7246" s="181"/>
      <c r="H7246" s="181"/>
      <c r="I7246" s="181"/>
      <c r="J7246" s="181"/>
      <c r="K7246" s="181"/>
      <c r="L7246" s="181"/>
      <c r="M7246" s="181"/>
      <c r="N7246" s="181"/>
      <c r="O7246" s="181"/>
      <c r="P7246" s="181"/>
    </row>
    <row r="7247">
      <c r="B7247" s="292"/>
      <c r="C7247" s="181"/>
      <c r="D7247" s="181"/>
      <c r="E7247" s="181"/>
      <c r="F7247" s="181"/>
      <c r="G7247" s="181"/>
      <c r="H7247" s="181"/>
      <c r="I7247" s="181"/>
      <c r="J7247" s="181"/>
      <c r="K7247" s="181"/>
      <c r="L7247" s="181"/>
      <c r="M7247" s="181"/>
      <c r="N7247" s="181"/>
      <c r="O7247" s="181"/>
      <c r="P7247" s="181"/>
    </row>
    <row r="7248">
      <c r="B7248" s="292"/>
      <c r="C7248" s="181"/>
      <c r="D7248" s="181"/>
      <c r="E7248" s="181"/>
      <c r="F7248" s="181"/>
      <c r="G7248" s="181"/>
      <c r="H7248" s="181"/>
      <c r="I7248" s="181"/>
      <c r="J7248" s="181"/>
      <c r="K7248" s="181"/>
      <c r="L7248" s="181"/>
      <c r="M7248" s="181"/>
      <c r="N7248" s="181"/>
      <c r="O7248" s="181"/>
      <c r="P7248" s="181"/>
    </row>
    <row r="7249">
      <c r="B7249" s="292"/>
      <c r="C7249" s="181"/>
      <c r="D7249" s="181"/>
      <c r="E7249" s="181"/>
      <c r="F7249" s="181"/>
      <c r="G7249" s="181"/>
      <c r="H7249" s="181"/>
      <c r="I7249" s="181"/>
      <c r="J7249" s="181"/>
      <c r="K7249" s="181"/>
      <c r="L7249" s="181"/>
      <c r="M7249" s="181"/>
      <c r="N7249" s="181"/>
      <c r="O7249" s="181"/>
      <c r="P7249" s="181"/>
    </row>
    <row r="7250">
      <c r="B7250" s="292"/>
      <c r="C7250" s="181"/>
      <c r="D7250" s="181"/>
      <c r="E7250" s="181"/>
      <c r="F7250" s="181"/>
      <c r="G7250" s="181"/>
      <c r="H7250" s="181"/>
      <c r="I7250" s="181"/>
      <c r="J7250" s="181"/>
      <c r="K7250" s="181"/>
      <c r="L7250" s="181"/>
      <c r="M7250" s="181"/>
      <c r="N7250" s="181"/>
      <c r="O7250" s="181"/>
      <c r="P7250" s="181"/>
    </row>
    <row r="7251">
      <c r="B7251" s="292"/>
      <c r="C7251" s="181"/>
      <c r="D7251" s="181"/>
      <c r="E7251" s="181"/>
      <c r="F7251" s="181"/>
      <c r="G7251" s="181"/>
      <c r="H7251" s="181"/>
      <c r="I7251" s="181"/>
      <c r="J7251" s="181"/>
      <c r="K7251" s="181"/>
      <c r="L7251" s="181"/>
      <c r="M7251" s="181"/>
      <c r="N7251" s="181"/>
      <c r="O7251" s="181"/>
      <c r="P7251" s="181"/>
    </row>
    <row r="7252">
      <c r="B7252" s="292"/>
      <c r="C7252" s="181"/>
      <c r="D7252" s="181"/>
      <c r="E7252" s="181"/>
      <c r="F7252" s="181"/>
      <c r="G7252" s="181"/>
      <c r="H7252" s="181"/>
      <c r="I7252" s="181"/>
      <c r="J7252" s="181"/>
      <c r="K7252" s="181"/>
      <c r="L7252" s="181"/>
      <c r="M7252" s="181"/>
      <c r="N7252" s="181"/>
      <c r="O7252" s="181"/>
      <c r="P7252" s="181"/>
    </row>
    <row r="7253">
      <c r="B7253" s="292"/>
      <c r="C7253" s="181"/>
      <c r="D7253" s="181"/>
      <c r="E7253" s="181"/>
      <c r="F7253" s="181"/>
      <c r="G7253" s="181"/>
      <c r="H7253" s="181"/>
      <c r="I7253" s="181"/>
      <c r="J7253" s="181"/>
      <c r="K7253" s="181"/>
      <c r="L7253" s="181"/>
      <c r="M7253" s="181"/>
      <c r="N7253" s="181"/>
      <c r="O7253" s="181"/>
      <c r="P7253" s="181"/>
    </row>
    <row r="7254">
      <c r="B7254" s="292"/>
      <c r="C7254" s="181"/>
      <c r="D7254" s="181"/>
      <c r="E7254" s="181"/>
      <c r="F7254" s="181"/>
      <c r="G7254" s="181"/>
      <c r="H7254" s="181"/>
      <c r="I7254" s="181"/>
      <c r="J7254" s="181"/>
      <c r="K7254" s="181"/>
      <c r="L7254" s="181"/>
      <c r="M7254" s="181"/>
      <c r="N7254" s="181"/>
      <c r="O7254" s="181"/>
      <c r="P7254" s="181"/>
    </row>
    <row r="7255">
      <c r="B7255" s="292"/>
      <c r="C7255" s="181"/>
      <c r="D7255" s="181"/>
      <c r="E7255" s="181"/>
      <c r="F7255" s="181"/>
      <c r="G7255" s="181"/>
      <c r="H7255" s="181"/>
      <c r="I7255" s="181"/>
      <c r="J7255" s="181"/>
      <c r="K7255" s="181"/>
      <c r="L7255" s="181"/>
      <c r="M7255" s="181"/>
      <c r="N7255" s="181"/>
      <c r="O7255" s="181"/>
      <c r="P7255" s="181"/>
    </row>
    <row r="7256">
      <c r="B7256" s="292"/>
      <c r="C7256" s="181"/>
      <c r="D7256" s="181"/>
      <c r="E7256" s="181"/>
      <c r="F7256" s="181"/>
      <c r="G7256" s="181"/>
      <c r="H7256" s="181"/>
      <c r="I7256" s="181"/>
      <c r="J7256" s="181"/>
      <c r="K7256" s="181"/>
      <c r="L7256" s="181"/>
      <c r="M7256" s="181"/>
      <c r="N7256" s="181"/>
      <c r="O7256" s="181"/>
      <c r="P7256" s="181"/>
    </row>
    <row r="7257">
      <c r="B7257" s="292"/>
      <c r="C7257" s="181"/>
      <c r="D7257" s="181"/>
      <c r="E7257" s="181"/>
      <c r="F7257" s="181"/>
      <c r="G7257" s="181"/>
      <c r="H7257" s="181"/>
      <c r="I7257" s="181"/>
      <c r="J7257" s="181"/>
      <c r="K7257" s="181"/>
      <c r="L7257" s="181"/>
      <c r="M7257" s="181"/>
      <c r="N7257" s="181"/>
      <c r="O7257" s="181"/>
      <c r="P7257" s="181"/>
    </row>
    <row r="7258">
      <c r="B7258" s="292"/>
      <c r="C7258" s="181"/>
      <c r="D7258" s="181"/>
      <c r="E7258" s="181"/>
      <c r="F7258" s="181"/>
      <c r="G7258" s="181"/>
      <c r="H7258" s="181"/>
      <c r="I7258" s="181"/>
      <c r="J7258" s="181"/>
      <c r="K7258" s="181"/>
      <c r="L7258" s="181"/>
      <c r="M7258" s="181"/>
      <c r="N7258" s="181"/>
      <c r="O7258" s="181"/>
      <c r="P7258" s="181"/>
    </row>
    <row r="7259">
      <c r="B7259" s="292"/>
      <c r="C7259" s="181"/>
      <c r="D7259" s="181"/>
      <c r="E7259" s="181"/>
      <c r="F7259" s="181"/>
      <c r="G7259" s="181"/>
      <c r="H7259" s="181"/>
      <c r="I7259" s="181"/>
      <c r="J7259" s="181"/>
      <c r="K7259" s="181"/>
      <c r="L7259" s="181"/>
      <c r="M7259" s="181"/>
      <c r="N7259" s="181"/>
      <c r="O7259" s="181"/>
      <c r="P7259" s="181"/>
    </row>
    <row r="7260">
      <c r="B7260" s="292"/>
      <c r="C7260" s="181"/>
      <c r="D7260" s="181"/>
      <c r="E7260" s="181"/>
      <c r="F7260" s="181"/>
      <c r="G7260" s="181"/>
      <c r="H7260" s="181"/>
      <c r="I7260" s="181"/>
      <c r="J7260" s="181"/>
      <c r="K7260" s="181"/>
      <c r="L7260" s="181"/>
      <c r="M7260" s="181"/>
      <c r="N7260" s="181"/>
      <c r="O7260" s="181"/>
      <c r="P7260" s="181"/>
    </row>
    <row r="7261">
      <c r="B7261" s="292"/>
      <c r="C7261" s="181"/>
      <c r="D7261" s="181"/>
      <c r="E7261" s="181"/>
      <c r="F7261" s="181"/>
      <c r="G7261" s="181"/>
      <c r="H7261" s="181"/>
      <c r="I7261" s="181"/>
      <c r="J7261" s="181"/>
      <c r="K7261" s="181"/>
      <c r="L7261" s="181"/>
      <c r="M7261" s="181"/>
      <c r="N7261" s="181"/>
      <c r="O7261" s="181"/>
      <c r="P7261" s="181"/>
    </row>
    <row r="7262">
      <c r="B7262" s="292"/>
      <c r="C7262" s="181"/>
      <c r="D7262" s="181"/>
      <c r="E7262" s="181"/>
      <c r="F7262" s="181"/>
      <c r="G7262" s="181"/>
      <c r="H7262" s="181"/>
      <c r="I7262" s="181"/>
      <c r="J7262" s="181"/>
      <c r="K7262" s="181"/>
      <c r="L7262" s="181"/>
      <c r="M7262" s="181"/>
      <c r="N7262" s="181"/>
      <c r="O7262" s="181"/>
      <c r="P7262" s="181"/>
    </row>
    <row r="7263">
      <c r="B7263" s="292"/>
      <c r="C7263" s="181"/>
      <c r="D7263" s="181"/>
      <c r="E7263" s="181"/>
      <c r="F7263" s="181"/>
      <c r="G7263" s="181"/>
      <c r="H7263" s="181"/>
      <c r="I7263" s="181"/>
      <c r="J7263" s="181"/>
      <c r="K7263" s="181"/>
      <c r="L7263" s="181"/>
      <c r="M7263" s="181"/>
      <c r="N7263" s="181"/>
      <c r="O7263" s="181"/>
      <c r="P7263" s="181"/>
    </row>
    <row r="7264">
      <c r="B7264" s="292"/>
      <c r="C7264" s="181"/>
      <c r="D7264" s="181"/>
      <c r="E7264" s="181"/>
      <c r="F7264" s="181"/>
      <c r="G7264" s="181"/>
      <c r="H7264" s="181"/>
      <c r="I7264" s="181"/>
      <c r="J7264" s="181"/>
      <c r="K7264" s="181"/>
      <c r="L7264" s="181"/>
      <c r="M7264" s="181"/>
      <c r="N7264" s="181"/>
      <c r="O7264" s="181"/>
      <c r="P7264" s="181"/>
    </row>
    <row r="7265">
      <c r="B7265" s="292"/>
      <c r="C7265" s="181"/>
      <c r="D7265" s="181"/>
      <c r="E7265" s="181"/>
      <c r="F7265" s="181"/>
      <c r="G7265" s="181"/>
      <c r="H7265" s="181"/>
      <c r="I7265" s="181"/>
      <c r="J7265" s="181"/>
      <c r="K7265" s="181"/>
      <c r="L7265" s="181"/>
      <c r="M7265" s="181"/>
      <c r="N7265" s="181"/>
      <c r="O7265" s="181"/>
      <c r="P7265" s="181"/>
    </row>
    <row r="7266">
      <c r="B7266" s="292"/>
      <c r="C7266" s="181"/>
      <c r="D7266" s="181"/>
      <c r="E7266" s="181"/>
      <c r="F7266" s="181"/>
      <c r="G7266" s="181"/>
      <c r="H7266" s="181"/>
      <c r="I7266" s="181"/>
      <c r="J7266" s="181"/>
      <c r="K7266" s="181"/>
      <c r="L7266" s="181"/>
      <c r="M7266" s="181"/>
      <c r="N7266" s="181"/>
      <c r="O7266" s="181"/>
      <c r="P7266" s="181"/>
    </row>
    <row r="7267">
      <c r="B7267" s="292"/>
      <c r="C7267" s="181"/>
      <c r="D7267" s="181"/>
      <c r="E7267" s="181"/>
      <c r="F7267" s="181"/>
      <c r="G7267" s="181"/>
      <c r="H7267" s="181"/>
      <c r="I7267" s="181"/>
      <c r="J7267" s="181"/>
      <c r="K7267" s="181"/>
      <c r="L7267" s="181"/>
      <c r="M7267" s="181"/>
      <c r="N7267" s="181"/>
      <c r="O7267" s="181"/>
      <c r="P7267" s="181"/>
    </row>
    <row r="7268">
      <c r="B7268" s="292"/>
      <c r="C7268" s="181"/>
      <c r="D7268" s="181"/>
      <c r="E7268" s="181"/>
      <c r="F7268" s="181"/>
      <c r="G7268" s="181"/>
      <c r="H7268" s="181"/>
      <c r="I7268" s="181"/>
      <c r="J7268" s="181"/>
      <c r="K7268" s="181"/>
      <c r="L7268" s="181"/>
      <c r="M7268" s="181"/>
      <c r="N7268" s="181"/>
      <c r="O7268" s="181"/>
      <c r="P7268" s="181"/>
    </row>
    <row r="7269">
      <c r="B7269" s="292"/>
      <c r="C7269" s="181"/>
      <c r="D7269" s="181"/>
      <c r="E7269" s="181"/>
      <c r="F7269" s="181"/>
      <c r="G7269" s="181"/>
      <c r="H7269" s="181"/>
      <c r="I7269" s="181"/>
      <c r="J7269" s="181"/>
      <c r="K7269" s="181"/>
      <c r="L7269" s="181"/>
      <c r="M7269" s="181"/>
      <c r="N7269" s="181"/>
      <c r="O7269" s="181"/>
      <c r="P7269" s="181"/>
    </row>
    <row r="7270">
      <c r="B7270" s="292"/>
      <c r="C7270" s="181"/>
      <c r="D7270" s="181"/>
      <c r="E7270" s="181"/>
      <c r="F7270" s="181"/>
      <c r="G7270" s="181"/>
      <c r="H7270" s="181"/>
      <c r="I7270" s="181"/>
      <c r="J7270" s="181"/>
      <c r="K7270" s="181"/>
      <c r="L7270" s="181"/>
      <c r="M7270" s="181"/>
      <c r="N7270" s="181"/>
      <c r="O7270" s="181"/>
      <c r="P7270" s="181"/>
    </row>
    <row r="7271">
      <c r="B7271" s="292"/>
      <c r="C7271" s="181"/>
      <c r="D7271" s="181"/>
      <c r="E7271" s="181"/>
      <c r="F7271" s="181"/>
      <c r="G7271" s="181"/>
      <c r="H7271" s="181"/>
      <c r="I7271" s="181"/>
      <c r="J7271" s="181"/>
      <c r="K7271" s="181"/>
      <c r="L7271" s="181"/>
      <c r="M7271" s="181"/>
      <c r="N7271" s="181"/>
      <c r="O7271" s="181"/>
      <c r="P7271" s="181"/>
    </row>
    <row r="7272">
      <c r="B7272" s="292"/>
      <c r="C7272" s="181"/>
      <c r="D7272" s="181"/>
      <c r="E7272" s="181"/>
      <c r="F7272" s="181"/>
      <c r="G7272" s="181"/>
      <c r="H7272" s="181"/>
      <c r="I7272" s="181"/>
      <c r="J7272" s="181"/>
      <c r="K7272" s="181"/>
      <c r="L7272" s="181"/>
      <c r="M7272" s="181"/>
      <c r="N7272" s="181"/>
      <c r="O7272" s="181"/>
      <c r="P7272" s="181"/>
    </row>
    <row r="7273">
      <c r="B7273" s="292"/>
      <c r="C7273" s="181"/>
      <c r="D7273" s="181"/>
      <c r="E7273" s="181"/>
      <c r="F7273" s="181"/>
      <c r="G7273" s="181"/>
      <c r="H7273" s="181"/>
      <c r="I7273" s="181"/>
      <c r="J7273" s="181"/>
      <c r="K7273" s="181"/>
      <c r="L7273" s="181"/>
      <c r="M7273" s="181"/>
      <c r="N7273" s="181"/>
      <c r="O7273" s="181"/>
      <c r="P7273" s="181"/>
    </row>
    <row r="7274">
      <c r="B7274" s="292"/>
      <c r="C7274" s="181"/>
      <c r="D7274" s="181"/>
      <c r="E7274" s="181"/>
      <c r="F7274" s="181"/>
      <c r="G7274" s="181"/>
      <c r="H7274" s="181"/>
      <c r="I7274" s="181"/>
      <c r="J7274" s="181"/>
      <c r="K7274" s="181"/>
      <c r="L7274" s="181"/>
      <c r="M7274" s="181"/>
      <c r="N7274" s="181"/>
      <c r="O7274" s="181"/>
      <c r="P7274" s="181"/>
    </row>
    <row r="7275">
      <c r="B7275" s="292"/>
      <c r="C7275" s="181"/>
      <c r="D7275" s="181"/>
      <c r="E7275" s="181"/>
      <c r="F7275" s="181"/>
      <c r="G7275" s="181"/>
      <c r="H7275" s="181"/>
      <c r="I7275" s="181"/>
      <c r="J7275" s="181"/>
      <c r="K7275" s="181"/>
      <c r="L7275" s="181"/>
      <c r="M7275" s="181"/>
      <c r="N7275" s="181"/>
      <c r="O7275" s="181"/>
      <c r="P7275" s="181"/>
    </row>
    <row r="7276">
      <c r="B7276" s="292"/>
      <c r="C7276" s="181"/>
      <c r="D7276" s="181"/>
      <c r="E7276" s="181"/>
      <c r="F7276" s="181"/>
      <c r="G7276" s="181"/>
      <c r="H7276" s="181"/>
      <c r="I7276" s="181"/>
      <c r="J7276" s="181"/>
      <c r="K7276" s="181"/>
      <c r="L7276" s="181"/>
      <c r="M7276" s="181"/>
      <c r="N7276" s="181"/>
      <c r="O7276" s="181"/>
      <c r="P7276" s="181"/>
    </row>
    <row r="7277">
      <c r="B7277" s="292"/>
      <c r="C7277" s="181"/>
      <c r="D7277" s="181"/>
      <c r="E7277" s="181"/>
      <c r="F7277" s="181"/>
      <c r="G7277" s="181"/>
      <c r="H7277" s="181"/>
      <c r="I7277" s="181"/>
      <c r="J7277" s="181"/>
      <c r="K7277" s="181"/>
      <c r="L7277" s="181"/>
      <c r="M7277" s="181"/>
      <c r="N7277" s="181"/>
      <c r="O7277" s="181"/>
      <c r="P7277" s="181"/>
    </row>
    <row r="7278">
      <c r="B7278" s="292"/>
      <c r="C7278" s="181"/>
      <c r="D7278" s="181"/>
      <c r="E7278" s="181"/>
      <c r="F7278" s="181"/>
      <c r="G7278" s="181"/>
      <c r="H7278" s="181"/>
      <c r="I7278" s="181"/>
      <c r="J7278" s="181"/>
      <c r="K7278" s="181"/>
      <c r="L7278" s="181"/>
      <c r="M7278" s="181"/>
      <c r="N7278" s="181"/>
      <c r="O7278" s="181"/>
      <c r="P7278" s="181"/>
    </row>
    <row r="7279">
      <c r="B7279" s="292"/>
      <c r="C7279" s="181"/>
      <c r="D7279" s="181"/>
      <c r="E7279" s="181"/>
      <c r="F7279" s="181"/>
      <c r="G7279" s="181"/>
      <c r="H7279" s="181"/>
      <c r="I7279" s="181"/>
      <c r="J7279" s="181"/>
      <c r="K7279" s="181"/>
      <c r="L7279" s="181"/>
      <c r="M7279" s="181"/>
      <c r="N7279" s="181"/>
      <c r="O7279" s="181"/>
      <c r="P7279" s="181"/>
    </row>
    <row r="7280">
      <c r="B7280" s="292"/>
      <c r="C7280" s="181"/>
      <c r="D7280" s="181"/>
      <c r="E7280" s="181"/>
      <c r="F7280" s="181"/>
      <c r="G7280" s="181"/>
      <c r="H7280" s="181"/>
      <c r="I7280" s="181"/>
      <c r="J7280" s="181"/>
      <c r="K7280" s="181"/>
      <c r="L7280" s="181"/>
      <c r="M7280" s="181"/>
      <c r="N7280" s="181"/>
      <c r="O7280" s="181"/>
      <c r="P7280" s="181"/>
    </row>
    <row r="7281">
      <c r="B7281" s="292"/>
      <c r="C7281" s="181"/>
      <c r="D7281" s="181"/>
      <c r="E7281" s="181"/>
      <c r="F7281" s="181"/>
      <c r="G7281" s="181"/>
      <c r="H7281" s="181"/>
      <c r="I7281" s="181"/>
      <c r="J7281" s="181"/>
      <c r="K7281" s="181"/>
      <c r="L7281" s="181"/>
      <c r="M7281" s="181"/>
      <c r="N7281" s="181"/>
      <c r="O7281" s="181"/>
      <c r="P7281" s="181"/>
    </row>
    <row r="7282">
      <c r="B7282" s="292"/>
      <c r="C7282" s="181"/>
      <c r="D7282" s="181"/>
      <c r="E7282" s="181"/>
      <c r="F7282" s="181"/>
      <c r="G7282" s="181"/>
      <c r="H7282" s="181"/>
      <c r="I7282" s="181"/>
      <c r="J7282" s="181"/>
      <c r="K7282" s="181"/>
      <c r="L7282" s="181"/>
      <c r="M7282" s="181"/>
      <c r="N7282" s="181"/>
      <c r="O7282" s="181"/>
      <c r="P7282" s="181"/>
    </row>
    <row r="7283">
      <c r="B7283" s="292"/>
      <c r="C7283" s="181"/>
      <c r="D7283" s="181"/>
      <c r="E7283" s="181"/>
      <c r="F7283" s="181"/>
      <c r="G7283" s="181"/>
      <c r="H7283" s="181"/>
      <c r="I7283" s="181"/>
      <c r="J7283" s="181"/>
      <c r="K7283" s="181"/>
      <c r="L7283" s="181"/>
      <c r="M7283" s="181"/>
      <c r="N7283" s="181"/>
      <c r="O7283" s="181"/>
      <c r="P7283" s="181"/>
    </row>
    <row r="7284">
      <c r="B7284" s="292"/>
      <c r="C7284" s="181"/>
      <c r="D7284" s="181"/>
      <c r="E7284" s="181"/>
      <c r="F7284" s="181"/>
      <c r="G7284" s="181"/>
      <c r="H7284" s="181"/>
      <c r="I7284" s="181"/>
      <c r="J7284" s="181"/>
      <c r="K7284" s="181"/>
      <c r="L7284" s="181"/>
      <c r="M7284" s="181"/>
      <c r="N7284" s="181"/>
      <c r="O7284" s="181"/>
      <c r="P7284" s="181"/>
    </row>
    <row r="7285">
      <c r="B7285" s="292"/>
      <c r="C7285" s="181"/>
      <c r="D7285" s="181"/>
      <c r="E7285" s="181"/>
      <c r="F7285" s="181"/>
      <c r="G7285" s="181"/>
      <c r="H7285" s="181"/>
      <c r="I7285" s="181"/>
      <c r="J7285" s="181"/>
      <c r="K7285" s="181"/>
      <c r="L7285" s="181"/>
      <c r="M7285" s="181"/>
      <c r="N7285" s="181"/>
      <c r="O7285" s="181"/>
      <c r="P7285" s="181"/>
    </row>
    <row r="7286">
      <c r="B7286" s="292"/>
      <c r="C7286" s="181"/>
      <c r="D7286" s="181"/>
      <c r="E7286" s="181"/>
      <c r="F7286" s="181"/>
      <c r="G7286" s="181"/>
      <c r="H7286" s="181"/>
      <c r="I7286" s="181"/>
      <c r="J7286" s="181"/>
      <c r="K7286" s="181"/>
      <c r="L7286" s="181"/>
      <c r="M7286" s="181"/>
      <c r="N7286" s="181"/>
      <c r="O7286" s="181"/>
      <c r="P7286" s="181"/>
    </row>
    <row r="7287">
      <c r="B7287" s="292"/>
      <c r="C7287" s="181"/>
      <c r="D7287" s="181"/>
      <c r="E7287" s="181"/>
      <c r="F7287" s="181"/>
      <c r="G7287" s="181"/>
      <c r="H7287" s="181"/>
      <c r="I7287" s="181"/>
      <c r="J7287" s="181"/>
      <c r="K7287" s="181"/>
      <c r="L7287" s="181"/>
      <c r="M7287" s="181"/>
      <c r="N7287" s="181"/>
      <c r="O7287" s="181"/>
      <c r="P7287" s="181"/>
    </row>
    <row r="7288">
      <c r="B7288" s="292"/>
      <c r="C7288" s="181"/>
      <c r="D7288" s="181"/>
      <c r="E7288" s="181"/>
      <c r="F7288" s="181"/>
      <c r="G7288" s="181"/>
      <c r="H7288" s="181"/>
      <c r="I7288" s="181"/>
      <c r="J7288" s="181"/>
      <c r="K7288" s="181"/>
      <c r="L7288" s="181"/>
      <c r="M7288" s="181"/>
      <c r="N7288" s="181"/>
      <c r="O7288" s="181"/>
      <c r="P7288" s="181"/>
    </row>
    <row r="7289">
      <c r="B7289" s="292"/>
      <c r="C7289" s="181"/>
      <c r="D7289" s="181"/>
      <c r="E7289" s="181"/>
      <c r="F7289" s="181"/>
      <c r="G7289" s="181"/>
      <c r="H7289" s="181"/>
      <c r="I7289" s="181"/>
      <c r="J7289" s="181"/>
      <c r="K7289" s="181"/>
      <c r="L7289" s="181"/>
      <c r="M7289" s="181"/>
      <c r="N7289" s="181"/>
      <c r="O7289" s="181"/>
      <c r="P7289" s="181"/>
    </row>
    <row r="7290">
      <c r="B7290" s="292"/>
      <c r="C7290" s="181"/>
      <c r="D7290" s="181"/>
      <c r="E7290" s="181"/>
      <c r="F7290" s="181"/>
      <c r="G7290" s="181"/>
      <c r="H7290" s="181"/>
      <c r="I7290" s="181"/>
      <c r="J7290" s="181"/>
      <c r="K7290" s="181"/>
      <c r="L7290" s="181"/>
      <c r="M7290" s="181"/>
      <c r="N7290" s="181"/>
      <c r="O7290" s="181"/>
      <c r="P7290" s="181"/>
    </row>
    <row r="7291">
      <c r="B7291" s="292"/>
      <c r="C7291" s="181"/>
      <c r="D7291" s="181"/>
      <c r="E7291" s="181"/>
      <c r="F7291" s="181"/>
      <c r="G7291" s="181"/>
      <c r="H7291" s="181"/>
      <c r="I7291" s="181"/>
      <c r="J7291" s="181"/>
      <c r="K7291" s="181"/>
      <c r="L7291" s="181"/>
      <c r="M7291" s="181"/>
      <c r="N7291" s="181"/>
      <c r="O7291" s="181"/>
      <c r="P7291" s="181"/>
    </row>
    <row r="7292">
      <c r="B7292" s="292"/>
      <c r="C7292" s="181"/>
      <c r="D7292" s="181"/>
      <c r="E7292" s="181"/>
      <c r="F7292" s="181"/>
      <c r="G7292" s="181"/>
      <c r="H7292" s="181"/>
      <c r="I7292" s="181"/>
      <c r="J7292" s="181"/>
      <c r="K7292" s="181"/>
      <c r="L7292" s="181"/>
      <c r="M7292" s="181"/>
      <c r="N7292" s="181"/>
      <c r="O7292" s="181"/>
      <c r="P7292" s="181"/>
    </row>
    <row r="7293">
      <c r="B7293" s="292"/>
      <c r="C7293" s="181"/>
      <c r="D7293" s="181"/>
      <c r="E7293" s="181"/>
      <c r="F7293" s="181"/>
      <c r="G7293" s="181"/>
      <c r="H7293" s="181"/>
      <c r="I7293" s="181"/>
      <c r="J7293" s="181"/>
      <c r="K7293" s="181"/>
      <c r="L7293" s="181"/>
      <c r="M7293" s="181"/>
      <c r="N7293" s="181"/>
      <c r="O7293" s="181"/>
      <c r="P7293" s="181"/>
    </row>
    <row r="7294">
      <c r="B7294" s="292"/>
      <c r="C7294" s="181"/>
      <c r="D7294" s="181"/>
      <c r="E7294" s="181"/>
      <c r="F7294" s="181"/>
      <c r="G7294" s="181"/>
      <c r="H7294" s="181"/>
      <c r="I7294" s="181"/>
      <c r="J7294" s="181"/>
      <c r="K7294" s="181"/>
      <c r="L7294" s="181"/>
      <c r="M7294" s="181"/>
      <c r="N7294" s="181"/>
      <c r="O7294" s="181"/>
      <c r="P7294" s="181"/>
    </row>
    <row r="7295">
      <c r="B7295" s="292"/>
      <c r="C7295" s="181"/>
      <c r="D7295" s="181"/>
      <c r="E7295" s="181"/>
      <c r="F7295" s="181"/>
      <c r="G7295" s="181"/>
      <c r="H7295" s="181"/>
      <c r="I7295" s="181"/>
      <c r="J7295" s="181"/>
      <c r="K7295" s="181"/>
      <c r="L7295" s="181"/>
      <c r="M7295" s="181"/>
      <c r="N7295" s="181"/>
      <c r="O7295" s="181"/>
      <c r="P7295" s="181"/>
    </row>
    <row r="7296">
      <c r="B7296" s="292"/>
      <c r="C7296" s="181"/>
      <c r="D7296" s="181"/>
      <c r="E7296" s="181"/>
      <c r="F7296" s="181"/>
      <c r="G7296" s="181"/>
      <c r="H7296" s="181"/>
      <c r="I7296" s="181"/>
      <c r="J7296" s="181"/>
      <c r="K7296" s="181"/>
      <c r="L7296" s="181"/>
      <c r="M7296" s="181"/>
      <c r="N7296" s="181"/>
      <c r="O7296" s="181"/>
      <c r="P7296" s="181"/>
    </row>
    <row r="7297">
      <c r="B7297" s="292"/>
      <c r="C7297" s="181"/>
      <c r="D7297" s="181"/>
      <c r="E7297" s="181"/>
      <c r="F7297" s="181"/>
      <c r="G7297" s="181"/>
      <c r="H7297" s="181"/>
      <c r="I7297" s="181"/>
      <c r="J7297" s="181"/>
      <c r="K7297" s="181"/>
      <c r="L7297" s="181"/>
      <c r="M7297" s="181"/>
      <c r="N7297" s="181"/>
      <c r="O7297" s="181"/>
      <c r="P7297" s="181"/>
    </row>
    <row r="7298">
      <c r="B7298" s="292"/>
      <c r="C7298" s="181"/>
      <c r="D7298" s="181"/>
      <c r="E7298" s="181"/>
      <c r="F7298" s="181"/>
      <c r="G7298" s="181"/>
      <c r="H7298" s="181"/>
      <c r="I7298" s="181"/>
      <c r="J7298" s="181"/>
      <c r="K7298" s="181"/>
      <c r="L7298" s="181"/>
      <c r="M7298" s="181"/>
      <c r="N7298" s="181"/>
      <c r="O7298" s="181"/>
      <c r="P7298" s="181"/>
    </row>
    <row r="7299">
      <c r="B7299" s="292"/>
      <c r="C7299" s="181"/>
      <c r="D7299" s="181"/>
      <c r="E7299" s="181"/>
      <c r="F7299" s="181"/>
      <c r="G7299" s="181"/>
      <c r="H7299" s="181"/>
      <c r="I7299" s="181"/>
      <c r="J7299" s="181"/>
      <c r="K7299" s="181"/>
      <c r="L7299" s="181"/>
      <c r="M7299" s="181"/>
      <c r="N7299" s="181"/>
      <c r="O7299" s="181"/>
      <c r="P7299" s="181"/>
    </row>
    <row r="7300">
      <c r="B7300" s="292"/>
      <c r="C7300" s="181"/>
      <c r="D7300" s="181"/>
      <c r="E7300" s="181"/>
      <c r="F7300" s="181"/>
      <c r="G7300" s="181"/>
      <c r="H7300" s="181"/>
      <c r="I7300" s="181"/>
      <c r="J7300" s="181"/>
      <c r="K7300" s="181"/>
      <c r="L7300" s="181"/>
      <c r="M7300" s="181"/>
      <c r="N7300" s="181"/>
      <c r="O7300" s="181"/>
      <c r="P7300" s="181"/>
    </row>
    <row r="7301">
      <c r="B7301" s="292"/>
      <c r="C7301" s="181"/>
      <c r="D7301" s="181"/>
      <c r="E7301" s="181"/>
      <c r="F7301" s="181"/>
      <c r="G7301" s="181"/>
      <c r="H7301" s="181"/>
      <c r="I7301" s="181"/>
      <c r="J7301" s="181"/>
      <c r="K7301" s="181"/>
      <c r="L7301" s="181"/>
      <c r="M7301" s="181"/>
      <c r="N7301" s="181"/>
      <c r="O7301" s="181"/>
      <c r="P7301" s="181"/>
    </row>
    <row r="7302">
      <c r="B7302" s="292"/>
      <c r="C7302" s="181"/>
      <c r="D7302" s="181"/>
      <c r="E7302" s="181"/>
      <c r="F7302" s="181"/>
      <c r="G7302" s="181"/>
      <c r="H7302" s="181"/>
      <c r="I7302" s="181"/>
      <c r="J7302" s="181"/>
      <c r="K7302" s="181"/>
      <c r="L7302" s="181"/>
      <c r="M7302" s="181"/>
      <c r="N7302" s="181"/>
      <c r="O7302" s="181"/>
      <c r="P7302" s="181"/>
    </row>
    <row r="7303">
      <c r="B7303" s="292"/>
      <c r="C7303" s="181"/>
      <c r="D7303" s="181"/>
      <c r="E7303" s="181"/>
      <c r="F7303" s="181"/>
      <c r="G7303" s="181"/>
      <c r="H7303" s="181"/>
      <c r="I7303" s="181"/>
      <c r="J7303" s="181"/>
      <c r="K7303" s="181"/>
      <c r="L7303" s="181"/>
      <c r="M7303" s="181"/>
      <c r="N7303" s="181"/>
      <c r="O7303" s="181"/>
      <c r="P7303" s="181"/>
    </row>
    <row r="7304">
      <c r="B7304" s="292"/>
      <c r="C7304" s="181"/>
      <c r="D7304" s="181"/>
      <c r="E7304" s="181"/>
      <c r="F7304" s="181"/>
      <c r="G7304" s="181"/>
      <c r="H7304" s="181"/>
      <c r="I7304" s="181"/>
      <c r="J7304" s="181"/>
      <c r="K7304" s="181"/>
      <c r="L7304" s="181"/>
      <c r="M7304" s="181"/>
      <c r="N7304" s="181"/>
      <c r="O7304" s="181"/>
      <c r="P7304" s="181"/>
    </row>
    <row r="7305">
      <c r="B7305" s="292"/>
      <c r="C7305" s="181"/>
      <c r="D7305" s="181"/>
      <c r="E7305" s="181"/>
      <c r="F7305" s="181"/>
      <c r="G7305" s="181"/>
      <c r="H7305" s="181"/>
      <c r="I7305" s="181"/>
      <c r="J7305" s="181"/>
      <c r="K7305" s="181"/>
      <c r="L7305" s="181"/>
      <c r="M7305" s="181"/>
      <c r="N7305" s="181"/>
      <c r="O7305" s="181"/>
      <c r="P7305" s="181"/>
    </row>
    <row r="7306">
      <c r="B7306" s="292"/>
      <c r="C7306" s="181"/>
      <c r="D7306" s="181"/>
      <c r="E7306" s="181"/>
      <c r="F7306" s="181"/>
      <c r="G7306" s="181"/>
      <c r="H7306" s="181"/>
      <c r="I7306" s="181"/>
      <c r="J7306" s="181"/>
      <c r="K7306" s="181"/>
      <c r="L7306" s="181"/>
      <c r="M7306" s="181"/>
      <c r="N7306" s="181"/>
      <c r="O7306" s="181"/>
      <c r="P7306" s="181"/>
    </row>
    <row r="7307">
      <c r="B7307" s="292"/>
      <c r="C7307" s="181"/>
      <c r="D7307" s="181"/>
      <c r="E7307" s="181"/>
      <c r="F7307" s="181"/>
      <c r="G7307" s="181"/>
      <c r="H7307" s="181"/>
      <c r="I7307" s="181"/>
      <c r="J7307" s="181"/>
      <c r="K7307" s="181"/>
      <c r="L7307" s="181"/>
      <c r="M7307" s="181"/>
      <c r="N7307" s="181"/>
      <c r="O7307" s="181"/>
      <c r="P7307" s="181"/>
    </row>
    <row r="7308">
      <c r="B7308" s="292"/>
      <c r="C7308" s="181"/>
      <c r="D7308" s="181"/>
      <c r="E7308" s="181"/>
      <c r="F7308" s="181"/>
      <c r="G7308" s="181"/>
      <c r="H7308" s="181"/>
      <c r="I7308" s="181"/>
      <c r="J7308" s="181"/>
      <c r="K7308" s="181"/>
      <c r="L7308" s="181"/>
      <c r="M7308" s="181"/>
      <c r="N7308" s="181"/>
      <c r="O7308" s="181"/>
      <c r="P7308" s="181"/>
    </row>
    <row r="7309">
      <c r="B7309" s="292"/>
      <c r="C7309" s="181"/>
      <c r="D7309" s="181"/>
      <c r="E7309" s="181"/>
      <c r="F7309" s="181"/>
      <c r="G7309" s="181"/>
      <c r="H7309" s="181"/>
      <c r="I7309" s="181"/>
      <c r="J7309" s="181"/>
      <c r="K7309" s="181"/>
      <c r="L7309" s="181"/>
      <c r="M7309" s="181"/>
      <c r="N7309" s="181"/>
      <c r="O7309" s="181"/>
      <c r="P7309" s="181"/>
    </row>
    <row r="7310">
      <c r="B7310" s="292"/>
      <c r="C7310" s="181"/>
      <c r="D7310" s="181"/>
      <c r="E7310" s="181"/>
      <c r="F7310" s="181"/>
      <c r="G7310" s="181"/>
      <c r="H7310" s="181"/>
      <c r="I7310" s="181"/>
      <c r="J7310" s="181"/>
      <c r="K7310" s="181"/>
      <c r="L7310" s="181"/>
      <c r="M7310" s="181"/>
      <c r="N7310" s="181"/>
      <c r="O7310" s="181"/>
      <c r="P7310" s="181"/>
    </row>
    <row r="7311">
      <c r="B7311" s="292"/>
      <c r="C7311" s="181"/>
      <c r="D7311" s="181"/>
      <c r="E7311" s="181"/>
      <c r="F7311" s="181"/>
      <c r="G7311" s="181"/>
      <c r="H7311" s="181"/>
      <c r="I7311" s="181"/>
      <c r="J7311" s="181"/>
      <c r="K7311" s="181"/>
      <c r="L7311" s="181"/>
      <c r="M7311" s="181"/>
      <c r="N7311" s="181"/>
      <c r="O7311" s="181"/>
      <c r="P7311" s="181"/>
    </row>
    <row r="7312">
      <c r="B7312" s="292"/>
      <c r="C7312" s="181"/>
      <c r="D7312" s="181"/>
      <c r="E7312" s="181"/>
      <c r="F7312" s="181"/>
      <c r="G7312" s="181"/>
      <c r="H7312" s="181"/>
      <c r="I7312" s="181"/>
      <c r="J7312" s="181"/>
      <c r="K7312" s="181"/>
      <c r="L7312" s="181"/>
      <c r="M7312" s="181"/>
      <c r="N7312" s="181"/>
      <c r="O7312" s="181"/>
      <c r="P7312" s="181"/>
    </row>
    <row r="7313">
      <c r="B7313" s="292"/>
      <c r="C7313" s="181"/>
      <c r="D7313" s="181"/>
      <c r="E7313" s="181"/>
      <c r="F7313" s="181"/>
      <c r="G7313" s="181"/>
      <c r="H7313" s="181"/>
      <c r="I7313" s="181"/>
      <c r="J7313" s="181"/>
      <c r="K7313" s="181"/>
      <c r="L7313" s="181"/>
      <c r="M7313" s="181"/>
      <c r="N7313" s="181"/>
      <c r="O7313" s="181"/>
      <c r="P7313" s="181"/>
    </row>
    <row r="7314">
      <c r="B7314" s="292"/>
      <c r="C7314" s="181"/>
      <c r="D7314" s="181"/>
      <c r="E7314" s="181"/>
      <c r="F7314" s="181"/>
      <c r="G7314" s="181"/>
      <c r="H7314" s="181"/>
      <c r="I7314" s="181"/>
      <c r="J7314" s="181"/>
      <c r="K7314" s="181"/>
      <c r="L7314" s="181"/>
      <c r="M7314" s="181"/>
      <c r="N7314" s="181"/>
      <c r="O7314" s="181"/>
      <c r="P7314" s="181"/>
    </row>
    <row r="7315">
      <c r="B7315" s="292"/>
      <c r="C7315" s="181"/>
      <c r="D7315" s="181"/>
      <c r="E7315" s="181"/>
      <c r="F7315" s="181"/>
      <c r="G7315" s="181"/>
      <c r="H7315" s="181"/>
      <c r="I7315" s="181"/>
      <c r="J7315" s="181"/>
      <c r="K7315" s="181"/>
      <c r="L7315" s="181"/>
      <c r="M7315" s="181"/>
      <c r="N7315" s="181"/>
      <c r="O7315" s="181"/>
      <c r="P7315" s="181"/>
    </row>
    <row r="7316">
      <c r="B7316" s="292"/>
      <c r="C7316" s="181"/>
      <c r="D7316" s="181"/>
      <c r="E7316" s="181"/>
      <c r="F7316" s="181"/>
      <c r="G7316" s="181"/>
      <c r="H7316" s="181"/>
      <c r="I7316" s="181"/>
      <c r="J7316" s="181"/>
      <c r="K7316" s="181"/>
      <c r="L7316" s="181"/>
      <c r="M7316" s="181"/>
      <c r="N7316" s="181"/>
      <c r="O7316" s="181"/>
      <c r="P7316" s="181"/>
    </row>
    <row r="7317">
      <c r="B7317" s="292"/>
      <c r="C7317" s="181"/>
      <c r="D7317" s="181"/>
      <c r="E7317" s="181"/>
      <c r="F7317" s="181"/>
      <c r="G7317" s="181"/>
      <c r="H7317" s="181"/>
      <c r="I7317" s="181"/>
      <c r="J7317" s="181"/>
      <c r="K7317" s="181"/>
      <c r="L7317" s="181"/>
      <c r="M7317" s="181"/>
      <c r="N7317" s="181"/>
      <c r="O7317" s="181"/>
      <c r="P7317" s="181"/>
    </row>
    <row r="7318">
      <c r="B7318" s="292"/>
      <c r="C7318" s="181"/>
      <c r="D7318" s="181"/>
      <c r="E7318" s="181"/>
      <c r="F7318" s="181"/>
      <c r="G7318" s="181"/>
      <c r="H7318" s="181"/>
      <c r="I7318" s="181"/>
      <c r="J7318" s="181"/>
      <c r="K7318" s="181"/>
      <c r="L7318" s="181"/>
      <c r="M7318" s="181"/>
      <c r="N7318" s="181"/>
      <c r="O7318" s="181"/>
      <c r="P7318" s="181"/>
    </row>
    <row r="7319">
      <c r="B7319" s="292"/>
      <c r="C7319" s="181"/>
      <c r="D7319" s="181"/>
      <c r="E7319" s="181"/>
      <c r="F7319" s="181"/>
      <c r="G7319" s="181"/>
      <c r="H7319" s="181"/>
      <c r="I7319" s="181"/>
      <c r="J7319" s="181"/>
      <c r="K7319" s="181"/>
      <c r="L7319" s="181"/>
      <c r="M7319" s="181"/>
      <c r="N7319" s="181"/>
      <c r="O7319" s="181"/>
      <c r="P7319" s="181"/>
    </row>
    <row r="7320">
      <c r="B7320" s="292"/>
      <c r="C7320" s="181"/>
      <c r="D7320" s="181"/>
      <c r="E7320" s="181"/>
      <c r="F7320" s="181"/>
      <c r="G7320" s="181"/>
      <c r="H7320" s="181"/>
      <c r="I7320" s="181"/>
      <c r="J7320" s="181"/>
      <c r="K7320" s="181"/>
      <c r="L7320" s="181"/>
      <c r="M7320" s="181"/>
      <c r="N7320" s="181"/>
      <c r="O7320" s="181"/>
      <c r="P7320" s="181"/>
    </row>
    <row r="7321">
      <c r="B7321" s="292"/>
      <c r="C7321" s="181"/>
      <c r="D7321" s="181"/>
      <c r="E7321" s="181"/>
      <c r="F7321" s="181"/>
      <c r="G7321" s="181"/>
      <c r="H7321" s="181"/>
      <c r="I7321" s="181"/>
      <c r="J7321" s="181"/>
      <c r="K7321" s="181"/>
      <c r="L7321" s="181"/>
      <c r="M7321" s="181"/>
      <c r="N7321" s="181"/>
      <c r="O7321" s="181"/>
      <c r="P7321" s="181"/>
    </row>
    <row r="7322">
      <c r="B7322" s="292"/>
      <c r="C7322" s="181"/>
      <c r="D7322" s="181"/>
      <c r="E7322" s="181"/>
      <c r="F7322" s="181"/>
      <c r="G7322" s="181"/>
      <c r="H7322" s="181"/>
      <c r="I7322" s="181"/>
      <c r="J7322" s="181"/>
      <c r="K7322" s="181"/>
      <c r="L7322" s="181"/>
      <c r="M7322" s="181"/>
      <c r="N7322" s="181"/>
      <c r="O7322" s="181"/>
      <c r="P7322" s="181"/>
    </row>
    <row r="7323">
      <c r="B7323" s="292"/>
      <c r="C7323" s="181"/>
      <c r="D7323" s="181"/>
      <c r="E7323" s="181"/>
      <c r="F7323" s="181"/>
      <c r="G7323" s="181"/>
      <c r="H7323" s="181"/>
      <c r="I7323" s="181"/>
      <c r="J7323" s="181"/>
      <c r="K7323" s="181"/>
      <c r="L7323" s="181"/>
      <c r="M7323" s="181"/>
      <c r="N7323" s="181"/>
      <c r="O7323" s="181"/>
      <c r="P7323" s="181"/>
    </row>
    <row r="7324">
      <c r="B7324" s="292"/>
      <c r="C7324" s="181"/>
      <c r="D7324" s="181"/>
      <c r="E7324" s="181"/>
      <c r="F7324" s="181"/>
      <c r="G7324" s="181"/>
      <c r="H7324" s="181"/>
      <c r="I7324" s="181"/>
      <c r="J7324" s="181"/>
      <c r="K7324" s="181"/>
      <c r="L7324" s="181"/>
      <c r="M7324" s="181"/>
      <c r="N7324" s="181"/>
      <c r="O7324" s="181"/>
      <c r="P7324" s="181"/>
    </row>
    <row r="7325">
      <c r="B7325" s="292"/>
      <c r="C7325" s="181"/>
      <c r="D7325" s="181"/>
      <c r="E7325" s="181"/>
      <c r="F7325" s="181"/>
      <c r="G7325" s="181"/>
      <c r="H7325" s="181"/>
      <c r="I7325" s="181"/>
      <c r="J7325" s="181"/>
      <c r="K7325" s="181"/>
      <c r="L7325" s="181"/>
      <c r="M7325" s="181"/>
      <c r="N7325" s="181"/>
      <c r="O7325" s="181"/>
      <c r="P7325" s="181"/>
    </row>
    <row r="7326">
      <c r="B7326" s="292"/>
      <c r="C7326" s="181"/>
      <c r="D7326" s="181"/>
      <c r="E7326" s="181"/>
      <c r="F7326" s="181"/>
      <c r="G7326" s="181"/>
      <c r="H7326" s="181"/>
      <c r="I7326" s="181"/>
      <c r="J7326" s="181"/>
      <c r="K7326" s="181"/>
      <c r="L7326" s="181"/>
      <c r="M7326" s="181"/>
      <c r="N7326" s="181"/>
      <c r="O7326" s="181"/>
      <c r="P7326" s="181"/>
    </row>
    <row r="7327">
      <c r="B7327" s="292"/>
      <c r="C7327" s="181"/>
      <c r="D7327" s="181"/>
      <c r="E7327" s="181"/>
      <c r="F7327" s="181"/>
      <c r="G7327" s="181"/>
      <c r="H7327" s="181"/>
      <c r="I7327" s="181"/>
      <c r="J7327" s="181"/>
      <c r="K7327" s="181"/>
      <c r="L7327" s="181"/>
      <c r="M7327" s="181"/>
      <c r="N7327" s="181"/>
      <c r="O7327" s="181"/>
      <c r="P7327" s="181"/>
    </row>
    <row r="7328">
      <c r="B7328" s="292"/>
      <c r="C7328" s="181"/>
      <c r="D7328" s="181"/>
      <c r="E7328" s="181"/>
      <c r="F7328" s="181"/>
      <c r="G7328" s="181"/>
      <c r="H7328" s="181"/>
      <c r="I7328" s="181"/>
      <c r="J7328" s="181"/>
      <c r="K7328" s="181"/>
      <c r="L7328" s="181"/>
      <c r="M7328" s="181"/>
      <c r="N7328" s="181"/>
      <c r="O7328" s="181"/>
      <c r="P7328" s="181"/>
    </row>
    <row r="7329">
      <c r="B7329" s="292"/>
      <c r="C7329" s="181"/>
      <c r="D7329" s="181"/>
      <c r="E7329" s="181"/>
      <c r="F7329" s="181"/>
      <c r="G7329" s="181"/>
      <c r="H7329" s="181"/>
      <c r="I7329" s="181"/>
      <c r="J7329" s="181"/>
      <c r="K7329" s="181"/>
      <c r="L7329" s="181"/>
      <c r="M7329" s="181"/>
      <c r="N7329" s="181"/>
      <c r="O7329" s="181"/>
      <c r="P7329" s="181"/>
    </row>
    <row r="7330">
      <c r="B7330" s="292"/>
      <c r="C7330" s="181"/>
      <c r="D7330" s="181"/>
      <c r="E7330" s="181"/>
      <c r="F7330" s="181"/>
      <c r="G7330" s="181"/>
      <c r="H7330" s="181"/>
      <c r="I7330" s="181"/>
      <c r="J7330" s="181"/>
      <c r="K7330" s="181"/>
      <c r="L7330" s="181"/>
      <c r="M7330" s="181"/>
      <c r="N7330" s="181"/>
      <c r="O7330" s="181"/>
      <c r="P7330" s="181"/>
    </row>
    <row r="7331">
      <c r="B7331" s="292"/>
      <c r="C7331" s="181"/>
      <c r="D7331" s="181"/>
      <c r="E7331" s="181"/>
      <c r="F7331" s="181"/>
      <c r="G7331" s="181"/>
      <c r="H7331" s="181"/>
      <c r="I7331" s="181"/>
      <c r="J7331" s="181"/>
      <c r="K7331" s="181"/>
      <c r="L7331" s="181"/>
      <c r="M7331" s="181"/>
      <c r="N7331" s="181"/>
      <c r="O7331" s="181"/>
      <c r="P7331" s="181"/>
    </row>
    <row r="7332">
      <c r="B7332" s="292"/>
      <c r="C7332" s="181"/>
      <c r="D7332" s="181"/>
      <c r="E7332" s="181"/>
      <c r="F7332" s="181"/>
      <c r="G7332" s="181"/>
      <c r="H7332" s="181"/>
      <c r="I7332" s="181"/>
      <c r="J7332" s="181"/>
      <c r="K7332" s="181"/>
      <c r="L7332" s="181"/>
      <c r="M7332" s="181"/>
      <c r="N7332" s="181"/>
      <c r="O7332" s="181"/>
      <c r="P7332" s="181"/>
    </row>
    <row r="7333">
      <c r="B7333" s="292"/>
      <c r="C7333" s="181"/>
      <c r="D7333" s="181"/>
      <c r="E7333" s="181"/>
      <c r="F7333" s="181"/>
      <c r="G7333" s="181"/>
      <c r="H7333" s="181"/>
      <c r="I7333" s="181"/>
      <c r="J7333" s="181"/>
      <c r="K7333" s="181"/>
      <c r="L7333" s="181"/>
      <c r="M7333" s="181"/>
      <c r="N7333" s="181"/>
      <c r="O7333" s="181"/>
      <c r="P7333" s="181"/>
    </row>
    <row r="7334">
      <c r="B7334" s="292"/>
      <c r="C7334" s="181"/>
      <c r="D7334" s="181"/>
      <c r="E7334" s="181"/>
      <c r="F7334" s="181"/>
      <c r="G7334" s="181"/>
      <c r="H7334" s="181"/>
      <c r="I7334" s="181"/>
      <c r="J7334" s="181"/>
      <c r="K7334" s="181"/>
      <c r="L7334" s="181"/>
      <c r="M7334" s="181"/>
      <c r="N7334" s="181"/>
      <c r="O7334" s="181"/>
      <c r="P7334" s="181"/>
    </row>
    <row r="7335">
      <c r="B7335" s="292"/>
      <c r="C7335" s="181"/>
      <c r="D7335" s="181"/>
      <c r="E7335" s="181"/>
      <c r="F7335" s="181"/>
      <c r="G7335" s="181"/>
      <c r="H7335" s="181"/>
      <c r="I7335" s="181"/>
      <c r="J7335" s="181"/>
      <c r="K7335" s="181"/>
      <c r="L7335" s="181"/>
      <c r="M7335" s="181"/>
      <c r="N7335" s="181"/>
      <c r="O7335" s="181"/>
      <c r="P7335" s="181"/>
    </row>
    <row r="7336">
      <c r="B7336" s="292"/>
      <c r="C7336" s="181"/>
      <c r="D7336" s="181"/>
      <c r="E7336" s="181"/>
      <c r="F7336" s="181"/>
      <c r="G7336" s="181"/>
      <c r="H7336" s="181"/>
      <c r="I7336" s="181"/>
      <c r="J7336" s="181"/>
      <c r="K7336" s="181"/>
      <c r="L7336" s="181"/>
      <c r="M7336" s="181"/>
      <c r="N7336" s="181"/>
      <c r="O7336" s="181"/>
      <c r="P7336" s="181"/>
    </row>
    <row r="7337">
      <c r="B7337" s="292"/>
      <c r="C7337" s="181"/>
      <c r="D7337" s="181"/>
      <c r="E7337" s="181"/>
      <c r="F7337" s="181"/>
      <c r="G7337" s="181"/>
      <c r="H7337" s="181"/>
      <c r="I7337" s="181"/>
      <c r="J7337" s="181"/>
      <c r="K7337" s="181"/>
      <c r="L7337" s="181"/>
      <c r="M7337" s="181"/>
      <c r="N7337" s="181"/>
      <c r="O7337" s="181"/>
      <c r="P7337" s="181"/>
    </row>
    <row r="7338">
      <c r="B7338" s="292"/>
      <c r="C7338" s="181"/>
      <c r="D7338" s="181"/>
      <c r="E7338" s="181"/>
      <c r="F7338" s="181"/>
      <c r="G7338" s="181"/>
      <c r="H7338" s="181"/>
      <c r="I7338" s="181"/>
      <c r="J7338" s="181"/>
      <c r="K7338" s="181"/>
      <c r="L7338" s="181"/>
      <c r="M7338" s="181"/>
      <c r="N7338" s="181"/>
      <c r="O7338" s="181"/>
      <c r="P7338" s="181"/>
    </row>
    <row r="7339">
      <c r="B7339" s="292"/>
      <c r="C7339" s="181"/>
      <c r="D7339" s="181"/>
      <c r="E7339" s="181"/>
      <c r="F7339" s="181"/>
      <c r="G7339" s="181"/>
      <c r="H7339" s="181"/>
      <c r="I7339" s="181"/>
      <c r="J7339" s="181"/>
      <c r="K7339" s="181"/>
      <c r="L7339" s="181"/>
      <c r="M7339" s="181"/>
      <c r="N7339" s="181"/>
      <c r="O7339" s="181"/>
      <c r="P7339" s="181"/>
    </row>
    <row r="7340">
      <c r="B7340" s="292"/>
      <c r="C7340" s="181"/>
      <c r="D7340" s="181"/>
      <c r="E7340" s="181"/>
      <c r="F7340" s="181"/>
      <c r="G7340" s="181"/>
      <c r="H7340" s="181"/>
      <c r="I7340" s="181"/>
      <c r="J7340" s="181"/>
      <c r="K7340" s="181"/>
      <c r="L7340" s="181"/>
      <c r="M7340" s="181"/>
      <c r="N7340" s="181"/>
      <c r="O7340" s="181"/>
      <c r="P7340" s="181"/>
    </row>
    <row r="7341">
      <c r="B7341" s="292"/>
      <c r="C7341" s="181"/>
      <c r="D7341" s="181"/>
      <c r="E7341" s="181"/>
      <c r="F7341" s="181"/>
      <c r="G7341" s="181"/>
      <c r="H7341" s="181"/>
      <c r="I7341" s="181"/>
      <c r="J7341" s="181"/>
      <c r="K7341" s="181"/>
      <c r="L7341" s="181"/>
      <c r="M7341" s="181"/>
      <c r="N7341" s="181"/>
      <c r="O7341" s="181"/>
      <c r="P7341" s="181"/>
    </row>
    <row r="7342">
      <c r="B7342" s="292"/>
      <c r="C7342" s="181"/>
      <c r="D7342" s="181"/>
      <c r="E7342" s="181"/>
      <c r="F7342" s="181"/>
      <c r="G7342" s="181"/>
      <c r="H7342" s="181"/>
      <c r="I7342" s="181"/>
      <c r="J7342" s="181"/>
      <c r="K7342" s="181"/>
      <c r="L7342" s="181"/>
      <c r="M7342" s="181"/>
      <c r="N7342" s="181"/>
      <c r="O7342" s="181"/>
      <c r="P7342" s="181"/>
    </row>
    <row r="7343">
      <c r="B7343" s="292"/>
      <c r="C7343" s="181"/>
      <c r="D7343" s="181"/>
      <c r="E7343" s="181"/>
      <c r="F7343" s="181"/>
      <c r="G7343" s="181"/>
      <c r="H7343" s="181"/>
      <c r="I7343" s="181"/>
      <c r="J7343" s="181"/>
      <c r="K7343" s="181"/>
      <c r="L7343" s="181"/>
      <c r="M7343" s="181"/>
      <c r="N7343" s="181"/>
      <c r="O7343" s="181"/>
      <c r="P7343" s="181"/>
    </row>
    <row r="7344">
      <c r="B7344" s="292"/>
      <c r="C7344" s="181"/>
      <c r="D7344" s="181"/>
      <c r="E7344" s="181"/>
      <c r="F7344" s="181"/>
      <c r="G7344" s="181"/>
      <c r="H7344" s="181"/>
      <c r="I7344" s="181"/>
      <c r="J7344" s="181"/>
      <c r="K7344" s="181"/>
      <c r="L7344" s="181"/>
      <c r="M7344" s="181"/>
      <c r="N7344" s="181"/>
      <c r="O7344" s="181"/>
      <c r="P7344" s="181"/>
    </row>
    <row r="7345">
      <c r="B7345" s="292"/>
      <c r="C7345" s="181"/>
      <c r="D7345" s="181"/>
      <c r="E7345" s="181"/>
      <c r="F7345" s="181"/>
      <c r="G7345" s="181"/>
      <c r="H7345" s="181"/>
      <c r="I7345" s="181"/>
      <c r="J7345" s="181"/>
      <c r="K7345" s="181"/>
      <c r="L7345" s="181"/>
      <c r="M7345" s="181"/>
      <c r="N7345" s="181"/>
      <c r="O7345" s="181"/>
      <c r="P7345" s="181"/>
    </row>
    <row r="7346">
      <c r="B7346" s="292"/>
      <c r="C7346" s="181"/>
      <c r="D7346" s="181"/>
      <c r="E7346" s="181"/>
      <c r="F7346" s="181"/>
      <c r="G7346" s="181"/>
      <c r="H7346" s="181"/>
      <c r="I7346" s="181"/>
      <c r="J7346" s="181"/>
      <c r="K7346" s="181"/>
      <c r="L7346" s="181"/>
      <c r="M7346" s="181"/>
      <c r="N7346" s="181"/>
      <c r="O7346" s="181"/>
      <c r="P7346" s="181"/>
    </row>
    <row r="7347">
      <c r="B7347" s="292"/>
      <c r="C7347" s="181"/>
      <c r="D7347" s="181"/>
      <c r="E7347" s="181"/>
      <c r="F7347" s="181"/>
      <c r="G7347" s="181"/>
      <c r="H7347" s="181"/>
      <c r="I7347" s="181"/>
      <c r="J7347" s="181"/>
      <c r="K7347" s="181"/>
      <c r="L7347" s="181"/>
      <c r="M7347" s="181"/>
      <c r="N7347" s="181"/>
      <c r="O7347" s="181"/>
      <c r="P7347" s="181"/>
    </row>
    <row r="7348">
      <c r="B7348" s="292"/>
      <c r="C7348" s="181"/>
      <c r="D7348" s="181"/>
      <c r="E7348" s="181"/>
      <c r="F7348" s="181"/>
      <c r="G7348" s="181"/>
      <c r="H7348" s="181"/>
      <c r="I7348" s="181"/>
      <c r="J7348" s="181"/>
      <c r="K7348" s="181"/>
      <c r="L7348" s="181"/>
      <c r="M7348" s="181"/>
      <c r="N7348" s="181"/>
      <c r="O7348" s="181"/>
      <c r="P7348" s="181"/>
    </row>
    <row r="7349">
      <c r="B7349" s="292"/>
      <c r="C7349" s="181"/>
      <c r="D7349" s="181"/>
      <c r="E7349" s="181"/>
      <c r="F7349" s="181"/>
      <c r="G7349" s="181"/>
      <c r="H7349" s="181"/>
      <c r="I7349" s="181"/>
      <c r="J7349" s="181"/>
      <c r="K7349" s="181"/>
      <c r="L7349" s="181"/>
      <c r="M7349" s="181"/>
      <c r="N7349" s="181"/>
      <c r="O7349" s="181"/>
      <c r="P7349" s="181"/>
    </row>
    <row r="7350">
      <c r="B7350" s="292"/>
      <c r="C7350" s="181"/>
      <c r="D7350" s="181"/>
      <c r="E7350" s="181"/>
      <c r="F7350" s="181"/>
      <c r="G7350" s="181"/>
      <c r="H7350" s="181"/>
      <c r="I7350" s="181"/>
      <c r="J7350" s="181"/>
      <c r="K7350" s="181"/>
      <c r="L7350" s="181"/>
      <c r="M7350" s="181"/>
      <c r="N7350" s="181"/>
      <c r="O7350" s="181"/>
      <c r="P7350" s="181"/>
    </row>
    <row r="7351">
      <c r="B7351" s="292"/>
      <c r="C7351" s="181"/>
      <c r="D7351" s="181"/>
      <c r="E7351" s="181"/>
      <c r="F7351" s="181"/>
      <c r="G7351" s="181"/>
      <c r="H7351" s="181"/>
      <c r="I7351" s="181"/>
      <c r="J7351" s="181"/>
      <c r="K7351" s="181"/>
      <c r="L7351" s="181"/>
      <c r="M7351" s="181"/>
      <c r="N7351" s="181"/>
      <c r="O7351" s="181"/>
      <c r="P7351" s="181"/>
    </row>
    <row r="7352">
      <c r="B7352" s="292"/>
      <c r="C7352" s="181"/>
      <c r="D7352" s="181"/>
      <c r="E7352" s="181"/>
      <c r="F7352" s="181"/>
      <c r="G7352" s="181"/>
      <c r="H7352" s="181"/>
      <c r="I7352" s="181"/>
      <c r="J7352" s="181"/>
      <c r="K7352" s="181"/>
      <c r="L7352" s="181"/>
      <c r="M7352" s="181"/>
      <c r="N7352" s="181"/>
      <c r="O7352" s="181"/>
      <c r="P7352" s="181"/>
    </row>
    <row r="7353">
      <c r="B7353" s="292"/>
      <c r="C7353" s="181"/>
      <c r="D7353" s="181"/>
      <c r="E7353" s="181"/>
      <c r="F7353" s="181"/>
      <c r="G7353" s="181"/>
      <c r="H7353" s="181"/>
      <c r="I7353" s="181"/>
      <c r="J7353" s="181"/>
      <c r="K7353" s="181"/>
      <c r="L7353" s="181"/>
      <c r="M7353" s="181"/>
      <c r="N7353" s="181"/>
      <c r="O7353" s="181"/>
      <c r="P7353" s="181"/>
    </row>
    <row r="7354">
      <c r="B7354" s="292"/>
      <c r="C7354" s="181"/>
      <c r="D7354" s="181"/>
      <c r="E7354" s="181"/>
      <c r="F7354" s="181"/>
      <c r="G7354" s="181"/>
      <c r="H7354" s="181"/>
      <c r="I7354" s="181"/>
      <c r="J7354" s="181"/>
      <c r="K7354" s="181"/>
      <c r="L7354" s="181"/>
      <c r="M7354" s="181"/>
      <c r="N7354" s="181"/>
      <c r="O7354" s="181"/>
      <c r="P7354" s="181"/>
    </row>
    <row r="7355">
      <c r="B7355" s="292"/>
      <c r="C7355" s="181"/>
      <c r="D7355" s="181"/>
      <c r="E7355" s="181"/>
      <c r="F7355" s="181"/>
      <c r="G7355" s="181"/>
      <c r="H7355" s="181"/>
      <c r="I7355" s="181"/>
      <c r="J7355" s="181"/>
      <c r="K7355" s="181"/>
      <c r="L7355" s="181"/>
      <c r="M7355" s="181"/>
      <c r="N7355" s="181"/>
      <c r="O7355" s="181"/>
      <c r="P7355" s="181"/>
    </row>
    <row r="7356">
      <c r="B7356" s="292"/>
      <c r="C7356" s="181"/>
      <c r="D7356" s="181"/>
      <c r="E7356" s="181"/>
      <c r="F7356" s="181"/>
      <c r="G7356" s="181"/>
      <c r="H7356" s="181"/>
      <c r="I7356" s="181"/>
      <c r="J7356" s="181"/>
      <c r="K7356" s="181"/>
      <c r="L7356" s="181"/>
      <c r="M7356" s="181"/>
      <c r="N7356" s="181"/>
      <c r="O7356" s="181"/>
      <c r="P7356" s="181"/>
    </row>
    <row r="7357">
      <c r="B7357" s="292"/>
      <c r="C7357" s="181"/>
      <c r="D7357" s="181"/>
      <c r="E7357" s="181"/>
      <c r="F7357" s="181"/>
      <c r="G7357" s="181"/>
      <c r="H7357" s="181"/>
      <c r="I7357" s="181"/>
      <c r="J7357" s="181"/>
      <c r="K7357" s="181"/>
      <c r="L7357" s="181"/>
      <c r="M7357" s="181"/>
      <c r="N7357" s="181"/>
      <c r="O7357" s="181"/>
      <c r="P7357" s="181"/>
    </row>
    <row r="7358">
      <c r="B7358" s="292"/>
      <c r="C7358" s="181"/>
      <c r="D7358" s="181"/>
      <c r="E7358" s="181"/>
      <c r="F7358" s="181"/>
      <c r="G7358" s="181"/>
      <c r="H7358" s="181"/>
      <c r="I7358" s="181"/>
      <c r="J7358" s="181"/>
      <c r="K7358" s="181"/>
      <c r="L7358" s="181"/>
      <c r="M7358" s="181"/>
      <c r="N7358" s="181"/>
      <c r="O7358" s="181"/>
      <c r="P7358" s="181"/>
    </row>
    <row r="7359">
      <c r="B7359" s="292"/>
      <c r="C7359" s="181"/>
      <c r="D7359" s="181"/>
      <c r="E7359" s="181"/>
      <c r="F7359" s="181"/>
      <c r="G7359" s="181"/>
      <c r="H7359" s="181"/>
      <c r="I7359" s="181"/>
      <c r="J7359" s="181"/>
      <c r="K7359" s="181"/>
      <c r="L7359" s="181"/>
      <c r="M7359" s="181"/>
      <c r="N7359" s="181"/>
      <c r="O7359" s="181"/>
      <c r="P7359" s="181"/>
    </row>
    <row r="7360">
      <c r="B7360" s="292"/>
      <c r="C7360" s="181"/>
      <c r="D7360" s="181"/>
      <c r="E7360" s="181"/>
      <c r="F7360" s="181"/>
      <c r="G7360" s="181"/>
      <c r="H7360" s="181"/>
      <c r="I7360" s="181"/>
      <c r="J7360" s="181"/>
      <c r="K7360" s="181"/>
      <c r="L7360" s="181"/>
      <c r="M7360" s="181"/>
      <c r="N7360" s="181"/>
      <c r="O7360" s="181"/>
      <c r="P7360" s="181"/>
    </row>
    <row r="7361">
      <c r="B7361" s="292"/>
      <c r="C7361" s="181"/>
      <c r="D7361" s="181"/>
      <c r="E7361" s="181"/>
      <c r="F7361" s="181"/>
      <c r="G7361" s="181"/>
      <c r="H7361" s="181"/>
      <c r="I7361" s="181"/>
      <c r="J7361" s="181"/>
      <c r="K7361" s="181"/>
      <c r="L7361" s="181"/>
      <c r="M7361" s="181"/>
      <c r="N7361" s="181"/>
      <c r="O7361" s="181"/>
      <c r="P7361" s="181"/>
    </row>
    <row r="7362">
      <c r="B7362" s="292"/>
      <c r="C7362" s="181"/>
      <c r="D7362" s="181"/>
      <c r="E7362" s="181"/>
      <c r="F7362" s="181"/>
      <c r="G7362" s="181"/>
      <c r="H7362" s="181"/>
      <c r="I7362" s="181"/>
      <c r="J7362" s="181"/>
      <c r="K7362" s="181"/>
      <c r="L7362" s="181"/>
      <c r="M7362" s="181"/>
      <c r="N7362" s="181"/>
      <c r="O7362" s="181"/>
      <c r="P7362" s="181"/>
    </row>
    <row r="7363">
      <c r="B7363" s="292"/>
      <c r="C7363" s="181"/>
      <c r="D7363" s="181"/>
      <c r="E7363" s="181"/>
      <c r="F7363" s="181"/>
      <c r="G7363" s="181"/>
      <c r="H7363" s="181"/>
      <c r="I7363" s="181"/>
      <c r="J7363" s="181"/>
      <c r="K7363" s="181"/>
      <c r="L7363" s="181"/>
      <c r="M7363" s="181"/>
      <c r="N7363" s="181"/>
      <c r="O7363" s="181"/>
      <c r="P7363" s="181"/>
    </row>
    <row r="7364">
      <c r="B7364" s="292"/>
      <c r="C7364" s="181"/>
      <c r="D7364" s="181"/>
      <c r="E7364" s="181"/>
      <c r="F7364" s="181"/>
      <c r="G7364" s="181"/>
      <c r="H7364" s="181"/>
      <c r="I7364" s="181"/>
      <c r="J7364" s="181"/>
      <c r="K7364" s="181"/>
      <c r="L7364" s="181"/>
      <c r="M7364" s="181"/>
      <c r="N7364" s="181"/>
      <c r="O7364" s="181"/>
      <c r="P7364" s="181"/>
    </row>
    <row r="7365">
      <c r="B7365" s="292"/>
      <c r="C7365" s="181"/>
      <c r="D7365" s="181"/>
      <c r="E7365" s="181"/>
      <c r="F7365" s="181"/>
      <c r="G7365" s="181"/>
      <c r="H7365" s="181"/>
      <c r="I7365" s="181"/>
      <c r="J7365" s="181"/>
      <c r="K7365" s="181"/>
      <c r="L7365" s="181"/>
      <c r="M7365" s="181"/>
      <c r="N7365" s="181"/>
      <c r="O7365" s="181"/>
      <c r="P7365" s="181"/>
    </row>
    <row r="7366">
      <c r="B7366" s="292"/>
      <c r="C7366" s="181"/>
      <c r="D7366" s="181"/>
      <c r="E7366" s="181"/>
      <c r="F7366" s="181"/>
      <c r="G7366" s="181"/>
      <c r="H7366" s="181"/>
      <c r="I7366" s="181"/>
      <c r="J7366" s="181"/>
      <c r="K7366" s="181"/>
      <c r="L7366" s="181"/>
      <c r="M7366" s="181"/>
      <c r="N7366" s="181"/>
      <c r="O7366" s="181"/>
      <c r="P7366" s="181"/>
    </row>
    <row r="7367">
      <c r="B7367" s="292"/>
      <c r="C7367" s="181"/>
      <c r="D7367" s="181"/>
      <c r="E7367" s="181"/>
      <c r="F7367" s="181"/>
      <c r="G7367" s="181"/>
      <c r="H7367" s="181"/>
      <c r="I7367" s="181"/>
      <c r="J7367" s="181"/>
      <c r="K7367" s="181"/>
      <c r="L7367" s="181"/>
      <c r="M7367" s="181"/>
      <c r="N7367" s="181"/>
      <c r="O7367" s="181"/>
      <c r="P7367" s="181"/>
    </row>
    <row r="7368">
      <c r="B7368" s="292"/>
      <c r="C7368" s="181"/>
      <c r="D7368" s="181"/>
      <c r="E7368" s="181"/>
      <c r="F7368" s="181"/>
      <c r="G7368" s="181"/>
      <c r="H7368" s="181"/>
      <c r="I7368" s="181"/>
      <c r="J7368" s="181"/>
      <c r="K7368" s="181"/>
      <c r="L7368" s="181"/>
      <c r="M7368" s="181"/>
      <c r="N7368" s="181"/>
      <c r="O7368" s="181"/>
      <c r="P7368" s="181"/>
    </row>
    <row r="7369">
      <c r="B7369" s="292"/>
      <c r="C7369" s="181"/>
      <c r="D7369" s="181"/>
      <c r="E7369" s="181"/>
      <c r="F7369" s="181"/>
      <c r="G7369" s="181"/>
      <c r="H7369" s="181"/>
      <c r="I7369" s="181"/>
      <c r="J7369" s="181"/>
      <c r="K7369" s="181"/>
      <c r="L7369" s="181"/>
      <c r="M7369" s="181"/>
      <c r="N7369" s="181"/>
      <c r="O7369" s="181"/>
      <c r="P7369" s="181"/>
    </row>
    <row r="7370">
      <c r="B7370" s="292"/>
      <c r="C7370" s="181"/>
      <c r="D7370" s="181"/>
      <c r="E7370" s="181"/>
      <c r="F7370" s="181"/>
      <c r="G7370" s="181"/>
      <c r="H7370" s="181"/>
      <c r="I7370" s="181"/>
      <c r="J7370" s="181"/>
      <c r="K7370" s="181"/>
      <c r="L7370" s="181"/>
      <c r="M7370" s="181"/>
      <c r="N7370" s="181"/>
      <c r="O7370" s="181"/>
      <c r="P7370" s="181"/>
    </row>
    <row r="7371">
      <c r="B7371" s="292"/>
      <c r="C7371" s="181"/>
      <c r="D7371" s="181"/>
      <c r="E7371" s="181"/>
      <c r="F7371" s="181"/>
      <c r="G7371" s="181"/>
      <c r="H7371" s="181"/>
      <c r="I7371" s="181"/>
      <c r="J7371" s="181"/>
      <c r="K7371" s="181"/>
      <c r="L7371" s="181"/>
      <c r="M7371" s="181"/>
      <c r="N7371" s="181"/>
      <c r="O7371" s="181"/>
      <c r="P7371" s="181"/>
    </row>
    <row r="7372">
      <c r="B7372" s="292"/>
      <c r="C7372" s="181"/>
      <c r="D7372" s="181"/>
      <c r="E7372" s="181"/>
      <c r="F7372" s="181"/>
      <c r="G7372" s="181"/>
      <c r="H7372" s="181"/>
      <c r="I7372" s="181"/>
      <c r="J7372" s="181"/>
      <c r="K7372" s="181"/>
      <c r="L7372" s="181"/>
      <c r="M7372" s="181"/>
      <c r="N7372" s="181"/>
      <c r="O7372" s="181"/>
      <c r="P7372" s="181"/>
    </row>
    <row r="7373">
      <c r="B7373" s="292"/>
      <c r="C7373" s="181"/>
      <c r="D7373" s="181"/>
      <c r="E7373" s="181"/>
      <c r="F7373" s="181"/>
      <c r="G7373" s="181"/>
      <c r="H7373" s="181"/>
      <c r="I7373" s="181"/>
      <c r="J7373" s="181"/>
      <c r="K7373" s="181"/>
      <c r="L7373" s="181"/>
      <c r="M7373" s="181"/>
      <c r="N7373" s="181"/>
      <c r="O7373" s="181"/>
      <c r="P7373" s="181"/>
    </row>
    <row r="7374">
      <c r="B7374" s="292"/>
      <c r="C7374" s="181"/>
      <c r="D7374" s="181"/>
      <c r="E7374" s="181"/>
      <c r="F7374" s="181"/>
      <c r="G7374" s="181"/>
      <c r="H7374" s="181"/>
      <c r="I7374" s="181"/>
      <c r="J7374" s="181"/>
      <c r="K7374" s="181"/>
      <c r="L7374" s="181"/>
      <c r="M7374" s="181"/>
      <c r="N7374" s="181"/>
      <c r="O7374" s="181"/>
      <c r="P7374" s="181"/>
    </row>
    <row r="7375">
      <c r="B7375" s="292"/>
      <c r="C7375" s="181"/>
      <c r="D7375" s="181"/>
      <c r="E7375" s="181"/>
      <c r="F7375" s="181"/>
      <c r="G7375" s="181"/>
      <c r="H7375" s="181"/>
      <c r="I7375" s="181"/>
      <c r="J7375" s="181"/>
      <c r="K7375" s="181"/>
      <c r="L7375" s="181"/>
      <c r="M7375" s="181"/>
      <c r="N7375" s="181"/>
      <c r="O7375" s="181"/>
      <c r="P7375" s="181"/>
    </row>
    <row r="7376">
      <c r="B7376" s="292"/>
      <c r="C7376" s="181"/>
      <c r="D7376" s="181"/>
      <c r="E7376" s="181"/>
      <c r="F7376" s="181"/>
      <c r="G7376" s="181"/>
      <c r="H7376" s="181"/>
      <c r="I7376" s="181"/>
      <c r="J7376" s="181"/>
      <c r="K7376" s="181"/>
      <c r="L7376" s="181"/>
      <c r="M7376" s="181"/>
      <c r="N7376" s="181"/>
      <c r="O7376" s="181"/>
      <c r="P7376" s="181"/>
    </row>
    <row r="7377">
      <c r="B7377" s="292"/>
      <c r="C7377" s="181"/>
      <c r="D7377" s="181"/>
      <c r="E7377" s="181"/>
      <c r="F7377" s="181"/>
      <c r="G7377" s="181"/>
      <c r="H7377" s="181"/>
      <c r="I7377" s="181"/>
      <c r="J7377" s="181"/>
      <c r="K7377" s="181"/>
      <c r="L7377" s="181"/>
      <c r="M7377" s="181"/>
      <c r="N7377" s="181"/>
      <c r="O7377" s="181"/>
      <c r="P7377" s="181"/>
    </row>
    <row r="7378">
      <c r="B7378" s="292"/>
      <c r="C7378" s="181"/>
      <c r="D7378" s="181"/>
      <c r="E7378" s="181"/>
      <c r="F7378" s="181"/>
      <c r="G7378" s="181"/>
      <c r="H7378" s="181"/>
      <c r="I7378" s="181"/>
      <c r="J7378" s="181"/>
      <c r="K7378" s="181"/>
      <c r="L7378" s="181"/>
      <c r="M7378" s="181"/>
      <c r="N7378" s="181"/>
      <c r="O7378" s="181"/>
      <c r="P7378" s="181"/>
    </row>
    <row r="7379">
      <c r="B7379" s="292"/>
      <c r="C7379" s="181"/>
      <c r="D7379" s="181"/>
      <c r="E7379" s="181"/>
      <c r="F7379" s="181"/>
      <c r="G7379" s="181"/>
      <c r="H7379" s="181"/>
      <c r="I7379" s="181"/>
      <c r="J7379" s="181"/>
      <c r="K7379" s="181"/>
      <c r="L7379" s="181"/>
      <c r="M7379" s="181"/>
      <c r="N7379" s="181"/>
      <c r="O7379" s="181"/>
      <c r="P7379" s="181"/>
    </row>
    <row r="7380">
      <c r="B7380" s="292"/>
      <c r="C7380" s="181"/>
      <c r="D7380" s="181"/>
      <c r="E7380" s="181"/>
      <c r="F7380" s="181"/>
      <c r="G7380" s="181"/>
      <c r="H7380" s="181"/>
      <c r="I7380" s="181"/>
      <c r="J7380" s="181"/>
      <c r="K7380" s="181"/>
      <c r="L7380" s="181"/>
      <c r="M7380" s="181"/>
      <c r="N7380" s="181"/>
      <c r="O7380" s="181"/>
      <c r="P7380" s="181"/>
    </row>
    <row r="7381">
      <c r="B7381" s="292"/>
      <c r="C7381" s="181"/>
      <c r="D7381" s="181"/>
      <c r="E7381" s="181"/>
      <c r="F7381" s="181"/>
      <c r="G7381" s="181"/>
      <c r="H7381" s="181"/>
      <c r="I7381" s="181"/>
      <c r="J7381" s="181"/>
      <c r="K7381" s="181"/>
      <c r="L7381" s="181"/>
      <c r="M7381" s="181"/>
      <c r="N7381" s="181"/>
      <c r="O7381" s="181"/>
      <c r="P7381" s="181"/>
    </row>
    <row r="7382">
      <c r="B7382" s="292"/>
      <c r="C7382" s="181"/>
      <c r="D7382" s="181"/>
      <c r="E7382" s="181"/>
      <c r="F7382" s="181"/>
      <c r="G7382" s="181"/>
      <c r="H7382" s="181"/>
      <c r="I7382" s="181"/>
      <c r="J7382" s="181"/>
      <c r="K7382" s="181"/>
      <c r="L7382" s="181"/>
      <c r="M7382" s="181"/>
      <c r="N7382" s="181"/>
      <c r="O7382" s="181"/>
      <c r="P7382" s="181"/>
    </row>
    <row r="7383">
      <c r="B7383" s="292"/>
      <c r="C7383" s="181"/>
      <c r="D7383" s="181"/>
      <c r="E7383" s="181"/>
      <c r="F7383" s="181"/>
      <c r="G7383" s="181"/>
      <c r="H7383" s="181"/>
      <c r="I7383" s="181"/>
      <c r="J7383" s="181"/>
      <c r="K7383" s="181"/>
      <c r="L7383" s="181"/>
      <c r="M7383" s="181"/>
      <c r="N7383" s="181"/>
      <c r="O7383" s="181"/>
      <c r="P7383" s="181"/>
    </row>
    <row r="7384">
      <c r="B7384" s="292"/>
      <c r="C7384" s="181"/>
      <c r="D7384" s="181"/>
      <c r="E7384" s="181"/>
      <c r="F7384" s="181"/>
      <c r="G7384" s="181"/>
      <c r="H7384" s="181"/>
      <c r="I7384" s="181"/>
      <c r="J7384" s="181"/>
      <c r="K7384" s="181"/>
      <c r="L7384" s="181"/>
      <c r="M7384" s="181"/>
      <c r="N7384" s="181"/>
      <c r="O7384" s="181"/>
      <c r="P7384" s="181"/>
    </row>
    <row r="7385">
      <c r="B7385" s="292"/>
      <c r="C7385" s="181"/>
      <c r="D7385" s="181"/>
      <c r="E7385" s="181"/>
      <c r="F7385" s="181"/>
      <c r="G7385" s="181"/>
      <c r="H7385" s="181"/>
      <c r="I7385" s="181"/>
      <c r="J7385" s="181"/>
      <c r="K7385" s="181"/>
      <c r="L7385" s="181"/>
      <c r="M7385" s="181"/>
      <c r="N7385" s="181"/>
      <c r="O7385" s="181"/>
      <c r="P7385" s="181"/>
    </row>
    <row r="7386">
      <c r="B7386" s="292"/>
      <c r="C7386" s="181"/>
      <c r="D7386" s="181"/>
      <c r="E7386" s="181"/>
      <c r="F7386" s="181"/>
      <c r="G7386" s="181"/>
      <c r="H7386" s="181"/>
      <c r="I7386" s="181"/>
      <c r="J7386" s="181"/>
      <c r="K7386" s="181"/>
      <c r="L7386" s="181"/>
      <c r="M7386" s="181"/>
      <c r="N7386" s="181"/>
      <c r="O7386" s="181"/>
      <c r="P7386" s="181"/>
    </row>
    <row r="7387">
      <c r="B7387" s="292"/>
      <c r="C7387" s="181"/>
      <c r="D7387" s="181"/>
      <c r="E7387" s="181"/>
      <c r="F7387" s="181"/>
      <c r="G7387" s="181"/>
      <c r="H7387" s="181"/>
      <c r="I7387" s="181"/>
      <c r="J7387" s="181"/>
      <c r="K7387" s="181"/>
      <c r="L7387" s="181"/>
      <c r="M7387" s="181"/>
      <c r="N7387" s="181"/>
      <c r="O7387" s="181"/>
      <c r="P7387" s="181"/>
    </row>
    <row r="7388">
      <c r="B7388" s="292"/>
      <c r="C7388" s="181"/>
      <c r="D7388" s="181"/>
      <c r="E7388" s="181"/>
      <c r="F7388" s="181"/>
      <c r="G7388" s="181"/>
      <c r="H7388" s="181"/>
      <c r="I7388" s="181"/>
      <c r="J7388" s="181"/>
      <c r="K7388" s="181"/>
      <c r="L7388" s="181"/>
      <c r="M7388" s="181"/>
      <c r="N7388" s="181"/>
      <c r="O7388" s="181"/>
      <c r="P7388" s="181"/>
    </row>
    <row r="7389">
      <c r="B7389" s="292"/>
      <c r="C7389" s="181"/>
      <c r="D7389" s="181"/>
      <c r="E7389" s="181"/>
      <c r="F7389" s="181"/>
      <c r="G7389" s="181"/>
      <c r="H7389" s="181"/>
      <c r="I7389" s="181"/>
      <c r="J7389" s="181"/>
      <c r="K7389" s="181"/>
      <c r="L7389" s="181"/>
      <c r="M7389" s="181"/>
      <c r="N7389" s="181"/>
      <c r="O7389" s="181"/>
      <c r="P7389" s="181"/>
    </row>
    <row r="7390">
      <c r="B7390" s="292"/>
      <c r="C7390" s="181"/>
      <c r="D7390" s="181"/>
      <c r="E7390" s="181"/>
      <c r="F7390" s="181"/>
      <c r="G7390" s="181"/>
      <c r="H7390" s="181"/>
      <c r="I7390" s="181"/>
      <c r="J7390" s="181"/>
      <c r="K7390" s="181"/>
      <c r="L7390" s="181"/>
      <c r="M7390" s="181"/>
      <c r="N7390" s="181"/>
      <c r="O7390" s="181"/>
      <c r="P7390" s="181"/>
    </row>
    <row r="7391">
      <c r="B7391" s="292"/>
      <c r="C7391" s="181"/>
      <c r="D7391" s="181"/>
      <c r="E7391" s="181"/>
      <c r="F7391" s="181"/>
      <c r="G7391" s="181"/>
      <c r="H7391" s="181"/>
      <c r="I7391" s="181"/>
      <c r="J7391" s="181"/>
      <c r="K7391" s="181"/>
      <c r="L7391" s="181"/>
      <c r="M7391" s="181"/>
      <c r="N7391" s="181"/>
      <c r="O7391" s="181"/>
      <c r="P7391" s="181"/>
    </row>
    <row r="7392">
      <c r="B7392" s="292"/>
      <c r="C7392" s="181"/>
      <c r="D7392" s="181"/>
      <c r="E7392" s="181"/>
      <c r="F7392" s="181"/>
      <c r="G7392" s="181"/>
      <c r="H7392" s="181"/>
      <c r="I7392" s="181"/>
      <c r="J7392" s="181"/>
      <c r="K7392" s="181"/>
      <c r="L7392" s="181"/>
      <c r="M7392" s="181"/>
      <c r="N7392" s="181"/>
      <c r="O7392" s="181"/>
      <c r="P7392" s="181"/>
    </row>
    <row r="7393">
      <c r="B7393" s="292"/>
      <c r="C7393" s="181"/>
      <c r="D7393" s="181"/>
      <c r="E7393" s="181"/>
      <c r="F7393" s="181"/>
      <c r="G7393" s="181"/>
      <c r="H7393" s="181"/>
      <c r="I7393" s="181"/>
      <c r="J7393" s="181"/>
      <c r="K7393" s="181"/>
      <c r="L7393" s="181"/>
      <c r="M7393" s="181"/>
      <c r="N7393" s="181"/>
      <c r="O7393" s="181"/>
      <c r="P7393" s="181"/>
    </row>
    <row r="7394">
      <c r="B7394" s="292"/>
      <c r="C7394" s="181"/>
      <c r="D7394" s="181"/>
      <c r="E7394" s="181"/>
      <c r="F7394" s="181"/>
      <c r="G7394" s="181"/>
      <c r="H7394" s="181"/>
      <c r="I7394" s="181"/>
      <c r="J7394" s="181"/>
      <c r="K7394" s="181"/>
      <c r="L7394" s="181"/>
      <c r="M7394" s="181"/>
      <c r="N7394" s="181"/>
      <c r="O7394" s="181"/>
      <c r="P7394" s="181"/>
    </row>
    <row r="7395">
      <c r="B7395" s="292"/>
      <c r="C7395" s="181"/>
      <c r="D7395" s="181"/>
      <c r="E7395" s="181"/>
      <c r="F7395" s="181"/>
      <c r="G7395" s="181"/>
      <c r="H7395" s="181"/>
      <c r="I7395" s="181"/>
      <c r="J7395" s="181"/>
      <c r="K7395" s="181"/>
      <c r="L7395" s="181"/>
      <c r="M7395" s="181"/>
      <c r="N7395" s="181"/>
      <c r="O7395" s="181"/>
      <c r="P7395" s="181"/>
    </row>
    <row r="7396">
      <c r="B7396" s="292"/>
      <c r="C7396" s="181"/>
      <c r="D7396" s="181"/>
      <c r="E7396" s="181"/>
      <c r="F7396" s="181"/>
      <c r="G7396" s="181"/>
      <c r="H7396" s="181"/>
      <c r="I7396" s="181"/>
      <c r="J7396" s="181"/>
      <c r="K7396" s="181"/>
      <c r="L7396" s="181"/>
      <c r="M7396" s="181"/>
      <c r="N7396" s="181"/>
      <c r="O7396" s="181"/>
      <c r="P7396" s="181"/>
    </row>
    <row r="7397">
      <c r="B7397" s="292"/>
      <c r="C7397" s="181"/>
      <c r="D7397" s="181"/>
      <c r="E7397" s="181"/>
      <c r="F7397" s="181"/>
      <c r="G7397" s="181"/>
      <c r="H7397" s="181"/>
      <c r="I7397" s="181"/>
      <c r="J7397" s="181"/>
      <c r="K7397" s="181"/>
      <c r="L7397" s="181"/>
      <c r="M7397" s="181"/>
      <c r="N7397" s="181"/>
      <c r="O7397" s="181"/>
      <c r="P7397" s="181"/>
    </row>
    <row r="7398">
      <c r="B7398" s="292"/>
      <c r="C7398" s="181"/>
      <c r="D7398" s="181"/>
      <c r="E7398" s="181"/>
      <c r="F7398" s="181"/>
      <c r="G7398" s="181"/>
      <c r="H7398" s="181"/>
      <c r="I7398" s="181"/>
      <c r="J7398" s="181"/>
      <c r="K7398" s="181"/>
      <c r="L7398" s="181"/>
      <c r="M7398" s="181"/>
      <c r="N7398" s="181"/>
      <c r="O7398" s="181"/>
      <c r="P7398" s="181"/>
    </row>
    <row r="7399">
      <c r="B7399" s="292"/>
      <c r="C7399" s="181"/>
      <c r="D7399" s="181"/>
      <c r="E7399" s="181"/>
      <c r="F7399" s="181"/>
      <c r="G7399" s="181"/>
      <c r="H7399" s="181"/>
      <c r="I7399" s="181"/>
      <c r="J7399" s="181"/>
      <c r="K7399" s="181"/>
      <c r="L7399" s="181"/>
      <c r="M7399" s="181"/>
      <c r="N7399" s="181"/>
      <c r="O7399" s="181"/>
      <c r="P7399" s="181"/>
    </row>
    <row r="7400">
      <c r="B7400" s="292"/>
      <c r="C7400" s="181"/>
      <c r="D7400" s="181"/>
      <c r="E7400" s="181"/>
      <c r="F7400" s="181"/>
      <c r="G7400" s="181"/>
      <c r="H7400" s="181"/>
      <c r="I7400" s="181"/>
      <c r="J7400" s="181"/>
      <c r="K7400" s="181"/>
      <c r="L7400" s="181"/>
      <c r="M7400" s="181"/>
      <c r="N7400" s="181"/>
      <c r="O7400" s="181"/>
      <c r="P7400" s="181"/>
    </row>
    <row r="7401">
      <c r="B7401" s="292"/>
      <c r="C7401" s="181"/>
      <c r="D7401" s="181"/>
      <c r="E7401" s="181"/>
      <c r="F7401" s="181"/>
      <c r="G7401" s="181"/>
      <c r="H7401" s="181"/>
      <c r="I7401" s="181"/>
      <c r="J7401" s="181"/>
      <c r="K7401" s="181"/>
      <c r="L7401" s="181"/>
      <c r="M7401" s="181"/>
      <c r="N7401" s="181"/>
      <c r="O7401" s="181"/>
      <c r="P7401" s="181"/>
    </row>
    <row r="7402">
      <c r="B7402" s="292"/>
      <c r="C7402" s="181"/>
      <c r="D7402" s="181"/>
      <c r="E7402" s="181"/>
      <c r="F7402" s="181"/>
      <c r="G7402" s="181"/>
      <c r="H7402" s="181"/>
      <c r="I7402" s="181"/>
      <c r="J7402" s="181"/>
      <c r="K7402" s="181"/>
      <c r="L7402" s="181"/>
      <c r="M7402" s="181"/>
      <c r="N7402" s="181"/>
      <c r="O7402" s="181"/>
      <c r="P7402" s="181"/>
    </row>
    <row r="7403">
      <c r="B7403" s="292"/>
      <c r="C7403" s="181"/>
      <c r="D7403" s="181"/>
      <c r="E7403" s="181"/>
      <c r="F7403" s="181"/>
      <c r="G7403" s="181"/>
      <c r="H7403" s="181"/>
      <c r="I7403" s="181"/>
      <c r="J7403" s="181"/>
      <c r="K7403" s="181"/>
      <c r="L7403" s="181"/>
      <c r="M7403" s="181"/>
      <c r="N7403" s="181"/>
      <c r="O7403" s="181"/>
      <c r="P7403" s="181"/>
    </row>
    <row r="7404">
      <c r="B7404" s="292"/>
      <c r="C7404" s="181"/>
      <c r="D7404" s="181"/>
      <c r="E7404" s="181"/>
      <c r="F7404" s="181"/>
      <c r="G7404" s="181"/>
      <c r="H7404" s="181"/>
      <c r="I7404" s="181"/>
      <c r="J7404" s="181"/>
      <c r="K7404" s="181"/>
      <c r="L7404" s="181"/>
      <c r="M7404" s="181"/>
      <c r="N7404" s="181"/>
      <c r="O7404" s="181"/>
      <c r="P7404" s="181"/>
    </row>
    <row r="7405">
      <c r="B7405" s="292"/>
      <c r="C7405" s="181"/>
      <c r="D7405" s="181"/>
      <c r="E7405" s="181"/>
      <c r="F7405" s="181"/>
      <c r="G7405" s="181"/>
      <c r="H7405" s="181"/>
      <c r="I7405" s="181"/>
      <c r="J7405" s="181"/>
      <c r="K7405" s="181"/>
      <c r="L7405" s="181"/>
      <c r="M7405" s="181"/>
      <c r="N7405" s="181"/>
      <c r="O7405" s="181"/>
      <c r="P7405" s="181"/>
    </row>
    <row r="7406">
      <c r="B7406" s="292"/>
      <c r="C7406" s="181"/>
      <c r="D7406" s="181"/>
      <c r="E7406" s="181"/>
      <c r="F7406" s="181"/>
      <c r="G7406" s="181"/>
      <c r="H7406" s="181"/>
      <c r="I7406" s="181"/>
      <c r="J7406" s="181"/>
      <c r="K7406" s="181"/>
      <c r="L7406" s="181"/>
      <c r="M7406" s="181"/>
      <c r="N7406" s="181"/>
      <c r="O7406" s="181"/>
      <c r="P7406" s="181"/>
    </row>
    <row r="7407">
      <c r="B7407" s="292"/>
      <c r="C7407" s="181"/>
      <c r="D7407" s="181"/>
      <c r="E7407" s="181"/>
      <c r="F7407" s="181"/>
      <c r="G7407" s="181"/>
      <c r="H7407" s="181"/>
      <c r="I7407" s="181"/>
      <c r="J7407" s="181"/>
      <c r="K7407" s="181"/>
      <c r="L7407" s="181"/>
      <c r="M7407" s="181"/>
      <c r="N7407" s="181"/>
      <c r="O7407" s="181"/>
      <c r="P7407" s="181"/>
    </row>
    <row r="7408">
      <c r="B7408" s="292"/>
      <c r="C7408" s="181"/>
      <c r="D7408" s="181"/>
      <c r="E7408" s="181"/>
      <c r="F7408" s="181"/>
      <c r="G7408" s="181"/>
      <c r="H7408" s="181"/>
      <c r="I7408" s="181"/>
      <c r="J7408" s="181"/>
      <c r="K7408" s="181"/>
      <c r="L7408" s="181"/>
      <c r="M7408" s="181"/>
      <c r="N7408" s="181"/>
      <c r="O7408" s="181"/>
      <c r="P7408" s="181"/>
    </row>
    <row r="7409">
      <c r="B7409" s="292"/>
      <c r="C7409" s="181"/>
      <c r="D7409" s="181"/>
      <c r="E7409" s="181"/>
      <c r="F7409" s="181"/>
      <c r="G7409" s="181"/>
      <c r="H7409" s="181"/>
      <c r="I7409" s="181"/>
      <c r="J7409" s="181"/>
      <c r="K7409" s="181"/>
      <c r="L7409" s="181"/>
      <c r="M7409" s="181"/>
      <c r="N7409" s="181"/>
      <c r="O7409" s="181"/>
      <c r="P7409" s="181"/>
    </row>
    <row r="7410">
      <c r="B7410" s="292"/>
      <c r="C7410" s="181"/>
      <c r="D7410" s="181"/>
      <c r="E7410" s="181"/>
      <c r="F7410" s="181"/>
      <c r="G7410" s="181"/>
      <c r="H7410" s="181"/>
      <c r="I7410" s="181"/>
      <c r="J7410" s="181"/>
      <c r="K7410" s="181"/>
      <c r="L7410" s="181"/>
      <c r="M7410" s="181"/>
      <c r="N7410" s="181"/>
      <c r="O7410" s="181"/>
      <c r="P7410" s="181"/>
    </row>
    <row r="7411">
      <c r="B7411" s="292"/>
      <c r="C7411" s="181"/>
      <c r="D7411" s="181"/>
      <c r="E7411" s="181"/>
      <c r="F7411" s="181"/>
      <c r="G7411" s="181"/>
      <c r="H7411" s="181"/>
      <c r="I7411" s="181"/>
      <c r="J7411" s="181"/>
      <c r="K7411" s="181"/>
      <c r="L7411" s="181"/>
      <c r="M7411" s="181"/>
      <c r="N7411" s="181"/>
      <c r="O7411" s="181"/>
      <c r="P7411" s="181"/>
    </row>
    <row r="7412">
      <c r="B7412" s="292"/>
      <c r="C7412" s="181"/>
      <c r="D7412" s="181"/>
      <c r="E7412" s="181"/>
      <c r="F7412" s="181"/>
      <c r="G7412" s="181"/>
      <c r="H7412" s="181"/>
      <c r="I7412" s="181"/>
      <c r="J7412" s="181"/>
      <c r="K7412" s="181"/>
      <c r="L7412" s="181"/>
      <c r="M7412" s="181"/>
      <c r="N7412" s="181"/>
      <c r="O7412" s="181"/>
      <c r="P7412" s="181"/>
    </row>
    <row r="7413">
      <c r="B7413" s="292"/>
      <c r="C7413" s="181"/>
      <c r="D7413" s="181"/>
      <c r="E7413" s="181"/>
      <c r="F7413" s="181"/>
      <c r="G7413" s="181"/>
      <c r="H7413" s="181"/>
      <c r="I7413" s="181"/>
      <c r="J7413" s="181"/>
      <c r="K7413" s="181"/>
      <c r="L7413" s="181"/>
      <c r="M7413" s="181"/>
      <c r="N7413" s="181"/>
      <c r="O7413" s="181"/>
      <c r="P7413" s="181"/>
    </row>
    <row r="7414">
      <c r="B7414" s="292"/>
      <c r="C7414" s="181"/>
      <c r="D7414" s="181"/>
      <c r="E7414" s="181"/>
      <c r="F7414" s="181"/>
      <c r="G7414" s="181"/>
      <c r="H7414" s="181"/>
      <c r="I7414" s="181"/>
      <c r="J7414" s="181"/>
      <c r="K7414" s="181"/>
      <c r="L7414" s="181"/>
      <c r="M7414" s="181"/>
      <c r="N7414" s="181"/>
      <c r="O7414" s="181"/>
      <c r="P7414" s="181"/>
    </row>
    <row r="7415">
      <c r="B7415" s="292"/>
      <c r="C7415" s="181"/>
      <c r="D7415" s="181"/>
      <c r="E7415" s="181"/>
      <c r="F7415" s="181"/>
      <c r="G7415" s="181"/>
      <c r="H7415" s="181"/>
      <c r="I7415" s="181"/>
      <c r="J7415" s="181"/>
      <c r="K7415" s="181"/>
      <c r="L7415" s="181"/>
      <c r="M7415" s="181"/>
      <c r="N7415" s="181"/>
      <c r="O7415" s="181"/>
      <c r="P7415" s="181"/>
    </row>
    <row r="7416">
      <c r="B7416" s="292"/>
      <c r="C7416" s="181"/>
      <c r="D7416" s="181"/>
      <c r="E7416" s="181"/>
      <c r="F7416" s="181"/>
      <c r="G7416" s="181"/>
      <c r="H7416" s="181"/>
      <c r="I7416" s="181"/>
      <c r="J7416" s="181"/>
      <c r="K7416" s="181"/>
      <c r="L7416" s="181"/>
      <c r="M7416" s="181"/>
      <c r="N7416" s="181"/>
      <c r="O7416" s="181"/>
      <c r="P7416" s="181"/>
    </row>
    <row r="7417">
      <c r="B7417" s="292"/>
      <c r="C7417" s="181"/>
      <c r="D7417" s="181"/>
      <c r="E7417" s="181"/>
      <c r="F7417" s="181"/>
      <c r="G7417" s="181"/>
      <c r="H7417" s="181"/>
      <c r="I7417" s="181"/>
      <c r="J7417" s="181"/>
      <c r="K7417" s="181"/>
      <c r="L7417" s="181"/>
      <c r="M7417" s="181"/>
      <c r="N7417" s="181"/>
      <c r="O7417" s="181"/>
      <c r="P7417" s="181"/>
    </row>
    <row r="7418">
      <c r="B7418" s="292"/>
      <c r="C7418" s="181"/>
      <c r="D7418" s="181"/>
      <c r="E7418" s="181"/>
      <c r="F7418" s="181"/>
      <c r="G7418" s="181"/>
      <c r="H7418" s="181"/>
      <c r="I7418" s="181"/>
      <c r="J7418" s="181"/>
      <c r="K7418" s="181"/>
      <c r="L7418" s="181"/>
      <c r="M7418" s="181"/>
      <c r="N7418" s="181"/>
      <c r="O7418" s="181"/>
      <c r="P7418" s="181"/>
    </row>
    <row r="7419">
      <c r="B7419" s="292"/>
      <c r="C7419" s="181"/>
      <c r="D7419" s="181"/>
      <c r="E7419" s="181"/>
      <c r="F7419" s="181"/>
      <c r="G7419" s="181"/>
      <c r="H7419" s="181"/>
      <c r="I7419" s="181"/>
      <c r="J7419" s="181"/>
      <c r="K7419" s="181"/>
      <c r="L7419" s="181"/>
      <c r="M7419" s="181"/>
      <c r="N7419" s="181"/>
      <c r="O7419" s="181"/>
      <c r="P7419" s="181"/>
    </row>
    <row r="7420">
      <c r="B7420" s="292"/>
      <c r="C7420" s="181"/>
      <c r="D7420" s="181"/>
      <c r="E7420" s="181"/>
      <c r="F7420" s="181"/>
      <c r="G7420" s="181"/>
      <c r="H7420" s="181"/>
      <c r="I7420" s="181"/>
      <c r="J7420" s="181"/>
      <c r="K7420" s="181"/>
      <c r="L7420" s="181"/>
      <c r="M7420" s="181"/>
      <c r="N7420" s="181"/>
      <c r="O7420" s="181"/>
      <c r="P7420" s="181"/>
    </row>
    <row r="7421">
      <c r="B7421" s="292"/>
      <c r="C7421" s="181"/>
      <c r="D7421" s="181"/>
      <c r="E7421" s="181"/>
      <c r="F7421" s="181"/>
      <c r="G7421" s="181"/>
      <c r="H7421" s="181"/>
      <c r="I7421" s="181"/>
      <c r="J7421" s="181"/>
      <c r="K7421" s="181"/>
      <c r="L7421" s="181"/>
      <c r="M7421" s="181"/>
      <c r="N7421" s="181"/>
      <c r="O7421" s="181"/>
      <c r="P7421" s="181"/>
    </row>
    <row r="7422">
      <c r="B7422" s="292"/>
      <c r="C7422" s="181"/>
      <c r="D7422" s="181"/>
      <c r="E7422" s="181"/>
      <c r="F7422" s="181"/>
      <c r="G7422" s="181"/>
      <c r="H7422" s="181"/>
      <c r="I7422" s="181"/>
      <c r="J7422" s="181"/>
      <c r="K7422" s="181"/>
      <c r="L7422" s="181"/>
      <c r="M7422" s="181"/>
      <c r="N7422" s="181"/>
      <c r="O7422" s="181"/>
      <c r="P7422" s="181"/>
    </row>
    <row r="7423">
      <c r="B7423" s="292"/>
      <c r="C7423" s="181"/>
      <c r="D7423" s="181"/>
      <c r="E7423" s="181"/>
      <c r="F7423" s="181"/>
      <c r="G7423" s="181"/>
      <c r="H7423" s="181"/>
      <c r="I7423" s="181"/>
      <c r="J7423" s="181"/>
      <c r="K7423" s="181"/>
      <c r="L7423" s="181"/>
      <c r="M7423" s="181"/>
      <c r="N7423" s="181"/>
      <c r="O7423" s="181"/>
      <c r="P7423" s="181"/>
    </row>
    <row r="7424">
      <c r="B7424" s="292"/>
      <c r="C7424" s="181"/>
      <c r="D7424" s="181"/>
      <c r="E7424" s="181"/>
      <c r="F7424" s="181"/>
      <c r="G7424" s="181"/>
      <c r="H7424" s="181"/>
      <c r="I7424" s="181"/>
      <c r="J7424" s="181"/>
      <c r="K7424" s="181"/>
      <c r="L7424" s="181"/>
      <c r="M7424" s="181"/>
      <c r="N7424" s="181"/>
      <c r="O7424" s="181"/>
      <c r="P7424" s="181"/>
    </row>
    <row r="7425">
      <c r="B7425" s="292"/>
      <c r="C7425" s="181"/>
      <c r="D7425" s="181"/>
      <c r="E7425" s="181"/>
      <c r="F7425" s="181"/>
      <c r="G7425" s="181"/>
      <c r="H7425" s="181"/>
      <c r="I7425" s="181"/>
      <c r="J7425" s="181"/>
      <c r="K7425" s="181"/>
      <c r="L7425" s="181"/>
      <c r="M7425" s="181"/>
      <c r="N7425" s="181"/>
      <c r="O7425" s="181"/>
      <c r="P7425" s="181"/>
    </row>
    <row r="7426">
      <c r="B7426" s="292"/>
      <c r="C7426" s="181"/>
      <c r="D7426" s="181"/>
      <c r="E7426" s="181"/>
      <c r="F7426" s="181"/>
      <c r="G7426" s="181"/>
      <c r="H7426" s="181"/>
      <c r="I7426" s="181"/>
      <c r="J7426" s="181"/>
      <c r="K7426" s="181"/>
      <c r="L7426" s="181"/>
      <c r="M7426" s="181"/>
      <c r="N7426" s="181"/>
      <c r="O7426" s="181"/>
      <c r="P7426" s="181"/>
    </row>
    <row r="7427">
      <c r="B7427" s="292"/>
      <c r="C7427" s="181"/>
      <c r="D7427" s="181"/>
      <c r="E7427" s="181"/>
      <c r="F7427" s="181"/>
      <c r="G7427" s="181"/>
      <c r="H7427" s="181"/>
      <c r="I7427" s="181"/>
      <c r="J7427" s="181"/>
      <c r="K7427" s="181"/>
      <c r="L7427" s="181"/>
      <c r="M7427" s="181"/>
      <c r="N7427" s="181"/>
      <c r="O7427" s="181"/>
      <c r="P7427" s="181"/>
    </row>
    <row r="7428">
      <c r="B7428" s="292"/>
      <c r="C7428" s="181"/>
      <c r="D7428" s="181"/>
      <c r="E7428" s="181"/>
      <c r="F7428" s="181"/>
      <c r="G7428" s="181"/>
      <c r="H7428" s="181"/>
      <c r="I7428" s="181"/>
      <c r="J7428" s="181"/>
      <c r="K7428" s="181"/>
      <c r="L7428" s="181"/>
      <c r="M7428" s="181"/>
      <c r="N7428" s="181"/>
      <c r="O7428" s="181"/>
      <c r="P7428" s="181"/>
    </row>
    <row r="7429">
      <c r="B7429" s="292"/>
      <c r="C7429" s="181"/>
      <c r="D7429" s="181"/>
      <c r="E7429" s="181"/>
      <c r="F7429" s="181"/>
      <c r="G7429" s="181"/>
      <c r="H7429" s="181"/>
      <c r="I7429" s="181"/>
      <c r="J7429" s="181"/>
      <c r="K7429" s="181"/>
      <c r="L7429" s="181"/>
      <c r="M7429" s="181"/>
      <c r="N7429" s="181"/>
      <c r="O7429" s="181"/>
      <c r="P7429" s="181"/>
    </row>
    <row r="7430">
      <c r="B7430" s="292"/>
      <c r="C7430" s="181"/>
      <c r="D7430" s="181"/>
      <c r="E7430" s="181"/>
      <c r="F7430" s="181"/>
      <c r="G7430" s="181"/>
      <c r="H7430" s="181"/>
      <c r="I7430" s="181"/>
      <c r="J7430" s="181"/>
      <c r="K7430" s="181"/>
      <c r="L7430" s="181"/>
      <c r="M7430" s="181"/>
      <c r="N7430" s="181"/>
      <c r="O7430" s="181"/>
      <c r="P7430" s="181"/>
    </row>
    <row r="7431">
      <c r="B7431" s="292"/>
      <c r="C7431" s="181"/>
      <c r="D7431" s="181"/>
      <c r="E7431" s="181"/>
      <c r="F7431" s="181"/>
      <c r="G7431" s="181"/>
      <c r="H7431" s="181"/>
      <c r="I7431" s="181"/>
      <c r="J7431" s="181"/>
      <c r="K7431" s="181"/>
      <c r="L7431" s="181"/>
      <c r="M7431" s="181"/>
      <c r="N7431" s="181"/>
      <c r="O7431" s="181"/>
      <c r="P7431" s="181"/>
    </row>
    <row r="7432">
      <c r="B7432" s="292"/>
      <c r="C7432" s="181"/>
      <c r="D7432" s="181"/>
      <c r="E7432" s="181"/>
      <c r="F7432" s="181"/>
      <c r="G7432" s="181"/>
      <c r="H7432" s="181"/>
      <c r="I7432" s="181"/>
      <c r="J7432" s="181"/>
      <c r="K7432" s="181"/>
      <c r="L7432" s="181"/>
      <c r="M7432" s="181"/>
      <c r="N7432" s="181"/>
      <c r="O7432" s="181"/>
      <c r="P7432" s="181"/>
    </row>
    <row r="7433">
      <c r="B7433" s="292"/>
      <c r="C7433" s="181"/>
      <c r="D7433" s="181"/>
      <c r="E7433" s="181"/>
      <c r="F7433" s="181"/>
      <c r="G7433" s="181"/>
      <c r="H7433" s="181"/>
      <c r="I7433" s="181"/>
      <c r="J7433" s="181"/>
      <c r="K7433" s="181"/>
      <c r="L7433" s="181"/>
      <c r="M7433" s="181"/>
      <c r="N7433" s="181"/>
      <c r="O7433" s="181"/>
      <c r="P7433" s="181"/>
    </row>
    <row r="7434">
      <c r="B7434" s="292"/>
      <c r="C7434" s="181"/>
      <c r="D7434" s="181"/>
      <c r="E7434" s="181"/>
      <c r="F7434" s="181"/>
      <c r="G7434" s="181"/>
      <c r="H7434" s="181"/>
      <c r="I7434" s="181"/>
      <c r="J7434" s="181"/>
      <c r="K7434" s="181"/>
      <c r="L7434" s="181"/>
      <c r="M7434" s="181"/>
      <c r="N7434" s="181"/>
      <c r="O7434" s="181"/>
      <c r="P7434" s="181"/>
    </row>
    <row r="7435">
      <c r="B7435" s="292"/>
      <c r="C7435" s="181"/>
      <c r="D7435" s="181"/>
      <c r="E7435" s="181"/>
      <c r="F7435" s="181"/>
      <c r="G7435" s="181"/>
      <c r="H7435" s="181"/>
      <c r="I7435" s="181"/>
      <c r="J7435" s="181"/>
      <c r="K7435" s="181"/>
      <c r="L7435" s="181"/>
      <c r="M7435" s="181"/>
      <c r="N7435" s="181"/>
      <c r="O7435" s="181"/>
      <c r="P7435" s="181"/>
    </row>
    <row r="7436">
      <c r="B7436" s="292"/>
      <c r="C7436" s="181"/>
      <c r="D7436" s="181"/>
      <c r="E7436" s="181"/>
      <c r="F7436" s="181"/>
      <c r="G7436" s="181"/>
      <c r="H7436" s="181"/>
      <c r="I7436" s="181"/>
      <c r="J7436" s="181"/>
      <c r="K7436" s="181"/>
      <c r="L7436" s="181"/>
      <c r="M7436" s="181"/>
      <c r="N7436" s="181"/>
      <c r="O7436" s="181"/>
      <c r="P7436" s="181"/>
    </row>
    <row r="7437">
      <c r="B7437" s="292"/>
      <c r="C7437" s="181"/>
      <c r="D7437" s="181"/>
      <c r="E7437" s="181"/>
      <c r="F7437" s="181"/>
      <c r="G7437" s="181"/>
      <c r="H7437" s="181"/>
      <c r="I7437" s="181"/>
      <c r="J7437" s="181"/>
      <c r="K7437" s="181"/>
      <c r="L7437" s="181"/>
      <c r="M7437" s="181"/>
      <c r="N7437" s="181"/>
      <c r="O7437" s="181"/>
      <c r="P7437" s="181"/>
    </row>
    <row r="7438">
      <c r="B7438" s="292"/>
      <c r="C7438" s="181"/>
      <c r="D7438" s="181"/>
      <c r="E7438" s="181"/>
      <c r="F7438" s="181"/>
      <c r="G7438" s="181"/>
      <c r="H7438" s="181"/>
      <c r="I7438" s="181"/>
      <c r="J7438" s="181"/>
      <c r="K7438" s="181"/>
      <c r="L7438" s="181"/>
      <c r="M7438" s="181"/>
      <c r="N7438" s="181"/>
      <c r="O7438" s="181"/>
      <c r="P7438" s="181"/>
    </row>
    <row r="7439">
      <c r="B7439" s="292"/>
      <c r="C7439" s="181"/>
      <c r="D7439" s="181"/>
      <c r="E7439" s="181"/>
      <c r="F7439" s="181"/>
      <c r="G7439" s="181"/>
      <c r="H7439" s="181"/>
      <c r="I7439" s="181"/>
      <c r="J7439" s="181"/>
      <c r="K7439" s="181"/>
      <c r="L7439" s="181"/>
      <c r="M7439" s="181"/>
      <c r="N7439" s="181"/>
      <c r="O7439" s="181"/>
      <c r="P7439" s="181"/>
    </row>
    <row r="7440">
      <c r="B7440" s="292"/>
      <c r="C7440" s="181"/>
      <c r="D7440" s="181"/>
      <c r="E7440" s="181"/>
      <c r="F7440" s="181"/>
      <c r="G7440" s="181"/>
      <c r="H7440" s="181"/>
      <c r="I7440" s="181"/>
      <c r="J7440" s="181"/>
      <c r="K7440" s="181"/>
      <c r="L7440" s="181"/>
      <c r="M7440" s="181"/>
      <c r="N7440" s="181"/>
      <c r="O7440" s="181"/>
      <c r="P7440" s="181"/>
    </row>
    <row r="7441">
      <c r="B7441" s="292"/>
      <c r="C7441" s="181"/>
      <c r="D7441" s="181"/>
      <c r="E7441" s="181"/>
      <c r="F7441" s="181"/>
      <c r="G7441" s="181"/>
      <c r="H7441" s="181"/>
      <c r="I7441" s="181"/>
      <c r="J7441" s="181"/>
      <c r="K7441" s="181"/>
      <c r="L7441" s="181"/>
      <c r="M7441" s="181"/>
      <c r="N7441" s="181"/>
      <c r="O7441" s="181"/>
      <c r="P7441" s="181"/>
    </row>
    <row r="7442">
      <c r="B7442" s="292"/>
      <c r="C7442" s="181"/>
      <c r="D7442" s="181"/>
      <c r="E7442" s="181"/>
      <c r="F7442" s="181"/>
      <c r="G7442" s="181"/>
      <c r="H7442" s="181"/>
      <c r="I7442" s="181"/>
      <c r="J7442" s="181"/>
      <c r="K7442" s="181"/>
      <c r="L7442" s="181"/>
      <c r="M7442" s="181"/>
      <c r="N7442" s="181"/>
      <c r="O7442" s="181"/>
      <c r="P7442" s="181"/>
    </row>
    <row r="7443">
      <c r="B7443" s="292"/>
      <c r="C7443" s="181"/>
      <c r="D7443" s="181"/>
      <c r="E7443" s="181"/>
      <c r="F7443" s="181"/>
      <c r="G7443" s="181"/>
      <c r="H7443" s="181"/>
      <c r="I7443" s="181"/>
      <c r="J7443" s="181"/>
      <c r="K7443" s="181"/>
      <c r="L7443" s="181"/>
      <c r="M7443" s="181"/>
      <c r="N7443" s="181"/>
      <c r="O7443" s="181"/>
      <c r="P7443" s="181"/>
    </row>
    <row r="7444">
      <c r="B7444" s="292"/>
      <c r="C7444" s="181"/>
      <c r="D7444" s="181"/>
      <c r="E7444" s="181"/>
      <c r="F7444" s="181"/>
      <c r="G7444" s="181"/>
      <c r="H7444" s="181"/>
      <c r="I7444" s="181"/>
      <c r="J7444" s="181"/>
      <c r="K7444" s="181"/>
      <c r="L7444" s="181"/>
      <c r="M7444" s="181"/>
      <c r="N7444" s="181"/>
      <c r="O7444" s="181"/>
      <c r="P7444" s="181"/>
    </row>
    <row r="7445">
      <c r="B7445" s="292"/>
      <c r="C7445" s="181"/>
      <c r="D7445" s="181"/>
      <c r="E7445" s="181"/>
      <c r="F7445" s="181"/>
      <c r="G7445" s="181"/>
      <c r="H7445" s="181"/>
      <c r="I7445" s="181"/>
      <c r="J7445" s="181"/>
      <c r="K7445" s="181"/>
      <c r="L7445" s="181"/>
      <c r="M7445" s="181"/>
      <c r="N7445" s="181"/>
      <c r="O7445" s="181"/>
      <c r="P7445" s="181"/>
    </row>
    <row r="7446">
      <c r="B7446" s="292"/>
      <c r="C7446" s="181"/>
      <c r="D7446" s="181"/>
      <c r="E7446" s="181"/>
      <c r="F7446" s="181"/>
      <c r="G7446" s="181"/>
      <c r="H7446" s="181"/>
      <c r="I7446" s="181"/>
      <c r="J7446" s="181"/>
      <c r="K7446" s="181"/>
      <c r="L7446" s="181"/>
      <c r="M7446" s="181"/>
      <c r="N7446" s="181"/>
      <c r="O7446" s="181"/>
      <c r="P7446" s="181"/>
    </row>
    <row r="7447">
      <c r="B7447" s="292"/>
      <c r="C7447" s="181"/>
      <c r="D7447" s="181"/>
      <c r="E7447" s="181"/>
      <c r="F7447" s="181"/>
      <c r="G7447" s="181"/>
      <c r="H7447" s="181"/>
      <c r="I7447" s="181"/>
      <c r="J7447" s="181"/>
      <c r="K7447" s="181"/>
      <c r="L7447" s="181"/>
      <c r="M7447" s="181"/>
      <c r="N7447" s="181"/>
      <c r="O7447" s="181"/>
      <c r="P7447" s="181"/>
    </row>
    <row r="7448">
      <c r="B7448" s="292"/>
      <c r="C7448" s="181"/>
      <c r="D7448" s="181"/>
      <c r="E7448" s="181"/>
      <c r="F7448" s="181"/>
      <c r="G7448" s="181"/>
      <c r="H7448" s="181"/>
      <c r="I7448" s="181"/>
      <c r="J7448" s="181"/>
      <c r="K7448" s="181"/>
      <c r="L7448" s="181"/>
      <c r="M7448" s="181"/>
      <c r="N7448" s="181"/>
      <c r="O7448" s="181"/>
      <c r="P7448" s="181"/>
    </row>
    <row r="7449">
      <c r="B7449" s="292"/>
      <c r="C7449" s="181"/>
      <c r="D7449" s="181"/>
      <c r="E7449" s="181"/>
      <c r="F7449" s="181"/>
      <c r="G7449" s="181"/>
      <c r="H7449" s="181"/>
      <c r="I7449" s="181"/>
      <c r="J7449" s="181"/>
      <c r="K7449" s="181"/>
      <c r="L7449" s="181"/>
      <c r="M7449" s="181"/>
      <c r="N7449" s="181"/>
      <c r="O7449" s="181"/>
      <c r="P7449" s="181"/>
    </row>
    <row r="7450">
      <c r="B7450" s="292"/>
      <c r="C7450" s="181"/>
      <c r="D7450" s="181"/>
      <c r="E7450" s="181"/>
      <c r="F7450" s="181"/>
      <c r="G7450" s="181"/>
      <c r="H7450" s="181"/>
      <c r="I7450" s="181"/>
      <c r="J7450" s="181"/>
      <c r="K7450" s="181"/>
      <c r="L7450" s="181"/>
      <c r="M7450" s="181"/>
      <c r="N7450" s="181"/>
      <c r="O7450" s="181"/>
      <c r="P7450" s="181"/>
    </row>
    <row r="7451">
      <c r="B7451" s="292"/>
      <c r="C7451" s="181"/>
      <c r="D7451" s="181"/>
      <c r="E7451" s="181"/>
      <c r="F7451" s="181"/>
      <c r="G7451" s="181"/>
      <c r="H7451" s="181"/>
      <c r="I7451" s="181"/>
      <c r="J7451" s="181"/>
      <c r="K7451" s="181"/>
      <c r="L7451" s="181"/>
      <c r="M7451" s="181"/>
      <c r="N7451" s="181"/>
      <c r="O7451" s="181"/>
      <c r="P7451" s="181"/>
    </row>
    <row r="7452">
      <c r="B7452" s="292"/>
      <c r="C7452" s="181"/>
      <c r="D7452" s="181"/>
      <c r="E7452" s="181"/>
      <c r="F7452" s="181"/>
      <c r="G7452" s="181"/>
      <c r="H7452" s="181"/>
      <c r="I7452" s="181"/>
      <c r="J7452" s="181"/>
      <c r="K7452" s="181"/>
      <c r="L7452" s="181"/>
      <c r="M7452" s="181"/>
      <c r="N7452" s="181"/>
      <c r="O7452" s="181"/>
      <c r="P7452" s="181"/>
    </row>
    <row r="7453">
      <c r="B7453" s="292"/>
      <c r="C7453" s="181"/>
      <c r="D7453" s="181"/>
      <c r="E7453" s="181"/>
      <c r="F7453" s="181"/>
      <c r="G7453" s="181"/>
      <c r="H7453" s="181"/>
      <c r="I7453" s="181"/>
      <c r="J7453" s="181"/>
      <c r="K7453" s="181"/>
      <c r="L7453" s="181"/>
      <c r="M7453" s="181"/>
      <c r="N7453" s="181"/>
      <c r="O7453" s="181"/>
      <c r="P7453" s="181"/>
    </row>
    <row r="7454">
      <c r="B7454" s="292"/>
      <c r="C7454" s="181"/>
      <c r="D7454" s="181"/>
      <c r="E7454" s="181"/>
      <c r="F7454" s="181"/>
      <c r="G7454" s="181"/>
      <c r="H7454" s="181"/>
      <c r="I7454" s="181"/>
      <c r="J7454" s="181"/>
      <c r="K7454" s="181"/>
      <c r="L7454" s="181"/>
      <c r="M7454" s="181"/>
      <c r="N7454" s="181"/>
      <c r="O7454" s="181"/>
      <c r="P7454" s="181"/>
    </row>
    <row r="7455">
      <c r="B7455" s="292"/>
      <c r="C7455" s="181"/>
      <c r="D7455" s="181"/>
      <c r="E7455" s="181"/>
      <c r="F7455" s="181"/>
      <c r="G7455" s="181"/>
      <c r="H7455" s="181"/>
      <c r="I7455" s="181"/>
      <c r="J7455" s="181"/>
      <c r="K7455" s="181"/>
      <c r="L7455" s="181"/>
      <c r="M7455" s="181"/>
      <c r="N7455" s="181"/>
      <c r="O7455" s="181"/>
      <c r="P7455" s="181"/>
    </row>
    <row r="7456">
      <c r="B7456" s="292"/>
      <c r="C7456" s="181"/>
      <c r="D7456" s="181"/>
      <c r="E7456" s="181"/>
      <c r="F7456" s="181"/>
      <c r="G7456" s="181"/>
      <c r="H7456" s="181"/>
      <c r="I7456" s="181"/>
      <c r="J7456" s="181"/>
      <c r="K7456" s="181"/>
      <c r="L7456" s="181"/>
      <c r="M7456" s="181"/>
      <c r="N7456" s="181"/>
      <c r="O7456" s="181"/>
      <c r="P7456" s="181"/>
    </row>
    <row r="7457">
      <c r="B7457" s="292"/>
      <c r="C7457" s="181"/>
      <c r="D7457" s="181"/>
      <c r="E7457" s="181"/>
      <c r="F7457" s="181"/>
      <c r="G7457" s="181"/>
      <c r="H7457" s="181"/>
      <c r="I7457" s="181"/>
      <c r="J7457" s="181"/>
      <c r="K7457" s="181"/>
      <c r="L7457" s="181"/>
      <c r="M7457" s="181"/>
      <c r="N7457" s="181"/>
      <c r="O7457" s="181"/>
      <c r="P7457" s="181"/>
    </row>
    <row r="7458">
      <c r="B7458" s="292"/>
      <c r="C7458" s="181"/>
      <c r="D7458" s="181"/>
      <c r="E7458" s="181"/>
      <c r="F7458" s="181"/>
      <c r="G7458" s="181"/>
      <c r="H7458" s="181"/>
      <c r="I7458" s="181"/>
      <c r="J7458" s="181"/>
      <c r="K7458" s="181"/>
      <c r="L7458" s="181"/>
      <c r="M7458" s="181"/>
      <c r="N7458" s="181"/>
      <c r="O7458" s="181"/>
      <c r="P7458" s="181"/>
    </row>
    <row r="7459">
      <c r="B7459" s="292"/>
      <c r="C7459" s="181"/>
      <c r="D7459" s="181"/>
      <c r="E7459" s="181"/>
      <c r="F7459" s="181"/>
      <c r="G7459" s="181"/>
      <c r="H7459" s="181"/>
      <c r="I7459" s="181"/>
      <c r="J7459" s="181"/>
      <c r="K7459" s="181"/>
      <c r="L7459" s="181"/>
      <c r="M7459" s="181"/>
      <c r="N7459" s="181"/>
      <c r="O7459" s="181"/>
      <c r="P7459" s="181"/>
    </row>
    <row r="7460">
      <c r="B7460" s="292"/>
      <c r="C7460" s="181"/>
      <c r="D7460" s="181"/>
      <c r="E7460" s="181"/>
      <c r="F7460" s="181"/>
      <c r="G7460" s="181"/>
      <c r="H7460" s="181"/>
      <c r="I7460" s="181"/>
      <c r="J7460" s="181"/>
      <c r="K7460" s="181"/>
      <c r="L7460" s="181"/>
      <c r="M7460" s="181"/>
      <c r="N7460" s="181"/>
      <c r="O7460" s="181"/>
      <c r="P7460" s="181"/>
    </row>
    <row r="7461">
      <c r="B7461" s="292"/>
      <c r="C7461" s="181"/>
      <c r="D7461" s="181"/>
      <c r="E7461" s="181"/>
      <c r="F7461" s="181"/>
      <c r="G7461" s="181"/>
      <c r="H7461" s="181"/>
      <c r="I7461" s="181"/>
      <c r="J7461" s="181"/>
      <c r="K7461" s="181"/>
      <c r="L7461" s="181"/>
      <c r="M7461" s="181"/>
      <c r="N7461" s="181"/>
      <c r="O7461" s="181"/>
      <c r="P7461" s="181"/>
    </row>
    <row r="7462">
      <c r="B7462" s="292"/>
      <c r="C7462" s="181"/>
      <c r="D7462" s="181"/>
      <c r="E7462" s="181"/>
      <c r="F7462" s="181"/>
      <c r="G7462" s="181"/>
      <c r="H7462" s="181"/>
      <c r="I7462" s="181"/>
      <c r="J7462" s="181"/>
      <c r="K7462" s="181"/>
      <c r="L7462" s="181"/>
      <c r="M7462" s="181"/>
      <c r="N7462" s="181"/>
      <c r="O7462" s="181"/>
      <c r="P7462" s="181"/>
    </row>
    <row r="7463">
      <c r="B7463" s="292"/>
      <c r="C7463" s="181"/>
      <c r="D7463" s="181"/>
      <c r="E7463" s="181"/>
      <c r="F7463" s="181"/>
      <c r="G7463" s="181"/>
      <c r="H7463" s="181"/>
      <c r="I7463" s="181"/>
      <c r="J7463" s="181"/>
      <c r="K7463" s="181"/>
      <c r="L7463" s="181"/>
      <c r="M7463" s="181"/>
      <c r="N7463" s="181"/>
      <c r="O7463" s="181"/>
      <c r="P7463" s="181"/>
    </row>
    <row r="7464">
      <c r="B7464" s="292"/>
      <c r="C7464" s="181"/>
      <c r="D7464" s="181"/>
      <c r="E7464" s="181"/>
      <c r="F7464" s="181"/>
      <c r="G7464" s="181"/>
      <c r="H7464" s="181"/>
      <c r="I7464" s="181"/>
      <c r="J7464" s="181"/>
      <c r="K7464" s="181"/>
      <c r="L7464" s="181"/>
      <c r="M7464" s="181"/>
      <c r="N7464" s="181"/>
      <c r="O7464" s="181"/>
      <c r="P7464" s="181"/>
    </row>
    <row r="7465">
      <c r="B7465" s="292"/>
      <c r="C7465" s="181"/>
      <c r="D7465" s="181"/>
      <c r="E7465" s="181"/>
      <c r="F7465" s="181"/>
      <c r="G7465" s="181"/>
      <c r="H7465" s="181"/>
      <c r="I7465" s="181"/>
      <c r="J7465" s="181"/>
      <c r="K7465" s="181"/>
      <c r="L7465" s="181"/>
      <c r="M7465" s="181"/>
      <c r="N7465" s="181"/>
      <c r="O7465" s="181"/>
      <c r="P7465" s="181"/>
    </row>
    <row r="7466">
      <c r="B7466" s="292"/>
      <c r="C7466" s="181"/>
      <c r="D7466" s="181"/>
      <c r="E7466" s="181"/>
      <c r="F7466" s="181"/>
      <c r="G7466" s="181"/>
      <c r="H7466" s="181"/>
      <c r="I7466" s="181"/>
      <c r="J7466" s="181"/>
      <c r="K7466" s="181"/>
      <c r="L7466" s="181"/>
      <c r="M7466" s="181"/>
      <c r="N7466" s="181"/>
      <c r="O7466" s="181"/>
      <c r="P7466" s="181"/>
    </row>
    <row r="7467">
      <c r="B7467" s="292"/>
      <c r="C7467" s="181"/>
      <c r="D7467" s="181"/>
      <c r="E7467" s="181"/>
      <c r="F7467" s="181"/>
      <c r="G7467" s="181"/>
      <c r="H7467" s="181"/>
      <c r="I7467" s="181"/>
      <c r="J7467" s="181"/>
      <c r="K7467" s="181"/>
      <c r="L7467" s="181"/>
      <c r="M7467" s="181"/>
      <c r="N7467" s="181"/>
      <c r="O7467" s="181"/>
      <c r="P7467" s="181"/>
    </row>
    <row r="7468">
      <c r="B7468" s="292"/>
      <c r="C7468" s="181"/>
      <c r="D7468" s="181"/>
      <c r="E7468" s="181"/>
      <c r="F7468" s="181"/>
      <c r="G7468" s="181"/>
      <c r="H7468" s="181"/>
      <c r="I7468" s="181"/>
      <c r="J7468" s="181"/>
      <c r="K7468" s="181"/>
      <c r="L7468" s="181"/>
      <c r="M7468" s="181"/>
      <c r="N7468" s="181"/>
      <c r="O7468" s="181"/>
      <c r="P7468" s="181"/>
    </row>
    <row r="7469">
      <c r="B7469" s="292"/>
      <c r="C7469" s="181"/>
      <c r="D7469" s="181"/>
      <c r="E7469" s="181"/>
      <c r="F7469" s="181"/>
      <c r="G7469" s="181"/>
      <c r="H7469" s="181"/>
      <c r="I7469" s="181"/>
      <c r="J7469" s="181"/>
      <c r="K7469" s="181"/>
      <c r="L7469" s="181"/>
      <c r="M7469" s="181"/>
      <c r="N7469" s="181"/>
      <c r="O7469" s="181"/>
      <c r="P7469" s="181"/>
    </row>
    <row r="7470">
      <c r="B7470" s="292"/>
      <c r="C7470" s="181"/>
      <c r="D7470" s="181"/>
      <c r="E7470" s="181"/>
      <c r="F7470" s="181"/>
      <c r="G7470" s="181"/>
      <c r="H7470" s="181"/>
      <c r="I7470" s="181"/>
      <c r="J7470" s="181"/>
      <c r="K7470" s="181"/>
      <c r="L7470" s="181"/>
      <c r="M7470" s="181"/>
      <c r="N7470" s="181"/>
      <c r="O7470" s="181"/>
      <c r="P7470" s="181"/>
    </row>
    <row r="7471">
      <c r="B7471" s="292"/>
      <c r="C7471" s="181"/>
      <c r="D7471" s="181"/>
      <c r="E7471" s="181"/>
      <c r="F7471" s="181"/>
      <c r="G7471" s="181"/>
      <c r="H7471" s="181"/>
      <c r="I7471" s="181"/>
      <c r="J7471" s="181"/>
      <c r="K7471" s="181"/>
      <c r="L7471" s="181"/>
      <c r="M7471" s="181"/>
      <c r="N7471" s="181"/>
      <c r="O7471" s="181"/>
      <c r="P7471" s="181"/>
    </row>
    <row r="7472">
      <c r="B7472" s="292"/>
      <c r="C7472" s="181"/>
      <c r="D7472" s="181"/>
      <c r="E7472" s="181"/>
      <c r="F7472" s="181"/>
      <c r="G7472" s="181"/>
      <c r="H7472" s="181"/>
      <c r="I7472" s="181"/>
      <c r="J7472" s="181"/>
      <c r="K7472" s="181"/>
      <c r="L7472" s="181"/>
      <c r="M7472" s="181"/>
      <c r="N7472" s="181"/>
      <c r="O7472" s="181"/>
      <c r="P7472" s="181"/>
    </row>
    <row r="7473">
      <c r="B7473" s="292"/>
      <c r="C7473" s="181"/>
      <c r="D7473" s="181"/>
      <c r="E7473" s="181"/>
      <c r="F7473" s="181"/>
      <c r="G7473" s="181"/>
      <c r="H7473" s="181"/>
      <c r="I7473" s="181"/>
      <c r="J7473" s="181"/>
      <c r="K7473" s="181"/>
      <c r="L7473" s="181"/>
      <c r="M7473" s="181"/>
      <c r="N7473" s="181"/>
      <c r="O7473" s="181"/>
      <c r="P7473" s="181"/>
    </row>
    <row r="7474">
      <c r="B7474" s="292"/>
      <c r="C7474" s="181"/>
      <c r="D7474" s="181"/>
      <c r="E7474" s="181"/>
      <c r="F7474" s="181"/>
      <c r="G7474" s="181"/>
      <c r="H7474" s="181"/>
      <c r="I7474" s="181"/>
      <c r="J7474" s="181"/>
      <c r="K7474" s="181"/>
      <c r="L7474" s="181"/>
      <c r="M7474" s="181"/>
      <c r="N7474" s="181"/>
      <c r="O7474" s="181"/>
      <c r="P7474" s="181"/>
    </row>
    <row r="7475">
      <c r="B7475" s="292"/>
      <c r="C7475" s="181"/>
      <c r="D7475" s="181"/>
      <c r="E7475" s="181"/>
      <c r="F7475" s="181"/>
      <c r="G7475" s="181"/>
      <c r="H7475" s="181"/>
      <c r="I7475" s="181"/>
      <c r="J7475" s="181"/>
      <c r="K7475" s="181"/>
      <c r="L7475" s="181"/>
      <c r="M7475" s="181"/>
      <c r="N7475" s="181"/>
      <c r="O7475" s="181"/>
      <c r="P7475" s="181"/>
    </row>
    <row r="7476">
      <c r="B7476" s="292"/>
      <c r="C7476" s="181"/>
      <c r="D7476" s="181"/>
      <c r="E7476" s="181"/>
      <c r="F7476" s="181"/>
      <c r="G7476" s="181"/>
      <c r="H7476" s="181"/>
      <c r="I7476" s="181"/>
      <c r="J7476" s="181"/>
      <c r="K7476" s="181"/>
      <c r="L7476" s="181"/>
      <c r="M7476" s="181"/>
      <c r="N7476" s="181"/>
      <c r="O7476" s="181"/>
      <c r="P7476" s="181"/>
    </row>
    <row r="7477">
      <c r="B7477" s="292"/>
      <c r="C7477" s="181"/>
      <c r="D7477" s="181"/>
      <c r="E7477" s="181"/>
      <c r="F7477" s="181"/>
      <c r="G7477" s="181"/>
      <c r="H7477" s="181"/>
      <c r="I7477" s="181"/>
      <c r="J7477" s="181"/>
      <c r="K7477" s="181"/>
      <c r="L7477" s="181"/>
      <c r="M7477" s="181"/>
      <c r="N7477" s="181"/>
      <c r="O7477" s="181"/>
      <c r="P7477" s="181"/>
    </row>
    <row r="7478">
      <c r="B7478" s="292"/>
      <c r="C7478" s="181"/>
      <c r="D7478" s="181"/>
      <c r="E7478" s="181"/>
      <c r="F7478" s="181"/>
      <c r="G7478" s="181"/>
      <c r="H7478" s="181"/>
      <c r="I7478" s="181"/>
      <c r="J7478" s="181"/>
      <c r="K7478" s="181"/>
      <c r="L7478" s="181"/>
      <c r="M7478" s="181"/>
      <c r="N7478" s="181"/>
      <c r="O7478" s="181"/>
      <c r="P7478" s="181"/>
    </row>
    <row r="7479">
      <c r="B7479" s="292"/>
      <c r="C7479" s="181"/>
      <c r="D7479" s="181"/>
      <c r="E7479" s="181"/>
      <c r="F7479" s="181"/>
      <c r="G7479" s="181"/>
      <c r="H7479" s="181"/>
      <c r="I7479" s="181"/>
      <c r="J7479" s="181"/>
      <c r="K7479" s="181"/>
      <c r="L7479" s="181"/>
      <c r="M7479" s="181"/>
      <c r="N7479" s="181"/>
      <c r="O7479" s="181"/>
      <c r="P7479" s="181"/>
    </row>
    <row r="7480">
      <c r="B7480" s="292"/>
      <c r="C7480" s="181"/>
      <c r="D7480" s="181"/>
      <c r="E7480" s="181"/>
      <c r="F7480" s="181"/>
      <c r="G7480" s="181"/>
      <c r="H7480" s="181"/>
      <c r="I7480" s="181"/>
      <c r="J7480" s="181"/>
      <c r="K7480" s="181"/>
      <c r="L7480" s="181"/>
      <c r="M7480" s="181"/>
      <c r="N7480" s="181"/>
      <c r="O7480" s="181"/>
      <c r="P7480" s="181"/>
    </row>
    <row r="7481">
      <c r="B7481" s="292"/>
      <c r="C7481" s="181"/>
      <c r="D7481" s="181"/>
      <c r="E7481" s="181"/>
      <c r="F7481" s="181"/>
      <c r="G7481" s="181"/>
      <c r="H7481" s="181"/>
      <c r="I7481" s="181"/>
      <c r="J7481" s="181"/>
      <c r="K7481" s="181"/>
      <c r="L7481" s="181"/>
      <c r="M7481" s="181"/>
      <c r="N7481" s="181"/>
      <c r="O7481" s="181"/>
      <c r="P7481" s="181"/>
    </row>
    <row r="7482">
      <c r="B7482" s="292"/>
      <c r="C7482" s="181"/>
      <c r="D7482" s="181"/>
      <c r="E7482" s="181"/>
      <c r="F7482" s="181"/>
      <c r="G7482" s="181"/>
      <c r="H7482" s="181"/>
      <c r="I7482" s="181"/>
      <c r="J7482" s="181"/>
      <c r="K7482" s="181"/>
      <c r="L7482" s="181"/>
      <c r="M7482" s="181"/>
      <c r="N7482" s="181"/>
      <c r="O7482" s="181"/>
      <c r="P7482" s="181"/>
    </row>
    <row r="7483">
      <c r="B7483" s="292"/>
      <c r="C7483" s="181"/>
      <c r="D7483" s="181"/>
      <c r="E7483" s="181"/>
      <c r="F7483" s="181"/>
      <c r="G7483" s="181"/>
      <c r="H7483" s="181"/>
      <c r="I7483" s="181"/>
      <c r="J7483" s="181"/>
      <c r="K7483" s="181"/>
      <c r="L7483" s="181"/>
      <c r="M7483" s="181"/>
      <c r="N7483" s="181"/>
      <c r="O7483" s="181"/>
      <c r="P7483" s="181"/>
    </row>
    <row r="7484">
      <c r="B7484" s="292"/>
      <c r="C7484" s="181"/>
      <c r="D7484" s="181"/>
      <c r="E7484" s="181"/>
      <c r="F7484" s="181"/>
      <c r="G7484" s="181"/>
      <c r="H7484" s="181"/>
      <c r="I7484" s="181"/>
      <c r="J7484" s="181"/>
      <c r="K7484" s="181"/>
      <c r="L7484" s="181"/>
      <c r="M7484" s="181"/>
      <c r="N7484" s="181"/>
      <c r="O7484" s="181"/>
      <c r="P7484" s="181"/>
    </row>
    <row r="7485">
      <c r="B7485" s="292"/>
      <c r="C7485" s="181"/>
      <c r="D7485" s="181"/>
      <c r="E7485" s="181"/>
      <c r="F7485" s="181"/>
      <c r="G7485" s="181"/>
      <c r="H7485" s="181"/>
      <c r="I7485" s="181"/>
      <c r="J7485" s="181"/>
      <c r="K7485" s="181"/>
      <c r="L7485" s="181"/>
      <c r="M7485" s="181"/>
      <c r="N7485" s="181"/>
      <c r="O7485" s="181"/>
      <c r="P7485" s="181"/>
    </row>
    <row r="7486">
      <c r="B7486" s="292"/>
      <c r="C7486" s="181"/>
      <c r="D7486" s="181"/>
      <c r="E7486" s="181"/>
      <c r="F7486" s="181"/>
      <c r="G7486" s="181"/>
      <c r="H7486" s="181"/>
      <c r="I7486" s="181"/>
      <c r="J7486" s="181"/>
      <c r="K7486" s="181"/>
      <c r="L7486" s="181"/>
      <c r="M7486" s="181"/>
      <c r="N7486" s="181"/>
      <c r="O7486" s="181"/>
      <c r="P7486" s="181"/>
    </row>
    <row r="7487">
      <c r="B7487" s="292"/>
      <c r="C7487" s="181"/>
      <c r="D7487" s="181"/>
      <c r="E7487" s="181"/>
      <c r="F7487" s="181"/>
      <c r="G7487" s="181"/>
      <c r="H7487" s="181"/>
      <c r="I7487" s="181"/>
      <c r="J7487" s="181"/>
      <c r="K7487" s="181"/>
      <c r="L7487" s="181"/>
      <c r="M7487" s="181"/>
      <c r="N7487" s="181"/>
      <c r="O7487" s="181"/>
      <c r="P7487" s="181"/>
    </row>
    <row r="7488">
      <c r="B7488" s="292"/>
      <c r="C7488" s="181"/>
      <c r="D7488" s="181"/>
      <c r="E7488" s="181"/>
      <c r="F7488" s="181"/>
      <c r="G7488" s="181"/>
      <c r="H7488" s="181"/>
      <c r="I7488" s="181"/>
      <c r="J7488" s="181"/>
      <c r="K7488" s="181"/>
      <c r="L7488" s="181"/>
      <c r="M7488" s="181"/>
      <c r="N7488" s="181"/>
      <c r="O7488" s="181"/>
      <c r="P7488" s="181"/>
    </row>
    <row r="7489">
      <c r="B7489" s="292"/>
      <c r="C7489" s="181"/>
      <c r="D7489" s="181"/>
      <c r="E7489" s="181"/>
      <c r="F7489" s="181"/>
      <c r="G7489" s="181"/>
      <c r="H7489" s="181"/>
      <c r="I7489" s="181"/>
      <c r="J7489" s="181"/>
      <c r="K7489" s="181"/>
      <c r="L7489" s="181"/>
      <c r="M7489" s="181"/>
      <c r="N7489" s="181"/>
      <c r="O7489" s="181"/>
      <c r="P7489" s="181"/>
    </row>
    <row r="7490">
      <c r="B7490" s="292"/>
      <c r="C7490" s="181"/>
      <c r="D7490" s="181"/>
      <c r="E7490" s="181"/>
      <c r="F7490" s="181"/>
      <c r="G7490" s="181"/>
      <c r="H7490" s="181"/>
      <c r="I7490" s="181"/>
      <c r="J7490" s="181"/>
      <c r="K7490" s="181"/>
      <c r="L7490" s="181"/>
      <c r="M7490" s="181"/>
      <c r="N7490" s="181"/>
      <c r="O7490" s="181"/>
      <c r="P7490" s="181"/>
    </row>
    <row r="7491">
      <c r="B7491" s="292"/>
      <c r="C7491" s="181"/>
      <c r="D7491" s="181"/>
      <c r="E7491" s="181"/>
      <c r="F7491" s="181"/>
      <c r="G7491" s="181"/>
      <c r="H7491" s="181"/>
      <c r="I7491" s="181"/>
      <c r="J7491" s="181"/>
      <c r="K7491" s="181"/>
      <c r="L7491" s="181"/>
      <c r="M7491" s="181"/>
      <c r="N7491" s="181"/>
      <c r="O7491" s="181"/>
      <c r="P7491" s="181"/>
    </row>
    <row r="7492">
      <c r="B7492" s="292"/>
      <c r="C7492" s="181"/>
      <c r="D7492" s="181"/>
      <c r="E7492" s="181"/>
      <c r="F7492" s="181"/>
      <c r="G7492" s="181"/>
      <c r="H7492" s="181"/>
      <c r="I7492" s="181"/>
      <c r="J7492" s="181"/>
      <c r="K7492" s="181"/>
      <c r="L7492" s="181"/>
      <c r="M7492" s="181"/>
      <c r="N7492" s="181"/>
      <c r="O7492" s="181"/>
      <c r="P7492" s="181"/>
    </row>
    <row r="7493">
      <c r="B7493" s="292"/>
      <c r="C7493" s="181"/>
      <c r="D7493" s="181"/>
      <c r="E7493" s="181"/>
      <c r="F7493" s="181"/>
      <c r="G7493" s="181"/>
      <c r="H7493" s="181"/>
      <c r="I7493" s="181"/>
      <c r="J7493" s="181"/>
      <c r="K7493" s="181"/>
      <c r="L7493" s="181"/>
      <c r="M7493" s="181"/>
      <c r="N7493" s="181"/>
      <c r="O7493" s="181"/>
      <c r="P7493" s="181"/>
    </row>
    <row r="7494">
      <c r="B7494" s="292"/>
      <c r="C7494" s="181"/>
      <c r="D7494" s="181"/>
      <c r="E7494" s="181"/>
      <c r="F7494" s="181"/>
      <c r="G7494" s="181"/>
      <c r="H7494" s="181"/>
      <c r="I7494" s="181"/>
      <c r="J7494" s="181"/>
      <c r="K7494" s="181"/>
      <c r="L7494" s="181"/>
      <c r="M7494" s="181"/>
      <c r="N7494" s="181"/>
      <c r="O7494" s="181"/>
      <c r="P7494" s="181"/>
    </row>
    <row r="7495">
      <c r="B7495" s="292"/>
      <c r="C7495" s="181"/>
      <c r="D7495" s="181"/>
      <c r="E7495" s="181"/>
      <c r="F7495" s="181"/>
      <c r="G7495" s="181"/>
      <c r="H7495" s="181"/>
      <c r="I7495" s="181"/>
      <c r="J7495" s="181"/>
      <c r="K7495" s="181"/>
      <c r="L7495" s="181"/>
      <c r="M7495" s="181"/>
      <c r="N7495" s="181"/>
      <c r="O7495" s="181"/>
      <c r="P7495" s="181"/>
    </row>
    <row r="7496">
      <c r="B7496" s="292"/>
      <c r="C7496" s="181"/>
      <c r="D7496" s="181"/>
      <c r="E7496" s="181"/>
      <c r="F7496" s="181"/>
      <c r="G7496" s="181"/>
      <c r="H7496" s="181"/>
      <c r="I7496" s="181"/>
      <c r="J7496" s="181"/>
      <c r="K7496" s="181"/>
      <c r="L7496" s="181"/>
      <c r="M7496" s="181"/>
      <c r="N7496" s="181"/>
      <c r="O7496" s="181"/>
      <c r="P7496" s="181"/>
    </row>
    <row r="7497">
      <c r="B7497" s="292"/>
      <c r="C7497" s="181"/>
      <c r="D7497" s="181"/>
      <c r="E7497" s="181"/>
      <c r="F7497" s="181"/>
      <c r="G7497" s="181"/>
      <c r="H7497" s="181"/>
      <c r="I7497" s="181"/>
      <c r="J7497" s="181"/>
      <c r="K7497" s="181"/>
      <c r="L7497" s="181"/>
      <c r="M7497" s="181"/>
      <c r="N7497" s="181"/>
      <c r="O7497" s="181"/>
      <c r="P7497" s="181"/>
    </row>
    <row r="7498">
      <c r="B7498" s="292"/>
      <c r="C7498" s="181"/>
      <c r="D7498" s="181"/>
      <c r="E7498" s="181"/>
      <c r="F7498" s="181"/>
      <c r="G7498" s="181"/>
      <c r="H7498" s="181"/>
      <c r="I7498" s="181"/>
      <c r="J7498" s="181"/>
      <c r="K7498" s="181"/>
      <c r="L7498" s="181"/>
      <c r="M7498" s="181"/>
      <c r="N7498" s="181"/>
      <c r="O7498" s="181"/>
      <c r="P7498" s="181"/>
    </row>
    <row r="7499">
      <c r="B7499" s="292"/>
      <c r="C7499" s="181"/>
      <c r="D7499" s="181"/>
      <c r="E7499" s="181"/>
      <c r="F7499" s="181"/>
      <c r="G7499" s="181"/>
      <c r="H7499" s="181"/>
      <c r="I7499" s="181"/>
      <c r="J7499" s="181"/>
      <c r="K7499" s="181"/>
      <c r="L7499" s="181"/>
      <c r="M7499" s="181"/>
      <c r="N7499" s="181"/>
      <c r="O7499" s="181"/>
      <c r="P7499" s="181"/>
    </row>
    <row r="7500">
      <c r="B7500" s="292"/>
      <c r="C7500" s="181"/>
      <c r="D7500" s="181"/>
      <c r="E7500" s="181"/>
      <c r="F7500" s="181"/>
      <c r="G7500" s="181"/>
      <c r="H7500" s="181"/>
      <c r="I7500" s="181"/>
      <c r="J7500" s="181"/>
      <c r="K7500" s="181"/>
      <c r="L7500" s="181"/>
      <c r="M7500" s="181"/>
      <c r="N7500" s="181"/>
      <c r="O7500" s="181"/>
      <c r="P7500" s="181"/>
    </row>
    <row r="7501">
      <c r="B7501" s="292"/>
      <c r="C7501" s="181"/>
      <c r="D7501" s="181"/>
      <c r="E7501" s="181"/>
      <c r="F7501" s="181"/>
      <c r="G7501" s="181"/>
      <c r="H7501" s="181"/>
      <c r="I7501" s="181"/>
      <c r="J7501" s="181"/>
      <c r="K7501" s="181"/>
      <c r="L7501" s="181"/>
      <c r="M7501" s="181"/>
      <c r="N7501" s="181"/>
      <c r="O7501" s="181"/>
      <c r="P7501" s="181"/>
    </row>
    <row r="7502">
      <c r="B7502" s="292"/>
      <c r="C7502" s="181"/>
      <c r="D7502" s="181"/>
      <c r="E7502" s="181"/>
      <c r="F7502" s="181"/>
      <c r="G7502" s="181"/>
      <c r="H7502" s="181"/>
      <c r="I7502" s="181"/>
      <c r="J7502" s="181"/>
      <c r="K7502" s="181"/>
      <c r="L7502" s="181"/>
      <c r="M7502" s="181"/>
      <c r="N7502" s="181"/>
      <c r="O7502" s="181"/>
      <c r="P7502" s="181"/>
    </row>
    <row r="7503">
      <c r="B7503" s="292"/>
      <c r="C7503" s="181"/>
      <c r="D7503" s="181"/>
      <c r="E7503" s="181"/>
      <c r="F7503" s="181"/>
      <c r="G7503" s="181"/>
      <c r="H7503" s="181"/>
      <c r="I7503" s="181"/>
      <c r="J7503" s="181"/>
      <c r="K7503" s="181"/>
      <c r="L7503" s="181"/>
      <c r="M7503" s="181"/>
      <c r="N7503" s="181"/>
      <c r="O7503" s="181"/>
      <c r="P7503" s="181"/>
    </row>
    <row r="7504">
      <c r="B7504" s="292"/>
      <c r="C7504" s="181"/>
      <c r="D7504" s="181"/>
      <c r="E7504" s="181"/>
      <c r="F7504" s="181"/>
      <c r="G7504" s="181"/>
      <c r="H7504" s="181"/>
      <c r="I7504" s="181"/>
      <c r="J7504" s="181"/>
      <c r="K7504" s="181"/>
      <c r="L7504" s="181"/>
      <c r="M7504" s="181"/>
      <c r="N7504" s="181"/>
      <c r="O7504" s="181"/>
      <c r="P7504" s="181"/>
    </row>
    <row r="7505">
      <c r="B7505" s="292"/>
      <c r="C7505" s="181"/>
      <c r="D7505" s="181"/>
      <c r="E7505" s="181"/>
      <c r="F7505" s="181"/>
      <c r="G7505" s="181"/>
      <c r="H7505" s="181"/>
      <c r="I7505" s="181"/>
      <c r="J7505" s="181"/>
      <c r="K7505" s="181"/>
      <c r="L7505" s="181"/>
      <c r="M7505" s="181"/>
      <c r="N7505" s="181"/>
      <c r="O7505" s="181"/>
      <c r="P7505" s="181"/>
    </row>
    <row r="7506">
      <c r="B7506" s="292"/>
      <c r="C7506" s="181"/>
      <c r="D7506" s="181"/>
      <c r="E7506" s="181"/>
      <c r="F7506" s="181"/>
      <c r="G7506" s="181"/>
      <c r="H7506" s="181"/>
      <c r="I7506" s="181"/>
      <c r="J7506" s="181"/>
      <c r="K7506" s="181"/>
      <c r="L7506" s="181"/>
      <c r="M7506" s="181"/>
      <c r="N7506" s="181"/>
      <c r="O7506" s="181"/>
      <c r="P7506" s="181"/>
    </row>
    <row r="7507">
      <c r="B7507" s="292"/>
      <c r="C7507" s="181"/>
      <c r="D7507" s="181"/>
      <c r="E7507" s="181"/>
      <c r="F7507" s="181"/>
      <c r="G7507" s="181"/>
      <c r="H7507" s="181"/>
      <c r="I7507" s="181"/>
      <c r="J7507" s="181"/>
      <c r="K7507" s="181"/>
      <c r="L7507" s="181"/>
      <c r="M7507" s="181"/>
      <c r="N7507" s="181"/>
      <c r="O7507" s="181"/>
      <c r="P7507" s="181"/>
    </row>
    <row r="7508">
      <c r="B7508" s="292"/>
      <c r="C7508" s="181"/>
      <c r="D7508" s="181"/>
      <c r="E7508" s="181"/>
      <c r="F7508" s="181"/>
      <c r="G7508" s="181"/>
      <c r="H7508" s="181"/>
      <c r="I7508" s="181"/>
      <c r="J7508" s="181"/>
      <c r="K7508" s="181"/>
      <c r="L7508" s="181"/>
      <c r="M7508" s="181"/>
      <c r="N7508" s="181"/>
      <c r="O7508" s="181"/>
      <c r="P7508" s="181"/>
    </row>
    <row r="7509">
      <c r="B7509" s="292"/>
      <c r="C7509" s="181"/>
      <c r="D7509" s="181"/>
      <c r="E7509" s="181"/>
      <c r="F7509" s="181"/>
      <c r="G7509" s="181"/>
      <c r="H7509" s="181"/>
      <c r="I7509" s="181"/>
      <c r="J7509" s="181"/>
      <c r="K7509" s="181"/>
      <c r="L7509" s="181"/>
      <c r="M7509" s="181"/>
      <c r="N7509" s="181"/>
      <c r="O7509" s="181"/>
      <c r="P7509" s="181"/>
    </row>
    <row r="7510">
      <c r="B7510" s="292"/>
      <c r="C7510" s="181"/>
      <c r="D7510" s="181"/>
      <c r="E7510" s="181"/>
      <c r="F7510" s="181"/>
      <c r="G7510" s="181"/>
      <c r="H7510" s="181"/>
      <c r="I7510" s="181"/>
      <c r="J7510" s="181"/>
      <c r="K7510" s="181"/>
      <c r="L7510" s="181"/>
      <c r="M7510" s="181"/>
      <c r="N7510" s="181"/>
      <c r="O7510" s="181"/>
      <c r="P7510" s="181"/>
    </row>
    <row r="7511">
      <c r="B7511" s="292"/>
      <c r="C7511" s="181"/>
      <c r="D7511" s="181"/>
      <c r="E7511" s="181"/>
      <c r="F7511" s="181"/>
      <c r="G7511" s="181"/>
      <c r="H7511" s="181"/>
      <c r="I7511" s="181"/>
      <c r="J7511" s="181"/>
      <c r="K7511" s="181"/>
      <c r="L7511" s="181"/>
      <c r="M7511" s="181"/>
      <c r="N7511" s="181"/>
      <c r="O7511" s="181"/>
      <c r="P7511" s="181"/>
    </row>
    <row r="7512">
      <c r="B7512" s="292"/>
      <c r="C7512" s="181"/>
      <c r="D7512" s="181"/>
      <c r="E7512" s="181"/>
      <c r="F7512" s="181"/>
      <c r="G7512" s="181"/>
      <c r="H7512" s="181"/>
      <c r="I7512" s="181"/>
      <c r="J7512" s="181"/>
      <c r="K7512" s="181"/>
      <c r="L7512" s="181"/>
      <c r="M7512" s="181"/>
      <c r="N7512" s="181"/>
      <c r="O7512" s="181"/>
      <c r="P7512" s="181"/>
    </row>
    <row r="7513">
      <c r="B7513" s="292"/>
      <c r="C7513" s="181"/>
      <c r="D7513" s="181"/>
      <c r="E7513" s="181"/>
      <c r="F7513" s="181"/>
      <c r="G7513" s="181"/>
      <c r="H7513" s="181"/>
      <c r="I7513" s="181"/>
      <c r="J7513" s="181"/>
      <c r="K7513" s="181"/>
      <c r="L7513" s="181"/>
      <c r="M7513" s="181"/>
      <c r="N7513" s="181"/>
      <c r="O7513" s="181"/>
      <c r="P7513" s="181"/>
    </row>
    <row r="7514">
      <c r="B7514" s="292"/>
      <c r="C7514" s="181"/>
      <c r="D7514" s="181"/>
      <c r="E7514" s="181"/>
      <c r="F7514" s="181"/>
      <c r="G7514" s="181"/>
      <c r="H7514" s="181"/>
      <c r="I7514" s="181"/>
      <c r="J7514" s="181"/>
      <c r="K7514" s="181"/>
      <c r="L7514" s="181"/>
      <c r="M7514" s="181"/>
      <c r="N7514" s="181"/>
      <c r="O7514" s="181"/>
      <c r="P7514" s="181"/>
    </row>
    <row r="7515">
      <c r="B7515" s="292"/>
      <c r="C7515" s="181"/>
      <c r="D7515" s="181"/>
      <c r="E7515" s="181"/>
      <c r="F7515" s="181"/>
      <c r="G7515" s="181"/>
      <c r="H7515" s="181"/>
      <c r="I7515" s="181"/>
      <c r="J7515" s="181"/>
      <c r="K7515" s="181"/>
      <c r="L7515" s="181"/>
      <c r="M7515" s="181"/>
      <c r="N7515" s="181"/>
      <c r="O7515" s="181"/>
      <c r="P7515" s="181"/>
    </row>
    <row r="7516">
      <c r="B7516" s="292"/>
      <c r="C7516" s="181"/>
      <c r="D7516" s="181"/>
      <c r="E7516" s="181"/>
      <c r="F7516" s="181"/>
      <c r="G7516" s="181"/>
      <c r="H7516" s="181"/>
      <c r="I7516" s="181"/>
      <c r="J7516" s="181"/>
      <c r="K7516" s="181"/>
      <c r="L7516" s="181"/>
      <c r="M7516" s="181"/>
      <c r="N7516" s="181"/>
      <c r="O7516" s="181"/>
      <c r="P7516" s="181"/>
    </row>
    <row r="7517">
      <c r="B7517" s="292"/>
      <c r="C7517" s="181"/>
      <c r="D7517" s="181"/>
      <c r="E7517" s="181"/>
      <c r="F7517" s="181"/>
      <c r="G7517" s="181"/>
      <c r="H7517" s="181"/>
      <c r="I7517" s="181"/>
      <c r="J7517" s="181"/>
      <c r="K7517" s="181"/>
      <c r="L7517" s="181"/>
      <c r="M7517" s="181"/>
      <c r="N7517" s="181"/>
      <c r="O7517" s="181"/>
      <c r="P7517" s="181"/>
    </row>
    <row r="7518">
      <c r="B7518" s="292"/>
      <c r="C7518" s="181"/>
      <c r="D7518" s="181"/>
      <c r="E7518" s="181"/>
      <c r="F7518" s="181"/>
      <c r="G7518" s="181"/>
      <c r="H7518" s="181"/>
      <c r="I7518" s="181"/>
      <c r="J7518" s="181"/>
      <c r="K7518" s="181"/>
      <c r="L7518" s="181"/>
      <c r="M7518" s="181"/>
      <c r="N7518" s="181"/>
      <c r="O7518" s="181"/>
      <c r="P7518" s="181"/>
    </row>
    <row r="7519">
      <c r="B7519" s="292"/>
      <c r="C7519" s="181"/>
      <c r="D7519" s="181"/>
      <c r="E7519" s="181"/>
      <c r="F7519" s="181"/>
      <c r="G7519" s="181"/>
      <c r="H7519" s="181"/>
      <c r="I7519" s="181"/>
      <c r="J7519" s="181"/>
      <c r="K7519" s="181"/>
      <c r="L7519" s="181"/>
      <c r="M7519" s="181"/>
      <c r="N7519" s="181"/>
      <c r="O7519" s="181"/>
      <c r="P7519" s="181"/>
    </row>
    <row r="7520">
      <c r="B7520" s="292"/>
      <c r="C7520" s="181"/>
      <c r="D7520" s="181"/>
      <c r="E7520" s="181"/>
      <c r="F7520" s="181"/>
      <c r="G7520" s="181"/>
      <c r="H7520" s="181"/>
      <c r="I7520" s="181"/>
      <c r="J7520" s="181"/>
      <c r="K7520" s="181"/>
      <c r="L7520" s="181"/>
      <c r="M7520" s="181"/>
      <c r="N7520" s="181"/>
      <c r="O7520" s="181"/>
      <c r="P7520" s="181"/>
    </row>
    <row r="7521">
      <c r="B7521" s="292"/>
      <c r="C7521" s="181"/>
      <c r="D7521" s="181"/>
      <c r="E7521" s="181"/>
      <c r="F7521" s="181"/>
      <c r="G7521" s="181"/>
      <c r="H7521" s="181"/>
      <c r="I7521" s="181"/>
      <c r="J7521" s="181"/>
      <c r="K7521" s="181"/>
      <c r="L7521" s="181"/>
      <c r="M7521" s="181"/>
      <c r="N7521" s="181"/>
      <c r="O7521" s="181"/>
      <c r="P7521" s="181"/>
    </row>
    <row r="7522">
      <c r="B7522" s="292"/>
      <c r="C7522" s="181"/>
      <c r="D7522" s="181"/>
      <c r="E7522" s="181"/>
      <c r="F7522" s="181"/>
      <c r="G7522" s="181"/>
      <c r="H7522" s="181"/>
      <c r="I7522" s="181"/>
      <c r="J7522" s="181"/>
      <c r="K7522" s="181"/>
      <c r="L7522" s="181"/>
      <c r="M7522" s="181"/>
      <c r="N7522" s="181"/>
      <c r="O7522" s="181"/>
      <c r="P7522" s="181"/>
    </row>
    <row r="7523">
      <c r="B7523" s="292"/>
      <c r="C7523" s="181"/>
      <c r="D7523" s="181"/>
      <c r="E7523" s="181"/>
      <c r="F7523" s="181"/>
      <c r="G7523" s="181"/>
      <c r="H7523" s="181"/>
      <c r="I7523" s="181"/>
      <c r="J7523" s="181"/>
      <c r="K7523" s="181"/>
      <c r="L7523" s="181"/>
      <c r="M7523" s="181"/>
      <c r="N7523" s="181"/>
      <c r="O7523" s="181"/>
      <c r="P7523" s="181"/>
    </row>
    <row r="7524">
      <c r="B7524" s="292"/>
      <c r="C7524" s="181"/>
      <c r="D7524" s="181"/>
      <c r="E7524" s="181"/>
      <c r="F7524" s="181"/>
      <c r="G7524" s="181"/>
      <c r="H7524" s="181"/>
      <c r="I7524" s="181"/>
      <c r="J7524" s="181"/>
      <c r="K7524" s="181"/>
      <c r="L7524" s="181"/>
      <c r="M7524" s="181"/>
      <c r="N7524" s="181"/>
      <c r="O7524" s="181"/>
      <c r="P7524" s="181"/>
    </row>
    <row r="7525">
      <c r="B7525" s="292"/>
      <c r="C7525" s="181"/>
      <c r="D7525" s="181"/>
      <c r="E7525" s="181"/>
      <c r="F7525" s="181"/>
      <c r="G7525" s="181"/>
      <c r="H7525" s="181"/>
      <c r="I7525" s="181"/>
      <c r="J7525" s="181"/>
      <c r="K7525" s="181"/>
      <c r="L7525" s="181"/>
      <c r="M7525" s="181"/>
      <c r="N7525" s="181"/>
      <c r="O7525" s="181"/>
      <c r="P7525" s="181"/>
    </row>
    <row r="7526">
      <c r="B7526" s="292"/>
      <c r="C7526" s="181"/>
      <c r="D7526" s="181"/>
      <c r="E7526" s="181"/>
      <c r="F7526" s="181"/>
      <c r="G7526" s="181"/>
      <c r="H7526" s="181"/>
      <c r="I7526" s="181"/>
      <c r="J7526" s="181"/>
      <c r="K7526" s="181"/>
      <c r="L7526" s="181"/>
      <c r="M7526" s="181"/>
      <c r="N7526" s="181"/>
      <c r="O7526" s="181"/>
      <c r="P7526" s="181"/>
    </row>
    <row r="7527">
      <c r="B7527" s="292"/>
      <c r="C7527" s="181"/>
      <c r="D7527" s="181"/>
      <c r="E7527" s="181"/>
      <c r="F7527" s="181"/>
      <c r="G7527" s="181"/>
      <c r="H7527" s="181"/>
      <c r="I7527" s="181"/>
      <c r="J7527" s="181"/>
      <c r="K7527" s="181"/>
      <c r="L7527" s="181"/>
      <c r="M7527" s="181"/>
      <c r="N7527" s="181"/>
      <c r="O7527" s="181"/>
      <c r="P7527" s="181"/>
    </row>
    <row r="7528">
      <c r="B7528" s="292"/>
      <c r="C7528" s="181"/>
      <c r="D7528" s="181"/>
      <c r="E7528" s="181"/>
      <c r="F7528" s="181"/>
      <c r="G7528" s="181"/>
      <c r="H7528" s="181"/>
      <c r="I7528" s="181"/>
      <c r="J7528" s="181"/>
      <c r="K7528" s="181"/>
      <c r="L7528" s="181"/>
      <c r="M7528" s="181"/>
      <c r="N7528" s="181"/>
      <c r="O7528" s="181"/>
      <c r="P7528" s="181"/>
    </row>
    <row r="7529">
      <c r="B7529" s="292"/>
      <c r="C7529" s="181"/>
      <c r="D7529" s="181"/>
      <c r="E7529" s="181"/>
      <c r="F7529" s="181"/>
      <c r="G7529" s="181"/>
      <c r="H7529" s="181"/>
      <c r="I7529" s="181"/>
      <c r="J7529" s="181"/>
      <c r="K7529" s="181"/>
      <c r="L7529" s="181"/>
      <c r="M7529" s="181"/>
      <c r="N7529" s="181"/>
      <c r="O7529" s="181"/>
      <c r="P7529" s="181"/>
    </row>
    <row r="7530">
      <c r="B7530" s="292"/>
      <c r="C7530" s="181"/>
      <c r="D7530" s="181"/>
      <c r="E7530" s="181"/>
      <c r="F7530" s="181"/>
      <c r="G7530" s="181"/>
      <c r="H7530" s="181"/>
      <c r="I7530" s="181"/>
      <c r="J7530" s="181"/>
      <c r="K7530" s="181"/>
      <c r="L7530" s="181"/>
      <c r="M7530" s="181"/>
      <c r="N7530" s="181"/>
      <c r="O7530" s="181"/>
      <c r="P7530" s="181"/>
    </row>
    <row r="7531">
      <c r="B7531" s="292"/>
      <c r="C7531" s="181"/>
      <c r="D7531" s="181"/>
      <c r="E7531" s="181"/>
      <c r="F7531" s="181"/>
      <c r="G7531" s="181"/>
      <c r="H7531" s="181"/>
      <c r="I7531" s="181"/>
      <c r="J7531" s="181"/>
      <c r="K7531" s="181"/>
      <c r="L7531" s="181"/>
      <c r="M7531" s="181"/>
      <c r="N7531" s="181"/>
      <c r="O7531" s="181"/>
      <c r="P7531" s="181"/>
    </row>
    <row r="7532">
      <c r="B7532" s="292"/>
      <c r="C7532" s="181"/>
      <c r="D7532" s="181"/>
      <c r="E7532" s="181"/>
      <c r="F7532" s="181"/>
      <c r="G7532" s="181"/>
      <c r="H7532" s="181"/>
      <c r="I7532" s="181"/>
      <c r="J7532" s="181"/>
      <c r="K7532" s="181"/>
      <c r="L7532" s="181"/>
      <c r="M7532" s="181"/>
      <c r="N7532" s="181"/>
      <c r="O7532" s="181"/>
      <c r="P7532" s="181"/>
    </row>
    <row r="7533">
      <c r="B7533" s="292"/>
      <c r="C7533" s="181"/>
      <c r="D7533" s="181"/>
      <c r="E7533" s="181"/>
      <c r="F7533" s="181"/>
      <c r="G7533" s="181"/>
      <c r="H7533" s="181"/>
      <c r="I7533" s="181"/>
      <c r="J7533" s="181"/>
      <c r="K7533" s="181"/>
      <c r="L7533" s="181"/>
      <c r="M7533" s="181"/>
      <c r="N7533" s="181"/>
      <c r="O7533" s="181"/>
      <c r="P7533" s="181"/>
    </row>
    <row r="7534">
      <c r="B7534" s="292"/>
      <c r="C7534" s="181"/>
      <c r="D7534" s="181"/>
      <c r="E7534" s="181"/>
      <c r="F7534" s="181"/>
      <c r="G7534" s="181"/>
      <c r="H7534" s="181"/>
      <c r="I7534" s="181"/>
      <c r="J7534" s="181"/>
      <c r="K7534" s="181"/>
      <c r="L7534" s="181"/>
      <c r="M7534" s="181"/>
      <c r="N7534" s="181"/>
      <c r="O7534" s="181"/>
      <c r="P7534" s="181"/>
    </row>
    <row r="7535">
      <c r="B7535" s="292"/>
      <c r="C7535" s="181"/>
      <c r="D7535" s="181"/>
      <c r="E7535" s="181"/>
      <c r="F7535" s="181"/>
      <c r="G7535" s="181"/>
      <c r="H7535" s="181"/>
      <c r="I7535" s="181"/>
      <c r="J7535" s="181"/>
      <c r="K7535" s="181"/>
      <c r="L7535" s="181"/>
      <c r="M7535" s="181"/>
      <c r="N7535" s="181"/>
      <c r="O7535" s="181"/>
      <c r="P7535" s="181"/>
    </row>
    <row r="7536">
      <c r="B7536" s="292"/>
      <c r="C7536" s="181"/>
      <c r="D7536" s="181"/>
      <c r="E7536" s="181"/>
      <c r="F7536" s="181"/>
      <c r="G7536" s="181"/>
      <c r="H7536" s="181"/>
      <c r="I7536" s="181"/>
      <c r="J7536" s="181"/>
      <c r="K7536" s="181"/>
      <c r="L7536" s="181"/>
      <c r="M7536" s="181"/>
      <c r="N7536" s="181"/>
      <c r="O7536" s="181"/>
      <c r="P7536" s="181"/>
    </row>
    <row r="7537">
      <c r="B7537" s="292"/>
      <c r="C7537" s="181"/>
      <c r="D7537" s="181"/>
      <c r="E7537" s="181"/>
      <c r="F7537" s="181"/>
      <c r="G7537" s="181"/>
      <c r="H7537" s="181"/>
      <c r="I7537" s="181"/>
      <c r="J7537" s="181"/>
      <c r="K7537" s="181"/>
      <c r="L7537" s="181"/>
      <c r="M7537" s="181"/>
      <c r="N7537" s="181"/>
      <c r="O7537" s="181"/>
      <c r="P7537" s="181"/>
    </row>
    <row r="7538">
      <c r="B7538" s="292"/>
      <c r="C7538" s="181"/>
      <c r="D7538" s="181"/>
      <c r="E7538" s="181"/>
      <c r="F7538" s="181"/>
      <c r="G7538" s="181"/>
      <c r="H7538" s="181"/>
      <c r="I7538" s="181"/>
      <c r="J7538" s="181"/>
      <c r="K7538" s="181"/>
      <c r="L7538" s="181"/>
      <c r="M7538" s="181"/>
      <c r="N7538" s="181"/>
      <c r="O7538" s="181"/>
      <c r="P7538" s="181"/>
    </row>
    <row r="7539">
      <c r="B7539" s="292"/>
      <c r="C7539" s="181"/>
      <c r="D7539" s="181"/>
      <c r="E7539" s="181"/>
      <c r="F7539" s="181"/>
      <c r="G7539" s="181"/>
      <c r="H7539" s="181"/>
      <c r="I7539" s="181"/>
      <c r="J7539" s="181"/>
      <c r="K7539" s="181"/>
      <c r="L7539" s="181"/>
      <c r="M7539" s="181"/>
      <c r="N7539" s="181"/>
      <c r="O7539" s="181"/>
      <c r="P7539" s="181"/>
    </row>
    <row r="7540">
      <c r="B7540" s="292"/>
      <c r="C7540" s="181"/>
      <c r="D7540" s="181"/>
      <c r="E7540" s="181"/>
      <c r="F7540" s="181"/>
      <c r="G7540" s="181"/>
      <c r="H7540" s="181"/>
      <c r="I7540" s="181"/>
      <c r="J7540" s="181"/>
      <c r="K7540" s="181"/>
      <c r="L7540" s="181"/>
      <c r="M7540" s="181"/>
      <c r="N7540" s="181"/>
      <c r="O7540" s="181"/>
      <c r="P7540" s="181"/>
    </row>
    <row r="7541">
      <c r="B7541" s="292"/>
      <c r="C7541" s="181"/>
      <c r="D7541" s="181"/>
      <c r="E7541" s="181"/>
      <c r="F7541" s="181"/>
      <c r="G7541" s="181"/>
      <c r="H7541" s="181"/>
      <c r="I7541" s="181"/>
      <c r="J7541" s="181"/>
      <c r="K7541" s="181"/>
      <c r="L7541" s="181"/>
      <c r="M7541" s="181"/>
      <c r="N7541" s="181"/>
      <c r="O7541" s="181"/>
      <c r="P7541" s="181"/>
    </row>
    <row r="7542">
      <c r="B7542" s="292"/>
      <c r="C7542" s="181"/>
      <c r="D7542" s="181"/>
      <c r="E7542" s="181"/>
      <c r="F7542" s="181"/>
      <c r="G7542" s="181"/>
      <c r="H7542" s="181"/>
      <c r="I7542" s="181"/>
      <c r="J7542" s="181"/>
      <c r="K7542" s="181"/>
      <c r="L7542" s="181"/>
      <c r="M7542" s="181"/>
      <c r="N7542" s="181"/>
      <c r="O7542" s="181"/>
      <c r="P7542" s="181"/>
    </row>
    <row r="7543">
      <c r="B7543" s="292"/>
      <c r="C7543" s="181"/>
      <c r="D7543" s="181"/>
      <c r="E7543" s="181"/>
      <c r="F7543" s="181"/>
      <c r="G7543" s="181"/>
      <c r="H7543" s="181"/>
      <c r="I7543" s="181"/>
      <c r="J7543" s="181"/>
      <c r="K7543" s="181"/>
      <c r="L7543" s="181"/>
      <c r="M7543" s="181"/>
      <c r="N7543" s="181"/>
      <c r="O7543" s="181"/>
      <c r="P7543" s="181"/>
    </row>
    <row r="7544">
      <c r="B7544" s="292"/>
      <c r="C7544" s="181"/>
      <c r="D7544" s="181"/>
      <c r="E7544" s="181"/>
      <c r="F7544" s="181"/>
      <c r="G7544" s="181"/>
      <c r="H7544" s="181"/>
      <c r="I7544" s="181"/>
      <c r="J7544" s="181"/>
      <c r="K7544" s="181"/>
      <c r="L7544" s="181"/>
      <c r="M7544" s="181"/>
      <c r="N7544" s="181"/>
      <c r="O7544" s="181"/>
      <c r="P7544" s="181"/>
    </row>
    <row r="7545">
      <c r="B7545" s="292"/>
      <c r="C7545" s="181"/>
      <c r="D7545" s="181"/>
      <c r="E7545" s="181"/>
      <c r="F7545" s="181"/>
      <c r="G7545" s="181"/>
      <c r="H7545" s="181"/>
      <c r="I7545" s="181"/>
      <c r="J7545" s="181"/>
      <c r="K7545" s="181"/>
      <c r="L7545" s="181"/>
      <c r="M7545" s="181"/>
      <c r="N7545" s="181"/>
      <c r="O7545" s="181"/>
      <c r="P7545" s="181"/>
    </row>
    <row r="7546">
      <c r="B7546" s="292"/>
      <c r="C7546" s="181"/>
      <c r="D7546" s="181"/>
      <c r="E7546" s="181"/>
      <c r="F7546" s="181"/>
      <c r="G7546" s="181"/>
      <c r="H7546" s="181"/>
      <c r="I7546" s="181"/>
      <c r="J7546" s="181"/>
      <c r="K7546" s="181"/>
      <c r="L7546" s="181"/>
      <c r="M7546" s="181"/>
      <c r="N7546" s="181"/>
      <c r="O7546" s="181"/>
      <c r="P7546" s="181"/>
    </row>
    <row r="7547">
      <c r="B7547" s="292"/>
      <c r="C7547" s="181"/>
      <c r="D7547" s="181"/>
      <c r="E7547" s="181"/>
      <c r="F7547" s="181"/>
      <c r="G7547" s="181"/>
      <c r="H7547" s="181"/>
      <c r="I7547" s="181"/>
      <c r="J7547" s="181"/>
      <c r="K7547" s="181"/>
      <c r="L7547" s="181"/>
      <c r="M7547" s="181"/>
      <c r="N7547" s="181"/>
      <c r="O7547" s="181"/>
      <c r="P7547" s="181"/>
    </row>
    <row r="7548">
      <c r="B7548" s="292"/>
      <c r="C7548" s="181"/>
      <c r="D7548" s="181"/>
      <c r="E7548" s="181"/>
      <c r="F7548" s="181"/>
      <c r="G7548" s="181"/>
      <c r="H7548" s="181"/>
      <c r="I7548" s="181"/>
      <c r="J7548" s="181"/>
      <c r="K7548" s="181"/>
      <c r="L7548" s="181"/>
      <c r="M7548" s="181"/>
      <c r="N7548" s="181"/>
      <c r="O7548" s="181"/>
      <c r="P7548" s="181"/>
    </row>
    <row r="7549">
      <c r="B7549" s="292"/>
      <c r="C7549" s="181"/>
      <c r="D7549" s="181"/>
      <c r="E7549" s="181"/>
      <c r="F7549" s="181"/>
      <c r="G7549" s="181"/>
      <c r="H7549" s="181"/>
      <c r="I7549" s="181"/>
      <c r="J7549" s="181"/>
      <c r="K7549" s="181"/>
      <c r="L7549" s="181"/>
      <c r="M7549" s="181"/>
      <c r="N7549" s="181"/>
      <c r="O7549" s="181"/>
      <c r="P7549" s="181"/>
    </row>
    <row r="7550">
      <c r="B7550" s="292"/>
      <c r="C7550" s="181"/>
      <c r="D7550" s="181"/>
      <c r="E7550" s="181"/>
      <c r="F7550" s="181"/>
      <c r="G7550" s="181"/>
      <c r="H7550" s="181"/>
      <c r="I7550" s="181"/>
      <c r="J7550" s="181"/>
      <c r="K7550" s="181"/>
      <c r="L7550" s="181"/>
      <c r="M7550" s="181"/>
      <c r="N7550" s="181"/>
      <c r="O7550" s="181"/>
      <c r="P7550" s="181"/>
    </row>
    <row r="7551">
      <c r="B7551" s="292"/>
      <c r="C7551" s="181"/>
      <c r="D7551" s="181"/>
      <c r="E7551" s="181"/>
      <c r="F7551" s="181"/>
      <c r="G7551" s="181"/>
      <c r="H7551" s="181"/>
      <c r="I7551" s="181"/>
      <c r="J7551" s="181"/>
      <c r="K7551" s="181"/>
      <c r="L7551" s="181"/>
      <c r="M7551" s="181"/>
      <c r="N7551" s="181"/>
      <c r="O7551" s="181"/>
      <c r="P7551" s="181"/>
    </row>
    <row r="7552">
      <c r="B7552" s="292"/>
      <c r="C7552" s="181"/>
      <c r="D7552" s="181"/>
      <c r="E7552" s="181"/>
      <c r="F7552" s="181"/>
      <c r="G7552" s="181"/>
      <c r="H7552" s="181"/>
      <c r="I7552" s="181"/>
      <c r="J7552" s="181"/>
      <c r="K7552" s="181"/>
      <c r="L7552" s="181"/>
      <c r="M7552" s="181"/>
      <c r="N7552" s="181"/>
      <c r="O7552" s="181"/>
      <c r="P7552" s="181"/>
    </row>
    <row r="7553">
      <c r="B7553" s="292"/>
      <c r="C7553" s="181"/>
      <c r="D7553" s="181"/>
      <c r="E7553" s="181"/>
      <c r="F7553" s="181"/>
      <c r="G7553" s="181"/>
      <c r="H7553" s="181"/>
      <c r="I7553" s="181"/>
      <c r="J7553" s="181"/>
      <c r="K7553" s="181"/>
      <c r="L7553" s="181"/>
      <c r="M7553" s="181"/>
      <c r="N7553" s="181"/>
      <c r="O7553" s="181"/>
      <c r="P7553" s="181"/>
    </row>
    <row r="7554">
      <c r="B7554" s="292"/>
      <c r="C7554" s="181"/>
      <c r="D7554" s="181"/>
      <c r="E7554" s="181"/>
      <c r="F7554" s="181"/>
      <c r="G7554" s="181"/>
      <c r="H7554" s="181"/>
      <c r="I7554" s="181"/>
      <c r="J7554" s="181"/>
      <c r="K7554" s="181"/>
      <c r="L7554" s="181"/>
      <c r="M7554" s="181"/>
      <c r="N7554" s="181"/>
      <c r="O7554" s="181"/>
      <c r="P7554" s="181"/>
    </row>
    <row r="7555">
      <c r="B7555" s="292"/>
      <c r="C7555" s="181"/>
      <c r="D7555" s="181"/>
      <c r="E7555" s="181"/>
      <c r="F7555" s="181"/>
      <c r="G7555" s="181"/>
      <c r="H7555" s="181"/>
      <c r="I7555" s="181"/>
      <c r="J7555" s="181"/>
      <c r="K7555" s="181"/>
      <c r="L7555" s="181"/>
      <c r="M7555" s="181"/>
      <c r="N7555" s="181"/>
      <c r="O7555" s="181"/>
      <c r="P7555" s="181"/>
    </row>
    <row r="7556">
      <c r="B7556" s="292"/>
      <c r="C7556" s="181"/>
      <c r="D7556" s="181"/>
      <c r="E7556" s="181"/>
      <c r="F7556" s="181"/>
      <c r="G7556" s="181"/>
      <c r="H7556" s="181"/>
      <c r="I7556" s="181"/>
      <c r="J7556" s="181"/>
      <c r="K7556" s="181"/>
      <c r="L7556" s="181"/>
      <c r="M7556" s="181"/>
      <c r="N7556" s="181"/>
      <c r="O7556" s="181"/>
      <c r="P7556" s="181"/>
    </row>
    <row r="7557">
      <c r="B7557" s="292"/>
      <c r="C7557" s="181"/>
      <c r="D7557" s="181"/>
      <c r="E7557" s="181"/>
      <c r="F7557" s="181"/>
      <c r="G7557" s="181"/>
      <c r="H7557" s="181"/>
      <c r="I7557" s="181"/>
      <c r="J7557" s="181"/>
      <c r="K7557" s="181"/>
      <c r="L7557" s="181"/>
      <c r="M7557" s="181"/>
      <c r="N7557" s="181"/>
      <c r="O7557" s="181"/>
      <c r="P7557" s="181"/>
    </row>
    <row r="7558">
      <c r="B7558" s="292"/>
      <c r="C7558" s="181"/>
      <c r="D7558" s="181"/>
      <c r="E7558" s="181"/>
      <c r="F7558" s="181"/>
      <c r="G7558" s="181"/>
      <c r="H7558" s="181"/>
      <c r="I7558" s="181"/>
      <c r="J7558" s="181"/>
      <c r="K7558" s="181"/>
      <c r="L7558" s="181"/>
      <c r="M7558" s="181"/>
      <c r="N7558" s="181"/>
      <c r="O7558" s="181"/>
      <c r="P7558" s="181"/>
    </row>
    <row r="7559">
      <c r="B7559" s="292"/>
      <c r="C7559" s="181"/>
      <c r="D7559" s="181"/>
      <c r="E7559" s="181"/>
      <c r="F7559" s="181"/>
      <c r="G7559" s="181"/>
      <c r="H7559" s="181"/>
      <c r="I7559" s="181"/>
      <c r="J7559" s="181"/>
      <c r="K7559" s="181"/>
      <c r="L7559" s="181"/>
      <c r="M7559" s="181"/>
      <c r="N7559" s="181"/>
      <c r="O7559" s="181"/>
      <c r="P7559" s="181"/>
    </row>
    <row r="7560">
      <c r="B7560" s="292"/>
      <c r="C7560" s="181"/>
      <c r="D7560" s="181"/>
      <c r="E7560" s="181"/>
      <c r="F7560" s="181"/>
      <c r="G7560" s="181"/>
      <c r="H7560" s="181"/>
      <c r="I7560" s="181"/>
      <c r="J7560" s="181"/>
      <c r="K7560" s="181"/>
      <c r="L7560" s="181"/>
      <c r="M7560" s="181"/>
      <c r="N7560" s="181"/>
      <c r="O7560" s="181"/>
      <c r="P7560" s="181"/>
    </row>
    <row r="7561">
      <c r="B7561" s="292"/>
      <c r="C7561" s="181"/>
      <c r="D7561" s="181"/>
      <c r="E7561" s="181"/>
      <c r="F7561" s="181"/>
      <c r="G7561" s="181"/>
      <c r="H7561" s="181"/>
      <c r="I7561" s="181"/>
      <c r="J7561" s="181"/>
      <c r="K7561" s="181"/>
      <c r="L7561" s="181"/>
      <c r="M7561" s="181"/>
      <c r="N7561" s="181"/>
      <c r="O7561" s="181"/>
      <c r="P7561" s="181"/>
    </row>
    <row r="7562">
      <c r="B7562" s="292"/>
      <c r="C7562" s="181"/>
      <c r="D7562" s="181"/>
      <c r="E7562" s="181"/>
      <c r="F7562" s="181"/>
      <c r="G7562" s="181"/>
      <c r="H7562" s="181"/>
      <c r="I7562" s="181"/>
      <c r="J7562" s="181"/>
      <c r="K7562" s="181"/>
      <c r="L7562" s="181"/>
      <c r="M7562" s="181"/>
      <c r="N7562" s="181"/>
      <c r="O7562" s="181"/>
      <c r="P7562" s="181"/>
    </row>
    <row r="7563">
      <c r="B7563" s="292"/>
      <c r="C7563" s="181"/>
      <c r="D7563" s="181"/>
      <c r="E7563" s="181"/>
      <c r="F7563" s="181"/>
      <c r="G7563" s="181"/>
      <c r="H7563" s="181"/>
      <c r="I7563" s="181"/>
      <c r="J7563" s="181"/>
      <c r="K7563" s="181"/>
      <c r="L7563" s="181"/>
      <c r="M7563" s="181"/>
      <c r="N7563" s="181"/>
      <c r="O7563" s="181"/>
      <c r="P7563" s="181"/>
    </row>
    <row r="7564">
      <c r="B7564" s="292"/>
      <c r="C7564" s="181"/>
      <c r="D7564" s="181"/>
      <c r="E7564" s="181"/>
      <c r="F7564" s="181"/>
      <c r="G7564" s="181"/>
      <c r="H7564" s="181"/>
      <c r="I7564" s="181"/>
      <c r="J7564" s="181"/>
      <c r="K7564" s="181"/>
      <c r="L7564" s="181"/>
      <c r="M7564" s="181"/>
      <c r="N7564" s="181"/>
      <c r="O7564" s="181"/>
      <c r="P7564" s="181"/>
    </row>
    <row r="7565">
      <c r="B7565" s="292"/>
      <c r="C7565" s="181"/>
      <c r="D7565" s="181"/>
      <c r="E7565" s="181"/>
      <c r="F7565" s="181"/>
      <c r="G7565" s="181"/>
      <c r="H7565" s="181"/>
      <c r="I7565" s="181"/>
      <c r="J7565" s="181"/>
      <c r="K7565" s="181"/>
      <c r="L7565" s="181"/>
      <c r="M7565" s="181"/>
      <c r="N7565" s="181"/>
      <c r="O7565" s="181"/>
      <c r="P7565" s="181"/>
    </row>
    <row r="7566">
      <c r="B7566" s="292"/>
      <c r="C7566" s="181"/>
      <c r="D7566" s="181"/>
      <c r="E7566" s="181"/>
      <c r="F7566" s="181"/>
      <c r="G7566" s="181"/>
      <c r="H7566" s="181"/>
      <c r="I7566" s="181"/>
      <c r="J7566" s="181"/>
      <c r="K7566" s="181"/>
      <c r="L7566" s="181"/>
      <c r="M7566" s="181"/>
      <c r="N7566" s="181"/>
      <c r="O7566" s="181"/>
      <c r="P7566" s="181"/>
    </row>
    <row r="7567">
      <c r="B7567" s="292"/>
      <c r="C7567" s="181"/>
      <c r="D7567" s="181"/>
      <c r="E7567" s="181"/>
      <c r="F7567" s="181"/>
      <c r="G7567" s="181"/>
      <c r="H7567" s="181"/>
      <c r="I7567" s="181"/>
      <c r="J7567" s="181"/>
      <c r="K7567" s="181"/>
      <c r="L7567" s="181"/>
      <c r="M7567" s="181"/>
      <c r="N7567" s="181"/>
      <c r="O7567" s="181"/>
      <c r="P7567" s="181"/>
    </row>
    <row r="7568">
      <c r="B7568" s="292"/>
      <c r="C7568" s="181"/>
      <c r="D7568" s="181"/>
      <c r="E7568" s="181"/>
      <c r="F7568" s="181"/>
      <c r="G7568" s="181"/>
      <c r="H7568" s="181"/>
      <c r="I7568" s="181"/>
      <c r="J7568" s="181"/>
      <c r="K7568" s="181"/>
      <c r="L7568" s="181"/>
      <c r="M7568" s="181"/>
      <c r="N7568" s="181"/>
      <c r="O7568" s="181"/>
      <c r="P7568" s="181"/>
    </row>
    <row r="7569">
      <c r="B7569" s="292"/>
      <c r="C7569" s="181"/>
      <c r="D7569" s="181"/>
      <c r="E7569" s="181"/>
      <c r="F7569" s="181"/>
      <c r="G7569" s="181"/>
      <c r="H7569" s="181"/>
      <c r="I7569" s="181"/>
      <c r="J7569" s="181"/>
      <c r="K7569" s="181"/>
      <c r="L7569" s="181"/>
      <c r="M7569" s="181"/>
      <c r="N7569" s="181"/>
      <c r="O7569" s="181"/>
      <c r="P7569" s="181"/>
    </row>
    <row r="7570">
      <c r="B7570" s="292"/>
      <c r="C7570" s="181"/>
      <c r="D7570" s="181"/>
      <c r="E7570" s="181"/>
      <c r="F7570" s="181"/>
      <c r="G7570" s="181"/>
      <c r="H7570" s="181"/>
      <c r="I7570" s="181"/>
      <c r="J7570" s="181"/>
      <c r="K7570" s="181"/>
      <c r="L7570" s="181"/>
      <c r="M7570" s="181"/>
      <c r="N7570" s="181"/>
      <c r="O7570" s="181"/>
      <c r="P7570" s="181"/>
    </row>
    <row r="7571">
      <c r="B7571" s="292"/>
      <c r="C7571" s="181"/>
      <c r="D7571" s="181"/>
      <c r="E7571" s="181"/>
      <c r="F7571" s="181"/>
      <c r="G7571" s="181"/>
      <c r="H7571" s="181"/>
      <c r="I7571" s="181"/>
      <c r="J7571" s="181"/>
      <c r="K7571" s="181"/>
      <c r="L7571" s="181"/>
      <c r="M7571" s="181"/>
      <c r="N7571" s="181"/>
      <c r="O7571" s="181"/>
      <c r="P7571" s="181"/>
    </row>
    <row r="7572">
      <c r="B7572" s="292"/>
      <c r="C7572" s="181"/>
      <c r="D7572" s="181"/>
      <c r="E7572" s="181"/>
      <c r="F7572" s="181"/>
      <c r="G7572" s="181"/>
      <c r="H7572" s="181"/>
      <c r="I7572" s="181"/>
      <c r="J7572" s="181"/>
      <c r="K7572" s="181"/>
      <c r="L7572" s="181"/>
      <c r="M7572" s="181"/>
      <c r="N7572" s="181"/>
      <c r="O7572" s="181"/>
      <c r="P7572" s="181"/>
    </row>
    <row r="7573">
      <c r="B7573" s="292"/>
      <c r="C7573" s="181"/>
      <c r="D7573" s="181"/>
      <c r="E7573" s="181"/>
      <c r="F7573" s="181"/>
      <c r="G7573" s="181"/>
      <c r="H7573" s="181"/>
      <c r="I7573" s="181"/>
      <c r="J7573" s="181"/>
      <c r="K7573" s="181"/>
      <c r="L7573" s="181"/>
      <c r="M7573" s="181"/>
      <c r="N7573" s="181"/>
      <c r="O7573" s="181"/>
      <c r="P7573" s="181"/>
    </row>
    <row r="7574">
      <c r="B7574" s="292"/>
      <c r="C7574" s="181"/>
      <c r="D7574" s="181"/>
      <c r="E7574" s="181"/>
      <c r="F7574" s="181"/>
      <c r="G7574" s="181"/>
      <c r="H7574" s="181"/>
      <c r="I7574" s="181"/>
      <c r="J7574" s="181"/>
      <c r="K7574" s="181"/>
      <c r="L7574" s="181"/>
      <c r="M7574" s="181"/>
      <c r="N7574" s="181"/>
      <c r="O7574" s="181"/>
      <c r="P7574" s="181"/>
    </row>
    <row r="7575">
      <c r="B7575" s="292"/>
      <c r="C7575" s="181"/>
      <c r="D7575" s="181"/>
      <c r="E7575" s="181"/>
      <c r="F7575" s="181"/>
      <c r="G7575" s="181"/>
      <c r="H7575" s="181"/>
      <c r="I7575" s="181"/>
      <c r="J7575" s="181"/>
      <c r="K7575" s="181"/>
      <c r="L7575" s="181"/>
      <c r="M7575" s="181"/>
      <c r="N7575" s="181"/>
      <c r="O7575" s="181"/>
      <c r="P7575" s="181"/>
    </row>
    <row r="7576">
      <c r="B7576" s="292"/>
      <c r="C7576" s="181"/>
      <c r="D7576" s="181"/>
      <c r="E7576" s="181"/>
      <c r="F7576" s="181"/>
      <c r="G7576" s="181"/>
      <c r="H7576" s="181"/>
      <c r="I7576" s="181"/>
      <c r="J7576" s="181"/>
      <c r="K7576" s="181"/>
      <c r="L7576" s="181"/>
      <c r="M7576" s="181"/>
      <c r="N7576" s="181"/>
      <c r="O7576" s="181"/>
      <c r="P7576" s="181"/>
    </row>
    <row r="7577">
      <c r="B7577" s="292"/>
      <c r="C7577" s="181"/>
      <c r="D7577" s="181"/>
      <c r="E7577" s="181"/>
      <c r="F7577" s="181"/>
      <c r="G7577" s="181"/>
      <c r="H7577" s="181"/>
      <c r="I7577" s="181"/>
      <c r="J7577" s="181"/>
      <c r="K7577" s="181"/>
      <c r="L7577" s="181"/>
      <c r="M7577" s="181"/>
      <c r="N7577" s="181"/>
      <c r="O7577" s="181"/>
      <c r="P7577" s="181"/>
    </row>
    <row r="7578">
      <c r="B7578" s="292"/>
      <c r="C7578" s="181"/>
      <c r="D7578" s="181"/>
      <c r="E7578" s="181"/>
      <c r="F7578" s="181"/>
      <c r="G7578" s="181"/>
      <c r="H7578" s="181"/>
      <c r="I7578" s="181"/>
      <c r="J7578" s="181"/>
      <c r="K7578" s="181"/>
      <c r="L7578" s="181"/>
      <c r="M7578" s="181"/>
      <c r="N7578" s="181"/>
      <c r="O7578" s="181"/>
      <c r="P7578" s="181"/>
    </row>
    <row r="7579">
      <c r="B7579" s="292"/>
      <c r="C7579" s="181"/>
      <c r="D7579" s="181"/>
      <c r="E7579" s="181"/>
      <c r="F7579" s="181"/>
      <c r="G7579" s="181"/>
      <c r="H7579" s="181"/>
      <c r="I7579" s="181"/>
      <c r="J7579" s="181"/>
      <c r="K7579" s="181"/>
      <c r="L7579" s="181"/>
      <c r="M7579" s="181"/>
      <c r="N7579" s="181"/>
      <c r="O7579" s="181"/>
      <c r="P7579" s="181"/>
    </row>
    <row r="7580">
      <c r="B7580" s="292"/>
      <c r="C7580" s="181"/>
      <c r="D7580" s="181"/>
      <c r="E7580" s="181"/>
      <c r="F7580" s="181"/>
      <c r="G7580" s="181"/>
      <c r="H7580" s="181"/>
      <c r="I7580" s="181"/>
      <c r="J7580" s="181"/>
      <c r="K7580" s="181"/>
      <c r="L7580" s="181"/>
      <c r="M7580" s="181"/>
      <c r="N7580" s="181"/>
      <c r="O7580" s="181"/>
      <c r="P7580" s="181"/>
    </row>
    <row r="7581">
      <c r="B7581" s="292"/>
      <c r="C7581" s="181"/>
      <c r="D7581" s="181"/>
      <c r="E7581" s="181"/>
      <c r="F7581" s="181"/>
      <c r="G7581" s="181"/>
      <c r="H7581" s="181"/>
      <c r="I7581" s="181"/>
      <c r="J7581" s="181"/>
      <c r="K7581" s="181"/>
      <c r="L7581" s="181"/>
      <c r="M7581" s="181"/>
      <c r="N7581" s="181"/>
      <c r="O7581" s="181"/>
      <c r="P7581" s="181"/>
    </row>
    <row r="7582">
      <c r="B7582" s="292"/>
      <c r="C7582" s="181"/>
      <c r="D7582" s="181"/>
      <c r="E7582" s="181"/>
      <c r="F7582" s="181"/>
      <c r="G7582" s="181"/>
      <c r="H7582" s="181"/>
      <c r="I7582" s="181"/>
      <c r="J7582" s="181"/>
      <c r="K7582" s="181"/>
      <c r="L7582" s="181"/>
      <c r="M7582" s="181"/>
      <c r="N7582" s="181"/>
      <c r="O7582" s="181"/>
      <c r="P7582" s="181"/>
    </row>
    <row r="7583">
      <c r="B7583" s="292"/>
      <c r="C7583" s="181"/>
      <c r="D7583" s="181"/>
      <c r="E7583" s="181"/>
      <c r="F7583" s="181"/>
      <c r="G7583" s="181"/>
      <c r="H7583" s="181"/>
      <c r="I7583" s="181"/>
      <c r="J7583" s="181"/>
      <c r="K7583" s="181"/>
      <c r="L7583" s="181"/>
      <c r="M7583" s="181"/>
      <c r="N7583" s="181"/>
      <c r="O7583" s="181"/>
      <c r="P7583" s="181"/>
    </row>
    <row r="7584">
      <c r="B7584" s="292"/>
      <c r="C7584" s="181"/>
      <c r="D7584" s="181"/>
      <c r="E7584" s="181"/>
      <c r="F7584" s="181"/>
      <c r="G7584" s="181"/>
      <c r="H7584" s="181"/>
      <c r="I7584" s="181"/>
      <c r="J7584" s="181"/>
      <c r="K7584" s="181"/>
      <c r="L7584" s="181"/>
      <c r="M7584" s="181"/>
      <c r="N7584" s="181"/>
      <c r="O7584" s="181"/>
      <c r="P7584" s="181"/>
    </row>
    <row r="7585">
      <c r="B7585" s="292"/>
      <c r="C7585" s="181"/>
      <c r="D7585" s="181"/>
      <c r="E7585" s="181"/>
      <c r="F7585" s="181"/>
      <c r="G7585" s="181"/>
      <c r="H7585" s="181"/>
      <c r="I7585" s="181"/>
      <c r="J7585" s="181"/>
      <c r="K7585" s="181"/>
      <c r="L7585" s="181"/>
      <c r="M7585" s="181"/>
      <c r="N7585" s="181"/>
      <c r="O7585" s="181"/>
      <c r="P7585" s="181"/>
    </row>
    <row r="7586">
      <c r="B7586" s="292"/>
      <c r="C7586" s="181"/>
      <c r="D7586" s="181"/>
      <c r="E7586" s="181"/>
      <c r="F7586" s="181"/>
      <c r="G7586" s="181"/>
      <c r="H7586" s="181"/>
      <c r="I7586" s="181"/>
      <c r="J7586" s="181"/>
      <c r="K7586" s="181"/>
      <c r="L7586" s="181"/>
      <c r="M7586" s="181"/>
      <c r="N7586" s="181"/>
      <c r="O7586" s="181"/>
      <c r="P7586" s="181"/>
    </row>
    <row r="7587">
      <c r="B7587" s="292"/>
      <c r="C7587" s="181"/>
      <c r="D7587" s="181"/>
      <c r="E7587" s="181"/>
      <c r="F7587" s="181"/>
      <c r="G7587" s="181"/>
      <c r="H7587" s="181"/>
      <c r="I7587" s="181"/>
      <c r="J7587" s="181"/>
      <c r="K7587" s="181"/>
      <c r="L7587" s="181"/>
      <c r="M7587" s="181"/>
      <c r="N7587" s="181"/>
      <c r="O7587" s="181"/>
      <c r="P7587" s="181"/>
    </row>
    <row r="7588">
      <c r="B7588" s="292"/>
      <c r="C7588" s="181"/>
      <c r="D7588" s="181"/>
      <c r="E7588" s="181"/>
      <c r="F7588" s="181"/>
      <c r="G7588" s="181"/>
      <c r="H7588" s="181"/>
      <c r="I7588" s="181"/>
      <c r="J7588" s="181"/>
      <c r="K7588" s="181"/>
      <c r="L7588" s="181"/>
      <c r="M7588" s="181"/>
      <c r="N7588" s="181"/>
      <c r="O7588" s="181"/>
      <c r="P7588" s="181"/>
    </row>
    <row r="7589">
      <c r="B7589" s="292"/>
      <c r="C7589" s="181"/>
      <c r="D7589" s="181"/>
      <c r="E7589" s="181"/>
      <c r="F7589" s="181"/>
      <c r="G7589" s="181"/>
      <c r="H7589" s="181"/>
      <c r="I7589" s="181"/>
      <c r="J7589" s="181"/>
      <c r="K7589" s="181"/>
      <c r="L7589" s="181"/>
      <c r="M7589" s="181"/>
      <c r="N7589" s="181"/>
      <c r="O7589" s="181"/>
      <c r="P7589" s="181"/>
    </row>
    <row r="7590">
      <c r="B7590" s="292"/>
      <c r="C7590" s="181"/>
      <c r="D7590" s="181"/>
      <c r="E7590" s="181"/>
      <c r="F7590" s="181"/>
      <c r="G7590" s="181"/>
      <c r="H7590" s="181"/>
      <c r="I7590" s="181"/>
      <c r="J7590" s="181"/>
      <c r="K7590" s="181"/>
      <c r="L7590" s="181"/>
      <c r="M7590" s="181"/>
      <c r="N7590" s="181"/>
      <c r="O7590" s="181"/>
      <c r="P7590" s="181"/>
    </row>
    <row r="7591">
      <c r="B7591" s="292"/>
      <c r="C7591" s="181"/>
      <c r="D7591" s="181"/>
      <c r="E7591" s="181"/>
      <c r="F7591" s="181"/>
      <c r="G7591" s="181"/>
      <c r="H7591" s="181"/>
      <c r="I7591" s="181"/>
      <c r="J7591" s="181"/>
      <c r="K7591" s="181"/>
      <c r="L7591" s="181"/>
      <c r="M7591" s="181"/>
      <c r="N7591" s="181"/>
      <c r="O7591" s="181"/>
      <c r="P7591" s="181"/>
    </row>
    <row r="7592">
      <c r="B7592" s="292"/>
      <c r="C7592" s="181"/>
      <c r="D7592" s="181"/>
      <c r="E7592" s="181"/>
      <c r="F7592" s="181"/>
      <c r="G7592" s="181"/>
      <c r="H7592" s="181"/>
      <c r="I7592" s="181"/>
      <c r="J7592" s="181"/>
      <c r="K7592" s="181"/>
      <c r="L7592" s="181"/>
      <c r="M7592" s="181"/>
      <c r="N7592" s="181"/>
      <c r="O7592" s="181"/>
      <c r="P7592" s="181"/>
    </row>
    <row r="7593">
      <c r="B7593" s="292"/>
      <c r="C7593" s="181"/>
      <c r="D7593" s="181"/>
      <c r="E7593" s="181"/>
      <c r="F7593" s="181"/>
      <c r="G7593" s="181"/>
      <c r="H7593" s="181"/>
      <c r="I7593" s="181"/>
      <c r="J7593" s="181"/>
      <c r="K7593" s="181"/>
      <c r="L7593" s="181"/>
      <c r="M7593" s="181"/>
      <c r="N7593" s="181"/>
      <c r="O7593" s="181"/>
      <c r="P7593" s="181"/>
    </row>
    <row r="7594">
      <c r="B7594" s="292"/>
      <c r="C7594" s="181"/>
      <c r="D7594" s="181"/>
      <c r="E7594" s="181"/>
      <c r="F7594" s="181"/>
      <c r="G7594" s="181"/>
      <c r="H7594" s="181"/>
      <c r="I7594" s="181"/>
      <c r="J7594" s="181"/>
      <c r="K7594" s="181"/>
      <c r="L7594" s="181"/>
      <c r="M7594" s="181"/>
      <c r="N7594" s="181"/>
      <c r="O7594" s="181"/>
      <c r="P7594" s="181"/>
    </row>
    <row r="7595">
      <c r="B7595" s="292"/>
      <c r="C7595" s="181"/>
      <c r="D7595" s="181"/>
      <c r="E7595" s="181"/>
      <c r="F7595" s="181"/>
      <c r="G7595" s="181"/>
      <c r="H7595" s="181"/>
      <c r="I7595" s="181"/>
      <c r="J7595" s="181"/>
      <c r="K7595" s="181"/>
      <c r="L7595" s="181"/>
      <c r="M7595" s="181"/>
      <c r="N7595" s="181"/>
      <c r="O7595" s="181"/>
      <c r="P7595" s="181"/>
    </row>
    <row r="7596">
      <c r="B7596" s="292"/>
      <c r="C7596" s="181"/>
      <c r="D7596" s="181"/>
      <c r="E7596" s="181"/>
      <c r="F7596" s="181"/>
      <c r="G7596" s="181"/>
      <c r="H7596" s="181"/>
      <c r="I7596" s="181"/>
      <c r="J7596" s="181"/>
      <c r="K7596" s="181"/>
      <c r="L7596" s="181"/>
      <c r="M7596" s="181"/>
      <c r="N7596" s="181"/>
      <c r="O7596" s="181"/>
      <c r="P7596" s="181"/>
    </row>
    <row r="7597">
      <c r="B7597" s="292"/>
      <c r="C7597" s="181"/>
      <c r="D7597" s="181"/>
      <c r="E7597" s="181"/>
      <c r="F7597" s="181"/>
      <c r="G7597" s="181"/>
      <c r="H7597" s="181"/>
      <c r="I7597" s="181"/>
      <c r="J7597" s="181"/>
      <c r="K7597" s="181"/>
      <c r="L7597" s="181"/>
      <c r="M7597" s="181"/>
      <c r="N7597" s="181"/>
      <c r="O7597" s="181"/>
      <c r="P7597" s="181"/>
    </row>
    <row r="7598">
      <c r="B7598" s="292"/>
      <c r="C7598" s="181"/>
      <c r="D7598" s="181"/>
      <c r="E7598" s="181"/>
      <c r="F7598" s="181"/>
      <c r="G7598" s="181"/>
      <c r="H7598" s="181"/>
      <c r="I7598" s="181"/>
      <c r="J7598" s="181"/>
      <c r="K7598" s="181"/>
      <c r="L7598" s="181"/>
      <c r="M7598" s="181"/>
      <c r="N7598" s="181"/>
      <c r="O7598" s="181"/>
      <c r="P7598" s="181"/>
    </row>
    <row r="7599">
      <c r="B7599" s="292"/>
      <c r="C7599" s="181"/>
      <c r="D7599" s="181"/>
      <c r="E7599" s="181"/>
      <c r="F7599" s="181"/>
      <c r="G7599" s="181"/>
      <c r="H7599" s="181"/>
      <c r="I7599" s="181"/>
      <c r="J7599" s="181"/>
      <c r="K7599" s="181"/>
      <c r="L7599" s="181"/>
      <c r="M7599" s="181"/>
      <c r="N7599" s="181"/>
      <c r="O7599" s="181"/>
      <c r="P7599" s="181"/>
    </row>
    <row r="7600">
      <c r="B7600" s="292"/>
      <c r="C7600" s="181"/>
      <c r="D7600" s="181"/>
      <c r="E7600" s="181"/>
      <c r="F7600" s="181"/>
      <c r="G7600" s="181"/>
      <c r="H7600" s="181"/>
      <c r="I7600" s="181"/>
      <c r="J7600" s="181"/>
      <c r="K7600" s="181"/>
      <c r="L7600" s="181"/>
      <c r="M7600" s="181"/>
      <c r="N7600" s="181"/>
      <c r="O7600" s="181"/>
      <c r="P7600" s="181"/>
    </row>
    <row r="7601">
      <c r="B7601" s="292"/>
      <c r="C7601" s="181"/>
      <c r="D7601" s="181"/>
      <c r="E7601" s="181"/>
      <c r="F7601" s="181"/>
      <c r="G7601" s="181"/>
      <c r="H7601" s="181"/>
      <c r="I7601" s="181"/>
      <c r="J7601" s="181"/>
      <c r="K7601" s="181"/>
      <c r="L7601" s="181"/>
      <c r="M7601" s="181"/>
      <c r="N7601" s="181"/>
      <c r="O7601" s="181"/>
      <c r="P7601" s="181"/>
    </row>
    <row r="7602">
      <c r="B7602" s="292"/>
      <c r="C7602" s="181"/>
      <c r="D7602" s="181"/>
      <c r="E7602" s="181"/>
      <c r="F7602" s="181"/>
      <c r="G7602" s="181"/>
      <c r="H7602" s="181"/>
      <c r="I7602" s="181"/>
      <c r="J7602" s="181"/>
      <c r="K7602" s="181"/>
      <c r="L7602" s="181"/>
      <c r="M7602" s="181"/>
      <c r="N7602" s="181"/>
      <c r="O7602" s="181"/>
      <c r="P7602" s="181"/>
    </row>
    <row r="7603">
      <c r="B7603" s="292"/>
      <c r="C7603" s="181"/>
      <c r="D7603" s="181"/>
      <c r="E7603" s="181"/>
      <c r="F7603" s="181"/>
      <c r="G7603" s="181"/>
      <c r="H7603" s="181"/>
      <c r="I7603" s="181"/>
      <c r="J7603" s="181"/>
      <c r="K7603" s="181"/>
      <c r="L7603" s="181"/>
      <c r="M7603" s="181"/>
      <c r="N7603" s="181"/>
      <c r="O7603" s="181"/>
      <c r="P7603" s="181"/>
    </row>
    <row r="7604">
      <c r="B7604" s="292"/>
      <c r="C7604" s="181"/>
      <c r="D7604" s="181"/>
      <c r="E7604" s="181"/>
      <c r="F7604" s="181"/>
      <c r="G7604" s="181"/>
      <c r="H7604" s="181"/>
      <c r="I7604" s="181"/>
      <c r="J7604" s="181"/>
      <c r="K7604" s="181"/>
      <c r="L7604" s="181"/>
      <c r="M7604" s="181"/>
      <c r="N7604" s="181"/>
      <c r="O7604" s="181"/>
      <c r="P7604" s="181"/>
    </row>
    <row r="7605">
      <c r="B7605" s="292"/>
      <c r="C7605" s="181"/>
      <c r="D7605" s="181"/>
      <c r="E7605" s="181"/>
      <c r="F7605" s="181"/>
      <c r="G7605" s="181"/>
      <c r="H7605" s="181"/>
      <c r="I7605" s="181"/>
      <c r="J7605" s="181"/>
      <c r="K7605" s="181"/>
      <c r="L7605" s="181"/>
      <c r="M7605" s="181"/>
      <c r="N7605" s="181"/>
      <c r="O7605" s="181"/>
      <c r="P7605" s="181"/>
    </row>
    <row r="7606">
      <c r="B7606" s="292"/>
      <c r="C7606" s="181"/>
      <c r="D7606" s="181"/>
      <c r="E7606" s="181"/>
      <c r="F7606" s="181"/>
      <c r="G7606" s="181"/>
      <c r="H7606" s="181"/>
      <c r="I7606" s="181"/>
      <c r="J7606" s="181"/>
      <c r="K7606" s="181"/>
      <c r="L7606" s="181"/>
      <c r="M7606" s="181"/>
      <c r="N7606" s="181"/>
      <c r="O7606" s="181"/>
      <c r="P7606" s="181"/>
    </row>
    <row r="7607">
      <c r="B7607" s="292"/>
      <c r="C7607" s="181"/>
      <c r="D7607" s="181"/>
      <c r="E7607" s="181"/>
      <c r="F7607" s="181"/>
      <c r="G7607" s="181"/>
      <c r="H7607" s="181"/>
      <c r="I7607" s="181"/>
      <c r="J7607" s="181"/>
      <c r="K7607" s="181"/>
      <c r="L7607" s="181"/>
      <c r="M7607" s="181"/>
      <c r="N7607" s="181"/>
      <c r="O7607" s="181"/>
      <c r="P7607" s="181"/>
    </row>
    <row r="7608">
      <c r="B7608" s="292"/>
      <c r="C7608" s="181"/>
      <c r="D7608" s="181"/>
      <c r="E7608" s="181"/>
      <c r="F7608" s="181"/>
      <c r="G7608" s="181"/>
      <c r="H7608" s="181"/>
      <c r="I7608" s="181"/>
      <c r="J7608" s="181"/>
      <c r="K7608" s="181"/>
      <c r="L7608" s="181"/>
      <c r="M7608" s="181"/>
      <c r="N7608" s="181"/>
      <c r="O7608" s="181"/>
      <c r="P7608" s="181"/>
    </row>
    <row r="7609">
      <c r="B7609" s="292"/>
      <c r="C7609" s="181"/>
      <c r="D7609" s="181"/>
      <c r="E7609" s="181"/>
      <c r="F7609" s="181"/>
      <c r="G7609" s="181"/>
      <c r="H7609" s="181"/>
      <c r="I7609" s="181"/>
      <c r="J7609" s="181"/>
      <c r="K7609" s="181"/>
      <c r="L7609" s="181"/>
      <c r="M7609" s="181"/>
      <c r="N7609" s="181"/>
      <c r="O7609" s="181"/>
      <c r="P7609" s="181"/>
    </row>
    <row r="7610">
      <c r="B7610" s="292"/>
      <c r="C7610" s="181"/>
      <c r="D7610" s="181"/>
      <c r="E7610" s="181"/>
      <c r="F7610" s="181"/>
      <c r="G7610" s="181"/>
      <c r="H7610" s="181"/>
      <c r="I7610" s="181"/>
      <c r="J7610" s="181"/>
      <c r="K7610" s="181"/>
      <c r="L7610" s="181"/>
      <c r="M7610" s="181"/>
      <c r="N7610" s="181"/>
      <c r="O7610" s="181"/>
      <c r="P7610" s="181"/>
    </row>
    <row r="7611">
      <c r="B7611" s="292"/>
      <c r="C7611" s="181"/>
      <c r="D7611" s="181"/>
      <c r="E7611" s="181"/>
      <c r="F7611" s="181"/>
      <c r="G7611" s="181"/>
      <c r="H7611" s="181"/>
      <c r="I7611" s="181"/>
      <c r="J7611" s="181"/>
      <c r="K7611" s="181"/>
      <c r="L7611" s="181"/>
      <c r="M7611" s="181"/>
      <c r="N7611" s="181"/>
      <c r="O7611" s="181"/>
      <c r="P7611" s="181"/>
    </row>
    <row r="7612">
      <c r="B7612" s="292"/>
      <c r="C7612" s="181"/>
      <c r="D7612" s="181"/>
      <c r="E7612" s="181"/>
      <c r="F7612" s="181"/>
      <c r="G7612" s="181"/>
      <c r="H7612" s="181"/>
      <c r="I7612" s="181"/>
      <c r="J7612" s="181"/>
      <c r="K7612" s="181"/>
      <c r="L7612" s="181"/>
      <c r="M7612" s="181"/>
      <c r="N7612" s="181"/>
      <c r="O7612" s="181"/>
      <c r="P7612" s="181"/>
    </row>
    <row r="7613">
      <c r="B7613" s="292"/>
      <c r="C7613" s="181"/>
      <c r="D7613" s="181"/>
      <c r="E7613" s="181"/>
      <c r="F7613" s="181"/>
      <c r="G7613" s="181"/>
      <c r="H7613" s="181"/>
      <c r="I7613" s="181"/>
      <c r="J7613" s="181"/>
      <c r="K7613" s="181"/>
      <c r="L7613" s="181"/>
      <c r="M7613" s="181"/>
      <c r="N7613" s="181"/>
      <c r="O7613" s="181"/>
      <c r="P7613" s="181"/>
    </row>
    <row r="7614">
      <c r="B7614" s="292"/>
      <c r="C7614" s="181"/>
      <c r="D7614" s="181"/>
      <c r="E7614" s="181"/>
      <c r="F7614" s="181"/>
      <c r="G7614" s="181"/>
      <c r="H7614" s="181"/>
      <c r="I7614" s="181"/>
      <c r="J7614" s="181"/>
      <c r="K7614" s="181"/>
      <c r="L7614" s="181"/>
      <c r="M7614" s="181"/>
      <c r="N7614" s="181"/>
      <c r="O7614" s="181"/>
      <c r="P7614" s="181"/>
    </row>
    <row r="7615">
      <c r="B7615" s="292"/>
      <c r="C7615" s="181"/>
      <c r="D7615" s="181"/>
      <c r="E7615" s="181"/>
      <c r="F7615" s="181"/>
      <c r="G7615" s="181"/>
      <c r="H7615" s="181"/>
      <c r="I7615" s="181"/>
      <c r="J7615" s="181"/>
      <c r="K7615" s="181"/>
      <c r="L7615" s="181"/>
      <c r="M7615" s="181"/>
      <c r="N7615" s="181"/>
      <c r="O7615" s="181"/>
      <c r="P7615" s="181"/>
    </row>
    <row r="7616">
      <c r="B7616" s="292"/>
      <c r="C7616" s="181"/>
      <c r="D7616" s="181"/>
      <c r="E7616" s="181"/>
      <c r="F7616" s="181"/>
      <c r="G7616" s="181"/>
      <c r="H7616" s="181"/>
      <c r="I7616" s="181"/>
      <c r="J7616" s="181"/>
      <c r="K7616" s="181"/>
      <c r="L7616" s="181"/>
      <c r="M7616" s="181"/>
      <c r="N7616" s="181"/>
      <c r="O7616" s="181"/>
      <c r="P7616" s="181"/>
    </row>
    <row r="7617">
      <c r="B7617" s="292"/>
      <c r="C7617" s="181"/>
      <c r="D7617" s="181"/>
      <c r="E7617" s="181"/>
      <c r="F7617" s="181"/>
      <c r="G7617" s="181"/>
      <c r="H7617" s="181"/>
      <c r="I7617" s="181"/>
      <c r="J7617" s="181"/>
      <c r="K7617" s="181"/>
      <c r="L7617" s="181"/>
      <c r="M7617" s="181"/>
      <c r="N7617" s="181"/>
      <c r="O7617" s="181"/>
      <c r="P7617" s="181"/>
    </row>
    <row r="7618">
      <c r="B7618" s="292"/>
      <c r="C7618" s="181"/>
      <c r="D7618" s="181"/>
      <c r="E7618" s="181"/>
      <c r="F7618" s="181"/>
      <c r="G7618" s="181"/>
      <c r="H7618" s="181"/>
      <c r="I7618" s="181"/>
      <c r="J7618" s="181"/>
      <c r="K7618" s="181"/>
      <c r="L7618" s="181"/>
      <c r="M7618" s="181"/>
      <c r="N7618" s="181"/>
      <c r="O7618" s="181"/>
      <c r="P7618" s="181"/>
    </row>
    <row r="7619">
      <c r="B7619" s="292"/>
      <c r="C7619" s="181"/>
      <c r="D7619" s="181"/>
      <c r="E7619" s="181"/>
      <c r="F7619" s="181"/>
      <c r="G7619" s="181"/>
      <c r="H7619" s="181"/>
      <c r="I7619" s="181"/>
      <c r="J7619" s="181"/>
      <c r="K7619" s="181"/>
      <c r="L7619" s="181"/>
      <c r="M7619" s="181"/>
      <c r="N7619" s="181"/>
      <c r="O7619" s="181"/>
      <c r="P7619" s="181"/>
    </row>
    <row r="7620">
      <c r="B7620" s="292"/>
      <c r="C7620" s="181"/>
      <c r="D7620" s="181"/>
      <c r="E7620" s="181"/>
      <c r="F7620" s="181"/>
      <c r="G7620" s="181"/>
      <c r="H7620" s="181"/>
      <c r="I7620" s="181"/>
      <c r="J7620" s="181"/>
      <c r="K7620" s="181"/>
      <c r="L7620" s="181"/>
      <c r="M7620" s="181"/>
      <c r="N7620" s="181"/>
      <c r="O7620" s="181"/>
      <c r="P7620" s="181"/>
    </row>
    <row r="7621">
      <c r="B7621" s="292"/>
      <c r="C7621" s="181"/>
      <c r="D7621" s="181"/>
      <c r="E7621" s="181"/>
      <c r="F7621" s="181"/>
      <c r="G7621" s="181"/>
      <c r="H7621" s="181"/>
      <c r="I7621" s="181"/>
      <c r="J7621" s="181"/>
      <c r="K7621" s="181"/>
      <c r="L7621" s="181"/>
      <c r="M7621" s="181"/>
      <c r="N7621" s="181"/>
      <c r="O7621" s="181"/>
      <c r="P7621" s="181"/>
    </row>
    <row r="7622">
      <c r="B7622" s="292"/>
      <c r="C7622" s="181"/>
      <c r="D7622" s="181"/>
      <c r="E7622" s="181"/>
      <c r="F7622" s="181"/>
      <c r="G7622" s="181"/>
      <c r="H7622" s="181"/>
      <c r="I7622" s="181"/>
      <c r="J7622" s="181"/>
      <c r="K7622" s="181"/>
      <c r="L7622" s="181"/>
      <c r="M7622" s="181"/>
      <c r="N7622" s="181"/>
      <c r="O7622" s="181"/>
      <c r="P7622" s="181"/>
    </row>
    <row r="7623">
      <c r="B7623" s="292"/>
      <c r="C7623" s="181"/>
      <c r="D7623" s="181"/>
      <c r="E7623" s="181"/>
      <c r="F7623" s="181"/>
      <c r="G7623" s="181"/>
      <c r="H7623" s="181"/>
      <c r="I7623" s="181"/>
      <c r="J7623" s="181"/>
      <c r="K7623" s="181"/>
      <c r="L7623" s="181"/>
      <c r="M7623" s="181"/>
      <c r="N7623" s="181"/>
      <c r="O7623" s="181"/>
      <c r="P7623" s="181"/>
    </row>
    <row r="7624">
      <c r="B7624" s="292"/>
      <c r="C7624" s="181"/>
      <c r="D7624" s="181"/>
      <c r="E7624" s="181"/>
      <c r="F7624" s="181"/>
      <c r="G7624" s="181"/>
      <c r="H7624" s="181"/>
      <c r="I7624" s="181"/>
      <c r="J7624" s="181"/>
      <c r="K7624" s="181"/>
      <c r="L7624" s="181"/>
      <c r="M7624" s="181"/>
      <c r="N7624" s="181"/>
      <c r="O7624" s="181"/>
      <c r="P7624" s="181"/>
    </row>
    <row r="7625">
      <c r="B7625" s="292"/>
      <c r="C7625" s="181"/>
      <c r="D7625" s="181"/>
      <c r="E7625" s="181"/>
      <c r="F7625" s="181"/>
      <c r="G7625" s="181"/>
      <c r="H7625" s="181"/>
      <c r="I7625" s="181"/>
      <c r="J7625" s="181"/>
      <c r="K7625" s="181"/>
      <c r="L7625" s="181"/>
      <c r="M7625" s="181"/>
      <c r="N7625" s="181"/>
      <c r="O7625" s="181"/>
      <c r="P7625" s="181"/>
    </row>
    <row r="7626">
      <c r="B7626" s="292"/>
      <c r="C7626" s="181"/>
      <c r="D7626" s="181"/>
      <c r="E7626" s="181"/>
      <c r="F7626" s="181"/>
      <c r="G7626" s="181"/>
      <c r="H7626" s="181"/>
      <c r="I7626" s="181"/>
      <c r="J7626" s="181"/>
      <c r="K7626" s="181"/>
      <c r="L7626" s="181"/>
      <c r="M7626" s="181"/>
      <c r="N7626" s="181"/>
      <c r="O7626" s="181"/>
      <c r="P7626" s="181"/>
    </row>
    <row r="7627">
      <c r="B7627" s="292"/>
      <c r="C7627" s="181"/>
      <c r="D7627" s="181"/>
      <c r="E7627" s="181"/>
      <c r="F7627" s="181"/>
      <c r="G7627" s="181"/>
      <c r="H7627" s="181"/>
      <c r="I7627" s="181"/>
      <c r="J7627" s="181"/>
      <c r="K7627" s="181"/>
      <c r="L7627" s="181"/>
      <c r="M7627" s="181"/>
      <c r="N7627" s="181"/>
      <c r="O7627" s="181"/>
      <c r="P7627" s="181"/>
    </row>
    <row r="7628">
      <c r="B7628" s="292"/>
      <c r="C7628" s="181"/>
      <c r="D7628" s="181"/>
      <c r="E7628" s="181"/>
      <c r="F7628" s="181"/>
      <c r="G7628" s="181"/>
      <c r="H7628" s="181"/>
      <c r="I7628" s="181"/>
      <c r="J7628" s="181"/>
      <c r="K7628" s="181"/>
      <c r="L7628" s="181"/>
      <c r="M7628" s="181"/>
      <c r="N7628" s="181"/>
      <c r="O7628" s="181"/>
      <c r="P7628" s="181"/>
    </row>
    <row r="7629">
      <c r="B7629" s="292"/>
      <c r="C7629" s="181"/>
      <c r="D7629" s="181"/>
      <c r="E7629" s="181"/>
      <c r="F7629" s="181"/>
      <c r="G7629" s="181"/>
      <c r="H7629" s="181"/>
      <c r="I7629" s="181"/>
      <c r="J7629" s="181"/>
      <c r="K7629" s="181"/>
      <c r="L7629" s="181"/>
      <c r="M7629" s="181"/>
      <c r="N7629" s="181"/>
      <c r="O7629" s="181"/>
      <c r="P7629" s="181"/>
    </row>
    <row r="7630">
      <c r="B7630" s="292"/>
      <c r="C7630" s="181"/>
      <c r="D7630" s="181"/>
      <c r="E7630" s="181"/>
      <c r="F7630" s="181"/>
      <c r="G7630" s="181"/>
      <c r="H7630" s="181"/>
      <c r="I7630" s="181"/>
      <c r="J7630" s="181"/>
      <c r="K7630" s="181"/>
      <c r="L7630" s="181"/>
      <c r="M7630" s="181"/>
      <c r="N7630" s="181"/>
      <c r="O7630" s="181"/>
      <c r="P7630" s="181"/>
    </row>
    <row r="7631">
      <c r="B7631" s="292"/>
      <c r="C7631" s="181"/>
      <c r="D7631" s="181"/>
      <c r="E7631" s="181"/>
      <c r="F7631" s="181"/>
      <c r="G7631" s="181"/>
      <c r="H7631" s="181"/>
      <c r="I7631" s="181"/>
      <c r="J7631" s="181"/>
      <c r="K7631" s="181"/>
      <c r="L7631" s="181"/>
      <c r="M7631" s="181"/>
      <c r="N7631" s="181"/>
      <c r="O7631" s="181"/>
      <c r="P7631" s="181"/>
    </row>
    <row r="7632">
      <c r="B7632" s="292"/>
      <c r="C7632" s="181"/>
      <c r="D7632" s="181"/>
      <c r="E7632" s="181"/>
      <c r="F7632" s="181"/>
      <c r="G7632" s="181"/>
      <c r="H7632" s="181"/>
      <c r="I7632" s="181"/>
      <c r="J7632" s="181"/>
      <c r="K7632" s="181"/>
      <c r="L7632" s="181"/>
      <c r="M7632" s="181"/>
      <c r="N7632" s="181"/>
      <c r="O7632" s="181"/>
      <c r="P7632" s="181"/>
    </row>
    <row r="7633">
      <c r="B7633" s="292"/>
      <c r="C7633" s="181"/>
      <c r="D7633" s="181"/>
      <c r="E7633" s="181"/>
      <c r="F7633" s="181"/>
      <c r="G7633" s="181"/>
      <c r="H7633" s="181"/>
      <c r="I7633" s="181"/>
      <c r="J7633" s="181"/>
      <c r="K7633" s="181"/>
      <c r="L7633" s="181"/>
      <c r="M7633" s="181"/>
      <c r="N7633" s="181"/>
      <c r="O7633" s="181"/>
      <c r="P7633" s="181"/>
    </row>
    <row r="7634">
      <c r="B7634" s="292"/>
      <c r="C7634" s="181"/>
      <c r="D7634" s="181"/>
      <c r="E7634" s="181"/>
      <c r="F7634" s="181"/>
      <c r="G7634" s="181"/>
      <c r="H7634" s="181"/>
      <c r="I7634" s="181"/>
      <c r="J7634" s="181"/>
      <c r="K7634" s="181"/>
      <c r="L7634" s="181"/>
      <c r="M7634" s="181"/>
      <c r="N7634" s="181"/>
      <c r="O7634" s="181"/>
      <c r="P7634" s="181"/>
    </row>
    <row r="7635">
      <c r="B7635" s="292"/>
      <c r="C7635" s="181"/>
      <c r="D7635" s="181"/>
      <c r="E7635" s="181"/>
      <c r="F7635" s="181"/>
      <c r="G7635" s="181"/>
      <c r="H7635" s="181"/>
      <c r="I7635" s="181"/>
      <c r="J7635" s="181"/>
      <c r="K7635" s="181"/>
      <c r="L7635" s="181"/>
      <c r="M7635" s="181"/>
      <c r="N7635" s="181"/>
      <c r="O7635" s="181"/>
      <c r="P7635" s="181"/>
    </row>
    <row r="7636">
      <c r="B7636" s="292"/>
      <c r="C7636" s="181"/>
      <c r="D7636" s="181"/>
      <c r="E7636" s="181"/>
      <c r="F7636" s="181"/>
      <c r="G7636" s="181"/>
      <c r="H7636" s="181"/>
      <c r="I7636" s="181"/>
      <c r="J7636" s="181"/>
      <c r="K7636" s="181"/>
      <c r="L7636" s="181"/>
      <c r="M7636" s="181"/>
      <c r="N7636" s="181"/>
      <c r="O7636" s="181"/>
      <c r="P7636" s="181"/>
    </row>
    <row r="7637">
      <c r="B7637" s="292"/>
      <c r="C7637" s="181"/>
      <c r="D7637" s="181"/>
      <c r="E7637" s="181"/>
      <c r="F7637" s="181"/>
      <c r="G7637" s="181"/>
      <c r="H7637" s="181"/>
      <c r="I7637" s="181"/>
      <c r="J7637" s="181"/>
      <c r="K7637" s="181"/>
      <c r="L7637" s="181"/>
      <c r="M7637" s="181"/>
      <c r="N7637" s="181"/>
      <c r="O7637" s="181"/>
      <c r="P7637" s="181"/>
    </row>
    <row r="7638">
      <c r="B7638" s="292"/>
      <c r="C7638" s="181"/>
      <c r="D7638" s="181"/>
      <c r="E7638" s="181"/>
      <c r="F7638" s="181"/>
      <c r="G7638" s="181"/>
      <c r="H7638" s="181"/>
      <c r="I7638" s="181"/>
      <c r="J7638" s="181"/>
      <c r="K7638" s="181"/>
      <c r="L7638" s="181"/>
      <c r="M7638" s="181"/>
      <c r="N7638" s="181"/>
      <c r="O7638" s="181"/>
      <c r="P7638" s="181"/>
    </row>
    <row r="7639">
      <c r="B7639" s="292"/>
      <c r="C7639" s="181"/>
      <c r="D7639" s="181"/>
      <c r="E7639" s="181"/>
      <c r="F7639" s="181"/>
      <c r="G7639" s="181"/>
      <c r="H7639" s="181"/>
      <c r="I7639" s="181"/>
      <c r="J7639" s="181"/>
      <c r="K7639" s="181"/>
      <c r="L7639" s="181"/>
      <c r="M7639" s="181"/>
      <c r="N7639" s="181"/>
      <c r="O7639" s="181"/>
      <c r="P7639" s="181"/>
    </row>
    <row r="7640">
      <c r="B7640" s="292"/>
      <c r="C7640" s="181"/>
      <c r="D7640" s="181"/>
      <c r="E7640" s="181"/>
      <c r="F7640" s="181"/>
      <c r="G7640" s="181"/>
      <c r="H7640" s="181"/>
      <c r="I7640" s="181"/>
      <c r="J7640" s="181"/>
      <c r="K7640" s="181"/>
      <c r="L7640" s="181"/>
      <c r="M7640" s="181"/>
      <c r="N7640" s="181"/>
      <c r="O7640" s="181"/>
      <c r="P7640" s="181"/>
    </row>
    <row r="7641">
      <c r="B7641" s="292"/>
      <c r="C7641" s="181"/>
      <c r="D7641" s="181"/>
      <c r="E7641" s="181"/>
      <c r="F7641" s="181"/>
      <c r="G7641" s="181"/>
      <c r="H7641" s="181"/>
      <c r="I7641" s="181"/>
      <c r="J7641" s="181"/>
      <c r="K7641" s="181"/>
      <c r="L7641" s="181"/>
      <c r="M7641" s="181"/>
      <c r="N7641" s="181"/>
      <c r="O7641" s="181"/>
      <c r="P7641" s="181"/>
    </row>
    <row r="7642">
      <c r="B7642" s="292"/>
      <c r="C7642" s="181"/>
      <c r="D7642" s="181"/>
      <c r="E7642" s="181"/>
      <c r="F7642" s="181"/>
      <c r="G7642" s="181"/>
      <c r="H7642" s="181"/>
      <c r="I7642" s="181"/>
      <c r="J7642" s="181"/>
      <c r="K7642" s="181"/>
      <c r="L7642" s="181"/>
      <c r="M7642" s="181"/>
      <c r="N7642" s="181"/>
      <c r="O7642" s="181"/>
      <c r="P7642" s="181"/>
    </row>
    <row r="7643">
      <c r="B7643" s="292"/>
      <c r="C7643" s="181"/>
      <c r="D7643" s="181"/>
      <c r="E7643" s="181"/>
      <c r="F7643" s="181"/>
      <c r="G7643" s="181"/>
      <c r="H7643" s="181"/>
      <c r="I7643" s="181"/>
      <c r="J7643" s="181"/>
      <c r="K7643" s="181"/>
      <c r="L7643" s="181"/>
      <c r="M7643" s="181"/>
      <c r="N7643" s="181"/>
      <c r="O7643" s="181"/>
      <c r="P7643" s="181"/>
    </row>
    <row r="7644">
      <c r="B7644" s="292"/>
      <c r="C7644" s="181"/>
      <c r="D7644" s="181"/>
      <c r="E7644" s="181"/>
      <c r="F7644" s="181"/>
      <c r="G7644" s="181"/>
      <c r="H7644" s="181"/>
      <c r="I7644" s="181"/>
      <c r="J7644" s="181"/>
      <c r="K7644" s="181"/>
      <c r="L7644" s="181"/>
      <c r="M7644" s="181"/>
      <c r="N7644" s="181"/>
      <c r="O7644" s="181"/>
      <c r="P7644" s="181"/>
    </row>
    <row r="7645">
      <c r="B7645" s="292"/>
      <c r="C7645" s="181"/>
      <c r="D7645" s="181"/>
      <c r="E7645" s="181"/>
      <c r="F7645" s="181"/>
      <c r="G7645" s="181"/>
      <c r="H7645" s="181"/>
      <c r="I7645" s="181"/>
      <c r="J7645" s="181"/>
      <c r="K7645" s="181"/>
      <c r="L7645" s="181"/>
      <c r="M7645" s="181"/>
      <c r="N7645" s="181"/>
      <c r="O7645" s="181"/>
      <c r="P7645" s="181"/>
    </row>
    <row r="7646">
      <c r="B7646" s="292"/>
      <c r="C7646" s="181"/>
      <c r="D7646" s="181"/>
      <c r="E7646" s="181"/>
      <c r="F7646" s="181"/>
      <c r="G7646" s="181"/>
      <c r="H7646" s="181"/>
      <c r="I7646" s="181"/>
      <c r="J7646" s="181"/>
      <c r="K7646" s="181"/>
      <c r="L7646" s="181"/>
      <c r="M7646" s="181"/>
      <c r="N7646" s="181"/>
      <c r="O7646" s="181"/>
      <c r="P7646" s="181"/>
    </row>
    <row r="7647">
      <c r="B7647" s="292"/>
      <c r="C7647" s="181"/>
      <c r="D7647" s="181"/>
      <c r="E7647" s="181"/>
      <c r="F7647" s="181"/>
      <c r="G7647" s="181"/>
      <c r="H7647" s="181"/>
      <c r="I7647" s="181"/>
      <c r="J7647" s="181"/>
      <c r="K7647" s="181"/>
      <c r="L7647" s="181"/>
      <c r="M7647" s="181"/>
      <c r="N7647" s="181"/>
      <c r="O7647" s="181"/>
      <c r="P7647" s="181"/>
    </row>
    <row r="7648">
      <c r="B7648" s="292"/>
      <c r="C7648" s="181"/>
      <c r="D7648" s="181"/>
      <c r="E7648" s="181"/>
      <c r="F7648" s="181"/>
      <c r="G7648" s="181"/>
      <c r="H7648" s="181"/>
      <c r="I7648" s="181"/>
      <c r="J7648" s="181"/>
      <c r="K7648" s="181"/>
      <c r="L7648" s="181"/>
      <c r="M7648" s="181"/>
      <c r="N7648" s="181"/>
      <c r="O7648" s="181"/>
      <c r="P7648" s="181"/>
    </row>
    <row r="7649">
      <c r="B7649" s="292"/>
      <c r="C7649" s="181"/>
      <c r="D7649" s="181"/>
      <c r="E7649" s="181"/>
      <c r="F7649" s="181"/>
      <c r="G7649" s="181"/>
      <c r="H7649" s="181"/>
      <c r="I7649" s="181"/>
      <c r="J7649" s="181"/>
      <c r="K7649" s="181"/>
      <c r="L7649" s="181"/>
      <c r="M7649" s="181"/>
      <c r="N7649" s="181"/>
      <c r="O7649" s="181"/>
      <c r="P7649" s="181"/>
    </row>
    <row r="7650">
      <c r="B7650" s="292"/>
      <c r="C7650" s="181"/>
      <c r="D7650" s="181"/>
      <c r="E7650" s="181"/>
      <c r="F7650" s="181"/>
      <c r="G7650" s="181"/>
      <c r="H7650" s="181"/>
      <c r="I7650" s="181"/>
      <c r="J7650" s="181"/>
      <c r="K7650" s="181"/>
      <c r="L7650" s="181"/>
      <c r="M7650" s="181"/>
      <c r="N7650" s="181"/>
      <c r="O7650" s="181"/>
      <c r="P7650" s="181"/>
    </row>
    <row r="7651">
      <c r="B7651" s="292"/>
      <c r="C7651" s="181"/>
      <c r="D7651" s="181"/>
      <c r="E7651" s="181"/>
      <c r="F7651" s="181"/>
      <c r="G7651" s="181"/>
      <c r="H7651" s="181"/>
      <c r="I7651" s="181"/>
      <c r="J7651" s="181"/>
      <c r="K7651" s="181"/>
      <c r="L7651" s="181"/>
      <c r="M7651" s="181"/>
      <c r="N7651" s="181"/>
      <c r="O7651" s="181"/>
      <c r="P7651" s="181"/>
    </row>
    <row r="7652">
      <c r="B7652" s="292"/>
      <c r="C7652" s="181"/>
      <c r="D7652" s="181"/>
      <c r="E7652" s="181"/>
      <c r="F7652" s="181"/>
      <c r="G7652" s="181"/>
      <c r="H7652" s="181"/>
      <c r="I7652" s="181"/>
      <c r="J7652" s="181"/>
      <c r="K7652" s="181"/>
      <c r="L7652" s="181"/>
      <c r="M7652" s="181"/>
      <c r="N7652" s="181"/>
      <c r="O7652" s="181"/>
      <c r="P7652" s="181"/>
    </row>
    <row r="7653">
      <c r="B7653" s="292"/>
      <c r="C7653" s="181"/>
      <c r="D7653" s="181"/>
      <c r="E7653" s="181"/>
      <c r="F7653" s="181"/>
      <c r="G7653" s="181"/>
      <c r="H7653" s="181"/>
      <c r="I7653" s="181"/>
      <c r="J7653" s="181"/>
      <c r="K7653" s="181"/>
      <c r="L7653" s="181"/>
      <c r="M7653" s="181"/>
      <c r="N7653" s="181"/>
      <c r="O7653" s="181"/>
      <c r="P7653" s="181"/>
    </row>
    <row r="7654">
      <c r="B7654" s="292"/>
      <c r="C7654" s="181"/>
      <c r="D7654" s="181"/>
      <c r="E7654" s="181"/>
      <c r="F7654" s="181"/>
      <c r="G7654" s="181"/>
      <c r="H7654" s="181"/>
      <c r="I7654" s="181"/>
      <c r="J7654" s="181"/>
      <c r="K7654" s="181"/>
      <c r="L7654" s="181"/>
      <c r="M7654" s="181"/>
      <c r="N7654" s="181"/>
      <c r="O7654" s="181"/>
      <c r="P7654" s="181"/>
    </row>
    <row r="7655">
      <c r="B7655" s="292"/>
      <c r="C7655" s="181"/>
      <c r="D7655" s="181"/>
      <c r="E7655" s="181"/>
      <c r="F7655" s="181"/>
      <c r="G7655" s="181"/>
      <c r="H7655" s="181"/>
      <c r="I7655" s="181"/>
      <c r="J7655" s="181"/>
      <c r="K7655" s="181"/>
      <c r="L7655" s="181"/>
      <c r="M7655" s="181"/>
      <c r="N7655" s="181"/>
      <c r="O7655" s="181"/>
      <c r="P7655" s="181"/>
    </row>
    <row r="7656">
      <c r="B7656" s="292"/>
      <c r="C7656" s="181"/>
      <c r="D7656" s="181"/>
      <c r="E7656" s="181"/>
      <c r="F7656" s="181"/>
      <c r="G7656" s="181"/>
      <c r="H7656" s="181"/>
      <c r="I7656" s="181"/>
      <c r="J7656" s="181"/>
      <c r="K7656" s="181"/>
      <c r="L7656" s="181"/>
      <c r="M7656" s="181"/>
      <c r="N7656" s="181"/>
      <c r="O7656" s="181"/>
      <c r="P7656" s="181"/>
    </row>
    <row r="7657">
      <c r="B7657" s="292"/>
      <c r="C7657" s="181"/>
      <c r="D7657" s="181"/>
      <c r="E7657" s="181"/>
      <c r="F7657" s="181"/>
      <c r="G7657" s="181"/>
      <c r="H7657" s="181"/>
      <c r="I7657" s="181"/>
      <c r="J7657" s="181"/>
      <c r="K7657" s="181"/>
      <c r="L7657" s="181"/>
      <c r="M7657" s="181"/>
      <c r="N7657" s="181"/>
      <c r="O7657" s="181"/>
      <c r="P7657" s="181"/>
    </row>
    <row r="7658">
      <c r="B7658" s="292"/>
      <c r="C7658" s="181"/>
      <c r="D7658" s="181"/>
      <c r="E7658" s="181"/>
      <c r="F7658" s="181"/>
      <c r="G7658" s="181"/>
      <c r="H7658" s="181"/>
      <c r="I7658" s="181"/>
      <c r="J7658" s="181"/>
      <c r="K7658" s="181"/>
      <c r="L7658" s="181"/>
      <c r="M7658" s="181"/>
      <c r="N7658" s="181"/>
      <c r="O7658" s="181"/>
      <c r="P7658" s="181"/>
    </row>
    <row r="7659">
      <c r="B7659" s="292"/>
      <c r="C7659" s="181"/>
      <c r="D7659" s="181"/>
      <c r="E7659" s="181"/>
      <c r="F7659" s="181"/>
      <c r="G7659" s="181"/>
      <c r="H7659" s="181"/>
      <c r="I7659" s="181"/>
      <c r="J7659" s="181"/>
      <c r="K7659" s="181"/>
      <c r="L7659" s="181"/>
      <c r="M7659" s="181"/>
      <c r="N7659" s="181"/>
      <c r="O7659" s="181"/>
      <c r="P7659" s="181"/>
    </row>
    <row r="7660">
      <c r="B7660" s="292"/>
      <c r="C7660" s="181"/>
      <c r="D7660" s="181"/>
      <c r="E7660" s="181"/>
      <c r="F7660" s="181"/>
      <c r="G7660" s="181"/>
      <c r="H7660" s="181"/>
      <c r="I7660" s="181"/>
      <c r="J7660" s="181"/>
      <c r="K7660" s="181"/>
      <c r="L7660" s="181"/>
      <c r="M7660" s="181"/>
      <c r="N7660" s="181"/>
      <c r="O7660" s="181"/>
      <c r="P7660" s="181"/>
    </row>
    <row r="7661">
      <c r="B7661" s="292"/>
      <c r="C7661" s="181"/>
      <c r="D7661" s="181"/>
      <c r="E7661" s="181"/>
      <c r="F7661" s="181"/>
      <c r="G7661" s="181"/>
      <c r="H7661" s="181"/>
      <c r="I7661" s="181"/>
      <c r="J7661" s="181"/>
      <c r="K7661" s="181"/>
      <c r="L7661" s="181"/>
      <c r="M7661" s="181"/>
      <c r="N7661" s="181"/>
      <c r="O7661" s="181"/>
      <c r="P7661" s="181"/>
    </row>
    <row r="7662">
      <c r="B7662" s="292"/>
      <c r="C7662" s="181"/>
      <c r="D7662" s="181"/>
      <c r="E7662" s="181"/>
      <c r="F7662" s="181"/>
      <c r="G7662" s="181"/>
      <c r="H7662" s="181"/>
      <c r="I7662" s="181"/>
      <c r="J7662" s="181"/>
      <c r="K7662" s="181"/>
      <c r="L7662" s="181"/>
      <c r="M7662" s="181"/>
      <c r="N7662" s="181"/>
      <c r="O7662" s="181"/>
      <c r="P7662" s="181"/>
    </row>
    <row r="7663">
      <c r="B7663" s="292"/>
      <c r="C7663" s="181"/>
      <c r="D7663" s="181"/>
      <c r="E7663" s="181"/>
      <c r="F7663" s="181"/>
      <c r="G7663" s="181"/>
      <c r="H7663" s="181"/>
      <c r="I7663" s="181"/>
      <c r="J7663" s="181"/>
      <c r="K7663" s="181"/>
      <c r="L7663" s="181"/>
      <c r="M7663" s="181"/>
      <c r="N7663" s="181"/>
      <c r="O7663" s="181"/>
      <c r="P7663" s="181"/>
    </row>
    <row r="7664">
      <c r="B7664" s="292"/>
      <c r="C7664" s="181"/>
      <c r="D7664" s="181"/>
      <c r="E7664" s="181"/>
      <c r="F7664" s="181"/>
      <c r="G7664" s="181"/>
      <c r="H7664" s="181"/>
      <c r="I7664" s="181"/>
      <c r="J7664" s="181"/>
      <c r="K7664" s="181"/>
      <c r="L7664" s="181"/>
      <c r="M7664" s="181"/>
      <c r="N7664" s="181"/>
      <c r="O7664" s="181"/>
      <c r="P7664" s="181"/>
    </row>
    <row r="7665">
      <c r="B7665" s="292"/>
      <c r="C7665" s="181"/>
      <c r="D7665" s="181"/>
      <c r="E7665" s="181"/>
      <c r="F7665" s="181"/>
      <c r="G7665" s="181"/>
      <c r="H7665" s="181"/>
      <c r="I7665" s="181"/>
      <c r="J7665" s="181"/>
      <c r="K7665" s="181"/>
      <c r="L7665" s="181"/>
      <c r="M7665" s="181"/>
      <c r="N7665" s="181"/>
      <c r="O7665" s="181"/>
      <c r="P7665" s="181"/>
    </row>
    <row r="7666">
      <c r="B7666" s="292"/>
      <c r="C7666" s="181"/>
      <c r="D7666" s="181"/>
      <c r="E7666" s="181"/>
      <c r="F7666" s="181"/>
      <c r="G7666" s="181"/>
      <c r="H7666" s="181"/>
      <c r="I7666" s="181"/>
      <c r="J7666" s="181"/>
      <c r="K7666" s="181"/>
      <c r="L7666" s="181"/>
      <c r="M7666" s="181"/>
      <c r="N7666" s="181"/>
      <c r="O7666" s="181"/>
      <c r="P7666" s="181"/>
    </row>
    <row r="7667">
      <c r="B7667" s="292"/>
      <c r="C7667" s="181"/>
      <c r="D7667" s="181"/>
      <c r="E7667" s="181"/>
      <c r="F7667" s="181"/>
      <c r="G7667" s="181"/>
      <c r="H7667" s="181"/>
      <c r="I7667" s="181"/>
      <c r="J7667" s="181"/>
      <c r="K7667" s="181"/>
      <c r="L7667" s="181"/>
      <c r="M7667" s="181"/>
      <c r="N7667" s="181"/>
      <c r="O7667" s="181"/>
      <c r="P7667" s="181"/>
    </row>
    <row r="7668">
      <c r="B7668" s="292"/>
      <c r="C7668" s="181"/>
      <c r="D7668" s="181"/>
      <c r="E7668" s="181"/>
      <c r="F7668" s="181"/>
      <c r="G7668" s="181"/>
      <c r="H7668" s="181"/>
      <c r="I7668" s="181"/>
      <c r="J7668" s="181"/>
      <c r="K7668" s="181"/>
      <c r="L7668" s="181"/>
      <c r="M7668" s="181"/>
      <c r="N7668" s="181"/>
      <c r="O7668" s="181"/>
      <c r="P7668" s="181"/>
    </row>
    <row r="7669">
      <c r="B7669" s="292"/>
      <c r="C7669" s="181"/>
      <c r="D7669" s="181"/>
      <c r="E7669" s="181"/>
      <c r="F7669" s="181"/>
      <c r="G7669" s="181"/>
      <c r="H7669" s="181"/>
      <c r="I7669" s="181"/>
      <c r="J7669" s="181"/>
      <c r="K7669" s="181"/>
      <c r="L7669" s="181"/>
      <c r="M7669" s="181"/>
      <c r="N7669" s="181"/>
      <c r="O7669" s="181"/>
      <c r="P7669" s="181"/>
    </row>
    <row r="7670">
      <c r="B7670" s="292"/>
      <c r="C7670" s="181"/>
      <c r="D7670" s="181"/>
      <c r="E7670" s="181"/>
      <c r="F7670" s="181"/>
      <c r="G7670" s="181"/>
      <c r="H7670" s="181"/>
      <c r="I7670" s="181"/>
      <c r="J7670" s="181"/>
      <c r="K7670" s="181"/>
      <c r="L7670" s="181"/>
      <c r="M7670" s="181"/>
      <c r="N7670" s="181"/>
      <c r="O7670" s="181"/>
      <c r="P7670" s="181"/>
    </row>
    <row r="7671">
      <c r="B7671" s="292"/>
      <c r="C7671" s="181"/>
      <c r="D7671" s="181"/>
      <c r="E7671" s="181"/>
      <c r="F7671" s="181"/>
      <c r="G7671" s="181"/>
      <c r="H7671" s="181"/>
      <c r="I7671" s="181"/>
      <c r="J7671" s="181"/>
      <c r="K7671" s="181"/>
      <c r="L7671" s="181"/>
      <c r="M7671" s="181"/>
      <c r="N7671" s="181"/>
      <c r="O7671" s="181"/>
      <c r="P7671" s="181"/>
    </row>
    <row r="7672">
      <c r="B7672" s="292"/>
      <c r="C7672" s="181"/>
      <c r="D7672" s="181"/>
      <c r="E7672" s="181"/>
      <c r="F7672" s="181"/>
      <c r="G7672" s="181"/>
      <c r="H7672" s="181"/>
      <c r="I7672" s="181"/>
      <c r="J7672" s="181"/>
      <c r="K7672" s="181"/>
      <c r="L7672" s="181"/>
      <c r="M7672" s="181"/>
      <c r="N7672" s="181"/>
      <c r="O7672" s="181"/>
      <c r="P7672" s="181"/>
    </row>
    <row r="7673">
      <c r="B7673" s="292"/>
      <c r="C7673" s="181"/>
      <c r="D7673" s="181"/>
      <c r="E7673" s="181"/>
      <c r="F7673" s="181"/>
      <c r="G7673" s="181"/>
      <c r="H7673" s="181"/>
      <c r="I7673" s="181"/>
      <c r="J7673" s="181"/>
      <c r="K7673" s="181"/>
      <c r="L7673" s="181"/>
      <c r="M7673" s="181"/>
      <c r="N7673" s="181"/>
      <c r="O7673" s="181"/>
      <c r="P7673" s="181"/>
    </row>
    <row r="7674">
      <c r="B7674" s="292"/>
      <c r="C7674" s="181"/>
      <c r="D7674" s="181"/>
      <c r="E7674" s="181"/>
      <c r="F7674" s="181"/>
      <c r="G7674" s="181"/>
      <c r="H7674" s="181"/>
      <c r="I7674" s="181"/>
      <c r="J7674" s="181"/>
      <c r="K7674" s="181"/>
      <c r="L7674" s="181"/>
      <c r="M7674" s="181"/>
      <c r="N7674" s="181"/>
      <c r="O7674" s="181"/>
      <c r="P7674" s="181"/>
    </row>
    <row r="7675">
      <c r="B7675" s="292"/>
      <c r="C7675" s="181"/>
      <c r="D7675" s="181"/>
      <c r="E7675" s="181"/>
      <c r="F7675" s="181"/>
      <c r="G7675" s="181"/>
      <c r="H7675" s="181"/>
      <c r="I7675" s="181"/>
      <c r="J7675" s="181"/>
      <c r="K7675" s="181"/>
      <c r="L7675" s="181"/>
      <c r="M7675" s="181"/>
      <c r="N7675" s="181"/>
      <c r="O7675" s="181"/>
      <c r="P7675" s="181"/>
    </row>
    <row r="7676">
      <c r="B7676" s="292"/>
      <c r="C7676" s="181"/>
      <c r="D7676" s="181"/>
      <c r="E7676" s="181"/>
      <c r="F7676" s="181"/>
      <c r="G7676" s="181"/>
      <c r="H7676" s="181"/>
      <c r="I7676" s="181"/>
      <c r="J7676" s="181"/>
      <c r="K7676" s="181"/>
      <c r="L7676" s="181"/>
      <c r="M7676" s="181"/>
      <c r="N7676" s="181"/>
      <c r="O7676" s="181"/>
      <c r="P7676" s="181"/>
    </row>
    <row r="7677">
      <c r="B7677" s="292"/>
      <c r="C7677" s="181"/>
      <c r="D7677" s="181"/>
      <c r="E7677" s="181"/>
      <c r="F7677" s="181"/>
      <c r="G7677" s="181"/>
      <c r="H7677" s="181"/>
      <c r="I7677" s="181"/>
      <c r="J7677" s="181"/>
      <c r="K7677" s="181"/>
      <c r="L7677" s="181"/>
      <c r="M7677" s="181"/>
      <c r="N7677" s="181"/>
      <c r="O7677" s="181"/>
      <c r="P7677" s="181"/>
    </row>
    <row r="7678">
      <c r="B7678" s="292"/>
      <c r="C7678" s="181"/>
      <c r="D7678" s="181"/>
      <c r="E7678" s="181"/>
      <c r="F7678" s="181"/>
      <c r="G7678" s="181"/>
      <c r="H7678" s="181"/>
      <c r="I7678" s="181"/>
      <c r="J7678" s="181"/>
      <c r="K7678" s="181"/>
      <c r="L7678" s="181"/>
      <c r="M7678" s="181"/>
      <c r="N7678" s="181"/>
      <c r="O7678" s="181"/>
      <c r="P7678" s="181"/>
    </row>
    <row r="7679">
      <c r="B7679" s="292"/>
      <c r="C7679" s="181"/>
      <c r="D7679" s="181"/>
      <c r="E7679" s="181"/>
      <c r="F7679" s="181"/>
      <c r="G7679" s="181"/>
      <c r="H7679" s="181"/>
      <c r="I7679" s="181"/>
      <c r="J7679" s="181"/>
      <c r="K7679" s="181"/>
      <c r="L7679" s="181"/>
      <c r="M7679" s="181"/>
      <c r="N7679" s="181"/>
      <c r="O7679" s="181"/>
      <c r="P7679" s="181"/>
    </row>
    <row r="7680">
      <c r="B7680" s="292"/>
      <c r="C7680" s="181"/>
      <c r="D7680" s="181"/>
      <c r="E7680" s="181"/>
      <c r="F7680" s="181"/>
      <c r="G7680" s="181"/>
      <c r="H7680" s="181"/>
      <c r="I7680" s="181"/>
      <c r="J7680" s="181"/>
      <c r="K7680" s="181"/>
      <c r="L7680" s="181"/>
      <c r="M7680" s="181"/>
      <c r="N7680" s="181"/>
      <c r="O7680" s="181"/>
      <c r="P7680" s="181"/>
    </row>
    <row r="7681">
      <c r="B7681" s="292"/>
      <c r="C7681" s="181"/>
      <c r="D7681" s="181"/>
      <c r="E7681" s="181"/>
      <c r="F7681" s="181"/>
      <c r="G7681" s="181"/>
      <c r="H7681" s="181"/>
      <c r="I7681" s="181"/>
      <c r="J7681" s="181"/>
      <c r="K7681" s="181"/>
      <c r="L7681" s="181"/>
      <c r="M7681" s="181"/>
      <c r="N7681" s="181"/>
      <c r="O7681" s="181"/>
      <c r="P7681" s="181"/>
    </row>
    <row r="7682">
      <c r="B7682" s="292"/>
      <c r="C7682" s="181"/>
      <c r="D7682" s="181"/>
      <c r="E7682" s="181"/>
      <c r="F7682" s="181"/>
      <c r="G7682" s="181"/>
      <c r="H7682" s="181"/>
      <c r="I7682" s="181"/>
      <c r="J7682" s="181"/>
      <c r="K7682" s="181"/>
      <c r="L7682" s="181"/>
      <c r="M7682" s="181"/>
      <c r="N7682" s="181"/>
      <c r="O7682" s="181"/>
      <c r="P7682" s="181"/>
    </row>
    <row r="7683">
      <c r="B7683" s="292"/>
      <c r="C7683" s="181"/>
      <c r="D7683" s="181"/>
      <c r="E7683" s="181"/>
      <c r="F7683" s="181"/>
      <c r="G7683" s="181"/>
      <c r="H7683" s="181"/>
      <c r="I7683" s="181"/>
      <c r="J7683" s="181"/>
      <c r="K7683" s="181"/>
      <c r="L7683" s="181"/>
      <c r="M7683" s="181"/>
      <c r="N7683" s="181"/>
      <c r="O7683" s="181"/>
      <c r="P7683" s="181"/>
    </row>
    <row r="7684">
      <c r="B7684" s="292"/>
      <c r="C7684" s="181"/>
      <c r="D7684" s="181"/>
      <c r="E7684" s="181"/>
      <c r="F7684" s="181"/>
      <c r="G7684" s="181"/>
      <c r="H7684" s="181"/>
      <c r="I7684" s="181"/>
      <c r="J7684" s="181"/>
      <c r="K7684" s="181"/>
      <c r="L7684" s="181"/>
      <c r="M7684" s="181"/>
      <c r="N7684" s="181"/>
      <c r="O7684" s="181"/>
      <c r="P7684" s="181"/>
    </row>
    <row r="7685">
      <c r="B7685" s="292"/>
      <c r="C7685" s="181"/>
      <c r="D7685" s="181"/>
      <c r="E7685" s="181"/>
      <c r="F7685" s="181"/>
      <c r="G7685" s="181"/>
      <c r="H7685" s="181"/>
      <c r="I7685" s="181"/>
      <c r="J7685" s="181"/>
      <c r="K7685" s="181"/>
      <c r="L7685" s="181"/>
      <c r="M7685" s="181"/>
      <c r="N7685" s="181"/>
      <c r="O7685" s="181"/>
      <c r="P7685" s="181"/>
    </row>
    <row r="7686">
      <c r="B7686" s="292"/>
      <c r="C7686" s="181"/>
      <c r="D7686" s="181"/>
      <c r="E7686" s="181"/>
      <c r="F7686" s="181"/>
      <c r="G7686" s="181"/>
      <c r="H7686" s="181"/>
      <c r="I7686" s="181"/>
      <c r="J7686" s="181"/>
      <c r="K7686" s="181"/>
      <c r="L7686" s="181"/>
      <c r="M7686" s="181"/>
      <c r="N7686" s="181"/>
      <c r="O7686" s="181"/>
      <c r="P7686" s="181"/>
    </row>
    <row r="7687">
      <c r="B7687" s="292"/>
      <c r="C7687" s="181"/>
      <c r="D7687" s="181"/>
      <c r="E7687" s="181"/>
      <c r="F7687" s="181"/>
      <c r="G7687" s="181"/>
      <c r="H7687" s="181"/>
      <c r="I7687" s="181"/>
      <c r="J7687" s="181"/>
      <c r="K7687" s="181"/>
      <c r="L7687" s="181"/>
      <c r="M7687" s="181"/>
      <c r="N7687" s="181"/>
      <c r="O7687" s="181"/>
      <c r="P7687" s="181"/>
    </row>
    <row r="7688">
      <c r="B7688" s="292"/>
      <c r="C7688" s="181"/>
      <c r="D7688" s="181"/>
      <c r="E7688" s="181"/>
      <c r="F7688" s="181"/>
      <c r="G7688" s="181"/>
      <c r="H7688" s="181"/>
      <c r="I7688" s="181"/>
      <c r="J7688" s="181"/>
      <c r="K7688" s="181"/>
      <c r="L7688" s="181"/>
      <c r="M7688" s="181"/>
      <c r="N7688" s="181"/>
      <c r="O7688" s="181"/>
      <c r="P7688" s="181"/>
    </row>
    <row r="7689">
      <c r="B7689" s="292"/>
      <c r="C7689" s="181"/>
      <c r="D7689" s="181"/>
      <c r="E7689" s="181"/>
      <c r="F7689" s="181"/>
      <c r="G7689" s="181"/>
      <c r="H7689" s="181"/>
      <c r="I7689" s="181"/>
      <c r="J7689" s="181"/>
      <c r="K7689" s="181"/>
      <c r="L7689" s="181"/>
      <c r="M7689" s="181"/>
      <c r="N7689" s="181"/>
      <c r="O7689" s="181"/>
      <c r="P7689" s="181"/>
    </row>
    <row r="7690">
      <c r="B7690" s="292"/>
      <c r="C7690" s="181"/>
      <c r="D7690" s="181"/>
      <c r="E7690" s="181"/>
      <c r="F7690" s="181"/>
      <c r="G7690" s="181"/>
      <c r="H7690" s="181"/>
      <c r="I7690" s="181"/>
      <c r="J7690" s="181"/>
      <c r="K7690" s="181"/>
      <c r="L7690" s="181"/>
      <c r="M7690" s="181"/>
      <c r="N7690" s="181"/>
      <c r="O7690" s="181"/>
      <c r="P7690" s="181"/>
    </row>
    <row r="7691">
      <c r="B7691" s="292"/>
      <c r="C7691" s="181"/>
      <c r="D7691" s="181"/>
      <c r="E7691" s="181"/>
      <c r="F7691" s="181"/>
      <c r="G7691" s="181"/>
      <c r="H7691" s="181"/>
      <c r="I7691" s="181"/>
      <c r="J7691" s="181"/>
      <c r="K7691" s="181"/>
      <c r="L7691" s="181"/>
      <c r="M7691" s="181"/>
      <c r="N7691" s="181"/>
      <c r="O7691" s="181"/>
      <c r="P7691" s="181"/>
    </row>
    <row r="7692">
      <c r="B7692" s="292"/>
      <c r="C7692" s="181"/>
      <c r="D7692" s="181"/>
      <c r="E7692" s="181"/>
      <c r="F7692" s="181"/>
      <c r="G7692" s="181"/>
      <c r="H7692" s="181"/>
      <c r="I7692" s="181"/>
      <c r="J7692" s="181"/>
      <c r="K7692" s="181"/>
      <c r="L7692" s="181"/>
      <c r="M7692" s="181"/>
      <c r="N7692" s="181"/>
      <c r="O7692" s="181"/>
      <c r="P7692" s="181"/>
    </row>
    <row r="7693">
      <c r="B7693" s="292"/>
      <c r="C7693" s="181"/>
      <c r="D7693" s="181"/>
      <c r="E7693" s="181"/>
      <c r="F7693" s="181"/>
      <c r="G7693" s="181"/>
      <c r="H7693" s="181"/>
      <c r="I7693" s="181"/>
      <c r="J7693" s="181"/>
      <c r="K7693" s="181"/>
      <c r="L7693" s="181"/>
      <c r="M7693" s="181"/>
      <c r="N7693" s="181"/>
      <c r="O7693" s="181"/>
      <c r="P7693" s="181"/>
    </row>
    <row r="7694">
      <c r="B7694" s="292"/>
      <c r="C7694" s="181"/>
      <c r="D7694" s="181"/>
      <c r="E7694" s="181"/>
      <c r="F7694" s="181"/>
      <c r="G7694" s="181"/>
      <c r="H7694" s="181"/>
      <c r="I7694" s="181"/>
      <c r="J7694" s="181"/>
      <c r="K7694" s="181"/>
      <c r="L7694" s="181"/>
      <c r="M7694" s="181"/>
      <c r="N7694" s="181"/>
      <c r="O7694" s="181"/>
      <c r="P7694" s="181"/>
    </row>
    <row r="7695">
      <c r="B7695" s="292"/>
      <c r="C7695" s="181"/>
      <c r="D7695" s="181"/>
      <c r="E7695" s="181"/>
      <c r="F7695" s="181"/>
      <c r="G7695" s="181"/>
      <c r="H7695" s="181"/>
      <c r="I7695" s="181"/>
      <c r="J7695" s="181"/>
      <c r="K7695" s="181"/>
      <c r="L7695" s="181"/>
      <c r="M7695" s="181"/>
      <c r="N7695" s="181"/>
      <c r="O7695" s="181"/>
      <c r="P7695" s="181"/>
    </row>
    <row r="7696">
      <c r="B7696" s="292"/>
      <c r="C7696" s="181"/>
      <c r="D7696" s="181"/>
      <c r="E7696" s="181"/>
      <c r="F7696" s="181"/>
      <c r="G7696" s="181"/>
      <c r="H7696" s="181"/>
      <c r="I7696" s="181"/>
      <c r="J7696" s="181"/>
      <c r="K7696" s="181"/>
      <c r="L7696" s="181"/>
      <c r="M7696" s="181"/>
      <c r="N7696" s="181"/>
      <c r="O7696" s="181"/>
      <c r="P7696" s="181"/>
    </row>
    <row r="7697">
      <c r="B7697" s="292"/>
      <c r="C7697" s="181"/>
      <c r="D7697" s="181"/>
      <c r="E7697" s="181"/>
      <c r="F7697" s="181"/>
      <c r="G7697" s="181"/>
      <c r="H7697" s="181"/>
      <c r="I7697" s="181"/>
      <c r="J7697" s="181"/>
      <c r="K7697" s="181"/>
      <c r="L7697" s="181"/>
      <c r="M7697" s="181"/>
      <c r="N7697" s="181"/>
      <c r="O7697" s="181"/>
      <c r="P7697" s="181"/>
    </row>
    <row r="7698">
      <c r="B7698" s="292"/>
      <c r="C7698" s="181"/>
      <c r="D7698" s="181"/>
      <c r="E7698" s="181"/>
      <c r="F7698" s="181"/>
      <c r="G7698" s="181"/>
      <c r="H7698" s="181"/>
      <c r="I7698" s="181"/>
      <c r="J7698" s="181"/>
      <c r="K7698" s="181"/>
      <c r="L7698" s="181"/>
      <c r="M7698" s="181"/>
      <c r="N7698" s="181"/>
      <c r="O7698" s="181"/>
      <c r="P7698" s="181"/>
    </row>
    <row r="7699">
      <c r="B7699" s="292"/>
      <c r="C7699" s="181"/>
      <c r="D7699" s="181"/>
      <c r="E7699" s="181"/>
      <c r="F7699" s="181"/>
      <c r="G7699" s="181"/>
      <c r="H7699" s="181"/>
      <c r="I7699" s="181"/>
      <c r="J7699" s="181"/>
      <c r="K7699" s="181"/>
      <c r="L7699" s="181"/>
      <c r="M7699" s="181"/>
      <c r="N7699" s="181"/>
      <c r="O7699" s="181"/>
      <c r="P7699" s="181"/>
    </row>
    <row r="7700">
      <c r="B7700" s="292"/>
      <c r="C7700" s="181"/>
      <c r="D7700" s="181"/>
      <c r="E7700" s="181"/>
      <c r="F7700" s="181"/>
      <c r="G7700" s="181"/>
      <c r="H7700" s="181"/>
      <c r="I7700" s="181"/>
      <c r="J7700" s="181"/>
      <c r="K7700" s="181"/>
      <c r="L7700" s="181"/>
      <c r="M7700" s="181"/>
      <c r="N7700" s="181"/>
      <c r="O7700" s="181"/>
      <c r="P7700" s="181"/>
    </row>
    <row r="7701">
      <c r="B7701" s="292"/>
      <c r="C7701" s="181"/>
      <c r="D7701" s="181"/>
      <c r="E7701" s="181"/>
      <c r="F7701" s="181"/>
      <c r="G7701" s="181"/>
      <c r="H7701" s="181"/>
      <c r="I7701" s="181"/>
      <c r="J7701" s="181"/>
      <c r="K7701" s="181"/>
      <c r="L7701" s="181"/>
      <c r="M7701" s="181"/>
      <c r="N7701" s="181"/>
      <c r="O7701" s="181"/>
      <c r="P7701" s="181"/>
    </row>
    <row r="7702">
      <c r="B7702" s="292"/>
      <c r="C7702" s="181"/>
      <c r="D7702" s="181"/>
      <c r="E7702" s="181"/>
      <c r="F7702" s="181"/>
      <c r="G7702" s="181"/>
      <c r="H7702" s="181"/>
      <c r="I7702" s="181"/>
      <c r="J7702" s="181"/>
      <c r="K7702" s="181"/>
      <c r="L7702" s="181"/>
      <c r="M7702" s="181"/>
      <c r="N7702" s="181"/>
      <c r="O7702" s="181"/>
      <c r="P7702" s="181"/>
    </row>
    <row r="7703">
      <c r="B7703" s="292"/>
      <c r="C7703" s="181"/>
      <c r="D7703" s="181"/>
      <c r="E7703" s="181"/>
      <c r="F7703" s="181"/>
      <c r="G7703" s="181"/>
      <c r="H7703" s="181"/>
      <c r="I7703" s="181"/>
      <c r="J7703" s="181"/>
      <c r="K7703" s="181"/>
      <c r="L7703" s="181"/>
      <c r="M7703" s="181"/>
      <c r="N7703" s="181"/>
      <c r="O7703" s="181"/>
      <c r="P7703" s="181"/>
    </row>
    <row r="7704">
      <c r="B7704" s="292"/>
      <c r="C7704" s="181"/>
      <c r="D7704" s="181"/>
      <c r="E7704" s="181"/>
      <c r="F7704" s="181"/>
      <c r="G7704" s="181"/>
      <c r="H7704" s="181"/>
      <c r="I7704" s="181"/>
      <c r="J7704" s="181"/>
      <c r="K7704" s="181"/>
      <c r="L7704" s="181"/>
      <c r="M7704" s="181"/>
      <c r="N7704" s="181"/>
      <c r="O7704" s="181"/>
      <c r="P7704" s="181"/>
    </row>
    <row r="7705">
      <c r="B7705" s="292"/>
      <c r="C7705" s="181"/>
      <c r="D7705" s="181"/>
      <c r="E7705" s="181"/>
      <c r="F7705" s="181"/>
      <c r="G7705" s="181"/>
      <c r="H7705" s="181"/>
      <c r="I7705" s="181"/>
      <c r="J7705" s="181"/>
      <c r="K7705" s="181"/>
      <c r="L7705" s="181"/>
      <c r="M7705" s="181"/>
      <c r="N7705" s="181"/>
      <c r="O7705" s="181"/>
      <c r="P7705" s="181"/>
    </row>
    <row r="7706">
      <c r="B7706" s="292"/>
      <c r="C7706" s="181"/>
      <c r="D7706" s="181"/>
      <c r="E7706" s="181"/>
      <c r="F7706" s="181"/>
      <c r="G7706" s="181"/>
      <c r="H7706" s="181"/>
      <c r="I7706" s="181"/>
      <c r="J7706" s="181"/>
      <c r="K7706" s="181"/>
      <c r="L7706" s="181"/>
      <c r="M7706" s="181"/>
      <c r="N7706" s="181"/>
      <c r="O7706" s="181"/>
      <c r="P7706" s="181"/>
    </row>
    <row r="7707">
      <c r="B7707" s="292"/>
      <c r="C7707" s="181"/>
      <c r="D7707" s="181"/>
      <c r="E7707" s="181"/>
      <c r="F7707" s="181"/>
      <c r="G7707" s="181"/>
      <c r="H7707" s="181"/>
      <c r="I7707" s="181"/>
      <c r="J7707" s="181"/>
      <c r="K7707" s="181"/>
      <c r="L7707" s="181"/>
      <c r="M7707" s="181"/>
      <c r="N7707" s="181"/>
      <c r="O7707" s="181"/>
      <c r="P7707" s="181"/>
    </row>
    <row r="7708">
      <c r="B7708" s="292"/>
      <c r="C7708" s="181"/>
      <c r="D7708" s="181"/>
      <c r="E7708" s="181"/>
      <c r="F7708" s="181"/>
      <c r="G7708" s="181"/>
      <c r="H7708" s="181"/>
      <c r="I7708" s="181"/>
      <c r="J7708" s="181"/>
      <c r="K7708" s="181"/>
      <c r="L7708" s="181"/>
      <c r="M7708" s="181"/>
      <c r="N7708" s="181"/>
      <c r="O7708" s="181"/>
      <c r="P7708" s="181"/>
    </row>
    <row r="7709">
      <c r="B7709" s="292"/>
      <c r="C7709" s="181"/>
      <c r="D7709" s="181"/>
      <c r="E7709" s="181"/>
      <c r="F7709" s="181"/>
      <c r="G7709" s="181"/>
      <c r="H7709" s="181"/>
      <c r="I7709" s="181"/>
      <c r="J7709" s="181"/>
      <c r="K7709" s="181"/>
      <c r="L7709" s="181"/>
      <c r="M7709" s="181"/>
      <c r="N7709" s="181"/>
      <c r="O7709" s="181"/>
      <c r="P7709" s="181"/>
    </row>
    <row r="7710">
      <c r="B7710" s="292"/>
      <c r="C7710" s="181"/>
      <c r="D7710" s="181"/>
      <c r="E7710" s="181"/>
      <c r="F7710" s="181"/>
      <c r="G7710" s="181"/>
      <c r="H7710" s="181"/>
      <c r="I7710" s="181"/>
      <c r="J7710" s="181"/>
      <c r="K7710" s="181"/>
      <c r="L7710" s="181"/>
      <c r="M7710" s="181"/>
      <c r="N7710" s="181"/>
      <c r="O7710" s="181"/>
      <c r="P7710" s="181"/>
    </row>
    <row r="7711">
      <c r="B7711" s="292"/>
      <c r="C7711" s="181"/>
      <c r="D7711" s="181"/>
      <c r="E7711" s="181"/>
      <c r="F7711" s="181"/>
      <c r="G7711" s="181"/>
      <c r="H7711" s="181"/>
      <c r="I7711" s="181"/>
      <c r="J7711" s="181"/>
      <c r="K7711" s="181"/>
      <c r="L7711" s="181"/>
      <c r="M7711" s="181"/>
      <c r="N7711" s="181"/>
      <c r="O7711" s="181"/>
      <c r="P7711" s="181"/>
    </row>
    <row r="7712">
      <c r="B7712" s="292"/>
      <c r="C7712" s="181"/>
      <c r="D7712" s="181"/>
      <c r="E7712" s="181"/>
      <c r="F7712" s="181"/>
      <c r="G7712" s="181"/>
      <c r="H7712" s="181"/>
      <c r="I7712" s="181"/>
      <c r="J7712" s="181"/>
      <c r="K7712" s="181"/>
      <c r="L7712" s="181"/>
      <c r="M7712" s="181"/>
      <c r="N7712" s="181"/>
      <c r="O7712" s="181"/>
      <c r="P7712" s="181"/>
    </row>
    <row r="7713">
      <c r="B7713" s="292"/>
      <c r="C7713" s="181"/>
      <c r="D7713" s="181"/>
      <c r="E7713" s="181"/>
      <c r="F7713" s="181"/>
      <c r="G7713" s="181"/>
      <c r="H7713" s="181"/>
      <c r="I7713" s="181"/>
      <c r="J7713" s="181"/>
      <c r="K7713" s="181"/>
      <c r="L7713" s="181"/>
      <c r="M7713" s="181"/>
      <c r="N7713" s="181"/>
      <c r="O7713" s="181"/>
      <c r="P7713" s="181"/>
    </row>
    <row r="7714">
      <c r="B7714" s="292"/>
      <c r="C7714" s="181"/>
      <c r="D7714" s="181"/>
      <c r="E7714" s="181"/>
      <c r="F7714" s="181"/>
      <c r="G7714" s="181"/>
      <c r="H7714" s="181"/>
      <c r="I7714" s="181"/>
      <c r="J7714" s="181"/>
      <c r="K7714" s="181"/>
      <c r="L7714" s="181"/>
      <c r="M7714" s="181"/>
      <c r="N7714" s="181"/>
      <c r="O7714" s="181"/>
      <c r="P7714" s="181"/>
    </row>
    <row r="7715">
      <c r="B7715" s="292"/>
      <c r="C7715" s="181"/>
      <c r="D7715" s="181"/>
      <c r="E7715" s="181"/>
      <c r="F7715" s="181"/>
      <c r="G7715" s="181"/>
      <c r="H7715" s="181"/>
      <c r="I7715" s="181"/>
      <c r="J7715" s="181"/>
      <c r="K7715" s="181"/>
      <c r="L7715" s="181"/>
      <c r="M7715" s="181"/>
      <c r="N7715" s="181"/>
      <c r="O7715" s="181"/>
      <c r="P7715" s="181"/>
    </row>
    <row r="7716">
      <c r="B7716" s="292"/>
      <c r="C7716" s="181"/>
      <c r="D7716" s="181"/>
      <c r="E7716" s="181"/>
      <c r="F7716" s="181"/>
      <c r="G7716" s="181"/>
      <c r="H7716" s="181"/>
      <c r="I7716" s="181"/>
      <c r="J7716" s="181"/>
      <c r="K7716" s="181"/>
      <c r="L7716" s="181"/>
      <c r="M7716" s="181"/>
      <c r="N7716" s="181"/>
      <c r="O7716" s="181"/>
      <c r="P7716" s="181"/>
    </row>
    <row r="7717">
      <c r="B7717" s="292"/>
      <c r="C7717" s="181"/>
      <c r="D7717" s="181"/>
      <c r="E7717" s="181"/>
      <c r="F7717" s="181"/>
      <c r="G7717" s="181"/>
      <c r="H7717" s="181"/>
      <c r="I7717" s="181"/>
      <c r="J7717" s="181"/>
      <c r="K7717" s="181"/>
      <c r="L7717" s="181"/>
      <c r="M7717" s="181"/>
      <c r="N7717" s="181"/>
      <c r="O7717" s="181"/>
      <c r="P7717" s="181"/>
    </row>
    <row r="7718">
      <c r="B7718" s="292"/>
      <c r="C7718" s="181"/>
      <c r="D7718" s="181"/>
      <c r="E7718" s="181"/>
      <c r="F7718" s="181"/>
      <c r="G7718" s="181"/>
      <c r="H7718" s="181"/>
      <c r="I7718" s="181"/>
      <c r="J7718" s="181"/>
      <c r="K7718" s="181"/>
      <c r="L7718" s="181"/>
      <c r="M7718" s="181"/>
      <c r="N7718" s="181"/>
      <c r="O7718" s="181"/>
      <c r="P7718" s="181"/>
    </row>
    <row r="7719">
      <c r="B7719" s="292"/>
      <c r="C7719" s="181"/>
      <c r="D7719" s="181"/>
      <c r="E7719" s="181"/>
      <c r="F7719" s="181"/>
      <c r="G7719" s="181"/>
      <c r="H7719" s="181"/>
      <c r="I7719" s="181"/>
      <c r="J7719" s="181"/>
      <c r="K7719" s="181"/>
      <c r="L7719" s="181"/>
      <c r="M7719" s="181"/>
      <c r="N7719" s="181"/>
      <c r="O7719" s="181"/>
      <c r="P7719" s="181"/>
    </row>
    <row r="7720">
      <c r="B7720" s="292"/>
      <c r="C7720" s="181"/>
      <c r="D7720" s="181"/>
      <c r="E7720" s="181"/>
      <c r="F7720" s="181"/>
      <c r="G7720" s="181"/>
      <c r="H7720" s="181"/>
      <c r="I7720" s="181"/>
      <c r="J7720" s="181"/>
      <c r="K7720" s="181"/>
      <c r="L7720" s="181"/>
      <c r="M7720" s="181"/>
      <c r="N7720" s="181"/>
      <c r="O7720" s="181"/>
      <c r="P7720" s="181"/>
    </row>
    <row r="7721">
      <c r="B7721" s="292"/>
      <c r="C7721" s="181"/>
      <c r="D7721" s="181"/>
      <c r="E7721" s="181"/>
      <c r="F7721" s="181"/>
      <c r="G7721" s="181"/>
      <c r="H7721" s="181"/>
      <c r="I7721" s="181"/>
      <c r="J7721" s="181"/>
      <c r="K7721" s="181"/>
      <c r="L7721" s="181"/>
      <c r="M7721" s="181"/>
      <c r="N7721" s="181"/>
      <c r="O7721" s="181"/>
      <c r="P7721" s="181"/>
    </row>
    <row r="7722">
      <c r="B7722" s="292"/>
      <c r="C7722" s="181"/>
      <c r="D7722" s="181"/>
      <c r="E7722" s="181"/>
      <c r="F7722" s="181"/>
      <c r="G7722" s="181"/>
      <c r="H7722" s="181"/>
      <c r="I7722" s="181"/>
      <c r="J7722" s="181"/>
      <c r="K7722" s="181"/>
      <c r="L7722" s="181"/>
      <c r="M7722" s="181"/>
      <c r="N7722" s="181"/>
      <c r="O7722" s="181"/>
      <c r="P7722" s="181"/>
    </row>
    <row r="7723">
      <c r="B7723" s="292"/>
      <c r="C7723" s="181"/>
      <c r="D7723" s="181"/>
      <c r="E7723" s="181"/>
      <c r="F7723" s="181"/>
      <c r="G7723" s="181"/>
      <c r="H7723" s="181"/>
      <c r="I7723" s="181"/>
      <c r="J7723" s="181"/>
      <c r="K7723" s="181"/>
      <c r="L7723" s="181"/>
      <c r="M7723" s="181"/>
      <c r="N7723" s="181"/>
      <c r="O7723" s="181"/>
      <c r="P7723" s="181"/>
    </row>
    <row r="7724">
      <c r="B7724" s="292"/>
      <c r="C7724" s="181"/>
      <c r="D7724" s="181"/>
      <c r="E7724" s="181"/>
      <c r="F7724" s="181"/>
      <c r="G7724" s="181"/>
      <c r="H7724" s="181"/>
      <c r="I7724" s="181"/>
      <c r="J7724" s="181"/>
      <c r="K7724" s="181"/>
      <c r="L7724" s="181"/>
      <c r="M7724" s="181"/>
      <c r="N7724" s="181"/>
      <c r="O7724" s="181"/>
      <c r="P7724" s="181"/>
    </row>
    <row r="7725">
      <c r="B7725" s="292"/>
      <c r="C7725" s="181"/>
      <c r="D7725" s="181"/>
      <c r="E7725" s="181"/>
      <c r="F7725" s="181"/>
      <c r="G7725" s="181"/>
      <c r="H7725" s="181"/>
      <c r="I7725" s="181"/>
      <c r="J7725" s="181"/>
      <c r="K7725" s="181"/>
      <c r="L7725" s="181"/>
      <c r="M7725" s="181"/>
      <c r="N7725" s="181"/>
      <c r="O7725" s="181"/>
      <c r="P7725" s="181"/>
    </row>
    <row r="7726">
      <c r="B7726" s="292"/>
      <c r="C7726" s="181"/>
      <c r="D7726" s="181"/>
      <c r="E7726" s="181"/>
      <c r="F7726" s="181"/>
      <c r="G7726" s="181"/>
      <c r="H7726" s="181"/>
      <c r="I7726" s="181"/>
      <c r="J7726" s="181"/>
      <c r="K7726" s="181"/>
      <c r="L7726" s="181"/>
      <c r="M7726" s="181"/>
      <c r="N7726" s="181"/>
      <c r="O7726" s="181"/>
      <c r="P7726" s="181"/>
    </row>
    <row r="7727">
      <c r="B7727" s="292"/>
      <c r="C7727" s="181"/>
      <c r="D7727" s="181"/>
      <c r="E7727" s="181"/>
      <c r="F7727" s="181"/>
      <c r="G7727" s="181"/>
      <c r="H7727" s="181"/>
      <c r="I7727" s="181"/>
      <c r="J7727" s="181"/>
      <c r="K7727" s="181"/>
      <c r="L7727" s="181"/>
      <c r="M7727" s="181"/>
      <c r="N7727" s="181"/>
      <c r="O7727" s="181"/>
      <c r="P7727" s="181"/>
    </row>
    <row r="7728">
      <c r="B7728" s="292"/>
      <c r="C7728" s="181"/>
      <c r="D7728" s="181"/>
      <c r="E7728" s="181"/>
      <c r="F7728" s="181"/>
      <c r="G7728" s="181"/>
      <c r="H7728" s="181"/>
      <c r="I7728" s="181"/>
      <c r="J7728" s="181"/>
      <c r="K7728" s="181"/>
      <c r="L7728" s="181"/>
      <c r="M7728" s="181"/>
      <c r="N7728" s="181"/>
      <c r="O7728" s="181"/>
      <c r="P7728" s="181"/>
    </row>
    <row r="7729">
      <c r="B7729" s="292"/>
      <c r="C7729" s="181"/>
      <c r="D7729" s="181"/>
      <c r="E7729" s="181"/>
      <c r="F7729" s="181"/>
      <c r="G7729" s="181"/>
      <c r="H7729" s="181"/>
      <c r="I7729" s="181"/>
      <c r="J7729" s="181"/>
      <c r="K7729" s="181"/>
      <c r="L7729" s="181"/>
      <c r="M7729" s="181"/>
      <c r="N7729" s="181"/>
      <c r="O7729" s="181"/>
      <c r="P7729" s="181"/>
    </row>
    <row r="7730">
      <c r="B7730" s="292"/>
      <c r="C7730" s="181"/>
      <c r="D7730" s="181"/>
      <c r="E7730" s="181"/>
      <c r="F7730" s="181"/>
      <c r="G7730" s="181"/>
      <c r="H7730" s="181"/>
      <c r="I7730" s="181"/>
      <c r="J7730" s="181"/>
      <c r="K7730" s="181"/>
      <c r="L7730" s="181"/>
      <c r="M7730" s="181"/>
      <c r="N7730" s="181"/>
      <c r="O7730" s="181"/>
      <c r="P7730" s="181"/>
    </row>
    <row r="7731">
      <c r="B7731" s="292"/>
      <c r="C7731" s="181"/>
      <c r="D7731" s="181"/>
      <c r="E7731" s="181"/>
      <c r="F7731" s="181"/>
      <c r="G7731" s="181"/>
      <c r="H7731" s="181"/>
      <c r="I7731" s="181"/>
      <c r="J7731" s="181"/>
      <c r="K7731" s="181"/>
      <c r="L7731" s="181"/>
      <c r="M7731" s="181"/>
      <c r="N7731" s="181"/>
      <c r="O7731" s="181"/>
      <c r="P7731" s="181"/>
    </row>
    <row r="7732">
      <c r="B7732" s="292"/>
      <c r="C7732" s="181"/>
      <c r="D7732" s="181"/>
      <c r="E7732" s="181"/>
      <c r="F7732" s="181"/>
      <c r="G7732" s="181"/>
      <c r="H7732" s="181"/>
      <c r="I7732" s="181"/>
      <c r="J7732" s="181"/>
      <c r="K7732" s="181"/>
      <c r="L7732" s="181"/>
      <c r="M7732" s="181"/>
      <c r="N7732" s="181"/>
      <c r="O7732" s="181"/>
      <c r="P7732" s="181"/>
    </row>
    <row r="7733">
      <c r="B7733" s="292"/>
      <c r="C7733" s="181"/>
      <c r="D7733" s="181"/>
      <c r="E7733" s="181"/>
      <c r="F7733" s="181"/>
      <c r="G7733" s="181"/>
      <c r="H7733" s="181"/>
      <c r="I7733" s="181"/>
      <c r="J7733" s="181"/>
      <c r="K7733" s="181"/>
      <c r="L7733" s="181"/>
      <c r="M7733" s="181"/>
      <c r="N7733" s="181"/>
      <c r="O7733" s="181"/>
      <c r="P7733" s="181"/>
    </row>
    <row r="7734">
      <c r="B7734" s="292"/>
      <c r="C7734" s="181"/>
      <c r="D7734" s="181"/>
      <c r="E7734" s="181"/>
      <c r="F7734" s="181"/>
      <c r="G7734" s="181"/>
      <c r="H7734" s="181"/>
      <c r="I7734" s="181"/>
      <c r="J7734" s="181"/>
      <c r="K7734" s="181"/>
      <c r="L7734" s="181"/>
      <c r="M7734" s="181"/>
      <c r="N7734" s="181"/>
      <c r="O7734" s="181"/>
      <c r="P7734" s="181"/>
    </row>
    <row r="7735">
      <c r="B7735" s="292"/>
      <c r="C7735" s="181"/>
      <c r="D7735" s="181"/>
      <c r="E7735" s="181"/>
      <c r="F7735" s="181"/>
      <c r="G7735" s="181"/>
      <c r="H7735" s="181"/>
      <c r="I7735" s="181"/>
      <c r="J7735" s="181"/>
      <c r="K7735" s="181"/>
      <c r="L7735" s="181"/>
      <c r="M7735" s="181"/>
      <c r="N7735" s="181"/>
      <c r="O7735" s="181"/>
      <c r="P7735" s="181"/>
    </row>
    <row r="7736">
      <c r="B7736" s="292"/>
      <c r="C7736" s="181"/>
      <c r="D7736" s="181"/>
      <c r="E7736" s="181"/>
      <c r="F7736" s="181"/>
      <c r="G7736" s="181"/>
      <c r="H7736" s="181"/>
      <c r="I7736" s="181"/>
      <c r="J7736" s="181"/>
      <c r="K7736" s="181"/>
      <c r="L7736" s="181"/>
      <c r="M7736" s="181"/>
      <c r="N7736" s="181"/>
      <c r="O7736" s="181"/>
      <c r="P7736" s="181"/>
    </row>
    <row r="7737">
      <c r="B7737" s="292"/>
      <c r="C7737" s="181"/>
      <c r="D7737" s="181"/>
      <c r="E7737" s="181"/>
      <c r="F7737" s="181"/>
      <c r="G7737" s="181"/>
      <c r="H7737" s="181"/>
      <c r="I7737" s="181"/>
      <c r="J7737" s="181"/>
      <c r="K7737" s="181"/>
      <c r="L7737" s="181"/>
      <c r="M7737" s="181"/>
      <c r="N7737" s="181"/>
      <c r="O7737" s="181"/>
      <c r="P7737" s="181"/>
    </row>
    <row r="7738">
      <c r="B7738" s="292"/>
      <c r="C7738" s="181"/>
      <c r="D7738" s="181"/>
      <c r="E7738" s="181"/>
      <c r="F7738" s="181"/>
      <c r="G7738" s="181"/>
      <c r="H7738" s="181"/>
      <c r="I7738" s="181"/>
      <c r="J7738" s="181"/>
      <c r="K7738" s="181"/>
      <c r="L7738" s="181"/>
      <c r="M7738" s="181"/>
      <c r="N7738" s="181"/>
      <c r="O7738" s="181"/>
      <c r="P7738" s="181"/>
    </row>
    <row r="7739">
      <c r="B7739" s="292"/>
      <c r="C7739" s="181"/>
      <c r="D7739" s="181"/>
      <c r="E7739" s="181"/>
      <c r="F7739" s="181"/>
      <c r="G7739" s="181"/>
      <c r="H7739" s="181"/>
      <c r="I7739" s="181"/>
      <c r="J7739" s="181"/>
      <c r="K7739" s="181"/>
      <c r="L7739" s="181"/>
      <c r="M7739" s="181"/>
      <c r="N7739" s="181"/>
      <c r="O7739" s="181"/>
      <c r="P7739" s="181"/>
    </row>
    <row r="7740">
      <c r="B7740" s="292"/>
      <c r="C7740" s="181"/>
      <c r="D7740" s="181"/>
      <c r="E7740" s="181"/>
      <c r="F7740" s="181"/>
      <c r="G7740" s="181"/>
      <c r="H7740" s="181"/>
      <c r="I7740" s="181"/>
      <c r="J7740" s="181"/>
      <c r="K7740" s="181"/>
      <c r="L7740" s="181"/>
      <c r="M7740" s="181"/>
      <c r="N7740" s="181"/>
      <c r="O7740" s="181"/>
      <c r="P7740" s="181"/>
    </row>
    <row r="7741">
      <c r="B7741" s="292"/>
      <c r="C7741" s="181"/>
      <c r="D7741" s="181"/>
      <c r="E7741" s="181"/>
      <c r="F7741" s="181"/>
      <c r="G7741" s="181"/>
      <c r="H7741" s="181"/>
      <c r="I7741" s="181"/>
      <c r="J7741" s="181"/>
      <c r="K7741" s="181"/>
      <c r="L7741" s="181"/>
      <c r="M7741" s="181"/>
      <c r="N7741" s="181"/>
      <c r="O7741" s="181"/>
      <c r="P7741" s="181"/>
    </row>
    <row r="7742">
      <c r="B7742" s="292"/>
      <c r="C7742" s="181"/>
      <c r="D7742" s="181"/>
      <c r="E7742" s="181"/>
      <c r="F7742" s="181"/>
      <c r="G7742" s="181"/>
      <c r="H7742" s="181"/>
      <c r="I7742" s="181"/>
      <c r="J7742" s="181"/>
      <c r="K7742" s="181"/>
      <c r="L7742" s="181"/>
      <c r="M7742" s="181"/>
      <c r="N7742" s="181"/>
      <c r="O7742" s="181"/>
      <c r="P7742" s="181"/>
    </row>
    <row r="7743">
      <c r="B7743" s="292"/>
      <c r="C7743" s="181"/>
      <c r="D7743" s="181"/>
      <c r="E7743" s="181"/>
      <c r="F7743" s="181"/>
      <c r="G7743" s="181"/>
      <c r="H7743" s="181"/>
      <c r="I7743" s="181"/>
      <c r="J7743" s="181"/>
      <c r="K7743" s="181"/>
      <c r="L7743" s="181"/>
      <c r="M7743" s="181"/>
      <c r="N7743" s="181"/>
      <c r="O7743" s="181"/>
      <c r="P7743" s="181"/>
    </row>
    <row r="7744">
      <c r="B7744" s="292"/>
      <c r="C7744" s="181"/>
      <c r="D7744" s="181"/>
      <c r="E7744" s="181"/>
      <c r="F7744" s="181"/>
      <c r="G7744" s="181"/>
      <c r="H7744" s="181"/>
      <c r="I7744" s="181"/>
      <c r="J7744" s="181"/>
      <c r="K7744" s="181"/>
      <c r="L7744" s="181"/>
      <c r="M7744" s="181"/>
      <c r="N7744" s="181"/>
      <c r="O7744" s="181"/>
      <c r="P7744" s="181"/>
    </row>
    <row r="7745">
      <c r="B7745" s="292"/>
      <c r="C7745" s="181"/>
      <c r="D7745" s="181"/>
      <c r="E7745" s="181"/>
      <c r="F7745" s="181"/>
      <c r="G7745" s="181"/>
      <c r="H7745" s="181"/>
      <c r="I7745" s="181"/>
      <c r="J7745" s="181"/>
      <c r="K7745" s="181"/>
      <c r="L7745" s="181"/>
      <c r="M7745" s="181"/>
      <c r="N7745" s="181"/>
      <c r="O7745" s="181"/>
      <c r="P7745" s="181"/>
    </row>
    <row r="7746">
      <c r="B7746" s="292"/>
      <c r="C7746" s="181"/>
      <c r="D7746" s="181"/>
      <c r="E7746" s="181"/>
      <c r="F7746" s="181"/>
      <c r="G7746" s="181"/>
      <c r="H7746" s="181"/>
      <c r="I7746" s="181"/>
      <c r="J7746" s="181"/>
      <c r="K7746" s="181"/>
      <c r="L7746" s="181"/>
      <c r="M7746" s="181"/>
      <c r="N7746" s="181"/>
      <c r="O7746" s="181"/>
      <c r="P7746" s="181"/>
    </row>
    <row r="7747">
      <c r="B7747" s="292"/>
      <c r="C7747" s="181"/>
      <c r="D7747" s="181"/>
      <c r="E7747" s="181"/>
      <c r="F7747" s="181"/>
      <c r="G7747" s="181"/>
      <c r="H7747" s="181"/>
      <c r="I7747" s="181"/>
      <c r="J7747" s="181"/>
      <c r="K7747" s="181"/>
      <c r="L7747" s="181"/>
      <c r="M7747" s="181"/>
      <c r="N7747" s="181"/>
      <c r="O7747" s="181"/>
      <c r="P7747" s="181"/>
    </row>
    <row r="7748">
      <c r="B7748" s="292"/>
      <c r="C7748" s="181"/>
      <c r="D7748" s="181"/>
      <c r="E7748" s="181"/>
      <c r="F7748" s="181"/>
      <c r="G7748" s="181"/>
      <c r="H7748" s="181"/>
      <c r="I7748" s="181"/>
      <c r="J7748" s="181"/>
      <c r="K7748" s="181"/>
      <c r="L7748" s="181"/>
      <c r="M7748" s="181"/>
      <c r="N7748" s="181"/>
      <c r="O7748" s="181"/>
      <c r="P7748" s="181"/>
    </row>
    <row r="7749">
      <c r="B7749" s="292"/>
      <c r="C7749" s="181"/>
      <c r="D7749" s="181"/>
      <c r="E7749" s="181"/>
      <c r="F7749" s="181"/>
      <c r="G7749" s="181"/>
      <c r="H7749" s="181"/>
      <c r="I7749" s="181"/>
      <c r="J7749" s="181"/>
      <c r="K7749" s="181"/>
      <c r="L7749" s="181"/>
      <c r="M7749" s="181"/>
      <c r="N7749" s="181"/>
      <c r="O7749" s="181"/>
      <c r="P7749" s="181"/>
    </row>
    <row r="7750">
      <c r="B7750" s="292"/>
      <c r="C7750" s="181"/>
      <c r="D7750" s="181"/>
      <c r="E7750" s="181"/>
      <c r="F7750" s="181"/>
      <c r="G7750" s="181"/>
      <c r="H7750" s="181"/>
      <c r="I7750" s="181"/>
      <c r="J7750" s="181"/>
      <c r="K7750" s="181"/>
      <c r="L7750" s="181"/>
      <c r="M7750" s="181"/>
      <c r="N7750" s="181"/>
      <c r="O7750" s="181"/>
      <c r="P7750" s="181"/>
    </row>
    <row r="7751">
      <c r="B7751" s="292"/>
      <c r="C7751" s="181"/>
      <c r="D7751" s="181"/>
      <c r="E7751" s="181"/>
      <c r="F7751" s="181"/>
      <c r="G7751" s="181"/>
      <c r="H7751" s="181"/>
      <c r="I7751" s="181"/>
      <c r="J7751" s="181"/>
      <c r="K7751" s="181"/>
      <c r="L7751" s="181"/>
      <c r="M7751" s="181"/>
      <c r="N7751" s="181"/>
      <c r="O7751" s="181"/>
      <c r="P7751" s="181"/>
    </row>
    <row r="7752">
      <c r="B7752" s="292"/>
      <c r="C7752" s="181"/>
      <c r="D7752" s="181"/>
      <c r="E7752" s="181"/>
      <c r="F7752" s="181"/>
      <c r="G7752" s="181"/>
      <c r="H7752" s="181"/>
      <c r="I7752" s="181"/>
      <c r="J7752" s="181"/>
      <c r="K7752" s="181"/>
      <c r="L7752" s="181"/>
      <c r="M7752" s="181"/>
      <c r="N7752" s="181"/>
      <c r="O7752" s="181"/>
      <c r="P7752" s="181"/>
    </row>
    <row r="7753">
      <c r="B7753" s="292"/>
      <c r="C7753" s="181"/>
      <c r="D7753" s="181"/>
      <c r="E7753" s="181"/>
      <c r="F7753" s="181"/>
      <c r="G7753" s="181"/>
      <c r="H7753" s="181"/>
      <c r="I7753" s="181"/>
      <c r="J7753" s="181"/>
      <c r="K7753" s="181"/>
      <c r="L7753" s="181"/>
      <c r="M7753" s="181"/>
      <c r="N7753" s="181"/>
      <c r="O7753" s="181"/>
      <c r="P7753" s="181"/>
    </row>
    <row r="7754">
      <c r="B7754" s="292"/>
      <c r="C7754" s="181"/>
      <c r="D7754" s="181"/>
      <c r="E7754" s="181"/>
      <c r="F7754" s="181"/>
      <c r="G7754" s="181"/>
      <c r="H7754" s="181"/>
      <c r="I7754" s="181"/>
      <c r="J7754" s="181"/>
      <c r="K7754" s="181"/>
      <c r="L7754" s="181"/>
      <c r="M7754" s="181"/>
      <c r="N7754" s="181"/>
      <c r="O7754" s="181"/>
      <c r="P7754" s="181"/>
    </row>
    <row r="7755">
      <c r="B7755" s="292"/>
      <c r="C7755" s="181"/>
      <c r="D7755" s="181"/>
      <c r="E7755" s="181"/>
      <c r="F7755" s="181"/>
      <c r="G7755" s="181"/>
      <c r="H7755" s="181"/>
      <c r="I7755" s="181"/>
      <c r="J7755" s="181"/>
      <c r="K7755" s="181"/>
      <c r="L7755" s="181"/>
      <c r="M7755" s="181"/>
      <c r="N7755" s="181"/>
      <c r="O7755" s="181"/>
      <c r="P7755" s="181"/>
    </row>
    <row r="7756">
      <c r="B7756" s="292"/>
      <c r="C7756" s="181"/>
      <c r="D7756" s="181"/>
      <c r="E7756" s="181"/>
      <c r="F7756" s="181"/>
      <c r="G7756" s="181"/>
      <c r="H7756" s="181"/>
      <c r="I7756" s="181"/>
      <c r="J7756" s="181"/>
      <c r="K7756" s="181"/>
      <c r="L7756" s="181"/>
      <c r="M7756" s="181"/>
      <c r="N7756" s="181"/>
      <c r="O7756" s="181"/>
      <c r="P7756" s="181"/>
    </row>
    <row r="7757">
      <c r="B7757" s="292"/>
      <c r="C7757" s="181"/>
      <c r="D7757" s="181"/>
      <c r="E7757" s="181"/>
      <c r="F7757" s="181"/>
      <c r="G7757" s="181"/>
      <c r="H7757" s="181"/>
      <c r="I7757" s="181"/>
      <c r="J7757" s="181"/>
      <c r="K7757" s="181"/>
      <c r="L7757" s="181"/>
      <c r="M7757" s="181"/>
      <c r="N7757" s="181"/>
      <c r="O7757" s="181"/>
      <c r="P7757" s="181"/>
    </row>
    <row r="7758">
      <c r="B7758" s="292"/>
      <c r="C7758" s="181"/>
      <c r="D7758" s="181"/>
      <c r="E7758" s="181"/>
      <c r="F7758" s="181"/>
      <c r="G7758" s="181"/>
      <c r="H7758" s="181"/>
      <c r="I7758" s="181"/>
      <c r="J7758" s="181"/>
      <c r="K7758" s="181"/>
      <c r="L7758" s="181"/>
      <c r="M7758" s="181"/>
      <c r="N7758" s="181"/>
      <c r="O7758" s="181"/>
      <c r="P7758" s="181"/>
    </row>
    <row r="7759">
      <c r="B7759" s="292"/>
      <c r="C7759" s="181"/>
      <c r="D7759" s="181"/>
      <c r="E7759" s="181"/>
      <c r="F7759" s="181"/>
      <c r="G7759" s="181"/>
      <c r="H7759" s="181"/>
      <c r="I7759" s="181"/>
      <c r="J7759" s="181"/>
      <c r="K7759" s="181"/>
      <c r="L7759" s="181"/>
      <c r="M7759" s="181"/>
      <c r="N7759" s="181"/>
      <c r="O7759" s="181"/>
      <c r="P7759" s="181"/>
    </row>
    <row r="7760">
      <c r="B7760" s="292"/>
      <c r="C7760" s="181"/>
      <c r="D7760" s="181"/>
      <c r="E7760" s="181"/>
      <c r="F7760" s="181"/>
      <c r="G7760" s="181"/>
      <c r="H7760" s="181"/>
      <c r="I7760" s="181"/>
      <c r="J7760" s="181"/>
      <c r="K7760" s="181"/>
      <c r="L7760" s="181"/>
      <c r="M7760" s="181"/>
      <c r="N7760" s="181"/>
      <c r="O7760" s="181"/>
      <c r="P7760" s="181"/>
    </row>
    <row r="7761">
      <c r="B7761" s="292"/>
      <c r="C7761" s="181"/>
      <c r="D7761" s="181"/>
      <c r="E7761" s="181"/>
      <c r="F7761" s="181"/>
      <c r="G7761" s="181"/>
      <c r="H7761" s="181"/>
      <c r="I7761" s="181"/>
      <c r="J7761" s="181"/>
      <c r="K7761" s="181"/>
      <c r="L7761" s="181"/>
      <c r="M7761" s="181"/>
      <c r="N7761" s="181"/>
      <c r="O7761" s="181"/>
      <c r="P7761" s="181"/>
    </row>
    <row r="7762">
      <c r="B7762" s="292"/>
      <c r="C7762" s="181"/>
      <c r="D7762" s="181"/>
      <c r="E7762" s="181"/>
      <c r="F7762" s="181"/>
      <c r="G7762" s="181"/>
      <c r="H7762" s="181"/>
      <c r="I7762" s="181"/>
      <c r="J7762" s="181"/>
      <c r="K7762" s="181"/>
      <c r="L7762" s="181"/>
      <c r="M7762" s="181"/>
      <c r="N7762" s="181"/>
      <c r="O7762" s="181"/>
      <c r="P7762" s="181"/>
    </row>
    <row r="7763">
      <c r="B7763" s="292"/>
      <c r="C7763" s="181"/>
      <c r="D7763" s="181"/>
      <c r="E7763" s="181"/>
      <c r="F7763" s="181"/>
      <c r="G7763" s="181"/>
      <c r="H7763" s="181"/>
      <c r="I7763" s="181"/>
      <c r="J7763" s="181"/>
      <c r="K7763" s="181"/>
      <c r="L7763" s="181"/>
      <c r="M7763" s="181"/>
      <c r="N7763" s="181"/>
      <c r="O7763" s="181"/>
      <c r="P7763" s="181"/>
    </row>
    <row r="7764">
      <c r="B7764" s="292"/>
      <c r="C7764" s="181"/>
      <c r="D7764" s="181"/>
      <c r="E7764" s="181"/>
      <c r="F7764" s="181"/>
      <c r="G7764" s="181"/>
      <c r="H7764" s="181"/>
      <c r="I7764" s="181"/>
      <c r="J7764" s="181"/>
      <c r="K7764" s="181"/>
      <c r="L7764" s="181"/>
      <c r="M7764" s="181"/>
      <c r="N7764" s="181"/>
      <c r="O7764" s="181"/>
      <c r="P7764" s="181"/>
    </row>
    <row r="7765">
      <c r="B7765" s="292"/>
      <c r="C7765" s="181"/>
      <c r="D7765" s="181"/>
      <c r="E7765" s="181"/>
      <c r="F7765" s="181"/>
      <c r="G7765" s="181"/>
      <c r="H7765" s="181"/>
      <c r="I7765" s="181"/>
      <c r="J7765" s="181"/>
      <c r="K7765" s="181"/>
      <c r="L7765" s="181"/>
      <c r="M7765" s="181"/>
      <c r="N7765" s="181"/>
      <c r="O7765" s="181"/>
      <c r="P7765" s="181"/>
    </row>
    <row r="7766">
      <c r="B7766" s="292"/>
      <c r="C7766" s="181"/>
      <c r="D7766" s="181"/>
      <c r="E7766" s="181"/>
      <c r="F7766" s="181"/>
      <c r="G7766" s="181"/>
      <c r="H7766" s="181"/>
      <c r="I7766" s="181"/>
      <c r="J7766" s="181"/>
      <c r="K7766" s="181"/>
      <c r="L7766" s="181"/>
      <c r="M7766" s="181"/>
      <c r="N7766" s="181"/>
      <c r="O7766" s="181"/>
      <c r="P7766" s="181"/>
    </row>
    <row r="7767">
      <c r="B7767" s="292"/>
      <c r="C7767" s="181"/>
      <c r="D7767" s="181"/>
      <c r="E7767" s="181"/>
      <c r="F7767" s="181"/>
      <c r="G7767" s="181"/>
      <c r="H7767" s="181"/>
      <c r="I7767" s="181"/>
      <c r="J7767" s="181"/>
      <c r="K7767" s="181"/>
      <c r="L7767" s="181"/>
      <c r="M7767" s="181"/>
      <c r="N7767" s="181"/>
      <c r="O7767" s="181"/>
      <c r="P7767" s="181"/>
    </row>
    <row r="7768">
      <c r="B7768" s="292"/>
      <c r="C7768" s="181"/>
      <c r="D7768" s="181"/>
      <c r="E7768" s="181"/>
      <c r="F7768" s="181"/>
      <c r="G7768" s="181"/>
      <c r="H7768" s="181"/>
      <c r="I7768" s="181"/>
      <c r="J7768" s="181"/>
      <c r="K7768" s="181"/>
      <c r="L7768" s="181"/>
      <c r="M7768" s="181"/>
      <c r="N7768" s="181"/>
      <c r="O7768" s="181"/>
      <c r="P7768" s="181"/>
    </row>
    <row r="7769">
      <c r="B7769" s="292"/>
      <c r="C7769" s="181"/>
      <c r="D7769" s="181"/>
      <c r="E7769" s="181"/>
      <c r="F7769" s="181"/>
      <c r="G7769" s="181"/>
      <c r="H7769" s="181"/>
      <c r="I7769" s="181"/>
      <c r="J7769" s="181"/>
      <c r="K7769" s="181"/>
      <c r="L7769" s="181"/>
      <c r="M7769" s="181"/>
      <c r="N7769" s="181"/>
      <c r="O7769" s="181"/>
      <c r="P7769" s="181"/>
    </row>
    <row r="7770">
      <c r="B7770" s="292"/>
      <c r="C7770" s="181"/>
      <c r="D7770" s="181"/>
      <c r="E7770" s="181"/>
      <c r="F7770" s="181"/>
      <c r="G7770" s="181"/>
      <c r="H7770" s="181"/>
      <c r="I7770" s="181"/>
      <c r="J7770" s="181"/>
      <c r="K7770" s="181"/>
      <c r="L7770" s="181"/>
      <c r="M7770" s="181"/>
      <c r="N7770" s="181"/>
      <c r="O7770" s="181"/>
      <c r="P7770" s="181"/>
    </row>
    <row r="7771">
      <c r="B7771" s="292"/>
      <c r="C7771" s="181"/>
      <c r="D7771" s="181"/>
      <c r="E7771" s="181"/>
      <c r="F7771" s="181"/>
      <c r="G7771" s="181"/>
      <c r="H7771" s="181"/>
      <c r="I7771" s="181"/>
      <c r="J7771" s="181"/>
      <c r="K7771" s="181"/>
      <c r="L7771" s="181"/>
      <c r="M7771" s="181"/>
      <c r="N7771" s="181"/>
      <c r="O7771" s="181"/>
      <c r="P7771" s="181"/>
    </row>
    <row r="7772">
      <c r="B7772" s="292"/>
      <c r="C7772" s="181"/>
      <c r="D7772" s="181"/>
      <c r="E7772" s="181"/>
      <c r="F7772" s="181"/>
      <c r="G7772" s="181"/>
      <c r="H7772" s="181"/>
      <c r="I7772" s="181"/>
      <c r="J7772" s="181"/>
      <c r="K7772" s="181"/>
      <c r="L7772" s="181"/>
      <c r="M7772" s="181"/>
      <c r="N7772" s="181"/>
      <c r="O7772" s="181"/>
      <c r="P7772" s="181"/>
    </row>
    <row r="7773">
      <c r="B7773" s="292"/>
      <c r="C7773" s="181"/>
      <c r="D7773" s="181"/>
      <c r="E7773" s="181"/>
      <c r="F7773" s="181"/>
      <c r="G7773" s="181"/>
      <c r="H7773" s="181"/>
      <c r="I7773" s="181"/>
      <c r="J7773" s="181"/>
      <c r="K7773" s="181"/>
      <c r="L7773" s="181"/>
      <c r="M7773" s="181"/>
      <c r="N7773" s="181"/>
      <c r="O7773" s="181"/>
      <c r="P7773" s="181"/>
    </row>
    <row r="7774">
      <c r="B7774" s="292"/>
      <c r="C7774" s="181"/>
      <c r="D7774" s="181"/>
      <c r="E7774" s="181"/>
      <c r="F7774" s="181"/>
      <c r="G7774" s="181"/>
      <c r="H7774" s="181"/>
      <c r="I7774" s="181"/>
      <c r="J7774" s="181"/>
      <c r="K7774" s="181"/>
      <c r="L7774" s="181"/>
      <c r="M7774" s="181"/>
      <c r="N7774" s="181"/>
      <c r="O7774" s="181"/>
      <c r="P7774" s="181"/>
    </row>
    <row r="7775">
      <c r="B7775" s="292"/>
      <c r="C7775" s="181"/>
      <c r="D7775" s="181"/>
      <c r="E7775" s="181"/>
      <c r="F7775" s="181"/>
      <c r="G7775" s="181"/>
      <c r="H7775" s="181"/>
      <c r="I7775" s="181"/>
      <c r="J7775" s="181"/>
      <c r="K7775" s="181"/>
      <c r="L7775" s="181"/>
      <c r="M7775" s="181"/>
      <c r="N7775" s="181"/>
      <c r="O7775" s="181"/>
      <c r="P7775" s="181"/>
    </row>
    <row r="7776">
      <c r="B7776" s="292"/>
      <c r="C7776" s="181"/>
      <c r="D7776" s="181"/>
      <c r="E7776" s="181"/>
      <c r="F7776" s="181"/>
      <c r="G7776" s="181"/>
      <c r="H7776" s="181"/>
      <c r="I7776" s="181"/>
      <c r="J7776" s="181"/>
      <c r="K7776" s="181"/>
      <c r="L7776" s="181"/>
      <c r="M7776" s="181"/>
      <c r="N7776" s="181"/>
      <c r="O7776" s="181"/>
      <c r="P7776" s="181"/>
    </row>
    <row r="7777">
      <c r="B7777" s="292"/>
      <c r="C7777" s="181"/>
      <c r="D7777" s="181"/>
      <c r="E7777" s="181"/>
      <c r="F7777" s="181"/>
      <c r="G7777" s="181"/>
      <c r="H7777" s="181"/>
      <c r="I7777" s="181"/>
      <c r="J7777" s="181"/>
      <c r="K7777" s="181"/>
      <c r="L7777" s="181"/>
      <c r="M7777" s="181"/>
      <c r="N7777" s="181"/>
      <c r="O7777" s="181"/>
      <c r="P7777" s="181"/>
    </row>
    <row r="7778">
      <c r="B7778" s="292"/>
      <c r="C7778" s="181"/>
      <c r="D7778" s="181"/>
      <c r="E7778" s="181"/>
      <c r="F7778" s="181"/>
      <c r="G7778" s="181"/>
      <c r="H7778" s="181"/>
      <c r="I7778" s="181"/>
      <c r="J7778" s="181"/>
      <c r="K7778" s="181"/>
      <c r="L7778" s="181"/>
      <c r="M7778" s="181"/>
      <c r="N7778" s="181"/>
      <c r="O7778" s="181"/>
      <c r="P7778" s="181"/>
    </row>
    <row r="7779">
      <c r="B7779" s="292"/>
      <c r="C7779" s="181"/>
      <c r="D7779" s="181"/>
      <c r="E7779" s="181"/>
      <c r="F7779" s="181"/>
      <c r="G7779" s="181"/>
      <c r="H7779" s="181"/>
      <c r="I7779" s="181"/>
      <c r="J7779" s="181"/>
      <c r="K7779" s="181"/>
      <c r="L7779" s="181"/>
      <c r="M7779" s="181"/>
      <c r="N7779" s="181"/>
      <c r="O7779" s="181"/>
      <c r="P7779" s="181"/>
    </row>
    <row r="7780">
      <c r="B7780" s="292"/>
      <c r="C7780" s="181"/>
      <c r="D7780" s="181"/>
      <c r="E7780" s="181"/>
      <c r="F7780" s="181"/>
      <c r="G7780" s="181"/>
      <c r="H7780" s="181"/>
      <c r="I7780" s="181"/>
      <c r="J7780" s="181"/>
      <c r="K7780" s="181"/>
      <c r="L7780" s="181"/>
      <c r="M7780" s="181"/>
      <c r="N7780" s="181"/>
      <c r="O7780" s="181"/>
      <c r="P7780" s="181"/>
    </row>
    <row r="7781">
      <c r="B7781" s="292"/>
      <c r="C7781" s="181"/>
      <c r="D7781" s="181"/>
      <c r="E7781" s="181"/>
      <c r="F7781" s="181"/>
      <c r="G7781" s="181"/>
      <c r="H7781" s="181"/>
      <c r="I7781" s="181"/>
      <c r="J7781" s="181"/>
      <c r="K7781" s="181"/>
      <c r="L7781" s="181"/>
      <c r="M7781" s="181"/>
      <c r="N7781" s="181"/>
      <c r="O7781" s="181"/>
      <c r="P7781" s="181"/>
    </row>
    <row r="7782">
      <c r="B7782" s="292"/>
      <c r="C7782" s="181"/>
      <c r="D7782" s="181"/>
      <c r="E7782" s="181"/>
      <c r="F7782" s="181"/>
      <c r="G7782" s="181"/>
      <c r="H7782" s="181"/>
      <c r="I7782" s="181"/>
      <c r="J7782" s="181"/>
      <c r="K7782" s="181"/>
      <c r="L7782" s="181"/>
      <c r="M7782" s="181"/>
      <c r="N7782" s="181"/>
      <c r="O7782" s="181"/>
      <c r="P7782" s="181"/>
    </row>
    <row r="7783">
      <c r="B7783" s="292"/>
      <c r="C7783" s="181"/>
      <c r="D7783" s="181"/>
      <c r="E7783" s="181"/>
      <c r="F7783" s="181"/>
      <c r="G7783" s="181"/>
      <c r="H7783" s="181"/>
      <c r="I7783" s="181"/>
      <c r="J7783" s="181"/>
      <c r="K7783" s="181"/>
      <c r="L7783" s="181"/>
      <c r="M7783" s="181"/>
      <c r="N7783" s="181"/>
      <c r="O7783" s="181"/>
      <c r="P7783" s="181"/>
    </row>
    <row r="7784">
      <c r="B7784" s="292"/>
      <c r="C7784" s="181"/>
      <c r="D7784" s="181"/>
      <c r="E7784" s="181"/>
      <c r="F7784" s="181"/>
      <c r="G7784" s="181"/>
      <c r="H7784" s="181"/>
      <c r="I7784" s="181"/>
      <c r="J7784" s="181"/>
      <c r="K7784" s="181"/>
      <c r="L7784" s="181"/>
      <c r="M7784" s="181"/>
      <c r="N7784" s="181"/>
      <c r="O7784" s="181"/>
      <c r="P7784" s="181"/>
    </row>
    <row r="7785">
      <c r="B7785" s="292"/>
      <c r="C7785" s="181"/>
      <c r="D7785" s="181"/>
      <c r="E7785" s="181"/>
      <c r="F7785" s="181"/>
      <c r="G7785" s="181"/>
      <c r="H7785" s="181"/>
      <c r="I7785" s="181"/>
      <c r="J7785" s="181"/>
      <c r="K7785" s="181"/>
      <c r="L7785" s="181"/>
      <c r="M7785" s="181"/>
      <c r="N7785" s="181"/>
      <c r="O7785" s="181"/>
      <c r="P7785" s="181"/>
    </row>
    <row r="7786">
      <c r="B7786" s="292"/>
      <c r="C7786" s="181"/>
      <c r="D7786" s="181"/>
      <c r="E7786" s="181"/>
      <c r="F7786" s="181"/>
      <c r="G7786" s="181"/>
      <c r="H7786" s="181"/>
      <c r="I7786" s="181"/>
      <c r="J7786" s="181"/>
      <c r="K7786" s="181"/>
      <c r="L7786" s="181"/>
      <c r="M7786" s="181"/>
      <c r="N7786" s="181"/>
      <c r="O7786" s="181"/>
      <c r="P7786" s="181"/>
    </row>
    <row r="7787">
      <c r="B7787" s="292"/>
      <c r="C7787" s="181"/>
      <c r="D7787" s="181"/>
      <c r="E7787" s="181"/>
      <c r="F7787" s="181"/>
      <c r="G7787" s="181"/>
      <c r="H7787" s="181"/>
      <c r="I7787" s="181"/>
      <c r="J7787" s="181"/>
      <c r="K7787" s="181"/>
      <c r="L7787" s="181"/>
      <c r="M7787" s="181"/>
      <c r="N7787" s="181"/>
      <c r="O7787" s="181"/>
      <c r="P7787" s="181"/>
    </row>
    <row r="7788">
      <c r="B7788" s="292"/>
      <c r="C7788" s="181"/>
      <c r="D7788" s="181"/>
      <c r="E7788" s="181"/>
      <c r="F7788" s="181"/>
      <c r="G7788" s="181"/>
      <c r="H7788" s="181"/>
      <c r="I7788" s="181"/>
      <c r="J7788" s="181"/>
      <c r="K7788" s="181"/>
      <c r="L7788" s="181"/>
      <c r="M7788" s="181"/>
      <c r="N7788" s="181"/>
      <c r="O7788" s="181"/>
      <c r="P7788" s="181"/>
    </row>
    <row r="7789">
      <c r="B7789" s="292"/>
      <c r="C7789" s="181"/>
      <c r="D7789" s="181"/>
      <c r="E7789" s="181"/>
      <c r="F7789" s="181"/>
      <c r="G7789" s="181"/>
      <c r="H7789" s="181"/>
      <c r="I7789" s="181"/>
      <c r="J7789" s="181"/>
      <c r="K7789" s="181"/>
      <c r="L7789" s="181"/>
      <c r="M7789" s="181"/>
      <c r="N7789" s="181"/>
      <c r="O7789" s="181"/>
      <c r="P7789" s="181"/>
    </row>
    <row r="7790">
      <c r="B7790" s="292"/>
      <c r="C7790" s="181"/>
      <c r="D7790" s="181"/>
      <c r="E7790" s="181"/>
      <c r="F7790" s="181"/>
      <c r="G7790" s="181"/>
      <c r="H7790" s="181"/>
      <c r="I7790" s="181"/>
      <c r="J7790" s="181"/>
      <c r="K7790" s="181"/>
      <c r="L7790" s="181"/>
      <c r="M7790" s="181"/>
      <c r="N7790" s="181"/>
      <c r="O7790" s="181"/>
      <c r="P7790" s="181"/>
    </row>
    <row r="7791">
      <c r="B7791" s="292"/>
      <c r="C7791" s="181"/>
      <c r="D7791" s="181"/>
      <c r="E7791" s="181"/>
      <c r="F7791" s="181"/>
      <c r="G7791" s="181"/>
      <c r="H7791" s="181"/>
      <c r="I7791" s="181"/>
      <c r="J7791" s="181"/>
      <c r="K7791" s="181"/>
      <c r="L7791" s="181"/>
      <c r="M7791" s="181"/>
      <c r="N7791" s="181"/>
      <c r="O7791" s="181"/>
      <c r="P7791" s="181"/>
    </row>
    <row r="7792">
      <c r="B7792" s="292"/>
      <c r="C7792" s="181"/>
      <c r="D7792" s="181"/>
      <c r="E7792" s="181"/>
      <c r="F7792" s="181"/>
      <c r="G7792" s="181"/>
      <c r="H7792" s="181"/>
      <c r="I7792" s="181"/>
      <c r="J7792" s="181"/>
      <c r="K7792" s="181"/>
      <c r="L7792" s="181"/>
      <c r="M7792" s="181"/>
      <c r="N7792" s="181"/>
      <c r="O7792" s="181"/>
      <c r="P7792" s="181"/>
    </row>
    <row r="7793">
      <c r="B7793" s="292"/>
      <c r="C7793" s="181"/>
      <c r="D7793" s="181"/>
      <c r="E7793" s="181"/>
      <c r="F7793" s="181"/>
      <c r="G7793" s="181"/>
      <c r="H7793" s="181"/>
      <c r="I7793" s="181"/>
      <c r="J7793" s="181"/>
      <c r="K7793" s="181"/>
      <c r="L7793" s="181"/>
      <c r="M7793" s="181"/>
      <c r="N7793" s="181"/>
      <c r="O7793" s="181"/>
      <c r="P7793" s="181"/>
    </row>
    <row r="7794">
      <c r="B7794" s="292"/>
      <c r="C7794" s="181"/>
      <c r="D7794" s="181"/>
      <c r="E7794" s="181"/>
      <c r="F7794" s="181"/>
      <c r="G7794" s="181"/>
      <c r="H7794" s="181"/>
      <c r="I7794" s="181"/>
      <c r="J7794" s="181"/>
      <c r="K7794" s="181"/>
      <c r="L7794" s="181"/>
      <c r="M7794" s="181"/>
      <c r="N7794" s="181"/>
      <c r="O7794" s="181"/>
      <c r="P7794" s="181"/>
    </row>
    <row r="7795">
      <c r="B7795" s="292"/>
      <c r="C7795" s="181"/>
      <c r="D7795" s="181"/>
      <c r="E7795" s="181"/>
      <c r="F7795" s="181"/>
      <c r="G7795" s="181"/>
      <c r="H7795" s="181"/>
      <c r="I7795" s="181"/>
      <c r="J7795" s="181"/>
      <c r="K7795" s="181"/>
      <c r="L7795" s="181"/>
      <c r="M7795" s="181"/>
      <c r="N7795" s="181"/>
      <c r="O7795" s="181"/>
      <c r="P7795" s="181"/>
    </row>
    <row r="7796">
      <c r="B7796" s="292"/>
      <c r="C7796" s="181"/>
      <c r="D7796" s="181"/>
      <c r="E7796" s="181"/>
      <c r="F7796" s="181"/>
      <c r="G7796" s="181"/>
      <c r="H7796" s="181"/>
      <c r="I7796" s="181"/>
      <c r="J7796" s="181"/>
      <c r="K7796" s="181"/>
      <c r="L7796" s="181"/>
      <c r="M7796" s="181"/>
      <c r="N7796" s="181"/>
      <c r="O7796" s="181"/>
      <c r="P7796" s="181"/>
    </row>
    <row r="7797">
      <c r="B7797" s="292"/>
      <c r="C7797" s="181"/>
      <c r="D7797" s="181"/>
      <c r="E7797" s="181"/>
      <c r="F7797" s="181"/>
      <c r="G7797" s="181"/>
      <c r="H7797" s="181"/>
      <c r="I7797" s="181"/>
      <c r="J7797" s="181"/>
      <c r="K7797" s="181"/>
      <c r="L7797" s="181"/>
      <c r="M7797" s="181"/>
      <c r="N7797" s="181"/>
      <c r="O7797" s="181"/>
      <c r="P7797" s="181"/>
    </row>
    <row r="7798">
      <c r="B7798" s="292"/>
      <c r="C7798" s="181"/>
      <c r="D7798" s="181"/>
      <c r="E7798" s="181"/>
      <c r="F7798" s="181"/>
      <c r="G7798" s="181"/>
      <c r="H7798" s="181"/>
      <c r="I7798" s="181"/>
      <c r="J7798" s="181"/>
      <c r="K7798" s="181"/>
      <c r="L7798" s="181"/>
      <c r="M7798" s="181"/>
      <c r="N7798" s="181"/>
      <c r="O7798" s="181"/>
      <c r="P7798" s="181"/>
    </row>
    <row r="7799">
      <c r="B7799" s="292"/>
      <c r="C7799" s="181"/>
      <c r="D7799" s="181"/>
      <c r="E7799" s="181"/>
      <c r="F7799" s="181"/>
      <c r="G7799" s="181"/>
      <c r="H7799" s="181"/>
      <c r="I7799" s="181"/>
      <c r="J7799" s="181"/>
      <c r="K7799" s="181"/>
      <c r="L7799" s="181"/>
      <c r="M7799" s="181"/>
      <c r="N7799" s="181"/>
      <c r="O7799" s="181"/>
      <c r="P7799" s="181"/>
    </row>
    <row r="7800">
      <c r="B7800" s="292"/>
      <c r="C7800" s="181"/>
      <c r="D7800" s="181"/>
      <c r="E7800" s="181"/>
      <c r="F7800" s="181"/>
      <c r="G7800" s="181"/>
      <c r="H7800" s="181"/>
      <c r="I7800" s="181"/>
      <c r="J7800" s="181"/>
      <c r="K7800" s="181"/>
      <c r="L7800" s="181"/>
      <c r="M7800" s="181"/>
      <c r="N7800" s="181"/>
      <c r="O7800" s="181"/>
      <c r="P7800" s="181"/>
    </row>
    <row r="7801">
      <c r="B7801" s="292"/>
      <c r="C7801" s="181"/>
      <c r="D7801" s="181"/>
      <c r="E7801" s="181"/>
      <c r="F7801" s="181"/>
      <c r="G7801" s="181"/>
      <c r="H7801" s="181"/>
      <c r="I7801" s="181"/>
      <c r="J7801" s="181"/>
      <c r="K7801" s="181"/>
      <c r="L7801" s="181"/>
      <c r="M7801" s="181"/>
      <c r="N7801" s="181"/>
      <c r="O7801" s="181"/>
      <c r="P7801" s="181"/>
    </row>
    <row r="7802">
      <c r="B7802" s="292"/>
      <c r="C7802" s="181"/>
      <c r="D7802" s="181"/>
      <c r="E7802" s="181"/>
      <c r="F7802" s="181"/>
      <c r="G7802" s="181"/>
      <c r="H7802" s="181"/>
      <c r="I7802" s="181"/>
      <c r="J7802" s="181"/>
      <c r="K7802" s="181"/>
      <c r="L7802" s="181"/>
      <c r="M7802" s="181"/>
      <c r="N7802" s="181"/>
      <c r="O7802" s="181"/>
      <c r="P7802" s="181"/>
    </row>
    <row r="7803">
      <c r="B7803" s="292"/>
      <c r="C7803" s="181"/>
      <c r="D7803" s="181"/>
      <c r="E7803" s="181"/>
      <c r="F7803" s="181"/>
      <c r="G7803" s="181"/>
      <c r="H7803" s="181"/>
      <c r="I7803" s="181"/>
      <c r="J7803" s="181"/>
      <c r="K7803" s="181"/>
      <c r="L7803" s="181"/>
      <c r="M7803" s="181"/>
      <c r="N7803" s="181"/>
      <c r="O7803" s="181"/>
      <c r="P7803" s="181"/>
    </row>
    <row r="7804">
      <c r="B7804" s="292"/>
      <c r="C7804" s="181"/>
      <c r="D7804" s="181"/>
      <c r="E7804" s="181"/>
      <c r="F7804" s="181"/>
      <c r="G7804" s="181"/>
      <c r="H7804" s="181"/>
      <c r="I7804" s="181"/>
      <c r="J7804" s="181"/>
      <c r="K7804" s="181"/>
      <c r="L7804" s="181"/>
      <c r="M7804" s="181"/>
      <c r="N7804" s="181"/>
      <c r="O7804" s="181"/>
      <c r="P7804" s="181"/>
    </row>
    <row r="7805">
      <c r="B7805" s="292"/>
      <c r="C7805" s="181"/>
      <c r="D7805" s="181"/>
      <c r="E7805" s="181"/>
      <c r="F7805" s="181"/>
      <c r="G7805" s="181"/>
      <c r="H7805" s="181"/>
      <c r="I7805" s="181"/>
      <c r="J7805" s="181"/>
      <c r="K7805" s="181"/>
      <c r="L7805" s="181"/>
      <c r="M7805" s="181"/>
      <c r="N7805" s="181"/>
      <c r="O7805" s="181"/>
      <c r="P7805" s="181"/>
    </row>
    <row r="7806">
      <c r="B7806" s="292"/>
      <c r="C7806" s="181"/>
      <c r="D7806" s="181"/>
      <c r="E7806" s="181"/>
      <c r="F7806" s="181"/>
      <c r="G7806" s="181"/>
      <c r="H7806" s="181"/>
      <c r="I7806" s="181"/>
      <c r="J7806" s="181"/>
      <c r="K7806" s="181"/>
      <c r="L7806" s="181"/>
      <c r="M7806" s="181"/>
      <c r="N7806" s="181"/>
      <c r="O7806" s="181"/>
      <c r="P7806" s="181"/>
    </row>
    <row r="7807">
      <c r="B7807" s="292"/>
      <c r="C7807" s="181"/>
      <c r="D7807" s="181"/>
      <c r="E7807" s="181"/>
      <c r="F7807" s="181"/>
      <c r="G7807" s="181"/>
      <c r="H7807" s="181"/>
      <c r="I7807" s="181"/>
      <c r="J7807" s="181"/>
      <c r="K7807" s="181"/>
      <c r="L7807" s="181"/>
      <c r="M7807" s="181"/>
      <c r="N7807" s="181"/>
      <c r="O7807" s="181"/>
      <c r="P7807" s="181"/>
    </row>
    <row r="7808">
      <c r="B7808" s="292"/>
      <c r="C7808" s="181"/>
      <c r="D7808" s="181"/>
      <c r="E7808" s="181"/>
      <c r="F7808" s="181"/>
      <c r="G7808" s="181"/>
      <c r="H7808" s="181"/>
      <c r="I7808" s="181"/>
      <c r="J7808" s="181"/>
      <c r="K7808" s="181"/>
      <c r="L7808" s="181"/>
      <c r="M7808" s="181"/>
      <c r="N7808" s="181"/>
      <c r="O7808" s="181"/>
      <c r="P7808" s="181"/>
    </row>
    <row r="7809">
      <c r="B7809" s="292"/>
      <c r="C7809" s="181"/>
      <c r="D7809" s="181"/>
      <c r="E7809" s="181"/>
      <c r="F7809" s="181"/>
      <c r="G7809" s="181"/>
      <c r="H7809" s="181"/>
      <c r="I7809" s="181"/>
      <c r="J7809" s="181"/>
      <c r="K7809" s="181"/>
      <c r="L7809" s="181"/>
      <c r="M7809" s="181"/>
      <c r="N7809" s="181"/>
      <c r="O7809" s="181"/>
      <c r="P7809" s="181"/>
    </row>
    <row r="7810">
      <c r="B7810" s="292"/>
      <c r="C7810" s="181"/>
      <c r="D7810" s="181"/>
      <c r="E7810" s="181"/>
      <c r="F7810" s="181"/>
      <c r="G7810" s="181"/>
      <c r="H7810" s="181"/>
      <c r="I7810" s="181"/>
      <c r="J7810" s="181"/>
      <c r="K7810" s="181"/>
      <c r="L7810" s="181"/>
      <c r="M7810" s="181"/>
      <c r="N7810" s="181"/>
      <c r="O7810" s="181"/>
      <c r="P7810" s="181"/>
    </row>
    <row r="7811">
      <c r="B7811" s="292"/>
      <c r="C7811" s="181"/>
      <c r="D7811" s="181"/>
      <c r="E7811" s="181"/>
      <c r="F7811" s="181"/>
      <c r="G7811" s="181"/>
      <c r="H7811" s="181"/>
      <c r="I7811" s="181"/>
      <c r="J7811" s="181"/>
      <c r="K7811" s="181"/>
      <c r="L7811" s="181"/>
      <c r="M7811" s="181"/>
      <c r="N7811" s="181"/>
      <c r="O7811" s="181"/>
      <c r="P7811" s="181"/>
    </row>
    <row r="7812">
      <c r="B7812" s="292"/>
      <c r="C7812" s="181"/>
      <c r="D7812" s="181"/>
      <c r="E7812" s="181"/>
      <c r="F7812" s="181"/>
      <c r="G7812" s="181"/>
      <c r="H7812" s="181"/>
      <c r="I7812" s="181"/>
      <c r="J7812" s="181"/>
      <c r="K7812" s="181"/>
      <c r="L7812" s="181"/>
      <c r="M7812" s="181"/>
      <c r="N7812" s="181"/>
      <c r="O7812" s="181"/>
      <c r="P7812" s="181"/>
    </row>
    <row r="7813">
      <c r="B7813" s="292"/>
      <c r="C7813" s="181"/>
      <c r="D7813" s="181"/>
      <c r="E7813" s="181"/>
      <c r="F7813" s="181"/>
      <c r="G7813" s="181"/>
      <c r="H7813" s="181"/>
      <c r="I7813" s="181"/>
      <c r="J7813" s="181"/>
      <c r="K7813" s="181"/>
      <c r="L7813" s="181"/>
      <c r="M7813" s="181"/>
      <c r="N7813" s="181"/>
      <c r="O7813" s="181"/>
      <c r="P7813" s="181"/>
    </row>
    <row r="7814">
      <c r="B7814" s="292"/>
      <c r="C7814" s="181"/>
      <c r="D7814" s="181"/>
      <c r="E7814" s="181"/>
      <c r="F7814" s="181"/>
      <c r="G7814" s="181"/>
      <c r="H7814" s="181"/>
      <c r="I7814" s="181"/>
      <c r="J7814" s="181"/>
      <c r="K7814" s="181"/>
      <c r="L7814" s="181"/>
      <c r="M7814" s="181"/>
      <c r="N7814" s="181"/>
      <c r="O7814" s="181"/>
      <c r="P7814" s="181"/>
    </row>
    <row r="7815">
      <c r="B7815" s="292"/>
      <c r="C7815" s="181"/>
      <c r="D7815" s="181"/>
      <c r="E7815" s="181"/>
      <c r="F7815" s="181"/>
      <c r="G7815" s="181"/>
      <c r="H7815" s="181"/>
      <c r="I7815" s="181"/>
      <c r="J7815" s="181"/>
      <c r="K7815" s="181"/>
      <c r="L7815" s="181"/>
      <c r="M7815" s="181"/>
      <c r="N7815" s="181"/>
      <c r="O7815" s="181"/>
      <c r="P7815" s="181"/>
    </row>
    <row r="7816">
      <c r="B7816" s="292"/>
      <c r="C7816" s="181"/>
      <c r="D7816" s="181"/>
      <c r="E7816" s="181"/>
      <c r="F7816" s="181"/>
      <c r="G7816" s="181"/>
      <c r="H7816" s="181"/>
      <c r="I7816" s="181"/>
      <c r="J7816" s="181"/>
      <c r="K7816" s="181"/>
      <c r="L7816" s="181"/>
      <c r="M7816" s="181"/>
      <c r="N7816" s="181"/>
      <c r="O7816" s="181"/>
      <c r="P7816" s="181"/>
    </row>
    <row r="7817">
      <c r="B7817" s="292"/>
      <c r="C7817" s="181"/>
      <c r="D7817" s="181"/>
      <c r="E7817" s="181"/>
      <c r="F7817" s="181"/>
      <c r="G7817" s="181"/>
      <c r="H7817" s="181"/>
      <c r="I7817" s="181"/>
      <c r="J7817" s="181"/>
      <c r="K7817" s="181"/>
      <c r="L7817" s="181"/>
      <c r="M7817" s="181"/>
      <c r="N7817" s="181"/>
      <c r="O7817" s="181"/>
      <c r="P7817" s="181"/>
    </row>
    <row r="7818">
      <c r="B7818" s="292"/>
      <c r="C7818" s="181"/>
      <c r="D7818" s="181"/>
      <c r="E7818" s="181"/>
      <c r="F7818" s="181"/>
      <c r="G7818" s="181"/>
      <c r="H7818" s="181"/>
      <c r="I7818" s="181"/>
      <c r="J7818" s="181"/>
      <c r="K7818" s="181"/>
      <c r="L7818" s="181"/>
      <c r="M7818" s="181"/>
      <c r="N7818" s="181"/>
      <c r="O7818" s="181"/>
      <c r="P7818" s="181"/>
    </row>
    <row r="7819">
      <c r="B7819" s="292"/>
      <c r="C7819" s="181"/>
      <c r="D7819" s="181"/>
      <c r="E7819" s="181"/>
      <c r="F7819" s="181"/>
      <c r="G7819" s="181"/>
      <c r="H7819" s="181"/>
      <c r="I7819" s="181"/>
      <c r="J7819" s="181"/>
      <c r="K7819" s="181"/>
      <c r="L7819" s="181"/>
      <c r="M7819" s="181"/>
      <c r="N7819" s="181"/>
      <c r="O7819" s="181"/>
      <c r="P7819" s="181"/>
    </row>
    <row r="7820">
      <c r="B7820" s="292"/>
      <c r="C7820" s="181"/>
      <c r="D7820" s="181"/>
      <c r="E7820" s="181"/>
      <c r="F7820" s="181"/>
      <c r="G7820" s="181"/>
      <c r="H7820" s="181"/>
      <c r="I7820" s="181"/>
      <c r="J7820" s="181"/>
      <c r="K7820" s="181"/>
      <c r="L7820" s="181"/>
      <c r="M7820" s="181"/>
      <c r="N7820" s="181"/>
      <c r="O7820" s="181"/>
      <c r="P7820" s="181"/>
    </row>
    <row r="7821">
      <c r="B7821" s="292"/>
      <c r="C7821" s="181"/>
      <c r="D7821" s="181"/>
      <c r="E7821" s="181"/>
      <c r="F7821" s="181"/>
      <c r="G7821" s="181"/>
      <c r="H7821" s="181"/>
      <c r="I7821" s="181"/>
      <c r="J7821" s="181"/>
      <c r="K7821" s="181"/>
      <c r="L7821" s="181"/>
      <c r="M7821" s="181"/>
      <c r="N7821" s="181"/>
      <c r="O7821" s="181"/>
      <c r="P7821" s="181"/>
    </row>
    <row r="7822">
      <c r="B7822" s="292"/>
      <c r="C7822" s="181"/>
      <c r="D7822" s="181"/>
      <c r="E7822" s="181"/>
      <c r="F7822" s="181"/>
      <c r="G7822" s="181"/>
      <c r="H7822" s="181"/>
      <c r="I7822" s="181"/>
      <c r="J7822" s="181"/>
      <c r="K7822" s="181"/>
      <c r="L7822" s="181"/>
      <c r="M7822" s="181"/>
      <c r="N7822" s="181"/>
      <c r="O7822" s="181"/>
      <c r="P7822" s="181"/>
    </row>
    <row r="7823">
      <c r="B7823" s="292"/>
      <c r="C7823" s="181"/>
      <c r="D7823" s="181"/>
      <c r="E7823" s="181"/>
      <c r="F7823" s="181"/>
      <c r="G7823" s="181"/>
      <c r="H7823" s="181"/>
      <c r="I7823" s="181"/>
      <c r="J7823" s="181"/>
      <c r="K7823" s="181"/>
      <c r="L7823" s="181"/>
      <c r="M7823" s="181"/>
      <c r="N7823" s="181"/>
      <c r="O7823" s="181"/>
      <c r="P7823" s="181"/>
    </row>
    <row r="7824">
      <c r="B7824" s="292"/>
      <c r="C7824" s="181"/>
      <c r="D7824" s="181"/>
      <c r="E7824" s="181"/>
      <c r="F7824" s="181"/>
      <c r="G7824" s="181"/>
      <c r="H7824" s="181"/>
      <c r="I7824" s="181"/>
      <c r="J7824" s="181"/>
      <c r="K7824" s="181"/>
      <c r="L7824" s="181"/>
      <c r="M7824" s="181"/>
      <c r="N7824" s="181"/>
      <c r="O7824" s="181"/>
      <c r="P7824" s="181"/>
    </row>
    <row r="7825">
      <c r="B7825" s="292"/>
      <c r="C7825" s="181"/>
      <c r="D7825" s="181"/>
      <c r="E7825" s="181"/>
      <c r="F7825" s="181"/>
      <c r="G7825" s="181"/>
      <c r="H7825" s="181"/>
      <c r="I7825" s="181"/>
      <c r="J7825" s="181"/>
      <c r="K7825" s="181"/>
      <c r="L7825" s="181"/>
      <c r="M7825" s="181"/>
      <c r="N7825" s="181"/>
      <c r="O7825" s="181"/>
      <c r="P7825" s="181"/>
    </row>
    <row r="7826">
      <c r="B7826" s="292"/>
      <c r="C7826" s="181"/>
      <c r="D7826" s="181"/>
      <c r="E7826" s="181"/>
      <c r="F7826" s="181"/>
      <c r="G7826" s="181"/>
      <c r="H7826" s="181"/>
      <c r="I7826" s="181"/>
      <c r="J7826" s="181"/>
      <c r="K7826" s="181"/>
      <c r="L7826" s="181"/>
      <c r="M7826" s="181"/>
      <c r="N7826" s="181"/>
      <c r="O7826" s="181"/>
      <c r="P7826" s="181"/>
    </row>
    <row r="7827">
      <c r="B7827" s="292"/>
      <c r="C7827" s="181"/>
      <c r="D7827" s="181"/>
      <c r="E7827" s="181"/>
      <c r="F7827" s="181"/>
      <c r="G7827" s="181"/>
      <c r="H7827" s="181"/>
      <c r="I7827" s="181"/>
      <c r="J7827" s="181"/>
      <c r="K7827" s="181"/>
      <c r="L7827" s="181"/>
      <c r="M7827" s="181"/>
      <c r="N7827" s="181"/>
      <c r="O7827" s="181"/>
      <c r="P7827" s="181"/>
    </row>
    <row r="7828">
      <c r="B7828" s="292"/>
      <c r="C7828" s="181"/>
      <c r="D7828" s="181"/>
      <c r="E7828" s="181"/>
      <c r="F7828" s="181"/>
      <c r="G7828" s="181"/>
      <c r="H7828" s="181"/>
      <c r="I7828" s="181"/>
      <c r="J7828" s="181"/>
      <c r="K7828" s="181"/>
      <c r="L7828" s="181"/>
      <c r="M7828" s="181"/>
      <c r="N7828" s="181"/>
      <c r="O7828" s="181"/>
      <c r="P7828" s="181"/>
    </row>
    <row r="7829">
      <c r="B7829" s="292"/>
      <c r="C7829" s="181"/>
      <c r="D7829" s="181"/>
      <c r="E7829" s="181"/>
      <c r="F7829" s="181"/>
      <c r="G7829" s="181"/>
      <c r="H7829" s="181"/>
      <c r="I7829" s="181"/>
      <c r="J7829" s="181"/>
      <c r="K7829" s="181"/>
      <c r="L7829" s="181"/>
      <c r="M7829" s="181"/>
      <c r="N7829" s="181"/>
      <c r="O7829" s="181"/>
      <c r="P7829" s="181"/>
    </row>
    <row r="7830">
      <c r="B7830" s="292"/>
      <c r="C7830" s="181"/>
      <c r="D7830" s="181"/>
      <c r="E7830" s="181"/>
      <c r="F7830" s="181"/>
      <c r="G7830" s="181"/>
      <c r="H7830" s="181"/>
      <c r="I7830" s="181"/>
      <c r="J7830" s="181"/>
      <c r="K7830" s="181"/>
      <c r="L7830" s="181"/>
      <c r="M7830" s="181"/>
      <c r="N7830" s="181"/>
      <c r="O7830" s="181"/>
      <c r="P7830" s="181"/>
    </row>
    <row r="7831">
      <c r="B7831" s="292"/>
      <c r="C7831" s="181"/>
      <c r="D7831" s="181"/>
      <c r="E7831" s="181"/>
      <c r="F7831" s="181"/>
      <c r="G7831" s="181"/>
      <c r="H7831" s="181"/>
      <c r="I7831" s="181"/>
      <c r="J7831" s="181"/>
      <c r="K7831" s="181"/>
      <c r="L7831" s="181"/>
      <c r="M7831" s="181"/>
      <c r="N7831" s="181"/>
      <c r="O7831" s="181"/>
      <c r="P7831" s="181"/>
    </row>
    <row r="7832">
      <c r="B7832" s="292"/>
      <c r="C7832" s="181"/>
      <c r="D7832" s="181"/>
      <c r="E7832" s="181"/>
      <c r="F7832" s="181"/>
      <c r="G7832" s="181"/>
      <c r="H7832" s="181"/>
      <c r="I7832" s="181"/>
      <c r="J7832" s="181"/>
      <c r="K7832" s="181"/>
      <c r="L7832" s="181"/>
      <c r="M7832" s="181"/>
      <c r="N7832" s="181"/>
      <c r="O7832" s="181"/>
      <c r="P7832" s="181"/>
    </row>
    <row r="7833">
      <c r="B7833" s="292"/>
      <c r="C7833" s="181"/>
      <c r="D7833" s="181"/>
      <c r="E7833" s="181"/>
      <c r="F7833" s="181"/>
      <c r="G7833" s="181"/>
      <c r="H7833" s="181"/>
      <c r="I7833" s="181"/>
      <c r="J7833" s="181"/>
      <c r="K7833" s="181"/>
      <c r="L7833" s="181"/>
      <c r="M7833" s="181"/>
      <c r="N7833" s="181"/>
      <c r="O7833" s="181"/>
      <c r="P7833" s="181"/>
    </row>
    <row r="7834">
      <c r="B7834" s="292"/>
      <c r="C7834" s="181"/>
      <c r="D7834" s="181"/>
      <c r="E7834" s="181"/>
      <c r="F7834" s="181"/>
      <c r="G7834" s="181"/>
      <c r="H7834" s="181"/>
      <c r="I7834" s="181"/>
      <c r="J7834" s="181"/>
      <c r="K7834" s="181"/>
      <c r="L7834" s="181"/>
      <c r="M7834" s="181"/>
      <c r="N7834" s="181"/>
      <c r="O7834" s="181"/>
      <c r="P7834" s="181"/>
    </row>
    <row r="7835">
      <c r="B7835" s="292"/>
      <c r="C7835" s="181"/>
      <c r="D7835" s="181"/>
      <c r="E7835" s="181"/>
      <c r="F7835" s="181"/>
      <c r="G7835" s="181"/>
      <c r="H7835" s="181"/>
      <c r="I7835" s="181"/>
      <c r="J7835" s="181"/>
      <c r="K7835" s="181"/>
      <c r="L7835" s="181"/>
      <c r="M7835" s="181"/>
      <c r="N7835" s="181"/>
      <c r="O7835" s="181"/>
      <c r="P7835" s="181"/>
    </row>
    <row r="7836">
      <c r="B7836" s="292"/>
      <c r="C7836" s="181"/>
      <c r="D7836" s="181"/>
      <c r="E7836" s="181"/>
      <c r="F7836" s="181"/>
      <c r="G7836" s="181"/>
      <c r="H7836" s="181"/>
      <c r="I7836" s="181"/>
      <c r="J7836" s="181"/>
      <c r="K7836" s="181"/>
      <c r="L7836" s="181"/>
      <c r="M7836" s="181"/>
      <c r="N7836" s="181"/>
      <c r="O7836" s="181"/>
      <c r="P7836" s="181"/>
    </row>
    <row r="7837">
      <c r="B7837" s="292"/>
      <c r="C7837" s="181"/>
      <c r="D7837" s="181"/>
      <c r="E7837" s="181"/>
      <c r="F7837" s="181"/>
      <c r="G7837" s="181"/>
      <c r="H7837" s="181"/>
      <c r="I7837" s="181"/>
      <c r="J7837" s="181"/>
      <c r="K7837" s="181"/>
      <c r="L7837" s="181"/>
      <c r="M7837" s="181"/>
      <c r="N7837" s="181"/>
      <c r="O7837" s="181"/>
      <c r="P7837" s="181"/>
    </row>
    <row r="7838">
      <c r="B7838" s="292"/>
      <c r="C7838" s="181"/>
      <c r="D7838" s="181"/>
      <c r="E7838" s="181"/>
      <c r="F7838" s="181"/>
      <c r="G7838" s="181"/>
      <c r="H7838" s="181"/>
      <c r="I7838" s="181"/>
      <c r="J7838" s="181"/>
      <c r="K7838" s="181"/>
      <c r="L7838" s="181"/>
      <c r="M7838" s="181"/>
      <c r="N7838" s="181"/>
      <c r="O7838" s="181"/>
      <c r="P7838" s="181"/>
    </row>
    <row r="7839">
      <c r="B7839" s="292"/>
      <c r="C7839" s="181"/>
      <c r="D7839" s="181"/>
      <c r="E7839" s="181"/>
      <c r="F7839" s="181"/>
      <c r="G7839" s="181"/>
      <c r="H7839" s="181"/>
      <c r="I7839" s="181"/>
      <c r="J7839" s="181"/>
      <c r="K7839" s="181"/>
      <c r="L7839" s="181"/>
      <c r="M7839" s="181"/>
      <c r="N7839" s="181"/>
      <c r="O7839" s="181"/>
      <c r="P7839" s="181"/>
    </row>
    <row r="7840">
      <c r="B7840" s="292"/>
      <c r="C7840" s="181"/>
      <c r="D7840" s="181"/>
      <c r="E7840" s="181"/>
      <c r="F7840" s="181"/>
      <c r="G7840" s="181"/>
      <c r="H7840" s="181"/>
      <c r="I7840" s="181"/>
      <c r="J7840" s="181"/>
      <c r="K7840" s="181"/>
      <c r="L7840" s="181"/>
      <c r="M7840" s="181"/>
      <c r="N7840" s="181"/>
      <c r="O7840" s="181"/>
      <c r="P7840" s="181"/>
    </row>
    <row r="7841">
      <c r="B7841" s="292"/>
      <c r="C7841" s="181"/>
      <c r="D7841" s="181"/>
      <c r="E7841" s="181"/>
      <c r="F7841" s="181"/>
      <c r="G7841" s="181"/>
      <c r="H7841" s="181"/>
      <c r="I7841" s="181"/>
      <c r="J7841" s="181"/>
      <c r="K7841" s="181"/>
      <c r="L7841" s="181"/>
      <c r="M7841" s="181"/>
      <c r="N7841" s="181"/>
      <c r="O7841" s="181"/>
      <c r="P7841" s="181"/>
    </row>
    <row r="7842">
      <c r="B7842" s="292"/>
      <c r="C7842" s="181"/>
      <c r="D7842" s="181"/>
      <c r="E7842" s="181"/>
      <c r="F7842" s="181"/>
      <c r="G7842" s="181"/>
      <c r="H7842" s="181"/>
      <c r="I7842" s="181"/>
      <c r="J7842" s="181"/>
      <c r="K7842" s="181"/>
      <c r="L7842" s="181"/>
      <c r="M7842" s="181"/>
      <c r="N7842" s="181"/>
      <c r="O7842" s="181"/>
      <c r="P7842" s="181"/>
    </row>
    <row r="7843">
      <c r="B7843" s="292"/>
      <c r="C7843" s="181"/>
      <c r="D7843" s="181"/>
      <c r="E7843" s="181"/>
      <c r="F7843" s="181"/>
      <c r="G7843" s="181"/>
      <c r="H7843" s="181"/>
      <c r="I7843" s="181"/>
      <c r="J7843" s="181"/>
      <c r="K7843" s="181"/>
      <c r="L7843" s="181"/>
      <c r="M7843" s="181"/>
      <c r="N7843" s="181"/>
      <c r="O7843" s="181"/>
      <c r="P7843" s="181"/>
    </row>
    <row r="7844">
      <c r="B7844" s="292"/>
      <c r="C7844" s="181"/>
      <c r="D7844" s="181"/>
      <c r="E7844" s="181"/>
      <c r="F7844" s="181"/>
      <c r="G7844" s="181"/>
      <c r="H7844" s="181"/>
      <c r="I7844" s="181"/>
      <c r="J7844" s="181"/>
      <c r="K7844" s="181"/>
      <c r="L7844" s="181"/>
      <c r="M7844" s="181"/>
      <c r="N7844" s="181"/>
      <c r="O7844" s="181"/>
      <c r="P7844" s="181"/>
    </row>
    <row r="7845">
      <c r="B7845" s="292"/>
      <c r="C7845" s="181"/>
      <c r="D7845" s="181"/>
      <c r="E7845" s="181"/>
      <c r="F7845" s="181"/>
      <c r="G7845" s="181"/>
      <c r="H7845" s="181"/>
      <c r="I7845" s="181"/>
      <c r="J7845" s="181"/>
      <c r="K7845" s="181"/>
      <c r="L7845" s="181"/>
      <c r="M7845" s="181"/>
      <c r="N7845" s="181"/>
      <c r="O7845" s="181"/>
      <c r="P7845" s="181"/>
    </row>
    <row r="7846">
      <c r="B7846" s="292"/>
      <c r="C7846" s="181"/>
      <c r="D7846" s="181"/>
      <c r="E7846" s="181"/>
      <c r="F7846" s="181"/>
      <c r="G7846" s="181"/>
      <c r="H7846" s="181"/>
      <c r="I7846" s="181"/>
      <c r="J7846" s="181"/>
      <c r="K7846" s="181"/>
      <c r="L7846" s="181"/>
      <c r="M7846" s="181"/>
      <c r="N7846" s="181"/>
      <c r="O7846" s="181"/>
      <c r="P7846" s="181"/>
    </row>
    <row r="7847">
      <c r="B7847" s="292"/>
      <c r="C7847" s="181"/>
      <c r="D7847" s="181"/>
      <c r="E7847" s="181"/>
      <c r="F7847" s="181"/>
      <c r="G7847" s="181"/>
      <c r="H7847" s="181"/>
      <c r="I7847" s="181"/>
      <c r="J7847" s="181"/>
      <c r="K7847" s="181"/>
      <c r="L7847" s="181"/>
      <c r="M7847" s="181"/>
      <c r="N7847" s="181"/>
      <c r="O7847" s="181"/>
      <c r="P7847" s="181"/>
    </row>
    <row r="7848">
      <c r="B7848" s="292"/>
      <c r="C7848" s="181"/>
      <c r="D7848" s="181"/>
      <c r="E7848" s="181"/>
      <c r="F7848" s="181"/>
      <c r="G7848" s="181"/>
      <c r="H7848" s="181"/>
      <c r="I7848" s="181"/>
      <c r="J7848" s="181"/>
      <c r="K7848" s="181"/>
      <c r="L7848" s="181"/>
      <c r="M7848" s="181"/>
      <c r="N7848" s="181"/>
      <c r="O7848" s="181"/>
      <c r="P7848" s="181"/>
    </row>
    <row r="7849">
      <c r="B7849" s="292"/>
      <c r="C7849" s="181"/>
      <c r="D7849" s="181"/>
      <c r="E7849" s="181"/>
      <c r="F7849" s="181"/>
      <c r="G7849" s="181"/>
      <c r="H7849" s="181"/>
      <c r="I7849" s="181"/>
      <c r="J7849" s="181"/>
      <c r="K7849" s="181"/>
      <c r="L7849" s="181"/>
      <c r="M7849" s="181"/>
      <c r="N7849" s="181"/>
      <c r="O7849" s="181"/>
      <c r="P7849" s="181"/>
    </row>
    <row r="7850">
      <c r="B7850" s="292"/>
      <c r="C7850" s="181"/>
      <c r="D7850" s="181"/>
      <c r="E7850" s="181"/>
      <c r="F7850" s="181"/>
      <c r="G7850" s="181"/>
      <c r="H7850" s="181"/>
      <c r="I7850" s="181"/>
      <c r="J7850" s="181"/>
      <c r="K7850" s="181"/>
      <c r="L7850" s="181"/>
      <c r="M7850" s="181"/>
      <c r="N7850" s="181"/>
      <c r="O7850" s="181"/>
      <c r="P7850" s="181"/>
    </row>
    <row r="7851">
      <c r="B7851" s="292"/>
      <c r="C7851" s="181"/>
      <c r="D7851" s="181"/>
      <c r="E7851" s="181"/>
      <c r="F7851" s="181"/>
      <c r="G7851" s="181"/>
      <c r="H7851" s="181"/>
      <c r="I7851" s="181"/>
      <c r="J7851" s="181"/>
      <c r="K7851" s="181"/>
      <c r="L7851" s="181"/>
      <c r="M7851" s="181"/>
      <c r="N7851" s="181"/>
      <c r="O7851" s="181"/>
      <c r="P7851" s="181"/>
    </row>
    <row r="7852">
      <c r="B7852" s="292"/>
      <c r="C7852" s="181"/>
      <c r="D7852" s="181"/>
      <c r="E7852" s="181"/>
      <c r="F7852" s="181"/>
      <c r="G7852" s="181"/>
      <c r="H7852" s="181"/>
      <c r="I7852" s="181"/>
      <c r="J7852" s="181"/>
      <c r="K7852" s="181"/>
      <c r="L7852" s="181"/>
      <c r="M7852" s="181"/>
      <c r="N7852" s="181"/>
      <c r="O7852" s="181"/>
      <c r="P7852" s="181"/>
    </row>
    <row r="7853">
      <c r="B7853" s="292"/>
      <c r="C7853" s="181"/>
      <c r="D7853" s="181"/>
      <c r="E7853" s="181"/>
      <c r="F7853" s="181"/>
      <c r="G7853" s="181"/>
      <c r="H7853" s="181"/>
      <c r="I7853" s="181"/>
      <c r="J7853" s="181"/>
      <c r="K7853" s="181"/>
      <c r="L7853" s="181"/>
      <c r="M7853" s="181"/>
      <c r="N7853" s="181"/>
      <c r="O7853" s="181"/>
      <c r="P7853" s="181"/>
    </row>
    <row r="7854">
      <c r="B7854" s="292"/>
      <c r="C7854" s="181"/>
      <c r="D7854" s="181"/>
      <c r="E7854" s="181"/>
      <c r="F7854" s="181"/>
      <c r="G7854" s="181"/>
      <c r="H7854" s="181"/>
      <c r="I7854" s="181"/>
      <c r="J7854" s="181"/>
      <c r="K7854" s="181"/>
      <c r="L7854" s="181"/>
      <c r="M7854" s="181"/>
      <c r="N7854" s="181"/>
      <c r="O7854" s="181"/>
      <c r="P7854" s="181"/>
    </row>
    <row r="7855">
      <c r="B7855" s="292"/>
      <c r="C7855" s="181"/>
      <c r="D7855" s="181"/>
      <c r="E7855" s="181"/>
      <c r="F7855" s="181"/>
      <c r="G7855" s="181"/>
      <c r="H7855" s="181"/>
      <c r="I7855" s="181"/>
      <c r="J7855" s="181"/>
      <c r="K7855" s="181"/>
      <c r="L7855" s="181"/>
      <c r="M7855" s="181"/>
      <c r="N7855" s="181"/>
      <c r="O7855" s="181"/>
      <c r="P7855" s="181"/>
    </row>
    <row r="7856">
      <c r="B7856" s="292"/>
      <c r="C7856" s="181"/>
      <c r="D7856" s="181"/>
      <c r="E7856" s="181"/>
      <c r="F7856" s="181"/>
      <c r="G7856" s="181"/>
      <c r="H7856" s="181"/>
      <c r="I7856" s="181"/>
      <c r="J7856" s="181"/>
      <c r="K7856" s="181"/>
      <c r="L7856" s="181"/>
      <c r="M7856" s="181"/>
      <c r="N7856" s="181"/>
      <c r="O7856" s="181"/>
      <c r="P7856" s="181"/>
    </row>
    <row r="7857">
      <c r="B7857" s="292"/>
      <c r="C7857" s="181"/>
      <c r="D7857" s="181"/>
      <c r="E7857" s="181"/>
      <c r="F7857" s="181"/>
      <c r="G7857" s="181"/>
      <c r="H7857" s="181"/>
      <c r="I7857" s="181"/>
      <c r="J7857" s="181"/>
      <c r="K7857" s="181"/>
      <c r="L7857" s="181"/>
      <c r="M7857" s="181"/>
      <c r="N7857" s="181"/>
      <c r="O7857" s="181"/>
      <c r="P7857" s="181"/>
    </row>
    <row r="7858">
      <c r="B7858" s="292"/>
      <c r="C7858" s="181"/>
      <c r="D7858" s="181"/>
      <c r="E7858" s="181"/>
      <c r="F7858" s="181"/>
      <c r="G7858" s="181"/>
      <c r="H7858" s="181"/>
      <c r="I7858" s="181"/>
      <c r="J7858" s="181"/>
      <c r="K7858" s="181"/>
      <c r="L7858" s="181"/>
      <c r="M7858" s="181"/>
      <c r="N7858" s="181"/>
      <c r="O7858" s="181"/>
      <c r="P7858" s="181"/>
    </row>
    <row r="7859">
      <c r="B7859" s="292"/>
      <c r="C7859" s="181"/>
      <c r="D7859" s="181"/>
      <c r="E7859" s="181"/>
      <c r="F7859" s="181"/>
      <c r="G7859" s="181"/>
      <c r="H7859" s="181"/>
      <c r="I7859" s="181"/>
      <c r="J7859" s="181"/>
      <c r="K7859" s="181"/>
      <c r="L7859" s="181"/>
      <c r="M7859" s="181"/>
      <c r="N7859" s="181"/>
      <c r="O7859" s="181"/>
      <c r="P7859" s="181"/>
    </row>
    <row r="7860">
      <c r="B7860" s="292"/>
      <c r="C7860" s="181"/>
      <c r="D7860" s="181"/>
      <c r="E7860" s="181"/>
      <c r="F7860" s="181"/>
      <c r="G7860" s="181"/>
      <c r="H7860" s="181"/>
      <c r="I7860" s="181"/>
      <c r="J7860" s="181"/>
      <c r="K7860" s="181"/>
      <c r="L7860" s="181"/>
      <c r="M7860" s="181"/>
      <c r="N7860" s="181"/>
      <c r="O7860" s="181"/>
      <c r="P7860" s="181"/>
    </row>
    <row r="7861">
      <c r="B7861" s="292"/>
      <c r="C7861" s="181"/>
      <c r="D7861" s="181"/>
      <c r="E7861" s="181"/>
      <c r="F7861" s="181"/>
      <c r="G7861" s="181"/>
      <c r="H7861" s="181"/>
      <c r="I7861" s="181"/>
      <c r="J7861" s="181"/>
      <c r="K7861" s="181"/>
      <c r="L7861" s="181"/>
      <c r="M7861" s="181"/>
      <c r="N7861" s="181"/>
      <c r="O7861" s="181"/>
      <c r="P7861" s="181"/>
    </row>
    <row r="7862">
      <c r="B7862" s="292"/>
      <c r="C7862" s="181"/>
      <c r="D7862" s="181"/>
      <c r="E7862" s="181"/>
      <c r="F7862" s="181"/>
      <c r="G7862" s="181"/>
      <c r="H7862" s="181"/>
      <c r="I7862" s="181"/>
      <c r="J7862" s="181"/>
      <c r="K7862" s="181"/>
      <c r="L7862" s="181"/>
      <c r="M7862" s="181"/>
      <c r="N7862" s="181"/>
      <c r="O7862" s="181"/>
      <c r="P7862" s="181"/>
    </row>
    <row r="7863">
      <c r="B7863" s="292"/>
      <c r="C7863" s="181"/>
      <c r="D7863" s="181"/>
      <c r="E7863" s="181"/>
      <c r="F7863" s="181"/>
      <c r="G7863" s="181"/>
      <c r="H7863" s="181"/>
      <c r="I7863" s="181"/>
      <c r="J7863" s="181"/>
      <c r="K7863" s="181"/>
      <c r="L7863" s="181"/>
      <c r="M7863" s="181"/>
      <c r="N7863" s="181"/>
      <c r="O7863" s="181"/>
      <c r="P7863" s="181"/>
    </row>
    <row r="7864">
      <c r="B7864" s="292"/>
      <c r="C7864" s="181"/>
      <c r="D7864" s="181"/>
      <c r="E7864" s="181"/>
      <c r="F7864" s="181"/>
      <c r="G7864" s="181"/>
      <c r="H7864" s="181"/>
      <c r="I7864" s="181"/>
      <c r="J7864" s="181"/>
      <c r="K7864" s="181"/>
      <c r="L7864" s="181"/>
      <c r="M7864" s="181"/>
      <c r="N7864" s="181"/>
      <c r="O7864" s="181"/>
      <c r="P7864" s="181"/>
    </row>
    <row r="7865">
      <c r="B7865" s="292"/>
      <c r="C7865" s="181"/>
      <c r="D7865" s="181"/>
      <c r="E7865" s="181"/>
      <c r="F7865" s="181"/>
      <c r="G7865" s="181"/>
      <c r="H7865" s="181"/>
      <c r="I7865" s="181"/>
      <c r="J7865" s="181"/>
      <c r="K7865" s="181"/>
      <c r="L7865" s="181"/>
      <c r="M7865" s="181"/>
      <c r="N7865" s="181"/>
      <c r="O7865" s="181"/>
      <c r="P7865" s="181"/>
    </row>
    <row r="7866">
      <c r="B7866" s="292"/>
      <c r="C7866" s="181"/>
      <c r="D7866" s="181"/>
      <c r="E7866" s="181"/>
      <c r="F7866" s="181"/>
      <c r="G7866" s="181"/>
      <c r="H7866" s="181"/>
      <c r="I7866" s="181"/>
      <c r="J7866" s="181"/>
      <c r="K7866" s="181"/>
      <c r="L7866" s="181"/>
      <c r="M7866" s="181"/>
      <c r="N7866" s="181"/>
      <c r="O7866" s="181"/>
      <c r="P7866" s="181"/>
    </row>
    <row r="7867">
      <c r="B7867" s="292"/>
      <c r="C7867" s="181"/>
      <c r="D7867" s="181"/>
      <c r="E7867" s="181"/>
      <c r="F7867" s="181"/>
      <c r="G7867" s="181"/>
      <c r="H7867" s="181"/>
      <c r="I7867" s="181"/>
      <c r="J7867" s="181"/>
      <c r="K7867" s="181"/>
      <c r="L7867" s="181"/>
      <c r="M7867" s="181"/>
      <c r="N7867" s="181"/>
      <c r="O7867" s="181"/>
      <c r="P7867" s="181"/>
    </row>
    <row r="7868">
      <c r="B7868" s="292"/>
      <c r="C7868" s="181"/>
      <c r="D7868" s="181"/>
      <c r="E7868" s="181"/>
      <c r="F7868" s="181"/>
      <c r="G7868" s="181"/>
      <c r="H7868" s="181"/>
      <c r="I7868" s="181"/>
      <c r="J7868" s="181"/>
      <c r="K7868" s="181"/>
      <c r="L7868" s="181"/>
      <c r="M7868" s="181"/>
      <c r="N7868" s="181"/>
      <c r="O7868" s="181"/>
      <c r="P7868" s="181"/>
    </row>
    <row r="7869">
      <c r="B7869" s="292"/>
      <c r="C7869" s="181"/>
      <c r="D7869" s="181"/>
      <c r="E7869" s="181"/>
      <c r="F7869" s="181"/>
      <c r="G7869" s="181"/>
      <c r="H7869" s="181"/>
      <c r="I7869" s="181"/>
      <c r="J7869" s="181"/>
      <c r="K7869" s="181"/>
      <c r="L7869" s="181"/>
      <c r="M7869" s="181"/>
      <c r="N7869" s="181"/>
      <c r="O7869" s="181"/>
      <c r="P7869" s="181"/>
    </row>
    <row r="7870">
      <c r="B7870" s="292"/>
      <c r="C7870" s="181"/>
      <c r="D7870" s="181"/>
      <c r="E7870" s="181"/>
      <c r="F7870" s="181"/>
      <c r="G7870" s="181"/>
      <c r="H7870" s="181"/>
      <c r="I7870" s="181"/>
      <c r="J7870" s="181"/>
      <c r="K7870" s="181"/>
      <c r="L7870" s="181"/>
      <c r="M7870" s="181"/>
      <c r="N7870" s="181"/>
      <c r="O7870" s="181"/>
      <c r="P7870" s="181"/>
    </row>
    <row r="7871">
      <c r="B7871" s="292"/>
      <c r="C7871" s="181"/>
      <c r="D7871" s="181"/>
      <c r="E7871" s="181"/>
      <c r="F7871" s="181"/>
      <c r="G7871" s="181"/>
      <c r="H7871" s="181"/>
      <c r="I7871" s="181"/>
      <c r="J7871" s="181"/>
      <c r="K7871" s="181"/>
      <c r="L7871" s="181"/>
      <c r="M7871" s="181"/>
      <c r="N7871" s="181"/>
      <c r="O7871" s="181"/>
      <c r="P7871" s="181"/>
    </row>
    <row r="7872">
      <c r="B7872" s="292"/>
      <c r="C7872" s="181"/>
      <c r="D7872" s="181"/>
      <c r="E7872" s="181"/>
      <c r="F7872" s="181"/>
      <c r="G7872" s="181"/>
      <c r="H7872" s="181"/>
      <c r="I7872" s="181"/>
      <c r="J7872" s="181"/>
      <c r="K7872" s="181"/>
      <c r="L7872" s="181"/>
      <c r="M7872" s="181"/>
      <c r="N7872" s="181"/>
      <c r="O7872" s="181"/>
      <c r="P7872" s="181"/>
    </row>
    <row r="7873">
      <c r="B7873" s="292"/>
      <c r="C7873" s="181"/>
      <c r="D7873" s="181"/>
      <c r="E7873" s="181"/>
      <c r="F7873" s="181"/>
      <c r="G7873" s="181"/>
      <c r="H7873" s="181"/>
      <c r="I7873" s="181"/>
      <c r="J7873" s="181"/>
      <c r="K7873" s="181"/>
      <c r="L7873" s="181"/>
      <c r="M7873" s="181"/>
      <c r="N7873" s="181"/>
      <c r="O7873" s="181"/>
      <c r="P7873" s="181"/>
    </row>
    <row r="7874">
      <c r="B7874" s="292"/>
      <c r="C7874" s="181"/>
      <c r="D7874" s="181"/>
      <c r="E7874" s="181"/>
      <c r="F7874" s="181"/>
      <c r="G7874" s="181"/>
      <c r="H7874" s="181"/>
      <c r="I7874" s="181"/>
      <c r="J7874" s="181"/>
      <c r="K7874" s="181"/>
      <c r="L7874" s="181"/>
      <c r="M7874" s="181"/>
      <c r="N7874" s="181"/>
      <c r="O7874" s="181"/>
      <c r="P7874" s="181"/>
    </row>
    <row r="7875">
      <c r="B7875" s="292"/>
      <c r="C7875" s="181"/>
      <c r="D7875" s="181"/>
      <c r="E7875" s="181"/>
      <c r="F7875" s="181"/>
      <c r="G7875" s="181"/>
      <c r="H7875" s="181"/>
      <c r="I7875" s="181"/>
      <c r="J7875" s="181"/>
      <c r="K7875" s="181"/>
      <c r="L7875" s="181"/>
      <c r="M7875" s="181"/>
      <c r="N7875" s="181"/>
      <c r="O7875" s="181"/>
      <c r="P7875" s="181"/>
    </row>
    <row r="7876">
      <c r="B7876" s="292"/>
      <c r="C7876" s="181"/>
      <c r="D7876" s="181"/>
      <c r="E7876" s="181"/>
      <c r="F7876" s="181"/>
      <c r="G7876" s="181"/>
      <c r="H7876" s="181"/>
      <c r="I7876" s="181"/>
      <c r="J7876" s="181"/>
      <c r="K7876" s="181"/>
      <c r="L7876" s="181"/>
      <c r="M7876" s="181"/>
      <c r="N7876" s="181"/>
      <c r="O7876" s="181"/>
      <c r="P7876" s="181"/>
    </row>
    <row r="7877">
      <c r="B7877" s="292"/>
      <c r="C7877" s="181"/>
      <c r="D7877" s="181"/>
      <c r="E7877" s="181"/>
      <c r="F7877" s="181"/>
      <c r="G7877" s="181"/>
      <c r="H7877" s="181"/>
      <c r="I7877" s="181"/>
      <c r="J7877" s="181"/>
      <c r="K7877" s="181"/>
      <c r="L7877" s="181"/>
      <c r="M7877" s="181"/>
      <c r="N7877" s="181"/>
      <c r="O7877" s="181"/>
      <c r="P7877" s="181"/>
    </row>
    <row r="7878">
      <c r="B7878" s="292"/>
      <c r="C7878" s="181"/>
      <c r="D7878" s="181"/>
      <c r="E7878" s="181"/>
      <c r="F7878" s="181"/>
      <c r="G7878" s="181"/>
      <c r="H7878" s="181"/>
      <c r="I7878" s="181"/>
      <c r="J7878" s="181"/>
      <c r="K7878" s="181"/>
      <c r="L7878" s="181"/>
      <c r="M7878" s="181"/>
      <c r="N7878" s="181"/>
      <c r="O7878" s="181"/>
      <c r="P7878" s="181"/>
    </row>
    <row r="7879">
      <c r="B7879" s="292"/>
      <c r="C7879" s="181"/>
      <c r="D7879" s="181"/>
      <c r="E7879" s="181"/>
      <c r="F7879" s="181"/>
      <c r="G7879" s="181"/>
      <c r="H7879" s="181"/>
      <c r="I7879" s="181"/>
      <c r="J7879" s="181"/>
      <c r="K7879" s="181"/>
      <c r="L7879" s="181"/>
      <c r="M7879" s="181"/>
      <c r="N7879" s="181"/>
      <c r="O7879" s="181"/>
      <c r="P7879" s="181"/>
    </row>
    <row r="7880">
      <c r="B7880" s="292"/>
      <c r="C7880" s="181"/>
      <c r="D7880" s="181"/>
      <c r="E7880" s="181"/>
      <c r="F7880" s="181"/>
      <c r="G7880" s="181"/>
      <c r="H7880" s="181"/>
      <c r="I7880" s="181"/>
      <c r="J7880" s="181"/>
      <c r="K7880" s="181"/>
      <c r="L7880" s="181"/>
      <c r="M7880" s="181"/>
      <c r="N7880" s="181"/>
      <c r="O7880" s="181"/>
      <c r="P7880" s="181"/>
    </row>
    <row r="7881">
      <c r="B7881" s="292"/>
      <c r="C7881" s="181"/>
      <c r="D7881" s="181"/>
      <c r="E7881" s="181"/>
      <c r="F7881" s="181"/>
      <c r="G7881" s="181"/>
      <c r="H7881" s="181"/>
      <c r="I7881" s="181"/>
      <c r="J7881" s="181"/>
      <c r="K7881" s="181"/>
      <c r="L7881" s="181"/>
      <c r="M7881" s="181"/>
      <c r="N7881" s="181"/>
      <c r="O7881" s="181"/>
      <c r="P7881" s="181"/>
    </row>
    <row r="7882">
      <c r="B7882" s="292"/>
      <c r="C7882" s="181"/>
      <c r="D7882" s="181"/>
      <c r="E7882" s="181"/>
      <c r="F7882" s="181"/>
      <c r="G7882" s="181"/>
      <c r="H7882" s="181"/>
      <c r="I7882" s="181"/>
      <c r="J7882" s="181"/>
      <c r="K7882" s="181"/>
      <c r="L7882" s="181"/>
      <c r="M7882" s="181"/>
      <c r="N7882" s="181"/>
      <c r="O7882" s="181"/>
      <c r="P7882" s="181"/>
    </row>
    <row r="7883">
      <c r="B7883" s="292"/>
      <c r="C7883" s="181"/>
      <c r="D7883" s="181"/>
      <c r="E7883" s="181"/>
      <c r="F7883" s="181"/>
      <c r="G7883" s="181"/>
      <c r="H7883" s="181"/>
      <c r="I7883" s="181"/>
      <c r="J7883" s="181"/>
      <c r="K7883" s="181"/>
      <c r="L7883" s="181"/>
      <c r="M7883" s="181"/>
      <c r="N7883" s="181"/>
      <c r="O7883" s="181"/>
      <c r="P7883" s="181"/>
    </row>
    <row r="7884">
      <c r="B7884" s="292"/>
      <c r="C7884" s="181"/>
      <c r="D7884" s="181"/>
      <c r="E7884" s="181"/>
      <c r="F7884" s="181"/>
      <c r="G7884" s="181"/>
      <c r="H7884" s="181"/>
      <c r="I7884" s="181"/>
      <c r="J7884" s="181"/>
      <c r="K7884" s="181"/>
      <c r="L7884" s="181"/>
      <c r="M7884" s="181"/>
      <c r="N7884" s="181"/>
      <c r="O7884" s="181"/>
      <c r="P7884" s="181"/>
    </row>
    <row r="7885">
      <c r="B7885" s="292"/>
      <c r="C7885" s="181"/>
      <c r="D7885" s="181"/>
      <c r="E7885" s="181"/>
      <c r="F7885" s="181"/>
      <c r="G7885" s="181"/>
      <c r="H7885" s="181"/>
      <c r="I7885" s="181"/>
      <c r="J7885" s="181"/>
      <c r="K7885" s="181"/>
      <c r="L7885" s="181"/>
      <c r="M7885" s="181"/>
      <c r="N7885" s="181"/>
      <c r="O7885" s="181"/>
      <c r="P7885" s="181"/>
    </row>
    <row r="7886">
      <c r="B7886" s="292"/>
      <c r="C7886" s="181"/>
      <c r="D7886" s="181"/>
      <c r="E7886" s="181"/>
      <c r="F7886" s="181"/>
      <c r="G7886" s="181"/>
      <c r="H7886" s="181"/>
      <c r="I7886" s="181"/>
      <c r="J7886" s="181"/>
      <c r="K7886" s="181"/>
      <c r="L7886" s="181"/>
      <c r="M7886" s="181"/>
      <c r="N7886" s="181"/>
      <c r="O7886" s="181"/>
      <c r="P7886" s="181"/>
    </row>
    <row r="7887">
      <c r="B7887" s="292"/>
      <c r="C7887" s="181"/>
      <c r="D7887" s="181"/>
      <c r="E7887" s="181"/>
      <c r="F7887" s="181"/>
      <c r="G7887" s="181"/>
      <c r="H7887" s="181"/>
      <c r="I7887" s="181"/>
      <c r="J7887" s="181"/>
      <c r="K7887" s="181"/>
      <c r="L7887" s="181"/>
      <c r="M7887" s="181"/>
      <c r="N7887" s="181"/>
      <c r="O7887" s="181"/>
      <c r="P7887" s="181"/>
    </row>
    <row r="7888">
      <c r="B7888" s="292"/>
      <c r="C7888" s="181"/>
      <c r="D7888" s="181"/>
      <c r="E7888" s="181"/>
      <c r="F7888" s="181"/>
      <c r="G7888" s="181"/>
      <c r="H7888" s="181"/>
      <c r="I7888" s="181"/>
      <c r="J7888" s="181"/>
      <c r="K7888" s="181"/>
      <c r="L7888" s="181"/>
      <c r="M7888" s="181"/>
      <c r="N7888" s="181"/>
      <c r="O7888" s="181"/>
      <c r="P7888" s="181"/>
    </row>
    <row r="7889">
      <c r="B7889" s="292"/>
      <c r="C7889" s="181"/>
      <c r="D7889" s="181"/>
      <c r="E7889" s="181"/>
      <c r="F7889" s="181"/>
      <c r="G7889" s="181"/>
      <c r="H7889" s="181"/>
      <c r="I7889" s="181"/>
      <c r="J7889" s="181"/>
      <c r="K7889" s="181"/>
      <c r="L7889" s="181"/>
      <c r="M7889" s="181"/>
      <c r="N7889" s="181"/>
      <c r="O7889" s="181"/>
      <c r="P7889" s="181"/>
    </row>
    <row r="7890">
      <c r="B7890" s="292"/>
      <c r="C7890" s="181"/>
      <c r="D7890" s="181"/>
      <c r="E7890" s="181"/>
      <c r="F7890" s="181"/>
      <c r="G7890" s="181"/>
      <c r="H7890" s="181"/>
      <c r="I7890" s="181"/>
      <c r="J7890" s="181"/>
      <c r="K7890" s="181"/>
      <c r="L7890" s="181"/>
      <c r="M7890" s="181"/>
      <c r="N7890" s="181"/>
      <c r="O7890" s="181"/>
      <c r="P7890" s="181"/>
    </row>
    <row r="7891">
      <c r="B7891" s="292"/>
      <c r="C7891" s="181"/>
      <c r="D7891" s="181"/>
      <c r="E7891" s="181"/>
      <c r="F7891" s="181"/>
      <c r="G7891" s="181"/>
      <c r="H7891" s="181"/>
      <c r="I7891" s="181"/>
      <c r="J7891" s="181"/>
      <c r="K7891" s="181"/>
      <c r="L7891" s="181"/>
      <c r="M7891" s="181"/>
      <c r="N7891" s="181"/>
      <c r="O7891" s="181"/>
      <c r="P7891" s="181"/>
    </row>
    <row r="7892">
      <c r="B7892" s="292"/>
      <c r="C7892" s="181"/>
      <c r="D7892" s="181"/>
      <c r="E7892" s="181"/>
      <c r="F7892" s="181"/>
      <c r="G7892" s="181"/>
      <c r="H7892" s="181"/>
      <c r="I7892" s="181"/>
      <c r="J7892" s="181"/>
      <c r="K7892" s="181"/>
      <c r="L7892" s="181"/>
      <c r="M7892" s="181"/>
      <c r="N7892" s="181"/>
      <c r="O7892" s="181"/>
      <c r="P7892" s="181"/>
    </row>
    <row r="7893">
      <c r="B7893" s="292"/>
      <c r="C7893" s="181"/>
      <c r="D7893" s="181"/>
      <c r="E7893" s="181"/>
      <c r="F7893" s="181"/>
      <c r="G7893" s="181"/>
      <c r="H7893" s="181"/>
      <c r="I7893" s="181"/>
      <c r="J7893" s="181"/>
      <c r="K7893" s="181"/>
      <c r="L7893" s="181"/>
      <c r="M7893" s="181"/>
      <c r="N7893" s="181"/>
      <c r="O7893" s="181"/>
      <c r="P7893" s="181"/>
    </row>
    <row r="7894">
      <c r="B7894" s="292"/>
      <c r="C7894" s="181"/>
      <c r="D7894" s="181"/>
      <c r="E7894" s="181"/>
      <c r="F7894" s="181"/>
      <c r="G7894" s="181"/>
      <c r="H7894" s="181"/>
      <c r="I7894" s="181"/>
      <c r="J7894" s="181"/>
      <c r="K7894" s="181"/>
      <c r="L7894" s="181"/>
      <c r="M7894" s="181"/>
      <c r="N7894" s="181"/>
      <c r="O7894" s="181"/>
      <c r="P7894" s="181"/>
    </row>
    <row r="7895">
      <c r="B7895" s="292"/>
      <c r="C7895" s="181"/>
      <c r="D7895" s="181"/>
      <c r="E7895" s="181"/>
      <c r="F7895" s="181"/>
      <c r="G7895" s="181"/>
      <c r="H7895" s="181"/>
      <c r="I7895" s="181"/>
      <c r="J7895" s="181"/>
      <c r="K7895" s="181"/>
      <c r="L7895" s="181"/>
      <c r="M7895" s="181"/>
      <c r="N7895" s="181"/>
      <c r="O7895" s="181"/>
      <c r="P7895" s="181"/>
    </row>
    <row r="7896">
      <c r="B7896" s="292"/>
      <c r="C7896" s="181"/>
      <c r="D7896" s="181"/>
      <c r="E7896" s="181"/>
      <c r="F7896" s="181"/>
      <c r="G7896" s="181"/>
      <c r="H7896" s="181"/>
      <c r="I7896" s="181"/>
      <c r="J7896" s="181"/>
      <c r="K7896" s="181"/>
      <c r="L7896" s="181"/>
      <c r="M7896" s="181"/>
      <c r="N7896" s="181"/>
      <c r="O7896" s="181"/>
      <c r="P7896" s="181"/>
    </row>
    <row r="7897">
      <c r="B7897" s="292"/>
      <c r="C7897" s="181"/>
      <c r="D7897" s="181"/>
      <c r="E7897" s="181"/>
      <c r="F7897" s="181"/>
      <c r="G7897" s="181"/>
      <c r="H7897" s="181"/>
      <c r="I7897" s="181"/>
      <c r="J7897" s="181"/>
      <c r="K7897" s="181"/>
      <c r="L7897" s="181"/>
      <c r="M7897" s="181"/>
      <c r="N7897" s="181"/>
      <c r="O7897" s="181"/>
      <c r="P7897" s="181"/>
    </row>
    <row r="7898">
      <c r="B7898" s="292"/>
      <c r="C7898" s="181"/>
      <c r="D7898" s="181"/>
      <c r="E7898" s="181"/>
      <c r="F7898" s="181"/>
      <c r="G7898" s="181"/>
      <c r="H7898" s="181"/>
      <c r="I7898" s="181"/>
      <c r="J7898" s="181"/>
      <c r="K7898" s="181"/>
      <c r="L7898" s="181"/>
      <c r="M7898" s="181"/>
      <c r="N7898" s="181"/>
      <c r="O7898" s="181"/>
      <c r="P7898" s="181"/>
    </row>
    <row r="7899">
      <c r="B7899" s="292"/>
      <c r="C7899" s="181"/>
      <c r="D7899" s="181"/>
      <c r="E7899" s="181"/>
      <c r="F7899" s="181"/>
      <c r="G7899" s="181"/>
      <c r="H7899" s="181"/>
      <c r="I7899" s="181"/>
      <c r="J7899" s="181"/>
      <c r="K7899" s="181"/>
      <c r="L7899" s="181"/>
      <c r="M7899" s="181"/>
      <c r="N7899" s="181"/>
      <c r="O7899" s="181"/>
      <c r="P7899" s="181"/>
    </row>
    <row r="7900">
      <c r="B7900" s="292"/>
      <c r="C7900" s="181"/>
      <c r="D7900" s="181"/>
      <c r="E7900" s="181"/>
      <c r="F7900" s="181"/>
      <c r="G7900" s="181"/>
      <c r="H7900" s="181"/>
      <c r="I7900" s="181"/>
      <c r="J7900" s="181"/>
      <c r="K7900" s="181"/>
      <c r="L7900" s="181"/>
      <c r="M7900" s="181"/>
      <c r="N7900" s="181"/>
      <c r="O7900" s="181"/>
      <c r="P7900" s="181"/>
    </row>
    <row r="7901">
      <c r="B7901" s="292"/>
      <c r="C7901" s="181"/>
      <c r="D7901" s="181"/>
      <c r="E7901" s="181"/>
      <c r="F7901" s="181"/>
      <c r="G7901" s="181"/>
      <c r="H7901" s="181"/>
      <c r="I7901" s="181"/>
      <c r="J7901" s="181"/>
      <c r="K7901" s="181"/>
      <c r="L7901" s="181"/>
      <c r="M7901" s="181"/>
      <c r="N7901" s="181"/>
      <c r="O7901" s="181"/>
      <c r="P7901" s="181"/>
    </row>
    <row r="7902">
      <c r="B7902" s="292"/>
      <c r="C7902" s="181"/>
      <c r="D7902" s="181"/>
      <c r="E7902" s="181"/>
      <c r="F7902" s="181"/>
      <c r="G7902" s="181"/>
      <c r="H7902" s="181"/>
      <c r="I7902" s="181"/>
      <c r="J7902" s="181"/>
      <c r="K7902" s="181"/>
      <c r="L7902" s="181"/>
      <c r="M7902" s="181"/>
      <c r="N7902" s="181"/>
      <c r="O7902" s="181"/>
      <c r="P7902" s="181"/>
    </row>
    <row r="7903">
      <c r="B7903" s="292"/>
      <c r="C7903" s="181"/>
      <c r="D7903" s="181"/>
      <c r="E7903" s="181"/>
      <c r="F7903" s="181"/>
      <c r="G7903" s="181"/>
      <c r="H7903" s="181"/>
      <c r="I7903" s="181"/>
      <c r="J7903" s="181"/>
      <c r="K7903" s="181"/>
      <c r="L7903" s="181"/>
      <c r="M7903" s="181"/>
      <c r="N7903" s="181"/>
      <c r="O7903" s="181"/>
      <c r="P7903" s="181"/>
    </row>
    <row r="7904">
      <c r="B7904" s="292"/>
      <c r="C7904" s="181"/>
      <c r="D7904" s="181"/>
      <c r="E7904" s="181"/>
      <c r="F7904" s="181"/>
      <c r="G7904" s="181"/>
      <c r="H7904" s="181"/>
      <c r="I7904" s="181"/>
      <c r="J7904" s="181"/>
      <c r="K7904" s="181"/>
      <c r="L7904" s="181"/>
      <c r="M7904" s="181"/>
      <c r="N7904" s="181"/>
      <c r="O7904" s="181"/>
      <c r="P7904" s="181"/>
    </row>
    <row r="7905">
      <c r="B7905" s="292"/>
      <c r="C7905" s="181"/>
      <c r="D7905" s="181"/>
      <c r="E7905" s="181"/>
      <c r="F7905" s="181"/>
      <c r="G7905" s="181"/>
      <c r="H7905" s="181"/>
      <c r="I7905" s="181"/>
      <c r="J7905" s="181"/>
      <c r="K7905" s="181"/>
      <c r="L7905" s="181"/>
      <c r="M7905" s="181"/>
      <c r="N7905" s="181"/>
      <c r="O7905" s="181"/>
      <c r="P7905" s="181"/>
    </row>
    <row r="7906">
      <c r="B7906" s="292"/>
      <c r="C7906" s="181"/>
      <c r="D7906" s="181"/>
      <c r="E7906" s="181"/>
      <c r="F7906" s="181"/>
      <c r="G7906" s="181"/>
      <c r="H7906" s="181"/>
      <c r="I7906" s="181"/>
      <c r="J7906" s="181"/>
      <c r="K7906" s="181"/>
      <c r="L7906" s="181"/>
      <c r="M7906" s="181"/>
      <c r="N7906" s="181"/>
      <c r="O7906" s="181"/>
      <c r="P7906" s="181"/>
    </row>
    <row r="7907">
      <c r="B7907" s="292"/>
      <c r="C7907" s="181"/>
      <c r="D7907" s="181"/>
      <c r="E7907" s="181"/>
      <c r="F7907" s="181"/>
      <c r="G7907" s="181"/>
      <c r="H7907" s="181"/>
      <c r="I7907" s="181"/>
      <c r="J7907" s="181"/>
      <c r="K7907" s="181"/>
      <c r="L7907" s="181"/>
      <c r="M7907" s="181"/>
      <c r="N7907" s="181"/>
      <c r="O7907" s="181"/>
      <c r="P7907" s="181"/>
    </row>
    <row r="7908">
      <c r="B7908" s="292"/>
      <c r="C7908" s="181"/>
      <c r="D7908" s="181"/>
      <c r="E7908" s="181"/>
      <c r="F7908" s="181"/>
      <c r="G7908" s="181"/>
      <c r="H7908" s="181"/>
      <c r="I7908" s="181"/>
      <c r="J7908" s="181"/>
      <c r="K7908" s="181"/>
      <c r="L7908" s="181"/>
      <c r="M7908" s="181"/>
      <c r="N7908" s="181"/>
      <c r="O7908" s="181"/>
      <c r="P7908" s="181"/>
    </row>
    <row r="7909">
      <c r="B7909" s="292"/>
      <c r="C7909" s="181"/>
      <c r="D7909" s="181"/>
      <c r="E7909" s="181"/>
      <c r="F7909" s="181"/>
      <c r="G7909" s="181"/>
      <c r="H7909" s="181"/>
      <c r="I7909" s="181"/>
      <c r="J7909" s="181"/>
      <c r="K7909" s="181"/>
      <c r="L7909" s="181"/>
      <c r="M7909" s="181"/>
      <c r="N7909" s="181"/>
      <c r="O7909" s="181"/>
      <c r="P7909" s="181"/>
    </row>
    <row r="7910">
      <c r="B7910" s="292"/>
      <c r="C7910" s="181"/>
      <c r="D7910" s="181"/>
      <c r="E7910" s="181"/>
      <c r="F7910" s="181"/>
      <c r="G7910" s="181"/>
      <c r="H7910" s="181"/>
      <c r="I7910" s="181"/>
      <c r="J7910" s="181"/>
      <c r="K7910" s="181"/>
      <c r="L7910" s="181"/>
      <c r="M7910" s="181"/>
      <c r="N7910" s="181"/>
      <c r="O7910" s="181"/>
      <c r="P7910" s="181"/>
    </row>
    <row r="7911">
      <c r="B7911" s="292"/>
      <c r="C7911" s="181"/>
      <c r="D7911" s="181"/>
      <c r="E7911" s="181"/>
      <c r="F7911" s="181"/>
      <c r="G7911" s="181"/>
      <c r="H7911" s="181"/>
      <c r="I7911" s="181"/>
      <c r="J7911" s="181"/>
      <c r="K7911" s="181"/>
      <c r="L7911" s="181"/>
      <c r="M7911" s="181"/>
      <c r="N7911" s="181"/>
      <c r="O7911" s="181"/>
      <c r="P7911" s="181"/>
    </row>
    <row r="7912">
      <c r="B7912" s="292"/>
      <c r="C7912" s="181"/>
      <c r="D7912" s="181"/>
      <c r="E7912" s="181"/>
      <c r="F7912" s="181"/>
      <c r="G7912" s="181"/>
      <c r="H7912" s="181"/>
      <c r="I7912" s="181"/>
      <c r="J7912" s="181"/>
      <c r="K7912" s="181"/>
      <c r="L7912" s="181"/>
      <c r="M7912" s="181"/>
      <c r="N7912" s="181"/>
      <c r="O7912" s="181"/>
      <c r="P7912" s="181"/>
    </row>
    <row r="7913">
      <c r="B7913" s="292"/>
      <c r="C7913" s="181"/>
      <c r="D7913" s="181"/>
      <c r="E7913" s="181"/>
      <c r="F7913" s="181"/>
      <c r="G7913" s="181"/>
      <c r="H7913" s="181"/>
      <c r="I7913" s="181"/>
      <c r="J7913" s="181"/>
      <c r="K7913" s="181"/>
      <c r="L7913" s="181"/>
      <c r="M7913" s="181"/>
      <c r="N7913" s="181"/>
      <c r="O7913" s="181"/>
      <c r="P7913" s="181"/>
    </row>
    <row r="7914">
      <c r="B7914" s="292"/>
      <c r="C7914" s="181"/>
      <c r="D7914" s="181"/>
      <c r="E7914" s="181"/>
      <c r="F7914" s="181"/>
      <c r="G7914" s="181"/>
      <c r="H7914" s="181"/>
      <c r="I7914" s="181"/>
      <c r="J7914" s="181"/>
      <c r="K7914" s="181"/>
      <c r="L7914" s="181"/>
      <c r="M7914" s="181"/>
      <c r="N7914" s="181"/>
      <c r="O7914" s="181"/>
      <c r="P7914" s="181"/>
    </row>
    <row r="7915">
      <c r="B7915" s="292"/>
      <c r="C7915" s="181"/>
      <c r="D7915" s="181"/>
      <c r="E7915" s="181"/>
      <c r="F7915" s="181"/>
      <c r="G7915" s="181"/>
      <c r="H7915" s="181"/>
      <c r="I7915" s="181"/>
      <c r="J7915" s="181"/>
      <c r="K7915" s="181"/>
      <c r="L7915" s="181"/>
      <c r="M7915" s="181"/>
      <c r="N7915" s="181"/>
      <c r="O7915" s="181"/>
      <c r="P7915" s="181"/>
    </row>
    <row r="7916">
      <c r="B7916" s="292"/>
      <c r="C7916" s="181"/>
      <c r="D7916" s="181"/>
      <c r="E7916" s="181"/>
      <c r="F7916" s="181"/>
      <c r="G7916" s="181"/>
      <c r="H7916" s="181"/>
      <c r="I7916" s="181"/>
      <c r="J7916" s="181"/>
      <c r="K7916" s="181"/>
      <c r="L7916" s="181"/>
      <c r="M7916" s="181"/>
      <c r="N7916" s="181"/>
      <c r="O7916" s="181"/>
      <c r="P7916" s="181"/>
    </row>
    <row r="7917">
      <c r="B7917" s="292"/>
      <c r="C7917" s="181"/>
      <c r="D7917" s="181"/>
      <c r="E7917" s="181"/>
      <c r="F7917" s="181"/>
      <c r="G7917" s="181"/>
      <c r="H7917" s="181"/>
      <c r="I7917" s="181"/>
      <c r="J7917" s="181"/>
      <c r="K7917" s="181"/>
      <c r="L7917" s="181"/>
      <c r="M7917" s="181"/>
      <c r="N7917" s="181"/>
      <c r="O7917" s="181"/>
      <c r="P7917" s="181"/>
    </row>
    <row r="7918">
      <c r="B7918" s="292"/>
      <c r="C7918" s="181"/>
      <c r="D7918" s="181"/>
      <c r="E7918" s="181"/>
      <c r="F7918" s="181"/>
      <c r="G7918" s="181"/>
      <c r="H7918" s="181"/>
      <c r="I7918" s="181"/>
      <c r="J7918" s="181"/>
      <c r="K7918" s="181"/>
      <c r="L7918" s="181"/>
      <c r="M7918" s="181"/>
      <c r="N7918" s="181"/>
      <c r="O7918" s="181"/>
      <c r="P7918" s="181"/>
    </row>
    <row r="7919">
      <c r="B7919" s="292"/>
      <c r="C7919" s="181"/>
      <c r="D7919" s="181"/>
      <c r="E7919" s="181"/>
      <c r="F7919" s="181"/>
      <c r="G7919" s="181"/>
      <c r="H7919" s="181"/>
      <c r="I7919" s="181"/>
      <c r="J7919" s="181"/>
      <c r="K7919" s="181"/>
      <c r="L7919" s="181"/>
      <c r="M7919" s="181"/>
      <c r="N7919" s="181"/>
      <c r="O7919" s="181"/>
      <c r="P7919" s="181"/>
    </row>
    <row r="7920">
      <c r="B7920" s="292"/>
      <c r="C7920" s="181"/>
      <c r="D7920" s="181"/>
      <c r="E7920" s="181"/>
      <c r="F7920" s="181"/>
      <c r="G7920" s="181"/>
      <c r="H7920" s="181"/>
      <c r="I7920" s="181"/>
      <c r="J7920" s="181"/>
      <c r="K7920" s="181"/>
      <c r="L7920" s="181"/>
      <c r="M7920" s="181"/>
      <c r="N7920" s="181"/>
      <c r="O7920" s="181"/>
      <c r="P7920" s="181"/>
    </row>
    <row r="7921">
      <c r="B7921" s="292"/>
      <c r="C7921" s="181"/>
      <c r="D7921" s="181"/>
      <c r="E7921" s="181"/>
      <c r="F7921" s="181"/>
      <c r="G7921" s="181"/>
      <c r="H7921" s="181"/>
      <c r="I7921" s="181"/>
      <c r="J7921" s="181"/>
      <c r="K7921" s="181"/>
      <c r="L7921" s="181"/>
      <c r="M7921" s="181"/>
      <c r="N7921" s="181"/>
      <c r="O7921" s="181"/>
      <c r="P7921" s="181"/>
    </row>
    <row r="7922">
      <c r="B7922" s="292"/>
      <c r="C7922" s="181"/>
      <c r="D7922" s="181"/>
      <c r="E7922" s="181"/>
      <c r="F7922" s="181"/>
      <c r="G7922" s="181"/>
      <c r="H7922" s="181"/>
      <c r="I7922" s="181"/>
      <c r="J7922" s="181"/>
      <c r="K7922" s="181"/>
      <c r="L7922" s="181"/>
      <c r="M7922" s="181"/>
      <c r="N7922" s="181"/>
      <c r="O7922" s="181"/>
      <c r="P7922" s="181"/>
    </row>
    <row r="7923">
      <c r="B7923" s="292"/>
      <c r="C7923" s="181"/>
      <c r="D7923" s="181"/>
      <c r="E7923" s="181"/>
      <c r="F7923" s="181"/>
      <c r="G7923" s="181"/>
      <c r="H7923" s="181"/>
      <c r="I7923" s="181"/>
      <c r="J7923" s="181"/>
      <c r="K7923" s="181"/>
      <c r="L7923" s="181"/>
      <c r="M7923" s="181"/>
      <c r="N7923" s="181"/>
      <c r="O7923" s="181"/>
      <c r="P7923" s="181"/>
    </row>
    <row r="7924">
      <c r="B7924" s="292"/>
      <c r="C7924" s="181"/>
      <c r="D7924" s="181"/>
      <c r="E7924" s="181"/>
      <c r="F7924" s="181"/>
      <c r="G7924" s="181"/>
      <c r="H7924" s="181"/>
      <c r="I7924" s="181"/>
      <c r="J7924" s="181"/>
      <c r="K7924" s="181"/>
      <c r="L7924" s="181"/>
      <c r="M7924" s="181"/>
      <c r="N7924" s="181"/>
      <c r="O7924" s="181"/>
      <c r="P7924" s="181"/>
    </row>
    <row r="7925">
      <c r="B7925" s="292"/>
      <c r="C7925" s="181"/>
      <c r="D7925" s="181"/>
      <c r="E7925" s="181"/>
      <c r="F7925" s="181"/>
      <c r="G7925" s="181"/>
      <c r="H7925" s="181"/>
      <c r="I7925" s="181"/>
      <c r="J7925" s="181"/>
      <c r="K7925" s="181"/>
      <c r="L7925" s="181"/>
      <c r="M7925" s="181"/>
      <c r="N7925" s="181"/>
      <c r="O7925" s="181"/>
      <c r="P7925" s="181"/>
    </row>
    <row r="7926">
      <c r="B7926" s="292"/>
      <c r="C7926" s="181"/>
      <c r="D7926" s="181"/>
      <c r="E7926" s="181"/>
      <c r="F7926" s="181"/>
      <c r="G7926" s="181"/>
      <c r="H7926" s="181"/>
      <c r="I7926" s="181"/>
      <c r="J7926" s="181"/>
      <c r="K7926" s="181"/>
      <c r="L7926" s="181"/>
      <c r="M7926" s="181"/>
      <c r="N7926" s="181"/>
      <c r="O7926" s="181"/>
      <c r="P7926" s="181"/>
    </row>
    <row r="7927">
      <c r="B7927" s="292"/>
      <c r="C7927" s="181"/>
      <c r="D7927" s="181"/>
      <c r="E7927" s="181"/>
      <c r="F7927" s="181"/>
      <c r="G7927" s="181"/>
      <c r="H7927" s="181"/>
      <c r="I7927" s="181"/>
      <c r="J7927" s="181"/>
      <c r="K7927" s="181"/>
      <c r="L7927" s="181"/>
      <c r="M7927" s="181"/>
      <c r="N7927" s="181"/>
      <c r="O7927" s="181"/>
      <c r="P7927" s="181"/>
    </row>
    <row r="7928">
      <c r="B7928" s="292"/>
      <c r="C7928" s="181"/>
      <c r="D7928" s="181"/>
      <c r="E7928" s="181"/>
      <c r="F7928" s="181"/>
      <c r="G7928" s="181"/>
      <c r="H7928" s="181"/>
      <c r="I7928" s="181"/>
      <c r="J7928" s="181"/>
      <c r="K7928" s="181"/>
      <c r="L7928" s="181"/>
      <c r="M7928" s="181"/>
      <c r="N7928" s="181"/>
      <c r="O7928" s="181"/>
      <c r="P7928" s="181"/>
    </row>
    <row r="7929">
      <c r="B7929" s="292"/>
      <c r="C7929" s="181"/>
      <c r="D7929" s="181"/>
      <c r="E7929" s="181"/>
      <c r="F7929" s="181"/>
      <c r="G7929" s="181"/>
      <c r="H7929" s="181"/>
      <c r="I7929" s="181"/>
      <c r="J7929" s="181"/>
      <c r="K7929" s="181"/>
      <c r="L7929" s="181"/>
      <c r="M7929" s="181"/>
      <c r="N7929" s="181"/>
      <c r="O7929" s="181"/>
      <c r="P7929" s="181"/>
    </row>
    <row r="7930">
      <c r="B7930" s="292"/>
      <c r="C7930" s="181"/>
      <c r="D7930" s="181"/>
      <c r="E7930" s="181"/>
      <c r="F7930" s="181"/>
      <c r="G7930" s="181"/>
      <c r="H7930" s="181"/>
      <c r="I7930" s="181"/>
      <c r="J7930" s="181"/>
      <c r="K7930" s="181"/>
      <c r="L7930" s="181"/>
      <c r="M7930" s="181"/>
      <c r="N7930" s="181"/>
      <c r="O7930" s="181"/>
      <c r="P7930" s="181"/>
    </row>
    <row r="7931">
      <c r="B7931" s="292"/>
      <c r="C7931" s="181"/>
      <c r="D7931" s="181"/>
      <c r="E7931" s="181"/>
      <c r="F7931" s="181"/>
      <c r="G7931" s="181"/>
      <c r="H7931" s="181"/>
      <c r="I7931" s="181"/>
      <c r="J7931" s="181"/>
      <c r="K7931" s="181"/>
      <c r="L7931" s="181"/>
      <c r="M7931" s="181"/>
      <c r="N7931" s="181"/>
      <c r="O7931" s="181"/>
      <c r="P7931" s="181"/>
    </row>
    <row r="7932">
      <c r="B7932" s="292"/>
      <c r="C7932" s="181"/>
      <c r="D7932" s="181"/>
      <c r="E7932" s="181"/>
      <c r="F7932" s="181"/>
      <c r="G7932" s="181"/>
      <c r="H7932" s="181"/>
      <c r="I7932" s="181"/>
      <c r="J7932" s="181"/>
      <c r="K7932" s="181"/>
      <c r="L7932" s="181"/>
      <c r="M7932" s="181"/>
      <c r="N7932" s="181"/>
      <c r="O7932" s="181"/>
      <c r="P7932" s="181"/>
    </row>
    <row r="7933">
      <c r="B7933" s="292"/>
      <c r="C7933" s="181"/>
      <c r="D7933" s="181"/>
      <c r="E7933" s="181"/>
      <c r="F7933" s="181"/>
      <c r="G7933" s="181"/>
      <c r="H7933" s="181"/>
      <c r="I7933" s="181"/>
      <c r="J7933" s="181"/>
      <c r="K7933" s="181"/>
      <c r="L7933" s="181"/>
      <c r="M7933" s="181"/>
      <c r="N7933" s="181"/>
      <c r="O7933" s="181"/>
      <c r="P7933" s="181"/>
    </row>
    <row r="7934">
      <c r="B7934" s="292"/>
      <c r="C7934" s="181"/>
      <c r="D7934" s="181"/>
      <c r="E7934" s="181"/>
      <c r="F7934" s="181"/>
      <c r="G7934" s="181"/>
      <c r="H7934" s="181"/>
      <c r="I7934" s="181"/>
      <c r="J7934" s="181"/>
      <c r="K7934" s="181"/>
      <c r="L7934" s="181"/>
      <c r="M7934" s="181"/>
      <c r="N7934" s="181"/>
      <c r="O7934" s="181"/>
      <c r="P7934" s="181"/>
    </row>
    <row r="7935">
      <c r="B7935" s="292"/>
      <c r="C7935" s="181"/>
      <c r="D7935" s="181"/>
      <c r="E7935" s="181"/>
      <c r="F7935" s="181"/>
      <c r="G7935" s="181"/>
      <c r="H7935" s="181"/>
      <c r="I7935" s="181"/>
      <c r="J7935" s="181"/>
      <c r="K7935" s="181"/>
      <c r="L7935" s="181"/>
      <c r="M7935" s="181"/>
      <c r="N7935" s="181"/>
      <c r="O7935" s="181"/>
      <c r="P7935" s="181"/>
    </row>
    <row r="7936">
      <c r="B7936" s="292"/>
      <c r="C7936" s="181"/>
      <c r="D7936" s="181"/>
      <c r="E7936" s="181"/>
      <c r="F7936" s="181"/>
      <c r="G7936" s="181"/>
      <c r="H7936" s="181"/>
      <c r="I7936" s="181"/>
      <c r="J7936" s="181"/>
      <c r="K7936" s="181"/>
      <c r="L7936" s="181"/>
      <c r="M7936" s="181"/>
      <c r="N7936" s="181"/>
      <c r="O7936" s="181"/>
      <c r="P7936" s="181"/>
    </row>
    <row r="7937">
      <c r="B7937" s="292"/>
      <c r="C7937" s="181"/>
      <c r="D7937" s="181"/>
      <c r="E7937" s="181"/>
      <c r="F7937" s="181"/>
      <c r="G7937" s="181"/>
      <c r="H7937" s="181"/>
      <c r="I7937" s="181"/>
      <c r="J7937" s="181"/>
      <c r="K7937" s="181"/>
      <c r="L7937" s="181"/>
      <c r="M7937" s="181"/>
      <c r="N7937" s="181"/>
      <c r="O7937" s="181"/>
      <c r="P7937" s="181"/>
    </row>
    <row r="7938">
      <c r="B7938" s="292"/>
      <c r="C7938" s="181"/>
      <c r="D7938" s="181"/>
      <c r="E7938" s="181"/>
      <c r="F7938" s="181"/>
      <c r="G7938" s="181"/>
      <c r="H7938" s="181"/>
      <c r="I7938" s="181"/>
      <c r="J7938" s="181"/>
      <c r="K7938" s="181"/>
      <c r="L7938" s="181"/>
      <c r="M7938" s="181"/>
      <c r="N7938" s="181"/>
      <c r="O7938" s="181"/>
      <c r="P7938" s="181"/>
    </row>
    <row r="7939">
      <c r="B7939" s="292"/>
      <c r="C7939" s="181"/>
      <c r="D7939" s="181"/>
      <c r="E7939" s="181"/>
      <c r="F7939" s="181"/>
      <c r="G7939" s="181"/>
      <c r="H7939" s="181"/>
      <c r="I7939" s="181"/>
      <c r="J7939" s="181"/>
      <c r="K7939" s="181"/>
      <c r="L7939" s="181"/>
      <c r="M7939" s="181"/>
      <c r="N7939" s="181"/>
      <c r="O7939" s="181"/>
      <c r="P7939" s="181"/>
    </row>
    <row r="7940">
      <c r="B7940" s="292"/>
      <c r="C7940" s="181"/>
      <c r="D7940" s="181"/>
      <c r="E7940" s="181"/>
      <c r="F7940" s="181"/>
      <c r="G7940" s="181"/>
      <c r="H7940" s="181"/>
      <c r="I7940" s="181"/>
      <c r="J7940" s="181"/>
      <c r="K7940" s="181"/>
      <c r="L7940" s="181"/>
      <c r="M7940" s="181"/>
      <c r="N7940" s="181"/>
      <c r="O7940" s="181"/>
      <c r="P7940" s="181"/>
    </row>
    <row r="7941">
      <c r="B7941" s="292"/>
      <c r="C7941" s="181"/>
      <c r="D7941" s="181"/>
      <c r="E7941" s="181"/>
      <c r="F7941" s="181"/>
      <c r="G7941" s="181"/>
      <c r="H7941" s="181"/>
      <c r="I7941" s="181"/>
      <c r="J7941" s="181"/>
      <c r="K7941" s="181"/>
      <c r="L7941" s="181"/>
      <c r="M7941" s="181"/>
      <c r="N7941" s="181"/>
      <c r="O7941" s="181"/>
      <c r="P7941" s="181"/>
    </row>
    <row r="7942">
      <c r="B7942" s="292"/>
      <c r="C7942" s="181"/>
      <c r="D7942" s="181"/>
      <c r="E7942" s="181"/>
      <c r="F7942" s="181"/>
      <c r="G7942" s="181"/>
      <c r="H7942" s="181"/>
      <c r="I7942" s="181"/>
      <c r="J7942" s="181"/>
      <c r="K7942" s="181"/>
      <c r="L7942" s="181"/>
      <c r="M7942" s="181"/>
      <c r="N7942" s="181"/>
      <c r="O7942" s="181"/>
      <c r="P7942" s="181"/>
    </row>
    <row r="7943">
      <c r="B7943" s="292"/>
      <c r="C7943" s="181"/>
      <c r="D7943" s="181"/>
      <c r="E7943" s="181"/>
      <c r="F7943" s="181"/>
      <c r="G7943" s="181"/>
      <c r="H7943" s="181"/>
      <c r="I7943" s="181"/>
      <c r="J7943" s="181"/>
      <c r="K7943" s="181"/>
      <c r="L7943" s="181"/>
      <c r="M7943" s="181"/>
      <c r="N7943" s="181"/>
      <c r="O7943" s="181"/>
      <c r="P7943" s="181"/>
    </row>
    <row r="7944">
      <c r="B7944" s="292"/>
      <c r="C7944" s="181"/>
      <c r="D7944" s="181"/>
      <c r="E7944" s="181"/>
      <c r="F7944" s="181"/>
      <c r="G7944" s="181"/>
      <c r="H7944" s="181"/>
      <c r="I7944" s="181"/>
      <c r="J7944" s="181"/>
      <c r="K7944" s="181"/>
      <c r="L7944" s="181"/>
      <c r="M7944" s="181"/>
      <c r="N7944" s="181"/>
      <c r="O7944" s="181"/>
      <c r="P7944" s="181"/>
    </row>
    <row r="7945">
      <c r="B7945" s="292"/>
      <c r="C7945" s="181"/>
      <c r="D7945" s="181"/>
      <c r="E7945" s="181"/>
      <c r="F7945" s="181"/>
      <c r="G7945" s="181"/>
      <c r="H7945" s="181"/>
      <c r="I7945" s="181"/>
      <c r="J7945" s="181"/>
      <c r="K7945" s="181"/>
      <c r="L7945" s="181"/>
      <c r="M7945" s="181"/>
      <c r="N7945" s="181"/>
      <c r="O7945" s="181"/>
      <c r="P7945" s="181"/>
    </row>
    <row r="7946">
      <c r="B7946" s="292"/>
      <c r="C7946" s="181"/>
      <c r="D7946" s="181"/>
      <c r="E7946" s="181"/>
      <c r="F7946" s="181"/>
      <c r="G7946" s="181"/>
      <c r="H7946" s="181"/>
      <c r="I7946" s="181"/>
      <c r="J7946" s="181"/>
      <c r="K7946" s="181"/>
      <c r="L7946" s="181"/>
      <c r="M7946" s="181"/>
      <c r="N7946" s="181"/>
      <c r="O7946" s="181"/>
      <c r="P7946" s="181"/>
    </row>
    <row r="7947">
      <c r="B7947" s="292"/>
      <c r="C7947" s="181"/>
      <c r="D7947" s="181"/>
      <c r="E7947" s="181"/>
      <c r="F7947" s="181"/>
      <c r="G7947" s="181"/>
      <c r="H7947" s="181"/>
      <c r="I7947" s="181"/>
      <c r="J7947" s="181"/>
      <c r="K7947" s="181"/>
      <c r="L7947" s="181"/>
      <c r="M7947" s="181"/>
      <c r="N7947" s="181"/>
      <c r="O7947" s="181"/>
      <c r="P7947" s="181"/>
    </row>
    <row r="7948">
      <c r="B7948" s="292"/>
      <c r="C7948" s="181"/>
      <c r="D7948" s="181"/>
      <c r="E7948" s="181"/>
      <c r="F7948" s="181"/>
      <c r="G7948" s="181"/>
      <c r="H7948" s="181"/>
      <c r="I7948" s="181"/>
      <c r="J7948" s="181"/>
      <c r="K7948" s="181"/>
      <c r="L7948" s="181"/>
      <c r="M7948" s="181"/>
      <c r="N7948" s="181"/>
      <c r="O7948" s="181"/>
      <c r="P7948" s="181"/>
    </row>
    <row r="7949">
      <c r="B7949" s="292"/>
      <c r="C7949" s="181"/>
      <c r="D7949" s="181"/>
      <c r="E7949" s="181"/>
      <c r="F7949" s="181"/>
      <c r="G7949" s="181"/>
      <c r="H7949" s="181"/>
      <c r="I7949" s="181"/>
      <c r="J7949" s="181"/>
      <c r="K7949" s="181"/>
      <c r="L7949" s="181"/>
      <c r="M7949" s="181"/>
      <c r="N7949" s="181"/>
      <c r="O7949" s="181"/>
      <c r="P7949" s="181"/>
    </row>
    <row r="7950">
      <c r="B7950" s="292"/>
      <c r="C7950" s="181"/>
      <c r="D7950" s="181"/>
      <c r="E7950" s="181"/>
      <c r="F7950" s="181"/>
      <c r="G7950" s="181"/>
      <c r="H7950" s="181"/>
      <c r="I7950" s="181"/>
      <c r="J7950" s="181"/>
      <c r="K7950" s="181"/>
      <c r="L7950" s="181"/>
      <c r="M7950" s="181"/>
      <c r="N7950" s="181"/>
      <c r="O7950" s="181"/>
      <c r="P7950" s="181"/>
    </row>
    <row r="7951">
      <c r="B7951" s="292"/>
      <c r="C7951" s="181"/>
      <c r="D7951" s="181"/>
      <c r="E7951" s="181"/>
      <c r="F7951" s="181"/>
      <c r="G7951" s="181"/>
      <c r="H7951" s="181"/>
      <c r="I7951" s="181"/>
      <c r="J7951" s="181"/>
      <c r="K7951" s="181"/>
      <c r="L7951" s="181"/>
      <c r="M7951" s="181"/>
      <c r="N7951" s="181"/>
      <c r="O7951" s="181"/>
      <c r="P7951" s="181"/>
    </row>
    <row r="7952">
      <c r="B7952" s="292"/>
      <c r="C7952" s="181"/>
      <c r="D7952" s="181"/>
      <c r="E7952" s="181"/>
      <c r="F7952" s="181"/>
      <c r="G7952" s="181"/>
      <c r="H7952" s="181"/>
      <c r="I7952" s="181"/>
      <c r="J7952" s="181"/>
      <c r="K7952" s="181"/>
      <c r="L7952" s="181"/>
      <c r="M7952" s="181"/>
      <c r="N7952" s="181"/>
      <c r="O7952" s="181"/>
      <c r="P7952" s="181"/>
    </row>
    <row r="7953">
      <c r="B7953" s="292"/>
      <c r="C7953" s="181"/>
      <c r="D7953" s="181"/>
      <c r="E7953" s="181"/>
      <c r="F7953" s="181"/>
      <c r="G7953" s="181"/>
      <c r="H7953" s="181"/>
      <c r="I7953" s="181"/>
      <c r="J7953" s="181"/>
      <c r="K7953" s="181"/>
      <c r="L7953" s="181"/>
      <c r="M7953" s="181"/>
      <c r="N7953" s="181"/>
      <c r="O7953" s="181"/>
      <c r="P7953" s="181"/>
    </row>
    <row r="7954">
      <c r="B7954" s="292"/>
      <c r="C7954" s="181"/>
      <c r="D7954" s="181"/>
      <c r="E7954" s="181"/>
      <c r="F7954" s="181"/>
      <c r="G7954" s="181"/>
      <c r="H7954" s="181"/>
      <c r="I7954" s="181"/>
      <c r="J7954" s="181"/>
      <c r="K7954" s="181"/>
      <c r="L7954" s="181"/>
      <c r="M7954" s="181"/>
      <c r="N7954" s="181"/>
      <c r="O7954" s="181"/>
      <c r="P7954" s="181"/>
    </row>
    <row r="7955">
      <c r="B7955" s="292"/>
      <c r="C7955" s="181"/>
      <c r="D7955" s="181"/>
      <c r="E7955" s="181"/>
      <c r="F7955" s="181"/>
      <c r="G7955" s="181"/>
      <c r="H7955" s="181"/>
      <c r="I7955" s="181"/>
      <c r="J7955" s="181"/>
      <c r="K7955" s="181"/>
      <c r="L7955" s="181"/>
      <c r="M7955" s="181"/>
      <c r="N7955" s="181"/>
      <c r="O7955" s="181"/>
      <c r="P7955" s="181"/>
    </row>
    <row r="7956">
      <c r="B7956" s="292"/>
      <c r="C7956" s="181"/>
      <c r="D7956" s="181"/>
      <c r="E7956" s="181"/>
      <c r="F7956" s="181"/>
      <c r="G7956" s="181"/>
      <c r="H7956" s="181"/>
      <c r="I7956" s="181"/>
      <c r="J7956" s="181"/>
      <c r="K7956" s="181"/>
      <c r="L7956" s="181"/>
      <c r="M7956" s="181"/>
      <c r="N7956" s="181"/>
      <c r="O7956" s="181"/>
      <c r="P7956" s="181"/>
    </row>
    <row r="7957">
      <c r="B7957" s="292"/>
      <c r="C7957" s="181"/>
      <c r="D7957" s="181"/>
      <c r="E7957" s="181"/>
      <c r="F7957" s="181"/>
      <c r="G7957" s="181"/>
      <c r="H7957" s="181"/>
      <c r="I7957" s="181"/>
      <c r="J7957" s="181"/>
      <c r="K7957" s="181"/>
      <c r="L7957" s="181"/>
      <c r="M7957" s="181"/>
      <c r="N7957" s="181"/>
      <c r="O7957" s="181"/>
      <c r="P7957" s="181"/>
    </row>
    <row r="7958">
      <c r="B7958" s="292"/>
      <c r="C7958" s="181"/>
      <c r="D7958" s="181"/>
      <c r="E7958" s="181"/>
      <c r="F7958" s="181"/>
      <c r="G7958" s="181"/>
      <c r="H7958" s="181"/>
      <c r="I7958" s="181"/>
      <c r="J7958" s="181"/>
      <c r="K7958" s="181"/>
      <c r="L7958" s="181"/>
      <c r="M7958" s="181"/>
      <c r="N7958" s="181"/>
      <c r="O7958" s="181"/>
      <c r="P7958" s="181"/>
    </row>
    <row r="7959">
      <c r="B7959" s="292"/>
      <c r="C7959" s="181"/>
      <c r="D7959" s="181"/>
      <c r="E7959" s="181"/>
      <c r="F7959" s="181"/>
      <c r="G7959" s="181"/>
      <c r="H7959" s="181"/>
      <c r="I7959" s="181"/>
      <c r="J7959" s="181"/>
      <c r="K7959" s="181"/>
      <c r="L7959" s="181"/>
      <c r="M7959" s="181"/>
      <c r="N7959" s="181"/>
      <c r="O7959" s="181"/>
      <c r="P7959" s="181"/>
    </row>
    <row r="7960">
      <c r="B7960" s="292"/>
      <c r="C7960" s="181"/>
      <c r="D7960" s="181"/>
      <c r="E7960" s="181"/>
      <c r="F7960" s="181"/>
      <c r="G7960" s="181"/>
      <c r="H7960" s="181"/>
      <c r="I7960" s="181"/>
      <c r="J7960" s="181"/>
      <c r="K7960" s="181"/>
      <c r="L7960" s="181"/>
      <c r="M7960" s="181"/>
      <c r="N7960" s="181"/>
      <c r="O7960" s="181"/>
      <c r="P7960" s="181"/>
    </row>
    <row r="7961">
      <c r="B7961" s="292"/>
      <c r="C7961" s="181"/>
      <c r="D7961" s="181"/>
      <c r="E7961" s="181"/>
      <c r="F7961" s="181"/>
      <c r="G7961" s="181"/>
      <c r="H7961" s="181"/>
      <c r="I7961" s="181"/>
      <c r="J7961" s="181"/>
      <c r="K7961" s="181"/>
      <c r="L7961" s="181"/>
      <c r="M7961" s="181"/>
      <c r="N7961" s="181"/>
      <c r="O7961" s="181"/>
      <c r="P7961" s="181"/>
    </row>
    <row r="7962">
      <c r="B7962" s="292"/>
      <c r="C7962" s="181"/>
      <c r="D7962" s="181"/>
      <c r="E7962" s="181"/>
      <c r="F7962" s="181"/>
      <c r="G7962" s="181"/>
      <c r="H7962" s="181"/>
      <c r="I7962" s="181"/>
      <c r="J7962" s="181"/>
      <c r="K7962" s="181"/>
      <c r="L7962" s="181"/>
      <c r="M7962" s="181"/>
      <c r="N7962" s="181"/>
      <c r="O7962" s="181"/>
      <c r="P7962" s="181"/>
    </row>
    <row r="7963">
      <c r="B7963" s="292"/>
      <c r="C7963" s="181"/>
      <c r="D7963" s="181"/>
      <c r="E7963" s="181"/>
      <c r="F7963" s="181"/>
      <c r="G7963" s="181"/>
      <c r="H7963" s="181"/>
      <c r="I7963" s="181"/>
      <c r="J7963" s="181"/>
      <c r="K7963" s="181"/>
      <c r="L7963" s="181"/>
      <c r="M7963" s="181"/>
      <c r="N7963" s="181"/>
      <c r="O7963" s="181"/>
      <c r="P7963" s="181"/>
    </row>
    <row r="7964">
      <c r="B7964" s="292"/>
      <c r="C7964" s="181"/>
      <c r="D7964" s="181"/>
      <c r="E7964" s="181"/>
      <c r="F7964" s="181"/>
      <c r="G7964" s="181"/>
      <c r="H7964" s="181"/>
      <c r="I7964" s="181"/>
      <c r="J7964" s="181"/>
      <c r="K7964" s="181"/>
      <c r="L7964" s="181"/>
      <c r="M7964" s="181"/>
      <c r="N7964" s="181"/>
      <c r="O7964" s="181"/>
      <c r="P7964" s="181"/>
    </row>
    <row r="7965">
      <c r="B7965" s="292"/>
      <c r="C7965" s="181"/>
      <c r="D7965" s="181"/>
      <c r="E7965" s="181"/>
      <c r="F7965" s="181"/>
      <c r="G7965" s="181"/>
      <c r="H7965" s="181"/>
      <c r="I7965" s="181"/>
      <c r="J7965" s="181"/>
      <c r="K7965" s="181"/>
      <c r="L7965" s="181"/>
      <c r="M7965" s="181"/>
      <c r="N7965" s="181"/>
      <c r="O7965" s="181"/>
      <c r="P7965" s="181"/>
    </row>
    <row r="7966">
      <c r="B7966" s="292"/>
      <c r="C7966" s="181"/>
      <c r="D7966" s="181"/>
      <c r="E7966" s="181"/>
      <c r="F7966" s="181"/>
      <c r="G7966" s="181"/>
      <c r="H7966" s="181"/>
      <c r="I7966" s="181"/>
      <c r="J7966" s="181"/>
      <c r="K7966" s="181"/>
      <c r="L7966" s="181"/>
      <c r="M7966" s="181"/>
      <c r="N7966" s="181"/>
      <c r="O7966" s="181"/>
      <c r="P7966" s="181"/>
    </row>
    <row r="7967">
      <c r="B7967" s="292"/>
      <c r="C7967" s="181"/>
      <c r="D7967" s="181"/>
      <c r="E7967" s="181"/>
      <c r="F7967" s="181"/>
      <c r="G7967" s="181"/>
      <c r="H7967" s="181"/>
      <c r="I7967" s="181"/>
      <c r="J7967" s="181"/>
      <c r="K7967" s="181"/>
      <c r="L7967" s="181"/>
      <c r="M7967" s="181"/>
      <c r="N7967" s="181"/>
      <c r="O7967" s="181"/>
      <c r="P7967" s="181"/>
    </row>
    <row r="7968">
      <c r="B7968" s="292"/>
      <c r="C7968" s="181"/>
      <c r="D7968" s="181"/>
      <c r="E7968" s="181"/>
      <c r="F7968" s="181"/>
      <c r="G7968" s="181"/>
      <c r="H7968" s="181"/>
      <c r="I7968" s="181"/>
      <c r="J7968" s="181"/>
      <c r="K7968" s="181"/>
      <c r="L7968" s="181"/>
      <c r="M7968" s="181"/>
      <c r="N7968" s="181"/>
      <c r="O7968" s="181"/>
      <c r="P7968" s="181"/>
    </row>
    <row r="7969">
      <c r="B7969" s="292"/>
      <c r="C7969" s="181"/>
      <c r="D7969" s="181"/>
      <c r="E7969" s="181"/>
      <c r="F7969" s="181"/>
      <c r="G7969" s="181"/>
      <c r="H7969" s="181"/>
      <c r="I7969" s="181"/>
      <c r="J7969" s="181"/>
      <c r="K7969" s="181"/>
      <c r="L7969" s="181"/>
      <c r="M7969" s="181"/>
      <c r="N7969" s="181"/>
      <c r="O7969" s="181"/>
      <c r="P7969" s="181"/>
    </row>
    <row r="7970">
      <c r="B7970" s="292"/>
      <c r="C7970" s="181"/>
      <c r="D7970" s="181"/>
      <c r="E7970" s="181"/>
      <c r="F7970" s="181"/>
      <c r="G7970" s="181"/>
      <c r="H7970" s="181"/>
      <c r="I7970" s="181"/>
      <c r="J7970" s="181"/>
      <c r="K7970" s="181"/>
      <c r="L7970" s="181"/>
      <c r="M7970" s="181"/>
      <c r="N7970" s="181"/>
      <c r="O7970" s="181"/>
      <c r="P7970" s="181"/>
    </row>
    <row r="7971">
      <c r="B7971" s="292"/>
      <c r="C7971" s="181"/>
      <c r="D7971" s="181"/>
      <c r="E7971" s="181"/>
      <c r="F7971" s="181"/>
      <c r="G7971" s="181"/>
      <c r="H7971" s="181"/>
      <c r="I7971" s="181"/>
      <c r="J7971" s="181"/>
      <c r="K7971" s="181"/>
      <c r="L7971" s="181"/>
      <c r="M7971" s="181"/>
      <c r="N7971" s="181"/>
      <c r="O7971" s="181"/>
      <c r="P7971" s="181"/>
    </row>
    <row r="7972">
      <c r="B7972" s="292"/>
      <c r="C7972" s="181"/>
      <c r="D7972" s="181"/>
      <c r="E7972" s="181"/>
      <c r="F7972" s="181"/>
      <c r="G7972" s="181"/>
      <c r="H7972" s="181"/>
      <c r="I7972" s="181"/>
      <c r="J7972" s="181"/>
      <c r="K7972" s="181"/>
      <c r="L7972" s="181"/>
      <c r="M7972" s="181"/>
      <c r="N7972" s="181"/>
      <c r="O7972" s="181"/>
      <c r="P7972" s="181"/>
    </row>
    <row r="7973">
      <c r="B7973" s="292"/>
      <c r="C7973" s="181"/>
      <c r="D7973" s="181"/>
      <c r="E7973" s="181"/>
      <c r="F7973" s="181"/>
      <c r="G7973" s="181"/>
      <c r="H7973" s="181"/>
      <c r="I7973" s="181"/>
      <c r="J7973" s="181"/>
      <c r="K7973" s="181"/>
      <c r="L7973" s="181"/>
      <c r="M7973" s="181"/>
      <c r="N7973" s="181"/>
      <c r="O7973" s="181"/>
      <c r="P7973" s="181"/>
    </row>
    <row r="7974">
      <c r="B7974" s="292"/>
      <c r="C7974" s="181"/>
      <c r="D7974" s="181"/>
      <c r="E7974" s="181"/>
      <c r="F7974" s="181"/>
      <c r="G7974" s="181"/>
      <c r="H7974" s="181"/>
      <c r="I7974" s="181"/>
      <c r="J7974" s="181"/>
      <c r="K7974" s="181"/>
      <c r="L7974" s="181"/>
      <c r="M7974" s="181"/>
      <c r="N7974" s="181"/>
      <c r="O7974" s="181"/>
      <c r="P7974" s="181"/>
    </row>
    <row r="7975">
      <c r="B7975" s="292"/>
      <c r="C7975" s="181"/>
      <c r="D7975" s="181"/>
      <c r="E7975" s="181"/>
      <c r="F7975" s="181"/>
      <c r="G7975" s="181"/>
      <c r="H7975" s="181"/>
      <c r="I7975" s="181"/>
      <c r="J7975" s="181"/>
      <c r="K7975" s="181"/>
      <c r="L7975" s="181"/>
      <c r="M7975" s="181"/>
      <c r="N7975" s="181"/>
      <c r="O7975" s="181"/>
      <c r="P7975" s="181"/>
    </row>
    <row r="7976">
      <c r="B7976" s="292"/>
      <c r="C7976" s="181"/>
      <c r="D7976" s="181"/>
      <c r="E7976" s="181"/>
      <c r="F7976" s="181"/>
      <c r="G7976" s="181"/>
      <c r="H7976" s="181"/>
      <c r="I7976" s="181"/>
      <c r="J7976" s="181"/>
      <c r="K7976" s="181"/>
      <c r="L7976" s="181"/>
      <c r="M7976" s="181"/>
      <c r="N7976" s="181"/>
      <c r="O7976" s="181"/>
      <c r="P7976" s="181"/>
    </row>
    <row r="7977">
      <c r="B7977" s="292"/>
      <c r="C7977" s="181"/>
      <c r="D7977" s="181"/>
      <c r="E7977" s="181"/>
      <c r="F7977" s="181"/>
      <c r="G7977" s="181"/>
      <c r="H7977" s="181"/>
      <c r="I7977" s="181"/>
      <c r="J7977" s="181"/>
      <c r="K7977" s="181"/>
      <c r="L7977" s="181"/>
      <c r="M7977" s="181"/>
      <c r="N7977" s="181"/>
      <c r="O7977" s="181"/>
      <c r="P7977" s="181"/>
    </row>
    <row r="7978">
      <c r="B7978" s="292"/>
      <c r="C7978" s="181"/>
      <c r="D7978" s="181"/>
      <c r="E7978" s="181"/>
      <c r="F7978" s="181"/>
      <c r="G7978" s="181"/>
      <c r="H7978" s="181"/>
      <c r="I7978" s="181"/>
      <c r="J7978" s="181"/>
      <c r="K7978" s="181"/>
      <c r="L7978" s="181"/>
      <c r="M7978" s="181"/>
      <c r="N7978" s="181"/>
      <c r="O7978" s="181"/>
      <c r="P7978" s="181"/>
    </row>
    <row r="7979">
      <c r="B7979" s="292"/>
      <c r="C7979" s="181"/>
      <c r="D7979" s="181"/>
      <c r="E7979" s="181"/>
      <c r="F7979" s="181"/>
      <c r="G7979" s="181"/>
      <c r="H7979" s="181"/>
      <c r="I7979" s="181"/>
      <c r="J7979" s="181"/>
      <c r="K7979" s="181"/>
      <c r="L7979" s="181"/>
      <c r="M7979" s="181"/>
      <c r="N7979" s="181"/>
      <c r="O7979" s="181"/>
      <c r="P7979" s="181"/>
    </row>
    <row r="7980">
      <c r="B7980" s="292"/>
      <c r="C7980" s="181"/>
      <c r="D7980" s="181"/>
      <c r="E7980" s="181"/>
      <c r="F7980" s="181"/>
      <c r="G7980" s="181"/>
      <c r="H7980" s="181"/>
      <c r="I7980" s="181"/>
      <c r="J7980" s="181"/>
      <c r="K7980" s="181"/>
      <c r="L7980" s="181"/>
      <c r="M7980" s="181"/>
      <c r="N7980" s="181"/>
      <c r="O7980" s="181"/>
      <c r="P7980" s="181"/>
    </row>
    <row r="7981">
      <c r="B7981" s="292"/>
      <c r="C7981" s="181"/>
      <c r="D7981" s="181"/>
      <c r="E7981" s="181"/>
      <c r="F7981" s="181"/>
      <c r="G7981" s="181"/>
      <c r="H7981" s="181"/>
      <c r="I7981" s="181"/>
      <c r="J7981" s="181"/>
      <c r="K7981" s="181"/>
      <c r="L7981" s="181"/>
      <c r="M7981" s="181"/>
      <c r="N7981" s="181"/>
      <c r="O7981" s="181"/>
      <c r="P7981" s="181"/>
    </row>
    <row r="7982">
      <c r="B7982" s="292"/>
      <c r="C7982" s="181"/>
      <c r="D7982" s="181"/>
      <c r="E7982" s="181"/>
      <c r="F7982" s="181"/>
      <c r="G7982" s="181"/>
      <c r="H7982" s="181"/>
      <c r="I7982" s="181"/>
      <c r="J7982" s="181"/>
      <c r="K7982" s="181"/>
      <c r="L7982" s="181"/>
      <c r="M7982" s="181"/>
      <c r="N7982" s="181"/>
      <c r="O7982" s="181"/>
      <c r="P7982" s="181"/>
    </row>
    <row r="7983">
      <c r="B7983" s="292"/>
      <c r="C7983" s="181"/>
      <c r="D7983" s="181"/>
      <c r="E7983" s="181"/>
      <c r="F7983" s="181"/>
      <c r="G7983" s="181"/>
      <c r="H7983" s="181"/>
      <c r="I7983" s="181"/>
      <c r="J7983" s="181"/>
      <c r="K7983" s="181"/>
      <c r="L7983" s="181"/>
      <c r="M7983" s="181"/>
      <c r="N7983" s="181"/>
      <c r="O7983" s="181"/>
      <c r="P7983" s="181"/>
    </row>
    <row r="7984">
      <c r="B7984" s="292"/>
      <c r="C7984" s="181"/>
      <c r="D7984" s="181"/>
      <c r="E7984" s="181"/>
      <c r="F7984" s="181"/>
      <c r="G7984" s="181"/>
      <c r="H7984" s="181"/>
      <c r="I7984" s="181"/>
      <c r="J7984" s="181"/>
      <c r="K7984" s="181"/>
      <c r="L7984" s="181"/>
      <c r="M7984" s="181"/>
      <c r="N7984" s="181"/>
      <c r="O7984" s="181"/>
      <c r="P7984" s="181"/>
    </row>
    <row r="7985">
      <c r="B7985" s="292"/>
      <c r="C7985" s="181"/>
      <c r="D7985" s="181"/>
      <c r="E7985" s="181"/>
      <c r="F7985" s="181"/>
      <c r="G7985" s="181"/>
      <c r="H7985" s="181"/>
      <c r="I7985" s="181"/>
      <c r="J7985" s="181"/>
      <c r="K7985" s="181"/>
      <c r="L7985" s="181"/>
      <c r="M7985" s="181"/>
      <c r="N7985" s="181"/>
      <c r="O7985" s="181"/>
      <c r="P7985" s="181"/>
    </row>
    <row r="7986">
      <c r="B7986" s="292"/>
      <c r="C7986" s="181"/>
      <c r="D7986" s="181"/>
      <c r="E7986" s="181"/>
      <c r="F7986" s="181"/>
      <c r="G7986" s="181"/>
      <c r="H7986" s="181"/>
      <c r="I7986" s="181"/>
      <c r="J7986" s="181"/>
      <c r="K7986" s="181"/>
      <c r="L7986" s="181"/>
      <c r="M7986" s="181"/>
      <c r="N7986" s="181"/>
      <c r="O7986" s="181"/>
      <c r="P7986" s="181"/>
    </row>
    <row r="7987">
      <c r="B7987" s="292"/>
      <c r="C7987" s="181"/>
      <c r="D7987" s="181"/>
      <c r="E7987" s="181"/>
      <c r="F7987" s="181"/>
      <c r="G7987" s="181"/>
      <c r="H7987" s="181"/>
      <c r="I7987" s="181"/>
      <c r="J7987" s="181"/>
      <c r="K7987" s="181"/>
      <c r="L7987" s="181"/>
      <c r="M7987" s="181"/>
      <c r="N7987" s="181"/>
      <c r="O7987" s="181"/>
      <c r="P7987" s="181"/>
    </row>
    <row r="7988">
      <c r="B7988" s="292"/>
      <c r="C7988" s="181"/>
      <c r="D7988" s="181"/>
      <c r="E7988" s="181"/>
      <c r="F7988" s="181"/>
      <c r="G7988" s="181"/>
      <c r="H7988" s="181"/>
      <c r="I7988" s="181"/>
      <c r="J7988" s="181"/>
      <c r="K7988" s="181"/>
      <c r="L7988" s="181"/>
      <c r="M7988" s="181"/>
      <c r="N7988" s="181"/>
      <c r="O7988" s="181"/>
      <c r="P7988" s="181"/>
    </row>
    <row r="7989">
      <c r="B7989" s="292"/>
      <c r="C7989" s="181"/>
      <c r="D7989" s="181"/>
      <c r="E7989" s="181"/>
      <c r="F7989" s="181"/>
      <c r="G7989" s="181"/>
      <c r="H7989" s="181"/>
      <c r="I7989" s="181"/>
      <c r="J7989" s="181"/>
      <c r="K7989" s="181"/>
      <c r="L7989" s="181"/>
      <c r="M7989" s="181"/>
      <c r="N7989" s="181"/>
      <c r="O7989" s="181"/>
      <c r="P7989" s="181"/>
    </row>
    <row r="7990">
      <c r="B7990" s="292"/>
      <c r="C7990" s="181"/>
      <c r="D7990" s="181"/>
      <c r="E7990" s="181"/>
      <c r="F7990" s="181"/>
      <c r="G7990" s="181"/>
      <c r="H7990" s="181"/>
      <c r="I7990" s="181"/>
      <c r="J7990" s="181"/>
      <c r="K7990" s="181"/>
      <c r="L7990" s="181"/>
      <c r="M7990" s="181"/>
      <c r="N7990" s="181"/>
      <c r="O7990" s="181"/>
      <c r="P7990" s="181"/>
    </row>
    <row r="7991">
      <c r="B7991" s="292"/>
      <c r="C7991" s="181"/>
      <c r="D7991" s="181"/>
      <c r="E7991" s="181"/>
      <c r="F7991" s="181"/>
      <c r="G7991" s="181"/>
      <c r="H7991" s="181"/>
      <c r="I7991" s="181"/>
      <c r="J7991" s="181"/>
      <c r="K7991" s="181"/>
      <c r="L7991" s="181"/>
      <c r="M7991" s="181"/>
      <c r="N7991" s="181"/>
      <c r="O7991" s="181"/>
      <c r="P7991" s="181"/>
    </row>
    <row r="7992">
      <c r="B7992" s="292"/>
      <c r="C7992" s="181"/>
      <c r="D7992" s="181"/>
      <c r="E7992" s="181"/>
      <c r="F7992" s="181"/>
      <c r="G7992" s="181"/>
      <c r="H7992" s="181"/>
      <c r="I7992" s="181"/>
      <c r="J7992" s="181"/>
      <c r="K7992" s="181"/>
      <c r="L7992" s="181"/>
      <c r="M7992" s="181"/>
      <c r="N7992" s="181"/>
      <c r="O7992" s="181"/>
      <c r="P7992" s="181"/>
    </row>
    <row r="7993">
      <c r="B7993" s="292"/>
      <c r="C7993" s="181"/>
      <c r="D7993" s="181"/>
      <c r="E7993" s="181"/>
      <c r="F7993" s="181"/>
      <c r="G7993" s="181"/>
      <c r="H7993" s="181"/>
      <c r="I7993" s="181"/>
      <c r="J7993" s="181"/>
      <c r="K7993" s="181"/>
      <c r="L7993" s="181"/>
      <c r="M7993" s="181"/>
      <c r="N7993" s="181"/>
      <c r="O7993" s="181"/>
      <c r="P7993" s="181"/>
    </row>
    <row r="7994">
      <c r="B7994" s="292"/>
      <c r="C7994" s="181"/>
      <c r="D7994" s="181"/>
      <c r="E7994" s="181"/>
      <c r="F7994" s="181"/>
      <c r="G7994" s="181"/>
      <c r="H7994" s="181"/>
      <c r="I7994" s="181"/>
      <c r="J7994" s="181"/>
      <c r="K7994" s="181"/>
      <c r="L7994" s="181"/>
      <c r="M7994" s="181"/>
      <c r="N7994" s="181"/>
      <c r="O7994" s="181"/>
      <c r="P7994" s="181"/>
    </row>
    <row r="7995">
      <c r="B7995" s="292"/>
      <c r="C7995" s="181"/>
      <c r="D7995" s="181"/>
      <c r="E7995" s="181"/>
      <c r="F7995" s="181"/>
      <c r="G7995" s="181"/>
      <c r="H7995" s="181"/>
      <c r="I7995" s="181"/>
      <c r="J7995" s="181"/>
      <c r="K7995" s="181"/>
      <c r="L7995" s="181"/>
      <c r="M7995" s="181"/>
      <c r="N7995" s="181"/>
      <c r="O7995" s="181"/>
      <c r="P7995" s="181"/>
    </row>
    <row r="7996">
      <c r="B7996" s="292"/>
      <c r="C7996" s="181"/>
      <c r="D7996" s="181"/>
      <c r="E7996" s="181"/>
      <c r="F7996" s="181"/>
      <c r="G7996" s="181"/>
      <c r="H7996" s="181"/>
      <c r="I7996" s="181"/>
      <c r="J7996" s="181"/>
      <c r="K7996" s="181"/>
      <c r="L7996" s="181"/>
      <c r="M7996" s="181"/>
      <c r="N7996" s="181"/>
      <c r="O7996" s="181"/>
      <c r="P7996" s="181"/>
    </row>
    <row r="7997">
      <c r="B7997" s="292"/>
      <c r="C7997" s="181"/>
      <c r="D7997" s="181"/>
      <c r="E7997" s="181"/>
      <c r="F7997" s="181"/>
      <c r="G7997" s="181"/>
      <c r="H7997" s="181"/>
      <c r="I7997" s="181"/>
      <c r="J7997" s="181"/>
      <c r="K7997" s="181"/>
      <c r="L7997" s="181"/>
      <c r="M7997" s="181"/>
      <c r="N7997" s="181"/>
      <c r="O7997" s="181"/>
      <c r="P7997" s="181"/>
    </row>
    <row r="7998">
      <c r="B7998" s="292"/>
      <c r="C7998" s="181"/>
      <c r="D7998" s="181"/>
      <c r="E7998" s="181"/>
      <c r="F7998" s="181"/>
      <c r="G7998" s="181"/>
      <c r="H7998" s="181"/>
      <c r="I7998" s="181"/>
      <c r="J7998" s="181"/>
      <c r="K7998" s="181"/>
      <c r="L7998" s="181"/>
      <c r="M7998" s="181"/>
      <c r="N7998" s="181"/>
      <c r="O7998" s="181"/>
      <c r="P7998" s="181"/>
    </row>
    <row r="7999">
      <c r="B7999" s="292"/>
      <c r="C7999" s="181"/>
      <c r="D7999" s="181"/>
      <c r="E7999" s="181"/>
      <c r="F7999" s="181"/>
      <c r="G7999" s="181"/>
      <c r="H7999" s="181"/>
      <c r="I7999" s="181"/>
      <c r="J7999" s="181"/>
      <c r="K7999" s="181"/>
      <c r="L7999" s="181"/>
      <c r="M7999" s="181"/>
      <c r="N7999" s="181"/>
      <c r="O7999" s="181"/>
      <c r="P7999" s="181"/>
    </row>
    <row r="8000">
      <c r="B8000" s="292"/>
      <c r="C8000" s="181"/>
      <c r="D8000" s="181"/>
      <c r="E8000" s="181"/>
      <c r="F8000" s="181"/>
      <c r="G8000" s="181"/>
      <c r="H8000" s="181"/>
      <c r="I8000" s="181"/>
      <c r="J8000" s="181"/>
      <c r="K8000" s="181"/>
      <c r="L8000" s="181"/>
      <c r="M8000" s="181"/>
      <c r="N8000" s="181"/>
      <c r="O8000" s="181"/>
      <c r="P8000" s="181"/>
    </row>
    <row r="8001">
      <c r="B8001" s="292"/>
      <c r="C8001" s="181"/>
      <c r="D8001" s="181"/>
      <c r="E8001" s="181"/>
      <c r="F8001" s="181"/>
      <c r="G8001" s="181"/>
      <c r="H8001" s="181"/>
      <c r="I8001" s="181"/>
      <c r="J8001" s="181"/>
      <c r="K8001" s="181"/>
      <c r="L8001" s="181"/>
      <c r="M8001" s="181"/>
      <c r="N8001" s="181"/>
      <c r="O8001" s="181"/>
      <c r="P8001" s="181"/>
    </row>
    <row r="8002">
      <c r="B8002" s="292"/>
      <c r="C8002" s="181"/>
      <c r="D8002" s="181"/>
      <c r="E8002" s="181"/>
      <c r="F8002" s="181"/>
      <c r="G8002" s="181"/>
      <c r="H8002" s="181"/>
      <c r="I8002" s="181"/>
      <c r="J8002" s="181"/>
      <c r="K8002" s="181"/>
      <c r="L8002" s="181"/>
      <c r="M8002" s="181"/>
      <c r="N8002" s="181"/>
      <c r="O8002" s="181"/>
      <c r="P8002" s="181"/>
    </row>
    <row r="8003">
      <c r="B8003" s="292"/>
      <c r="C8003" s="181"/>
      <c r="D8003" s="181"/>
      <c r="E8003" s="181"/>
      <c r="F8003" s="181"/>
      <c r="G8003" s="181"/>
      <c r="H8003" s="181"/>
      <c r="I8003" s="181"/>
      <c r="J8003" s="181"/>
      <c r="K8003" s="181"/>
      <c r="L8003" s="181"/>
      <c r="M8003" s="181"/>
      <c r="N8003" s="181"/>
      <c r="O8003" s="181"/>
      <c r="P8003" s="181"/>
    </row>
    <row r="8004">
      <c r="B8004" s="292"/>
      <c r="C8004" s="181"/>
      <c r="D8004" s="181"/>
      <c r="E8004" s="181"/>
      <c r="F8004" s="181"/>
      <c r="G8004" s="181"/>
      <c r="H8004" s="181"/>
      <c r="I8004" s="181"/>
      <c r="J8004" s="181"/>
      <c r="K8004" s="181"/>
      <c r="L8004" s="181"/>
      <c r="M8004" s="181"/>
      <c r="N8004" s="181"/>
      <c r="O8004" s="181"/>
      <c r="P8004" s="181"/>
    </row>
    <row r="8005">
      <c r="B8005" s="292"/>
      <c r="C8005" s="181"/>
      <c r="D8005" s="181"/>
      <c r="E8005" s="181"/>
      <c r="F8005" s="181"/>
      <c r="G8005" s="181"/>
      <c r="H8005" s="181"/>
      <c r="I8005" s="181"/>
      <c r="J8005" s="181"/>
      <c r="K8005" s="181"/>
      <c r="L8005" s="181"/>
      <c r="M8005" s="181"/>
      <c r="N8005" s="181"/>
      <c r="O8005" s="181"/>
      <c r="P8005" s="181"/>
    </row>
    <row r="8006">
      <c r="B8006" s="292"/>
      <c r="C8006" s="181"/>
      <c r="D8006" s="181"/>
      <c r="E8006" s="181"/>
      <c r="F8006" s="181"/>
      <c r="G8006" s="181"/>
      <c r="H8006" s="181"/>
      <c r="I8006" s="181"/>
      <c r="J8006" s="181"/>
      <c r="K8006" s="181"/>
      <c r="L8006" s="181"/>
      <c r="M8006" s="181"/>
      <c r="N8006" s="181"/>
      <c r="O8006" s="181"/>
      <c r="P8006" s="181"/>
    </row>
    <row r="8007">
      <c r="B8007" s="292"/>
      <c r="C8007" s="181"/>
      <c r="D8007" s="181"/>
      <c r="E8007" s="181"/>
      <c r="F8007" s="181"/>
      <c r="G8007" s="181"/>
      <c r="H8007" s="181"/>
      <c r="I8007" s="181"/>
      <c r="J8007" s="181"/>
      <c r="K8007" s="181"/>
      <c r="L8007" s="181"/>
      <c r="M8007" s="181"/>
      <c r="N8007" s="181"/>
      <c r="O8007" s="181"/>
      <c r="P8007" s="181"/>
    </row>
    <row r="8008">
      <c r="B8008" s="292"/>
      <c r="C8008" s="181"/>
      <c r="D8008" s="181"/>
      <c r="E8008" s="181"/>
      <c r="F8008" s="181"/>
      <c r="G8008" s="181"/>
      <c r="H8008" s="181"/>
      <c r="I8008" s="181"/>
      <c r="J8008" s="181"/>
      <c r="K8008" s="181"/>
      <c r="L8008" s="181"/>
      <c r="M8008" s="181"/>
      <c r="N8008" s="181"/>
      <c r="O8008" s="181"/>
      <c r="P8008" s="181"/>
    </row>
    <row r="8009">
      <c r="B8009" s="292"/>
      <c r="C8009" s="181"/>
      <c r="D8009" s="181"/>
      <c r="E8009" s="181"/>
      <c r="F8009" s="181"/>
      <c r="G8009" s="181"/>
      <c r="H8009" s="181"/>
      <c r="I8009" s="181"/>
      <c r="J8009" s="181"/>
      <c r="K8009" s="181"/>
      <c r="L8009" s="181"/>
      <c r="M8009" s="181"/>
      <c r="N8009" s="181"/>
      <c r="O8009" s="181"/>
      <c r="P8009" s="181"/>
    </row>
    <row r="8010">
      <c r="B8010" s="292"/>
      <c r="C8010" s="181"/>
      <c r="D8010" s="181"/>
      <c r="E8010" s="181"/>
      <c r="F8010" s="181"/>
      <c r="G8010" s="181"/>
      <c r="H8010" s="181"/>
      <c r="I8010" s="181"/>
      <c r="J8010" s="181"/>
      <c r="K8010" s="181"/>
      <c r="L8010" s="181"/>
      <c r="M8010" s="181"/>
      <c r="N8010" s="181"/>
      <c r="O8010" s="181"/>
      <c r="P8010" s="181"/>
    </row>
    <row r="8011">
      <c r="B8011" s="292"/>
      <c r="C8011" s="181"/>
      <c r="D8011" s="181"/>
      <c r="E8011" s="181"/>
      <c r="F8011" s="181"/>
      <c r="G8011" s="181"/>
      <c r="H8011" s="181"/>
      <c r="I8011" s="181"/>
      <c r="J8011" s="181"/>
      <c r="K8011" s="181"/>
      <c r="L8011" s="181"/>
      <c r="M8011" s="181"/>
      <c r="N8011" s="181"/>
      <c r="O8011" s="181"/>
      <c r="P8011" s="181"/>
    </row>
    <row r="8012">
      <c r="B8012" s="292"/>
      <c r="C8012" s="181"/>
      <c r="D8012" s="181"/>
      <c r="E8012" s="181"/>
      <c r="F8012" s="181"/>
      <c r="G8012" s="181"/>
      <c r="H8012" s="181"/>
      <c r="I8012" s="181"/>
      <c r="J8012" s="181"/>
      <c r="K8012" s="181"/>
      <c r="L8012" s="181"/>
      <c r="M8012" s="181"/>
      <c r="N8012" s="181"/>
      <c r="O8012" s="181"/>
      <c r="P8012" s="181"/>
    </row>
    <row r="8013">
      <c r="B8013" s="292"/>
      <c r="C8013" s="181"/>
      <c r="D8013" s="181"/>
      <c r="E8013" s="181"/>
      <c r="F8013" s="181"/>
      <c r="G8013" s="181"/>
      <c r="H8013" s="181"/>
      <c r="I8013" s="181"/>
      <c r="J8013" s="181"/>
      <c r="K8013" s="181"/>
      <c r="L8013" s="181"/>
      <c r="M8013" s="181"/>
      <c r="N8013" s="181"/>
      <c r="O8013" s="181"/>
      <c r="P8013" s="181"/>
    </row>
    <row r="8014">
      <c r="B8014" s="292"/>
      <c r="C8014" s="181"/>
      <c r="D8014" s="181"/>
      <c r="E8014" s="181"/>
      <c r="F8014" s="181"/>
      <c r="G8014" s="181"/>
      <c r="H8014" s="181"/>
      <c r="I8014" s="181"/>
      <c r="J8014" s="181"/>
      <c r="K8014" s="181"/>
      <c r="L8014" s="181"/>
      <c r="M8014" s="181"/>
      <c r="N8014" s="181"/>
      <c r="O8014" s="181"/>
      <c r="P8014" s="181"/>
    </row>
    <row r="8015">
      <c r="B8015" s="292"/>
      <c r="C8015" s="181"/>
      <c r="D8015" s="181"/>
      <c r="E8015" s="181"/>
      <c r="F8015" s="181"/>
      <c r="G8015" s="181"/>
      <c r="H8015" s="181"/>
      <c r="I8015" s="181"/>
      <c r="J8015" s="181"/>
      <c r="K8015" s="181"/>
      <c r="L8015" s="181"/>
      <c r="M8015" s="181"/>
      <c r="N8015" s="181"/>
      <c r="O8015" s="181"/>
      <c r="P8015" s="181"/>
    </row>
    <row r="8016">
      <c r="B8016" s="292"/>
      <c r="C8016" s="181"/>
      <c r="D8016" s="181"/>
      <c r="E8016" s="181"/>
      <c r="F8016" s="181"/>
      <c r="G8016" s="181"/>
      <c r="H8016" s="181"/>
      <c r="I8016" s="181"/>
      <c r="J8016" s="181"/>
      <c r="K8016" s="181"/>
      <c r="L8016" s="181"/>
      <c r="M8016" s="181"/>
      <c r="N8016" s="181"/>
      <c r="O8016" s="181"/>
      <c r="P8016" s="181"/>
    </row>
    <row r="8017">
      <c r="B8017" s="292"/>
      <c r="C8017" s="181"/>
      <c r="D8017" s="181"/>
      <c r="E8017" s="181"/>
      <c r="F8017" s="181"/>
      <c r="G8017" s="181"/>
      <c r="H8017" s="181"/>
      <c r="I8017" s="181"/>
      <c r="J8017" s="181"/>
      <c r="K8017" s="181"/>
      <c r="L8017" s="181"/>
      <c r="M8017" s="181"/>
      <c r="N8017" s="181"/>
      <c r="O8017" s="181"/>
      <c r="P8017" s="181"/>
    </row>
    <row r="8018">
      <c r="B8018" s="292"/>
      <c r="C8018" s="181"/>
      <c r="D8018" s="181"/>
      <c r="E8018" s="181"/>
      <c r="F8018" s="181"/>
      <c r="G8018" s="181"/>
      <c r="H8018" s="181"/>
      <c r="I8018" s="181"/>
      <c r="J8018" s="181"/>
      <c r="K8018" s="181"/>
      <c r="L8018" s="181"/>
      <c r="M8018" s="181"/>
      <c r="N8018" s="181"/>
      <c r="O8018" s="181"/>
      <c r="P8018" s="181"/>
    </row>
    <row r="8019">
      <c r="B8019" s="292"/>
      <c r="C8019" s="181"/>
      <c r="D8019" s="181"/>
      <c r="E8019" s="181"/>
      <c r="F8019" s="181"/>
      <c r="G8019" s="181"/>
      <c r="H8019" s="181"/>
      <c r="I8019" s="181"/>
      <c r="J8019" s="181"/>
      <c r="K8019" s="181"/>
      <c r="L8019" s="181"/>
      <c r="M8019" s="181"/>
      <c r="N8019" s="181"/>
      <c r="O8019" s="181"/>
      <c r="P8019" s="181"/>
    </row>
    <row r="8020">
      <c r="B8020" s="292"/>
      <c r="C8020" s="181"/>
      <c r="D8020" s="181"/>
      <c r="E8020" s="181"/>
      <c r="F8020" s="181"/>
      <c r="G8020" s="181"/>
      <c r="H8020" s="181"/>
      <c r="I8020" s="181"/>
      <c r="J8020" s="181"/>
      <c r="K8020" s="181"/>
      <c r="L8020" s="181"/>
      <c r="M8020" s="181"/>
      <c r="N8020" s="181"/>
      <c r="O8020" s="181"/>
      <c r="P8020" s="181"/>
    </row>
    <row r="8021">
      <c r="B8021" s="292"/>
      <c r="C8021" s="181"/>
      <c r="D8021" s="181"/>
      <c r="E8021" s="181"/>
      <c r="F8021" s="181"/>
      <c r="G8021" s="181"/>
      <c r="H8021" s="181"/>
      <c r="I8021" s="181"/>
      <c r="J8021" s="181"/>
      <c r="K8021" s="181"/>
      <c r="L8021" s="181"/>
      <c r="M8021" s="181"/>
      <c r="N8021" s="181"/>
      <c r="O8021" s="181"/>
      <c r="P8021" s="181"/>
    </row>
    <row r="8022">
      <c r="B8022" s="292"/>
      <c r="C8022" s="181"/>
      <c r="D8022" s="181"/>
      <c r="E8022" s="181"/>
      <c r="F8022" s="181"/>
      <c r="G8022" s="181"/>
      <c r="H8022" s="181"/>
      <c r="I8022" s="181"/>
      <c r="J8022" s="181"/>
      <c r="K8022" s="181"/>
      <c r="L8022" s="181"/>
      <c r="M8022" s="181"/>
      <c r="N8022" s="181"/>
      <c r="O8022" s="181"/>
      <c r="P8022" s="181"/>
    </row>
    <row r="8023">
      <c r="B8023" s="292"/>
      <c r="C8023" s="181"/>
      <c r="D8023" s="181"/>
      <c r="E8023" s="181"/>
      <c r="F8023" s="181"/>
      <c r="G8023" s="181"/>
      <c r="H8023" s="181"/>
      <c r="I8023" s="181"/>
      <c r="J8023" s="181"/>
      <c r="K8023" s="181"/>
      <c r="L8023" s="181"/>
      <c r="M8023" s="181"/>
      <c r="N8023" s="181"/>
      <c r="O8023" s="181"/>
      <c r="P8023" s="181"/>
    </row>
    <row r="8024">
      <c r="B8024" s="292"/>
      <c r="C8024" s="181"/>
      <c r="D8024" s="181"/>
      <c r="E8024" s="181"/>
      <c r="F8024" s="181"/>
      <c r="G8024" s="181"/>
      <c r="H8024" s="181"/>
      <c r="I8024" s="181"/>
      <c r="J8024" s="181"/>
      <c r="K8024" s="181"/>
      <c r="L8024" s="181"/>
      <c r="M8024" s="181"/>
      <c r="N8024" s="181"/>
      <c r="O8024" s="181"/>
      <c r="P8024" s="181"/>
    </row>
    <row r="8025">
      <c r="B8025" s="292"/>
      <c r="C8025" s="181"/>
      <c r="D8025" s="181"/>
      <c r="E8025" s="181"/>
      <c r="F8025" s="181"/>
      <c r="G8025" s="181"/>
      <c r="H8025" s="181"/>
      <c r="I8025" s="181"/>
      <c r="J8025" s="181"/>
      <c r="K8025" s="181"/>
      <c r="L8025" s="181"/>
      <c r="M8025" s="181"/>
      <c r="N8025" s="181"/>
      <c r="O8025" s="181"/>
      <c r="P8025" s="181"/>
    </row>
    <row r="8026">
      <c r="B8026" s="292"/>
      <c r="C8026" s="181"/>
      <c r="D8026" s="181"/>
      <c r="E8026" s="181"/>
      <c r="F8026" s="181"/>
      <c r="G8026" s="181"/>
      <c r="H8026" s="181"/>
      <c r="I8026" s="181"/>
      <c r="J8026" s="181"/>
      <c r="K8026" s="181"/>
      <c r="L8026" s="181"/>
      <c r="M8026" s="181"/>
      <c r="N8026" s="181"/>
      <c r="O8026" s="181"/>
      <c r="P8026" s="181"/>
    </row>
    <row r="8027">
      <c r="B8027" s="292"/>
      <c r="C8027" s="181"/>
      <c r="D8027" s="181"/>
      <c r="E8027" s="181"/>
      <c r="F8027" s="181"/>
      <c r="G8027" s="181"/>
      <c r="H8027" s="181"/>
      <c r="I8027" s="181"/>
      <c r="J8027" s="181"/>
      <c r="K8027" s="181"/>
      <c r="L8027" s="181"/>
      <c r="M8027" s="181"/>
      <c r="N8027" s="181"/>
      <c r="O8027" s="181"/>
      <c r="P8027" s="181"/>
    </row>
    <row r="8028">
      <c r="B8028" s="292"/>
      <c r="C8028" s="181"/>
      <c r="D8028" s="181"/>
      <c r="E8028" s="181"/>
      <c r="F8028" s="181"/>
      <c r="G8028" s="181"/>
      <c r="H8028" s="181"/>
      <c r="I8028" s="181"/>
      <c r="J8028" s="181"/>
      <c r="K8028" s="181"/>
      <c r="L8028" s="181"/>
      <c r="M8028" s="181"/>
      <c r="N8028" s="181"/>
      <c r="O8028" s="181"/>
      <c r="P8028" s="181"/>
    </row>
    <row r="8029">
      <c r="B8029" s="292"/>
      <c r="C8029" s="181"/>
      <c r="D8029" s="181"/>
      <c r="E8029" s="181"/>
      <c r="F8029" s="181"/>
      <c r="G8029" s="181"/>
      <c r="H8029" s="181"/>
      <c r="I8029" s="181"/>
      <c r="J8029" s="181"/>
      <c r="K8029" s="181"/>
      <c r="L8029" s="181"/>
      <c r="M8029" s="181"/>
      <c r="N8029" s="181"/>
      <c r="O8029" s="181"/>
      <c r="P8029" s="181"/>
    </row>
    <row r="8030">
      <c r="B8030" s="292"/>
      <c r="C8030" s="181"/>
      <c r="D8030" s="181"/>
      <c r="E8030" s="181"/>
      <c r="F8030" s="181"/>
      <c r="G8030" s="181"/>
      <c r="H8030" s="181"/>
      <c r="I8030" s="181"/>
      <c r="J8030" s="181"/>
      <c r="K8030" s="181"/>
      <c r="L8030" s="181"/>
      <c r="M8030" s="181"/>
      <c r="N8030" s="181"/>
      <c r="O8030" s="181"/>
      <c r="P8030" s="181"/>
    </row>
    <row r="8031">
      <c r="B8031" s="292"/>
      <c r="C8031" s="181"/>
      <c r="D8031" s="181"/>
      <c r="E8031" s="181"/>
      <c r="F8031" s="181"/>
      <c r="G8031" s="181"/>
      <c r="H8031" s="181"/>
      <c r="I8031" s="181"/>
      <c r="J8031" s="181"/>
      <c r="K8031" s="181"/>
      <c r="L8031" s="181"/>
      <c r="M8031" s="181"/>
      <c r="N8031" s="181"/>
      <c r="O8031" s="181"/>
      <c r="P8031" s="181"/>
    </row>
    <row r="8032">
      <c r="B8032" s="292"/>
      <c r="C8032" s="181"/>
      <c r="D8032" s="181"/>
      <c r="E8032" s="181"/>
      <c r="F8032" s="181"/>
      <c r="G8032" s="181"/>
      <c r="H8032" s="181"/>
      <c r="I8032" s="181"/>
      <c r="J8032" s="181"/>
      <c r="K8032" s="181"/>
      <c r="L8032" s="181"/>
      <c r="M8032" s="181"/>
      <c r="N8032" s="181"/>
      <c r="O8032" s="181"/>
      <c r="P8032" s="181"/>
    </row>
    <row r="8033">
      <c r="B8033" s="292"/>
      <c r="C8033" s="181"/>
      <c r="D8033" s="181"/>
      <c r="E8033" s="181"/>
      <c r="F8033" s="181"/>
      <c r="G8033" s="181"/>
      <c r="H8033" s="181"/>
      <c r="I8033" s="181"/>
      <c r="J8033" s="181"/>
      <c r="K8033" s="181"/>
      <c r="L8033" s="181"/>
      <c r="M8033" s="181"/>
      <c r="N8033" s="181"/>
      <c r="O8033" s="181"/>
      <c r="P8033" s="181"/>
    </row>
    <row r="8034">
      <c r="B8034" s="292"/>
      <c r="C8034" s="181"/>
      <c r="D8034" s="181"/>
      <c r="E8034" s="181"/>
      <c r="F8034" s="181"/>
      <c r="G8034" s="181"/>
      <c r="H8034" s="181"/>
      <c r="I8034" s="181"/>
      <c r="J8034" s="181"/>
      <c r="K8034" s="181"/>
      <c r="L8034" s="181"/>
      <c r="M8034" s="181"/>
      <c r="N8034" s="181"/>
      <c r="O8034" s="181"/>
      <c r="P8034" s="181"/>
    </row>
    <row r="8035">
      <c r="B8035" s="292"/>
      <c r="C8035" s="181"/>
      <c r="D8035" s="181"/>
      <c r="E8035" s="181"/>
      <c r="F8035" s="181"/>
      <c r="G8035" s="181"/>
      <c r="H8035" s="181"/>
      <c r="I8035" s="181"/>
      <c r="J8035" s="181"/>
      <c r="K8035" s="181"/>
      <c r="L8035" s="181"/>
      <c r="M8035" s="181"/>
      <c r="N8035" s="181"/>
      <c r="O8035" s="181"/>
      <c r="P8035" s="181"/>
    </row>
    <row r="8036">
      <c r="B8036" s="292"/>
      <c r="C8036" s="181"/>
      <c r="D8036" s="181"/>
      <c r="E8036" s="181"/>
      <c r="F8036" s="181"/>
      <c r="G8036" s="181"/>
      <c r="H8036" s="181"/>
      <c r="I8036" s="181"/>
      <c r="J8036" s="181"/>
      <c r="K8036" s="181"/>
      <c r="L8036" s="181"/>
      <c r="M8036" s="181"/>
      <c r="N8036" s="181"/>
      <c r="O8036" s="181"/>
      <c r="P8036" s="181"/>
    </row>
    <row r="8037">
      <c r="B8037" s="292"/>
      <c r="C8037" s="181"/>
      <c r="D8037" s="181"/>
      <c r="E8037" s="181"/>
      <c r="F8037" s="181"/>
      <c r="G8037" s="181"/>
      <c r="H8037" s="181"/>
      <c r="I8037" s="181"/>
      <c r="J8037" s="181"/>
      <c r="K8037" s="181"/>
      <c r="L8037" s="181"/>
      <c r="M8037" s="181"/>
      <c r="N8037" s="181"/>
      <c r="O8037" s="181"/>
      <c r="P8037" s="181"/>
    </row>
    <row r="8038">
      <c r="B8038" s="292"/>
      <c r="C8038" s="181"/>
      <c r="D8038" s="181"/>
      <c r="E8038" s="181"/>
      <c r="F8038" s="181"/>
      <c r="G8038" s="181"/>
      <c r="H8038" s="181"/>
      <c r="I8038" s="181"/>
      <c r="J8038" s="181"/>
      <c r="K8038" s="181"/>
      <c r="L8038" s="181"/>
      <c r="M8038" s="181"/>
      <c r="N8038" s="181"/>
      <c r="O8038" s="181"/>
      <c r="P8038" s="181"/>
    </row>
    <row r="8039">
      <c r="B8039" s="292"/>
      <c r="C8039" s="181"/>
      <c r="D8039" s="181"/>
      <c r="E8039" s="181"/>
      <c r="F8039" s="181"/>
      <c r="G8039" s="181"/>
      <c r="H8039" s="181"/>
      <c r="I8039" s="181"/>
      <c r="J8039" s="181"/>
      <c r="K8039" s="181"/>
      <c r="L8039" s="181"/>
      <c r="M8039" s="181"/>
      <c r="N8039" s="181"/>
      <c r="O8039" s="181"/>
      <c r="P8039" s="181"/>
    </row>
    <row r="8040">
      <c r="B8040" s="292"/>
      <c r="C8040" s="181"/>
      <c r="D8040" s="181"/>
      <c r="E8040" s="181"/>
      <c r="F8040" s="181"/>
      <c r="G8040" s="181"/>
      <c r="H8040" s="181"/>
      <c r="I8040" s="181"/>
      <c r="J8040" s="181"/>
      <c r="K8040" s="181"/>
      <c r="L8040" s="181"/>
      <c r="M8040" s="181"/>
      <c r="N8040" s="181"/>
      <c r="O8040" s="181"/>
      <c r="P8040" s="181"/>
    </row>
    <row r="8041">
      <c r="B8041" s="292"/>
      <c r="C8041" s="181"/>
      <c r="D8041" s="181"/>
      <c r="E8041" s="181"/>
      <c r="F8041" s="181"/>
      <c r="G8041" s="181"/>
      <c r="H8041" s="181"/>
      <c r="I8041" s="181"/>
      <c r="J8041" s="181"/>
      <c r="K8041" s="181"/>
      <c r="L8041" s="181"/>
      <c r="M8041" s="181"/>
      <c r="N8041" s="181"/>
      <c r="O8041" s="181"/>
      <c r="P8041" s="181"/>
    </row>
    <row r="8042">
      <c r="B8042" s="292"/>
      <c r="C8042" s="181"/>
      <c r="D8042" s="181"/>
      <c r="E8042" s="181"/>
      <c r="F8042" s="181"/>
      <c r="G8042" s="181"/>
      <c r="H8042" s="181"/>
      <c r="I8042" s="181"/>
      <c r="J8042" s="181"/>
      <c r="K8042" s="181"/>
      <c r="L8042" s="181"/>
      <c r="M8042" s="181"/>
      <c r="N8042" s="181"/>
      <c r="O8042" s="181"/>
      <c r="P8042" s="181"/>
    </row>
    <row r="8043">
      <c r="B8043" s="292"/>
      <c r="C8043" s="181"/>
      <c r="D8043" s="181"/>
      <c r="E8043" s="181"/>
      <c r="F8043" s="181"/>
      <c r="G8043" s="181"/>
      <c r="H8043" s="181"/>
      <c r="I8043" s="181"/>
      <c r="J8043" s="181"/>
      <c r="K8043" s="181"/>
      <c r="L8043" s="181"/>
      <c r="M8043" s="181"/>
      <c r="N8043" s="181"/>
      <c r="O8043" s="181"/>
      <c r="P8043" s="181"/>
    </row>
    <row r="8044">
      <c r="B8044" s="292"/>
      <c r="C8044" s="181"/>
      <c r="D8044" s="181"/>
      <c r="E8044" s="181"/>
      <c r="F8044" s="181"/>
      <c r="G8044" s="181"/>
      <c r="H8044" s="181"/>
      <c r="I8044" s="181"/>
      <c r="J8044" s="181"/>
      <c r="K8044" s="181"/>
      <c r="L8044" s="181"/>
      <c r="M8044" s="181"/>
      <c r="N8044" s="181"/>
      <c r="O8044" s="181"/>
      <c r="P8044" s="181"/>
    </row>
    <row r="8045">
      <c r="B8045" s="292"/>
      <c r="C8045" s="181"/>
      <c r="D8045" s="181"/>
      <c r="E8045" s="181"/>
      <c r="F8045" s="181"/>
      <c r="G8045" s="181"/>
      <c r="H8045" s="181"/>
      <c r="I8045" s="181"/>
      <c r="J8045" s="181"/>
      <c r="K8045" s="181"/>
      <c r="L8045" s="181"/>
      <c r="M8045" s="181"/>
      <c r="N8045" s="181"/>
      <c r="O8045" s="181"/>
      <c r="P8045" s="181"/>
    </row>
    <row r="8046">
      <c r="B8046" s="292"/>
      <c r="C8046" s="181"/>
      <c r="D8046" s="181"/>
      <c r="E8046" s="181"/>
      <c r="F8046" s="181"/>
      <c r="G8046" s="181"/>
      <c r="H8046" s="181"/>
      <c r="I8046" s="181"/>
      <c r="J8046" s="181"/>
      <c r="K8046" s="181"/>
      <c r="L8046" s="181"/>
      <c r="M8046" s="181"/>
      <c r="N8046" s="181"/>
      <c r="O8046" s="181"/>
      <c r="P8046" s="181"/>
    </row>
    <row r="8047">
      <c r="B8047" s="292"/>
      <c r="C8047" s="181"/>
      <c r="D8047" s="181"/>
      <c r="E8047" s="181"/>
      <c r="F8047" s="181"/>
      <c r="G8047" s="181"/>
      <c r="H8047" s="181"/>
      <c r="I8047" s="181"/>
      <c r="J8047" s="181"/>
      <c r="K8047" s="181"/>
      <c r="L8047" s="181"/>
      <c r="M8047" s="181"/>
      <c r="N8047" s="181"/>
      <c r="O8047" s="181"/>
      <c r="P8047" s="181"/>
    </row>
    <row r="8048">
      <c r="B8048" s="292"/>
      <c r="C8048" s="181"/>
      <c r="D8048" s="181"/>
      <c r="E8048" s="181"/>
      <c r="F8048" s="181"/>
      <c r="G8048" s="181"/>
      <c r="H8048" s="181"/>
      <c r="I8048" s="181"/>
      <c r="J8048" s="181"/>
      <c r="K8048" s="181"/>
      <c r="L8048" s="181"/>
      <c r="M8048" s="181"/>
      <c r="N8048" s="181"/>
      <c r="O8048" s="181"/>
      <c r="P8048" s="181"/>
    </row>
    <row r="8049">
      <c r="B8049" s="292"/>
      <c r="C8049" s="181"/>
      <c r="D8049" s="181"/>
      <c r="E8049" s="181"/>
      <c r="F8049" s="181"/>
      <c r="G8049" s="181"/>
      <c r="H8049" s="181"/>
      <c r="I8049" s="181"/>
      <c r="J8049" s="181"/>
      <c r="K8049" s="181"/>
      <c r="L8049" s="181"/>
      <c r="M8049" s="181"/>
      <c r="N8049" s="181"/>
      <c r="O8049" s="181"/>
      <c r="P8049" s="181"/>
    </row>
    <row r="8050">
      <c r="B8050" s="292"/>
      <c r="C8050" s="181"/>
      <c r="D8050" s="181"/>
      <c r="E8050" s="181"/>
      <c r="F8050" s="181"/>
      <c r="G8050" s="181"/>
      <c r="H8050" s="181"/>
      <c r="I8050" s="181"/>
      <c r="J8050" s="181"/>
      <c r="K8050" s="181"/>
      <c r="L8050" s="181"/>
      <c r="M8050" s="181"/>
      <c r="N8050" s="181"/>
      <c r="O8050" s="181"/>
      <c r="P8050" s="181"/>
    </row>
    <row r="8051">
      <c r="B8051" s="292"/>
      <c r="C8051" s="181"/>
      <c r="D8051" s="181"/>
      <c r="E8051" s="181"/>
      <c r="F8051" s="181"/>
      <c r="G8051" s="181"/>
      <c r="H8051" s="181"/>
      <c r="I8051" s="181"/>
      <c r="J8051" s="181"/>
      <c r="K8051" s="181"/>
      <c r="L8051" s="181"/>
      <c r="M8051" s="181"/>
      <c r="N8051" s="181"/>
      <c r="O8051" s="181"/>
      <c r="P8051" s="181"/>
    </row>
    <row r="8052">
      <c r="B8052" s="292"/>
      <c r="C8052" s="181"/>
      <c r="D8052" s="181"/>
      <c r="E8052" s="181"/>
      <c r="F8052" s="181"/>
      <c r="G8052" s="181"/>
      <c r="H8052" s="181"/>
      <c r="I8052" s="181"/>
      <c r="J8052" s="181"/>
      <c r="K8052" s="181"/>
      <c r="L8052" s="181"/>
      <c r="M8052" s="181"/>
      <c r="N8052" s="181"/>
      <c r="O8052" s="181"/>
      <c r="P8052" s="181"/>
    </row>
    <row r="8053">
      <c r="B8053" s="292"/>
      <c r="C8053" s="181"/>
      <c r="D8053" s="181"/>
      <c r="E8053" s="181"/>
      <c r="F8053" s="181"/>
      <c r="G8053" s="181"/>
      <c r="H8053" s="181"/>
      <c r="I8053" s="181"/>
      <c r="J8053" s="181"/>
      <c r="K8053" s="181"/>
      <c r="L8053" s="181"/>
      <c r="M8053" s="181"/>
      <c r="N8053" s="181"/>
      <c r="O8053" s="181"/>
      <c r="P8053" s="181"/>
    </row>
    <row r="8054">
      <c r="B8054" s="292"/>
      <c r="C8054" s="181"/>
      <c r="D8054" s="181"/>
      <c r="E8054" s="181"/>
      <c r="F8054" s="181"/>
      <c r="G8054" s="181"/>
      <c r="H8054" s="181"/>
      <c r="I8054" s="181"/>
      <c r="J8054" s="181"/>
      <c r="K8054" s="181"/>
      <c r="L8054" s="181"/>
      <c r="M8054" s="181"/>
      <c r="N8054" s="181"/>
      <c r="O8054" s="181"/>
      <c r="P8054" s="181"/>
    </row>
    <row r="8055">
      <c r="B8055" s="292"/>
      <c r="C8055" s="181"/>
      <c r="D8055" s="181"/>
      <c r="E8055" s="181"/>
      <c r="F8055" s="181"/>
      <c r="G8055" s="181"/>
      <c r="H8055" s="181"/>
      <c r="I8055" s="181"/>
      <c r="J8055" s="181"/>
      <c r="K8055" s="181"/>
      <c r="L8055" s="181"/>
      <c r="M8055" s="181"/>
      <c r="N8055" s="181"/>
      <c r="O8055" s="181"/>
      <c r="P8055" s="181"/>
    </row>
    <row r="8056">
      <c r="B8056" s="292"/>
      <c r="C8056" s="181"/>
      <c r="D8056" s="181"/>
      <c r="E8056" s="181"/>
      <c r="F8056" s="181"/>
      <c r="G8056" s="181"/>
      <c r="H8056" s="181"/>
      <c r="I8056" s="181"/>
      <c r="J8056" s="181"/>
      <c r="K8056" s="181"/>
      <c r="L8056" s="181"/>
      <c r="M8056" s="181"/>
      <c r="N8056" s="181"/>
      <c r="O8056" s="181"/>
      <c r="P8056" s="181"/>
    </row>
    <row r="8057">
      <c r="B8057" s="292"/>
      <c r="C8057" s="181"/>
      <c r="D8057" s="181"/>
      <c r="E8057" s="181"/>
      <c r="F8057" s="181"/>
      <c r="G8057" s="181"/>
      <c r="H8057" s="181"/>
      <c r="I8057" s="181"/>
      <c r="J8057" s="181"/>
      <c r="K8057" s="181"/>
      <c r="L8057" s="181"/>
      <c r="M8057" s="181"/>
      <c r="N8057" s="181"/>
      <c r="O8057" s="181"/>
      <c r="P8057" s="181"/>
    </row>
    <row r="8058">
      <c r="B8058" s="292"/>
      <c r="C8058" s="181"/>
      <c r="D8058" s="181"/>
      <c r="E8058" s="181"/>
      <c r="F8058" s="181"/>
      <c r="G8058" s="181"/>
      <c r="H8058" s="181"/>
      <c r="I8058" s="181"/>
      <c r="J8058" s="181"/>
      <c r="K8058" s="181"/>
      <c r="L8058" s="181"/>
      <c r="M8058" s="181"/>
      <c r="N8058" s="181"/>
      <c r="O8058" s="181"/>
      <c r="P8058" s="181"/>
    </row>
    <row r="8059">
      <c r="B8059" s="292"/>
      <c r="C8059" s="181"/>
      <c r="D8059" s="181"/>
      <c r="E8059" s="181"/>
      <c r="F8059" s="181"/>
      <c r="G8059" s="181"/>
      <c r="H8059" s="181"/>
      <c r="I8059" s="181"/>
      <c r="J8059" s="181"/>
      <c r="K8059" s="181"/>
      <c r="L8059" s="181"/>
      <c r="M8059" s="181"/>
      <c r="N8059" s="181"/>
      <c r="O8059" s="181"/>
      <c r="P8059" s="181"/>
    </row>
    <row r="8060">
      <c r="B8060" s="292"/>
      <c r="C8060" s="181"/>
      <c r="D8060" s="181"/>
      <c r="E8060" s="181"/>
      <c r="F8060" s="181"/>
      <c r="G8060" s="181"/>
      <c r="H8060" s="181"/>
      <c r="I8060" s="181"/>
      <c r="J8060" s="181"/>
      <c r="K8060" s="181"/>
      <c r="L8060" s="181"/>
      <c r="M8060" s="181"/>
      <c r="N8060" s="181"/>
      <c r="O8060" s="181"/>
      <c r="P8060" s="181"/>
    </row>
    <row r="8061">
      <c r="B8061" s="292"/>
      <c r="C8061" s="181"/>
      <c r="D8061" s="181"/>
      <c r="E8061" s="181"/>
      <c r="F8061" s="181"/>
      <c r="G8061" s="181"/>
      <c r="H8061" s="181"/>
      <c r="I8061" s="181"/>
      <c r="J8061" s="181"/>
      <c r="K8061" s="181"/>
      <c r="L8061" s="181"/>
      <c r="M8061" s="181"/>
      <c r="N8061" s="181"/>
      <c r="O8061" s="181"/>
      <c r="P8061" s="181"/>
    </row>
    <row r="8062">
      <c r="B8062" s="292"/>
      <c r="C8062" s="181"/>
      <c r="D8062" s="181"/>
      <c r="E8062" s="181"/>
      <c r="F8062" s="181"/>
      <c r="G8062" s="181"/>
      <c r="H8062" s="181"/>
      <c r="I8062" s="181"/>
      <c r="J8062" s="181"/>
      <c r="K8062" s="181"/>
      <c r="L8062" s="181"/>
      <c r="M8062" s="181"/>
      <c r="N8062" s="181"/>
      <c r="O8062" s="181"/>
      <c r="P8062" s="181"/>
    </row>
    <row r="8063">
      <c r="B8063" s="292"/>
      <c r="C8063" s="181"/>
      <c r="D8063" s="181"/>
      <c r="E8063" s="181"/>
      <c r="F8063" s="181"/>
      <c r="G8063" s="181"/>
      <c r="H8063" s="181"/>
      <c r="I8063" s="181"/>
      <c r="J8063" s="181"/>
      <c r="K8063" s="181"/>
      <c r="L8063" s="181"/>
      <c r="M8063" s="181"/>
      <c r="N8063" s="181"/>
      <c r="O8063" s="181"/>
      <c r="P8063" s="181"/>
    </row>
    <row r="8064">
      <c r="B8064" s="292"/>
      <c r="C8064" s="181"/>
      <c r="D8064" s="181"/>
      <c r="E8064" s="181"/>
      <c r="F8064" s="181"/>
      <c r="G8064" s="181"/>
      <c r="H8064" s="181"/>
      <c r="I8064" s="181"/>
      <c r="J8064" s="181"/>
      <c r="K8064" s="181"/>
      <c r="L8064" s="181"/>
      <c r="M8064" s="181"/>
      <c r="N8064" s="181"/>
      <c r="O8064" s="181"/>
      <c r="P8064" s="181"/>
    </row>
    <row r="8065">
      <c r="B8065" s="292"/>
      <c r="C8065" s="181"/>
      <c r="D8065" s="181"/>
      <c r="E8065" s="181"/>
      <c r="F8065" s="181"/>
      <c r="G8065" s="181"/>
      <c r="H8065" s="181"/>
      <c r="I8065" s="181"/>
      <c r="J8065" s="181"/>
      <c r="K8065" s="181"/>
      <c r="L8065" s="181"/>
      <c r="M8065" s="181"/>
      <c r="N8065" s="181"/>
      <c r="O8065" s="181"/>
      <c r="P8065" s="181"/>
    </row>
    <row r="8066">
      <c r="B8066" s="292"/>
      <c r="C8066" s="181"/>
      <c r="D8066" s="181"/>
      <c r="E8066" s="181"/>
      <c r="F8066" s="181"/>
      <c r="G8066" s="181"/>
      <c r="H8066" s="181"/>
      <c r="I8066" s="181"/>
      <c r="J8066" s="181"/>
      <c r="K8066" s="181"/>
      <c r="L8066" s="181"/>
      <c r="M8066" s="181"/>
      <c r="N8066" s="181"/>
      <c r="O8066" s="181"/>
      <c r="P8066" s="181"/>
    </row>
    <row r="8067">
      <c r="B8067" s="292"/>
      <c r="C8067" s="181"/>
      <c r="D8067" s="181"/>
      <c r="E8067" s="181"/>
      <c r="F8067" s="181"/>
      <c r="G8067" s="181"/>
      <c r="H8067" s="181"/>
      <c r="I8067" s="181"/>
      <c r="J8067" s="181"/>
      <c r="K8067" s="181"/>
      <c r="L8067" s="181"/>
      <c r="M8067" s="181"/>
      <c r="N8067" s="181"/>
      <c r="O8067" s="181"/>
      <c r="P8067" s="181"/>
    </row>
    <row r="8068">
      <c r="B8068" s="292"/>
      <c r="C8068" s="181"/>
      <c r="D8068" s="181"/>
      <c r="E8068" s="181"/>
      <c r="F8068" s="181"/>
      <c r="G8068" s="181"/>
      <c r="H8068" s="181"/>
      <c r="I8068" s="181"/>
      <c r="J8068" s="181"/>
      <c r="K8068" s="181"/>
      <c r="L8068" s="181"/>
      <c r="M8068" s="181"/>
      <c r="N8068" s="181"/>
      <c r="O8068" s="181"/>
      <c r="P8068" s="181"/>
    </row>
    <row r="8069">
      <c r="B8069" s="292"/>
      <c r="C8069" s="181"/>
      <c r="D8069" s="181"/>
      <c r="E8069" s="181"/>
      <c r="F8069" s="181"/>
      <c r="G8069" s="181"/>
      <c r="H8069" s="181"/>
      <c r="I8069" s="181"/>
      <c r="J8069" s="181"/>
      <c r="K8069" s="181"/>
      <c r="L8069" s="181"/>
      <c r="M8069" s="181"/>
      <c r="N8069" s="181"/>
      <c r="O8069" s="181"/>
      <c r="P8069" s="181"/>
    </row>
    <row r="8070">
      <c r="B8070" s="292"/>
      <c r="C8070" s="181"/>
      <c r="D8070" s="181"/>
      <c r="E8070" s="181"/>
      <c r="F8070" s="181"/>
      <c r="G8070" s="181"/>
      <c r="H8070" s="181"/>
      <c r="I8070" s="181"/>
      <c r="J8070" s="181"/>
      <c r="K8070" s="181"/>
      <c r="L8070" s="181"/>
      <c r="M8070" s="181"/>
      <c r="N8070" s="181"/>
      <c r="O8070" s="181"/>
      <c r="P8070" s="181"/>
    </row>
    <row r="8071">
      <c r="B8071" s="292"/>
      <c r="C8071" s="181"/>
      <c r="D8071" s="181"/>
      <c r="E8071" s="181"/>
      <c r="F8071" s="181"/>
      <c r="G8071" s="181"/>
      <c r="H8071" s="181"/>
      <c r="I8071" s="181"/>
      <c r="J8071" s="181"/>
      <c r="K8071" s="181"/>
      <c r="L8071" s="181"/>
      <c r="M8071" s="181"/>
      <c r="N8071" s="181"/>
      <c r="O8071" s="181"/>
      <c r="P8071" s="181"/>
    </row>
    <row r="8072">
      <c r="B8072" s="292"/>
      <c r="C8072" s="181"/>
      <c r="D8072" s="181"/>
      <c r="E8072" s="181"/>
      <c r="F8072" s="181"/>
      <c r="G8072" s="181"/>
      <c r="H8072" s="181"/>
      <c r="I8072" s="181"/>
      <c r="J8072" s="181"/>
      <c r="K8072" s="181"/>
      <c r="L8072" s="181"/>
      <c r="M8072" s="181"/>
      <c r="N8072" s="181"/>
      <c r="O8072" s="181"/>
      <c r="P8072" s="181"/>
    </row>
    <row r="8073">
      <c r="B8073" s="292"/>
      <c r="C8073" s="181"/>
      <c r="D8073" s="181"/>
      <c r="E8073" s="181"/>
      <c r="F8073" s="181"/>
      <c r="G8073" s="181"/>
      <c r="H8073" s="181"/>
      <c r="I8073" s="181"/>
      <c r="J8073" s="181"/>
      <c r="K8073" s="181"/>
      <c r="L8073" s="181"/>
      <c r="M8073" s="181"/>
      <c r="N8073" s="181"/>
      <c r="O8073" s="181"/>
      <c r="P8073" s="181"/>
    </row>
    <row r="8074">
      <c r="B8074" s="292"/>
      <c r="C8074" s="181"/>
      <c r="D8074" s="181"/>
      <c r="E8074" s="181"/>
      <c r="F8074" s="181"/>
      <c r="G8074" s="181"/>
      <c r="H8074" s="181"/>
      <c r="I8074" s="181"/>
      <c r="J8074" s="181"/>
      <c r="K8074" s="181"/>
      <c r="L8074" s="181"/>
      <c r="M8074" s="181"/>
      <c r="N8074" s="181"/>
      <c r="O8074" s="181"/>
      <c r="P8074" s="181"/>
    </row>
    <row r="8075">
      <c r="B8075" s="292"/>
      <c r="C8075" s="181"/>
      <c r="D8075" s="181"/>
      <c r="E8075" s="181"/>
      <c r="F8075" s="181"/>
      <c r="G8075" s="181"/>
      <c r="H8075" s="181"/>
      <c r="I8075" s="181"/>
      <c r="J8075" s="181"/>
      <c r="K8075" s="181"/>
      <c r="L8075" s="181"/>
      <c r="M8075" s="181"/>
      <c r="N8075" s="181"/>
      <c r="O8075" s="181"/>
      <c r="P8075" s="181"/>
    </row>
    <row r="8076">
      <c r="B8076" s="292"/>
      <c r="C8076" s="181"/>
      <c r="D8076" s="181"/>
      <c r="E8076" s="181"/>
      <c r="F8076" s="181"/>
      <c r="G8076" s="181"/>
      <c r="H8076" s="181"/>
      <c r="I8076" s="181"/>
      <c r="J8076" s="181"/>
      <c r="K8076" s="181"/>
      <c r="L8076" s="181"/>
      <c r="M8076" s="181"/>
      <c r="N8076" s="181"/>
      <c r="O8076" s="181"/>
      <c r="P8076" s="181"/>
    </row>
    <row r="8077">
      <c r="B8077" s="292"/>
      <c r="C8077" s="181"/>
      <c r="D8077" s="181"/>
      <c r="E8077" s="181"/>
      <c r="F8077" s="181"/>
      <c r="G8077" s="181"/>
      <c r="H8077" s="181"/>
      <c r="I8077" s="181"/>
      <c r="J8077" s="181"/>
      <c r="K8077" s="181"/>
      <c r="L8077" s="181"/>
      <c r="M8077" s="181"/>
      <c r="N8077" s="181"/>
      <c r="O8077" s="181"/>
      <c r="P8077" s="181"/>
    </row>
    <row r="8078">
      <c r="B8078" s="292"/>
      <c r="C8078" s="181"/>
      <c r="D8078" s="181"/>
      <c r="E8078" s="181"/>
      <c r="F8078" s="181"/>
      <c r="G8078" s="181"/>
      <c r="H8078" s="181"/>
      <c r="I8078" s="181"/>
      <c r="J8078" s="181"/>
      <c r="K8078" s="181"/>
      <c r="L8078" s="181"/>
      <c r="M8078" s="181"/>
      <c r="N8078" s="181"/>
      <c r="O8078" s="181"/>
      <c r="P8078" s="181"/>
    </row>
    <row r="8079">
      <c r="B8079" s="292"/>
      <c r="C8079" s="181"/>
      <c r="D8079" s="181"/>
      <c r="E8079" s="181"/>
      <c r="F8079" s="181"/>
      <c r="G8079" s="181"/>
      <c r="H8079" s="181"/>
      <c r="I8079" s="181"/>
      <c r="J8079" s="181"/>
      <c r="K8079" s="181"/>
      <c r="L8079" s="181"/>
      <c r="M8079" s="181"/>
      <c r="N8079" s="181"/>
      <c r="O8079" s="181"/>
      <c r="P8079" s="181"/>
    </row>
    <row r="8080">
      <c r="B8080" s="292"/>
      <c r="C8080" s="181"/>
      <c r="D8080" s="181"/>
      <c r="E8080" s="181"/>
      <c r="F8080" s="181"/>
      <c r="G8080" s="181"/>
      <c r="H8080" s="181"/>
      <c r="I8080" s="181"/>
      <c r="J8080" s="181"/>
      <c r="K8080" s="181"/>
      <c r="L8080" s="181"/>
      <c r="M8080" s="181"/>
      <c r="N8080" s="181"/>
      <c r="O8080" s="181"/>
      <c r="P8080" s="181"/>
    </row>
    <row r="8081">
      <c r="B8081" s="292"/>
      <c r="C8081" s="181"/>
      <c r="D8081" s="181"/>
      <c r="E8081" s="181"/>
      <c r="F8081" s="181"/>
      <c r="G8081" s="181"/>
      <c r="H8081" s="181"/>
      <c r="I8081" s="181"/>
      <c r="J8081" s="181"/>
      <c r="K8081" s="181"/>
      <c r="L8081" s="181"/>
      <c r="M8081" s="181"/>
      <c r="N8081" s="181"/>
      <c r="O8081" s="181"/>
      <c r="P8081" s="181"/>
    </row>
    <row r="8082">
      <c r="B8082" s="292"/>
      <c r="C8082" s="181"/>
      <c r="D8082" s="181"/>
      <c r="E8082" s="181"/>
      <c r="F8082" s="181"/>
      <c r="G8082" s="181"/>
      <c r="H8082" s="181"/>
      <c r="I8082" s="181"/>
      <c r="J8082" s="181"/>
      <c r="K8082" s="181"/>
      <c r="L8082" s="181"/>
      <c r="M8082" s="181"/>
      <c r="N8082" s="181"/>
      <c r="O8082" s="181"/>
      <c r="P8082" s="181"/>
    </row>
    <row r="8083">
      <c r="B8083" s="292"/>
      <c r="C8083" s="181"/>
      <c r="D8083" s="181"/>
      <c r="E8083" s="181"/>
      <c r="F8083" s="181"/>
      <c r="G8083" s="181"/>
      <c r="H8083" s="181"/>
      <c r="I8083" s="181"/>
      <c r="J8083" s="181"/>
      <c r="K8083" s="181"/>
      <c r="L8083" s="181"/>
      <c r="M8083" s="181"/>
      <c r="N8083" s="181"/>
      <c r="O8083" s="181"/>
      <c r="P8083" s="181"/>
    </row>
    <row r="8084">
      <c r="B8084" s="292"/>
      <c r="C8084" s="181"/>
      <c r="D8084" s="181"/>
      <c r="E8084" s="181"/>
      <c r="F8084" s="181"/>
      <c r="G8084" s="181"/>
      <c r="H8084" s="181"/>
      <c r="I8084" s="181"/>
      <c r="J8084" s="181"/>
      <c r="K8084" s="181"/>
      <c r="L8084" s="181"/>
      <c r="M8084" s="181"/>
      <c r="N8084" s="181"/>
      <c r="O8084" s="181"/>
      <c r="P8084" s="181"/>
    </row>
    <row r="8085">
      <c r="B8085" s="292"/>
      <c r="C8085" s="181"/>
      <c r="D8085" s="181"/>
      <c r="E8085" s="181"/>
      <c r="F8085" s="181"/>
      <c r="G8085" s="181"/>
      <c r="H8085" s="181"/>
      <c r="I8085" s="181"/>
      <c r="J8085" s="181"/>
      <c r="K8085" s="181"/>
      <c r="L8085" s="181"/>
      <c r="M8085" s="181"/>
      <c r="N8085" s="181"/>
      <c r="O8085" s="181"/>
      <c r="P8085" s="181"/>
    </row>
    <row r="8086">
      <c r="B8086" s="292"/>
      <c r="C8086" s="181"/>
      <c r="D8086" s="181"/>
      <c r="E8086" s="181"/>
      <c r="F8086" s="181"/>
      <c r="G8086" s="181"/>
      <c r="H8086" s="181"/>
      <c r="I8086" s="181"/>
      <c r="J8086" s="181"/>
      <c r="K8086" s="181"/>
      <c r="L8086" s="181"/>
      <c r="M8086" s="181"/>
      <c r="N8086" s="181"/>
      <c r="O8086" s="181"/>
      <c r="P8086" s="181"/>
    </row>
    <row r="8087">
      <c r="B8087" s="292"/>
      <c r="C8087" s="181"/>
      <c r="D8087" s="181"/>
      <c r="E8087" s="181"/>
      <c r="F8087" s="181"/>
      <c r="G8087" s="181"/>
      <c r="H8087" s="181"/>
      <c r="I8087" s="181"/>
      <c r="J8087" s="181"/>
      <c r="K8087" s="181"/>
      <c r="L8087" s="181"/>
      <c r="M8087" s="181"/>
      <c r="N8087" s="181"/>
      <c r="O8087" s="181"/>
      <c r="P8087" s="181"/>
    </row>
    <row r="8088">
      <c r="B8088" s="292"/>
      <c r="C8088" s="181"/>
      <c r="D8088" s="181"/>
      <c r="E8088" s="181"/>
      <c r="F8088" s="181"/>
      <c r="G8088" s="181"/>
      <c r="H8088" s="181"/>
      <c r="I8088" s="181"/>
      <c r="J8088" s="181"/>
      <c r="K8088" s="181"/>
      <c r="L8088" s="181"/>
      <c r="M8088" s="181"/>
      <c r="N8088" s="181"/>
      <c r="O8088" s="181"/>
      <c r="P8088" s="181"/>
    </row>
    <row r="8089">
      <c r="B8089" s="292"/>
      <c r="C8089" s="181"/>
      <c r="D8089" s="181"/>
      <c r="E8089" s="181"/>
      <c r="F8089" s="181"/>
      <c r="G8089" s="181"/>
      <c r="H8089" s="181"/>
      <c r="I8089" s="181"/>
      <c r="J8089" s="181"/>
      <c r="K8089" s="181"/>
      <c r="L8089" s="181"/>
      <c r="M8089" s="181"/>
      <c r="N8089" s="181"/>
      <c r="O8089" s="181"/>
      <c r="P8089" s="181"/>
    </row>
    <row r="8090">
      <c r="B8090" s="292"/>
      <c r="C8090" s="181"/>
      <c r="D8090" s="181"/>
      <c r="E8090" s="181"/>
      <c r="F8090" s="181"/>
      <c r="G8090" s="181"/>
      <c r="H8090" s="181"/>
      <c r="I8090" s="181"/>
      <c r="J8090" s="181"/>
      <c r="K8090" s="181"/>
      <c r="L8090" s="181"/>
      <c r="M8090" s="181"/>
      <c r="N8090" s="181"/>
      <c r="O8090" s="181"/>
      <c r="P8090" s="181"/>
    </row>
    <row r="8091">
      <c r="B8091" s="292"/>
      <c r="C8091" s="181"/>
      <c r="D8091" s="181"/>
      <c r="E8091" s="181"/>
      <c r="F8091" s="181"/>
      <c r="G8091" s="181"/>
      <c r="H8091" s="181"/>
      <c r="I8091" s="181"/>
      <c r="J8091" s="181"/>
      <c r="K8091" s="181"/>
      <c r="L8091" s="181"/>
      <c r="M8091" s="181"/>
      <c r="N8091" s="181"/>
      <c r="O8091" s="181"/>
      <c r="P8091" s="181"/>
    </row>
  </sheetData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workbookViewId="0"/>
  </sheetViews>
  <sheetFormatPr customHeight="1" defaultColWidth="12.63" defaultRowHeight="15.75"/>
  <cols>
    <col customWidth="1" min="2" max="2" width="70.88"/>
    <col customWidth="1" min="3" max="3" width="33.88"/>
    <col customWidth="1" min="4" max="4" width="31.0"/>
    <col customWidth="1" min="7" max="7" width="24.88"/>
  </cols>
  <sheetData>
    <row r="1">
      <c r="A1" s="436">
        <v>339030.0</v>
      </c>
      <c r="B1" s="218" t="s">
        <v>249</v>
      </c>
      <c r="C1" s="235"/>
    </row>
    <row r="2">
      <c r="A2" s="436">
        <v>339031.0</v>
      </c>
      <c r="B2" s="218" t="s">
        <v>9266</v>
      </c>
      <c r="C2" s="235"/>
    </row>
    <row r="3">
      <c r="A3" s="436">
        <v>339035.0</v>
      </c>
      <c r="B3" s="218" t="s">
        <v>372</v>
      </c>
      <c r="C3" s="235"/>
    </row>
    <row r="4">
      <c r="A4" s="436">
        <v>339039.0</v>
      </c>
      <c r="B4" s="218" t="s">
        <v>9267</v>
      </c>
      <c r="C4" s="235"/>
    </row>
    <row r="5">
      <c r="A5" s="436">
        <v>339040.0</v>
      </c>
      <c r="B5" s="218" t="s">
        <v>136</v>
      </c>
      <c r="C5" s="235"/>
    </row>
    <row r="6">
      <c r="A6" s="436">
        <v>339092.0</v>
      </c>
      <c r="B6" s="218" t="s">
        <v>8736</v>
      </c>
      <c r="C6" s="235"/>
    </row>
    <row r="7">
      <c r="A7" s="437">
        <v>339130.0</v>
      </c>
      <c r="B7" s="218" t="s">
        <v>249</v>
      </c>
      <c r="C7" s="235"/>
    </row>
    <row r="8">
      <c r="A8" s="437">
        <v>339135.0</v>
      </c>
      <c r="B8" s="218" t="s">
        <v>372</v>
      </c>
      <c r="C8" s="235"/>
    </row>
    <row r="9">
      <c r="A9" s="437">
        <v>449030.0</v>
      </c>
      <c r="B9" s="235"/>
      <c r="C9" s="235"/>
    </row>
    <row r="10">
      <c r="A10" s="437">
        <v>449035.0</v>
      </c>
      <c r="B10" s="235"/>
      <c r="C10" s="235"/>
    </row>
    <row r="11">
      <c r="A11" s="437">
        <v>449036.0</v>
      </c>
      <c r="B11" s="235"/>
      <c r="C11" s="235"/>
    </row>
    <row r="12">
      <c r="A12" s="436">
        <v>449040.0</v>
      </c>
      <c r="B12" s="218" t="s">
        <v>505</v>
      </c>
      <c r="C12" s="235"/>
    </row>
    <row r="13">
      <c r="A13" s="436">
        <v>449052.0</v>
      </c>
      <c r="B13" s="218" t="s">
        <v>362</v>
      </c>
      <c r="C13" s="235"/>
    </row>
    <row r="14">
      <c r="A14" s="436">
        <v>449092.0</v>
      </c>
      <c r="B14" s="218" t="s">
        <v>8736</v>
      </c>
      <c r="C14" s="235"/>
    </row>
    <row r="15">
      <c r="A15" s="437"/>
      <c r="B15" s="235"/>
      <c r="C15" s="235"/>
    </row>
    <row r="16">
      <c r="A16" s="437"/>
      <c r="B16" s="235"/>
      <c r="C16" s="235"/>
    </row>
    <row r="17">
      <c r="A17" s="438"/>
      <c r="B17" s="235"/>
      <c r="C17" s="235"/>
    </row>
    <row r="18">
      <c r="A18" s="438"/>
      <c r="B18" s="235"/>
      <c r="C18" s="235"/>
    </row>
    <row r="19">
      <c r="A19" s="439" t="s">
        <v>815</v>
      </c>
      <c r="B19" s="440" t="s">
        <v>2</v>
      </c>
      <c r="C19" s="440"/>
    </row>
    <row r="20">
      <c r="A20" s="441">
        <v>3.3903017E7</v>
      </c>
      <c r="B20" s="442" t="s">
        <v>248</v>
      </c>
      <c r="C20" s="443"/>
      <c r="D20" s="444" t="s">
        <v>9268</v>
      </c>
      <c r="E20" t="str">
        <f t="shared" ref="E20:E96" si="1">left(SUBSTITUTE(A20,".",""),6)</f>
        <v>339030</v>
      </c>
      <c r="F20" t="str">
        <f t="shared" ref="F20:F96" si="2">SUBSTITUTE(A20,".","")</f>
        <v>33903017</v>
      </c>
      <c r="G20" s="218" t="str">
        <f t="shared" ref="G20:G96" si="3">VLOOKUP(value(E20),$A$1:$B$9,2,0)</f>
        <v>MATERIAL DE CONSUMO</v>
      </c>
    </row>
    <row r="21">
      <c r="A21" s="441">
        <v>3.3913017E7</v>
      </c>
      <c r="B21" s="442" t="s">
        <v>248</v>
      </c>
      <c r="C21" s="445" t="s">
        <v>9269</v>
      </c>
      <c r="E21" t="str">
        <f t="shared" si="1"/>
        <v>339130</v>
      </c>
      <c r="F21" t="str">
        <f t="shared" si="2"/>
        <v>33913017</v>
      </c>
      <c r="G21" s="218" t="str">
        <f t="shared" si="3"/>
        <v>MATERIAL DE CONSUMO</v>
      </c>
      <c r="I21" t="str">
        <f>IFERROR(__xludf.DUMMYFUNCTION("UNIQUE(E:E)"),"")</f>
        <v/>
      </c>
    </row>
    <row r="22">
      <c r="A22" s="441">
        <v>3.3903504E7</v>
      </c>
      <c r="B22" s="442" t="s">
        <v>371</v>
      </c>
      <c r="C22" s="443"/>
      <c r="E22" t="str">
        <f t="shared" si="1"/>
        <v>339035</v>
      </c>
      <c r="F22" t="str">
        <f t="shared" si="2"/>
        <v>33903504</v>
      </c>
      <c r="G22" s="218" t="str">
        <f t="shared" si="3"/>
        <v>SERVIÇOS DE CONSULTORIA</v>
      </c>
      <c r="I22" t="str">
        <f>IFERROR(__xludf.DUMMYFUNCTION("""COMPUTED_VALUE"""),"339030")</f>
        <v>339030</v>
      </c>
    </row>
    <row r="23">
      <c r="A23" s="441">
        <v>3.3913504E7</v>
      </c>
      <c r="B23" s="442" t="s">
        <v>371</v>
      </c>
      <c r="C23" s="445" t="s">
        <v>9269</v>
      </c>
      <c r="E23" t="str">
        <f t="shared" si="1"/>
        <v>339135</v>
      </c>
      <c r="F23" t="str">
        <f t="shared" si="2"/>
        <v>33913504</v>
      </c>
      <c r="G23" s="218" t="str">
        <f t="shared" si="3"/>
        <v>SERVIÇOS DE CONSULTORIA</v>
      </c>
      <c r="I23" t="str">
        <f>IFERROR(__xludf.DUMMYFUNCTION("""COMPUTED_VALUE"""),"339130")</f>
        <v>339130</v>
      </c>
    </row>
    <row r="24">
      <c r="A24" s="441">
        <v>3.3903654E7</v>
      </c>
      <c r="B24" s="442" t="s">
        <v>133</v>
      </c>
      <c r="C24" s="443"/>
      <c r="E24" t="str">
        <f t="shared" si="1"/>
        <v>339036</v>
      </c>
      <c r="F24" t="str">
        <f t="shared" si="2"/>
        <v>33903654</v>
      </c>
      <c r="G24" s="218" t="str">
        <f t="shared" si="3"/>
        <v>#N/A</v>
      </c>
      <c r="I24" t="str">
        <f>IFERROR(__xludf.DUMMYFUNCTION("""COMPUTED_VALUE"""),"339035")</f>
        <v>339035</v>
      </c>
    </row>
    <row r="25">
      <c r="A25" s="441">
        <v>3.3903657E7</v>
      </c>
      <c r="B25" s="442" t="s">
        <v>9270</v>
      </c>
      <c r="C25" s="443"/>
      <c r="E25" t="str">
        <f t="shared" si="1"/>
        <v>339036</v>
      </c>
      <c r="F25" t="str">
        <f t="shared" si="2"/>
        <v>33903657</v>
      </c>
      <c r="G25" s="218" t="str">
        <f t="shared" si="3"/>
        <v>#N/A</v>
      </c>
      <c r="I25" t="str">
        <f>IFERROR(__xludf.DUMMYFUNCTION("""COMPUTED_VALUE"""),"339135")</f>
        <v>339135</v>
      </c>
    </row>
    <row r="26">
      <c r="A26" s="441">
        <v>3.3904001E7</v>
      </c>
      <c r="B26" s="442" t="s">
        <v>9271</v>
      </c>
      <c r="C26" s="443"/>
      <c r="E26" t="str">
        <f t="shared" si="1"/>
        <v>339040</v>
      </c>
      <c r="F26" t="str">
        <f t="shared" si="2"/>
        <v>33904001</v>
      </c>
      <c r="G26" s="218" t="str">
        <f t="shared" si="3"/>
        <v>SERVIÇOS DE TECNOLOGIA DA INFORMAÇÃO E COMUNICAÇÃO - TIC</v>
      </c>
      <c r="I26" t="str">
        <f>IFERROR(__xludf.DUMMYFUNCTION("""COMPUTED_VALUE"""),"339036")</f>
        <v>339036</v>
      </c>
    </row>
    <row r="27">
      <c r="A27" s="441">
        <v>3.3914001E7</v>
      </c>
      <c r="B27" s="442" t="s">
        <v>9271</v>
      </c>
      <c r="C27" s="445" t="s">
        <v>9269</v>
      </c>
      <c r="E27" t="str">
        <f t="shared" si="1"/>
        <v>339140</v>
      </c>
      <c r="F27" t="str">
        <f t="shared" si="2"/>
        <v>33914001</v>
      </c>
      <c r="G27" s="218" t="str">
        <f t="shared" si="3"/>
        <v>#N/A</v>
      </c>
      <c r="I27" t="str">
        <f>IFERROR(__xludf.DUMMYFUNCTION("""COMPUTED_VALUE"""),"339040")</f>
        <v>339040</v>
      </c>
    </row>
    <row r="28">
      <c r="A28" s="441">
        <v>3.3904002E7</v>
      </c>
      <c r="B28" s="442" t="s">
        <v>9272</v>
      </c>
      <c r="C28" s="443"/>
      <c r="E28" t="str">
        <f t="shared" si="1"/>
        <v>339040</v>
      </c>
      <c r="F28" t="str">
        <f t="shared" si="2"/>
        <v>33904002</v>
      </c>
      <c r="G28" s="218" t="str">
        <f t="shared" si="3"/>
        <v>SERVIÇOS DE TECNOLOGIA DA INFORMAÇÃO E COMUNICAÇÃO - TIC</v>
      </c>
      <c r="I28" t="str">
        <f>IFERROR(__xludf.DUMMYFUNCTION("""COMPUTED_VALUE"""),"339140")</f>
        <v>339140</v>
      </c>
    </row>
    <row r="29">
      <c r="A29" s="441">
        <v>3.3914002E7</v>
      </c>
      <c r="B29" s="442" t="s">
        <v>9272</v>
      </c>
      <c r="C29" s="445" t="s">
        <v>9269</v>
      </c>
      <c r="E29" t="str">
        <f t="shared" si="1"/>
        <v>339140</v>
      </c>
      <c r="F29" t="str">
        <f t="shared" si="2"/>
        <v>33914002</v>
      </c>
      <c r="G29" s="218" t="str">
        <f t="shared" si="3"/>
        <v>#N/A</v>
      </c>
      <c r="I29" t="str">
        <f>IFERROR(__xludf.DUMMYFUNCTION("""COMPUTED_VALUE"""),"449036")</f>
        <v>449036</v>
      </c>
    </row>
    <row r="30">
      <c r="A30" s="441">
        <v>3.3904003E7</v>
      </c>
      <c r="B30" s="442" t="s">
        <v>9273</v>
      </c>
      <c r="C30" s="443"/>
      <c r="E30" t="str">
        <f t="shared" si="1"/>
        <v>339040</v>
      </c>
      <c r="F30" t="str">
        <f t="shared" si="2"/>
        <v>33904003</v>
      </c>
      <c r="G30" s="218" t="str">
        <f t="shared" si="3"/>
        <v>SERVIÇOS DE TECNOLOGIA DA INFORMAÇÃO E COMUNICAÇÃO - TIC</v>
      </c>
      <c r="I30" t="str">
        <f>IFERROR(__xludf.DUMMYFUNCTION("""COMPUTED_VALUE"""),"449040")</f>
        <v>449040</v>
      </c>
    </row>
    <row r="31">
      <c r="A31" s="441">
        <v>3.3914003E7</v>
      </c>
      <c r="B31" s="442" t="s">
        <v>9273</v>
      </c>
      <c r="C31" s="445" t="s">
        <v>9269</v>
      </c>
      <c r="E31" t="str">
        <f t="shared" si="1"/>
        <v>339140</v>
      </c>
      <c r="F31" t="str">
        <f t="shared" si="2"/>
        <v>33914003</v>
      </c>
      <c r="G31" s="218" t="str">
        <f t="shared" si="3"/>
        <v>#N/A</v>
      </c>
      <c r="I31" t="str">
        <f>IFERROR(__xludf.DUMMYFUNCTION("""COMPUTED_VALUE"""),"449035")</f>
        <v>449035</v>
      </c>
    </row>
    <row r="32">
      <c r="A32" s="441">
        <v>3.3904004E7</v>
      </c>
      <c r="B32" s="442" t="s">
        <v>9274</v>
      </c>
      <c r="C32" s="443"/>
      <c r="E32" t="str">
        <f t="shared" si="1"/>
        <v>339040</v>
      </c>
      <c r="F32" t="str">
        <f t="shared" si="2"/>
        <v>33904004</v>
      </c>
      <c r="G32" s="218" t="str">
        <f t="shared" si="3"/>
        <v>SERVIÇOS DE TECNOLOGIA DA INFORMAÇÃO E COMUNICAÇÃO - TIC</v>
      </c>
      <c r="I32" t="str">
        <f>IFERROR(__xludf.DUMMYFUNCTION("""COMPUTED_VALUE"""),"449052")</f>
        <v>449052</v>
      </c>
    </row>
    <row r="33">
      <c r="A33" s="441">
        <v>3.3914004E7</v>
      </c>
      <c r="B33" s="442" t="s">
        <v>9274</v>
      </c>
      <c r="C33" s="445" t="s">
        <v>9269</v>
      </c>
      <c r="E33" t="str">
        <f t="shared" si="1"/>
        <v>339140</v>
      </c>
      <c r="F33" t="str">
        <f t="shared" si="2"/>
        <v>33914004</v>
      </c>
      <c r="G33" s="218" t="str">
        <f t="shared" si="3"/>
        <v>#N/A</v>
      </c>
      <c r="I33" t="str">
        <f>IFERROR(__xludf.DUMMYFUNCTION("""COMPUTED_VALUE"""),"449030")</f>
        <v>449030</v>
      </c>
    </row>
    <row r="34">
      <c r="A34" s="441">
        <v>3.3904005E7</v>
      </c>
      <c r="B34" s="442" t="s">
        <v>9275</v>
      </c>
      <c r="C34" s="443"/>
      <c r="E34" t="str">
        <f t="shared" si="1"/>
        <v>339040</v>
      </c>
      <c r="F34" t="str">
        <f t="shared" si="2"/>
        <v>33904005</v>
      </c>
      <c r="G34" s="218" t="str">
        <f t="shared" si="3"/>
        <v>SERVIÇOS DE TECNOLOGIA DA INFORMAÇÃO E COMUNICAÇÃO - TIC</v>
      </c>
    </row>
    <row r="35">
      <c r="A35" s="441">
        <v>3.3914005E7</v>
      </c>
      <c r="B35" s="442" t="s">
        <v>9275</v>
      </c>
      <c r="C35" s="445" t="s">
        <v>9269</v>
      </c>
      <c r="E35" t="str">
        <f t="shared" si="1"/>
        <v>339140</v>
      </c>
      <c r="F35" t="str">
        <f t="shared" si="2"/>
        <v>33914005</v>
      </c>
      <c r="G35" s="218" t="str">
        <f t="shared" si="3"/>
        <v>#N/A</v>
      </c>
    </row>
    <row r="36">
      <c r="A36" s="441">
        <v>3.3904006E7</v>
      </c>
      <c r="B36" s="442" t="s">
        <v>276</v>
      </c>
      <c r="C36" s="443"/>
      <c r="E36" t="str">
        <f t="shared" si="1"/>
        <v>339040</v>
      </c>
      <c r="F36" t="str">
        <f t="shared" si="2"/>
        <v>33904006</v>
      </c>
      <c r="G36" s="218" t="str">
        <f t="shared" si="3"/>
        <v>SERVIÇOS DE TECNOLOGIA DA INFORMAÇÃO E COMUNICAÇÃO - TIC</v>
      </c>
    </row>
    <row r="37">
      <c r="A37" s="441">
        <v>3.3914006E7</v>
      </c>
      <c r="B37" s="442" t="s">
        <v>276</v>
      </c>
      <c r="C37" s="445" t="s">
        <v>9269</v>
      </c>
      <c r="E37" t="str">
        <f t="shared" si="1"/>
        <v>339140</v>
      </c>
      <c r="F37" t="str">
        <f t="shared" si="2"/>
        <v>33914006</v>
      </c>
      <c r="G37" s="218" t="str">
        <f t="shared" si="3"/>
        <v>#N/A</v>
      </c>
    </row>
    <row r="38">
      <c r="A38" s="441">
        <v>3.3904007E7</v>
      </c>
      <c r="B38" s="442" t="s">
        <v>155</v>
      </c>
      <c r="C38" s="443"/>
      <c r="E38" t="str">
        <f t="shared" si="1"/>
        <v>339040</v>
      </c>
      <c r="F38" t="str">
        <f t="shared" si="2"/>
        <v>33904007</v>
      </c>
      <c r="G38" s="218" t="str">
        <f t="shared" si="3"/>
        <v>SERVIÇOS DE TECNOLOGIA DA INFORMAÇÃO E COMUNICAÇÃO - TIC</v>
      </c>
    </row>
    <row r="39">
      <c r="A39" s="441">
        <v>3.3914007E7</v>
      </c>
      <c r="B39" s="442" t="s">
        <v>155</v>
      </c>
      <c r="C39" s="445" t="s">
        <v>9269</v>
      </c>
      <c r="E39" t="str">
        <f t="shared" si="1"/>
        <v>339140</v>
      </c>
      <c r="F39" t="str">
        <f t="shared" si="2"/>
        <v>33914007</v>
      </c>
      <c r="G39" s="218" t="str">
        <f t="shared" si="3"/>
        <v>#N/A</v>
      </c>
    </row>
    <row r="40">
      <c r="A40" s="441">
        <v>3.3904008E7</v>
      </c>
      <c r="B40" s="442" t="s">
        <v>378</v>
      </c>
      <c r="C40" s="443"/>
      <c r="E40" t="str">
        <f t="shared" si="1"/>
        <v>339040</v>
      </c>
      <c r="F40" t="str">
        <f t="shared" si="2"/>
        <v>33904008</v>
      </c>
      <c r="G40" s="218" t="str">
        <f t="shared" si="3"/>
        <v>SERVIÇOS DE TECNOLOGIA DA INFORMAÇÃO E COMUNICAÇÃO - TIC</v>
      </c>
    </row>
    <row r="41">
      <c r="A41" s="441">
        <v>3.3914008E7</v>
      </c>
      <c r="B41" s="442" t="s">
        <v>378</v>
      </c>
      <c r="C41" s="445" t="s">
        <v>9269</v>
      </c>
      <c r="E41" t="str">
        <f t="shared" si="1"/>
        <v>339140</v>
      </c>
      <c r="F41" t="str">
        <f t="shared" si="2"/>
        <v>33914008</v>
      </c>
      <c r="G41" s="218" t="str">
        <f t="shared" si="3"/>
        <v>#N/A</v>
      </c>
    </row>
    <row r="42">
      <c r="A42" s="441">
        <v>3.3904009E7</v>
      </c>
      <c r="B42" s="442" t="s">
        <v>9276</v>
      </c>
      <c r="C42" s="443"/>
      <c r="E42" t="str">
        <f t="shared" si="1"/>
        <v>339040</v>
      </c>
      <c r="F42" t="str">
        <f t="shared" si="2"/>
        <v>33904009</v>
      </c>
      <c r="G42" s="218" t="str">
        <f t="shared" si="3"/>
        <v>SERVIÇOS DE TECNOLOGIA DA INFORMAÇÃO E COMUNICAÇÃO - TIC</v>
      </c>
    </row>
    <row r="43">
      <c r="A43" s="441">
        <v>3.3914009E7</v>
      </c>
      <c r="B43" s="442" t="s">
        <v>9276</v>
      </c>
      <c r="C43" s="445" t="s">
        <v>9269</v>
      </c>
      <c r="E43" t="str">
        <f t="shared" si="1"/>
        <v>339140</v>
      </c>
      <c r="F43" t="str">
        <f t="shared" si="2"/>
        <v>33914009</v>
      </c>
      <c r="G43" s="218" t="str">
        <f t="shared" si="3"/>
        <v>#N/A</v>
      </c>
    </row>
    <row r="44">
      <c r="A44" s="441">
        <v>3.390401E7</v>
      </c>
      <c r="B44" s="442" t="s">
        <v>210</v>
      </c>
      <c r="C44" s="443"/>
      <c r="E44" t="str">
        <f t="shared" si="1"/>
        <v>339040</v>
      </c>
      <c r="F44" t="str">
        <f t="shared" si="2"/>
        <v>33904010</v>
      </c>
      <c r="G44" s="218" t="str">
        <f t="shared" si="3"/>
        <v>SERVIÇOS DE TECNOLOGIA DA INFORMAÇÃO E COMUNICAÇÃO - TIC</v>
      </c>
    </row>
    <row r="45">
      <c r="A45" s="441">
        <v>3.391401E7</v>
      </c>
      <c r="B45" s="442" t="s">
        <v>210</v>
      </c>
      <c r="C45" s="445" t="s">
        <v>9269</v>
      </c>
      <c r="E45" t="str">
        <f t="shared" si="1"/>
        <v>339140</v>
      </c>
      <c r="F45" t="str">
        <f t="shared" si="2"/>
        <v>33914010</v>
      </c>
      <c r="G45" s="218" t="str">
        <f t="shared" si="3"/>
        <v>#N/A</v>
      </c>
    </row>
    <row r="46">
      <c r="A46" s="441">
        <v>3.3904011E7</v>
      </c>
      <c r="B46" s="442" t="s">
        <v>181</v>
      </c>
      <c r="C46" s="443"/>
      <c r="E46" t="str">
        <f t="shared" si="1"/>
        <v>339040</v>
      </c>
      <c r="F46" t="str">
        <f t="shared" si="2"/>
        <v>33904011</v>
      </c>
      <c r="G46" s="218" t="str">
        <f t="shared" si="3"/>
        <v>SERVIÇOS DE TECNOLOGIA DA INFORMAÇÃO E COMUNICAÇÃO - TIC</v>
      </c>
    </row>
    <row r="47">
      <c r="A47" s="441">
        <v>3.3914011E7</v>
      </c>
      <c r="B47" s="442" t="s">
        <v>181</v>
      </c>
      <c r="C47" s="445" t="s">
        <v>9269</v>
      </c>
      <c r="E47" t="str">
        <f t="shared" si="1"/>
        <v>339140</v>
      </c>
      <c r="F47" t="str">
        <f t="shared" si="2"/>
        <v>33914011</v>
      </c>
      <c r="G47" s="218" t="str">
        <f t="shared" si="3"/>
        <v>#N/A</v>
      </c>
    </row>
    <row r="48">
      <c r="A48" s="441">
        <v>3.3904012E7</v>
      </c>
      <c r="B48" s="442" t="s">
        <v>133</v>
      </c>
      <c r="C48" s="443"/>
      <c r="E48" t="str">
        <f t="shared" si="1"/>
        <v>339040</v>
      </c>
      <c r="F48" t="str">
        <f t="shared" si="2"/>
        <v>33904012</v>
      </c>
      <c r="G48" s="218" t="str">
        <f t="shared" si="3"/>
        <v>SERVIÇOS DE TECNOLOGIA DA INFORMAÇÃO E COMUNICAÇÃO - TIC</v>
      </c>
    </row>
    <row r="49">
      <c r="A49" s="441">
        <v>3.3914012E7</v>
      </c>
      <c r="B49" s="442" t="s">
        <v>133</v>
      </c>
      <c r="C49" s="445" t="s">
        <v>9269</v>
      </c>
      <c r="E49" t="str">
        <f t="shared" si="1"/>
        <v>339140</v>
      </c>
      <c r="F49" t="str">
        <f t="shared" si="2"/>
        <v>33914012</v>
      </c>
      <c r="G49" s="218" t="str">
        <f t="shared" si="3"/>
        <v>#N/A</v>
      </c>
    </row>
    <row r="50">
      <c r="A50" s="441">
        <v>3.3904013E7</v>
      </c>
      <c r="B50" s="442" t="s">
        <v>189</v>
      </c>
      <c r="C50" s="443"/>
      <c r="E50" t="str">
        <f t="shared" si="1"/>
        <v>339040</v>
      </c>
      <c r="F50" t="str">
        <f t="shared" si="2"/>
        <v>33904013</v>
      </c>
      <c r="G50" s="218" t="str">
        <f t="shared" si="3"/>
        <v>SERVIÇOS DE TECNOLOGIA DA INFORMAÇÃO E COMUNICAÇÃO - TIC</v>
      </c>
    </row>
    <row r="51">
      <c r="A51" s="441">
        <v>3.3914013E7</v>
      </c>
      <c r="B51" s="442" t="s">
        <v>189</v>
      </c>
      <c r="C51" s="445" t="s">
        <v>9269</v>
      </c>
      <c r="E51" t="str">
        <f t="shared" si="1"/>
        <v>339140</v>
      </c>
      <c r="F51" t="str">
        <f t="shared" si="2"/>
        <v>33914013</v>
      </c>
      <c r="G51" s="218" t="str">
        <f t="shared" si="3"/>
        <v>#N/A</v>
      </c>
    </row>
    <row r="52">
      <c r="A52" s="441">
        <v>3.3904014E7</v>
      </c>
      <c r="B52" s="442" t="s">
        <v>225</v>
      </c>
      <c r="C52" s="443"/>
      <c r="E52" t="str">
        <f t="shared" si="1"/>
        <v>339040</v>
      </c>
      <c r="F52" t="str">
        <f t="shared" si="2"/>
        <v>33904014</v>
      </c>
      <c r="G52" s="218" t="str">
        <f t="shared" si="3"/>
        <v>SERVIÇOS DE TECNOLOGIA DA INFORMAÇÃO E COMUNICAÇÃO - TIC</v>
      </c>
    </row>
    <row r="53">
      <c r="A53" s="441">
        <v>3.3914014E7</v>
      </c>
      <c r="B53" s="442" t="s">
        <v>9277</v>
      </c>
      <c r="C53" s="445" t="s">
        <v>9269</v>
      </c>
      <c r="E53" t="str">
        <f t="shared" si="1"/>
        <v>339140</v>
      </c>
      <c r="F53" t="str">
        <f t="shared" si="2"/>
        <v>33914014</v>
      </c>
      <c r="G53" s="218" t="str">
        <f t="shared" si="3"/>
        <v>#N/A</v>
      </c>
    </row>
    <row r="54">
      <c r="A54" s="441">
        <v>3.3904015E7</v>
      </c>
      <c r="B54" s="442" t="s">
        <v>9278</v>
      </c>
      <c r="C54" s="443"/>
      <c r="E54" t="str">
        <f t="shared" si="1"/>
        <v>339040</v>
      </c>
      <c r="F54" t="str">
        <f t="shared" si="2"/>
        <v>33904015</v>
      </c>
      <c r="G54" s="218" t="str">
        <f t="shared" si="3"/>
        <v>SERVIÇOS DE TECNOLOGIA DA INFORMAÇÃO E COMUNICAÇÃO - TIC</v>
      </c>
    </row>
    <row r="55">
      <c r="A55" s="441">
        <v>3.3914015E7</v>
      </c>
      <c r="B55" s="442" t="s">
        <v>9278</v>
      </c>
      <c r="C55" s="445" t="s">
        <v>9269</v>
      </c>
      <c r="E55" t="str">
        <f t="shared" si="1"/>
        <v>339140</v>
      </c>
      <c r="F55" t="str">
        <f t="shared" si="2"/>
        <v>33914015</v>
      </c>
      <c r="G55" s="218" t="str">
        <f t="shared" si="3"/>
        <v>#N/A</v>
      </c>
    </row>
    <row r="56">
      <c r="A56" s="441">
        <v>3.3904016E7</v>
      </c>
      <c r="B56" s="442" t="s">
        <v>9279</v>
      </c>
      <c r="C56" s="443"/>
      <c r="E56" t="str">
        <f t="shared" si="1"/>
        <v>339040</v>
      </c>
      <c r="F56" t="str">
        <f t="shared" si="2"/>
        <v>33904016</v>
      </c>
      <c r="G56" s="218" t="str">
        <f t="shared" si="3"/>
        <v>SERVIÇOS DE TECNOLOGIA DA INFORMAÇÃO E COMUNICAÇÃO - TIC</v>
      </c>
    </row>
    <row r="57">
      <c r="A57" s="441">
        <v>3.3914016E7</v>
      </c>
      <c r="B57" s="442" t="s">
        <v>9279</v>
      </c>
      <c r="C57" s="445" t="s">
        <v>9269</v>
      </c>
      <c r="E57" t="str">
        <f t="shared" si="1"/>
        <v>339140</v>
      </c>
      <c r="F57" t="str">
        <f t="shared" si="2"/>
        <v>33914016</v>
      </c>
      <c r="G57" s="218" t="str">
        <f t="shared" si="3"/>
        <v>#N/A</v>
      </c>
    </row>
    <row r="58">
      <c r="A58" s="441">
        <v>3.3904017E7</v>
      </c>
      <c r="B58" s="442" t="s">
        <v>9280</v>
      </c>
      <c r="C58" s="443"/>
      <c r="E58" t="str">
        <f t="shared" si="1"/>
        <v>339040</v>
      </c>
      <c r="F58" t="str">
        <f t="shared" si="2"/>
        <v>33904017</v>
      </c>
      <c r="G58" s="218" t="str">
        <f t="shared" si="3"/>
        <v>SERVIÇOS DE TECNOLOGIA DA INFORMAÇÃO E COMUNICAÇÃO - TIC</v>
      </c>
    </row>
    <row r="59">
      <c r="A59" s="441">
        <v>3.3914017E7</v>
      </c>
      <c r="B59" s="442" t="s">
        <v>9280</v>
      </c>
      <c r="C59" s="445" t="s">
        <v>9269</v>
      </c>
      <c r="E59" t="str">
        <f t="shared" si="1"/>
        <v>339140</v>
      </c>
      <c r="F59" t="str">
        <f t="shared" si="2"/>
        <v>33914017</v>
      </c>
      <c r="G59" s="218" t="str">
        <f t="shared" si="3"/>
        <v>#N/A</v>
      </c>
    </row>
    <row r="60">
      <c r="A60" s="441">
        <v>3.3904018E7</v>
      </c>
      <c r="B60" s="442" t="s">
        <v>9281</v>
      </c>
      <c r="C60" s="443"/>
      <c r="E60" t="str">
        <f t="shared" si="1"/>
        <v>339040</v>
      </c>
      <c r="F60" t="str">
        <f t="shared" si="2"/>
        <v>33904018</v>
      </c>
      <c r="G60" s="218" t="str">
        <f t="shared" si="3"/>
        <v>SERVIÇOS DE TECNOLOGIA DA INFORMAÇÃO E COMUNICAÇÃO - TIC</v>
      </c>
    </row>
    <row r="61">
      <c r="A61" s="441">
        <v>3.3914018E7</v>
      </c>
      <c r="B61" s="442" t="s">
        <v>9281</v>
      </c>
      <c r="C61" s="445" t="s">
        <v>9269</v>
      </c>
      <c r="E61" t="str">
        <f t="shared" si="1"/>
        <v>339140</v>
      </c>
      <c r="F61" t="str">
        <f t="shared" si="2"/>
        <v>33914018</v>
      </c>
      <c r="G61" s="218" t="str">
        <f t="shared" si="3"/>
        <v>#N/A</v>
      </c>
    </row>
    <row r="62">
      <c r="A62" s="441">
        <v>3.3904019E7</v>
      </c>
      <c r="B62" s="442" t="s">
        <v>239</v>
      </c>
      <c r="C62" s="443"/>
      <c r="E62" t="str">
        <f t="shared" si="1"/>
        <v>339040</v>
      </c>
      <c r="F62" t="str">
        <f t="shared" si="2"/>
        <v>33904019</v>
      </c>
      <c r="G62" s="218" t="str">
        <f t="shared" si="3"/>
        <v>SERVIÇOS DE TECNOLOGIA DA INFORMAÇÃO E COMUNICAÇÃO - TIC</v>
      </c>
    </row>
    <row r="63">
      <c r="A63" s="441">
        <v>3.3914019E7</v>
      </c>
      <c r="B63" s="442" t="s">
        <v>239</v>
      </c>
      <c r="C63" s="445" t="s">
        <v>9269</v>
      </c>
      <c r="E63" t="str">
        <f t="shared" si="1"/>
        <v>339140</v>
      </c>
      <c r="F63" t="str">
        <f t="shared" si="2"/>
        <v>33914019</v>
      </c>
      <c r="G63" s="218" t="str">
        <f t="shared" si="3"/>
        <v>#N/A</v>
      </c>
    </row>
    <row r="64">
      <c r="A64" s="441">
        <v>3.390402E7</v>
      </c>
      <c r="B64" s="442" t="s">
        <v>9282</v>
      </c>
      <c r="C64" s="443"/>
      <c r="E64" t="str">
        <f t="shared" si="1"/>
        <v>339040</v>
      </c>
      <c r="F64" t="str">
        <f t="shared" si="2"/>
        <v>33904020</v>
      </c>
      <c r="G64" s="218" t="str">
        <f t="shared" si="3"/>
        <v>SERVIÇOS DE TECNOLOGIA DA INFORMAÇÃO E COMUNICAÇÃO - TIC</v>
      </c>
    </row>
    <row r="65">
      <c r="A65" s="441">
        <v>3.391402E7</v>
      </c>
      <c r="B65" s="442" t="s">
        <v>9282</v>
      </c>
      <c r="C65" s="445" t="s">
        <v>9269</v>
      </c>
      <c r="E65" t="str">
        <f t="shared" si="1"/>
        <v>339140</v>
      </c>
      <c r="F65" t="str">
        <f t="shared" si="2"/>
        <v>33914020</v>
      </c>
      <c r="G65" s="218" t="str">
        <f t="shared" si="3"/>
        <v>#N/A</v>
      </c>
    </row>
    <row r="66">
      <c r="A66" s="441">
        <v>3.3904021E7</v>
      </c>
      <c r="B66" s="442" t="s">
        <v>9270</v>
      </c>
      <c r="C66" s="443"/>
      <c r="E66" t="str">
        <f t="shared" si="1"/>
        <v>339040</v>
      </c>
      <c r="F66" t="str">
        <f t="shared" si="2"/>
        <v>33904021</v>
      </c>
      <c r="G66" s="218" t="str">
        <f t="shared" si="3"/>
        <v>SERVIÇOS DE TECNOLOGIA DA INFORMAÇÃO E COMUNICAÇÃO - TIC</v>
      </c>
    </row>
    <row r="67">
      <c r="A67" s="441">
        <v>3.3914021E7</v>
      </c>
      <c r="B67" s="442" t="s">
        <v>9270</v>
      </c>
      <c r="C67" s="445" t="s">
        <v>9269</v>
      </c>
      <c r="E67" t="str">
        <f t="shared" si="1"/>
        <v>339140</v>
      </c>
      <c r="F67" t="str">
        <f t="shared" si="2"/>
        <v>33914021</v>
      </c>
      <c r="G67" s="218" t="str">
        <f t="shared" si="3"/>
        <v>#N/A</v>
      </c>
    </row>
    <row r="68">
      <c r="A68" s="441">
        <v>3.3904022E7</v>
      </c>
      <c r="B68" s="442" t="s">
        <v>9283</v>
      </c>
      <c r="C68" s="443"/>
      <c r="E68" t="str">
        <f t="shared" si="1"/>
        <v>339040</v>
      </c>
      <c r="F68" t="str">
        <f t="shared" si="2"/>
        <v>33904022</v>
      </c>
      <c r="G68" s="218" t="str">
        <f t="shared" si="3"/>
        <v>SERVIÇOS DE TECNOLOGIA DA INFORMAÇÃO E COMUNICAÇÃO - TIC</v>
      </c>
    </row>
    <row r="69">
      <c r="A69" s="441">
        <v>3.3914022E7</v>
      </c>
      <c r="B69" s="442" t="s">
        <v>9283</v>
      </c>
      <c r="C69" s="445" t="s">
        <v>9269</v>
      </c>
      <c r="E69" t="str">
        <f t="shared" si="1"/>
        <v>339140</v>
      </c>
      <c r="F69" t="str">
        <f t="shared" si="2"/>
        <v>33914022</v>
      </c>
      <c r="G69" s="218" t="str">
        <f t="shared" si="3"/>
        <v>#N/A</v>
      </c>
    </row>
    <row r="70">
      <c r="A70" s="441">
        <v>3.3904023E7</v>
      </c>
      <c r="B70" s="442" t="s">
        <v>301</v>
      </c>
      <c r="C70" s="443"/>
      <c r="E70" t="str">
        <f t="shared" si="1"/>
        <v>339040</v>
      </c>
      <c r="F70" t="str">
        <f t="shared" si="2"/>
        <v>33904023</v>
      </c>
      <c r="G70" s="218" t="str">
        <f t="shared" si="3"/>
        <v>SERVIÇOS DE TECNOLOGIA DA INFORMAÇÃO E COMUNICAÇÃO - TIC</v>
      </c>
    </row>
    <row r="71">
      <c r="A71" s="441">
        <v>3.3914023E7</v>
      </c>
      <c r="B71" s="442" t="s">
        <v>301</v>
      </c>
      <c r="C71" s="445" t="s">
        <v>9269</v>
      </c>
      <c r="E71" t="str">
        <f t="shared" si="1"/>
        <v>339140</v>
      </c>
      <c r="F71" t="str">
        <f t="shared" si="2"/>
        <v>33914023</v>
      </c>
      <c r="G71" s="218" t="str">
        <f t="shared" si="3"/>
        <v>#N/A</v>
      </c>
    </row>
    <row r="72">
      <c r="A72" s="441">
        <v>3.3904024E7</v>
      </c>
      <c r="B72" s="446" t="s">
        <v>9284</v>
      </c>
      <c r="C72" s="443"/>
      <c r="E72" t="str">
        <f t="shared" si="1"/>
        <v>339040</v>
      </c>
      <c r="F72" t="str">
        <f t="shared" si="2"/>
        <v>33904024</v>
      </c>
      <c r="G72" s="218" t="str">
        <f t="shared" si="3"/>
        <v>SERVIÇOS DE TECNOLOGIA DA INFORMAÇÃO E COMUNICAÇÃO - TIC</v>
      </c>
    </row>
    <row r="73">
      <c r="A73" s="441">
        <v>3.3904096E7</v>
      </c>
      <c r="B73" s="442" t="s">
        <v>9285</v>
      </c>
      <c r="C73" s="443"/>
      <c r="E73" t="str">
        <f t="shared" si="1"/>
        <v>339040</v>
      </c>
      <c r="F73" t="str">
        <f t="shared" si="2"/>
        <v>33904096</v>
      </c>
      <c r="G73" s="218" t="str">
        <f t="shared" si="3"/>
        <v>SERVIÇOS DE TECNOLOGIA DA INFORMAÇÃO E COMUNICAÇÃO - TIC</v>
      </c>
    </row>
    <row r="74">
      <c r="A74" s="441">
        <v>3.3904099E7</v>
      </c>
      <c r="B74" s="442" t="s">
        <v>9286</v>
      </c>
      <c r="C74" s="443"/>
      <c r="E74" t="str">
        <f t="shared" si="1"/>
        <v>339040</v>
      </c>
      <c r="F74" t="str">
        <f t="shared" si="2"/>
        <v>33904099</v>
      </c>
      <c r="G74" s="218" t="str">
        <f t="shared" si="3"/>
        <v>SERVIÇOS DE TECNOLOGIA DA INFORMAÇÃO E COMUNICAÇÃO - TIC</v>
      </c>
    </row>
    <row r="75">
      <c r="A75" s="441">
        <v>3.3914099E7</v>
      </c>
      <c r="B75" s="442" t="s">
        <v>9286</v>
      </c>
      <c r="C75" s="445" t="s">
        <v>9269</v>
      </c>
      <c r="E75" t="str">
        <f t="shared" si="1"/>
        <v>339140</v>
      </c>
      <c r="F75" t="str">
        <f t="shared" si="2"/>
        <v>33914099</v>
      </c>
      <c r="G75" s="218" t="str">
        <f t="shared" si="3"/>
        <v>#N/A</v>
      </c>
    </row>
    <row r="76">
      <c r="A76" s="441">
        <v>4.4903646E7</v>
      </c>
      <c r="B76" s="442" t="s">
        <v>9287</v>
      </c>
      <c r="C76" s="443"/>
      <c r="E76" t="str">
        <f t="shared" si="1"/>
        <v>449036</v>
      </c>
      <c r="F76" t="str">
        <f t="shared" si="2"/>
        <v>44903646</v>
      </c>
      <c r="G76" s="218" t="str">
        <f t="shared" si="3"/>
        <v>#N/A</v>
      </c>
    </row>
    <row r="77">
      <c r="A77" s="447">
        <v>4.4904005E7</v>
      </c>
      <c r="B77" s="448" t="s">
        <v>504</v>
      </c>
      <c r="C77" s="443"/>
      <c r="E77" t="str">
        <f t="shared" si="1"/>
        <v>449040</v>
      </c>
      <c r="F77" t="str">
        <f t="shared" si="2"/>
        <v>44904005</v>
      </c>
      <c r="G77" s="218" t="str">
        <f t="shared" si="3"/>
        <v>#N/A</v>
      </c>
    </row>
    <row r="78">
      <c r="A78" s="447">
        <v>4.4904006E7</v>
      </c>
      <c r="B78" s="448" t="s">
        <v>9288</v>
      </c>
      <c r="C78" s="443"/>
      <c r="E78" t="str">
        <f t="shared" si="1"/>
        <v>449040</v>
      </c>
      <c r="F78" t="str">
        <f t="shared" si="2"/>
        <v>44904006</v>
      </c>
      <c r="G78" s="218" t="str">
        <f t="shared" si="3"/>
        <v>#N/A</v>
      </c>
    </row>
    <row r="79">
      <c r="A79" s="441">
        <v>4.4903504E7</v>
      </c>
      <c r="B79" s="442" t="s">
        <v>371</v>
      </c>
      <c r="C79" s="443"/>
      <c r="E79" t="str">
        <f t="shared" si="1"/>
        <v>449035</v>
      </c>
      <c r="F79" t="str">
        <f t="shared" si="2"/>
        <v>44903504</v>
      </c>
      <c r="G79" s="218" t="str">
        <f t="shared" si="3"/>
        <v>#N/A</v>
      </c>
    </row>
    <row r="80">
      <c r="A80" s="441">
        <v>4.4903645E7</v>
      </c>
      <c r="B80" s="442" t="s">
        <v>378</v>
      </c>
      <c r="C80" s="443"/>
      <c r="E80" t="str">
        <f t="shared" si="1"/>
        <v>449036</v>
      </c>
      <c r="F80" t="str">
        <f t="shared" si="2"/>
        <v>44903645</v>
      </c>
      <c r="G80" s="218" t="str">
        <f t="shared" si="3"/>
        <v>#N/A</v>
      </c>
    </row>
    <row r="81">
      <c r="A81" s="447">
        <v>4.4904001E7</v>
      </c>
      <c r="B81" s="448" t="s">
        <v>378</v>
      </c>
      <c r="C81" s="443"/>
      <c r="E81" t="str">
        <f t="shared" si="1"/>
        <v>449040</v>
      </c>
      <c r="F81" t="str">
        <f t="shared" si="2"/>
        <v>44904001</v>
      </c>
      <c r="G81" s="218" t="str">
        <f t="shared" si="3"/>
        <v>#N/A</v>
      </c>
    </row>
    <row r="82">
      <c r="A82" s="441">
        <v>4.4905237E7</v>
      </c>
      <c r="B82" s="442" t="s">
        <v>9289</v>
      </c>
      <c r="C82" s="443"/>
      <c r="E82" t="str">
        <f t="shared" si="1"/>
        <v>449052</v>
      </c>
      <c r="F82" t="str">
        <f t="shared" si="2"/>
        <v>44905237</v>
      </c>
      <c r="G82" s="218" t="str">
        <f t="shared" si="3"/>
        <v>#N/A</v>
      </c>
    </row>
    <row r="83">
      <c r="A83" s="441">
        <v>4.4905245E7</v>
      </c>
      <c r="B83" s="442" t="s">
        <v>437</v>
      </c>
      <c r="C83" s="443"/>
      <c r="E83" t="str">
        <f t="shared" si="1"/>
        <v>449052</v>
      </c>
      <c r="F83" t="str">
        <f t="shared" si="2"/>
        <v>44905245</v>
      </c>
      <c r="G83" s="218" t="str">
        <f t="shared" si="3"/>
        <v>#N/A</v>
      </c>
    </row>
    <row r="84">
      <c r="A84" s="441">
        <v>4.4905243E7</v>
      </c>
      <c r="B84" s="442" t="s">
        <v>9290</v>
      </c>
      <c r="C84" s="443"/>
      <c r="E84" t="str">
        <f t="shared" si="1"/>
        <v>449052</v>
      </c>
      <c r="F84" t="str">
        <f t="shared" si="2"/>
        <v>44905243</v>
      </c>
      <c r="G84" s="218" t="str">
        <f t="shared" si="3"/>
        <v>#N/A</v>
      </c>
    </row>
    <row r="85">
      <c r="A85" s="441">
        <v>4.4905247E7</v>
      </c>
      <c r="B85" s="442" t="s">
        <v>361</v>
      </c>
      <c r="C85" s="443"/>
      <c r="E85" t="str">
        <f t="shared" si="1"/>
        <v>449052</v>
      </c>
      <c r="F85" t="str">
        <f t="shared" si="2"/>
        <v>44905247</v>
      </c>
      <c r="G85" s="218" t="str">
        <f t="shared" si="3"/>
        <v>#N/A</v>
      </c>
    </row>
    <row r="86">
      <c r="A86" s="441">
        <v>4.4905241E7</v>
      </c>
      <c r="B86" s="442" t="s">
        <v>433</v>
      </c>
      <c r="C86" s="443"/>
      <c r="E86" t="str">
        <f t="shared" si="1"/>
        <v>449052</v>
      </c>
      <c r="F86" t="str">
        <f t="shared" si="2"/>
        <v>44905241</v>
      </c>
      <c r="G86" s="218" t="str">
        <f t="shared" si="3"/>
        <v>#N/A</v>
      </c>
    </row>
    <row r="87">
      <c r="A87" s="447">
        <v>4.4904002E7</v>
      </c>
      <c r="B87" s="448" t="s">
        <v>9291</v>
      </c>
      <c r="C87" s="443"/>
      <c r="E87" t="str">
        <f t="shared" si="1"/>
        <v>449040</v>
      </c>
      <c r="F87" t="str">
        <f t="shared" si="2"/>
        <v>44904002</v>
      </c>
      <c r="G87" s="218" t="str">
        <f t="shared" si="3"/>
        <v>#N/A</v>
      </c>
    </row>
    <row r="88">
      <c r="A88" s="441">
        <v>4.4905235E7</v>
      </c>
      <c r="B88" s="442" t="s">
        <v>481</v>
      </c>
      <c r="C88" s="443"/>
      <c r="E88" t="str">
        <f t="shared" si="1"/>
        <v>449052</v>
      </c>
      <c r="F88" t="str">
        <f t="shared" si="2"/>
        <v>44905235</v>
      </c>
      <c r="G88" s="218" t="str">
        <f t="shared" si="3"/>
        <v>#N/A</v>
      </c>
    </row>
    <row r="89">
      <c r="A89" s="441">
        <v>4.4903017E7</v>
      </c>
      <c r="B89" s="442" t="s">
        <v>9292</v>
      </c>
      <c r="C89" s="443"/>
      <c r="E89" t="str">
        <f t="shared" si="1"/>
        <v>449030</v>
      </c>
      <c r="F89" t="str">
        <f t="shared" si="2"/>
        <v>44903017</v>
      </c>
      <c r="G89" s="218" t="str">
        <f t="shared" si="3"/>
        <v/>
      </c>
    </row>
    <row r="90">
      <c r="A90" s="441">
        <v>4.4903654E7</v>
      </c>
      <c r="B90" s="448" t="s">
        <v>9293</v>
      </c>
      <c r="C90" s="443"/>
      <c r="E90" t="str">
        <f t="shared" si="1"/>
        <v>449036</v>
      </c>
      <c r="F90" t="str">
        <f t="shared" si="2"/>
        <v>44903654</v>
      </c>
      <c r="G90" s="218" t="str">
        <f t="shared" si="3"/>
        <v>#N/A</v>
      </c>
    </row>
    <row r="91">
      <c r="A91" s="447">
        <v>4.4904004E7</v>
      </c>
      <c r="B91" s="448" t="s">
        <v>9293</v>
      </c>
      <c r="C91" s="443"/>
      <c r="E91" t="str">
        <f t="shared" si="1"/>
        <v>449040</v>
      </c>
      <c r="F91" t="str">
        <f t="shared" si="2"/>
        <v>44904004</v>
      </c>
      <c r="G91" s="218" t="str">
        <f t="shared" si="3"/>
        <v>#N/A</v>
      </c>
    </row>
    <row r="92">
      <c r="A92" s="447">
        <v>4.4904007E7</v>
      </c>
      <c r="B92" s="446" t="s">
        <v>9284</v>
      </c>
      <c r="C92" s="443"/>
      <c r="E92" t="str">
        <f t="shared" si="1"/>
        <v>449040</v>
      </c>
      <c r="F92" t="str">
        <f t="shared" si="2"/>
        <v>44904007</v>
      </c>
      <c r="G92" s="218" t="str">
        <f t="shared" si="3"/>
        <v>#N/A</v>
      </c>
    </row>
    <row r="93">
      <c r="A93" s="441">
        <v>4.4904096E7</v>
      </c>
      <c r="B93" s="442" t="s">
        <v>9294</v>
      </c>
      <c r="C93" s="443"/>
      <c r="E93" t="str">
        <f t="shared" si="1"/>
        <v>449040</v>
      </c>
      <c r="F93" t="str">
        <f t="shared" si="2"/>
        <v>44904096</v>
      </c>
      <c r="G93" s="218" t="str">
        <f t="shared" si="3"/>
        <v>#N/A</v>
      </c>
    </row>
    <row r="94">
      <c r="A94" s="441">
        <v>4.4903657E7</v>
      </c>
      <c r="B94" s="442" t="s">
        <v>9270</v>
      </c>
      <c r="C94" s="443"/>
      <c r="E94" t="str">
        <f t="shared" si="1"/>
        <v>449036</v>
      </c>
      <c r="F94" t="str">
        <f t="shared" si="2"/>
        <v>44903657</v>
      </c>
      <c r="G94" s="218" t="str">
        <f t="shared" si="3"/>
        <v>#N/A</v>
      </c>
    </row>
    <row r="95">
      <c r="A95" s="447">
        <v>4.4904003E7</v>
      </c>
      <c r="B95" s="442" t="s">
        <v>9270</v>
      </c>
      <c r="C95" s="443"/>
      <c r="E95" t="str">
        <f t="shared" si="1"/>
        <v>449040</v>
      </c>
      <c r="F95" t="str">
        <f t="shared" si="2"/>
        <v>44904003</v>
      </c>
      <c r="G95" s="218" t="str">
        <f t="shared" si="3"/>
        <v>#N/A</v>
      </c>
    </row>
    <row r="96">
      <c r="A96" s="447">
        <v>4.4904008E7</v>
      </c>
      <c r="B96" s="446" t="s">
        <v>9295</v>
      </c>
      <c r="C96" s="443"/>
      <c r="E96" t="str">
        <f t="shared" si="1"/>
        <v>449040</v>
      </c>
      <c r="F96" t="str">
        <f t="shared" si="2"/>
        <v>44904008</v>
      </c>
      <c r="G96" s="218" t="str">
        <f t="shared" si="3"/>
        <v>#N/A</v>
      </c>
    </row>
    <row r="97">
      <c r="A97" s="449"/>
      <c r="B97" s="450"/>
      <c r="C97" s="443"/>
    </row>
    <row r="98">
      <c r="A98" s="449"/>
      <c r="B98" s="450"/>
      <c r="C98" s="443"/>
    </row>
    <row r="99">
      <c r="A99" s="449"/>
      <c r="B99" s="450"/>
      <c r="C99" s="443"/>
    </row>
    <row r="100">
      <c r="A100" s="449"/>
      <c r="B100" s="450"/>
      <c r="C100" s="443"/>
    </row>
  </sheetData>
  <autoFilter ref="$A$19:$G$96"/>
  <customSheetViews>
    <customSheetView guid="{123C75A2-4E9F-4F53-A6F2-90D223DA5FFC}" filter="1" showAutoFilter="1">
      <autoFilter ref="$J$30"/>
    </customSheetView>
  </customSheetView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70.0"/>
  </cols>
  <sheetData>
    <row r="1">
      <c r="A1" s="451" t="s">
        <v>815</v>
      </c>
      <c r="B1" s="267" t="s">
        <v>2</v>
      </c>
    </row>
    <row r="2">
      <c r="A2" s="452">
        <v>339030.0</v>
      </c>
      <c r="B2" s="453" t="s">
        <v>249</v>
      </c>
    </row>
    <row r="3">
      <c r="A3" s="452">
        <v>339031.0</v>
      </c>
      <c r="B3" s="453" t="s">
        <v>9266</v>
      </c>
    </row>
    <row r="4">
      <c r="A4" s="452">
        <v>339035.0</v>
      </c>
      <c r="B4" s="453" t="s">
        <v>372</v>
      </c>
    </row>
    <row r="5">
      <c r="A5" s="452">
        <v>339039.0</v>
      </c>
      <c r="B5" s="453" t="s">
        <v>9267</v>
      </c>
    </row>
    <row r="6">
      <c r="A6" s="452">
        <v>339040.0</v>
      </c>
      <c r="B6" s="453" t="s">
        <v>136</v>
      </c>
    </row>
    <row r="7">
      <c r="A7" s="452">
        <v>339092.0</v>
      </c>
      <c r="B7" s="453" t="s">
        <v>8736</v>
      </c>
    </row>
    <row r="8">
      <c r="A8" s="200">
        <v>339130.0</v>
      </c>
      <c r="B8" s="453" t="s">
        <v>249</v>
      </c>
    </row>
    <row r="9">
      <c r="A9" s="200">
        <v>339135.0</v>
      </c>
      <c r="B9" s="453" t="s">
        <v>372</v>
      </c>
    </row>
    <row r="10">
      <c r="A10" s="200">
        <v>449030.0</v>
      </c>
    </row>
    <row r="11">
      <c r="A11" s="200">
        <v>449035.0</v>
      </c>
    </row>
    <row r="12">
      <c r="A12" s="200">
        <v>449036.0</v>
      </c>
    </row>
    <row r="13">
      <c r="A13" s="452">
        <v>449040.0</v>
      </c>
      <c r="B13" s="453" t="s">
        <v>505</v>
      </c>
    </row>
    <row r="14">
      <c r="A14" s="452">
        <v>449052.0</v>
      </c>
      <c r="B14" s="453" t="s">
        <v>362</v>
      </c>
    </row>
    <row r="15">
      <c r="A15" s="452">
        <v>449092.0</v>
      </c>
      <c r="B15" s="453" t="s">
        <v>8736</v>
      </c>
    </row>
    <row r="16">
      <c r="A16" s="200"/>
    </row>
    <row r="17">
      <c r="A17" s="200"/>
    </row>
    <row r="18">
      <c r="A18" s="200"/>
    </row>
    <row r="19">
      <c r="A19" s="200"/>
    </row>
    <row r="20">
      <c r="A20" s="200"/>
    </row>
    <row r="21">
      <c r="A21" s="200"/>
    </row>
    <row r="22">
      <c r="A22" s="200"/>
    </row>
    <row r="23">
      <c r="A23" s="200"/>
    </row>
    <row r="24">
      <c r="A24" s="200"/>
    </row>
    <row r="25">
      <c r="A25" s="200"/>
    </row>
    <row r="26">
      <c r="A26" s="200"/>
    </row>
    <row r="27">
      <c r="A27" s="200"/>
    </row>
    <row r="28">
      <c r="A28" s="200"/>
    </row>
    <row r="29">
      <c r="A29" s="200"/>
    </row>
    <row r="30">
      <c r="A30" s="200"/>
    </row>
    <row r="31">
      <c r="A31" s="200"/>
    </row>
    <row r="32">
      <c r="A32" s="200"/>
    </row>
    <row r="33">
      <c r="A33" s="200"/>
    </row>
    <row r="34">
      <c r="A34" s="200"/>
    </row>
    <row r="35">
      <c r="A35" s="200"/>
    </row>
    <row r="36">
      <c r="A36" s="200"/>
    </row>
    <row r="37">
      <c r="A37" s="200"/>
    </row>
    <row r="38">
      <c r="A38" s="200"/>
    </row>
    <row r="39">
      <c r="A39" s="200"/>
    </row>
    <row r="40">
      <c r="A40" s="200"/>
    </row>
    <row r="41">
      <c r="A41" s="200"/>
    </row>
    <row r="42">
      <c r="A42" s="200"/>
    </row>
    <row r="43">
      <c r="A43" s="200"/>
    </row>
    <row r="44">
      <c r="A44" s="200"/>
    </row>
    <row r="45">
      <c r="A45" s="200"/>
    </row>
    <row r="46">
      <c r="A46" s="200"/>
    </row>
    <row r="47">
      <c r="A47" s="200"/>
    </row>
    <row r="48">
      <c r="A48" s="200"/>
    </row>
    <row r="49">
      <c r="A49" s="200"/>
    </row>
    <row r="50">
      <c r="A50" s="200"/>
    </row>
    <row r="51">
      <c r="A51" s="200"/>
    </row>
    <row r="52">
      <c r="A52" s="200"/>
    </row>
    <row r="53">
      <c r="A53" s="200"/>
    </row>
    <row r="54">
      <c r="A54" s="200"/>
    </row>
    <row r="55">
      <c r="A55" s="200"/>
    </row>
    <row r="56">
      <c r="A56" s="200"/>
    </row>
    <row r="57">
      <c r="A57" s="200"/>
    </row>
    <row r="58">
      <c r="A58" s="200"/>
    </row>
    <row r="59">
      <c r="A59" s="200"/>
    </row>
    <row r="60">
      <c r="A60" s="200"/>
    </row>
    <row r="61">
      <c r="A61" s="200"/>
    </row>
    <row r="62">
      <c r="A62" s="200"/>
    </row>
    <row r="63">
      <c r="A63" s="200"/>
    </row>
    <row r="64">
      <c r="A64" s="200"/>
    </row>
    <row r="65">
      <c r="A65" s="200"/>
    </row>
    <row r="66">
      <c r="A66" s="200"/>
    </row>
    <row r="67">
      <c r="A67" s="200"/>
    </row>
    <row r="68">
      <c r="A68" s="200"/>
    </row>
    <row r="69">
      <c r="A69" s="200"/>
    </row>
    <row r="70">
      <c r="A70" s="200"/>
    </row>
    <row r="71">
      <c r="A71" s="200"/>
    </row>
    <row r="72">
      <c r="A72" s="200"/>
    </row>
    <row r="73">
      <c r="A73" s="200"/>
    </row>
    <row r="74">
      <c r="A74" s="200"/>
    </row>
    <row r="75">
      <c r="A75" s="200"/>
    </row>
    <row r="76">
      <c r="A76" s="200"/>
    </row>
    <row r="77">
      <c r="A77" s="200"/>
    </row>
    <row r="78">
      <c r="A78" s="200"/>
    </row>
    <row r="79">
      <c r="A79" s="200"/>
    </row>
    <row r="80">
      <c r="A80" s="200"/>
    </row>
    <row r="81">
      <c r="A81" s="200"/>
    </row>
    <row r="82">
      <c r="A82" s="200"/>
    </row>
    <row r="83">
      <c r="A83" s="200"/>
    </row>
    <row r="84">
      <c r="A84" s="200"/>
    </row>
    <row r="85">
      <c r="A85" s="200"/>
    </row>
    <row r="86">
      <c r="A86" s="200"/>
    </row>
    <row r="87">
      <c r="A87" s="200"/>
    </row>
    <row r="88">
      <c r="A88" s="200"/>
    </row>
    <row r="89">
      <c r="A89" s="200"/>
    </row>
    <row r="90">
      <c r="A90" s="200"/>
    </row>
    <row r="91">
      <c r="A91" s="200"/>
    </row>
    <row r="92">
      <c r="A92" s="200"/>
    </row>
    <row r="93">
      <c r="A93" s="200"/>
    </row>
    <row r="94">
      <c r="A94" s="200"/>
    </row>
    <row r="95">
      <c r="A95" s="200"/>
    </row>
    <row r="96">
      <c r="A96" s="200"/>
    </row>
    <row r="97">
      <c r="A97" s="200"/>
    </row>
    <row r="98">
      <c r="A98" s="200"/>
    </row>
    <row r="99">
      <c r="A99" s="200"/>
    </row>
    <row r="100">
      <c r="A100" s="200"/>
    </row>
    <row r="101">
      <c r="A101" s="200"/>
    </row>
    <row r="102">
      <c r="A102" s="200"/>
    </row>
    <row r="103">
      <c r="A103" s="200"/>
    </row>
    <row r="104">
      <c r="A104" s="200"/>
    </row>
    <row r="105">
      <c r="A105" s="200"/>
    </row>
    <row r="106">
      <c r="A106" s="200"/>
    </row>
    <row r="107">
      <c r="A107" s="200"/>
    </row>
    <row r="108">
      <c r="A108" s="200"/>
    </row>
    <row r="109">
      <c r="A109" s="200"/>
    </row>
    <row r="110">
      <c r="A110" s="200"/>
    </row>
    <row r="111">
      <c r="A111" s="200"/>
    </row>
    <row r="112">
      <c r="A112" s="200"/>
    </row>
    <row r="113">
      <c r="A113" s="200"/>
    </row>
    <row r="114">
      <c r="A114" s="200"/>
    </row>
    <row r="115">
      <c r="A115" s="200"/>
    </row>
    <row r="116">
      <c r="A116" s="200"/>
    </row>
    <row r="117">
      <c r="A117" s="200"/>
    </row>
    <row r="118">
      <c r="A118" s="200"/>
    </row>
    <row r="119">
      <c r="A119" s="200"/>
    </row>
    <row r="120">
      <c r="A120" s="200"/>
    </row>
    <row r="121">
      <c r="A121" s="200"/>
    </row>
    <row r="122">
      <c r="A122" s="200"/>
    </row>
    <row r="123">
      <c r="A123" s="200"/>
    </row>
    <row r="124">
      <c r="A124" s="200"/>
    </row>
    <row r="125">
      <c r="A125" s="200"/>
    </row>
    <row r="126">
      <c r="A126" s="200"/>
    </row>
    <row r="127">
      <c r="A127" s="200"/>
    </row>
    <row r="128">
      <c r="A128" s="200"/>
    </row>
    <row r="129">
      <c r="A129" s="200"/>
    </row>
    <row r="130">
      <c r="A130" s="200"/>
    </row>
    <row r="131">
      <c r="A131" s="200"/>
    </row>
    <row r="132">
      <c r="A132" s="200"/>
    </row>
    <row r="133">
      <c r="A133" s="200"/>
    </row>
    <row r="134">
      <c r="A134" s="200"/>
    </row>
    <row r="135">
      <c r="A135" s="200"/>
    </row>
    <row r="136">
      <c r="A136" s="200"/>
    </row>
    <row r="137">
      <c r="A137" s="200"/>
    </row>
    <row r="138">
      <c r="A138" s="200"/>
    </row>
    <row r="139">
      <c r="A139" s="200"/>
    </row>
    <row r="140">
      <c r="A140" s="200"/>
    </row>
    <row r="141">
      <c r="A141" s="200"/>
    </row>
    <row r="142">
      <c r="A142" s="200"/>
    </row>
    <row r="143">
      <c r="A143" s="200"/>
    </row>
    <row r="144">
      <c r="A144" s="200"/>
    </row>
    <row r="145">
      <c r="A145" s="200"/>
    </row>
    <row r="146">
      <c r="A146" s="200"/>
    </row>
    <row r="147">
      <c r="A147" s="200"/>
    </row>
    <row r="148">
      <c r="A148" s="200"/>
    </row>
    <row r="149">
      <c r="A149" s="200"/>
    </row>
    <row r="150">
      <c r="A150" s="200"/>
    </row>
    <row r="151">
      <c r="A151" s="200"/>
    </row>
    <row r="152">
      <c r="A152" s="200"/>
    </row>
    <row r="153">
      <c r="A153" s="200"/>
    </row>
    <row r="154">
      <c r="A154" s="200"/>
    </row>
    <row r="155">
      <c r="A155" s="200"/>
    </row>
    <row r="156">
      <c r="A156" s="200"/>
    </row>
    <row r="157">
      <c r="A157" s="200"/>
    </row>
    <row r="158">
      <c r="A158" s="200"/>
    </row>
    <row r="159">
      <c r="A159" s="200"/>
    </row>
    <row r="160">
      <c r="A160" s="200"/>
    </row>
    <row r="161">
      <c r="A161" s="200"/>
    </row>
    <row r="162">
      <c r="A162" s="200"/>
    </row>
    <row r="163">
      <c r="A163" s="200"/>
    </row>
    <row r="164">
      <c r="A164" s="200"/>
    </row>
    <row r="165">
      <c r="A165" s="200"/>
    </row>
    <row r="166">
      <c r="A166" s="200"/>
    </row>
    <row r="167">
      <c r="A167" s="200"/>
    </row>
    <row r="168">
      <c r="A168" s="200"/>
    </row>
    <row r="169">
      <c r="A169" s="200"/>
    </row>
    <row r="170">
      <c r="A170" s="200"/>
    </row>
    <row r="171">
      <c r="A171" s="200"/>
    </row>
    <row r="172">
      <c r="A172" s="200"/>
    </row>
    <row r="173">
      <c r="A173" s="200"/>
    </row>
    <row r="174">
      <c r="A174" s="200"/>
    </row>
    <row r="175">
      <c r="A175" s="200"/>
    </row>
    <row r="176">
      <c r="A176" s="200"/>
    </row>
    <row r="177">
      <c r="A177" s="200"/>
    </row>
    <row r="178">
      <c r="A178" s="200"/>
    </row>
    <row r="179">
      <c r="A179" s="200"/>
    </row>
    <row r="180">
      <c r="A180" s="200"/>
    </row>
    <row r="181">
      <c r="A181" s="200"/>
    </row>
    <row r="182">
      <c r="A182" s="200"/>
    </row>
    <row r="183">
      <c r="A183" s="200"/>
    </row>
    <row r="184">
      <c r="A184" s="200"/>
    </row>
    <row r="185">
      <c r="A185" s="200"/>
    </row>
    <row r="186">
      <c r="A186" s="200"/>
    </row>
    <row r="187">
      <c r="A187" s="200"/>
    </row>
    <row r="188">
      <c r="A188" s="200"/>
    </row>
    <row r="189">
      <c r="A189" s="200"/>
    </row>
    <row r="190">
      <c r="A190" s="200"/>
    </row>
    <row r="191">
      <c r="A191" s="200"/>
    </row>
    <row r="192">
      <c r="A192" s="200"/>
    </row>
    <row r="193">
      <c r="A193" s="200"/>
    </row>
    <row r="194">
      <c r="A194" s="200"/>
    </row>
    <row r="195">
      <c r="A195" s="200"/>
    </row>
    <row r="196">
      <c r="A196" s="200"/>
    </row>
    <row r="197">
      <c r="A197" s="200"/>
    </row>
    <row r="198">
      <c r="A198" s="200"/>
    </row>
    <row r="199">
      <c r="A199" s="200"/>
    </row>
    <row r="200">
      <c r="A200" s="200"/>
    </row>
    <row r="201">
      <c r="A201" s="200"/>
    </row>
    <row r="202">
      <c r="A202" s="200"/>
    </row>
    <row r="203">
      <c r="A203" s="200"/>
    </row>
    <row r="204">
      <c r="A204" s="200"/>
    </row>
    <row r="205">
      <c r="A205" s="200"/>
    </row>
    <row r="206">
      <c r="A206" s="200"/>
    </row>
    <row r="207">
      <c r="A207" s="200"/>
    </row>
    <row r="208">
      <c r="A208" s="200"/>
    </row>
    <row r="209">
      <c r="A209" s="200"/>
    </row>
    <row r="210">
      <c r="A210" s="200"/>
    </row>
    <row r="211">
      <c r="A211" s="200"/>
    </row>
    <row r="212">
      <c r="A212" s="200"/>
    </row>
    <row r="213">
      <c r="A213" s="200"/>
    </row>
    <row r="214">
      <c r="A214" s="200"/>
    </row>
    <row r="215">
      <c r="A215" s="200"/>
    </row>
    <row r="216">
      <c r="A216" s="200"/>
    </row>
    <row r="217">
      <c r="A217" s="200"/>
    </row>
    <row r="218">
      <c r="A218" s="200"/>
    </row>
    <row r="219">
      <c r="A219" s="200"/>
    </row>
    <row r="220">
      <c r="A220" s="200"/>
    </row>
    <row r="221">
      <c r="A221" s="200"/>
    </row>
    <row r="222">
      <c r="A222" s="200"/>
    </row>
    <row r="223">
      <c r="A223" s="200"/>
    </row>
    <row r="224">
      <c r="A224" s="200"/>
    </row>
    <row r="225">
      <c r="A225" s="200"/>
    </row>
    <row r="226">
      <c r="A226" s="200"/>
    </row>
    <row r="227">
      <c r="A227" s="200"/>
    </row>
    <row r="228">
      <c r="A228" s="200"/>
    </row>
    <row r="229">
      <c r="A229" s="200"/>
    </row>
    <row r="230">
      <c r="A230" s="200"/>
    </row>
    <row r="231">
      <c r="A231" s="200"/>
    </row>
    <row r="232">
      <c r="A232" s="200"/>
    </row>
    <row r="233">
      <c r="A233" s="200"/>
    </row>
    <row r="234">
      <c r="A234" s="200"/>
    </row>
    <row r="235">
      <c r="A235" s="200"/>
    </row>
    <row r="236">
      <c r="A236" s="200"/>
    </row>
    <row r="237">
      <c r="A237" s="200"/>
    </row>
    <row r="238">
      <c r="A238" s="200"/>
    </row>
    <row r="239">
      <c r="A239" s="200"/>
    </row>
    <row r="240">
      <c r="A240" s="200"/>
    </row>
    <row r="241">
      <c r="A241" s="200"/>
    </row>
    <row r="242">
      <c r="A242" s="200"/>
    </row>
    <row r="243">
      <c r="A243" s="200"/>
    </row>
    <row r="244">
      <c r="A244" s="200"/>
    </row>
    <row r="245">
      <c r="A245" s="200"/>
    </row>
    <row r="246">
      <c r="A246" s="200"/>
    </row>
    <row r="247">
      <c r="A247" s="200"/>
    </row>
    <row r="248">
      <c r="A248" s="200"/>
    </row>
    <row r="249">
      <c r="A249" s="200"/>
    </row>
    <row r="250">
      <c r="A250" s="200"/>
    </row>
    <row r="251">
      <c r="A251" s="200"/>
    </row>
    <row r="252">
      <c r="A252" s="200"/>
    </row>
    <row r="253">
      <c r="A253" s="200"/>
    </row>
    <row r="254">
      <c r="A254" s="200"/>
    </row>
    <row r="255">
      <c r="A255" s="200"/>
    </row>
    <row r="256">
      <c r="A256" s="200"/>
    </row>
    <row r="257">
      <c r="A257" s="200"/>
    </row>
    <row r="258">
      <c r="A258" s="200"/>
    </row>
    <row r="259">
      <c r="A259" s="200"/>
    </row>
    <row r="260">
      <c r="A260" s="200"/>
    </row>
    <row r="261">
      <c r="A261" s="200"/>
    </row>
    <row r="262">
      <c r="A262" s="200"/>
    </row>
    <row r="263">
      <c r="A263" s="200"/>
    </row>
    <row r="264">
      <c r="A264" s="200"/>
    </row>
    <row r="265">
      <c r="A265" s="200"/>
    </row>
    <row r="266">
      <c r="A266" s="200"/>
    </row>
    <row r="267">
      <c r="A267" s="200"/>
    </row>
    <row r="268">
      <c r="A268" s="200"/>
    </row>
    <row r="269">
      <c r="A269" s="200"/>
    </row>
    <row r="270">
      <c r="A270" s="200"/>
    </row>
    <row r="271">
      <c r="A271" s="200"/>
    </row>
    <row r="272">
      <c r="A272" s="200"/>
    </row>
    <row r="273">
      <c r="A273" s="200"/>
    </row>
    <row r="274">
      <c r="A274" s="200"/>
    </row>
    <row r="275">
      <c r="A275" s="200"/>
    </row>
    <row r="276">
      <c r="A276" s="200"/>
    </row>
    <row r="277">
      <c r="A277" s="200"/>
    </row>
    <row r="278">
      <c r="A278" s="200"/>
    </row>
    <row r="279">
      <c r="A279" s="200"/>
    </row>
    <row r="280">
      <c r="A280" s="200"/>
    </row>
    <row r="281">
      <c r="A281" s="200"/>
    </row>
    <row r="282">
      <c r="A282" s="200"/>
    </row>
    <row r="283">
      <c r="A283" s="200"/>
    </row>
    <row r="284">
      <c r="A284" s="200"/>
    </row>
    <row r="285">
      <c r="A285" s="200"/>
    </row>
    <row r="286">
      <c r="A286" s="200"/>
    </row>
    <row r="287">
      <c r="A287" s="200"/>
    </row>
    <row r="288">
      <c r="A288" s="200"/>
    </row>
    <row r="289">
      <c r="A289" s="200"/>
    </row>
    <row r="290">
      <c r="A290" s="200"/>
    </row>
    <row r="291">
      <c r="A291" s="200"/>
    </row>
    <row r="292">
      <c r="A292" s="200"/>
    </row>
    <row r="293">
      <c r="A293" s="200"/>
    </row>
    <row r="294">
      <c r="A294" s="200"/>
    </row>
    <row r="295">
      <c r="A295" s="200"/>
    </row>
    <row r="296">
      <c r="A296" s="200"/>
    </row>
    <row r="297">
      <c r="A297" s="200"/>
    </row>
    <row r="298">
      <c r="A298" s="200"/>
    </row>
    <row r="299">
      <c r="A299" s="200"/>
    </row>
    <row r="300">
      <c r="A300" s="200"/>
    </row>
    <row r="301">
      <c r="A301" s="200"/>
    </row>
    <row r="302">
      <c r="A302" s="200"/>
    </row>
    <row r="303">
      <c r="A303" s="200"/>
    </row>
    <row r="304">
      <c r="A304" s="200"/>
    </row>
    <row r="305">
      <c r="A305" s="200"/>
    </row>
    <row r="306">
      <c r="A306" s="200"/>
    </row>
    <row r="307">
      <c r="A307" s="200"/>
    </row>
    <row r="308">
      <c r="A308" s="200"/>
    </row>
    <row r="309">
      <c r="A309" s="200"/>
    </row>
    <row r="310">
      <c r="A310" s="200"/>
    </row>
    <row r="311">
      <c r="A311" s="200"/>
    </row>
    <row r="312">
      <c r="A312" s="200"/>
    </row>
    <row r="313">
      <c r="A313" s="200"/>
    </row>
    <row r="314">
      <c r="A314" s="200"/>
    </row>
    <row r="315">
      <c r="A315" s="200"/>
    </row>
    <row r="316">
      <c r="A316" s="200"/>
    </row>
    <row r="317">
      <c r="A317" s="200"/>
    </row>
    <row r="318">
      <c r="A318" s="200"/>
    </row>
    <row r="319">
      <c r="A319" s="200"/>
    </row>
    <row r="320">
      <c r="A320" s="200"/>
    </row>
    <row r="321">
      <c r="A321" s="200"/>
    </row>
    <row r="322">
      <c r="A322" s="200"/>
    </row>
    <row r="323">
      <c r="A323" s="200"/>
    </row>
    <row r="324">
      <c r="A324" s="200"/>
    </row>
    <row r="325">
      <c r="A325" s="200"/>
    </row>
    <row r="326">
      <c r="A326" s="200"/>
    </row>
    <row r="327">
      <c r="A327" s="200"/>
    </row>
    <row r="328">
      <c r="A328" s="200"/>
    </row>
    <row r="329">
      <c r="A329" s="200"/>
    </row>
    <row r="330">
      <c r="A330" s="200"/>
    </row>
    <row r="331">
      <c r="A331" s="200"/>
    </row>
    <row r="332">
      <c r="A332" s="200"/>
    </row>
    <row r="333">
      <c r="A333" s="200"/>
    </row>
    <row r="334">
      <c r="A334" s="200"/>
    </row>
    <row r="335">
      <c r="A335" s="200"/>
    </row>
    <row r="336">
      <c r="A336" s="200"/>
    </row>
    <row r="337">
      <c r="A337" s="200"/>
    </row>
    <row r="338">
      <c r="A338" s="200"/>
    </row>
    <row r="339">
      <c r="A339" s="200"/>
    </row>
    <row r="340">
      <c r="A340" s="200"/>
    </row>
    <row r="341">
      <c r="A341" s="200"/>
    </row>
    <row r="342">
      <c r="A342" s="200"/>
    </row>
    <row r="343">
      <c r="A343" s="200"/>
    </row>
    <row r="344">
      <c r="A344" s="200"/>
    </row>
    <row r="345">
      <c r="A345" s="200"/>
    </row>
    <row r="346">
      <c r="A346" s="200"/>
    </row>
    <row r="347">
      <c r="A347" s="200"/>
    </row>
    <row r="348">
      <c r="A348" s="200"/>
    </row>
    <row r="349">
      <c r="A349" s="200"/>
    </row>
    <row r="350">
      <c r="A350" s="200"/>
    </row>
    <row r="351">
      <c r="A351" s="200"/>
    </row>
    <row r="352">
      <c r="A352" s="200"/>
    </row>
    <row r="353">
      <c r="A353" s="200"/>
    </row>
    <row r="354">
      <c r="A354" s="200"/>
    </row>
    <row r="355">
      <c r="A355" s="200"/>
    </row>
    <row r="356">
      <c r="A356" s="200"/>
    </row>
    <row r="357">
      <c r="A357" s="200"/>
    </row>
    <row r="358">
      <c r="A358" s="200"/>
    </row>
    <row r="359">
      <c r="A359" s="200"/>
    </row>
    <row r="360">
      <c r="A360" s="200"/>
    </row>
    <row r="361">
      <c r="A361" s="200"/>
    </row>
    <row r="362">
      <c r="A362" s="200"/>
    </row>
    <row r="363">
      <c r="A363" s="200"/>
    </row>
    <row r="364">
      <c r="A364" s="200"/>
    </row>
    <row r="365">
      <c r="A365" s="200"/>
    </row>
    <row r="366">
      <c r="A366" s="200"/>
    </row>
    <row r="367">
      <c r="A367" s="200"/>
    </row>
    <row r="368">
      <c r="A368" s="200"/>
    </row>
    <row r="369">
      <c r="A369" s="200"/>
    </row>
    <row r="370">
      <c r="A370" s="200"/>
    </row>
    <row r="371">
      <c r="A371" s="200"/>
    </row>
    <row r="372">
      <c r="A372" s="200"/>
    </row>
    <row r="373">
      <c r="A373" s="200"/>
    </row>
    <row r="374">
      <c r="A374" s="200"/>
    </row>
    <row r="375">
      <c r="A375" s="200"/>
    </row>
    <row r="376">
      <c r="A376" s="200"/>
    </row>
    <row r="377">
      <c r="A377" s="200"/>
    </row>
    <row r="378">
      <c r="A378" s="200"/>
    </row>
    <row r="379">
      <c r="A379" s="200"/>
    </row>
    <row r="380">
      <c r="A380" s="200"/>
    </row>
    <row r="381">
      <c r="A381" s="200"/>
    </row>
    <row r="382">
      <c r="A382" s="200"/>
    </row>
    <row r="383">
      <c r="A383" s="200"/>
    </row>
    <row r="384">
      <c r="A384" s="200"/>
    </row>
    <row r="385">
      <c r="A385" s="200"/>
    </row>
    <row r="386">
      <c r="A386" s="200"/>
    </row>
    <row r="387">
      <c r="A387" s="200"/>
    </row>
    <row r="388">
      <c r="A388" s="200"/>
    </row>
    <row r="389">
      <c r="A389" s="200"/>
    </row>
    <row r="390">
      <c r="A390" s="200"/>
    </row>
    <row r="391">
      <c r="A391" s="200"/>
    </row>
    <row r="392">
      <c r="A392" s="200"/>
    </row>
    <row r="393">
      <c r="A393" s="200"/>
    </row>
    <row r="394">
      <c r="A394" s="200"/>
    </row>
    <row r="395">
      <c r="A395" s="200"/>
    </row>
    <row r="396">
      <c r="A396" s="200"/>
    </row>
    <row r="397">
      <c r="A397" s="200"/>
    </row>
    <row r="398">
      <c r="A398" s="200"/>
    </row>
    <row r="399">
      <c r="A399" s="200"/>
    </row>
    <row r="400">
      <c r="A400" s="200"/>
    </row>
    <row r="401">
      <c r="A401" s="200"/>
    </row>
    <row r="402">
      <c r="A402" s="200"/>
    </row>
    <row r="403">
      <c r="A403" s="200"/>
    </row>
    <row r="404">
      <c r="A404" s="200"/>
    </row>
    <row r="405">
      <c r="A405" s="200"/>
    </row>
    <row r="406">
      <c r="A406" s="200"/>
    </row>
    <row r="407">
      <c r="A407" s="200"/>
    </row>
    <row r="408">
      <c r="A408" s="200"/>
    </row>
    <row r="409">
      <c r="A409" s="200"/>
    </row>
    <row r="410">
      <c r="A410" s="200"/>
    </row>
    <row r="411">
      <c r="A411" s="200"/>
    </row>
    <row r="412">
      <c r="A412" s="200"/>
    </row>
    <row r="413">
      <c r="A413" s="200"/>
    </row>
    <row r="414">
      <c r="A414" s="200"/>
    </row>
    <row r="415">
      <c r="A415" s="200"/>
    </row>
    <row r="416">
      <c r="A416" s="200"/>
    </row>
    <row r="417">
      <c r="A417" s="200"/>
    </row>
    <row r="418">
      <c r="A418" s="200"/>
    </row>
    <row r="419">
      <c r="A419" s="200"/>
    </row>
    <row r="420">
      <c r="A420" s="200"/>
    </row>
    <row r="421">
      <c r="A421" s="200"/>
    </row>
    <row r="422">
      <c r="A422" s="200"/>
    </row>
    <row r="423">
      <c r="A423" s="200"/>
    </row>
    <row r="424">
      <c r="A424" s="200"/>
    </row>
    <row r="425">
      <c r="A425" s="200"/>
    </row>
    <row r="426">
      <c r="A426" s="200"/>
    </row>
    <row r="427">
      <c r="A427" s="200"/>
    </row>
    <row r="428">
      <c r="A428" s="200"/>
    </row>
    <row r="429">
      <c r="A429" s="200"/>
    </row>
    <row r="430">
      <c r="A430" s="200"/>
    </row>
    <row r="431">
      <c r="A431" s="200"/>
    </row>
    <row r="432">
      <c r="A432" s="200"/>
    </row>
    <row r="433">
      <c r="A433" s="200"/>
    </row>
    <row r="434">
      <c r="A434" s="200"/>
    </row>
    <row r="435">
      <c r="A435" s="200"/>
    </row>
    <row r="436">
      <c r="A436" s="200"/>
    </row>
    <row r="437">
      <c r="A437" s="200"/>
    </row>
    <row r="438">
      <c r="A438" s="200"/>
    </row>
    <row r="439">
      <c r="A439" s="200"/>
    </row>
    <row r="440">
      <c r="A440" s="200"/>
    </row>
    <row r="441">
      <c r="A441" s="200"/>
    </row>
    <row r="442">
      <c r="A442" s="200"/>
    </row>
    <row r="443">
      <c r="A443" s="200"/>
    </row>
    <row r="444">
      <c r="A444" s="200"/>
    </row>
    <row r="445">
      <c r="A445" s="200"/>
    </row>
    <row r="446">
      <c r="A446" s="200"/>
    </row>
    <row r="447">
      <c r="A447" s="200"/>
    </row>
    <row r="448">
      <c r="A448" s="200"/>
    </row>
    <row r="449">
      <c r="A449" s="200"/>
    </row>
    <row r="450">
      <c r="A450" s="200"/>
    </row>
    <row r="451">
      <c r="A451" s="200"/>
    </row>
    <row r="452">
      <c r="A452" s="200"/>
    </row>
    <row r="453">
      <c r="A453" s="200"/>
    </row>
    <row r="454">
      <c r="A454" s="200"/>
    </row>
    <row r="455">
      <c r="A455" s="200"/>
    </row>
    <row r="456">
      <c r="A456" s="200"/>
    </row>
    <row r="457">
      <c r="A457" s="200"/>
    </row>
    <row r="458">
      <c r="A458" s="200"/>
    </row>
    <row r="459">
      <c r="A459" s="200"/>
    </row>
    <row r="460">
      <c r="A460" s="200"/>
    </row>
    <row r="461">
      <c r="A461" s="200"/>
    </row>
    <row r="462">
      <c r="A462" s="200"/>
    </row>
    <row r="463">
      <c r="A463" s="200"/>
    </row>
    <row r="464">
      <c r="A464" s="200"/>
    </row>
    <row r="465">
      <c r="A465" s="200"/>
    </row>
    <row r="466">
      <c r="A466" s="200"/>
    </row>
    <row r="467">
      <c r="A467" s="200"/>
    </row>
    <row r="468">
      <c r="A468" s="200"/>
    </row>
    <row r="469">
      <c r="A469" s="200"/>
    </row>
    <row r="470">
      <c r="A470" s="200"/>
    </row>
    <row r="471">
      <c r="A471" s="200"/>
    </row>
    <row r="472">
      <c r="A472" s="200"/>
    </row>
    <row r="473">
      <c r="A473" s="200"/>
    </row>
    <row r="474">
      <c r="A474" s="200"/>
    </row>
    <row r="475">
      <c r="A475" s="200"/>
    </row>
    <row r="476">
      <c r="A476" s="200"/>
    </row>
    <row r="477">
      <c r="A477" s="200"/>
    </row>
    <row r="478">
      <c r="A478" s="200"/>
    </row>
    <row r="479">
      <c r="A479" s="200"/>
    </row>
    <row r="480">
      <c r="A480" s="200"/>
    </row>
    <row r="481">
      <c r="A481" s="200"/>
    </row>
    <row r="482">
      <c r="A482" s="200"/>
    </row>
    <row r="483">
      <c r="A483" s="200"/>
    </row>
    <row r="484">
      <c r="A484" s="200"/>
    </row>
    <row r="485">
      <c r="A485" s="200"/>
    </row>
    <row r="486">
      <c r="A486" s="200"/>
    </row>
    <row r="487">
      <c r="A487" s="200"/>
    </row>
    <row r="488">
      <c r="A488" s="200"/>
    </row>
    <row r="489">
      <c r="A489" s="200"/>
    </row>
    <row r="490">
      <c r="A490" s="200"/>
    </row>
    <row r="491">
      <c r="A491" s="200"/>
    </row>
    <row r="492">
      <c r="A492" s="200"/>
    </row>
    <row r="493">
      <c r="A493" s="200"/>
    </row>
    <row r="494">
      <c r="A494" s="200"/>
    </row>
    <row r="495">
      <c r="A495" s="200"/>
    </row>
    <row r="496">
      <c r="A496" s="200"/>
    </row>
    <row r="497">
      <c r="A497" s="200"/>
    </row>
    <row r="498">
      <c r="A498" s="200"/>
    </row>
    <row r="499">
      <c r="A499" s="200"/>
    </row>
    <row r="500">
      <c r="A500" s="200"/>
    </row>
    <row r="501">
      <c r="A501" s="200"/>
    </row>
    <row r="502">
      <c r="A502" s="200"/>
    </row>
    <row r="503">
      <c r="A503" s="200"/>
    </row>
    <row r="504">
      <c r="A504" s="200"/>
    </row>
    <row r="505">
      <c r="A505" s="200"/>
    </row>
    <row r="506">
      <c r="A506" s="200"/>
    </row>
    <row r="507">
      <c r="A507" s="200"/>
    </row>
    <row r="508">
      <c r="A508" s="200"/>
    </row>
    <row r="509">
      <c r="A509" s="200"/>
    </row>
    <row r="510">
      <c r="A510" s="200"/>
    </row>
    <row r="511">
      <c r="A511" s="200"/>
    </row>
    <row r="512">
      <c r="A512" s="200"/>
    </row>
    <row r="513">
      <c r="A513" s="200"/>
    </row>
    <row r="514">
      <c r="A514" s="200"/>
    </row>
    <row r="515">
      <c r="A515" s="200"/>
    </row>
    <row r="516">
      <c r="A516" s="200"/>
    </row>
    <row r="517">
      <c r="A517" s="200"/>
    </row>
    <row r="518">
      <c r="A518" s="200"/>
    </row>
    <row r="519">
      <c r="A519" s="200"/>
    </row>
    <row r="520">
      <c r="A520" s="200"/>
    </row>
    <row r="521">
      <c r="A521" s="200"/>
    </row>
    <row r="522">
      <c r="A522" s="200"/>
    </row>
    <row r="523">
      <c r="A523" s="200"/>
    </row>
    <row r="524">
      <c r="A524" s="200"/>
    </row>
    <row r="525">
      <c r="A525" s="200"/>
    </row>
    <row r="526">
      <c r="A526" s="200"/>
    </row>
    <row r="527">
      <c r="A527" s="200"/>
    </row>
    <row r="528">
      <c r="A528" s="200"/>
    </row>
    <row r="529">
      <c r="A529" s="200"/>
    </row>
    <row r="530">
      <c r="A530" s="200"/>
    </row>
    <row r="531">
      <c r="A531" s="200"/>
    </row>
    <row r="532">
      <c r="A532" s="200"/>
    </row>
    <row r="533">
      <c r="A533" s="200"/>
    </row>
    <row r="534">
      <c r="A534" s="200"/>
    </row>
    <row r="535">
      <c r="A535" s="200"/>
    </row>
    <row r="536">
      <c r="A536" s="200"/>
    </row>
    <row r="537">
      <c r="A537" s="200"/>
    </row>
    <row r="538">
      <c r="A538" s="200"/>
    </row>
    <row r="539">
      <c r="A539" s="200"/>
    </row>
    <row r="540">
      <c r="A540" s="200"/>
    </row>
    <row r="541">
      <c r="A541" s="200"/>
    </row>
    <row r="542">
      <c r="A542" s="200"/>
    </row>
    <row r="543">
      <c r="A543" s="200"/>
    </row>
    <row r="544">
      <c r="A544" s="200"/>
    </row>
    <row r="545">
      <c r="A545" s="200"/>
    </row>
    <row r="546">
      <c r="A546" s="200"/>
    </row>
    <row r="547">
      <c r="A547" s="200"/>
    </row>
    <row r="548">
      <c r="A548" s="200"/>
    </row>
    <row r="549">
      <c r="A549" s="200"/>
    </row>
    <row r="550">
      <c r="A550" s="200"/>
    </row>
    <row r="551">
      <c r="A551" s="200"/>
    </row>
    <row r="552">
      <c r="A552" s="200"/>
    </row>
    <row r="553">
      <c r="A553" s="200"/>
    </row>
    <row r="554">
      <c r="A554" s="200"/>
    </row>
    <row r="555">
      <c r="A555" s="200"/>
    </row>
    <row r="556">
      <c r="A556" s="200"/>
    </row>
    <row r="557">
      <c r="A557" s="200"/>
    </row>
    <row r="558">
      <c r="A558" s="200"/>
    </row>
    <row r="559">
      <c r="A559" s="200"/>
    </row>
    <row r="560">
      <c r="A560" s="200"/>
    </row>
    <row r="561">
      <c r="A561" s="200"/>
    </row>
    <row r="562">
      <c r="A562" s="200"/>
    </row>
    <row r="563">
      <c r="A563" s="200"/>
    </row>
    <row r="564">
      <c r="A564" s="200"/>
    </row>
    <row r="565">
      <c r="A565" s="200"/>
    </row>
    <row r="566">
      <c r="A566" s="200"/>
    </row>
    <row r="567">
      <c r="A567" s="200"/>
    </row>
    <row r="568">
      <c r="A568" s="200"/>
    </row>
    <row r="569">
      <c r="A569" s="200"/>
    </row>
    <row r="570">
      <c r="A570" s="200"/>
    </row>
    <row r="571">
      <c r="A571" s="200"/>
    </row>
    <row r="572">
      <c r="A572" s="200"/>
    </row>
    <row r="573">
      <c r="A573" s="200"/>
    </row>
    <row r="574">
      <c r="A574" s="200"/>
    </row>
    <row r="575">
      <c r="A575" s="200"/>
    </row>
    <row r="576">
      <c r="A576" s="200"/>
    </row>
    <row r="577">
      <c r="A577" s="200"/>
    </row>
    <row r="578">
      <c r="A578" s="200"/>
    </row>
    <row r="579">
      <c r="A579" s="200"/>
    </row>
    <row r="580">
      <c r="A580" s="200"/>
    </row>
    <row r="581">
      <c r="A581" s="200"/>
    </row>
    <row r="582">
      <c r="A582" s="200"/>
    </row>
    <row r="583">
      <c r="A583" s="200"/>
    </row>
    <row r="584">
      <c r="A584" s="200"/>
    </row>
    <row r="585">
      <c r="A585" s="200"/>
    </row>
    <row r="586">
      <c r="A586" s="200"/>
    </row>
    <row r="587">
      <c r="A587" s="200"/>
    </row>
    <row r="588">
      <c r="A588" s="200"/>
    </row>
    <row r="589">
      <c r="A589" s="200"/>
    </row>
    <row r="590">
      <c r="A590" s="200"/>
    </row>
    <row r="591">
      <c r="A591" s="200"/>
    </row>
    <row r="592">
      <c r="A592" s="200"/>
    </row>
    <row r="593">
      <c r="A593" s="200"/>
    </row>
    <row r="594">
      <c r="A594" s="200"/>
    </row>
    <row r="595">
      <c r="A595" s="200"/>
    </row>
    <row r="596">
      <c r="A596" s="200"/>
    </row>
    <row r="597">
      <c r="A597" s="200"/>
    </row>
    <row r="598">
      <c r="A598" s="200"/>
    </row>
    <row r="599">
      <c r="A599" s="200"/>
    </row>
    <row r="600">
      <c r="A600" s="200"/>
    </row>
    <row r="601">
      <c r="A601" s="200"/>
    </row>
    <row r="602">
      <c r="A602" s="200"/>
    </row>
    <row r="603">
      <c r="A603" s="200"/>
    </row>
    <row r="604">
      <c r="A604" s="200"/>
    </row>
    <row r="605">
      <c r="A605" s="200"/>
    </row>
    <row r="606">
      <c r="A606" s="200"/>
    </row>
    <row r="607">
      <c r="A607" s="200"/>
    </row>
    <row r="608">
      <c r="A608" s="200"/>
    </row>
    <row r="609">
      <c r="A609" s="200"/>
    </row>
    <row r="610">
      <c r="A610" s="200"/>
    </row>
    <row r="611">
      <c r="A611" s="200"/>
    </row>
    <row r="612">
      <c r="A612" s="200"/>
    </row>
    <row r="613">
      <c r="A613" s="200"/>
    </row>
    <row r="614">
      <c r="A614" s="200"/>
    </row>
    <row r="615">
      <c r="A615" s="200"/>
    </row>
    <row r="616">
      <c r="A616" s="200"/>
    </row>
    <row r="617">
      <c r="A617" s="200"/>
    </row>
    <row r="618">
      <c r="A618" s="200"/>
    </row>
    <row r="619">
      <c r="A619" s="200"/>
    </row>
    <row r="620">
      <c r="A620" s="200"/>
    </row>
    <row r="621">
      <c r="A621" s="200"/>
    </row>
    <row r="622">
      <c r="A622" s="200"/>
    </row>
    <row r="623">
      <c r="A623" s="200"/>
    </row>
    <row r="624">
      <c r="A624" s="200"/>
    </row>
    <row r="625">
      <c r="A625" s="200"/>
    </row>
    <row r="626">
      <c r="A626" s="200"/>
    </row>
    <row r="627">
      <c r="A627" s="200"/>
    </row>
    <row r="628">
      <c r="A628" s="200"/>
    </row>
    <row r="629">
      <c r="A629" s="200"/>
    </row>
    <row r="630">
      <c r="A630" s="200"/>
    </row>
    <row r="631">
      <c r="A631" s="200"/>
    </row>
    <row r="632">
      <c r="A632" s="200"/>
    </row>
    <row r="633">
      <c r="A633" s="200"/>
    </row>
    <row r="634">
      <c r="A634" s="200"/>
    </row>
    <row r="635">
      <c r="A635" s="200"/>
    </row>
    <row r="636">
      <c r="A636" s="200"/>
    </row>
    <row r="637">
      <c r="A637" s="200"/>
    </row>
    <row r="638">
      <c r="A638" s="200"/>
    </row>
    <row r="639">
      <c r="A639" s="200"/>
    </row>
    <row r="640">
      <c r="A640" s="200"/>
    </row>
    <row r="641">
      <c r="A641" s="200"/>
    </row>
    <row r="642">
      <c r="A642" s="200"/>
    </row>
    <row r="643">
      <c r="A643" s="200"/>
    </row>
    <row r="644">
      <c r="A644" s="200"/>
    </row>
    <row r="645">
      <c r="A645" s="200"/>
    </row>
    <row r="646">
      <c r="A646" s="200"/>
    </row>
    <row r="647">
      <c r="A647" s="200"/>
    </row>
    <row r="648">
      <c r="A648" s="200"/>
    </row>
    <row r="649">
      <c r="A649" s="200"/>
    </row>
    <row r="650">
      <c r="A650" s="200"/>
    </row>
    <row r="651">
      <c r="A651" s="200"/>
    </row>
    <row r="652">
      <c r="A652" s="200"/>
    </row>
    <row r="653">
      <c r="A653" s="200"/>
    </row>
    <row r="654">
      <c r="A654" s="200"/>
    </row>
    <row r="655">
      <c r="A655" s="200"/>
    </row>
    <row r="656">
      <c r="A656" s="200"/>
    </row>
    <row r="657">
      <c r="A657" s="200"/>
    </row>
    <row r="658">
      <c r="A658" s="200"/>
    </row>
    <row r="659">
      <c r="A659" s="200"/>
    </row>
    <row r="660">
      <c r="A660" s="200"/>
    </row>
    <row r="661">
      <c r="A661" s="200"/>
    </row>
    <row r="662">
      <c r="A662" s="200"/>
    </row>
    <row r="663">
      <c r="A663" s="200"/>
    </row>
    <row r="664">
      <c r="A664" s="200"/>
    </row>
    <row r="665">
      <c r="A665" s="200"/>
    </row>
    <row r="666">
      <c r="A666" s="200"/>
    </row>
    <row r="667">
      <c r="A667" s="200"/>
    </row>
    <row r="668">
      <c r="A668" s="200"/>
    </row>
    <row r="669">
      <c r="A669" s="200"/>
    </row>
    <row r="670">
      <c r="A670" s="200"/>
    </row>
    <row r="671">
      <c r="A671" s="200"/>
    </row>
    <row r="672">
      <c r="A672" s="200"/>
    </row>
    <row r="673">
      <c r="A673" s="200"/>
    </row>
    <row r="674">
      <c r="A674" s="200"/>
    </row>
    <row r="675">
      <c r="A675" s="200"/>
    </row>
    <row r="676">
      <c r="A676" s="200"/>
    </row>
    <row r="677">
      <c r="A677" s="200"/>
    </row>
    <row r="678">
      <c r="A678" s="200"/>
    </row>
    <row r="679">
      <c r="A679" s="200"/>
    </row>
    <row r="680">
      <c r="A680" s="200"/>
    </row>
    <row r="681">
      <c r="A681" s="200"/>
    </row>
    <row r="682">
      <c r="A682" s="200"/>
    </row>
    <row r="683">
      <c r="A683" s="200"/>
    </row>
    <row r="684">
      <c r="A684" s="200"/>
    </row>
    <row r="685">
      <c r="A685" s="200"/>
    </row>
    <row r="686">
      <c r="A686" s="200"/>
    </row>
    <row r="687">
      <c r="A687" s="200"/>
    </row>
    <row r="688">
      <c r="A688" s="200"/>
    </row>
    <row r="689">
      <c r="A689" s="200"/>
    </row>
    <row r="690">
      <c r="A690" s="200"/>
    </row>
    <row r="691">
      <c r="A691" s="200"/>
    </row>
    <row r="692">
      <c r="A692" s="200"/>
    </row>
    <row r="693">
      <c r="A693" s="200"/>
    </row>
    <row r="694">
      <c r="A694" s="200"/>
    </row>
    <row r="695">
      <c r="A695" s="200"/>
    </row>
    <row r="696">
      <c r="A696" s="200"/>
    </row>
    <row r="697">
      <c r="A697" s="200"/>
    </row>
    <row r="698">
      <c r="A698" s="200"/>
    </row>
    <row r="699">
      <c r="A699" s="200"/>
    </row>
    <row r="700">
      <c r="A700" s="200"/>
    </row>
    <row r="701">
      <c r="A701" s="200"/>
    </row>
    <row r="702">
      <c r="A702" s="200"/>
    </row>
    <row r="703">
      <c r="A703" s="200"/>
    </row>
    <row r="704">
      <c r="A704" s="200"/>
    </row>
    <row r="705">
      <c r="A705" s="200"/>
    </row>
    <row r="706">
      <c r="A706" s="200"/>
    </row>
    <row r="707">
      <c r="A707" s="200"/>
    </row>
    <row r="708">
      <c r="A708" s="200"/>
    </row>
    <row r="709">
      <c r="A709" s="200"/>
    </row>
    <row r="710">
      <c r="A710" s="200"/>
    </row>
    <row r="711">
      <c r="A711" s="200"/>
    </row>
    <row r="712">
      <c r="A712" s="200"/>
    </row>
    <row r="713">
      <c r="A713" s="200"/>
    </row>
    <row r="714">
      <c r="A714" s="200"/>
    </row>
    <row r="715">
      <c r="A715" s="200"/>
    </row>
    <row r="716">
      <c r="A716" s="200"/>
    </row>
    <row r="717">
      <c r="A717" s="200"/>
    </row>
    <row r="718">
      <c r="A718" s="200"/>
    </row>
    <row r="719">
      <c r="A719" s="200"/>
    </row>
    <row r="720">
      <c r="A720" s="200"/>
    </row>
    <row r="721">
      <c r="A721" s="200"/>
    </row>
    <row r="722">
      <c r="A722" s="200"/>
    </row>
    <row r="723">
      <c r="A723" s="200"/>
    </row>
    <row r="724">
      <c r="A724" s="200"/>
    </row>
    <row r="725">
      <c r="A725" s="200"/>
    </row>
    <row r="726">
      <c r="A726" s="200"/>
    </row>
    <row r="727">
      <c r="A727" s="200"/>
    </row>
    <row r="728">
      <c r="A728" s="200"/>
    </row>
    <row r="729">
      <c r="A729" s="200"/>
    </row>
    <row r="730">
      <c r="A730" s="200"/>
    </row>
    <row r="731">
      <c r="A731" s="200"/>
    </row>
    <row r="732">
      <c r="A732" s="200"/>
    </row>
    <row r="733">
      <c r="A733" s="200"/>
    </row>
    <row r="734">
      <c r="A734" s="200"/>
    </row>
    <row r="735">
      <c r="A735" s="200"/>
    </row>
    <row r="736">
      <c r="A736" s="200"/>
    </row>
    <row r="737">
      <c r="A737" s="200"/>
    </row>
    <row r="738">
      <c r="A738" s="200"/>
    </row>
    <row r="739">
      <c r="A739" s="200"/>
    </row>
    <row r="740">
      <c r="A740" s="200"/>
    </row>
    <row r="741">
      <c r="A741" s="200"/>
    </row>
    <row r="742">
      <c r="A742" s="200"/>
    </row>
    <row r="743">
      <c r="A743" s="200"/>
    </row>
    <row r="744">
      <c r="A744" s="200"/>
    </row>
    <row r="745">
      <c r="A745" s="200"/>
    </row>
    <row r="746">
      <c r="A746" s="200"/>
    </row>
    <row r="747">
      <c r="A747" s="200"/>
    </row>
    <row r="748">
      <c r="A748" s="200"/>
    </row>
    <row r="749">
      <c r="A749" s="200"/>
    </row>
    <row r="750">
      <c r="A750" s="200"/>
    </row>
    <row r="751">
      <c r="A751" s="200"/>
    </row>
    <row r="752">
      <c r="A752" s="200"/>
    </row>
    <row r="753">
      <c r="A753" s="200"/>
    </row>
    <row r="754">
      <c r="A754" s="200"/>
    </row>
    <row r="755">
      <c r="A755" s="200"/>
    </row>
    <row r="756">
      <c r="A756" s="200"/>
    </row>
    <row r="757">
      <c r="A757" s="200"/>
    </row>
    <row r="758">
      <c r="A758" s="200"/>
    </row>
    <row r="759">
      <c r="A759" s="200"/>
    </row>
    <row r="760">
      <c r="A760" s="200"/>
    </row>
    <row r="761">
      <c r="A761" s="200"/>
    </row>
    <row r="762">
      <c r="A762" s="200"/>
    </row>
    <row r="763">
      <c r="A763" s="200"/>
    </row>
    <row r="764">
      <c r="A764" s="200"/>
    </row>
    <row r="765">
      <c r="A765" s="200"/>
    </row>
    <row r="766">
      <c r="A766" s="200"/>
    </row>
    <row r="767">
      <c r="A767" s="200"/>
    </row>
    <row r="768">
      <c r="A768" s="200"/>
    </row>
    <row r="769">
      <c r="A769" s="200"/>
    </row>
    <row r="770">
      <c r="A770" s="200"/>
    </row>
    <row r="771">
      <c r="A771" s="200"/>
    </row>
    <row r="772">
      <c r="A772" s="200"/>
    </row>
    <row r="773">
      <c r="A773" s="200"/>
    </row>
    <row r="774">
      <c r="A774" s="200"/>
    </row>
    <row r="775">
      <c r="A775" s="200"/>
    </row>
    <row r="776">
      <c r="A776" s="200"/>
    </row>
    <row r="777">
      <c r="A777" s="200"/>
    </row>
    <row r="778">
      <c r="A778" s="200"/>
    </row>
    <row r="779">
      <c r="A779" s="200"/>
    </row>
    <row r="780">
      <c r="A780" s="200"/>
    </row>
    <row r="781">
      <c r="A781" s="200"/>
    </row>
    <row r="782">
      <c r="A782" s="200"/>
    </row>
    <row r="783">
      <c r="A783" s="200"/>
    </row>
    <row r="784">
      <c r="A784" s="200"/>
    </row>
    <row r="785">
      <c r="A785" s="200"/>
    </row>
    <row r="786">
      <c r="A786" s="200"/>
    </row>
    <row r="787">
      <c r="A787" s="200"/>
    </row>
    <row r="788">
      <c r="A788" s="200"/>
    </row>
    <row r="789">
      <c r="A789" s="200"/>
    </row>
    <row r="790">
      <c r="A790" s="200"/>
    </row>
    <row r="791">
      <c r="A791" s="200"/>
    </row>
    <row r="792">
      <c r="A792" s="200"/>
    </row>
    <row r="793">
      <c r="A793" s="200"/>
    </row>
    <row r="794">
      <c r="A794" s="200"/>
    </row>
    <row r="795">
      <c r="A795" s="200"/>
    </row>
    <row r="796">
      <c r="A796" s="200"/>
    </row>
    <row r="797">
      <c r="A797" s="200"/>
    </row>
    <row r="798">
      <c r="A798" s="200"/>
    </row>
    <row r="799">
      <c r="A799" s="200"/>
    </row>
    <row r="800">
      <c r="A800" s="200"/>
    </row>
    <row r="801">
      <c r="A801" s="200"/>
    </row>
    <row r="802">
      <c r="A802" s="200"/>
    </row>
    <row r="803">
      <c r="A803" s="200"/>
    </row>
    <row r="804">
      <c r="A804" s="200"/>
    </row>
    <row r="805">
      <c r="A805" s="200"/>
    </row>
    <row r="806">
      <c r="A806" s="200"/>
    </row>
    <row r="807">
      <c r="A807" s="200"/>
    </row>
    <row r="808">
      <c r="A808" s="200"/>
    </row>
    <row r="809">
      <c r="A809" s="200"/>
    </row>
    <row r="810">
      <c r="A810" s="200"/>
    </row>
    <row r="811">
      <c r="A811" s="200"/>
    </row>
    <row r="812">
      <c r="A812" s="200"/>
    </row>
    <row r="813">
      <c r="A813" s="200"/>
    </row>
    <row r="814">
      <c r="A814" s="200"/>
    </row>
    <row r="815">
      <c r="A815" s="200"/>
    </row>
    <row r="816">
      <c r="A816" s="200"/>
    </row>
    <row r="817">
      <c r="A817" s="200"/>
    </row>
    <row r="818">
      <c r="A818" s="200"/>
    </row>
    <row r="819">
      <c r="A819" s="200"/>
    </row>
    <row r="820">
      <c r="A820" s="200"/>
    </row>
    <row r="821">
      <c r="A821" s="200"/>
    </row>
    <row r="822">
      <c r="A822" s="200"/>
    </row>
    <row r="823">
      <c r="A823" s="200"/>
    </row>
    <row r="824">
      <c r="A824" s="200"/>
    </row>
    <row r="825">
      <c r="A825" s="200"/>
    </row>
    <row r="826">
      <c r="A826" s="200"/>
    </row>
    <row r="827">
      <c r="A827" s="200"/>
    </row>
    <row r="828">
      <c r="A828" s="200"/>
    </row>
    <row r="829">
      <c r="A829" s="200"/>
    </row>
    <row r="830">
      <c r="A830" s="200"/>
    </row>
    <row r="831">
      <c r="A831" s="200"/>
    </row>
    <row r="832">
      <c r="A832" s="200"/>
    </row>
    <row r="833">
      <c r="A833" s="200"/>
    </row>
    <row r="834">
      <c r="A834" s="200"/>
    </row>
    <row r="835">
      <c r="A835" s="200"/>
    </row>
    <row r="836">
      <c r="A836" s="200"/>
    </row>
    <row r="837">
      <c r="A837" s="200"/>
    </row>
    <row r="838">
      <c r="A838" s="200"/>
    </row>
    <row r="839">
      <c r="A839" s="200"/>
    </row>
    <row r="840">
      <c r="A840" s="200"/>
    </row>
    <row r="841">
      <c r="A841" s="200"/>
    </row>
    <row r="842">
      <c r="A842" s="200"/>
    </row>
    <row r="843">
      <c r="A843" s="200"/>
    </row>
    <row r="844">
      <c r="A844" s="200"/>
    </row>
    <row r="845">
      <c r="A845" s="200"/>
    </row>
    <row r="846">
      <c r="A846" s="200"/>
    </row>
    <row r="847">
      <c r="A847" s="200"/>
    </row>
    <row r="848">
      <c r="A848" s="200"/>
    </row>
    <row r="849">
      <c r="A849" s="200"/>
    </row>
    <row r="850">
      <c r="A850" s="200"/>
    </row>
    <row r="851">
      <c r="A851" s="200"/>
    </row>
    <row r="852">
      <c r="A852" s="200"/>
    </row>
    <row r="853">
      <c r="A853" s="200"/>
    </row>
    <row r="854">
      <c r="A854" s="200"/>
    </row>
    <row r="855">
      <c r="A855" s="200"/>
    </row>
    <row r="856">
      <c r="A856" s="200"/>
    </row>
    <row r="857">
      <c r="A857" s="200"/>
    </row>
    <row r="858">
      <c r="A858" s="200"/>
    </row>
    <row r="859">
      <c r="A859" s="200"/>
    </row>
    <row r="860">
      <c r="A860" s="200"/>
    </row>
    <row r="861">
      <c r="A861" s="200"/>
    </row>
    <row r="862">
      <c r="A862" s="200"/>
    </row>
    <row r="863">
      <c r="A863" s="200"/>
    </row>
    <row r="864">
      <c r="A864" s="200"/>
    </row>
    <row r="865">
      <c r="A865" s="200"/>
    </row>
    <row r="866">
      <c r="A866" s="200"/>
    </row>
    <row r="867">
      <c r="A867" s="200"/>
    </row>
    <row r="868">
      <c r="A868" s="200"/>
    </row>
    <row r="869">
      <c r="A869" s="200"/>
    </row>
    <row r="870">
      <c r="A870" s="200"/>
    </row>
    <row r="871">
      <c r="A871" s="200"/>
    </row>
    <row r="872">
      <c r="A872" s="200"/>
    </row>
    <row r="873">
      <c r="A873" s="200"/>
    </row>
    <row r="874">
      <c r="A874" s="200"/>
    </row>
    <row r="875">
      <c r="A875" s="200"/>
    </row>
    <row r="876">
      <c r="A876" s="200"/>
    </row>
    <row r="877">
      <c r="A877" s="200"/>
    </row>
    <row r="878">
      <c r="A878" s="200"/>
    </row>
    <row r="879">
      <c r="A879" s="200"/>
    </row>
    <row r="880">
      <c r="A880" s="200"/>
    </row>
    <row r="881">
      <c r="A881" s="200"/>
    </row>
    <row r="882">
      <c r="A882" s="200"/>
    </row>
    <row r="883">
      <c r="A883" s="200"/>
    </row>
    <row r="884">
      <c r="A884" s="200"/>
    </row>
    <row r="885">
      <c r="A885" s="200"/>
    </row>
    <row r="886">
      <c r="A886" s="200"/>
    </row>
    <row r="887">
      <c r="A887" s="200"/>
    </row>
    <row r="888">
      <c r="A888" s="200"/>
    </row>
    <row r="889">
      <c r="A889" s="200"/>
    </row>
    <row r="890">
      <c r="A890" s="200"/>
    </row>
    <row r="891">
      <c r="A891" s="200"/>
    </row>
    <row r="892">
      <c r="A892" s="200"/>
    </row>
    <row r="893">
      <c r="A893" s="200"/>
    </row>
    <row r="894">
      <c r="A894" s="200"/>
    </row>
    <row r="895">
      <c r="A895" s="200"/>
    </row>
    <row r="896">
      <c r="A896" s="200"/>
    </row>
    <row r="897">
      <c r="A897" s="200"/>
    </row>
    <row r="898">
      <c r="A898" s="200"/>
    </row>
    <row r="899">
      <c r="A899" s="200"/>
    </row>
    <row r="900">
      <c r="A900" s="200"/>
    </row>
    <row r="901">
      <c r="A901" s="200"/>
    </row>
    <row r="902">
      <c r="A902" s="200"/>
    </row>
    <row r="903">
      <c r="A903" s="200"/>
    </row>
    <row r="904">
      <c r="A904" s="200"/>
    </row>
    <row r="905">
      <c r="A905" s="200"/>
    </row>
    <row r="906">
      <c r="A906" s="200"/>
    </row>
    <row r="907">
      <c r="A907" s="200"/>
    </row>
    <row r="908">
      <c r="A908" s="200"/>
    </row>
    <row r="909">
      <c r="A909" s="200"/>
    </row>
    <row r="910">
      <c r="A910" s="200"/>
    </row>
    <row r="911">
      <c r="A911" s="200"/>
    </row>
    <row r="912">
      <c r="A912" s="200"/>
    </row>
    <row r="913">
      <c r="A913" s="200"/>
    </row>
    <row r="914">
      <c r="A914" s="200"/>
    </row>
    <row r="915">
      <c r="A915" s="200"/>
    </row>
    <row r="916">
      <c r="A916" s="200"/>
    </row>
    <row r="917">
      <c r="A917" s="200"/>
    </row>
    <row r="918">
      <c r="A918" s="200"/>
    </row>
    <row r="919">
      <c r="A919" s="200"/>
    </row>
    <row r="920">
      <c r="A920" s="200"/>
    </row>
    <row r="921">
      <c r="A921" s="200"/>
    </row>
    <row r="922">
      <c r="A922" s="200"/>
    </row>
    <row r="923">
      <c r="A923" s="200"/>
    </row>
    <row r="924">
      <c r="A924" s="200"/>
    </row>
    <row r="925">
      <c r="A925" s="200"/>
    </row>
    <row r="926">
      <c r="A926" s="200"/>
    </row>
    <row r="927">
      <c r="A927" s="200"/>
    </row>
    <row r="928">
      <c r="A928" s="200"/>
    </row>
    <row r="929">
      <c r="A929" s="200"/>
    </row>
    <row r="930">
      <c r="A930" s="200"/>
    </row>
    <row r="931">
      <c r="A931" s="200"/>
    </row>
    <row r="932">
      <c r="A932" s="200"/>
    </row>
    <row r="933">
      <c r="A933" s="200"/>
    </row>
    <row r="934">
      <c r="A934" s="200"/>
    </row>
    <row r="935">
      <c r="A935" s="200"/>
    </row>
    <row r="936">
      <c r="A936" s="200"/>
    </row>
    <row r="937">
      <c r="A937" s="200"/>
    </row>
    <row r="938">
      <c r="A938" s="200"/>
    </row>
    <row r="939">
      <c r="A939" s="200"/>
    </row>
    <row r="940">
      <c r="A940" s="200"/>
    </row>
    <row r="941">
      <c r="A941" s="200"/>
    </row>
    <row r="942">
      <c r="A942" s="200"/>
    </row>
    <row r="943">
      <c r="A943" s="200"/>
    </row>
    <row r="944">
      <c r="A944" s="200"/>
    </row>
    <row r="945">
      <c r="A945" s="200"/>
    </row>
    <row r="946">
      <c r="A946" s="200"/>
    </row>
    <row r="947">
      <c r="A947" s="200"/>
    </row>
    <row r="948">
      <c r="A948" s="200"/>
    </row>
    <row r="949">
      <c r="A949" s="200"/>
    </row>
    <row r="950">
      <c r="A950" s="200"/>
    </row>
    <row r="951">
      <c r="A951" s="200"/>
    </row>
    <row r="952">
      <c r="A952" s="200"/>
    </row>
    <row r="953">
      <c r="A953" s="200"/>
    </row>
    <row r="954">
      <c r="A954" s="200"/>
    </row>
    <row r="955">
      <c r="A955" s="200"/>
    </row>
    <row r="956">
      <c r="A956" s="200"/>
    </row>
    <row r="957">
      <c r="A957" s="200"/>
    </row>
    <row r="958">
      <c r="A958" s="200"/>
    </row>
    <row r="959">
      <c r="A959" s="200"/>
    </row>
    <row r="960">
      <c r="A960" s="200"/>
    </row>
    <row r="961">
      <c r="A961" s="200"/>
    </row>
    <row r="962">
      <c r="A962" s="200"/>
    </row>
    <row r="963">
      <c r="A963" s="200"/>
    </row>
    <row r="964">
      <c r="A964" s="200"/>
    </row>
    <row r="965">
      <c r="A965" s="200"/>
    </row>
    <row r="966">
      <c r="A966" s="200"/>
    </row>
    <row r="967">
      <c r="A967" s="200"/>
    </row>
    <row r="968">
      <c r="A968" s="200"/>
    </row>
    <row r="969">
      <c r="A969" s="200"/>
    </row>
    <row r="970">
      <c r="A970" s="200"/>
    </row>
    <row r="971">
      <c r="A971" s="200"/>
    </row>
    <row r="972">
      <c r="A972" s="200"/>
    </row>
    <row r="973">
      <c r="A973" s="200"/>
    </row>
    <row r="974">
      <c r="A974" s="200"/>
    </row>
    <row r="975">
      <c r="A975" s="200"/>
    </row>
    <row r="976">
      <c r="A976" s="200"/>
    </row>
    <row r="977">
      <c r="A977" s="200"/>
    </row>
    <row r="978">
      <c r="A978" s="200"/>
    </row>
    <row r="979">
      <c r="A979" s="200"/>
    </row>
    <row r="980">
      <c r="A980" s="200"/>
    </row>
    <row r="981">
      <c r="A981" s="200"/>
    </row>
    <row r="982">
      <c r="A982" s="200"/>
    </row>
    <row r="983">
      <c r="A983" s="200"/>
    </row>
    <row r="984">
      <c r="A984" s="200"/>
    </row>
    <row r="985">
      <c r="A985" s="200"/>
    </row>
    <row r="986">
      <c r="A986" s="200"/>
    </row>
    <row r="987">
      <c r="A987" s="200"/>
    </row>
    <row r="988">
      <c r="A988" s="200"/>
    </row>
    <row r="989">
      <c r="A989" s="200"/>
    </row>
    <row r="990">
      <c r="A990" s="200"/>
    </row>
    <row r="991">
      <c r="A991" s="200"/>
    </row>
    <row r="992">
      <c r="A992" s="200"/>
    </row>
    <row r="993">
      <c r="A993" s="200"/>
    </row>
    <row r="994">
      <c r="A994" s="200"/>
    </row>
    <row r="995">
      <c r="A995" s="200"/>
    </row>
    <row r="996">
      <c r="A996" s="200"/>
    </row>
    <row r="997">
      <c r="A997" s="200"/>
    </row>
    <row r="998">
      <c r="A998" s="200"/>
    </row>
    <row r="999">
      <c r="A999" s="200"/>
    </row>
    <row r="1000">
      <c r="A1000" s="200"/>
    </row>
  </sheetData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65.38"/>
    <col customWidth="1" min="3" max="3" width="29.75"/>
    <col customWidth="1" min="4" max="4" width="46.38"/>
  </cols>
  <sheetData>
    <row r="1">
      <c r="A1" s="454" t="s">
        <v>815</v>
      </c>
      <c r="B1" s="455" t="s">
        <v>2</v>
      </c>
      <c r="C1" s="455"/>
    </row>
    <row r="2">
      <c r="A2" s="452">
        <v>3.3903017E7</v>
      </c>
      <c r="B2" t="s">
        <v>250</v>
      </c>
    </row>
    <row r="3">
      <c r="A3" s="452">
        <v>3.3913017E7</v>
      </c>
      <c r="B3" t="s">
        <v>250</v>
      </c>
      <c r="C3" s="453" t="s">
        <v>9269</v>
      </c>
    </row>
    <row r="4">
      <c r="A4" s="452">
        <v>3.3903504E7</v>
      </c>
      <c r="B4" t="s">
        <v>373</v>
      </c>
    </row>
    <row r="5">
      <c r="A5" s="452">
        <v>3.3913504E7</v>
      </c>
      <c r="B5" t="s">
        <v>373</v>
      </c>
      <c r="C5" s="453" t="s">
        <v>9269</v>
      </c>
    </row>
    <row r="6">
      <c r="A6" s="452">
        <v>3.3903654E7</v>
      </c>
      <c r="B6" t="s">
        <v>137</v>
      </c>
    </row>
    <row r="7">
      <c r="A7" s="452">
        <v>3.3903657E7</v>
      </c>
      <c r="B7" t="s">
        <v>8939</v>
      </c>
    </row>
    <row r="8">
      <c r="A8" s="452">
        <v>3.3904001E7</v>
      </c>
      <c r="B8" t="s">
        <v>9296</v>
      </c>
    </row>
    <row r="9">
      <c r="A9" s="452">
        <v>3.3914001E7</v>
      </c>
      <c r="B9" t="s">
        <v>9296</v>
      </c>
      <c r="C9" s="453" t="s">
        <v>9269</v>
      </c>
    </row>
    <row r="10">
      <c r="A10" s="452">
        <v>3.3904002E7</v>
      </c>
      <c r="B10" t="s">
        <v>9297</v>
      </c>
    </row>
    <row r="11">
      <c r="A11" s="452">
        <v>3.3914002E7</v>
      </c>
      <c r="B11" t="s">
        <v>9297</v>
      </c>
      <c r="C11" s="453" t="s">
        <v>9269</v>
      </c>
    </row>
    <row r="12">
      <c r="A12" s="452">
        <v>3.3904003E7</v>
      </c>
      <c r="B12" t="s">
        <v>9298</v>
      </c>
    </row>
    <row r="13">
      <c r="A13" s="452">
        <v>3.3914003E7</v>
      </c>
      <c r="B13" t="s">
        <v>9298</v>
      </c>
      <c r="C13" s="453" t="s">
        <v>9269</v>
      </c>
    </row>
    <row r="14">
      <c r="A14" s="452">
        <v>3.3904004E7</v>
      </c>
      <c r="B14" t="s">
        <v>9299</v>
      </c>
    </row>
    <row r="15">
      <c r="A15" s="452">
        <v>3.3914004E7</v>
      </c>
      <c r="B15" t="s">
        <v>9299</v>
      </c>
      <c r="C15" s="453" t="s">
        <v>9269</v>
      </c>
    </row>
    <row r="16">
      <c r="A16" s="452">
        <v>3.3904005E7</v>
      </c>
      <c r="B16" t="s">
        <v>9300</v>
      </c>
    </row>
    <row r="17">
      <c r="A17" s="452">
        <v>3.3914005E7</v>
      </c>
      <c r="B17" t="s">
        <v>9300</v>
      </c>
      <c r="C17" s="453" t="s">
        <v>9269</v>
      </c>
    </row>
    <row r="18">
      <c r="A18" s="452">
        <v>3.3904006E7</v>
      </c>
      <c r="B18" t="s">
        <v>277</v>
      </c>
    </row>
    <row r="19">
      <c r="A19" s="452">
        <v>3.3914006E7</v>
      </c>
      <c r="B19" t="s">
        <v>277</v>
      </c>
      <c r="C19" s="453" t="s">
        <v>9269</v>
      </c>
    </row>
    <row r="20">
      <c r="A20" s="452">
        <v>3.3904007E7</v>
      </c>
      <c r="B20" t="s">
        <v>161</v>
      </c>
    </row>
    <row r="21">
      <c r="A21" s="452">
        <v>3.3914007E7</v>
      </c>
      <c r="B21" t="s">
        <v>161</v>
      </c>
      <c r="C21" s="453" t="s">
        <v>9269</v>
      </c>
    </row>
    <row r="22">
      <c r="A22" s="452">
        <v>3.3904008E7</v>
      </c>
      <c r="B22" t="s">
        <v>379</v>
      </c>
    </row>
    <row r="23">
      <c r="A23" s="452">
        <v>3.3914008E7</v>
      </c>
      <c r="B23" t="s">
        <v>379</v>
      </c>
      <c r="C23" s="453" t="s">
        <v>9269</v>
      </c>
    </row>
    <row r="24">
      <c r="A24" s="452">
        <v>3.3904009E7</v>
      </c>
      <c r="B24" t="s">
        <v>848</v>
      </c>
    </row>
    <row r="25">
      <c r="A25" s="452">
        <v>3.3914009E7</v>
      </c>
      <c r="B25" t="s">
        <v>848</v>
      </c>
      <c r="C25" s="453" t="s">
        <v>9269</v>
      </c>
    </row>
    <row r="26">
      <c r="A26" s="452">
        <v>3.390401E7</v>
      </c>
      <c r="B26" t="s">
        <v>211</v>
      </c>
    </row>
    <row r="27">
      <c r="A27" s="452">
        <v>3.391401E7</v>
      </c>
      <c r="B27" t="s">
        <v>211</v>
      </c>
      <c r="C27" s="453" t="s">
        <v>9269</v>
      </c>
    </row>
    <row r="28">
      <c r="A28" s="452">
        <v>3.3904011E7</v>
      </c>
      <c r="B28" t="s">
        <v>182</v>
      </c>
    </row>
    <row r="29">
      <c r="A29" s="452">
        <v>3.3914011E7</v>
      </c>
      <c r="B29" t="s">
        <v>182</v>
      </c>
      <c r="C29" s="453" t="s">
        <v>9269</v>
      </c>
    </row>
    <row r="30">
      <c r="A30" s="452">
        <v>3.3904012E7</v>
      </c>
      <c r="B30" t="s">
        <v>137</v>
      </c>
    </row>
    <row r="31">
      <c r="A31" s="452">
        <v>3.3914012E7</v>
      </c>
      <c r="B31" t="s">
        <v>137</v>
      </c>
      <c r="C31" s="453" t="s">
        <v>9269</v>
      </c>
    </row>
    <row r="32">
      <c r="A32" s="452">
        <v>3.3904013E7</v>
      </c>
      <c r="B32" t="s">
        <v>194</v>
      </c>
    </row>
    <row r="33">
      <c r="A33" s="452">
        <v>3.3914013E7</v>
      </c>
      <c r="B33" t="s">
        <v>194</v>
      </c>
      <c r="C33" s="453" t="s">
        <v>9269</v>
      </c>
    </row>
    <row r="34">
      <c r="A34" s="452">
        <v>3.3904014E7</v>
      </c>
      <c r="B34" t="s">
        <v>226</v>
      </c>
    </row>
    <row r="35">
      <c r="A35" s="452">
        <v>3.3914014E7</v>
      </c>
      <c r="B35" t="s">
        <v>9301</v>
      </c>
      <c r="C35" s="453" t="s">
        <v>9269</v>
      </c>
    </row>
    <row r="36">
      <c r="A36" s="452">
        <v>3.3904015E7</v>
      </c>
      <c r="B36" t="s">
        <v>9302</v>
      </c>
    </row>
    <row r="37">
      <c r="A37" s="452">
        <v>3.3914015E7</v>
      </c>
      <c r="B37" t="s">
        <v>9302</v>
      </c>
      <c r="C37" s="453" t="s">
        <v>9269</v>
      </c>
    </row>
    <row r="38">
      <c r="A38" s="452">
        <v>3.3904016E7</v>
      </c>
      <c r="B38" t="s">
        <v>9303</v>
      </c>
    </row>
    <row r="39">
      <c r="A39" s="452">
        <v>3.3914016E7</v>
      </c>
      <c r="B39" t="s">
        <v>9303</v>
      </c>
      <c r="C39" s="453" t="s">
        <v>9269</v>
      </c>
    </row>
    <row r="40">
      <c r="A40" s="452">
        <v>3.3904017E7</v>
      </c>
      <c r="B40" t="s">
        <v>9304</v>
      </c>
    </row>
    <row r="41">
      <c r="A41" s="452">
        <v>3.3914017E7</v>
      </c>
      <c r="B41" t="s">
        <v>9304</v>
      </c>
      <c r="C41" s="453" t="s">
        <v>9269</v>
      </c>
    </row>
    <row r="42">
      <c r="A42" s="452">
        <v>3.3904018E7</v>
      </c>
      <c r="B42" t="s">
        <v>9305</v>
      </c>
    </row>
    <row r="43">
      <c r="A43" s="452">
        <v>3.3914018E7</v>
      </c>
      <c r="B43" t="s">
        <v>9305</v>
      </c>
      <c r="C43" s="453" t="s">
        <v>9269</v>
      </c>
    </row>
    <row r="44">
      <c r="A44" s="452">
        <v>3.3904019E7</v>
      </c>
      <c r="B44" t="s">
        <v>240</v>
      </c>
    </row>
    <row r="45">
      <c r="A45" s="452">
        <v>3.3914019E7</v>
      </c>
      <c r="B45" t="s">
        <v>240</v>
      </c>
      <c r="C45" s="453" t="s">
        <v>9269</v>
      </c>
    </row>
    <row r="46">
      <c r="A46" s="452">
        <v>3.390402E7</v>
      </c>
      <c r="B46" t="s">
        <v>8926</v>
      </c>
    </row>
    <row r="47">
      <c r="A47" s="452">
        <v>3.391402E7</v>
      </c>
      <c r="B47" t="s">
        <v>8926</v>
      </c>
      <c r="C47" s="453" t="s">
        <v>9269</v>
      </c>
    </row>
    <row r="48">
      <c r="A48" s="452">
        <v>3.3904021E7</v>
      </c>
      <c r="B48" t="s">
        <v>8939</v>
      </c>
    </row>
    <row r="49">
      <c r="A49" s="452">
        <v>3.3914021E7</v>
      </c>
      <c r="B49" t="s">
        <v>8939</v>
      </c>
      <c r="C49" s="453" t="s">
        <v>9269</v>
      </c>
    </row>
    <row r="50">
      <c r="A50" s="452">
        <v>3.3904022E7</v>
      </c>
      <c r="B50" t="s">
        <v>9184</v>
      </c>
    </row>
    <row r="51">
      <c r="A51" s="452">
        <v>3.3914022E7</v>
      </c>
      <c r="B51" t="s">
        <v>9184</v>
      </c>
      <c r="C51" s="453" t="s">
        <v>9269</v>
      </c>
    </row>
    <row r="52">
      <c r="A52" s="452">
        <v>3.3904023E7</v>
      </c>
      <c r="B52" t="s">
        <v>302</v>
      </c>
    </row>
    <row r="53">
      <c r="A53" s="452">
        <v>3.3914023E7</v>
      </c>
      <c r="B53" t="s">
        <v>302</v>
      </c>
      <c r="C53" s="453" t="s">
        <v>9269</v>
      </c>
    </row>
    <row r="54">
      <c r="A54" s="452">
        <v>3.3904024E7</v>
      </c>
      <c r="B54" t="s">
        <v>9306</v>
      </c>
    </row>
    <row r="55">
      <c r="A55" s="452">
        <v>3.3904096E7</v>
      </c>
      <c r="B55" t="s">
        <v>9307</v>
      </c>
    </row>
    <row r="56">
      <c r="A56" s="452">
        <v>4.4903646E7</v>
      </c>
      <c r="B56" t="s">
        <v>9308</v>
      </c>
    </row>
    <row r="57">
      <c r="A57" s="452">
        <v>4.4904005E7</v>
      </c>
      <c r="B57" t="s">
        <v>506</v>
      </c>
    </row>
    <row r="58">
      <c r="A58" s="452">
        <v>4.4904006E7</v>
      </c>
      <c r="B58" t="s">
        <v>9309</v>
      </c>
    </row>
    <row r="59">
      <c r="A59" s="452">
        <v>4.4903504E7</v>
      </c>
      <c r="B59" t="s">
        <v>373</v>
      </c>
    </row>
    <row r="60">
      <c r="A60" s="452">
        <v>4.4903645E7</v>
      </c>
      <c r="B60" t="s">
        <v>379</v>
      </c>
    </row>
    <row r="61">
      <c r="A61" s="452">
        <v>4.4904001E7</v>
      </c>
      <c r="B61" t="s">
        <v>379</v>
      </c>
    </row>
    <row r="62">
      <c r="A62" s="452">
        <v>4.4905237E7</v>
      </c>
      <c r="B62" t="s">
        <v>9246</v>
      </c>
    </row>
    <row r="63">
      <c r="A63" s="452">
        <v>4.4905245E7</v>
      </c>
      <c r="B63" t="s">
        <v>438</v>
      </c>
    </row>
    <row r="64">
      <c r="A64" s="452">
        <v>4.4905243E7</v>
      </c>
      <c r="B64" t="s">
        <v>9310</v>
      </c>
    </row>
    <row r="65">
      <c r="A65" s="452">
        <v>4.4905247E7</v>
      </c>
      <c r="B65" t="s">
        <v>363</v>
      </c>
    </row>
    <row r="66">
      <c r="A66" s="452">
        <v>4.4905241E7</v>
      </c>
      <c r="B66" t="s">
        <v>434</v>
      </c>
    </row>
    <row r="67">
      <c r="A67" s="452">
        <v>4.4904002E7</v>
      </c>
      <c r="B67" t="s">
        <v>9311</v>
      </c>
    </row>
    <row r="68">
      <c r="A68" s="452">
        <v>4.4905235E7</v>
      </c>
      <c r="B68" t="s">
        <v>482</v>
      </c>
    </row>
    <row r="69">
      <c r="A69" s="452">
        <v>4.4903017E7</v>
      </c>
      <c r="B69" t="s">
        <v>9312</v>
      </c>
    </row>
    <row r="70">
      <c r="A70" s="452">
        <v>4.4903654E7</v>
      </c>
      <c r="B70" t="s">
        <v>9313</v>
      </c>
    </row>
    <row r="71">
      <c r="A71" s="452">
        <v>4.4904004E7</v>
      </c>
      <c r="B71" t="s">
        <v>9313</v>
      </c>
    </row>
    <row r="72">
      <c r="A72" s="452">
        <v>4.4904007E7</v>
      </c>
      <c r="B72" t="s">
        <v>9306</v>
      </c>
    </row>
    <row r="73">
      <c r="A73" s="452">
        <v>4.4904096E7</v>
      </c>
      <c r="B73" t="s">
        <v>9314</v>
      </c>
    </row>
    <row r="74">
      <c r="A74" s="452">
        <v>4.4903657E7</v>
      </c>
      <c r="B74" t="s">
        <v>8939</v>
      </c>
    </row>
    <row r="75">
      <c r="A75" s="452">
        <v>4.4904003E7</v>
      </c>
      <c r="B75" t="s">
        <v>8939</v>
      </c>
    </row>
    <row r="76">
      <c r="A76" s="452">
        <v>4.4904008E7</v>
      </c>
      <c r="B76" t="s">
        <v>226</v>
      </c>
    </row>
    <row r="77">
      <c r="A77" s="200"/>
    </row>
    <row r="78">
      <c r="A78" s="200"/>
    </row>
    <row r="79">
      <c r="A79" s="200"/>
    </row>
    <row r="80">
      <c r="A80" s="200"/>
    </row>
    <row r="81">
      <c r="A81" s="200"/>
    </row>
    <row r="82">
      <c r="A82" s="200"/>
    </row>
    <row r="83">
      <c r="A83" s="200"/>
    </row>
    <row r="84">
      <c r="A84" s="200"/>
    </row>
    <row r="85">
      <c r="A85" s="200"/>
    </row>
    <row r="86">
      <c r="A86" s="200"/>
    </row>
    <row r="87">
      <c r="A87" s="200"/>
    </row>
    <row r="88">
      <c r="A88" s="200"/>
    </row>
    <row r="89">
      <c r="A89" s="200"/>
    </row>
    <row r="90">
      <c r="A90" s="200"/>
    </row>
    <row r="91">
      <c r="A91" s="200"/>
    </row>
    <row r="92">
      <c r="A92" s="200"/>
    </row>
    <row r="93">
      <c r="A93" s="200"/>
    </row>
    <row r="94">
      <c r="A94" s="200"/>
    </row>
    <row r="95">
      <c r="A95" s="200"/>
    </row>
    <row r="96">
      <c r="A96" s="200"/>
    </row>
    <row r="97">
      <c r="A97" s="200"/>
    </row>
    <row r="98">
      <c r="A98" s="200"/>
    </row>
    <row r="99">
      <c r="A99" s="200"/>
    </row>
    <row r="100">
      <c r="A100" s="200"/>
    </row>
    <row r="101">
      <c r="A101" s="200"/>
    </row>
    <row r="102">
      <c r="A102" s="200"/>
    </row>
    <row r="103">
      <c r="A103" s="200"/>
    </row>
    <row r="104">
      <c r="A104" s="200"/>
    </row>
    <row r="105">
      <c r="A105" s="200"/>
    </row>
    <row r="106">
      <c r="A106" s="200"/>
    </row>
    <row r="107">
      <c r="A107" s="200"/>
    </row>
    <row r="108">
      <c r="A108" s="200"/>
    </row>
    <row r="109">
      <c r="A109" s="200"/>
    </row>
    <row r="110">
      <c r="A110" s="200"/>
    </row>
    <row r="111">
      <c r="A111" s="200"/>
    </row>
    <row r="112">
      <c r="A112" s="200"/>
    </row>
    <row r="113">
      <c r="A113" s="200"/>
    </row>
    <row r="114">
      <c r="A114" s="200"/>
    </row>
    <row r="115">
      <c r="A115" s="200"/>
    </row>
    <row r="116">
      <c r="A116" s="200"/>
    </row>
    <row r="117">
      <c r="A117" s="200"/>
    </row>
    <row r="118">
      <c r="A118" s="200"/>
    </row>
    <row r="119">
      <c r="A119" s="200"/>
    </row>
    <row r="120">
      <c r="A120" s="200"/>
    </row>
    <row r="121">
      <c r="A121" s="200"/>
    </row>
    <row r="122">
      <c r="A122" s="200"/>
    </row>
    <row r="123">
      <c r="A123" s="200"/>
    </row>
    <row r="124">
      <c r="A124" s="200"/>
    </row>
    <row r="125">
      <c r="A125" s="200"/>
    </row>
    <row r="126">
      <c r="A126" s="200"/>
    </row>
    <row r="127">
      <c r="A127" s="200"/>
    </row>
    <row r="128">
      <c r="A128" s="200"/>
    </row>
    <row r="129">
      <c r="A129" s="200"/>
    </row>
    <row r="130">
      <c r="A130" s="200"/>
    </row>
    <row r="131">
      <c r="A131" s="200"/>
    </row>
    <row r="132">
      <c r="A132" s="200"/>
    </row>
    <row r="133">
      <c r="A133" s="200"/>
    </row>
    <row r="134">
      <c r="A134" s="200"/>
    </row>
    <row r="135">
      <c r="A135" s="200"/>
    </row>
    <row r="136">
      <c r="A136" s="200"/>
    </row>
    <row r="137">
      <c r="A137" s="200"/>
    </row>
    <row r="138">
      <c r="A138" s="200"/>
    </row>
    <row r="139">
      <c r="A139" s="200"/>
    </row>
    <row r="140">
      <c r="A140" s="200"/>
    </row>
    <row r="141">
      <c r="A141" s="200"/>
    </row>
    <row r="142">
      <c r="A142" s="200"/>
    </row>
    <row r="143">
      <c r="A143" s="200"/>
    </row>
    <row r="144">
      <c r="A144" s="200"/>
    </row>
    <row r="145">
      <c r="A145" s="200"/>
    </row>
    <row r="146">
      <c r="A146" s="200"/>
    </row>
    <row r="147">
      <c r="A147" s="200"/>
    </row>
    <row r="148">
      <c r="A148" s="200"/>
    </row>
    <row r="149">
      <c r="A149" s="200"/>
    </row>
    <row r="150">
      <c r="A150" s="200"/>
    </row>
    <row r="151">
      <c r="A151" s="200"/>
    </row>
    <row r="152">
      <c r="A152" s="200"/>
    </row>
    <row r="153">
      <c r="A153" s="200"/>
    </row>
    <row r="154">
      <c r="A154" s="200"/>
    </row>
    <row r="155">
      <c r="A155" s="200"/>
    </row>
    <row r="156">
      <c r="A156" s="200"/>
    </row>
    <row r="157">
      <c r="A157" s="200"/>
    </row>
    <row r="158">
      <c r="A158" s="200"/>
    </row>
    <row r="159">
      <c r="A159" s="200"/>
    </row>
    <row r="160">
      <c r="A160" s="200"/>
    </row>
    <row r="161">
      <c r="A161" s="200"/>
    </row>
    <row r="162">
      <c r="A162" s="200"/>
    </row>
    <row r="163">
      <c r="A163" s="200"/>
    </row>
    <row r="164">
      <c r="A164" s="200"/>
    </row>
    <row r="165">
      <c r="A165" s="200"/>
    </row>
    <row r="166">
      <c r="A166" s="200"/>
    </row>
    <row r="167">
      <c r="A167" s="200"/>
    </row>
    <row r="168">
      <c r="A168" s="200"/>
    </row>
    <row r="169">
      <c r="A169" s="200"/>
    </row>
    <row r="170">
      <c r="A170" s="200"/>
    </row>
    <row r="171">
      <c r="A171" s="200"/>
    </row>
    <row r="172">
      <c r="A172" s="200"/>
    </row>
    <row r="173">
      <c r="A173" s="200"/>
    </row>
    <row r="174">
      <c r="A174" s="200"/>
    </row>
    <row r="175">
      <c r="A175" s="200"/>
    </row>
    <row r="176">
      <c r="A176" s="200"/>
    </row>
    <row r="177">
      <c r="A177" s="200"/>
    </row>
    <row r="178">
      <c r="A178" s="200"/>
    </row>
    <row r="179">
      <c r="A179" s="200"/>
    </row>
    <row r="180">
      <c r="A180" s="200"/>
    </row>
    <row r="181">
      <c r="A181" s="200"/>
    </row>
    <row r="182">
      <c r="A182" s="200"/>
    </row>
    <row r="183">
      <c r="A183" s="200"/>
    </row>
    <row r="184">
      <c r="A184" s="200"/>
    </row>
    <row r="185">
      <c r="A185" s="200"/>
    </row>
    <row r="186">
      <c r="A186" s="200"/>
    </row>
    <row r="187">
      <c r="A187" s="200"/>
    </row>
    <row r="188">
      <c r="A188" s="200"/>
    </row>
    <row r="189">
      <c r="A189" s="200"/>
    </row>
    <row r="190">
      <c r="A190" s="200"/>
    </row>
    <row r="191">
      <c r="A191" s="200"/>
    </row>
    <row r="192">
      <c r="A192" s="200"/>
    </row>
    <row r="193">
      <c r="A193" s="200"/>
    </row>
    <row r="194">
      <c r="A194" s="200"/>
    </row>
    <row r="195">
      <c r="A195" s="200"/>
    </row>
    <row r="196">
      <c r="A196" s="200"/>
    </row>
    <row r="197">
      <c r="A197" s="200"/>
    </row>
    <row r="198">
      <c r="A198" s="200"/>
    </row>
    <row r="199">
      <c r="A199" s="200"/>
    </row>
    <row r="200">
      <c r="A200" s="200"/>
    </row>
    <row r="201">
      <c r="A201" s="200"/>
    </row>
    <row r="202">
      <c r="A202" s="200"/>
    </row>
    <row r="203">
      <c r="A203" s="200"/>
    </row>
    <row r="204">
      <c r="A204" s="200"/>
    </row>
    <row r="205">
      <c r="A205" s="200"/>
    </row>
    <row r="206">
      <c r="A206" s="200"/>
    </row>
    <row r="207">
      <c r="A207" s="200"/>
    </row>
    <row r="208">
      <c r="A208" s="200"/>
    </row>
    <row r="209">
      <c r="A209" s="200"/>
    </row>
    <row r="210">
      <c r="A210" s="200"/>
    </row>
    <row r="211">
      <c r="A211" s="200"/>
    </row>
    <row r="212">
      <c r="A212" s="200"/>
    </row>
    <row r="213">
      <c r="A213" s="200"/>
    </row>
    <row r="214">
      <c r="A214" s="200"/>
    </row>
    <row r="215">
      <c r="A215" s="200"/>
    </row>
    <row r="216">
      <c r="A216" s="200"/>
    </row>
    <row r="217">
      <c r="A217" s="200"/>
    </row>
    <row r="218">
      <c r="A218" s="200"/>
    </row>
    <row r="219">
      <c r="A219" s="200"/>
    </row>
    <row r="220">
      <c r="A220" s="200"/>
    </row>
    <row r="221">
      <c r="A221" s="200"/>
    </row>
    <row r="222">
      <c r="A222" s="200"/>
    </row>
    <row r="223">
      <c r="A223" s="200"/>
    </row>
    <row r="224">
      <c r="A224" s="200"/>
    </row>
    <row r="225">
      <c r="A225" s="200"/>
    </row>
    <row r="226">
      <c r="A226" s="200"/>
    </row>
    <row r="227">
      <c r="A227" s="200"/>
    </row>
    <row r="228">
      <c r="A228" s="200"/>
    </row>
    <row r="229">
      <c r="A229" s="200"/>
    </row>
    <row r="230">
      <c r="A230" s="200"/>
    </row>
    <row r="231">
      <c r="A231" s="200"/>
    </row>
    <row r="232">
      <c r="A232" s="200"/>
    </row>
    <row r="233">
      <c r="A233" s="200"/>
    </row>
    <row r="234">
      <c r="A234" s="200"/>
    </row>
    <row r="235">
      <c r="A235" s="200"/>
    </row>
    <row r="236">
      <c r="A236" s="200"/>
    </row>
    <row r="237">
      <c r="A237" s="200"/>
    </row>
    <row r="238">
      <c r="A238" s="200"/>
    </row>
    <row r="239">
      <c r="A239" s="200"/>
    </row>
    <row r="240">
      <c r="A240" s="200"/>
    </row>
    <row r="241">
      <c r="A241" s="200"/>
    </row>
    <row r="242">
      <c r="A242" s="200"/>
    </row>
    <row r="243">
      <c r="A243" s="200"/>
    </row>
    <row r="244">
      <c r="A244" s="200"/>
    </row>
    <row r="245">
      <c r="A245" s="200"/>
    </row>
    <row r="246">
      <c r="A246" s="200"/>
    </row>
    <row r="247">
      <c r="A247" s="200"/>
    </row>
    <row r="248">
      <c r="A248" s="200"/>
    </row>
    <row r="249">
      <c r="A249" s="200"/>
    </row>
    <row r="250">
      <c r="A250" s="200"/>
    </row>
    <row r="251">
      <c r="A251" s="200"/>
    </row>
    <row r="252">
      <c r="A252" s="200"/>
    </row>
    <row r="253">
      <c r="A253" s="200"/>
    </row>
    <row r="254">
      <c r="A254" s="200"/>
    </row>
    <row r="255">
      <c r="A255" s="200"/>
    </row>
    <row r="256">
      <c r="A256" s="200"/>
    </row>
    <row r="257">
      <c r="A257" s="200"/>
    </row>
    <row r="258">
      <c r="A258" s="200"/>
    </row>
    <row r="259">
      <c r="A259" s="200"/>
    </row>
    <row r="260">
      <c r="A260" s="200"/>
    </row>
    <row r="261">
      <c r="A261" s="200"/>
    </row>
    <row r="262">
      <c r="A262" s="200"/>
    </row>
    <row r="263">
      <c r="A263" s="200"/>
    </row>
    <row r="264">
      <c r="A264" s="200"/>
    </row>
    <row r="265">
      <c r="A265" s="200"/>
    </row>
    <row r="266">
      <c r="A266" s="200"/>
    </row>
    <row r="267">
      <c r="A267" s="200"/>
    </row>
    <row r="268">
      <c r="A268" s="200"/>
    </row>
    <row r="269">
      <c r="A269" s="200"/>
    </row>
    <row r="270">
      <c r="A270" s="200"/>
    </row>
    <row r="271">
      <c r="A271" s="200"/>
    </row>
    <row r="272">
      <c r="A272" s="200"/>
    </row>
    <row r="273">
      <c r="A273" s="200"/>
    </row>
    <row r="274">
      <c r="A274" s="200"/>
    </row>
    <row r="275">
      <c r="A275" s="200"/>
    </row>
    <row r="276">
      <c r="A276" s="200"/>
    </row>
    <row r="277">
      <c r="A277" s="200"/>
    </row>
    <row r="278">
      <c r="A278" s="200"/>
    </row>
    <row r="279">
      <c r="A279" s="200"/>
    </row>
    <row r="280">
      <c r="A280" s="200"/>
    </row>
    <row r="281">
      <c r="A281" s="200"/>
    </row>
    <row r="282">
      <c r="A282" s="200"/>
    </row>
    <row r="283">
      <c r="A283" s="200"/>
    </row>
    <row r="284">
      <c r="A284" s="200"/>
    </row>
    <row r="285">
      <c r="A285" s="200"/>
    </row>
    <row r="286">
      <c r="A286" s="200"/>
    </row>
    <row r="287">
      <c r="A287" s="200"/>
    </row>
    <row r="288">
      <c r="A288" s="200"/>
    </row>
    <row r="289">
      <c r="A289" s="200"/>
    </row>
    <row r="290">
      <c r="A290" s="200"/>
    </row>
    <row r="291">
      <c r="A291" s="200"/>
    </row>
    <row r="292">
      <c r="A292" s="200"/>
    </row>
    <row r="293">
      <c r="A293" s="200"/>
    </row>
    <row r="294">
      <c r="A294" s="200"/>
    </row>
    <row r="295">
      <c r="A295" s="200"/>
    </row>
    <row r="296">
      <c r="A296" s="200"/>
    </row>
    <row r="297">
      <c r="A297" s="200"/>
    </row>
    <row r="298">
      <c r="A298" s="200"/>
    </row>
    <row r="299">
      <c r="A299" s="200"/>
    </row>
    <row r="300">
      <c r="A300" s="200"/>
    </row>
    <row r="301">
      <c r="A301" s="200"/>
    </row>
    <row r="302">
      <c r="A302" s="200"/>
    </row>
    <row r="303">
      <c r="A303" s="200"/>
    </row>
    <row r="304">
      <c r="A304" s="200"/>
    </row>
    <row r="305">
      <c r="A305" s="200"/>
    </row>
    <row r="306">
      <c r="A306" s="200"/>
    </row>
    <row r="307">
      <c r="A307" s="200"/>
    </row>
    <row r="308">
      <c r="A308" s="200"/>
    </row>
    <row r="309">
      <c r="A309" s="200"/>
    </row>
    <row r="310">
      <c r="A310" s="200"/>
    </row>
    <row r="311">
      <c r="A311" s="200"/>
    </row>
    <row r="312">
      <c r="A312" s="200"/>
    </row>
    <row r="313">
      <c r="A313" s="200"/>
    </row>
    <row r="314">
      <c r="A314" s="200"/>
    </row>
    <row r="315">
      <c r="A315" s="200"/>
    </row>
    <row r="316">
      <c r="A316" s="200"/>
    </row>
    <row r="317">
      <c r="A317" s="200"/>
    </row>
    <row r="318">
      <c r="A318" s="200"/>
    </row>
    <row r="319">
      <c r="A319" s="200"/>
    </row>
    <row r="320">
      <c r="A320" s="200"/>
    </row>
    <row r="321">
      <c r="A321" s="200"/>
    </row>
    <row r="322">
      <c r="A322" s="200"/>
    </row>
    <row r="323">
      <c r="A323" s="200"/>
    </row>
    <row r="324">
      <c r="A324" s="200"/>
    </row>
    <row r="325">
      <c r="A325" s="200"/>
    </row>
    <row r="326">
      <c r="A326" s="200"/>
    </row>
    <row r="327">
      <c r="A327" s="200"/>
    </row>
    <row r="328">
      <c r="A328" s="200"/>
    </row>
    <row r="329">
      <c r="A329" s="200"/>
    </row>
    <row r="330">
      <c r="A330" s="200"/>
    </row>
    <row r="331">
      <c r="A331" s="200"/>
    </row>
    <row r="332">
      <c r="A332" s="200"/>
    </row>
    <row r="333">
      <c r="A333" s="200"/>
    </row>
    <row r="334">
      <c r="A334" s="200"/>
    </row>
    <row r="335">
      <c r="A335" s="200"/>
    </row>
    <row r="336">
      <c r="A336" s="200"/>
    </row>
    <row r="337">
      <c r="A337" s="200"/>
    </row>
    <row r="338">
      <c r="A338" s="200"/>
    </row>
    <row r="339">
      <c r="A339" s="200"/>
    </row>
    <row r="340">
      <c r="A340" s="200"/>
    </row>
    <row r="341">
      <c r="A341" s="200"/>
    </row>
    <row r="342">
      <c r="A342" s="200"/>
    </row>
    <row r="343">
      <c r="A343" s="200"/>
    </row>
    <row r="344">
      <c r="A344" s="200"/>
    </row>
    <row r="345">
      <c r="A345" s="200"/>
    </row>
    <row r="346">
      <c r="A346" s="200"/>
    </row>
    <row r="347">
      <c r="A347" s="200"/>
    </row>
    <row r="348">
      <c r="A348" s="200"/>
    </row>
    <row r="349">
      <c r="A349" s="200"/>
    </row>
    <row r="350">
      <c r="A350" s="200"/>
    </row>
    <row r="351">
      <c r="A351" s="200"/>
    </row>
    <row r="352">
      <c r="A352" s="200"/>
    </row>
    <row r="353">
      <c r="A353" s="200"/>
    </row>
    <row r="354">
      <c r="A354" s="200"/>
    </row>
    <row r="355">
      <c r="A355" s="200"/>
    </row>
    <row r="356">
      <c r="A356" s="200"/>
    </row>
    <row r="357">
      <c r="A357" s="200"/>
    </row>
    <row r="358">
      <c r="A358" s="200"/>
    </row>
    <row r="359">
      <c r="A359" s="200"/>
    </row>
    <row r="360">
      <c r="A360" s="200"/>
    </row>
    <row r="361">
      <c r="A361" s="200"/>
    </row>
    <row r="362">
      <c r="A362" s="200"/>
    </row>
    <row r="363">
      <c r="A363" s="200"/>
    </row>
    <row r="364">
      <c r="A364" s="200"/>
    </row>
    <row r="365">
      <c r="A365" s="200"/>
    </row>
    <row r="366">
      <c r="A366" s="200"/>
    </row>
    <row r="367">
      <c r="A367" s="200"/>
    </row>
    <row r="368">
      <c r="A368" s="200"/>
    </row>
    <row r="369">
      <c r="A369" s="200"/>
    </row>
    <row r="370">
      <c r="A370" s="200"/>
    </row>
    <row r="371">
      <c r="A371" s="200"/>
    </row>
    <row r="372">
      <c r="A372" s="200"/>
    </row>
    <row r="373">
      <c r="A373" s="200"/>
    </row>
    <row r="374">
      <c r="A374" s="200"/>
    </row>
    <row r="375">
      <c r="A375" s="200"/>
    </row>
    <row r="376">
      <c r="A376" s="200"/>
    </row>
    <row r="377">
      <c r="A377" s="200"/>
    </row>
    <row r="378">
      <c r="A378" s="200"/>
    </row>
    <row r="379">
      <c r="A379" s="200"/>
    </row>
    <row r="380">
      <c r="A380" s="200"/>
    </row>
    <row r="381">
      <c r="A381" s="200"/>
    </row>
    <row r="382">
      <c r="A382" s="200"/>
    </row>
    <row r="383">
      <c r="A383" s="200"/>
    </row>
    <row r="384">
      <c r="A384" s="200"/>
    </row>
    <row r="385">
      <c r="A385" s="200"/>
    </row>
    <row r="386">
      <c r="A386" s="200"/>
    </row>
    <row r="387">
      <c r="A387" s="200"/>
    </row>
    <row r="388">
      <c r="A388" s="200"/>
    </row>
    <row r="389">
      <c r="A389" s="200"/>
    </row>
    <row r="390">
      <c r="A390" s="200"/>
    </row>
    <row r="391">
      <c r="A391" s="200"/>
    </row>
    <row r="392">
      <c r="A392" s="200"/>
    </row>
    <row r="393">
      <c r="A393" s="200"/>
    </row>
    <row r="394">
      <c r="A394" s="200"/>
    </row>
    <row r="395">
      <c r="A395" s="200"/>
    </row>
    <row r="396">
      <c r="A396" s="200"/>
    </row>
    <row r="397">
      <c r="A397" s="200"/>
    </row>
    <row r="398">
      <c r="A398" s="200"/>
    </row>
    <row r="399">
      <c r="A399" s="200"/>
    </row>
    <row r="400">
      <c r="A400" s="200"/>
    </row>
    <row r="401">
      <c r="A401" s="200"/>
    </row>
    <row r="402">
      <c r="A402" s="200"/>
    </row>
    <row r="403">
      <c r="A403" s="200"/>
    </row>
    <row r="404">
      <c r="A404" s="200"/>
    </row>
    <row r="405">
      <c r="A405" s="200"/>
    </row>
    <row r="406">
      <c r="A406" s="200"/>
    </row>
    <row r="407">
      <c r="A407" s="200"/>
    </row>
    <row r="408">
      <c r="A408" s="200"/>
    </row>
    <row r="409">
      <c r="A409" s="200"/>
    </row>
    <row r="410">
      <c r="A410" s="200"/>
    </row>
    <row r="411">
      <c r="A411" s="200"/>
    </row>
    <row r="412">
      <c r="A412" s="200"/>
    </row>
    <row r="413">
      <c r="A413" s="200"/>
    </row>
    <row r="414">
      <c r="A414" s="200"/>
    </row>
    <row r="415">
      <c r="A415" s="200"/>
    </row>
    <row r="416">
      <c r="A416" s="200"/>
    </row>
    <row r="417">
      <c r="A417" s="200"/>
    </row>
    <row r="418">
      <c r="A418" s="200"/>
    </row>
    <row r="419">
      <c r="A419" s="200"/>
    </row>
    <row r="420">
      <c r="A420" s="200"/>
    </row>
    <row r="421">
      <c r="A421" s="200"/>
    </row>
    <row r="422">
      <c r="A422" s="200"/>
    </row>
    <row r="423">
      <c r="A423" s="200"/>
    </row>
    <row r="424">
      <c r="A424" s="200"/>
    </row>
    <row r="425">
      <c r="A425" s="200"/>
    </row>
    <row r="426">
      <c r="A426" s="200"/>
    </row>
    <row r="427">
      <c r="A427" s="200"/>
    </row>
    <row r="428">
      <c r="A428" s="200"/>
    </row>
    <row r="429">
      <c r="A429" s="200"/>
    </row>
    <row r="430">
      <c r="A430" s="200"/>
    </row>
    <row r="431">
      <c r="A431" s="200"/>
    </row>
    <row r="432">
      <c r="A432" s="200"/>
    </row>
    <row r="433">
      <c r="A433" s="200"/>
    </row>
    <row r="434">
      <c r="A434" s="200"/>
    </row>
    <row r="435">
      <c r="A435" s="200"/>
    </row>
    <row r="436">
      <c r="A436" s="200"/>
    </row>
    <row r="437">
      <c r="A437" s="200"/>
    </row>
    <row r="438">
      <c r="A438" s="200"/>
    </row>
    <row r="439">
      <c r="A439" s="200"/>
    </row>
    <row r="440">
      <c r="A440" s="200"/>
    </row>
    <row r="441">
      <c r="A441" s="200"/>
    </row>
    <row r="442">
      <c r="A442" s="200"/>
    </row>
    <row r="443">
      <c r="A443" s="200"/>
    </row>
    <row r="444">
      <c r="A444" s="200"/>
    </row>
    <row r="445">
      <c r="A445" s="200"/>
    </row>
    <row r="446">
      <c r="A446" s="200"/>
    </row>
    <row r="447">
      <c r="A447" s="200"/>
    </row>
    <row r="448">
      <c r="A448" s="200"/>
    </row>
    <row r="449">
      <c r="A449" s="200"/>
    </row>
    <row r="450">
      <c r="A450" s="200"/>
    </row>
    <row r="451">
      <c r="A451" s="200"/>
    </row>
    <row r="452">
      <c r="A452" s="200"/>
    </row>
    <row r="453">
      <c r="A453" s="200"/>
    </row>
    <row r="454">
      <c r="A454" s="200"/>
    </row>
    <row r="455">
      <c r="A455" s="200"/>
    </row>
    <row r="456">
      <c r="A456" s="200"/>
    </row>
    <row r="457">
      <c r="A457" s="200"/>
    </row>
    <row r="458">
      <c r="A458" s="200"/>
    </row>
    <row r="459">
      <c r="A459" s="200"/>
    </row>
    <row r="460">
      <c r="A460" s="200"/>
    </row>
    <row r="461">
      <c r="A461" s="200"/>
    </row>
    <row r="462">
      <c r="A462" s="200"/>
    </row>
    <row r="463">
      <c r="A463" s="200"/>
    </row>
    <row r="464">
      <c r="A464" s="200"/>
    </row>
    <row r="465">
      <c r="A465" s="200"/>
    </row>
    <row r="466">
      <c r="A466" s="200"/>
    </row>
    <row r="467">
      <c r="A467" s="200"/>
    </row>
    <row r="468">
      <c r="A468" s="200"/>
    </row>
    <row r="469">
      <c r="A469" s="200"/>
    </row>
    <row r="470">
      <c r="A470" s="200"/>
    </row>
    <row r="471">
      <c r="A471" s="200"/>
    </row>
    <row r="472">
      <c r="A472" s="200"/>
    </row>
    <row r="473">
      <c r="A473" s="200"/>
    </row>
    <row r="474">
      <c r="A474" s="200"/>
    </row>
    <row r="475">
      <c r="A475" s="200"/>
    </row>
    <row r="476">
      <c r="A476" s="200"/>
    </row>
    <row r="477">
      <c r="A477" s="200"/>
    </row>
    <row r="478">
      <c r="A478" s="200"/>
    </row>
    <row r="479">
      <c r="A479" s="200"/>
    </row>
    <row r="480">
      <c r="A480" s="200"/>
    </row>
    <row r="481">
      <c r="A481" s="200"/>
    </row>
    <row r="482">
      <c r="A482" s="200"/>
    </row>
    <row r="483">
      <c r="A483" s="200"/>
    </row>
    <row r="484">
      <c r="A484" s="200"/>
    </row>
    <row r="485">
      <c r="A485" s="200"/>
    </row>
    <row r="486">
      <c r="A486" s="200"/>
    </row>
    <row r="487">
      <c r="A487" s="200"/>
    </row>
    <row r="488">
      <c r="A488" s="200"/>
    </row>
    <row r="489">
      <c r="A489" s="200"/>
    </row>
    <row r="490">
      <c r="A490" s="200"/>
    </row>
    <row r="491">
      <c r="A491" s="200"/>
    </row>
    <row r="492">
      <c r="A492" s="200"/>
    </row>
    <row r="493">
      <c r="A493" s="200"/>
    </row>
    <row r="494">
      <c r="A494" s="200"/>
    </row>
    <row r="495">
      <c r="A495" s="200"/>
    </row>
    <row r="496">
      <c r="A496" s="200"/>
    </row>
    <row r="497">
      <c r="A497" s="200"/>
    </row>
    <row r="498">
      <c r="A498" s="200"/>
    </row>
    <row r="499">
      <c r="A499" s="200"/>
    </row>
    <row r="500">
      <c r="A500" s="200"/>
    </row>
    <row r="501">
      <c r="A501" s="200"/>
    </row>
    <row r="502">
      <c r="A502" s="200"/>
    </row>
    <row r="503">
      <c r="A503" s="200"/>
    </row>
    <row r="504">
      <c r="A504" s="200"/>
    </row>
    <row r="505">
      <c r="A505" s="200"/>
    </row>
    <row r="506">
      <c r="A506" s="200"/>
    </row>
    <row r="507">
      <c r="A507" s="200"/>
    </row>
    <row r="508">
      <c r="A508" s="200"/>
    </row>
    <row r="509">
      <c r="A509" s="200"/>
    </row>
    <row r="510">
      <c r="A510" s="200"/>
    </row>
    <row r="511">
      <c r="A511" s="200"/>
    </row>
    <row r="512">
      <c r="A512" s="200"/>
    </row>
    <row r="513">
      <c r="A513" s="200"/>
    </row>
    <row r="514">
      <c r="A514" s="200"/>
    </row>
    <row r="515">
      <c r="A515" s="200"/>
    </row>
    <row r="516">
      <c r="A516" s="200"/>
    </row>
    <row r="517">
      <c r="A517" s="200"/>
    </row>
    <row r="518">
      <c r="A518" s="200"/>
    </row>
    <row r="519">
      <c r="A519" s="200"/>
    </row>
    <row r="520">
      <c r="A520" s="200"/>
    </row>
    <row r="521">
      <c r="A521" s="200"/>
    </row>
    <row r="522">
      <c r="A522" s="200"/>
    </row>
    <row r="523">
      <c r="A523" s="200"/>
    </row>
    <row r="524">
      <c r="A524" s="200"/>
    </row>
    <row r="525">
      <c r="A525" s="200"/>
    </row>
    <row r="526">
      <c r="A526" s="200"/>
    </row>
    <row r="527">
      <c r="A527" s="200"/>
    </row>
    <row r="528">
      <c r="A528" s="200"/>
    </row>
    <row r="529">
      <c r="A529" s="200"/>
    </row>
    <row r="530">
      <c r="A530" s="200"/>
    </row>
    <row r="531">
      <c r="A531" s="200"/>
    </row>
    <row r="532">
      <c r="A532" s="200"/>
    </row>
    <row r="533">
      <c r="A533" s="200"/>
    </row>
    <row r="534">
      <c r="A534" s="200"/>
    </row>
    <row r="535">
      <c r="A535" s="200"/>
    </row>
    <row r="536">
      <c r="A536" s="200"/>
    </row>
    <row r="537">
      <c r="A537" s="200"/>
    </row>
    <row r="538">
      <c r="A538" s="200"/>
    </row>
    <row r="539">
      <c r="A539" s="200"/>
    </row>
    <row r="540">
      <c r="A540" s="200"/>
    </row>
    <row r="541">
      <c r="A541" s="200"/>
    </row>
    <row r="542">
      <c r="A542" s="200"/>
    </row>
    <row r="543">
      <c r="A543" s="200"/>
    </row>
    <row r="544">
      <c r="A544" s="200"/>
    </row>
    <row r="545">
      <c r="A545" s="200"/>
    </row>
    <row r="546">
      <c r="A546" s="200"/>
    </row>
    <row r="547">
      <c r="A547" s="200"/>
    </row>
    <row r="548">
      <c r="A548" s="200"/>
    </row>
    <row r="549">
      <c r="A549" s="200"/>
    </row>
    <row r="550">
      <c r="A550" s="200"/>
    </row>
    <row r="551">
      <c r="A551" s="200"/>
    </row>
    <row r="552">
      <c r="A552" s="200"/>
    </row>
    <row r="553">
      <c r="A553" s="200"/>
    </row>
    <row r="554">
      <c r="A554" s="200"/>
    </row>
    <row r="555">
      <c r="A555" s="200"/>
    </row>
    <row r="556">
      <c r="A556" s="200"/>
    </row>
    <row r="557">
      <c r="A557" s="200"/>
    </row>
    <row r="558">
      <c r="A558" s="200"/>
    </row>
    <row r="559">
      <c r="A559" s="200"/>
    </row>
    <row r="560">
      <c r="A560" s="200"/>
    </row>
    <row r="561">
      <c r="A561" s="200"/>
    </row>
    <row r="562">
      <c r="A562" s="200"/>
    </row>
    <row r="563">
      <c r="A563" s="200"/>
    </row>
    <row r="564">
      <c r="A564" s="200"/>
    </row>
    <row r="565">
      <c r="A565" s="200"/>
    </row>
    <row r="566">
      <c r="A566" s="200"/>
    </row>
    <row r="567">
      <c r="A567" s="200"/>
    </row>
    <row r="568">
      <c r="A568" s="200"/>
    </row>
    <row r="569">
      <c r="A569" s="200"/>
    </row>
    <row r="570">
      <c r="A570" s="200"/>
    </row>
    <row r="571">
      <c r="A571" s="200"/>
    </row>
    <row r="572">
      <c r="A572" s="200"/>
    </row>
    <row r="573">
      <c r="A573" s="200"/>
    </row>
    <row r="574">
      <c r="A574" s="200"/>
    </row>
    <row r="575">
      <c r="A575" s="200"/>
    </row>
    <row r="576">
      <c r="A576" s="200"/>
    </row>
    <row r="577">
      <c r="A577" s="200"/>
    </row>
    <row r="578">
      <c r="A578" s="200"/>
    </row>
    <row r="579">
      <c r="A579" s="200"/>
    </row>
    <row r="580">
      <c r="A580" s="200"/>
    </row>
    <row r="581">
      <c r="A581" s="200"/>
    </row>
    <row r="582">
      <c r="A582" s="200"/>
    </row>
    <row r="583">
      <c r="A583" s="200"/>
    </row>
    <row r="584">
      <c r="A584" s="200"/>
    </row>
    <row r="585">
      <c r="A585" s="200"/>
    </row>
    <row r="586">
      <c r="A586" s="200"/>
    </row>
    <row r="587">
      <c r="A587" s="200"/>
    </row>
    <row r="588">
      <c r="A588" s="200"/>
    </row>
    <row r="589">
      <c r="A589" s="200"/>
    </row>
    <row r="590">
      <c r="A590" s="200"/>
    </row>
    <row r="591">
      <c r="A591" s="200"/>
    </row>
    <row r="592">
      <c r="A592" s="200"/>
    </row>
    <row r="593">
      <c r="A593" s="200"/>
    </row>
    <row r="594">
      <c r="A594" s="200"/>
    </row>
    <row r="595">
      <c r="A595" s="200"/>
    </row>
    <row r="596">
      <c r="A596" s="200"/>
    </row>
    <row r="597">
      <c r="A597" s="200"/>
    </row>
    <row r="598">
      <c r="A598" s="200"/>
    </row>
    <row r="599">
      <c r="A599" s="200"/>
    </row>
    <row r="600">
      <c r="A600" s="200"/>
    </row>
    <row r="601">
      <c r="A601" s="200"/>
    </row>
    <row r="602">
      <c r="A602" s="200"/>
    </row>
    <row r="603">
      <c r="A603" s="200"/>
    </row>
    <row r="604">
      <c r="A604" s="200"/>
    </row>
    <row r="605">
      <c r="A605" s="200"/>
    </row>
    <row r="606">
      <c r="A606" s="200"/>
    </row>
    <row r="607">
      <c r="A607" s="200"/>
    </row>
    <row r="608">
      <c r="A608" s="200"/>
    </row>
    <row r="609">
      <c r="A609" s="200"/>
    </row>
    <row r="610">
      <c r="A610" s="200"/>
    </row>
    <row r="611">
      <c r="A611" s="200"/>
    </row>
    <row r="612">
      <c r="A612" s="200"/>
    </row>
    <row r="613">
      <c r="A613" s="200"/>
    </row>
    <row r="614">
      <c r="A614" s="200"/>
    </row>
    <row r="615">
      <c r="A615" s="200"/>
    </row>
    <row r="616">
      <c r="A616" s="200"/>
    </row>
    <row r="617">
      <c r="A617" s="200"/>
    </row>
    <row r="618">
      <c r="A618" s="200"/>
    </row>
    <row r="619">
      <c r="A619" s="200"/>
    </row>
    <row r="620">
      <c r="A620" s="200"/>
    </row>
    <row r="621">
      <c r="A621" s="200"/>
    </row>
    <row r="622">
      <c r="A622" s="200"/>
    </row>
    <row r="623">
      <c r="A623" s="200"/>
    </row>
    <row r="624">
      <c r="A624" s="200"/>
    </row>
    <row r="625">
      <c r="A625" s="200"/>
    </row>
    <row r="626">
      <c r="A626" s="200"/>
    </row>
    <row r="627">
      <c r="A627" s="200"/>
    </row>
    <row r="628">
      <c r="A628" s="200"/>
    </row>
    <row r="629">
      <c r="A629" s="200"/>
    </row>
    <row r="630">
      <c r="A630" s="200"/>
    </row>
    <row r="631">
      <c r="A631" s="200"/>
    </row>
    <row r="632">
      <c r="A632" s="200"/>
    </row>
    <row r="633">
      <c r="A633" s="200"/>
    </row>
    <row r="634">
      <c r="A634" s="200"/>
    </row>
    <row r="635">
      <c r="A635" s="200"/>
    </row>
    <row r="636">
      <c r="A636" s="200"/>
    </row>
    <row r="637">
      <c r="A637" s="200"/>
    </row>
    <row r="638">
      <c r="A638" s="200"/>
    </row>
    <row r="639">
      <c r="A639" s="200"/>
    </row>
    <row r="640">
      <c r="A640" s="200"/>
    </row>
    <row r="641">
      <c r="A641" s="200"/>
    </row>
    <row r="642">
      <c r="A642" s="200"/>
    </row>
    <row r="643">
      <c r="A643" s="200"/>
    </row>
    <row r="644">
      <c r="A644" s="200"/>
    </row>
    <row r="645">
      <c r="A645" s="200"/>
    </row>
    <row r="646">
      <c r="A646" s="200"/>
    </row>
    <row r="647">
      <c r="A647" s="200"/>
    </row>
    <row r="648">
      <c r="A648" s="200"/>
    </row>
    <row r="649">
      <c r="A649" s="200"/>
    </row>
    <row r="650">
      <c r="A650" s="200"/>
    </row>
    <row r="651">
      <c r="A651" s="200"/>
    </row>
    <row r="652">
      <c r="A652" s="200"/>
    </row>
    <row r="653">
      <c r="A653" s="200"/>
    </row>
    <row r="654">
      <c r="A654" s="200"/>
    </row>
    <row r="655">
      <c r="A655" s="200"/>
    </row>
    <row r="656">
      <c r="A656" s="200"/>
    </row>
    <row r="657">
      <c r="A657" s="200"/>
    </row>
    <row r="658">
      <c r="A658" s="200"/>
    </row>
    <row r="659">
      <c r="A659" s="200"/>
    </row>
    <row r="660">
      <c r="A660" s="200"/>
    </row>
    <row r="661">
      <c r="A661" s="200"/>
    </row>
    <row r="662">
      <c r="A662" s="200"/>
    </row>
    <row r="663">
      <c r="A663" s="200"/>
    </row>
    <row r="664">
      <c r="A664" s="200"/>
    </row>
    <row r="665">
      <c r="A665" s="200"/>
    </row>
    <row r="666">
      <c r="A666" s="200"/>
    </row>
    <row r="667">
      <c r="A667" s="200"/>
    </row>
    <row r="668">
      <c r="A668" s="200"/>
    </row>
    <row r="669">
      <c r="A669" s="200"/>
    </row>
    <row r="670">
      <c r="A670" s="200"/>
    </row>
    <row r="671">
      <c r="A671" s="200"/>
    </row>
    <row r="672">
      <c r="A672" s="200"/>
    </row>
    <row r="673">
      <c r="A673" s="200"/>
    </row>
    <row r="674">
      <c r="A674" s="200"/>
    </row>
    <row r="675">
      <c r="A675" s="200"/>
    </row>
    <row r="676">
      <c r="A676" s="200"/>
    </row>
    <row r="677">
      <c r="A677" s="200"/>
    </row>
    <row r="678">
      <c r="A678" s="200"/>
    </row>
    <row r="679">
      <c r="A679" s="200"/>
    </row>
    <row r="680">
      <c r="A680" s="200"/>
    </row>
    <row r="681">
      <c r="A681" s="200"/>
    </row>
    <row r="682">
      <c r="A682" s="200"/>
    </row>
    <row r="683">
      <c r="A683" s="200"/>
    </row>
    <row r="684">
      <c r="A684" s="200"/>
    </row>
    <row r="685">
      <c r="A685" s="200"/>
    </row>
    <row r="686">
      <c r="A686" s="200"/>
    </row>
    <row r="687">
      <c r="A687" s="200"/>
    </row>
    <row r="688">
      <c r="A688" s="200"/>
    </row>
    <row r="689">
      <c r="A689" s="200"/>
    </row>
    <row r="690">
      <c r="A690" s="200"/>
    </row>
    <row r="691">
      <c r="A691" s="200"/>
    </row>
    <row r="692">
      <c r="A692" s="200"/>
    </row>
    <row r="693">
      <c r="A693" s="200"/>
    </row>
    <row r="694">
      <c r="A694" s="200"/>
    </row>
    <row r="695">
      <c r="A695" s="200"/>
    </row>
    <row r="696">
      <c r="A696" s="200"/>
    </row>
    <row r="697">
      <c r="A697" s="200"/>
    </row>
    <row r="698">
      <c r="A698" s="200"/>
    </row>
    <row r="699">
      <c r="A699" s="200"/>
    </row>
    <row r="700">
      <c r="A700" s="200"/>
    </row>
    <row r="701">
      <c r="A701" s="200"/>
    </row>
    <row r="702">
      <c r="A702" s="200"/>
    </row>
    <row r="703">
      <c r="A703" s="200"/>
    </row>
    <row r="704">
      <c r="A704" s="200"/>
    </row>
    <row r="705">
      <c r="A705" s="200"/>
    </row>
    <row r="706">
      <c r="A706" s="200"/>
    </row>
    <row r="707">
      <c r="A707" s="200"/>
    </row>
    <row r="708">
      <c r="A708" s="200"/>
    </row>
    <row r="709">
      <c r="A709" s="200"/>
    </row>
    <row r="710">
      <c r="A710" s="200"/>
    </row>
    <row r="711">
      <c r="A711" s="200"/>
    </row>
    <row r="712">
      <c r="A712" s="200"/>
    </row>
    <row r="713">
      <c r="A713" s="200"/>
    </row>
    <row r="714">
      <c r="A714" s="200"/>
    </row>
    <row r="715">
      <c r="A715" s="200"/>
    </row>
    <row r="716">
      <c r="A716" s="200"/>
    </row>
    <row r="717">
      <c r="A717" s="200"/>
    </row>
    <row r="718">
      <c r="A718" s="200"/>
    </row>
    <row r="719">
      <c r="A719" s="200"/>
    </row>
    <row r="720">
      <c r="A720" s="200"/>
    </row>
    <row r="721">
      <c r="A721" s="200"/>
    </row>
    <row r="722">
      <c r="A722" s="200"/>
    </row>
    <row r="723">
      <c r="A723" s="200"/>
    </row>
    <row r="724">
      <c r="A724" s="200"/>
    </row>
    <row r="725">
      <c r="A725" s="200"/>
    </row>
    <row r="726">
      <c r="A726" s="200"/>
    </row>
    <row r="727">
      <c r="A727" s="200"/>
    </row>
    <row r="728">
      <c r="A728" s="200"/>
    </row>
    <row r="729">
      <c r="A729" s="200"/>
    </row>
    <row r="730">
      <c r="A730" s="200"/>
    </row>
    <row r="731">
      <c r="A731" s="200"/>
    </row>
    <row r="732">
      <c r="A732" s="200"/>
    </row>
    <row r="733">
      <c r="A733" s="200"/>
    </row>
    <row r="734">
      <c r="A734" s="200"/>
    </row>
    <row r="735">
      <c r="A735" s="200"/>
    </row>
    <row r="736">
      <c r="A736" s="200"/>
    </row>
    <row r="737">
      <c r="A737" s="200"/>
    </row>
    <row r="738">
      <c r="A738" s="200"/>
    </row>
    <row r="739">
      <c r="A739" s="200"/>
    </row>
    <row r="740">
      <c r="A740" s="200"/>
    </row>
    <row r="741">
      <c r="A741" s="200"/>
    </row>
    <row r="742">
      <c r="A742" s="200"/>
    </row>
    <row r="743">
      <c r="A743" s="200"/>
    </row>
    <row r="744">
      <c r="A744" s="200"/>
    </row>
    <row r="745">
      <c r="A745" s="200"/>
    </row>
    <row r="746">
      <c r="A746" s="200"/>
    </row>
    <row r="747">
      <c r="A747" s="200"/>
    </row>
    <row r="748">
      <c r="A748" s="200"/>
    </row>
    <row r="749">
      <c r="A749" s="200"/>
    </row>
    <row r="750">
      <c r="A750" s="200"/>
    </row>
    <row r="751">
      <c r="A751" s="200"/>
    </row>
    <row r="752">
      <c r="A752" s="200"/>
    </row>
    <row r="753">
      <c r="A753" s="200"/>
    </row>
    <row r="754">
      <c r="A754" s="200"/>
    </row>
    <row r="755">
      <c r="A755" s="200"/>
    </row>
    <row r="756">
      <c r="A756" s="200"/>
    </row>
    <row r="757">
      <c r="A757" s="200"/>
    </row>
    <row r="758">
      <c r="A758" s="200"/>
    </row>
    <row r="759">
      <c r="A759" s="200"/>
    </row>
    <row r="760">
      <c r="A760" s="200"/>
    </row>
    <row r="761">
      <c r="A761" s="200"/>
    </row>
    <row r="762">
      <c r="A762" s="200"/>
    </row>
    <row r="763">
      <c r="A763" s="200"/>
    </row>
    <row r="764">
      <c r="A764" s="200"/>
    </row>
    <row r="765">
      <c r="A765" s="200"/>
    </row>
    <row r="766">
      <c r="A766" s="200"/>
    </row>
    <row r="767">
      <c r="A767" s="200"/>
    </row>
    <row r="768">
      <c r="A768" s="200"/>
    </row>
    <row r="769">
      <c r="A769" s="200"/>
    </row>
    <row r="770">
      <c r="A770" s="200"/>
    </row>
    <row r="771">
      <c r="A771" s="200"/>
    </row>
    <row r="772">
      <c r="A772" s="200"/>
    </row>
    <row r="773">
      <c r="A773" s="200"/>
    </row>
    <row r="774">
      <c r="A774" s="200"/>
    </row>
    <row r="775">
      <c r="A775" s="200"/>
    </row>
    <row r="776">
      <c r="A776" s="200"/>
    </row>
    <row r="777">
      <c r="A777" s="200"/>
    </row>
    <row r="778">
      <c r="A778" s="200"/>
    </row>
    <row r="779">
      <c r="A779" s="200"/>
    </row>
    <row r="780">
      <c r="A780" s="200"/>
    </row>
    <row r="781">
      <c r="A781" s="200"/>
    </row>
    <row r="782">
      <c r="A782" s="200"/>
    </row>
    <row r="783">
      <c r="A783" s="200"/>
    </row>
    <row r="784">
      <c r="A784" s="200"/>
    </row>
    <row r="785">
      <c r="A785" s="200"/>
    </row>
    <row r="786">
      <c r="A786" s="200"/>
    </row>
    <row r="787">
      <c r="A787" s="200"/>
    </row>
    <row r="788">
      <c r="A788" s="200"/>
    </row>
    <row r="789">
      <c r="A789" s="200"/>
    </row>
    <row r="790">
      <c r="A790" s="200"/>
    </row>
    <row r="791">
      <c r="A791" s="200"/>
    </row>
    <row r="792">
      <c r="A792" s="200"/>
    </row>
    <row r="793">
      <c r="A793" s="200"/>
    </row>
    <row r="794">
      <c r="A794" s="200"/>
    </row>
    <row r="795">
      <c r="A795" s="200"/>
    </row>
    <row r="796">
      <c r="A796" s="200"/>
    </row>
    <row r="797">
      <c r="A797" s="200"/>
    </row>
    <row r="798">
      <c r="A798" s="200"/>
    </row>
    <row r="799">
      <c r="A799" s="200"/>
    </row>
    <row r="800">
      <c r="A800" s="200"/>
    </row>
    <row r="801">
      <c r="A801" s="200"/>
    </row>
    <row r="802">
      <c r="A802" s="200"/>
    </row>
    <row r="803">
      <c r="A803" s="200"/>
    </row>
    <row r="804">
      <c r="A804" s="200"/>
    </row>
    <row r="805">
      <c r="A805" s="200"/>
    </row>
    <row r="806">
      <c r="A806" s="200"/>
    </row>
    <row r="807">
      <c r="A807" s="200"/>
    </row>
    <row r="808">
      <c r="A808" s="200"/>
    </row>
    <row r="809">
      <c r="A809" s="200"/>
    </row>
    <row r="810">
      <c r="A810" s="200"/>
    </row>
    <row r="811">
      <c r="A811" s="200"/>
    </row>
    <row r="812">
      <c r="A812" s="200"/>
    </row>
    <row r="813">
      <c r="A813" s="200"/>
    </row>
    <row r="814">
      <c r="A814" s="200"/>
    </row>
    <row r="815">
      <c r="A815" s="200"/>
    </row>
    <row r="816">
      <c r="A816" s="200"/>
    </row>
    <row r="817">
      <c r="A817" s="200"/>
    </row>
    <row r="818">
      <c r="A818" s="200"/>
    </row>
    <row r="819">
      <c r="A819" s="200"/>
    </row>
    <row r="820">
      <c r="A820" s="200"/>
    </row>
    <row r="821">
      <c r="A821" s="200"/>
    </row>
    <row r="822">
      <c r="A822" s="200"/>
    </row>
    <row r="823">
      <c r="A823" s="200"/>
    </row>
    <row r="824">
      <c r="A824" s="200"/>
    </row>
    <row r="825">
      <c r="A825" s="200"/>
    </row>
    <row r="826">
      <c r="A826" s="200"/>
    </row>
    <row r="827">
      <c r="A827" s="200"/>
    </row>
    <row r="828">
      <c r="A828" s="200"/>
    </row>
    <row r="829">
      <c r="A829" s="200"/>
    </row>
    <row r="830">
      <c r="A830" s="200"/>
    </row>
    <row r="831">
      <c r="A831" s="200"/>
    </row>
    <row r="832">
      <c r="A832" s="200"/>
    </row>
    <row r="833">
      <c r="A833" s="200"/>
    </row>
    <row r="834">
      <c r="A834" s="200"/>
    </row>
    <row r="835">
      <c r="A835" s="200"/>
    </row>
    <row r="836">
      <c r="A836" s="200"/>
    </row>
    <row r="837">
      <c r="A837" s="200"/>
    </row>
    <row r="838">
      <c r="A838" s="200"/>
    </row>
    <row r="839">
      <c r="A839" s="200"/>
    </row>
    <row r="840">
      <c r="A840" s="200"/>
    </row>
    <row r="841">
      <c r="A841" s="200"/>
    </row>
    <row r="842">
      <c r="A842" s="200"/>
    </row>
    <row r="843">
      <c r="A843" s="200"/>
    </row>
    <row r="844">
      <c r="A844" s="200"/>
    </row>
    <row r="845">
      <c r="A845" s="200"/>
    </row>
    <row r="846">
      <c r="A846" s="200"/>
    </row>
    <row r="847">
      <c r="A847" s="200"/>
    </row>
    <row r="848">
      <c r="A848" s="200"/>
    </row>
    <row r="849">
      <c r="A849" s="200"/>
    </row>
    <row r="850">
      <c r="A850" s="200"/>
    </row>
    <row r="851">
      <c r="A851" s="200"/>
    </row>
    <row r="852">
      <c r="A852" s="200"/>
    </row>
    <row r="853">
      <c r="A853" s="200"/>
    </row>
    <row r="854">
      <c r="A854" s="200"/>
    </row>
    <row r="855">
      <c r="A855" s="200"/>
    </row>
    <row r="856">
      <c r="A856" s="200"/>
    </row>
    <row r="857">
      <c r="A857" s="200"/>
    </row>
    <row r="858">
      <c r="A858" s="200"/>
    </row>
    <row r="859">
      <c r="A859" s="200"/>
    </row>
    <row r="860">
      <c r="A860" s="200"/>
    </row>
    <row r="861">
      <c r="A861" s="200"/>
    </row>
    <row r="862">
      <c r="A862" s="200"/>
    </row>
    <row r="863">
      <c r="A863" s="200"/>
    </row>
    <row r="864">
      <c r="A864" s="200"/>
    </row>
    <row r="865">
      <c r="A865" s="200"/>
    </row>
    <row r="866">
      <c r="A866" s="200"/>
    </row>
    <row r="867">
      <c r="A867" s="200"/>
    </row>
    <row r="868">
      <c r="A868" s="200"/>
    </row>
    <row r="869">
      <c r="A869" s="200"/>
    </row>
    <row r="870">
      <c r="A870" s="200"/>
    </row>
    <row r="871">
      <c r="A871" s="200"/>
    </row>
    <row r="872">
      <c r="A872" s="200"/>
    </row>
    <row r="873">
      <c r="A873" s="200"/>
    </row>
    <row r="874">
      <c r="A874" s="200"/>
    </row>
    <row r="875">
      <c r="A875" s="200"/>
    </row>
    <row r="876">
      <c r="A876" s="200"/>
    </row>
    <row r="877">
      <c r="A877" s="200"/>
    </row>
    <row r="878">
      <c r="A878" s="200"/>
    </row>
    <row r="879">
      <c r="A879" s="200"/>
    </row>
    <row r="880">
      <c r="A880" s="200"/>
    </row>
    <row r="881">
      <c r="A881" s="200"/>
    </row>
    <row r="882">
      <c r="A882" s="200"/>
    </row>
    <row r="883">
      <c r="A883" s="200"/>
    </row>
    <row r="884">
      <c r="A884" s="200"/>
    </row>
    <row r="885">
      <c r="A885" s="200"/>
    </row>
    <row r="886">
      <c r="A886" s="200"/>
    </row>
    <row r="887">
      <c r="A887" s="200"/>
    </row>
    <row r="888">
      <c r="A888" s="200"/>
    </row>
    <row r="889">
      <c r="A889" s="200"/>
    </row>
    <row r="890">
      <c r="A890" s="200"/>
    </row>
    <row r="891">
      <c r="A891" s="200"/>
    </row>
    <row r="892">
      <c r="A892" s="200"/>
    </row>
    <row r="893">
      <c r="A893" s="200"/>
    </row>
    <row r="894">
      <c r="A894" s="200"/>
    </row>
    <row r="895">
      <c r="A895" s="200"/>
    </row>
    <row r="896">
      <c r="A896" s="200"/>
    </row>
    <row r="897">
      <c r="A897" s="200"/>
    </row>
    <row r="898">
      <c r="A898" s="200"/>
    </row>
    <row r="899">
      <c r="A899" s="200"/>
    </row>
    <row r="900">
      <c r="A900" s="200"/>
    </row>
    <row r="901">
      <c r="A901" s="200"/>
    </row>
    <row r="902">
      <c r="A902" s="200"/>
    </row>
    <row r="903">
      <c r="A903" s="200"/>
    </row>
    <row r="904">
      <c r="A904" s="200"/>
    </row>
    <row r="905">
      <c r="A905" s="200"/>
    </row>
    <row r="906">
      <c r="A906" s="200"/>
    </row>
    <row r="907">
      <c r="A907" s="200"/>
    </row>
    <row r="908">
      <c r="A908" s="200"/>
    </row>
    <row r="909">
      <c r="A909" s="200"/>
    </row>
    <row r="910">
      <c r="A910" s="200"/>
    </row>
    <row r="911">
      <c r="A911" s="200"/>
    </row>
    <row r="912">
      <c r="A912" s="200"/>
    </row>
    <row r="913">
      <c r="A913" s="200"/>
    </row>
    <row r="914">
      <c r="A914" s="200"/>
    </row>
    <row r="915">
      <c r="A915" s="200"/>
    </row>
    <row r="916">
      <c r="A916" s="200"/>
    </row>
    <row r="917">
      <c r="A917" s="200"/>
    </row>
    <row r="918">
      <c r="A918" s="200"/>
    </row>
    <row r="919">
      <c r="A919" s="200"/>
    </row>
    <row r="920">
      <c r="A920" s="200"/>
    </row>
    <row r="921">
      <c r="A921" s="200"/>
    </row>
    <row r="922">
      <c r="A922" s="200"/>
    </row>
    <row r="923">
      <c r="A923" s="200"/>
    </row>
    <row r="924">
      <c r="A924" s="200"/>
    </row>
    <row r="925">
      <c r="A925" s="200"/>
    </row>
    <row r="926">
      <c r="A926" s="200"/>
    </row>
    <row r="927">
      <c r="A927" s="200"/>
    </row>
    <row r="928">
      <c r="A928" s="200"/>
    </row>
    <row r="929">
      <c r="A929" s="200"/>
    </row>
    <row r="930">
      <c r="A930" s="200"/>
    </row>
    <row r="931">
      <c r="A931" s="200"/>
    </row>
    <row r="932">
      <c r="A932" s="200"/>
    </row>
    <row r="933">
      <c r="A933" s="200"/>
    </row>
    <row r="934">
      <c r="A934" s="200"/>
    </row>
    <row r="935">
      <c r="A935" s="200"/>
    </row>
    <row r="936">
      <c r="A936" s="200"/>
    </row>
    <row r="937">
      <c r="A937" s="200"/>
    </row>
    <row r="938">
      <c r="A938" s="200"/>
    </row>
    <row r="939">
      <c r="A939" s="200"/>
    </row>
    <row r="940">
      <c r="A940" s="200"/>
    </row>
    <row r="941">
      <c r="A941" s="200"/>
    </row>
    <row r="942">
      <c r="A942" s="200"/>
    </row>
    <row r="943">
      <c r="A943" s="200"/>
    </row>
    <row r="944">
      <c r="A944" s="200"/>
    </row>
    <row r="945">
      <c r="A945" s="200"/>
    </row>
    <row r="946">
      <c r="A946" s="200"/>
    </row>
    <row r="947">
      <c r="A947" s="200"/>
    </row>
    <row r="948">
      <c r="A948" s="200"/>
    </row>
    <row r="949">
      <c r="A949" s="200"/>
    </row>
    <row r="950">
      <c r="A950" s="200"/>
    </row>
    <row r="951">
      <c r="A951" s="200"/>
    </row>
    <row r="952">
      <c r="A952" s="200"/>
    </row>
    <row r="953">
      <c r="A953" s="200"/>
    </row>
    <row r="954">
      <c r="A954" s="200"/>
    </row>
    <row r="955">
      <c r="A955" s="200"/>
    </row>
    <row r="956">
      <c r="A956" s="200"/>
    </row>
    <row r="957">
      <c r="A957" s="200"/>
    </row>
    <row r="958">
      <c r="A958" s="200"/>
    </row>
    <row r="959">
      <c r="A959" s="200"/>
    </row>
    <row r="960">
      <c r="A960" s="200"/>
    </row>
    <row r="961">
      <c r="A961" s="200"/>
    </row>
    <row r="962">
      <c r="A962" s="200"/>
    </row>
    <row r="963">
      <c r="A963" s="200"/>
    </row>
    <row r="964">
      <c r="A964" s="200"/>
    </row>
    <row r="965">
      <c r="A965" s="200"/>
    </row>
    <row r="966">
      <c r="A966" s="200"/>
    </row>
    <row r="967">
      <c r="A967" s="200"/>
    </row>
    <row r="968">
      <c r="A968" s="200"/>
    </row>
    <row r="969">
      <c r="A969" s="200"/>
    </row>
    <row r="970">
      <c r="A970" s="200"/>
    </row>
    <row r="971">
      <c r="A971" s="200"/>
    </row>
    <row r="972">
      <c r="A972" s="200"/>
    </row>
    <row r="973">
      <c r="A973" s="200"/>
    </row>
    <row r="974">
      <c r="A974" s="200"/>
    </row>
    <row r="975">
      <c r="A975" s="200"/>
    </row>
    <row r="976">
      <c r="A976" s="200"/>
    </row>
    <row r="977">
      <c r="A977" s="200"/>
    </row>
    <row r="978">
      <c r="A978" s="200"/>
    </row>
    <row r="979">
      <c r="A979" s="200"/>
    </row>
    <row r="980">
      <c r="A980" s="200"/>
    </row>
    <row r="981">
      <c r="A981" s="200"/>
    </row>
    <row r="982">
      <c r="A982" s="200"/>
    </row>
    <row r="983">
      <c r="A983" s="200"/>
    </row>
    <row r="984">
      <c r="A984" s="200"/>
    </row>
    <row r="985">
      <c r="A985" s="200"/>
    </row>
    <row r="986">
      <c r="A986" s="200"/>
    </row>
    <row r="987">
      <c r="A987" s="200"/>
    </row>
    <row r="988">
      <c r="A988" s="200"/>
    </row>
    <row r="989">
      <c r="A989" s="200"/>
    </row>
    <row r="990">
      <c r="A990" s="200"/>
    </row>
    <row r="991">
      <c r="A991" s="200"/>
    </row>
    <row r="992">
      <c r="A992" s="200"/>
    </row>
    <row r="993">
      <c r="A993" s="200"/>
    </row>
    <row r="994">
      <c r="A994" s="200"/>
    </row>
    <row r="995">
      <c r="A995" s="200"/>
    </row>
    <row r="996">
      <c r="A996" s="200"/>
    </row>
    <row r="997">
      <c r="A997" s="200"/>
    </row>
  </sheetData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64D79"/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8.38"/>
    <col customWidth="1" min="10" max="10" width="21.0"/>
    <col customWidth="1" min="11" max="11" width="32.75"/>
    <col customWidth="1" min="16" max="16" width="16.0"/>
    <col customWidth="1" min="24" max="24" width="19.75"/>
    <col customWidth="1" min="26" max="26" width="17.38"/>
    <col customWidth="1" min="27" max="27" width="64.63"/>
    <col customWidth="1" min="28" max="28" width="25.88"/>
  </cols>
  <sheetData>
    <row r="1">
      <c r="A1" s="218" t="s">
        <v>9315</v>
      </c>
      <c r="C1" s="218" t="s">
        <v>41</v>
      </c>
      <c r="F1" s="218" t="s">
        <v>9316</v>
      </c>
      <c r="G1" s="218" t="s">
        <v>9317</v>
      </c>
      <c r="H1" s="218" t="s">
        <v>9318</v>
      </c>
      <c r="I1" s="218" t="s">
        <v>9319</v>
      </c>
      <c r="J1" s="218" t="s">
        <v>9320</v>
      </c>
      <c r="K1" s="219" t="s">
        <v>737</v>
      </c>
      <c r="L1" s="218" t="s">
        <v>568</v>
      </c>
      <c r="M1" s="218" t="s">
        <v>9321</v>
      </c>
      <c r="N1" s="218" t="s">
        <v>577</v>
      </c>
      <c r="O1" s="218" t="s">
        <v>9322</v>
      </c>
      <c r="P1" s="218" t="s">
        <v>9323</v>
      </c>
      <c r="Q1" s="218" t="s">
        <v>9324</v>
      </c>
      <c r="R1" s="218" t="s">
        <v>9325</v>
      </c>
      <c r="S1" s="218" t="s">
        <v>9326</v>
      </c>
      <c r="U1" s="218" t="s">
        <v>9327</v>
      </c>
      <c r="X1" s="218" t="s">
        <v>9328</v>
      </c>
      <c r="Z1" s="218" t="s">
        <v>9329</v>
      </c>
      <c r="AA1" s="218" t="s">
        <v>9330</v>
      </c>
      <c r="AB1" s="218"/>
    </row>
    <row r="2">
      <c r="A2" s="218" t="s">
        <v>9331</v>
      </c>
      <c r="C2" s="218" t="s">
        <v>9332</v>
      </c>
      <c r="F2" s="456">
        <v>43836.0</v>
      </c>
      <c r="G2" s="218">
        <v>3.0</v>
      </c>
      <c r="H2" s="218">
        <v>401091.0</v>
      </c>
      <c r="J2" s="218" t="s">
        <v>9333</v>
      </c>
      <c r="K2" s="218" t="s">
        <v>9334</v>
      </c>
      <c r="L2" s="218">
        <v>15113.0</v>
      </c>
      <c r="M2" s="218">
        <v>168098.0</v>
      </c>
      <c r="N2" s="218">
        <v>1.0E8</v>
      </c>
      <c r="O2" s="218">
        <v>319011.0</v>
      </c>
      <c r="P2" s="218" t="s">
        <v>9335</v>
      </c>
      <c r="Q2" s="222">
        <v>3.79806537E8</v>
      </c>
      <c r="R2" s="222">
        <v>3.79806537E8</v>
      </c>
      <c r="S2" s="222">
        <v>3.7864351741E8</v>
      </c>
      <c r="U2" s="222">
        <v>12895.77</v>
      </c>
      <c r="X2" s="218">
        <v>1.51132020000185E14</v>
      </c>
      <c r="AB2" t="str">
        <f t="array" ref="AB2:AB3375">VLOOKUP(C2:C3375,'Base de Dados'!$AP:$AP,1,0)</f>
        <v>#N/A</v>
      </c>
    </row>
    <row r="3">
      <c r="A3" s="218" t="s">
        <v>9331</v>
      </c>
      <c r="C3" s="218" t="s">
        <v>9336</v>
      </c>
      <c r="F3" s="456">
        <v>43836.0</v>
      </c>
      <c r="G3" s="218">
        <v>3.0</v>
      </c>
      <c r="H3" s="218">
        <v>401091.0</v>
      </c>
      <c r="J3" s="218" t="s">
        <v>9333</v>
      </c>
      <c r="K3" s="218" t="s">
        <v>9337</v>
      </c>
      <c r="L3" s="218">
        <v>15113.0</v>
      </c>
      <c r="M3" s="218">
        <v>168098.0</v>
      </c>
      <c r="N3" s="218">
        <v>1.0E8</v>
      </c>
      <c r="O3" s="218">
        <v>319016.0</v>
      </c>
      <c r="P3" s="218" t="s">
        <v>9335</v>
      </c>
      <c r="Q3" s="222">
        <v>5480604.0</v>
      </c>
      <c r="R3" s="222">
        <v>5480604.0</v>
      </c>
      <c r="S3" s="222">
        <v>5645710.2</v>
      </c>
      <c r="U3" s="222">
        <v>38834.55</v>
      </c>
      <c r="X3" s="218">
        <v>1.51132020000184E14</v>
      </c>
      <c r="AB3" t="e">
        <v>#N/A</v>
      </c>
    </row>
    <row r="4">
      <c r="A4" s="218" t="s">
        <v>9331</v>
      </c>
      <c r="C4" s="218" t="s">
        <v>9338</v>
      </c>
      <c r="F4" s="456">
        <v>43836.0</v>
      </c>
      <c r="G4" s="218">
        <v>3.0</v>
      </c>
      <c r="H4" s="218">
        <v>401091.0</v>
      </c>
      <c r="J4" s="218" t="s">
        <v>9333</v>
      </c>
      <c r="K4" s="218" t="s">
        <v>9339</v>
      </c>
      <c r="L4" s="218">
        <v>15113.0</v>
      </c>
      <c r="M4" s="218">
        <v>168098.0</v>
      </c>
      <c r="N4" s="218">
        <v>1.0E8</v>
      </c>
      <c r="O4" s="218">
        <v>319091.0</v>
      </c>
      <c r="P4" s="218" t="s">
        <v>9335</v>
      </c>
      <c r="Q4" s="222">
        <v>31680.0</v>
      </c>
      <c r="R4" s="222">
        <v>31680.0</v>
      </c>
      <c r="S4" s="222">
        <v>46713.39</v>
      </c>
      <c r="U4" s="222">
        <v>0.0</v>
      </c>
      <c r="X4" s="218">
        <v>1.51132020000183E14</v>
      </c>
      <c r="AB4" t="e">
        <v>#N/A</v>
      </c>
    </row>
    <row r="5">
      <c r="A5" s="218" t="s">
        <v>9331</v>
      </c>
      <c r="C5" s="218" t="s">
        <v>9340</v>
      </c>
      <c r="F5" s="456">
        <v>43836.0</v>
      </c>
      <c r="G5" s="218">
        <v>3.0</v>
      </c>
      <c r="H5" s="218">
        <v>401091.0</v>
      </c>
      <c r="J5" s="218" t="s">
        <v>9341</v>
      </c>
      <c r="K5" s="218" t="s">
        <v>9342</v>
      </c>
      <c r="L5" s="218">
        <v>15113.0</v>
      </c>
      <c r="M5" s="218">
        <v>168098.0</v>
      </c>
      <c r="N5" s="218">
        <v>1.0E8</v>
      </c>
      <c r="O5" s="218">
        <v>319113.0</v>
      </c>
      <c r="P5" s="218" t="s">
        <v>9335</v>
      </c>
      <c r="Q5" s="222">
        <v>68764.0</v>
      </c>
      <c r="R5" s="222">
        <v>68764.0</v>
      </c>
      <c r="S5" s="222">
        <v>35326.2</v>
      </c>
      <c r="U5" s="222">
        <v>0.0</v>
      </c>
      <c r="X5" s="218">
        <v>1.51132020000182E14</v>
      </c>
      <c r="AB5" t="e">
        <v>#N/A</v>
      </c>
    </row>
    <row r="6">
      <c r="A6" s="218" t="s">
        <v>9331</v>
      </c>
      <c r="C6" s="218" t="s">
        <v>9343</v>
      </c>
      <c r="F6" s="456">
        <v>43836.0</v>
      </c>
      <c r="G6" s="218">
        <v>3.0</v>
      </c>
      <c r="H6" s="218">
        <v>401091.0</v>
      </c>
      <c r="J6" s="218" t="s">
        <v>9344</v>
      </c>
      <c r="K6" s="218" t="s">
        <v>9342</v>
      </c>
      <c r="L6" s="218">
        <v>15113.0</v>
      </c>
      <c r="M6" s="218">
        <v>168095.0</v>
      </c>
      <c r="N6" s="218">
        <v>1.0E8</v>
      </c>
      <c r="O6" s="218">
        <v>319113.0</v>
      </c>
      <c r="P6" s="218" t="s">
        <v>9335</v>
      </c>
      <c r="Q6" s="222">
        <v>6.2263346E7</v>
      </c>
      <c r="R6" s="222">
        <v>6.2263346E7</v>
      </c>
      <c r="S6" s="222">
        <v>6.620587306E7</v>
      </c>
      <c r="U6" s="222">
        <v>1127.5</v>
      </c>
      <c r="X6" s="218">
        <v>1.51132020000181E14</v>
      </c>
      <c r="AB6" t="e">
        <v>#N/A</v>
      </c>
    </row>
    <row r="7">
      <c r="A7" s="218" t="s">
        <v>9331</v>
      </c>
      <c r="C7" s="218" t="s">
        <v>9345</v>
      </c>
      <c r="F7" s="456">
        <v>43836.0</v>
      </c>
      <c r="G7" s="218">
        <v>3.0</v>
      </c>
      <c r="H7" s="218">
        <v>401091.0</v>
      </c>
      <c r="J7" s="218" t="s">
        <v>9346</v>
      </c>
      <c r="K7" s="218" t="s">
        <v>9347</v>
      </c>
      <c r="L7" s="218">
        <v>15113.0</v>
      </c>
      <c r="M7" s="218">
        <v>168098.0</v>
      </c>
      <c r="N7" s="218">
        <v>1.0E8</v>
      </c>
      <c r="O7" s="218">
        <v>319007.0</v>
      </c>
      <c r="P7" s="218" t="s">
        <v>9335</v>
      </c>
      <c r="Q7" s="222">
        <v>2410000.0</v>
      </c>
      <c r="R7" s="222">
        <v>2410000.0</v>
      </c>
      <c r="S7" s="222">
        <v>2863729.98</v>
      </c>
      <c r="U7" s="222">
        <v>0.0</v>
      </c>
      <c r="X7" s="218">
        <v>1.51132020000186E14</v>
      </c>
      <c r="AB7" t="e">
        <v>#N/A</v>
      </c>
    </row>
    <row r="8">
      <c r="A8" s="218" t="s">
        <v>9331</v>
      </c>
      <c r="C8" s="218" t="s">
        <v>9348</v>
      </c>
      <c r="F8" s="456">
        <v>43836.0</v>
      </c>
      <c r="G8" s="218">
        <v>3.0</v>
      </c>
      <c r="H8" s="218">
        <v>401091.0</v>
      </c>
      <c r="J8" s="218" t="s">
        <v>9333</v>
      </c>
      <c r="K8" s="218" t="s">
        <v>9349</v>
      </c>
      <c r="L8" s="218">
        <v>15113.0</v>
      </c>
      <c r="M8" s="218">
        <v>168099.0</v>
      </c>
      <c r="N8" s="218">
        <v>1.56E8</v>
      </c>
      <c r="O8" s="218">
        <v>319001.0</v>
      </c>
      <c r="P8" s="218" t="s">
        <v>9335</v>
      </c>
      <c r="Q8" s="222">
        <v>5.8060131E7</v>
      </c>
      <c r="R8" s="222">
        <v>5.8060131E7</v>
      </c>
      <c r="S8" s="222">
        <v>5.82432049E7</v>
      </c>
      <c r="U8" s="222">
        <v>0.0</v>
      </c>
      <c r="X8" s="218">
        <v>1.51132020000178E14</v>
      </c>
      <c r="AB8" t="e">
        <v>#N/A</v>
      </c>
    </row>
    <row r="9">
      <c r="A9" s="218" t="s">
        <v>9331</v>
      </c>
      <c r="C9" s="218" t="s">
        <v>9350</v>
      </c>
      <c r="F9" s="456">
        <v>43836.0</v>
      </c>
      <c r="G9" s="218">
        <v>3.0</v>
      </c>
      <c r="H9" s="218">
        <v>401091.0</v>
      </c>
      <c r="J9" s="218" t="s">
        <v>9333</v>
      </c>
      <c r="K9" s="218" t="s">
        <v>9349</v>
      </c>
      <c r="L9" s="218">
        <v>15113.0</v>
      </c>
      <c r="M9" s="218">
        <v>168099.0</v>
      </c>
      <c r="N9" s="218">
        <v>1.56E8</v>
      </c>
      <c r="O9" s="218">
        <v>319003.0</v>
      </c>
      <c r="P9" s="218" t="s">
        <v>9335</v>
      </c>
      <c r="Q9" s="222">
        <v>6235214.0</v>
      </c>
      <c r="R9" s="222">
        <v>6235214.0</v>
      </c>
      <c r="S9" s="222">
        <v>6037257.23</v>
      </c>
      <c r="U9" s="222">
        <v>0.0</v>
      </c>
      <c r="X9" s="218">
        <v>1.51132020000188E14</v>
      </c>
      <c r="AB9" t="e">
        <v>#N/A</v>
      </c>
    </row>
    <row r="10">
      <c r="A10" s="218" t="s">
        <v>9331</v>
      </c>
      <c r="C10" s="218" t="s">
        <v>9351</v>
      </c>
      <c r="F10" s="456">
        <v>43836.0</v>
      </c>
      <c r="G10" s="218">
        <v>3.0</v>
      </c>
      <c r="H10" s="218">
        <v>401091.0</v>
      </c>
      <c r="J10" s="218" t="s">
        <v>9333</v>
      </c>
      <c r="K10" s="218" t="s">
        <v>9352</v>
      </c>
      <c r="L10" s="218">
        <v>15113.0</v>
      </c>
      <c r="M10" s="218">
        <v>168099.0</v>
      </c>
      <c r="N10" s="218">
        <v>1.56E8</v>
      </c>
      <c r="O10" s="218">
        <v>319091.0</v>
      </c>
      <c r="P10" s="218" t="s">
        <v>9335</v>
      </c>
      <c r="Q10" s="222">
        <v>240948.0</v>
      </c>
      <c r="R10" s="222">
        <v>240948.0</v>
      </c>
      <c r="S10" s="222">
        <v>249793.35</v>
      </c>
      <c r="U10" s="222">
        <v>0.0</v>
      </c>
      <c r="X10" s="218">
        <v>1.51132020000187E14</v>
      </c>
      <c r="AB10" t="e">
        <v>#N/A</v>
      </c>
    </row>
    <row r="11">
      <c r="A11" s="218" t="s">
        <v>9331</v>
      </c>
      <c r="C11" s="218" t="s">
        <v>9353</v>
      </c>
      <c r="F11" s="456">
        <v>43836.0</v>
      </c>
      <c r="G11" s="218">
        <v>3.0</v>
      </c>
      <c r="H11" s="218">
        <v>401091.0</v>
      </c>
      <c r="J11" s="218" t="s">
        <v>9333</v>
      </c>
      <c r="K11" s="218" t="s">
        <v>9349</v>
      </c>
      <c r="L11" s="218">
        <v>15113.0</v>
      </c>
      <c r="M11" s="218">
        <v>168099.0</v>
      </c>
      <c r="N11" s="218">
        <v>1.69E8</v>
      </c>
      <c r="O11" s="218">
        <v>319001.0</v>
      </c>
      <c r="P11" s="218" t="s">
        <v>9335</v>
      </c>
      <c r="Q11" s="222">
        <v>1.11220262E8</v>
      </c>
      <c r="R11" s="222">
        <v>1.11220262E8</v>
      </c>
      <c r="S11" s="222">
        <v>1.6934579983E8</v>
      </c>
      <c r="U11" s="222">
        <v>0.0</v>
      </c>
      <c r="X11" s="218">
        <v>1.51132020000179E14</v>
      </c>
      <c r="AB11" t="e">
        <v>#N/A</v>
      </c>
    </row>
    <row r="12">
      <c r="A12" s="218" t="s">
        <v>9331</v>
      </c>
      <c r="C12" s="218" t="s">
        <v>9354</v>
      </c>
      <c r="F12" s="456">
        <v>43836.0</v>
      </c>
      <c r="G12" s="218">
        <v>3.0</v>
      </c>
      <c r="H12" s="218">
        <v>401091.0</v>
      </c>
      <c r="J12" s="218" t="s">
        <v>9333</v>
      </c>
      <c r="K12" s="218" t="s">
        <v>9355</v>
      </c>
      <c r="L12" s="218">
        <v>15113.0</v>
      </c>
      <c r="M12" s="218">
        <v>168099.0</v>
      </c>
      <c r="N12" s="218">
        <v>1.69E8</v>
      </c>
      <c r="O12" s="218">
        <v>319003.0</v>
      </c>
      <c r="P12" s="218" t="s">
        <v>9335</v>
      </c>
      <c r="Q12" s="222">
        <v>1.1449545E7</v>
      </c>
      <c r="R12" s="222">
        <v>1.1449545E7</v>
      </c>
      <c r="S12" s="222">
        <v>1.649426705E7</v>
      </c>
      <c r="U12" s="222">
        <v>0.0</v>
      </c>
      <c r="X12" s="218">
        <v>1.51132020000188E14</v>
      </c>
      <c r="AB12" t="e">
        <v>#N/A</v>
      </c>
    </row>
    <row r="13">
      <c r="A13" s="218" t="s">
        <v>9331</v>
      </c>
      <c r="C13" s="218" t="s">
        <v>9356</v>
      </c>
      <c r="F13" s="456">
        <v>43836.0</v>
      </c>
      <c r="G13" s="218">
        <v>3.0</v>
      </c>
      <c r="H13" s="218">
        <v>401091.0</v>
      </c>
      <c r="J13" s="218" t="s">
        <v>9333</v>
      </c>
      <c r="K13" s="218" t="s">
        <v>9352</v>
      </c>
      <c r="L13" s="218">
        <v>15113.0</v>
      </c>
      <c r="M13" s="218">
        <v>168099.0</v>
      </c>
      <c r="N13" s="218">
        <v>1.69E8</v>
      </c>
      <c r="O13" s="218">
        <v>319091.0</v>
      </c>
      <c r="P13" s="218" t="s">
        <v>9335</v>
      </c>
      <c r="Q13" s="222">
        <v>481896.0</v>
      </c>
      <c r="R13" s="222">
        <v>481896.0</v>
      </c>
      <c r="S13" s="222">
        <v>924153.05</v>
      </c>
      <c r="U13" s="222">
        <v>0.0</v>
      </c>
      <c r="X13" s="218">
        <v>1.51132020000187E14</v>
      </c>
      <c r="AB13" t="e">
        <v>#N/A</v>
      </c>
    </row>
    <row r="14">
      <c r="A14" s="218" t="s">
        <v>9331</v>
      </c>
      <c r="C14" s="218" t="s">
        <v>9357</v>
      </c>
      <c r="F14" s="457">
        <v>43836.0</v>
      </c>
      <c r="G14" s="218">
        <v>3.0</v>
      </c>
      <c r="H14" s="218">
        <v>401091.0</v>
      </c>
      <c r="J14" s="218" t="s">
        <v>9333</v>
      </c>
      <c r="K14" s="218" t="s">
        <v>9358</v>
      </c>
      <c r="L14" s="218">
        <v>15113.0</v>
      </c>
      <c r="M14" s="218">
        <v>168100.0</v>
      </c>
      <c r="N14" s="218">
        <v>1.0E8</v>
      </c>
      <c r="O14" s="218">
        <v>339008.0</v>
      </c>
      <c r="P14" s="218" t="s">
        <v>9335</v>
      </c>
      <c r="Q14" s="222">
        <v>2091120.0</v>
      </c>
      <c r="R14" s="222">
        <v>2091120.0</v>
      </c>
      <c r="S14" s="222">
        <v>2297255.64</v>
      </c>
      <c r="U14" s="222">
        <v>0.0</v>
      </c>
      <c r="X14" s="218">
        <v>1.51132020000191E14</v>
      </c>
      <c r="AB14" t="e">
        <v>#N/A</v>
      </c>
    </row>
    <row r="15">
      <c r="A15" s="218" t="s">
        <v>9331</v>
      </c>
      <c r="C15" s="218" t="s">
        <v>9359</v>
      </c>
      <c r="F15" s="456">
        <v>43836.0</v>
      </c>
      <c r="G15" s="218">
        <v>3.0</v>
      </c>
      <c r="H15" s="218">
        <v>401091.0</v>
      </c>
      <c r="J15" s="218" t="s">
        <v>9333</v>
      </c>
      <c r="K15" s="218" t="s">
        <v>9360</v>
      </c>
      <c r="L15" s="218">
        <v>15113.0</v>
      </c>
      <c r="M15" s="218">
        <v>168103.0</v>
      </c>
      <c r="N15" s="218">
        <v>1.0E8</v>
      </c>
      <c r="O15" s="218">
        <v>339046.0</v>
      </c>
      <c r="P15" s="218" t="s">
        <v>9335</v>
      </c>
      <c r="Q15" s="222">
        <v>1.8852948E7</v>
      </c>
      <c r="R15" s="222">
        <v>1.8852948E7</v>
      </c>
      <c r="S15" s="222">
        <v>1.674791831E7</v>
      </c>
      <c r="U15" s="222">
        <v>0.0</v>
      </c>
      <c r="X15" s="218">
        <v>1.5113202000019E14</v>
      </c>
      <c r="AB15" t="e">
        <v>#N/A</v>
      </c>
    </row>
    <row r="16">
      <c r="A16" s="218" t="s">
        <v>9331</v>
      </c>
      <c r="C16" s="218" t="s">
        <v>9361</v>
      </c>
      <c r="F16" s="456">
        <v>43836.0</v>
      </c>
      <c r="G16" s="218">
        <v>3.0</v>
      </c>
      <c r="H16" s="218">
        <v>401091.0</v>
      </c>
      <c r="J16" s="218" t="s">
        <v>9333</v>
      </c>
      <c r="K16" s="218" t="s">
        <v>9362</v>
      </c>
      <c r="L16" s="218">
        <v>15113.0</v>
      </c>
      <c r="M16" s="218">
        <v>168102.0</v>
      </c>
      <c r="N16" s="218">
        <v>1.0E8</v>
      </c>
      <c r="O16" s="218">
        <v>339049.0</v>
      </c>
      <c r="P16" s="218" t="s">
        <v>9335</v>
      </c>
      <c r="Q16" s="222">
        <v>15411.0</v>
      </c>
      <c r="R16" s="222">
        <v>15411.0</v>
      </c>
      <c r="S16" s="222">
        <v>2746.3</v>
      </c>
      <c r="U16" s="222">
        <v>0.0</v>
      </c>
      <c r="X16" s="218">
        <v>1.51132020000189E14</v>
      </c>
      <c r="AB16" t="e">
        <v>#N/A</v>
      </c>
    </row>
    <row r="17">
      <c r="A17" s="218" t="s">
        <v>9331</v>
      </c>
      <c r="C17" s="218" t="s">
        <v>9363</v>
      </c>
      <c r="F17" s="456">
        <v>43836.0</v>
      </c>
      <c r="G17" s="218">
        <v>3.0</v>
      </c>
      <c r="H17" s="218">
        <v>401091.0</v>
      </c>
      <c r="J17" s="218" t="s">
        <v>9333</v>
      </c>
      <c r="K17" s="218" t="s">
        <v>9364</v>
      </c>
      <c r="L17" s="218">
        <v>15113.0</v>
      </c>
      <c r="M17" s="218">
        <v>168104.0</v>
      </c>
      <c r="N17" s="218">
        <v>1.0E8</v>
      </c>
      <c r="O17" s="218">
        <v>339008.0</v>
      </c>
      <c r="P17" s="218" t="s">
        <v>9335</v>
      </c>
      <c r="Q17" s="222">
        <v>201084.0</v>
      </c>
      <c r="R17" s="222">
        <v>201084.0</v>
      </c>
      <c r="S17" s="222">
        <v>294915.65</v>
      </c>
      <c r="U17" s="222">
        <v>0.0</v>
      </c>
      <c r="X17" s="218">
        <v>1.51132020000192E14</v>
      </c>
      <c r="AB17" t="e">
        <v>#N/A</v>
      </c>
    </row>
    <row r="18">
      <c r="A18" s="218" t="s">
        <v>9331</v>
      </c>
      <c r="C18" s="218" t="s">
        <v>9365</v>
      </c>
      <c r="F18" s="456">
        <v>43836.0</v>
      </c>
      <c r="G18" s="218">
        <v>3.0</v>
      </c>
      <c r="H18" s="218">
        <v>401091.0</v>
      </c>
      <c r="J18" s="218" t="s">
        <v>9333</v>
      </c>
      <c r="K18" s="218" t="s">
        <v>9366</v>
      </c>
      <c r="L18" s="218">
        <v>15113.0</v>
      </c>
      <c r="M18" s="218">
        <v>168101.0</v>
      </c>
      <c r="N18" s="218">
        <v>1.51E8</v>
      </c>
      <c r="O18" s="218">
        <v>339093.0</v>
      </c>
      <c r="P18" s="218" t="s">
        <v>9335</v>
      </c>
      <c r="Q18" s="222">
        <v>1.1206247E7</v>
      </c>
      <c r="R18" s="222">
        <v>1.1206247E7</v>
      </c>
      <c r="S18" s="222">
        <v>1.13751869E7</v>
      </c>
      <c r="U18" s="222">
        <v>1458.14</v>
      </c>
      <c r="X18" s="218">
        <v>1.51132020000173E14</v>
      </c>
      <c r="AB18" t="e">
        <v>#N/A</v>
      </c>
    </row>
    <row r="19">
      <c r="A19" s="218" t="s">
        <v>9331</v>
      </c>
      <c r="C19" s="218" t="s">
        <v>9367</v>
      </c>
      <c r="F19" s="456">
        <v>43836.0</v>
      </c>
      <c r="G19" s="218">
        <v>3.0</v>
      </c>
      <c r="H19" s="218">
        <v>401091.0</v>
      </c>
      <c r="J19" s="218" t="s">
        <v>9333</v>
      </c>
      <c r="K19" s="218" t="s">
        <v>9368</v>
      </c>
      <c r="L19" s="218">
        <v>15113.0</v>
      </c>
      <c r="M19" s="218">
        <v>168101.0</v>
      </c>
      <c r="N19" s="218">
        <v>1.51E8</v>
      </c>
      <c r="O19" s="218">
        <v>339039.0</v>
      </c>
      <c r="P19" s="218" t="s">
        <v>9335</v>
      </c>
      <c r="Q19" s="222">
        <v>2801561.0</v>
      </c>
      <c r="R19" s="222">
        <v>2801561.0</v>
      </c>
      <c r="S19" s="222">
        <v>0.0</v>
      </c>
      <c r="U19" s="222">
        <v>0.0</v>
      </c>
      <c r="X19" s="218">
        <v>1.51132020000175E14</v>
      </c>
      <c r="AB19" t="e">
        <v>#N/A</v>
      </c>
    </row>
    <row r="20">
      <c r="A20" s="218" t="s">
        <v>9331</v>
      </c>
      <c r="C20" s="218" t="s">
        <v>9369</v>
      </c>
      <c r="F20" s="456">
        <v>43837.0</v>
      </c>
      <c r="G20" s="218">
        <v>3.0</v>
      </c>
      <c r="H20" s="218">
        <v>401091.0</v>
      </c>
      <c r="J20" s="218" t="s">
        <v>9344</v>
      </c>
      <c r="K20" s="218" t="s">
        <v>9370</v>
      </c>
      <c r="L20" s="218">
        <v>15113.0</v>
      </c>
      <c r="M20" s="218">
        <v>168095.0</v>
      </c>
      <c r="N20" s="218">
        <v>1.0E8</v>
      </c>
      <c r="O20" s="218">
        <v>319192.0</v>
      </c>
      <c r="P20" s="218" t="s">
        <v>9335</v>
      </c>
      <c r="Q20" s="222">
        <v>12668.36</v>
      </c>
      <c r="R20" s="222">
        <v>12668.36</v>
      </c>
      <c r="S20" s="222">
        <v>12596.28</v>
      </c>
      <c r="U20" s="222">
        <v>0.0</v>
      </c>
      <c r="X20" s="218">
        <v>1.51132020000181E14</v>
      </c>
      <c r="AB20" t="e">
        <v>#N/A</v>
      </c>
    </row>
    <row r="21">
      <c r="A21" s="218" t="s">
        <v>9371</v>
      </c>
      <c r="C21" s="218" t="s">
        <v>9372</v>
      </c>
      <c r="F21" s="456">
        <v>43840.0</v>
      </c>
      <c r="G21" s="218">
        <v>3.0</v>
      </c>
      <c r="H21" s="218">
        <v>401091.0</v>
      </c>
      <c r="J21" s="218" t="s">
        <v>9333</v>
      </c>
      <c r="K21" s="218" t="s">
        <v>9373</v>
      </c>
      <c r="L21" s="218">
        <v>15113.0</v>
      </c>
      <c r="M21" s="218">
        <v>168108.0</v>
      </c>
      <c r="N21" s="218">
        <v>1.0E8</v>
      </c>
      <c r="O21" s="218">
        <v>339036.0</v>
      </c>
      <c r="P21" s="218" t="s">
        <v>9374</v>
      </c>
      <c r="Q21" s="222">
        <v>10000.0</v>
      </c>
      <c r="R21" s="222">
        <v>10000.0</v>
      </c>
      <c r="S21" s="222">
        <v>908.38</v>
      </c>
      <c r="U21" s="222">
        <v>0.0</v>
      </c>
      <c r="X21" s="218">
        <v>1.51132020000067E14</v>
      </c>
      <c r="AB21" t="e">
        <v>#N/A</v>
      </c>
    </row>
    <row r="22">
      <c r="A22" s="218" t="s">
        <v>9371</v>
      </c>
      <c r="C22" s="218" t="s">
        <v>9375</v>
      </c>
      <c r="F22" s="456">
        <v>43840.0</v>
      </c>
      <c r="G22" s="218">
        <v>3.0</v>
      </c>
      <c r="H22" s="218">
        <v>401091.0</v>
      </c>
      <c r="J22" s="218" t="s">
        <v>9333</v>
      </c>
      <c r="K22" s="218" t="s">
        <v>9376</v>
      </c>
      <c r="L22" s="218">
        <v>15113.0</v>
      </c>
      <c r="M22" s="218">
        <v>168105.0</v>
      </c>
      <c r="N22" s="218">
        <v>1.0E8</v>
      </c>
      <c r="O22" s="218">
        <v>339014.0</v>
      </c>
      <c r="P22" s="218" t="s">
        <v>9374</v>
      </c>
      <c r="Q22" s="222">
        <v>30000.0</v>
      </c>
      <c r="R22" s="222">
        <v>30000.0</v>
      </c>
      <c r="S22" s="222">
        <v>123058.66</v>
      </c>
      <c r="U22" s="222">
        <v>0.0</v>
      </c>
      <c r="X22" s="218">
        <v>1.51132020000061E14</v>
      </c>
      <c r="AB22" t="e">
        <v>#N/A</v>
      </c>
    </row>
    <row r="23">
      <c r="A23" s="218" t="s">
        <v>9371</v>
      </c>
      <c r="C23" s="218" t="s">
        <v>9377</v>
      </c>
      <c r="F23" s="456">
        <v>43840.0</v>
      </c>
      <c r="G23" s="218">
        <v>3.0</v>
      </c>
      <c r="H23" s="218">
        <v>401091.0</v>
      </c>
      <c r="J23" s="218" t="s">
        <v>9333</v>
      </c>
      <c r="K23" s="218" t="s">
        <v>9378</v>
      </c>
      <c r="L23" s="218">
        <v>15113.0</v>
      </c>
      <c r="M23" s="218">
        <v>168105.0</v>
      </c>
      <c r="N23" s="218">
        <v>1.0E8</v>
      </c>
      <c r="O23" s="218">
        <v>339093.0</v>
      </c>
      <c r="P23" s="218" t="s">
        <v>9374</v>
      </c>
      <c r="Q23" s="222">
        <v>60000.0</v>
      </c>
      <c r="R23" s="222">
        <v>60000.0</v>
      </c>
      <c r="S23" s="222">
        <v>1186853.52</v>
      </c>
      <c r="U23" s="222">
        <v>38923.13</v>
      </c>
      <c r="X23" s="218">
        <v>1.51132020000056E14</v>
      </c>
      <c r="AB23" t="e">
        <v>#N/A</v>
      </c>
    </row>
    <row r="24">
      <c r="A24" s="218" t="s">
        <v>9371</v>
      </c>
      <c r="C24" s="218" t="s">
        <v>9379</v>
      </c>
      <c r="F24" s="456">
        <v>43840.0</v>
      </c>
      <c r="G24" s="218">
        <v>3.0</v>
      </c>
      <c r="H24" s="218">
        <v>401091.0</v>
      </c>
      <c r="J24" s="218" t="s">
        <v>9333</v>
      </c>
      <c r="K24" s="218" t="s">
        <v>9380</v>
      </c>
      <c r="L24" s="218">
        <v>15113.0</v>
      </c>
      <c r="M24" s="218">
        <v>168105.0</v>
      </c>
      <c r="N24" s="218">
        <v>1.0E8</v>
      </c>
      <c r="O24" s="218">
        <v>339036.0</v>
      </c>
      <c r="P24" s="218" t="s">
        <v>9374</v>
      </c>
      <c r="Q24" s="222">
        <v>15000.0</v>
      </c>
      <c r="R24" s="222">
        <v>15000.0</v>
      </c>
      <c r="S24" s="222">
        <v>111002.03</v>
      </c>
      <c r="U24" s="222">
        <v>0.0</v>
      </c>
      <c r="X24" s="218">
        <v>1.51132020000203E14</v>
      </c>
      <c r="AB24" t="e">
        <v>#N/A</v>
      </c>
    </row>
    <row r="25">
      <c r="A25" s="218" t="s">
        <v>9371</v>
      </c>
      <c r="C25" s="218" t="s">
        <v>9381</v>
      </c>
      <c r="F25" s="456">
        <v>43840.0</v>
      </c>
      <c r="G25" s="218">
        <v>3.0</v>
      </c>
      <c r="H25" s="218">
        <v>401091.0</v>
      </c>
      <c r="J25" s="218" t="s">
        <v>9333</v>
      </c>
      <c r="K25" s="218" t="s">
        <v>9382</v>
      </c>
      <c r="L25" s="218">
        <v>15113.0</v>
      </c>
      <c r="M25" s="218">
        <v>168105.0</v>
      </c>
      <c r="N25" s="218">
        <v>1.0E8</v>
      </c>
      <c r="O25" s="218">
        <v>339049.0</v>
      </c>
      <c r="P25" s="218" t="s">
        <v>9374</v>
      </c>
      <c r="Q25" s="222">
        <v>3000.0</v>
      </c>
      <c r="R25" s="222">
        <v>3000.0</v>
      </c>
      <c r="S25" s="222">
        <v>6640.0</v>
      </c>
      <c r="U25" s="222">
        <v>0.0</v>
      </c>
      <c r="X25" s="218">
        <v>1.51132020000203E14</v>
      </c>
      <c r="AB25" t="e">
        <v>#N/A</v>
      </c>
    </row>
    <row r="26">
      <c r="A26" s="218" t="s">
        <v>9371</v>
      </c>
      <c r="C26" s="218" t="s">
        <v>9383</v>
      </c>
      <c r="F26" s="456">
        <v>43840.0</v>
      </c>
      <c r="G26" s="218">
        <v>3.0</v>
      </c>
      <c r="H26" s="218">
        <v>401091.0</v>
      </c>
      <c r="J26" s="218" t="s">
        <v>9333</v>
      </c>
      <c r="K26" s="218" t="s">
        <v>9384</v>
      </c>
      <c r="L26" s="218">
        <v>15113.0</v>
      </c>
      <c r="M26" s="218">
        <v>168097.0</v>
      </c>
      <c r="N26" s="218">
        <v>1.0E8</v>
      </c>
      <c r="O26" s="218">
        <v>339036.0</v>
      </c>
      <c r="P26" s="218" t="s">
        <v>9374</v>
      </c>
      <c r="Q26" s="222">
        <v>5833333.0</v>
      </c>
      <c r="R26" s="222">
        <v>5833333.0</v>
      </c>
      <c r="S26" s="222">
        <v>3658841.25</v>
      </c>
      <c r="U26" s="222">
        <v>460033.52</v>
      </c>
      <c r="X26" s="218">
        <v>1.51132020000063E14</v>
      </c>
      <c r="AB26" t="e">
        <v>#N/A</v>
      </c>
    </row>
    <row r="27">
      <c r="A27" s="218" t="s">
        <v>9371</v>
      </c>
      <c r="C27" s="218" t="s">
        <v>9385</v>
      </c>
      <c r="F27" s="456">
        <v>43840.0</v>
      </c>
      <c r="G27" s="218">
        <v>3.0</v>
      </c>
      <c r="H27" s="218">
        <v>401091.0</v>
      </c>
      <c r="J27" s="218" t="s">
        <v>9341</v>
      </c>
      <c r="K27" s="218" t="s">
        <v>9386</v>
      </c>
      <c r="L27" s="218">
        <v>15113.0</v>
      </c>
      <c r="M27" s="218">
        <v>168097.0</v>
      </c>
      <c r="N27" s="218">
        <v>1.0E8</v>
      </c>
      <c r="O27" s="218">
        <v>339147.0</v>
      </c>
      <c r="P27" s="218" t="s">
        <v>9374</v>
      </c>
      <c r="Q27" s="222">
        <v>1166667.0</v>
      </c>
      <c r="R27" s="222">
        <v>1166667.0</v>
      </c>
      <c r="S27" s="222">
        <v>591158.75</v>
      </c>
      <c r="U27" s="222">
        <v>90980.28</v>
      </c>
      <c r="X27" s="218">
        <v>1.51132020000062E14</v>
      </c>
      <c r="AB27" t="e">
        <v>#N/A</v>
      </c>
    </row>
    <row r="28">
      <c r="A28" s="218" t="s">
        <v>9371</v>
      </c>
      <c r="C28" s="218" t="s">
        <v>9387</v>
      </c>
      <c r="F28" s="456">
        <v>43840.0</v>
      </c>
      <c r="G28" s="218">
        <v>3.0</v>
      </c>
      <c r="H28" s="218">
        <v>401091.0</v>
      </c>
      <c r="J28" s="218" t="s">
        <v>9333</v>
      </c>
      <c r="K28" s="218" t="s">
        <v>9388</v>
      </c>
      <c r="L28" s="218">
        <v>15113.0</v>
      </c>
      <c r="M28" s="218">
        <v>168105.0</v>
      </c>
      <c r="N28" s="218">
        <v>1.0E8</v>
      </c>
      <c r="O28" s="218">
        <v>339030.0</v>
      </c>
      <c r="P28" s="218" t="s">
        <v>9374</v>
      </c>
      <c r="Q28" s="222">
        <v>20000.0</v>
      </c>
      <c r="R28" s="222">
        <v>20000.0</v>
      </c>
      <c r="S28" s="222">
        <v>20223.37</v>
      </c>
      <c r="U28" s="222">
        <v>0.0</v>
      </c>
      <c r="X28" s="218">
        <v>1.51132020000059E14</v>
      </c>
      <c r="AB28" t="e">
        <v>#N/A</v>
      </c>
    </row>
    <row r="29">
      <c r="A29" s="218" t="s">
        <v>9371</v>
      </c>
      <c r="C29" s="218" t="s">
        <v>9389</v>
      </c>
      <c r="F29" s="456">
        <v>43840.0</v>
      </c>
      <c r="G29" s="218">
        <v>3.0</v>
      </c>
      <c r="H29" s="218">
        <v>401091.0</v>
      </c>
      <c r="J29" s="218" t="s">
        <v>9333</v>
      </c>
      <c r="K29" s="218" t="s">
        <v>9388</v>
      </c>
      <c r="L29" s="218">
        <v>15113.0</v>
      </c>
      <c r="M29" s="218">
        <v>168105.0</v>
      </c>
      <c r="N29" s="218">
        <v>1.0E8</v>
      </c>
      <c r="O29" s="218">
        <v>339036.0</v>
      </c>
      <c r="P29" s="218" t="s">
        <v>9374</v>
      </c>
      <c r="Q29" s="222">
        <v>1000.0</v>
      </c>
      <c r="R29" s="222">
        <v>1000.0</v>
      </c>
      <c r="S29" s="222">
        <v>0.0</v>
      </c>
      <c r="U29" s="222">
        <v>0.0</v>
      </c>
      <c r="X29" s="218">
        <v>1.51132020000058E14</v>
      </c>
      <c r="AB29" t="e">
        <v>#N/A</v>
      </c>
    </row>
    <row r="30">
      <c r="A30" s="218" t="s">
        <v>9371</v>
      </c>
      <c r="C30" s="218" t="s">
        <v>9390</v>
      </c>
      <c r="F30" s="456">
        <v>43840.0</v>
      </c>
      <c r="G30" s="218">
        <v>3.0</v>
      </c>
      <c r="H30" s="218">
        <v>401091.0</v>
      </c>
      <c r="J30" s="218" t="s">
        <v>9333</v>
      </c>
      <c r="K30" s="218" t="s">
        <v>9388</v>
      </c>
      <c r="L30" s="218">
        <v>15113.0</v>
      </c>
      <c r="M30" s="218">
        <v>168105.0</v>
      </c>
      <c r="N30" s="218">
        <v>1.0E8</v>
      </c>
      <c r="O30" s="218">
        <v>339039.0</v>
      </c>
      <c r="P30" s="218" t="s">
        <v>9374</v>
      </c>
      <c r="Q30" s="222">
        <v>5000.0</v>
      </c>
      <c r="R30" s="222">
        <v>5000.0</v>
      </c>
      <c r="S30" s="222">
        <v>10645.34</v>
      </c>
      <c r="U30" s="222">
        <v>0.0</v>
      </c>
      <c r="X30" s="218">
        <v>1.51132020000057E14</v>
      </c>
      <c r="AB30" t="e">
        <v>#N/A</v>
      </c>
    </row>
    <row r="31">
      <c r="A31" s="218" t="s">
        <v>9371</v>
      </c>
      <c r="C31" s="218" t="s">
        <v>9391</v>
      </c>
      <c r="F31" s="456">
        <v>43840.0</v>
      </c>
      <c r="G31" s="218">
        <v>3.0</v>
      </c>
      <c r="H31" s="218">
        <v>401091.0</v>
      </c>
      <c r="J31" s="218" t="s">
        <v>9341</v>
      </c>
      <c r="K31" s="218" t="s">
        <v>9392</v>
      </c>
      <c r="L31" s="218">
        <v>15113.0</v>
      </c>
      <c r="M31" s="218">
        <v>168105.0</v>
      </c>
      <c r="N31" s="218">
        <v>1.0E8</v>
      </c>
      <c r="O31" s="218">
        <v>339147.0</v>
      </c>
      <c r="P31" s="218" t="s">
        <v>9374</v>
      </c>
      <c r="Q31" s="218">
        <v>200.0</v>
      </c>
      <c r="R31" s="218">
        <v>200.0</v>
      </c>
      <c r="S31" s="218">
        <v>0.0</v>
      </c>
      <c r="U31" s="218">
        <v>0.0</v>
      </c>
      <c r="X31" s="218">
        <v>1.51132020000055E14</v>
      </c>
      <c r="AB31" t="e">
        <v>#N/A</v>
      </c>
    </row>
    <row r="32">
      <c r="A32" s="218" t="s">
        <v>9371</v>
      </c>
      <c r="C32" s="218" t="s">
        <v>9393</v>
      </c>
      <c r="F32" s="456">
        <v>43840.0</v>
      </c>
      <c r="G32" s="218">
        <v>3.0</v>
      </c>
      <c r="H32" s="218">
        <v>401091.0</v>
      </c>
      <c r="J32" s="218" t="s">
        <v>9333</v>
      </c>
      <c r="K32" s="218" t="s">
        <v>9394</v>
      </c>
      <c r="L32" s="218">
        <v>15113.0</v>
      </c>
      <c r="M32" s="218">
        <v>168109.0</v>
      </c>
      <c r="N32" s="218">
        <v>1.0E8</v>
      </c>
      <c r="O32" s="218">
        <v>339014.0</v>
      </c>
      <c r="P32" s="218" t="s">
        <v>9374</v>
      </c>
      <c r="Q32" s="222">
        <v>27083.0</v>
      </c>
      <c r="R32" s="222">
        <v>27083.0</v>
      </c>
      <c r="S32" s="222">
        <v>1977.17</v>
      </c>
      <c r="U32" s="222">
        <v>0.0</v>
      </c>
      <c r="X32" s="218">
        <v>1.51132020000053E14</v>
      </c>
      <c r="AB32" t="e">
        <v>#N/A</v>
      </c>
    </row>
    <row r="33">
      <c r="A33" s="218" t="s">
        <v>9371</v>
      </c>
      <c r="C33" s="218" t="s">
        <v>9395</v>
      </c>
      <c r="F33" s="456">
        <v>43840.0</v>
      </c>
      <c r="G33" s="218">
        <v>3.0</v>
      </c>
      <c r="H33" s="218">
        <v>401091.0</v>
      </c>
      <c r="J33" s="218" t="s">
        <v>9333</v>
      </c>
      <c r="K33" s="218" t="s">
        <v>9396</v>
      </c>
      <c r="L33" s="218">
        <v>15113.0</v>
      </c>
      <c r="M33" s="218">
        <v>168109.0</v>
      </c>
      <c r="N33" s="218">
        <v>1.0E8</v>
      </c>
      <c r="O33" s="218">
        <v>339093.0</v>
      </c>
      <c r="P33" s="218" t="s">
        <v>9374</v>
      </c>
      <c r="Q33" s="222">
        <v>5000.0</v>
      </c>
      <c r="R33" s="222">
        <v>5000.0</v>
      </c>
      <c r="S33" s="222">
        <v>338.12</v>
      </c>
      <c r="U33" s="222">
        <v>0.0</v>
      </c>
      <c r="X33" s="218">
        <v>1.51132020000045E14</v>
      </c>
      <c r="AB33" t="e">
        <v>#N/A</v>
      </c>
    </row>
    <row r="34">
      <c r="A34" s="218" t="s">
        <v>9371</v>
      </c>
      <c r="C34" s="218" t="s">
        <v>9397</v>
      </c>
      <c r="F34" s="456">
        <v>43840.0</v>
      </c>
      <c r="G34" s="218">
        <v>0.0</v>
      </c>
      <c r="H34" s="218">
        <v>401093.0</v>
      </c>
      <c r="I34" s="218" t="s">
        <v>9367</v>
      </c>
      <c r="J34" s="218" t="s">
        <v>9333</v>
      </c>
      <c r="K34" s="218" t="s">
        <v>9398</v>
      </c>
      <c r="L34" s="218">
        <v>15113.0</v>
      </c>
      <c r="M34" s="218">
        <v>168101.0</v>
      </c>
      <c r="N34" s="218">
        <v>1.51E8</v>
      </c>
      <c r="O34" s="218">
        <v>339039.0</v>
      </c>
      <c r="P34" s="218" t="s">
        <v>9374</v>
      </c>
      <c r="Q34" s="222">
        <v>2801561.0</v>
      </c>
      <c r="R34" s="222">
        <v>-2801561.0</v>
      </c>
      <c r="S34" s="218">
        <v>0.0</v>
      </c>
      <c r="U34" s="218">
        <v>0.0</v>
      </c>
      <c r="X34" s="218"/>
      <c r="AB34" t="e">
        <v>#N/A</v>
      </c>
    </row>
    <row r="35">
      <c r="A35" s="218" t="s">
        <v>459</v>
      </c>
      <c r="C35" s="218" t="s">
        <v>9399</v>
      </c>
      <c r="F35" s="456">
        <v>43840.0</v>
      </c>
      <c r="G35" s="218">
        <v>3.0</v>
      </c>
      <c r="H35" s="218">
        <v>401091.0</v>
      </c>
      <c r="J35" s="218" t="s">
        <v>9400</v>
      </c>
      <c r="K35" s="218" t="s">
        <v>9401</v>
      </c>
      <c r="L35" s="218">
        <v>15113.0</v>
      </c>
      <c r="M35" s="218">
        <v>168101.0</v>
      </c>
      <c r="N35" s="218">
        <v>1.51E8</v>
      </c>
      <c r="O35" s="218">
        <v>339039.0</v>
      </c>
      <c r="P35" s="218" t="s">
        <v>9374</v>
      </c>
      <c r="Q35" s="222">
        <v>2801561.0</v>
      </c>
      <c r="R35" s="222">
        <v>2801561.0</v>
      </c>
      <c r="S35" s="222">
        <v>2520014.09</v>
      </c>
      <c r="U35" s="222">
        <v>57269.42</v>
      </c>
      <c r="X35" s="218">
        <v>1.51132020000175E14</v>
      </c>
      <c r="AB35" t="e">
        <v>#N/A</v>
      </c>
    </row>
    <row r="36">
      <c r="A36" s="218" t="s">
        <v>781</v>
      </c>
      <c r="C36" s="218" t="s">
        <v>9402</v>
      </c>
      <c r="F36" s="456">
        <v>43840.0</v>
      </c>
      <c r="G36" s="218">
        <v>1.0</v>
      </c>
      <c r="H36" s="218">
        <v>401091.0</v>
      </c>
      <c r="J36" s="218" t="s">
        <v>9403</v>
      </c>
      <c r="K36" s="218" t="s">
        <v>9404</v>
      </c>
      <c r="L36" s="218">
        <v>15113.0</v>
      </c>
      <c r="M36" s="218">
        <v>168105.0</v>
      </c>
      <c r="N36" s="218">
        <v>1.0E8</v>
      </c>
      <c r="O36" s="218">
        <v>339092.0</v>
      </c>
      <c r="P36" s="218" t="s">
        <v>9405</v>
      </c>
      <c r="Q36" s="222">
        <v>575.59</v>
      </c>
      <c r="R36" s="222">
        <v>575.59</v>
      </c>
      <c r="S36" s="222">
        <v>575.59</v>
      </c>
      <c r="U36" s="222">
        <v>0.0</v>
      </c>
      <c r="X36" s="218">
        <v>1.5113202000017E14</v>
      </c>
      <c r="AB36" t="e">
        <v>#N/A</v>
      </c>
    </row>
    <row r="37">
      <c r="A37" s="218" t="s">
        <v>781</v>
      </c>
      <c r="C37" s="218" t="s">
        <v>9406</v>
      </c>
      <c r="F37" s="456">
        <v>43840.0</v>
      </c>
      <c r="G37" s="218">
        <v>1.0</v>
      </c>
      <c r="H37" s="218">
        <v>401091.0</v>
      </c>
      <c r="J37" s="218" t="s">
        <v>9407</v>
      </c>
      <c r="K37" s="218" t="s">
        <v>9408</v>
      </c>
      <c r="L37" s="218">
        <v>15113.0</v>
      </c>
      <c r="M37" s="218">
        <v>168105.0</v>
      </c>
      <c r="N37" s="218">
        <v>1.0E8</v>
      </c>
      <c r="O37" s="218">
        <v>339092.0</v>
      </c>
      <c r="P37" s="218" t="s">
        <v>9409</v>
      </c>
      <c r="Q37" s="222">
        <v>226.69</v>
      </c>
      <c r="R37" s="222">
        <v>226.69</v>
      </c>
      <c r="S37" s="222">
        <v>226.69</v>
      </c>
      <c r="U37" s="222">
        <v>0.0</v>
      </c>
      <c r="X37" s="218">
        <v>1.51132020000157E14</v>
      </c>
      <c r="AB37" t="e">
        <v>#N/A</v>
      </c>
    </row>
    <row r="38">
      <c r="A38" s="218" t="s">
        <v>781</v>
      </c>
      <c r="C38" s="218" t="s">
        <v>9410</v>
      </c>
      <c r="F38" s="456">
        <v>43840.0</v>
      </c>
      <c r="G38" s="218">
        <v>1.0</v>
      </c>
      <c r="H38" s="218">
        <v>401091.0</v>
      </c>
      <c r="J38" s="218" t="s">
        <v>9411</v>
      </c>
      <c r="K38" s="218" t="s">
        <v>9412</v>
      </c>
      <c r="L38" s="218">
        <v>15113.0</v>
      </c>
      <c r="M38" s="218">
        <v>168105.0</v>
      </c>
      <c r="N38" s="218">
        <v>1.0E8</v>
      </c>
      <c r="O38" s="218">
        <v>339092.0</v>
      </c>
      <c r="P38" s="218" t="s">
        <v>9413</v>
      </c>
      <c r="Q38" s="222">
        <v>3445.99</v>
      </c>
      <c r="R38" s="222">
        <v>3445.99</v>
      </c>
      <c r="S38" s="222">
        <v>3445.99</v>
      </c>
      <c r="U38" s="222">
        <v>0.0</v>
      </c>
      <c r="X38" s="218">
        <v>1.51132020000115E14</v>
      </c>
      <c r="AB38" t="e">
        <v>#N/A</v>
      </c>
    </row>
    <row r="39">
      <c r="A39" s="218" t="s">
        <v>781</v>
      </c>
      <c r="C39" s="218" t="s">
        <v>9414</v>
      </c>
      <c r="F39" s="456">
        <v>43840.0</v>
      </c>
      <c r="G39" s="218">
        <v>3.0</v>
      </c>
      <c r="H39" s="218">
        <v>401091.0</v>
      </c>
      <c r="J39" s="218" t="s">
        <v>9415</v>
      </c>
      <c r="K39" s="218" t="s">
        <v>9416</v>
      </c>
      <c r="L39" s="218">
        <v>15113.0</v>
      </c>
      <c r="M39" s="218">
        <v>168105.0</v>
      </c>
      <c r="N39" s="218">
        <v>1.0E8</v>
      </c>
      <c r="O39" s="218">
        <v>339030.0</v>
      </c>
      <c r="P39" s="218" t="s">
        <v>9417</v>
      </c>
      <c r="Q39" s="222">
        <v>38552.6</v>
      </c>
      <c r="R39" s="222">
        <v>38552.6</v>
      </c>
      <c r="S39" s="222">
        <v>12552.6</v>
      </c>
      <c r="U39" s="222">
        <v>522.2</v>
      </c>
      <c r="X39" s="218">
        <v>1.51132020000128E14</v>
      </c>
      <c r="AB39" t="e">
        <v>#N/A</v>
      </c>
    </row>
    <row r="40">
      <c r="A40" s="218" t="s">
        <v>781</v>
      </c>
      <c r="C40" s="218" t="s">
        <v>9418</v>
      </c>
      <c r="F40" s="456">
        <v>43840.0</v>
      </c>
      <c r="G40" s="218">
        <v>3.0</v>
      </c>
      <c r="H40" s="218">
        <v>401091.0</v>
      </c>
      <c r="J40" s="218" t="s">
        <v>9419</v>
      </c>
      <c r="K40" s="218" t="s">
        <v>9420</v>
      </c>
      <c r="L40" s="218">
        <v>15113.0</v>
      </c>
      <c r="M40" s="218">
        <v>168105.0</v>
      </c>
      <c r="N40" s="218">
        <v>1.0E8</v>
      </c>
      <c r="O40" s="218">
        <v>339030.0</v>
      </c>
      <c r="P40" s="218" t="s">
        <v>9421</v>
      </c>
      <c r="Q40" s="222">
        <v>7100.0</v>
      </c>
      <c r="R40" s="222">
        <v>7100.0</v>
      </c>
      <c r="S40" s="222">
        <v>0.0</v>
      </c>
      <c r="U40" s="218">
        <v>0.0</v>
      </c>
      <c r="X40" s="218">
        <v>1.51132020000134E14</v>
      </c>
      <c r="AB40" t="e">
        <v>#N/A</v>
      </c>
    </row>
    <row r="41">
      <c r="A41" s="218" t="s">
        <v>781</v>
      </c>
      <c r="C41" s="218" t="s">
        <v>9422</v>
      </c>
      <c r="F41" s="456">
        <v>43840.0</v>
      </c>
      <c r="G41" s="218">
        <v>3.0</v>
      </c>
      <c r="H41" s="218">
        <v>401091.0</v>
      </c>
      <c r="J41" s="218" t="s">
        <v>9423</v>
      </c>
      <c r="K41" s="218" t="s">
        <v>9424</v>
      </c>
      <c r="L41" s="218">
        <v>15113.0</v>
      </c>
      <c r="M41" s="218">
        <v>168105.0</v>
      </c>
      <c r="N41" s="218">
        <v>1.0E8</v>
      </c>
      <c r="O41" s="218">
        <v>339030.0</v>
      </c>
      <c r="P41" s="218" t="s">
        <v>9425</v>
      </c>
      <c r="Q41" s="222">
        <v>34012.45</v>
      </c>
      <c r="R41" s="222">
        <v>34012.45</v>
      </c>
      <c r="S41" s="222">
        <v>10863.15</v>
      </c>
      <c r="U41" s="222">
        <v>0.0</v>
      </c>
      <c r="X41" s="218">
        <v>1.51132020000135E14</v>
      </c>
      <c r="AB41" t="e">
        <v>#N/A</v>
      </c>
    </row>
    <row r="42">
      <c r="A42" s="218" t="s">
        <v>781</v>
      </c>
      <c r="C42" s="218" t="s">
        <v>9426</v>
      </c>
      <c r="F42" s="456">
        <v>43840.0</v>
      </c>
      <c r="G42" s="218">
        <v>3.0</v>
      </c>
      <c r="H42" s="218">
        <v>401091.0</v>
      </c>
      <c r="J42" s="218" t="s">
        <v>9427</v>
      </c>
      <c r="K42" s="218" t="s">
        <v>9428</v>
      </c>
      <c r="L42" s="218">
        <v>15113.0</v>
      </c>
      <c r="M42" s="218">
        <v>168105.0</v>
      </c>
      <c r="N42" s="218">
        <v>1.0E8</v>
      </c>
      <c r="O42" s="218">
        <v>339039.0</v>
      </c>
      <c r="P42" s="218" t="s">
        <v>9429</v>
      </c>
      <c r="Q42" s="222">
        <v>10000.0</v>
      </c>
      <c r="R42" s="222">
        <v>10000.0</v>
      </c>
      <c r="S42" s="222">
        <v>2000.0</v>
      </c>
      <c r="U42" s="222">
        <v>461.8</v>
      </c>
      <c r="X42" s="218">
        <v>1.51132020000155E14</v>
      </c>
      <c r="AB42" t="e">
        <v>#N/A</v>
      </c>
    </row>
    <row r="43">
      <c r="A43" s="218" t="s">
        <v>9430</v>
      </c>
      <c r="C43" s="218" t="s">
        <v>9431</v>
      </c>
      <c r="F43" s="456">
        <v>43840.0</v>
      </c>
      <c r="G43" s="218">
        <v>1.0</v>
      </c>
      <c r="H43" s="218">
        <v>401091.0</v>
      </c>
      <c r="J43" s="218" t="s">
        <v>9432</v>
      </c>
      <c r="K43" s="218" t="s">
        <v>9433</v>
      </c>
      <c r="L43" s="218">
        <v>15113.0</v>
      </c>
      <c r="M43" s="218">
        <v>168105.0</v>
      </c>
      <c r="N43" s="218">
        <v>1.0E8</v>
      </c>
      <c r="O43" s="218">
        <v>339047.0</v>
      </c>
      <c r="P43" s="218" t="s">
        <v>9434</v>
      </c>
      <c r="Q43" s="222">
        <v>123.0</v>
      </c>
      <c r="R43" s="222">
        <v>123.0</v>
      </c>
      <c r="S43" s="222">
        <v>123.0</v>
      </c>
      <c r="U43" s="222">
        <v>0.0</v>
      </c>
      <c r="X43" s="218">
        <v>1.51132020000073E14</v>
      </c>
      <c r="AB43" t="e">
        <v>#N/A</v>
      </c>
    </row>
    <row r="44">
      <c r="A44" s="218" t="s">
        <v>781</v>
      </c>
      <c r="C44" s="218" t="s">
        <v>9435</v>
      </c>
      <c r="F44" s="456">
        <v>43840.0</v>
      </c>
      <c r="G44" s="218">
        <v>1.0</v>
      </c>
      <c r="H44" s="218">
        <v>401091.0</v>
      </c>
      <c r="J44" s="218" t="s">
        <v>9436</v>
      </c>
      <c r="K44" s="218" t="s">
        <v>9437</v>
      </c>
      <c r="L44" s="218">
        <v>15113.0</v>
      </c>
      <c r="M44" s="218">
        <v>168105.0</v>
      </c>
      <c r="N44" s="218">
        <v>1.0E8</v>
      </c>
      <c r="O44" s="218">
        <v>339047.0</v>
      </c>
      <c r="P44" s="218" t="s">
        <v>9438</v>
      </c>
      <c r="Q44" s="222">
        <v>220.58</v>
      </c>
      <c r="R44" s="222">
        <v>220.58</v>
      </c>
      <c r="S44" s="222">
        <v>220.58</v>
      </c>
      <c r="U44" s="222">
        <v>0.0</v>
      </c>
      <c r="X44" s="218">
        <v>1.51132020000168E14</v>
      </c>
      <c r="AB44" t="e">
        <v>#N/A</v>
      </c>
    </row>
    <row r="45">
      <c r="A45" s="218" t="s">
        <v>781</v>
      </c>
      <c r="C45" s="218" t="s">
        <v>9439</v>
      </c>
      <c r="F45" s="456">
        <v>43840.0</v>
      </c>
      <c r="G45" s="218">
        <v>3.0</v>
      </c>
      <c r="H45" s="218">
        <v>401091.0</v>
      </c>
      <c r="J45" s="218" t="s">
        <v>9440</v>
      </c>
      <c r="K45" s="218" t="s">
        <v>9441</v>
      </c>
      <c r="L45" s="218">
        <v>15113.0</v>
      </c>
      <c r="M45" s="218">
        <v>168105.0</v>
      </c>
      <c r="N45" s="218">
        <v>1.0E8</v>
      </c>
      <c r="O45" s="218">
        <v>339030.0</v>
      </c>
      <c r="P45" s="218" t="s">
        <v>9442</v>
      </c>
      <c r="Q45" s="222">
        <v>2269.2</v>
      </c>
      <c r="R45" s="222">
        <v>2269.2</v>
      </c>
      <c r="S45" s="222">
        <v>469.2</v>
      </c>
      <c r="U45" s="222">
        <v>78.6</v>
      </c>
      <c r="X45" s="218">
        <v>1.51132020000128E14</v>
      </c>
      <c r="AB45" t="e">
        <v>#N/A</v>
      </c>
    </row>
    <row r="46">
      <c r="A46" s="218" t="s">
        <v>781</v>
      </c>
      <c r="C46" s="218" t="s">
        <v>9443</v>
      </c>
      <c r="F46" s="457">
        <v>43840.0</v>
      </c>
      <c r="G46" s="218">
        <v>3.0</v>
      </c>
      <c r="H46" s="218">
        <v>401091.0</v>
      </c>
      <c r="J46" s="218" t="s">
        <v>9444</v>
      </c>
      <c r="K46" s="218" t="s">
        <v>9445</v>
      </c>
      <c r="L46" s="218">
        <v>15113.0</v>
      </c>
      <c r="M46" s="218">
        <v>168105.0</v>
      </c>
      <c r="N46" s="218">
        <v>1.0E8</v>
      </c>
      <c r="O46" s="218">
        <v>339030.0</v>
      </c>
      <c r="P46" s="218" t="s">
        <v>9442</v>
      </c>
      <c r="Q46" s="222">
        <v>550.0</v>
      </c>
      <c r="R46" s="222">
        <v>550.0</v>
      </c>
      <c r="S46" s="222">
        <v>200.0</v>
      </c>
      <c r="U46" s="222">
        <v>60.0</v>
      </c>
      <c r="X46" s="218">
        <v>1.51132020000128E14</v>
      </c>
      <c r="AB46" t="e">
        <v>#N/A</v>
      </c>
    </row>
    <row r="47">
      <c r="A47" s="218" t="s">
        <v>781</v>
      </c>
      <c r="C47" s="218" t="s">
        <v>9446</v>
      </c>
      <c r="F47" s="456">
        <v>43840.0</v>
      </c>
      <c r="G47" s="218">
        <v>3.0</v>
      </c>
      <c r="H47" s="218">
        <v>401091.0</v>
      </c>
      <c r="J47" s="218" t="s">
        <v>9447</v>
      </c>
      <c r="K47" s="218" t="s">
        <v>9448</v>
      </c>
      <c r="L47" s="218">
        <v>15113.0</v>
      </c>
      <c r="M47" s="218">
        <v>168105.0</v>
      </c>
      <c r="N47" s="218">
        <v>1.0E8</v>
      </c>
      <c r="O47" s="218">
        <v>339030.0</v>
      </c>
      <c r="P47" s="218" t="s">
        <v>9442</v>
      </c>
      <c r="Q47" s="222">
        <v>744.0</v>
      </c>
      <c r="R47" s="222">
        <v>744.0</v>
      </c>
      <c r="S47" s="222">
        <v>252.0</v>
      </c>
      <c r="U47" s="218">
        <v>0.0</v>
      </c>
      <c r="X47" s="218">
        <v>1.51132020000128E14</v>
      </c>
      <c r="AB47" t="e">
        <v>#N/A</v>
      </c>
    </row>
    <row r="48">
      <c r="A48" s="218" t="s">
        <v>781</v>
      </c>
      <c r="C48" s="218" t="s">
        <v>9449</v>
      </c>
      <c r="F48" s="456">
        <v>43840.0</v>
      </c>
      <c r="G48" s="218">
        <v>0.0</v>
      </c>
      <c r="H48" s="218">
        <v>401093.0</v>
      </c>
      <c r="I48" s="218" t="s">
        <v>9418</v>
      </c>
      <c r="J48" s="218" t="s">
        <v>9419</v>
      </c>
      <c r="K48" s="218" t="s">
        <v>9398</v>
      </c>
      <c r="L48" s="218">
        <v>15113.0</v>
      </c>
      <c r="M48" s="218">
        <v>168105.0</v>
      </c>
      <c r="N48" s="218">
        <v>1.0E8</v>
      </c>
      <c r="O48" s="218">
        <v>339030.0</v>
      </c>
      <c r="P48" s="218" t="s">
        <v>9421</v>
      </c>
      <c r="Q48" s="222">
        <v>7100.0</v>
      </c>
      <c r="R48" s="222">
        <v>-7100.0</v>
      </c>
      <c r="S48" s="222">
        <v>0.0</v>
      </c>
      <c r="U48" s="222">
        <v>0.0</v>
      </c>
      <c r="X48" s="218"/>
      <c r="AB48" t="e">
        <v>#N/A</v>
      </c>
    </row>
    <row r="49">
      <c r="A49" s="218" t="s">
        <v>781</v>
      </c>
      <c r="C49" s="218" t="s">
        <v>9450</v>
      </c>
      <c r="F49" s="456">
        <v>43840.0</v>
      </c>
      <c r="G49" s="218">
        <v>3.0</v>
      </c>
      <c r="H49" s="218">
        <v>401091.0</v>
      </c>
      <c r="J49" s="218" t="s">
        <v>9419</v>
      </c>
      <c r="K49" s="218" t="s">
        <v>9420</v>
      </c>
      <c r="L49" s="218">
        <v>15113.0</v>
      </c>
      <c r="M49" s="218">
        <v>168105.0</v>
      </c>
      <c r="N49" s="218">
        <v>1.0E8</v>
      </c>
      <c r="O49" s="218">
        <v>339030.0</v>
      </c>
      <c r="P49" s="218" t="s">
        <v>9421</v>
      </c>
      <c r="Q49" s="222">
        <v>7100.0</v>
      </c>
      <c r="R49" s="222">
        <v>7100.0</v>
      </c>
      <c r="S49" s="222">
        <v>3550.0</v>
      </c>
      <c r="U49" s="222">
        <v>0.0</v>
      </c>
      <c r="X49" s="218">
        <v>1.51132020000134E14</v>
      </c>
      <c r="AB49" t="e">
        <v>#N/A</v>
      </c>
    </row>
    <row r="50">
      <c r="A50" s="218" t="s">
        <v>781</v>
      </c>
      <c r="C50" s="218" t="s">
        <v>9451</v>
      </c>
      <c r="F50" s="456">
        <v>43840.0</v>
      </c>
      <c r="G50" s="218">
        <v>3.0</v>
      </c>
      <c r="H50" s="218">
        <v>401091.0</v>
      </c>
      <c r="J50" s="218" t="s">
        <v>9452</v>
      </c>
      <c r="K50" s="218" t="s">
        <v>9453</v>
      </c>
      <c r="L50" s="218">
        <v>15113.0</v>
      </c>
      <c r="M50" s="218">
        <v>168105.0</v>
      </c>
      <c r="N50" s="218">
        <v>1.0E8</v>
      </c>
      <c r="O50" s="218">
        <v>339030.0</v>
      </c>
      <c r="P50" s="218" t="s">
        <v>9442</v>
      </c>
      <c r="Q50" s="222">
        <v>229.5</v>
      </c>
      <c r="R50" s="222">
        <v>229.5</v>
      </c>
      <c r="S50" s="222">
        <v>229.5</v>
      </c>
      <c r="U50" s="218">
        <v>144.5</v>
      </c>
      <c r="X50" s="218">
        <v>1.51132020000128E14</v>
      </c>
      <c r="AB50" t="e">
        <v>#N/A</v>
      </c>
    </row>
    <row r="51">
      <c r="A51" s="218" t="s">
        <v>781</v>
      </c>
      <c r="C51" s="218" t="s">
        <v>9454</v>
      </c>
      <c r="F51" s="456">
        <v>43840.0</v>
      </c>
      <c r="G51" s="218">
        <v>3.0</v>
      </c>
      <c r="H51" s="218">
        <v>401091.0</v>
      </c>
      <c r="J51" s="218" t="s">
        <v>9455</v>
      </c>
      <c r="K51" s="218" t="s">
        <v>9456</v>
      </c>
      <c r="L51" s="218">
        <v>15113.0</v>
      </c>
      <c r="M51" s="218">
        <v>168105.0</v>
      </c>
      <c r="N51" s="218">
        <v>1.0E8</v>
      </c>
      <c r="O51" s="218">
        <v>339030.0</v>
      </c>
      <c r="P51" s="218" t="s">
        <v>9442</v>
      </c>
      <c r="Q51" s="222">
        <v>1161.0</v>
      </c>
      <c r="R51" s="222">
        <v>1161.0</v>
      </c>
      <c r="S51" s="222">
        <v>26.0</v>
      </c>
      <c r="U51" s="222">
        <v>26.0</v>
      </c>
      <c r="X51" s="218">
        <v>1.51132020000128E14</v>
      </c>
      <c r="AB51" t="e">
        <v>#N/A</v>
      </c>
    </row>
    <row r="52">
      <c r="A52" s="218" t="s">
        <v>781</v>
      </c>
      <c r="C52" s="218" t="s">
        <v>9457</v>
      </c>
      <c r="F52" s="456">
        <v>43843.0</v>
      </c>
      <c r="G52" s="218">
        <v>1.0</v>
      </c>
      <c r="H52" s="218">
        <v>401091.0</v>
      </c>
      <c r="J52" s="218" t="s">
        <v>9458</v>
      </c>
      <c r="K52" s="218" t="s">
        <v>9459</v>
      </c>
      <c r="L52" s="218">
        <v>15113.0</v>
      </c>
      <c r="M52" s="218">
        <v>168105.0</v>
      </c>
      <c r="N52" s="218">
        <v>1.0E8</v>
      </c>
      <c r="O52" s="218">
        <v>339192.0</v>
      </c>
      <c r="P52" s="218" t="s">
        <v>9460</v>
      </c>
      <c r="Q52" s="222">
        <v>23688.6</v>
      </c>
      <c r="R52" s="222">
        <v>23688.6</v>
      </c>
      <c r="S52" s="222">
        <v>23688.6</v>
      </c>
      <c r="U52" s="218">
        <v>0.0</v>
      </c>
      <c r="X52" s="218">
        <v>1.51132020000163E14</v>
      </c>
      <c r="AB52" t="e">
        <v>#N/A</v>
      </c>
    </row>
    <row r="53">
      <c r="A53" s="218" t="s">
        <v>116</v>
      </c>
      <c r="C53" s="218" t="s">
        <v>9461</v>
      </c>
      <c r="F53" s="456">
        <v>43844.0</v>
      </c>
      <c r="G53" s="218">
        <v>5.0</v>
      </c>
      <c r="H53" s="218">
        <v>401091.0</v>
      </c>
      <c r="J53" s="218" t="s">
        <v>9462</v>
      </c>
      <c r="K53" s="218" t="s">
        <v>9463</v>
      </c>
      <c r="L53" s="218">
        <v>15113.0</v>
      </c>
      <c r="M53" s="218">
        <v>168105.0</v>
      </c>
      <c r="N53" s="218">
        <v>1.0E8</v>
      </c>
      <c r="O53" s="218">
        <v>339092.0</v>
      </c>
      <c r="P53" s="218" t="s">
        <v>222</v>
      </c>
      <c r="Q53" s="222">
        <v>10.15</v>
      </c>
      <c r="R53" s="222">
        <v>10.15</v>
      </c>
      <c r="S53" s="218">
        <v>10.15</v>
      </c>
      <c r="U53" s="218">
        <v>0.0</v>
      </c>
      <c r="X53" s="218">
        <v>1.51132020000025E14</v>
      </c>
      <c r="AB53" t="e">
        <v>#N/A</v>
      </c>
    </row>
    <row r="54">
      <c r="A54" s="218" t="s">
        <v>781</v>
      </c>
      <c r="C54" s="218" t="s">
        <v>9464</v>
      </c>
      <c r="F54" s="456">
        <v>43845.0</v>
      </c>
      <c r="G54" s="218">
        <v>5.0</v>
      </c>
      <c r="H54" s="218">
        <v>401091.0</v>
      </c>
      <c r="J54" s="218" t="s">
        <v>9465</v>
      </c>
      <c r="K54" s="218" t="s">
        <v>9466</v>
      </c>
      <c r="L54" s="218">
        <v>15113.0</v>
      </c>
      <c r="M54" s="218">
        <v>168105.0</v>
      </c>
      <c r="N54" s="218">
        <v>1.0E8</v>
      </c>
      <c r="O54" s="218">
        <v>339036.0</v>
      </c>
      <c r="P54" s="218" t="s">
        <v>9467</v>
      </c>
      <c r="Q54" s="222">
        <v>119340.0</v>
      </c>
      <c r="R54" s="222">
        <v>119340.0</v>
      </c>
      <c r="S54" s="222">
        <v>105158.86</v>
      </c>
      <c r="U54" s="222">
        <v>8532.88</v>
      </c>
      <c r="X54" s="218">
        <v>1.51132020000126E14</v>
      </c>
      <c r="AB54" t="e">
        <v>#N/A</v>
      </c>
    </row>
    <row r="55">
      <c r="A55" s="218" t="s">
        <v>781</v>
      </c>
      <c r="C55" s="218" t="s">
        <v>9468</v>
      </c>
      <c r="F55" s="456">
        <v>43845.0</v>
      </c>
      <c r="G55" s="218">
        <v>3.0</v>
      </c>
      <c r="H55" s="218">
        <v>401091.0</v>
      </c>
      <c r="J55" s="218" t="s">
        <v>9469</v>
      </c>
      <c r="K55" s="218" t="s">
        <v>9470</v>
      </c>
      <c r="L55" s="218">
        <v>15113.0</v>
      </c>
      <c r="M55" s="218">
        <v>168105.0</v>
      </c>
      <c r="N55" s="218">
        <v>1.0E8</v>
      </c>
      <c r="O55" s="218">
        <v>339039.0</v>
      </c>
      <c r="P55" s="218" t="s">
        <v>9467</v>
      </c>
      <c r="Q55" s="222">
        <v>28000.0</v>
      </c>
      <c r="R55" s="222">
        <v>28000.0</v>
      </c>
      <c r="S55" s="222">
        <v>28000.0</v>
      </c>
      <c r="U55" s="222">
        <v>5252.65</v>
      </c>
      <c r="X55" s="218">
        <v>1.51132020000114E14</v>
      </c>
      <c r="AB55" t="e">
        <v>#N/A</v>
      </c>
    </row>
    <row r="56">
      <c r="A56" s="218" t="s">
        <v>781</v>
      </c>
      <c r="C56" s="218" t="s">
        <v>9471</v>
      </c>
      <c r="F56" s="456">
        <v>43845.0</v>
      </c>
      <c r="G56" s="218">
        <v>3.0</v>
      </c>
      <c r="H56" s="218">
        <v>401091.0</v>
      </c>
      <c r="J56" s="218" t="s">
        <v>9472</v>
      </c>
      <c r="K56" s="218" t="s">
        <v>9473</v>
      </c>
      <c r="L56" s="218">
        <v>15113.0</v>
      </c>
      <c r="M56" s="218">
        <v>168105.0</v>
      </c>
      <c r="N56" s="218">
        <v>1.0E8</v>
      </c>
      <c r="O56" s="218">
        <v>339039.0</v>
      </c>
      <c r="P56" s="218" t="s">
        <v>9474</v>
      </c>
      <c r="Q56" s="222">
        <v>25800.0</v>
      </c>
      <c r="R56" s="222">
        <v>25800.0</v>
      </c>
      <c r="S56" s="222">
        <v>10119.75</v>
      </c>
      <c r="U56" s="222">
        <v>0.0</v>
      </c>
      <c r="X56" s="218">
        <v>1.51132020000147E14</v>
      </c>
      <c r="AB56" t="e">
        <v>#N/A</v>
      </c>
    </row>
    <row r="57">
      <c r="A57" s="218" t="s">
        <v>781</v>
      </c>
      <c r="C57" s="218" t="s">
        <v>9475</v>
      </c>
      <c r="F57" s="456">
        <v>43846.0</v>
      </c>
      <c r="G57" s="218">
        <v>3.0</v>
      </c>
      <c r="H57" s="218">
        <v>401091.0</v>
      </c>
      <c r="J57" s="218" t="s">
        <v>9476</v>
      </c>
      <c r="K57" s="218" t="s">
        <v>9477</v>
      </c>
      <c r="L57" s="218">
        <v>15113.0</v>
      </c>
      <c r="M57" s="218">
        <v>168105.0</v>
      </c>
      <c r="N57" s="218">
        <v>1.0E8</v>
      </c>
      <c r="O57" s="218">
        <v>339047.0</v>
      </c>
      <c r="P57" s="218" t="s">
        <v>9478</v>
      </c>
      <c r="Q57" s="218">
        <v>330.0</v>
      </c>
      <c r="R57" s="218">
        <v>330.0</v>
      </c>
      <c r="S57" s="218">
        <v>569.76</v>
      </c>
      <c r="U57" s="218">
        <v>0.0</v>
      </c>
      <c r="X57" s="218">
        <v>1.51132020000168E14</v>
      </c>
      <c r="AB57" t="e">
        <v>#N/A</v>
      </c>
    </row>
    <row r="58">
      <c r="A58" s="218" t="s">
        <v>781</v>
      </c>
      <c r="C58" s="218" t="s">
        <v>9479</v>
      </c>
      <c r="F58" s="456">
        <v>43846.0</v>
      </c>
      <c r="G58" s="218">
        <v>3.0</v>
      </c>
      <c r="H58" s="218">
        <v>401091.0</v>
      </c>
      <c r="J58" s="218" t="s">
        <v>9476</v>
      </c>
      <c r="K58" s="218" t="s">
        <v>9480</v>
      </c>
      <c r="L58" s="218">
        <v>15113.0</v>
      </c>
      <c r="M58" s="218">
        <v>168105.0</v>
      </c>
      <c r="N58" s="218">
        <v>1.0E8</v>
      </c>
      <c r="O58" s="218">
        <v>339039.0</v>
      </c>
      <c r="P58" s="218" t="s">
        <v>9478</v>
      </c>
      <c r="Q58" s="222">
        <v>2200.0</v>
      </c>
      <c r="R58" s="222">
        <v>2200.0</v>
      </c>
      <c r="S58" s="222">
        <v>1900.0</v>
      </c>
      <c r="U58" s="222">
        <v>311.32</v>
      </c>
      <c r="X58" s="218">
        <v>1.51132020000157E14</v>
      </c>
      <c r="AB58" t="e">
        <v>#N/A</v>
      </c>
    </row>
    <row r="59">
      <c r="A59" s="218" t="s">
        <v>9430</v>
      </c>
      <c r="C59" s="218" t="s">
        <v>9481</v>
      </c>
      <c r="F59" s="456">
        <v>43846.0</v>
      </c>
      <c r="G59" s="218">
        <v>1.0</v>
      </c>
      <c r="H59" s="218">
        <v>401091.0</v>
      </c>
      <c r="J59" s="218" t="s">
        <v>9482</v>
      </c>
      <c r="K59" s="218" t="s">
        <v>9483</v>
      </c>
      <c r="L59" s="218">
        <v>15113.0</v>
      </c>
      <c r="M59" s="218">
        <v>168105.0</v>
      </c>
      <c r="N59" s="218">
        <v>1.0E8</v>
      </c>
      <c r="O59" s="218">
        <v>339039.0</v>
      </c>
      <c r="P59" s="218" t="s">
        <v>9484</v>
      </c>
      <c r="Q59" s="222">
        <v>114.76</v>
      </c>
      <c r="R59" s="222">
        <v>114.76</v>
      </c>
      <c r="S59" s="222">
        <v>114.46</v>
      </c>
      <c r="U59" s="222">
        <v>0.0</v>
      </c>
      <c r="X59" s="218">
        <v>1.51132020000076E14</v>
      </c>
      <c r="AB59" t="e">
        <v>#N/A</v>
      </c>
    </row>
    <row r="60">
      <c r="A60" s="218" t="s">
        <v>9430</v>
      </c>
      <c r="C60" s="218" t="s">
        <v>9485</v>
      </c>
      <c r="F60" s="456">
        <v>43846.0</v>
      </c>
      <c r="G60" s="218">
        <v>1.0</v>
      </c>
      <c r="H60" s="218">
        <v>401091.0</v>
      </c>
      <c r="J60" s="218" t="s">
        <v>9486</v>
      </c>
      <c r="K60" s="218" t="s">
        <v>9487</v>
      </c>
      <c r="L60" s="218">
        <v>15113.0</v>
      </c>
      <c r="M60" s="218">
        <v>168105.0</v>
      </c>
      <c r="N60" s="218">
        <v>1.0E8</v>
      </c>
      <c r="O60" s="218">
        <v>339047.0</v>
      </c>
      <c r="P60" s="218" t="s">
        <v>9484</v>
      </c>
      <c r="Q60" s="222">
        <v>2594.13</v>
      </c>
      <c r="R60" s="222">
        <v>2594.13</v>
      </c>
      <c r="S60" s="222">
        <v>2594.13</v>
      </c>
      <c r="U60" s="222">
        <v>0.0</v>
      </c>
      <c r="X60" s="218">
        <v>1.51132020000072E14</v>
      </c>
      <c r="AB60" t="e">
        <v>#N/A</v>
      </c>
    </row>
    <row r="61">
      <c r="A61" s="218" t="s">
        <v>781</v>
      </c>
      <c r="C61" s="218" t="s">
        <v>9488</v>
      </c>
      <c r="F61" s="456">
        <v>43847.0</v>
      </c>
      <c r="G61" s="218">
        <v>3.0</v>
      </c>
      <c r="H61" s="218">
        <v>401091.0</v>
      </c>
      <c r="J61" s="218" t="s">
        <v>9489</v>
      </c>
      <c r="K61" s="218" t="s">
        <v>9490</v>
      </c>
      <c r="L61" s="218">
        <v>15113.0</v>
      </c>
      <c r="M61" s="218">
        <v>168105.0</v>
      </c>
      <c r="N61" s="218">
        <v>1.0E8</v>
      </c>
      <c r="O61" s="218">
        <v>339039.0</v>
      </c>
      <c r="P61" s="218" t="s">
        <v>9491</v>
      </c>
      <c r="Q61" s="222">
        <v>14000.0</v>
      </c>
      <c r="R61" s="222">
        <v>14000.0</v>
      </c>
      <c r="S61" s="222">
        <v>7000.0</v>
      </c>
      <c r="U61" s="222">
        <v>39.74</v>
      </c>
      <c r="X61" s="218">
        <v>1.51132020000141E14</v>
      </c>
      <c r="AB61" t="e">
        <v>#N/A</v>
      </c>
    </row>
    <row r="62">
      <c r="A62" s="218" t="s">
        <v>781</v>
      </c>
      <c r="C62" s="218" t="s">
        <v>9492</v>
      </c>
      <c r="F62" s="456">
        <v>43847.0</v>
      </c>
      <c r="G62" s="218">
        <v>3.0</v>
      </c>
      <c r="H62" s="218">
        <v>401091.0</v>
      </c>
      <c r="J62" s="218" t="s">
        <v>9489</v>
      </c>
      <c r="K62" s="218" t="s">
        <v>9493</v>
      </c>
      <c r="L62" s="218">
        <v>15113.0</v>
      </c>
      <c r="M62" s="218">
        <v>168105.0</v>
      </c>
      <c r="N62" s="218">
        <v>1.0E8</v>
      </c>
      <c r="O62" s="218">
        <v>339047.0</v>
      </c>
      <c r="P62" s="218" t="s">
        <v>9491</v>
      </c>
      <c r="Q62" s="222">
        <v>900.0</v>
      </c>
      <c r="R62" s="222">
        <v>900.0</v>
      </c>
      <c r="S62" s="218">
        <v>530.0</v>
      </c>
      <c r="U62" s="218">
        <v>23.32</v>
      </c>
      <c r="X62" s="218">
        <v>1.51132020000167E14</v>
      </c>
      <c r="AB62" t="e">
        <v>#N/A</v>
      </c>
    </row>
    <row r="63">
      <c r="A63" s="218" t="s">
        <v>781</v>
      </c>
      <c r="C63" s="218" t="s">
        <v>9494</v>
      </c>
      <c r="F63" s="456">
        <v>43847.0</v>
      </c>
      <c r="G63" s="218">
        <v>3.0</v>
      </c>
      <c r="H63" s="218">
        <v>401091.0</v>
      </c>
      <c r="J63" s="218" t="s">
        <v>9495</v>
      </c>
      <c r="K63" s="218" t="s">
        <v>9496</v>
      </c>
      <c r="L63" s="218">
        <v>15113.0</v>
      </c>
      <c r="M63" s="218">
        <v>168105.0</v>
      </c>
      <c r="N63" s="218">
        <v>1.0E8</v>
      </c>
      <c r="O63" s="218">
        <v>339039.0</v>
      </c>
      <c r="P63" s="218" t="s">
        <v>9497</v>
      </c>
      <c r="Q63" s="222">
        <v>190000.0</v>
      </c>
      <c r="R63" s="222">
        <v>190000.0</v>
      </c>
      <c r="S63" s="222">
        <v>150000.0</v>
      </c>
      <c r="U63" s="222">
        <v>16842.82</v>
      </c>
      <c r="X63" s="218">
        <v>1.51132020000157E14</v>
      </c>
      <c r="AB63" t="e">
        <v>#N/A</v>
      </c>
    </row>
    <row r="64">
      <c r="A64" s="218" t="s">
        <v>781</v>
      </c>
      <c r="C64" s="218" t="s">
        <v>9498</v>
      </c>
      <c r="F64" s="456">
        <v>43847.0</v>
      </c>
      <c r="G64" s="218">
        <v>3.0</v>
      </c>
      <c r="H64" s="218">
        <v>401091.0</v>
      </c>
      <c r="J64" s="218" t="s">
        <v>9499</v>
      </c>
      <c r="K64" s="218" t="s">
        <v>9500</v>
      </c>
      <c r="L64" s="218">
        <v>15113.0</v>
      </c>
      <c r="M64" s="218">
        <v>168105.0</v>
      </c>
      <c r="N64" s="218">
        <v>1.0E8</v>
      </c>
      <c r="O64" s="218">
        <v>339039.0</v>
      </c>
      <c r="P64" s="218" t="s">
        <v>9501</v>
      </c>
      <c r="Q64" s="222">
        <v>65000.0</v>
      </c>
      <c r="R64" s="222">
        <v>65000.0</v>
      </c>
      <c r="S64" s="222">
        <v>65000.0</v>
      </c>
      <c r="U64" s="222">
        <v>3874.06</v>
      </c>
      <c r="X64" s="218">
        <v>1.51132020000157E14</v>
      </c>
      <c r="AB64" t="e">
        <v>#N/A</v>
      </c>
    </row>
    <row r="65">
      <c r="A65" s="218" t="s">
        <v>781</v>
      </c>
      <c r="C65" s="218" t="s">
        <v>9502</v>
      </c>
      <c r="F65" s="456">
        <v>43847.0</v>
      </c>
      <c r="G65" s="218">
        <v>3.0</v>
      </c>
      <c r="H65" s="218">
        <v>401091.0</v>
      </c>
      <c r="J65" s="218" t="s">
        <v>9432</v>
      </c>
      <c r="K65" s="218" t="s">
        <v>9503</v>
      </c>
      <c r="L65" s="218">
        <v>15113.0</v>
      </c>
      <c r="M65" s="218">
        <v>168105.0</v>
      </c>
      <c r="N65" s="218">
        <v>1.0E8</v>
      </c>
      <c r="O65" s="218">
        <v>339039.0</v>
      </c>
      <c r="P65" s="218" t="s">
        <v>9504</v>
      </c>
      <c r="Q65" s="222">
        <v>1600.0</v>
      </c>
      <c r="R65" s="222">
        <v>1600.0</v>
      </c>
      <c r="S65" s="222">
        <v>1900.0</v>
      </c>
      <c r="U65" s="222">
        <v>313.88</v>
      </c>
      <c r="X65" s="218">
        <v>1.51132020000157E14</v>
      </c>
      <c r="AB65" t="e">
        <v>#N/A</v>
      </c>
    </row>
    <row r="66">
      <c r="A66" s="218" t="s">
        <v>781</v>
      </c>
      <c r="C66" s="218" t="s">
        <v>9505</v>
      </c>
      <c r="F66" s="456">
        <v>43847.0</v>
      </c>
      <c r="G66" s="218">
        <v>3.0</v>
      </c>
      <c r="H66" s="218">
        <v>401091.0</v>
      </c>
      <c r="J66" s="218" t="s">
        <v>9506</v>
      </c>
      <c r="K66" s="218" t="s">
        <v>9507</v>
      </c>
      <c r="L66" s="218">
        <v>15113.0</v>
      </c>
      <c r="M66" s="218">
        <v>168105.0</v>
      </c>
      <c r="N66" s="218">
        <v>1.0E8</v>
      </c>
      <c r="O66" s="218">
        <v>339039.0</v>
      </c>
      <c r="P66" s="218" t="s">
        <v>9508</v>
      </c>
      <c r="Q66" s="222">
        <v>800.0</v>
      </c>
      <c r="R66" s="222">
        <v>800.0</v>
      </c>
      <c r="S66" s="222">
        <v>650.0</v>
      </c>
      <c r="U66" s="222">
        <v>94.36</v>
      </c>
      <c r="X66" s="218">
        <v>1.51132020000157E14</v>
      </c>
      <c r="AB66" t="e">
        <v>#N/A</v>
      </c>
    </row>
    <row r="67">
      <c r="A67" s="218" t="s">
        <v>781</v>
      </c>
      <c r="C67" s="218" t="s">
        <v>9509</v>
      </c>
      <c r="F67" s="456">
        <v>43847.0</v>
      </c>
      <c r="G67" s="218">
        <v>3.0</v>
      </c>
      <c r="H67" s="218">
        <v>401091.0</v>
      </c>
      <c r="J67" s="218" t="s">
        <v>9510</v>
      </c>
      <c r="K67" s="218" t="s">
        <v>9511</v>
      </c>
      <c r="L67" s="218">
        <v>15113.0</v>
      </c>
      <c r="M67" s="218">
        <v>168105.0</v>
      </c>
      <c r="N67" s="218">
        <v>1.0E8</v>
      </c>
      <c r="O67" s="218">
        <v>339039.0</v>
      </c>
      <c r="P67" s="218" t="s">
        <v>9512</v>
      </c>
      <c r="Q67" s="222">
        <v>1000.0</v>
      </c>
      <c r="R67" s="222">
        <v>1000.0</v>
      </c>
      <c r="S67" s="218">
        <v>600.0</v>
      </c>
      <c r="U67" s="218">
        <v>102.88</v>
      </c>
      <c r="X67" s="218">
        <v>1.51132020000157E14</v>
      </c>
      <c r="AB67" t="e">
        <v>#N/A</v>
      </c>
    </row>
    <row r="68">
      <c r="A68" s="218" t="s">
        <v>781</v>
      </c>
      <c r="C68" s="218" t="s">
        <v>9513</v>
      </c>
      <c r="F68" s="456">
        <v>43847.0</v>
      </c>
      <c r="G68" s="218">
        <v>3.0</v>
      </c>
      <c r="H68" s="218">
        <v>401091.0</v>
      </c>
      <c r="J68" s="218" t="s">
        <v>9510</v>
      </c>
      <c r="K68" s="218" t="s">
        <v>9514</v>
      </c>
      <c r="L68" s="218">
        <v>15113.0</v>
      </c>
      <c r="M68" s="218">
        <v>168105.0</v>
      </c>
      <c r="N68" s="218">
        <v>1.0E8</v>
      </c>
      <c r="O68" s="218">
        <v>339047.0</v>
      </c>
      <c r="P68" s="218" t="s">
        <v>9512</v>
      </c>
      <c r="Q68" s="222">
        <v>270.0</v>
      </c>
      <c r="R68" s="222">
        <v>270.0</v>
      </c>
      <c r="S68" s="222">
        <v>294.94</v>
      </c>
      <c r="U68" s="222">
        <v>45.64</v>
      </c>
      <c r="X68" s="218">
        <v>1.51132020000168E14</v>
      </c>
      <c r="AB68" t="e">
        <v>#N/A</v>
      </c>
    </row>
    <row r="69">
      <c r="A69" s="218" t="s">
        <v>781</v>
      </c>
      <c r="C69" s="218" t="s">
        <v>9515</v>
      </c>
      <c r="F69" s="456">
        <v>43847.0</v>
      </c>
      <c r="G69" s="218">
        <v>3.0</v>
      </c>
      <c r="H69" s="218">
        <v>401091.0</v>
      </c>
      <c r="J69" s="218" t="s">
        <v>9516</v>
      </c>
      <c r="K69" s="218" t="s">
        <v>9517</v>
      </c>
      <c r="L69" s="218">
        <v>15113.0</v>
      </c>
      <c r="M69" s="218">
        <v>168105.0</v>
      </c>
      <c r="N69" s="218">
        <v>1.0E8</v>
      </c>
      <c r="O69" s="218">
        <v>339039.0</v>
      </c>
      <c r="P69" s="218" t="s">
        <v>9518</v>
      </c>
      <c r="Q69" s="222">
        <v>2000.0</v>
      </c>
      <c r="R69" s="222">
        <v>2000.0</v>
      </c>
      <c r="S69" s="222">
        <v>700.0</v>
      </c>
      <c r="U69" s="218">
        <v>141.02</v>
      </c>
      <c r="X69" s="218">
        <v>1.51132020000157E14</v>
      </c>
      <c r="AB69" t="e">
        <v>#N/A</v>
      </c>
    </row>
    <row r="70">
      <c r="A70" s="218" t="s">
        <v>781</v>
      </c>
      <c r="C70" s="218" t="s">
        <v>9519</v>
      </c>
      <c r="F70" s="456">
        <v>43847.0</v>
      </c>
      <c r="G70" s="218">
        <v>3.0</v>
      </c>
      <c r="H70" s="218">
        <v>401091.0</v>
      </c>
      <c r="J70" s="218" t="s">
        <v>9516</v>
      </c>
      <c r="K70" s="218" t="s">
        <v>9520</v>
      </c>
      <c r="L70" s="218">
        <v>15113.0</v>
      </c>
      <c r="M70" s="218">
        <v>168105.0</v>
      </c>
      <c r="N70" s="218">
        <v>1.0E8</v>
      </c>
      <c r="O70" s="218">
        <v>339047.0</v>
      </c>
      <c r="P70" s="218" t="s">
        <v>9518</v>
      </c>
      <c r="Q70" s="222">
        <v>580.0</v>
      </c>
      <c r="R70" s="222">
        <v>580.0</v>
      </c>
      <c r="S70" s="222">
        <v>552.0</v>
      </c>
      <c r="U70" s="222">
        <v>0.0</v>
      </c>
      <c r="X70" s="218">
        <v>1.51132020000168E14</v>
      </c>
      <c r="AB70" t="e">
        <v>#N/A</v>
      </c>
    </row>
    <row r="71">
      <c r="A71" s="218" t="s">
        <v>781</v>
      </c>
      <c r="C71" s="218" t="s">
        <v>9521</v>
      </c>
      <c r="F71" s="456">
        <v>43847.0</v>
      </c>
      <c r="G71" s="218">
        <v>3.0</v>
      </c>
      <c r="H71" s="218">
        <v>401091.0</v>
      </c>
      <c r="J71" s="218" t="s">
        <v>9522</v>
      </c>
      <c r="K71" s="218" t="s">
        <v>9523</v>
      </c>
      <c r="L71" s="218">
        <v>15113.0</v>
      </c>
      <c r="M71" s="218">
        <v>168105.0</v>
      </c>
      <c r="N71" s="218">
        <v>1.0E8</v>
      </c>
      <c r="O71" s="218">
        <v>339039.0</v>
      </c>
      <c r="P71" s="218" t="s">
        <v>9524</v>
      </c>
      <c r="Q71" s="222">
        <v>2000.0</v>
      </c>
      <c r="R71" s="222">
        <v>2000.0</v>
      </c>
      <c r="S71" s="218">
        <v>800.0</v>
      </c>
      <c r="U71" s="218">
        <v>270.12</v>
      </c>
      <c r="X71" s="218">
        <v>1.51132020000157E14</v>
      </c>
      <c r="AB71" t="e">
        <v>#N/A</v>
      </c>
    </row>
    <row r="72">
      <c r="A72" s="218" t="s">
        <v>781</v>
      </c>
      <c r="C72" s="218" t="s">
        <v>9525</v>
      </c>
      <c r="F72" s="456">
        <v>43847.0</v>
      </c>
      <c r="G72" s="218">
        <v>3.0</v>
      </c>
      <c r="H72" s="218">
        <v>401091.0</v>
      </c>
      <c r="J72" s="218" t="s">
        <v>9526</v>
      </c>
      <c r="K72" s="218" t="s">
        <v>9527</v>
      </c>
      <c r="L72" s="218">
        <v>15113.0</v>
      </c>
      <c r="M72" s="218">
        <v>168105.0</v>
      </c>
      <c r="N72" s="218">
        <v>1.0E8</v>
      </c>
      <c r="O72" s="218">
        <v>339039.0</v>
      </c>
      <c r="P72" s="218" t="s">
        <v>9528</v>
      </c>
      <c r="Q72" s="222">
        <v>1100.0</v>
      </c>
      <c r="R72" s="222">
        <v>1100.0</v>
      </c>
      <c r="S72" s="222">
        <v>1100.0</v>
      </c>
      <c r="U72" s="222">
        <v>55.5</v>
      </c>
      <c r="X72" s="218">
        <v>1.51132020000157E14</v>
      </c>
      <c r="AB72" t="e">
        <v>#N/A</v>
      </c>
    </row>
    <row r="73">
      <c r="A73" s="218" t="s">
        <v>781</v>
      </c>
      <c r="C73" s="218" t="s">
        <v>9529</v>
      </c>
      <c r="F73" s="456">
        <v>43847.0</v>
      </c>
      <c r="G73" s="218">
        <v>3.0</v>
      </c>
      <c r="H73" s="218">
        <v>401091.0</v>
      </c>
      <c r="J73" s="218" t="s">
        <v>9526</v>
      </c>
      <c r="K73" s="218" t="s">
        <v>9530</v>
      </c>
      <c r="L73" s="218">
        <v>15113.0</v>
      </c>
      <c r="M73" s="218">
        <v>168105.0</v>
      </c>
      <c r="N73" s="218">
        <v>1.0E8</v>
      </c>
      <c r="O73" s="218">
        <v>339047.0</v>
      </c>
      <c r="P73" s="218" t="s">
        <v>9528</v>
      </c>
      <c r="Q73" s="222">
        <v>220.0</v>
      </c>
      <c r="R73" s="222">
        <v>220.0</v>
      </c>
      <c r="S73" s="222">
        <v>220.0</v>
      </c>
      <c r="U73" s="222">
        <v>7.6</v>
      </c>
      <c r="X73" s="218">
        <v>1.51132020000168E14</v>
      </c>
      <c r="AB73" t="e">
        <v>#N/A</v>
      </c>
    </row>
    <row r="74">
      <c r="A74" s="218" t="s">
        <v>781</v>
      </c>
      <c r="C74" s="218" t="s">
        <v>9531</v>
      </c>
      <c r="F74" s="456">
        <v>43847.0</v>
      </c>
      <c r="G74" s="218">
        <v>3.0</v>
      </c>
      <c r="H74" s="218">
        <v>401091.0</v>
      </c>
      <c r="J74" s="218" t="s">
        <v>9532</v>
      </c>
      <c r="K74" s="218" t="s">
        <v>9533</v>
      </c>
      <c r="L74" s="218">
        <v>15113.0</v>
      </c>
      <c r="M74" s="218">
        <v>168105.0</v>
      </c>
      <c r="N74" s="218">
        <v>1.0E8</v>
      </c>
      <c r="O74" s="218">
        <v>339039.0</v>
      </c>
      <c r="P74" s="218" t="s">
        <v>9534</v>
      </c>
      <c r="Q74" s="222">
        <v>700.0</v>
      </c>
      <c r="R74" s="222">
        <v>700.0</v>
      </c>
      <c r="S74" s="222">
        <v>700.0</v>
      </c>
      <c r="U74" s="222">
        <v>151.57</v>
      </c>
      <c r="X74" s="218">
        <v>1.51132020000157E14</v>
      </c>
      <c r="AB74" t="e">
        <v>#N/A</v>
      </c>
    </row>
    <row r="75">
      <c r="A75" s="218" t="s">
        <v>781</v>
      </c>
      <c r="C75" s="218" t="s">
        <v>9535</v>
      </c>
      <c r="F75" s="456">
        <v>43847.0</v>
      </c>
      <c r="G75" s="218">
        <v>1.0</v>
      </c>
      <c r="H75" s="218">
        <v>401091.0</v>
      </c>
      <c r="J75" s="218" t="s">
        <v>9536</v>
      </c>
      <c r="K75" s="218" t="s">
        <v>9537</v>
      </c>
      <c r="L75" s="218">
        <v>15113.0</v>
      </c>
      <c r="M75" s="218">
        <v>168105.0</v>
      </c>
      <c r="N75" s="218">
        <v>1.0E8</v>
      </c>
      <c r="O75" s="218">
        <v>339047.0</v>
      </c>
      <c r="P75" s="218" t="s">
        <v>9538</v>
      </c>
      <c r="Q75" s="222">
        <v>310.37</v>
      </c>
      <c r="R75" s="222">
        <v>310.37</v>
      </c>
      <c r="S75" s="222">
        <v>310.37</v>
      </c>
      <c r="U75" s="222">
        <v>0.0</v>
      </c>
      <c r="X75" s="218">
        <v>1.51132020000168E14</v>
      </c>
      <c r="AB75" t="e">
        <v>#N/A</v>
      </c>
    </row>
    <row r="76">
      <c r="A76" s="218" t="s">
        <v>781</v>
      </c>
      <c r="C76" s="218" t="s">
        <v>9539</v>
      </c>
      <c r="F76" s="456">
        <v>43847.0</v>
      </c>
      <c r="G76" s="218">
        <v>1.0</v>
      </c>
      <c r="H76" s="218">
        <v>401091.0</v>
      </c>
      <c r="J76" s="218" t="s">
        <v>9432</v>
      </c>
      <c r="K76" s="218" t="s">
        <v>9540</v>
      </c>
      <c r="L76" s="218">
        <v>15113.0</v>
      </c>
      <c r="M76" s="218">
        <v>168105.0</v>
      </c>
      <c r="N76" s="218">
        <v>1.0E8</v>
      </c>
      <c r="O76" s="218">
        <v>339047.0</v>
      </c>
      <c r="P76" s="218" t="s">
        <v>9541</v>
      </c>
      <c r="Q76" s="222">
        <v>267.38</v>
      </c>
      <c r="R76" s="222">
        <v>267.38</v>
      </c>
      <c r="S76" s="222">
        <v>267.38</v>
      </c>
      <c r="U76" s="222">
        <v>0.0</v>
      </c>
      <c r="X76" s="218">
        <v>1.51132020000168E14</v>
      </c>
      <c r="AB76" t="e">
        <v>#N/A</v>
      </c>
    </row>
    <row r="77">
      <c r="A77" s="218" t="s">
        <v>781</v>
      </c>
      <c r="C77" s="218" t="s">
        <v>9542</v>
      </c>
      <c r="F77" s="456">
        <v>43847.0</v>
      </c>
      <c r="G77" s="218">
        <v>3.0</v>
      </c>
      <c r="H77" s="218">
        <v>401091.0</v>
      </c>
      <c r="J77" s="218" t="s">
        <v>9543</v>
      </c>
      <c r="K77" s="218" t="s">
        <v>9544</v>
      </c>
      <c r="L77" s="218">
        <v>15113.0</v>
      </c>
      <c r="M77" s="218">
        <v>168105.0</v>
      </c>
      <c r="N77" s="218">
        <v>1.0E8</v>
      </c>
      <c r="O77" s="218">
        <v>339039.0</v>
      </c>
      <c r="P77" s="218" t="s">
        <v>9545</v>
      </c>
      <c r="Q77" s="222">
        <v>22000.0</v>
      </c>
      <c r="R77" s="222">
        <v>22000.0</v>
      </c>
      <c r="S77" s="222">
        <v>21131.03</v>
      </c>
      <c r="U77" s="222">
        <v>1862.53</v>
      </c>
      <c r="X77" s="218">
        <v>1.51132020000156E14</v>
      </c>
      <c r="AB77" t="e">
        <v>#N/A</v>
      </c>
    </row>
    <row r="78">
      <c r="A78" s="218" t="s">
        <v>781</v>
      </c>
      <c r="C78" s="218" t="s">
        <v>9546</v>
      </c>
      <c r="F78" s="456">
        <v>43847.0</v>
      </c>
      <c r="G78" s="218">
        <v>5.0</v>
      </c>
      <c r="H78" s="218">
        <v>401091.0</v>
      </c>
      <c r="J78" s="218" t="s">
        <v>9547</v>
      </c>
      <c r="K78" s="218" t="s">
        <v>9548</v>
      </c>
      <c r="L78" s="218">
        <v>15113.0</v>
      </c>
      <c r="M78" s="218">
        <v>168105.0</v>
      </c>
      <c r="N78" s="218">
        <v>1.0E8</v>
      </c>
      <c r="O78" s="218">
        <v>339039.0</v>
      </c>
      <c r="P78" s="218" t="s">
        <v>9549</v>
      </c>
      <c r="Q78" s="222">
        <v>13000.0</v>
      </c>
      <c r="R78" s="222">
        <v>13000.0</v>
      </c>
      <c r="S78" s="222">
        <v>13759.0</v>
      </c>
      <c r="U78" s="222">
        <v>1084.68</v>
      </c>
      <c r="X78" s="218">
        <v>1.51132020000169E14</v>
      </c>
      <c r="AB78" t="e">
        <v>#N/A</v>
      </c>
    </row>
    <row r="79">
      <c r="A79" s="218" t="s">
        <v>781</v>
      </c>
      <c r="C79" s="218" t="s">
        <v>9550</v>
      </c>
      <c r="F79" s="456">
        <v>43847.0</v>
      </c>
      <c r="G79" s="218">
        <v>3.0</v>
      </c>
      <c r="H79" s="218">
        <v>401091.0</v>
      </c>
      <c r="J79" s="218" t="s">
        <v>9543</v>
      </c>
      <c r="K79" s="219" t="s">
        <v>9551</v>
      </c>
      <c r="L79" s="218">
        <v>15113.0</v>
      </c>
      <c r="M79" s="218">
        <v>168105.0</v>
      </c>
      <c r="N79" s="218">
        <v>1.0E8</v>
      </c>
      <c r="O79" s="218">
        <v>339039.0</v>
      </c>
      <c r="P79" s="218" t="s">
        <v>9552</v>
      </c>
      <c r="Q79" s="222">
        <v>9000.0</v>
      </c>
      <c r="R79" s="222">
        <v>9000.0</v>
      </c>
      <c r="S79" s="222">
        <v>7360.0</v>
      </c>
      <c r="U79" s="222">
        <v>0.0</v>
      </c>
      <c r="X79" s="218">
        <v>1.51132020000156E14</v>
      </c>
      <c r="AB79" t="e">
        <v>#N/A</v>
      </c>
    </row>
    <row r="80">
      <c r="A80" s="218" t="s">
        <v>781</v>
      </c>
      <c r="C80" s="218" t="s">
        <v>9553</v>
      </c>
      <c r="F80" s="456">
        <v>43847.0</v>
      </c>
      <c r="G80" s="218">
        <v>3.0</v>
      </c>
      <c r="H80" s="218">
        <v>401091.0</v>
      </c>
      <c r="J80" s="218" t="s">
        <v>9554</v>
      </c>
      <c r="K80" s="218" t="s">
        <v>9555</v>
      </c>
      <c r="L80" s="218">
        <v>15113.0</v>
      </c>
      <c r="M80" s="218">
        <v>168105.0</v>
      </c>
      <c r="N80" s="218">
        <v>1.0E8</v>
      </c>
      <c r="O80" s="218">
        <v>339030.0</v>
      </c>
      <c r="P80" s="218" t="s">
        <v>9556</v>
      </c>
      <c r="Q80" s="222">
        <v>5000.0</v>
      </c>
      <c r="R80" s="222">
        <v>5000.0</v>
      </c>
      <c r="S80" s="222">
        <v>5893.0</v>
      </c>
      <c r="U80" s="222">
        <v>0.0</v>
      </c>
      <c r="X80" s="218">
        <v>1.51132020000138E14</v>
      </c>
      <c r="AB80" t="e">
        <v>#N/A</v>
      </c>
    </row>
    <row r="81">
      <c r="A81" s="218" t="s">
        <v>781</v>
      </c>
      <c r="C81" s="218" t="s">
        <v>9557</v>
      </c>
      <c r="F81" s="456">
        <v>43850.0</v>
      </c>
      <c r="G81" s="218">
        <v>5.0</v>
      </c>
      <c r="H81" s="218">
        <v>401091.0</v>
      </c>
      <c r="J81" s="218" t="s">
        <v>9554</v>
      </c>
      <c r="K81" s="218" t="s">
        <v>9558</v>
      </c>
      <c r="L81" s="218">
        <v>15113.0</v>
      </c>
      <c r="M81" s="218">
        <v>168105.0</v>
      </c>
      <c r="N81" s="218">
        <v>1.0E8</v>
      </c>
      <c r="O81" s="218">
        <v>339039.0</v>
      </c>
      <c r="P81" s="218" t="s">
        <v>9556</v>
      </c>
      <c r="Q81" s="222">
        <v>17745.0</v>
      </c>
      <c r="R81" s="222">
        <v>17745.0</v>
      </c>
      <c r="S81" s="222">
        <v>16645.21</v>
      </c>
      <c r="U81" s="222">
        <v>1412.32</v>
      </c>
      <c r="X81" s="218">
        <v>1.51132020000109E14</v>
      </c>
      <c r="AB81" t="e">
        <v>#N/A</v>
      </c>
    </row>
    <row r="82">
      <c r="A82" s="218" t="s">
        <v>781</v>
      </c>
      <c r="C82" s="218" t="s">
        <v>9559</v>
      </c>
      <c r="F82" s="456">
        <v>43850.0</v>
      </c>
      <c r="G82" s="218">
        <v>5.0</v>
      </c>
      <c r="H82" s="218">
        <v>401091.0</v>
      </c>
      <c r="J82" s="218" t="s">
        <v>9560</v>
      </c>
      <c r="K82" s="218" t="s">
        <v>9561</v>
      </c>
      <c r="L82" s="218">
        <v>15113.0</v>
      </c>
      <c r="M82" s="218">
        <v>168105.0</v>
      </c>
      <c r="N82" s="218">
        <v>1.0E8</v>
      </c>
      <c r="O82" s="218">
        <v>339039.0</v>
      </c>
      <c r="P82" s="218" t="s">
        <v>9562</v>
      </c>
      <c r="Q82" s="222">
        <v>81487.92</v>
      </c>
      <c r="R82" s="222">
        <v>81487.92</v>
      </c>
      <c r="S82" s="222">
        <v>74697.26</v>
      </c>
      <c r="U82" s="222">
        <v>13581.32</v>
      </c>
      <c r="X82" s="218">
        <v>1.51132020000156E14</v>
      </c>
      <c r="AB82" t="e">
        <v>#N/A</v>
      </c>
    </row>
    <row r="83">
      <c r="A83" s="218" t="s">
        <v>781</v>
      </c>
      <c r="C83" s="218" t="s">
        <v>9563</v>
      </c>
      <c r="F83" s="456">
        <v>43850.0</v>
      </c>
      <c r="G83" s="218">
        <v>3.0</v>
      </c>
      <c r="H83" s="218">
        <v>401091.0</v>
      </c>
      <c r="J83" s="218" t="s">
        <v>9564</v>
      </c>
      <c r="K83" s="218" t="s">
        <v>9565</v>
      </c>
      <c r="L83" s="218">
        <v>15113.0</v>
      </c>
      <c r="M83" s="218">
        <v>168105.0</v>
      </c>
      <c r="N83" s="218">
        <v>1.0E8</v>
      </c>
      <c r="O83" s="218">
        <v>339039.0</v>
      </c>
      <c r="P83" s="218" t="s">
        <v>9566</v>
      </c>
      <c r="Q83" s="222">
        <v>17500.0</v>
      </c>
      <c r="R83" s="222">
        <v>17500.0</v>
      </c>
      <c r="S83" s="222">
        <v>16800.0</v>
      </c>
      <c r="U83" s="222">
        <v>2800.0</v>
      </c>
      <c r="X83" s="218">
        <v>1.51132020000156E14</v>
      </c>
      <c r="AB83" t="e">
        <v>#N/A</v>
      </c>
    </row>
    <row r="84">
      <c r="A84" s="218" t="s">
        <v>781</v>
      </c>
      <c r="C84" s="218" t="s">
        <v>9567</v>
      </c>
      <c r="F84" s="456">
        <v>43850.0</v>
      </c>
      <c r="G84" s="218">
        <v>3.0</v>
      </c>
      <c r="H84" s="218">
        <v>401091.0</v>
      </c>
      <c r="J84" s="218" t="s">
        <v>9564</v>
      </c>
      <c r="K84" s="218" t="s">
        <v>9568</v>
      </c>
      <c r="L84" s="218">
        <v>15113.0</v>
      </c>
      <c r="M84" s="218">
        <v>168105.0</v>
      </c>
      <c r="N84" s="218">
        <v>1.0E8</v>
      </c>
      <c r="O84" s="218">
        <v>339039.0</v>
      </c>
      <c r="P84" s="218" t="s">
        <v>9569</v>
      </c>
      <c r="Q84" s="222">
        <v>6000.0</v>
      </c>
      <c r="R84" s="222">
        <v>6000.0</v>
      </c>
      <c r="S84" s="222">
        <v>5697.86</v>
      </c>
      <c r="U84" s="222">
        <v>530.23</v>
      </c>
      <c r="X84" s="218">
        <v>1.51132020000156E14</v>
      </c>
      <c r="AB84" t="e">
        <v>#N/A</v>
      </c>
    </row>
    <row r="85">
      <c r="A85" s="218" t="s">
        <v>781</v>
      </c>
      <c r="C85" s="218" t="s">
        <v>9570</v>
      </c>
      <c r="F85" s="456">
        <v>43850.0</v>
      </c>
      <c r="G85" s="218">
        <v>3.0</v>
      </c>
      <c r="H85" s="218">
        <v>401091.0</v>
      </c>
      <c r="J85" s="218" t="s">
        <v>9571</v>
      </c>
      <c r="K85" s="218" t="s">
        <v>9572</v>
      </c>
      <c r="L85" s="218">
        <v>15113.0</v>
      </c>
      <c r="M85" s="218">
        <v>168105.0</v>
      </c>
      <c r="N85" s="218">
        <v>1.0E8</v>
      </c>
      <c r="O85" s="218">
        <v>339039.0</v>
      </c>
      <c r="P85" s="218" t="s">
        <v>9573</v>
      </c>
      <c r="Q85" s="222">
        <v>8000.0</v>
      </c>
      <c r="R85" s="222">
        <v>8000.0</v>
      </c>
      <c r="S85" s="222">
        <v>7421.35</v>
      </c>
      <c r="U85" s="222">
        <v>2517.35</v>
      </c>
      <c r="X85" s="218">
        <v>1.51132020000156E14</v>
      </c>
      <c r="AB85" t="e">
        <v>#N/A</v>
      </c>
    </row>
    <row r="86">
      <c r="A86" s="218" t="s">
        <v>9371</v>
      </c>
      <c r="C86" s="218" t="s">
        <v>9574</v>
      </c>
      <c r="F86" s="456">
        <v>43850.0</v>
      </c>
      <c r="G86" s="218">
        <v>0.0</v>
      </c>
      <c r="H86" s="218">
        <v>401093.0</v>
      </c>
      <c r="I86" s="218" t="s">
        <v>9357</v>
      </c>
      <c r="J86" s="218" t="s">
        <v>9333</v>
      </c>
      <c r="K86" s="218" t="s">
        <v>9398</v>
      </c>
      <c r="L86" s="218">
        <v>15113.0</v>
      </c>
      <c r="M86" s="218">
        <v>168100.0</v>
      </c>
      <c r="N86" s="218">
        <v>1.0E8</v>
      </c>
      <c r="O86" s="218">
        <v>339008.0</v>
      </c>
      <c r="P86" s="218" t="s">
        <v>9374</v>
      </c>
      <c r="Q86" s="222">
        <v>35213.0</v>
      </c>
      <c r="R86" s="222">
        <v>-35213.0</v>
      </c>
      <c r="S86" s="222">
        <v>0.0</v>
      </c>
      <c r="U86" s="222">
        <v>0.0</v>
      </c>
      <c r="X86" s="218"/>
      <c r="AB86" t="e">
        <v>#N/A</v>
      </c>
    </row>
    <row r="87">
      <c r="A87" s="218" t="s">
        <v>9371</v>
      </c>
      <c r="C87" s="218" t="s">
        <v>9575</v>
      </c>
      <c r="F87" s="456">
        <v>43850.0</v>
      </c>
      <c r="G87" s="218">
        <v>0.0</v>
      </c>
      <c r="H87" s="218">
        <v>401093.0</v>
      </c>
      <c r="I87" s="218" t="s">
        <v>9361</v>
      </c>
      <c r="J87" s="218" t="s">
        <v>9333</v>
      </c>
      <c r="K87" s="218" t="s">
        <v>9398</v>
      </c>
      <c r="L87" s="218">
        <v>15113.0</v>
      </c>
      <c r="M87" s="218">
        <v>168102.0</v>
      </c>
      <c r="N87" s="218">
        <v>1.0E8</v>
      </c>
      <c r="O87" s="218">
        <v>339049.0</v>
      </c>
      <c r="P87" s="218" t="s">
        <v>9374</v>
      </c>
      <c r="Q87" s="222">
        <v>260.0</v>
      </c>
      <c r="R87" s="222">
        <v>-260.0</v>
      </c>
      <c r="S87" s="222">
        <v>0.0</v>
      </c>
      <c r="U87" s="222">
        <v>0.0</v>
      </c>
      <c r="X87" s="218"/>
      <c r="AB87" t="e">
        <v>#N/A</v>
      </c>
    </row>
    <row r="88">
      <c r="A88" s="218" t="s">
        <v>9371</v>
      </c>
      <c r="C88" s="218" t="s">
        <v>9576</v>
      </c>
      <c r="F88" s="456">
        <v>43850.0</v>
      </c>
      <c r="G88" s="218">
        <v>0.0</v>
      </c>
      <c r="H88" s="218">
        <v>401093.0</v>
      </c>
      <c r="I88" s="218" t="s">
        <v>9359</v>
      </c>
      <c r="J88" s="218" t="s">
        <v>9333</v>
      </c>
      <c r="K88" s="218" t="s">
        <v>9398</v>
      </c>
      <c r="L88" s="218">
        <v>15113.0</v>
      </c>
      <c r="M88" s="218">
        <v>168103.0</v>
      </c>
      <c r="N88" s="218">
        <v>1.0E8</v>
      </c>
      <c r="O88" s="218">
        <v>339046.0</v>
      </c>
      <c r="P88" s="218" t="s">
        <v>9374</v>
      </c>
      <c r="Q88" s="222">
        <v>317490.0</v>
      </c>
      <c r="R88" s="222">
        <v>-317490.0</v>
      </c>
      <c r="S88" s="222">
        <v>0.0</v>
      </c>
      <c r="U88" s="222">
        <v>0.0</v>
      </c>
      <c r="X88" s="218"/>
      <c r="AB88" t="e">
        <v>#N/A</v>
      </c>
    </row>
    <row r="89">
      <c r="A89" s="218" t="s">
        <v>9371</v>
      </c>
      <c r="C89" s="218" t="s">
        <v>9577</v>
      </c>
      <c r="F89" s="456">
        <v>43850.0</v>
      </c>
      <c r="G89" s="218">
        <v>0.0</v>
      </c>
      <c r="H89" s="218">
        <v>401093.0</v>
      </c>
      <c r="I89" s="218" t="s">
        <v>9363</v>
      </c>
      <c r="J89" s="218" t="s">
        <v>9333</v>
      </c>
      <c r="K89" s="218" t="s">
        <v>9398</v>
      </c>
      <c r="L89" s="218">
        <v>15113.0</v>
      </c>
      <c r="M89" s="218">
        <v>168104.0</v>
      </c>
      <c r="N89" s="218">
        <v>1.0E8</v>
      </c>
      <c r="O89" s="218">
        <v>339008.0</v>
      </c>
      <c r="P89" s="218" t="s">
        <v>9374</v>
      </c>
      <c r="Q89" s="222">
        <v>3387.0</v>
      </c>
      <c r="R89" s="222">
        <v>-3387.0</v>
      </c>
      <c r="S89" s="222">
        <v>0.0</v>
      </c>
      <c r="U89" s="222">
        <v>0.0</v>
      </c>
      <c r="X89" s="218"/>
      <c r="AB89" t="e">
        <v>#N/A</v>
      </c>
    </row>
    <row r="90">
      <c r="A90" s="218" t="s">
        <v>9371</v>
      </c>
      <c r="C90" s="218" t="s">
        <v>9578</v>
      </c>
      <c r="F90" s="457">
        <v>43850.0</v>
      </c>
      <c r="G90" s="218">
        <v>0.0</v>
      </c>
      <c r="H90" s="218">
        <v>401093.0</v>
      </c>
      <c r="I90" s="218" t="s">
        <v>9365</v>
      </c>
      <c r="J90" s="218" t="s">
        <v>9333</v>
      </c>
      <c r="K90" s="218" t="s">
        <v>9398</v>
      </c>
      <c r="L90" s="218">
        <v>15113.0</v>
      </c>
      <c r="M90" s="218">
        <v>168101.0</v>
      </c>
      <c r="N90" s="218">
        <v>1.51E8</v>
      </c>
      <c r="O90" s="218">
        <v>339093.0</v>
      </c>
      <c r="P90" s="218" t="s">
        <v>9374</v>
      </c>
      <c r="Q90" s="222">
        <v>239094.0</v>
      </c>
      <c r="R90" s="222">
        <v>-239094.0</v>
      </c>
      <c r="S90" s="222">
        <v>0.0</v>
      </c>
      <c r="U90" s="222">
        <v>0.0</v>
      </c>
      <c r="X90" s="218"/>
      <c r="AB90" t="e">
        <v>#N/A</v>
      </c>
    </row>
    <row r="91">
      <c r="A91" s="218" t="s">
        <v>781</v>
      </c>
      <c r="C91" s="218" t="s">
        <v>9579</v>
      </c>
      <c r="F91" s="456">
        <v>43850.0</v>
      </c>
      <c r="G91" s="218">
        <v>3.0</v>
      </c>
      <c r="H91" s="218">
        <v>401091.0</v>
      </c>
      <c r="J91" s="218" t="s">
        <v>9407</v>
      </c>
      <c r="K91" s="218" t="s">
        <v>9580</v>
      </c>
      <c r="L91" s="218">
        <v>15113.0</v>
      </c>
      <c r="M91" s="218">
        <v>168105.0</v>
      </c>
      <c r="N91" s="218">
        <v>1.0E8</v>
      </c>
      <c r="O91" s="218">
        <v>339039.0</v>
      </c>
      <c r="P91" s="218" t="s">
        <v>9409</v>
      </c>
      <c r="Q91" s="222">
        <v>3000.0</v>
      </c>
      <c r="R91" s="222">
        <v>3000.0</v>
      </c>
      <c r="S91" s="222">
        <v>3000.0</v>
      </c>
      <c r="U91" s="222">
        <v>972.66</v>
      </c>
      <c r="X91" s="218">
        <v>1.51132020000157E14</v>
      </c>
      <c r="AB91" t="e">
        <v>#N/A</v>
      </c>
    </row>
    <row r="92">
      <c r="A92" s="218" t="s">
        <v>781</v>
      </c>
      <c r="C92" s="218" t="s">
        <v>9581</v>
      </c>
      <c r="F92" s="456">
        <v>43850.0</v>
      </c>
      <c r="G92" s="218">
        <v>5.0</v>
      </c>
      <c r="H92" s="218">
        <v>401091.0</v>
      </c>
      <c r="J92" s="218" t="s">
        <v>9582</v>
      </c>
      <c r="K92" s="218" t="s">
        <v>9583</v>
      </c>
      <c r="L92" s="218">
        <v>15113.0</v>
      </c>
      <c r="M92" s="218">
        <v>168105.0</v>
      </c>
      <c r="N92" s="218">
        <v>1.0E8</v>
      </c>
      <c r="O92" s="218">
        <v>339039.0</v>
      </c>
      <c r="P92" s="218" t="s">
        <v>9584</v>
      </c>
      <c r="Q92" s="222">
        <v>9000.0</v>
      </c>
      <c r="R92" s="222">
        <v>9000.0</v>
      </c>
      <c r="S92" s="222">
        <v>8339.68</v>
      </c>
      <c r="U92" s="222">
        <v>702.46</v>
      </c>
      <c r="X92" s="218">
        <v>1.51132020000156E14</v>
      </c>
      <c r="AB92" t="e">
        <v>#N/A</v>
      </c>
    </row>
    <row r="93">
      <c r="A93" s="218" t="s">
        <v>9371</v>
      </c>
      <c r="C93" s="218" t="s">
        <v>9585</v>
      </c>
      <c r="F93" s="456">
        <v>43851.0</v>
      </c>
      <c r="G93" s="218">
        <v>1.0</v>
      </c>
      <c r="H93" s="218">
        <v>401091.0</v>
      </c>
      <c r="J93" s="218" t="s">
        <v>9586</v>
      </c>
      <c r="K93" s="218" t="s">
        <v>9587</v>
      </c>
      <c r="L93" s="218">
        <v>15113.0</v>
      </c>
      <c r="M93" s="218">
        <v>168105.0</v>
      </c>
      <c r="N93" s="218">
        <v>1.0E8</v>
      </c>
      <c r="O93" s="218">
        <v>339092.0</v>
      </c>
      <c r="P93" s="218" t="s">
        <v>9588</v>
      </c>
      <c r="Q93" s="222">
        <v>322.63</v>
      </c>
      <c r="R93" s="222">
        <v>322.63</v>
      </c>
      <c r="S93" s="222">
        <v>322.63</v>
      </c>
      <c r="U93" s="222">
        <v>0.0</v>
      </c>
      <c r="X93" s="218">
        <v>1.51132020000061E14</v>
      </c>
      <c r="AB93" t="e">
        <v>#N/A</v>
      </c>
    </row>
    <row r="94">
      <c r="A94" s="218" t="s">
        <v>9371</v>
      </c>
      <c r="C94" s="218" t="s">
        <v>9589</v>
      </c>
      <c r="F94" s="456">
        <v>43851.0</v>
      </c>
      <c r="G94" s="218">
        <v>1.0</v>
      </c>
      <c r="H94" s="218">
        <v>401091.0</v>
      </c>
      <c r="J94" s="218" t="s">
        <v>9590</v>
      </c>
      <c r="K94" s="218" t="s">
        <v>9591</v>
      </c>
      <c r="L94" s="218">
        <v>71103.0</v>
      </c>
      <c r="M94" s="218">
        <v>90162.0</v>
      </c>
      <c r="N94" s="218">
        <v>1.0E8</v>
      </c>
      <c r="O94" s="218">
        <v>319091.0</v>
      </c>
      <c r="P94" s="218" t="s">
        <v>9592</v>
      </c>
      <c r="Q94" s="222">
        <v>159632.25</v>
      </c>
      <c r="R94" s="222">
        <v>159632.25</v>
      </c>
      <c r="S94" s="222">
        <v>159632.25</v>
      </c>
      <c r="U94" s="222">
        <v>0.0</v>
      </c>
      <c r="X94" s="218">
        <v>1.51132020000204E14</v>
      </c>
      <c r="AB94" t="e">
        <v>#N/A</v>
      </c>
    </row>
    <row r="95">
      <c r="A95" s="218" t="s">
        <v>781</v>
      </c>
      <c r="C95" s="218" t="s">
        <v>9593</v>
      </c>
      <c r="F95" s="456">
        <v>43852.0</v>
      </c>
      <c r="G95" s="218">
        <v>3.0</v>
      </c>
      <c r="H95" s="218">
        <v>401091.0</v>
      </c>
      <c r="J95" s="218" t="s">
        <v>9594</v>
      </c>
      <c r="K95" s="218" t="s">
        <v>9595</v>
      </c>
      <c r="L95" s="218">
        <v>15113.0</v>
      </c>
      <c r="M95" s="218">
        <v>168105.0</v>
      </c>
      <c r="N95" s="218">
        <v>1.0E8</v>
      </c>
      <c r="O95" s="218">
        <v>339039.0</v>
      </c>
      <c r="P95" s="218" t="s">
        <v>9596</v>
      </c>
      <c r="Q95" s="222">
        <v>9000.0</v>
      </c>
      <c r="R95" s="222">
        <v>9000.0</v>
      </c>
      <c r="S95" s="222">
        <v>8187.0</v>
      </c>
      <c r="U95" s="222">
        <v>702.0</v>
      </c>
      <c r="X95" s="218">
        <v>1.51132020000156E14</v>
      </c>
      <c r="AB95" t="e">
        <v>#N/A</v>
      </c>
    </row>
    <row r="96">
      <c r="A96" s="218" t="s">
        <v>781</v>
      </c>
      <c r="C96" s="218" t="s">
        <v>9597</v>
      </c>
      <c r="F96" s="456">
        <v>43852.0</v>
      </c>
      <c r="G96" s="218">
        <v>3.0</v>
      </c>
      <c r="H96" s="218">
        <v>401091.0</v>
      </c>
      <c r="J96" s="218" t="s">
        <v>9462</v>
      </c>
      <c r="K96" s="218" t="s">
        <v>9598</v>
      </c>
      <c r="L96" s="218">
        <v>15113.0</v>
      </c>
      <c r="M96" s="218">
        <v>168105.0</v>
      </c>
      <c r="N96" s="218">
        <v>1.0E8</v>
      </c>
      <c r="O96" s="218">
        <v>339040.0</v>
      </c>
      <c r="P96" s="218" t="s">
        <v>9599</v>
      </c>
      <c r="Q96" s="222">
        <v>29400.0</v>
      </c>
      <c r="R96" s="222">
        <v>29400.0</v>
      </c>
      <c r="S96" s="222">
        <v>12527.04</v>
      </c>
      <c r="U96" s="222">
        <v>0.0</v>
      </c>
      <c r="X96" s="218">
        <v>1.51132020000161E14</v>
      </c>
      <c r="AB96" t="e">
        <v>#N/A</v>
      </c>
    </row>
    <row r="97">
      <c r="A97" s="218" t="s">
        <v>781</v>
      </c>
      <c r="C97" s="218" t="s">
        <v>9600</v>
      </c>
      <c r="F97" s="456">
        <v>43852.0</v>
      </c>
      <c r="G97" s="218">
        <v>3.0</v>
      </c>
      <c r="H97" s="218">
        <v>401091.0</v>
      </c>
      <c r="J97" s="218" t="s">
        <v>9601</v>
      </c>
      <c r="K97" s="218" t="s">
        <v>9602</v>
      </c>
      <c r="L97" s="218">
        <v>15113.0</v>
      </c>
      <c r="M97" s="218">
        <v>168105.0</v>
      </c>
      <c r="N97" s="218">
        <v>1.0E8</v>
      </c>
      <c r="O97" s="218">
        <v>339030.0</v>
      </c>
      <c r="P97" s="218" t="s">
        <v>9603</v>
      </c>
      <c r="Q97" s="222">
        <v>5985.0</v>
      </c>
      <c r="R97" s="222">
        <v>5985.0</v>
      </c>
      <c r="S97" s="222">
        <v>7315.0</v>
      </c>
      <c r="U97" s="222">
        <v>0.0</v>
      </c>
      <c r="X97" s="218">
        <v>1.51132020000131E14</v>
      </c>
      <c r="AB97" t="e">
        <v>#N/A</v>
      </c>
    </row>
    <row r="98">
      <c r="A98" s="218" t="s">
        <v>781</v>
      </c>
      <c r="C98" s="218" t="s">
        <v>9604</v>
      </c>
      <c r="F98" s="456">
        <v>43852.0</v>
      </c>
      <c r="G98" s="218">
        <v>3.0</v>
      </c>
      <c r="H98" s="218">
        <v>401091.0</v>
      </c>
      <c r="J98" s="218" t="s">
        <v>9601</v>
      </c>
      <c r="K98" s="218" t="s">
        <v>9605</v>
      </c>
      <c r="L98" s="218">
        <v>15113.0</v>
      </c>
      <c r="M98" s="218">
        <v>168105.0</v>
      </c>
      <c r="N98" s="218">
        <v>1.0E8</v>
      </c>
      <c r="O98" s="218">
        <v>339039.0</v>
      </c>
      <c r="P98" s="218" t="s">
        <v>9603</v>
      </c>
      <c r="Q98" s="222">
        <v>20300.0</v>
      </c>
      <c r="R98" s="222">
        <v>20300.0</v>
      </c>
      <c r="S98" s="222">
        <v>15171.6</v>
      </c>
      <c r="U98" s="222">
        <v>645.6</v>
      </c>
      <c r="X98" s="218">
        <v>1.51132020000158E14</v>
      </c>
      <c r="AB98" t="e">
        <v>#N/A</v>
      </c>
    </row>
    <row r="99">
      <c r="A99" s="218" t="s">
        <v>781</v>
      </c>
      <c r="C99" s="218" t="s">
        <v>9606</v>
      </c>
      <c r="F99" s="456">
        <v>43852.0</v>
      </c>
      <c r="G99" s="218">
        <v>5.0</v>
      </c>
      <c r="H99" s="218">
        <v>401091.0</v>
      </c>
      <c r="J99" s="218" t="s">
        <v>9607</v>
      </c>
      <c r="K99" s="218" t="s">
        <v>9608</v>
      </c>
      <c r="L99" s="218">
        <v>15113.0</v>
      </c>
      <c r="M99" s="218">
        <v>168105.0</v>
      </c>
      <c r="N99" s="218">
        <v>1.0E8</v>
      </c>
      <c r="O99" s="218">
        <v>339039.0</v>
      </c>
      <c r="P99" s="218" t="s">
        <v>9609</v>
      </c>
      <c r="Q99" s="222">
        <v>231118.6</v>
      </c>
      <c r="R99" s="222">
        <v>231118.6</v>
      </c>
      <c r="S99" s="222">
        <v>207619.0</v>
      </c>
      <c r="U99" s="222">
        <v>21409.36</v>
      </c>
      <c r="X99" s="218">
        <v>1.51132020000145E14</v>
      </c>
      <c r="AB99" t="e">
        <v>#N/A</v>
      </c>
    </row>
    <row r="100">
      <c r="A100" s="218" t="s">
        <v>781</v>
      </c>
      <c r="C100" s="218" t="s">
        <v>9610</v>
      </c>
      <c r="F100" s="456">
        <v>43852.0</v>
      </c>
      <c r="G100" s="218">
        <v>3.0</v>
      </c>
      <c r="H100" s="218">
        <v>401091.0</v>
      </c>
      <c r="J100" s="218" t="s">
        <v>9462</v>
      </c>
      <c r="K100" s="218" t="s">
        <v>9611</v>
      </c>
      <c r="L100" s="218">
        <v>15113.0</v>
      </c>
      <c r="M100" s="218">
        <v>168105.0</v>
      </c>
      <c r="N100" s="218">
        <v>1.0E8</v>
      </c>
      <c r="O100" s="218">
        <v>339039.0</v>
      </c>
      <c r="P100" s="218" t="s">
        <v>9612</v>
      </c>
      <c r="Q100" s="222">
        <v>23100.0</v>
      </c>
      <c r="R100" s="222">
        <v>23100.0</v>
      </c>
      <c r="S100" s="222">
        <v>8437.12</v>
      </c>
      <c r="U100" s="222">
        <v>0.0</v>
      </c>
      <c r="X100" s="218">
        <v>1.51132020000148E14</v>
      </c>
      <c r="AB100" t="e">
        <v>#N/A</v>
      </c>
    </row>
    <row r="101">
      <c r="A101" s="218" t="s">
        <v>9331</v>
      </c>
      <c r="C101" s="218" t="s">
        <v>9613</v>
      </c>
      <c r="F101" s="456">
        <v>43852.0</v>
      </c>
      <c r="G101" s="218">
        <v>0.0</v>
      </c>
      <c r="H101" s="218">
        <v>401093.0</v>
      </c>
      <c r="I101" s="218" t="s">
        <v>9348</v>
      </c>
      <c r="J101" s="218" t="s">
        <v>9333</v>
      </c>
      <c r="K101" s="218" t="s">
        <v>9398</v>
      </c>
      <c r="L101" s="218">
        <v>15113.0</v>
      </c>
      <c r="M101" s="218">
        <v>168099.0</v>
      </c>
      <c r="N101" s="218">
        <v>1.56E8</v>
      </c>
      <c r="O101" s="218">
        <v>319001.0</v>
      </c>
      <c r="P101" s="218" t="s">
        <v>9335</v>
      </c>
      <c r="Q101" s="222">
        <v>6037.52</v>
      </c>
      <c r="R101" s="222">
        <v>-6037.52</v>
      </c>
      <c r="S101" s="222">
        <v>0.0</v>
      </c>
      <c r="U101" s="222">
        <v>0.0</v>
      </c>
      <c r="X101" s="218"/>
      <c r="AB101" t="e">
        <v>#N/A</v>
      </c>
    </row>
    <row r="102">
      <c r="A102" s="218" t="s">
        <v>9331</v>
      </c>
      <c r="C102" s="218" t="s">
        <v>9614</v>
      </c>
      <c r="F102" s="456">
        <v>43852.0</v>
      </c>
      <c r="G102" s="218">
        <v>3.0</v>
      </c>
      <c r="H102" s="218">
        <v>401091.0</v>
      </c>
      <c r="J102" s="218" t="s">
        <v>9333</v>
      </c>
      <c r="K102" s="218" t="s">
        <v>9615</v>
      </c>
      <c r="L102" s="218">
        <v>15113.0</v>
      </c>
      <c r="M102" s="218">
        <v>168099.0</v>
      </c>
      <c r="N102" s="218">
        <v>1.56E8</v>
      </c>
      <c r="O102" s="218">
        <v>319092.0</v>
      </c>
      <c r="P102" s="218" t="s">
        <v>9335</v>
      </c>
      <c r="Q102" s="222">
        <v>6037.52</v>
      </c>
      <c r="R102" s="222">
        <v>6037.52</v>
      </c>
      <c r="S102" s="222">
        <v>6037.52</v>
      </c>
      <c r="U102" s="222">
        <v>0.0</v>
      </c>
      <c r="X102" s="218">
        <v>1.51132020000206E14</v>
      </c>
      <c r="AB102" t="e">
        <v>#N/A</v>
      </c>
    </row>
    <row r="103">
      <c r="A103" s="218" t="s">
        <v>781</v>
      </c>
      <c r="C103" s="218" t="s">
        <v>9616</v>
      </c>
      <c r="F103" s="456">
        <v>43852.0</v>
      </c>
      <c r="G103" s="218">
        <v>3.0</v>
      </c>
      <c r="H103" s="218">
        <v>401091.0</v>
      </c>
      <c r="J103" s="218" t="s">
        <v>9601</v>
      </c>
      <c r="K103" s="218" t="s">
        <v>9617</v>
      </c>
      <c r="L103" s="218">
        <v>15113.0</v>
      </c>
      <c r="M103" s="218">
        <v>168105.0</v>
      </c>
      <c r="N103" s="218">
        <v>1.0E8</v>
      </c>
      <c r="O103" s="218">
        <v>339030.0</v>
      </c>
      <c r="P103" s="218" t="s">
        <v>9618</v>
      </c>
      <c r="Q103" s="222">
        <v>500.0</v>
      </c>
      <c r="R103" s="222">
        <v>500.0</v>
      </c>
      <c r="S103" s="222">
        <v>0.0</v>
      </c>
      <c r="U103" s="222">
        <v>0.0</v>
      </c>
      <c r="X103" s="218">
        <v>1.51132020000131E14</v>
      </c>
      <c r="AB103" t="e">
        <v>#N/A</v>
      </c>
    </row>
    <row r="104">
      <c r="A104" s="218" t="s">
        <v>781</v>
      </c>
      <c r="C104" s="218" t="s">
        <v>9619</v>
      </c>
      <c r="F104" s="456">
        <v>43852.0</v>
      </c>
      <c r="G104" s="218">
        <v>3.0</v>
      </c>
      <c r="H104" s="218">
        <v>401091.0</v>
      </c>
      <c r="J104" s="218" t="s">
        <v>9601</v>
      </c>
      <c r="K104" s="218" t="s">
        <v>9620</v>
      </c>
      <c r="L104" s="218">
        <v>15113.0</v>
      </c>
      <c r="M104" s="218">
        <v>168105.0</v>
      </c>
      <c r="N104" s="218">
        <v>1.0E8</v>
      </c>
      <c r="O104" s="218">
        <v>339039.0</v>
      </c>
      <c r="P104" s="218" t="s">
        <v>9618</v>
      </c>
      <c r="Q104" s="222">
        <v>7300.0</v>
      </c>
      <c r="R104" s="222">
        <v>7300.0</v>
      </c>
      <c r="S104" s="222">
        <v>6960.0</v>
      </c>
      <c r="U104" s="222">
        <v>580.0</v>
      </c>
      <c r="X104" s="218">
        <v>1.51132020000158E14</v>
      </c>
      <c r="AB104" t="e">
        <v>#N/A</v>
      </c>
    </row>
    <row r="105">
      <c r="A105" s="218" t="s">
        <v>781</v>
      </c>
      <c r="C105" s="218" t="s">
        <v>9621</v>
      </c>
      <c r="F105" s="456">
        <v>43852.0</v>
      </c>
      <c r="G105" s="218">
        <v>3.0</v>
      </c>
      <c r="H105" s="218">
        <v>401091.0</v>
      </c>
      <c r="J105" s="218" t="s">
        <v>9622</v>
      </c>
      <c r="K105" s="218" t="s">
        <v>9623</v>
      </c>
      <c r="L105" s="218">
        <v>15113.0</v>
      </c>
      <c r="M105" s="218">
        <v>168105.0</v>
      </c>
      <c r="N105" s="218">
        <v>1.0E8</v>
      </c>
      <c r="O105" s="218">
        <v>339039.0</v>
      </c>
      <c r="P105" s="218" t="s">
        <v>9624</v>
      </c>
      <c r="Q105" s="222">
        <v>9300.0</v>
      </c>
      <c r="R105" s="222">
        <v>9300.0</v>
      </c>
      <c r="S105" s="222">
        <v>9090.63</v>
      </c>
      <c r="U105" s="222">
        <v>791.63</v>
      </c>
      <c r="X105" s="218">
        <v>1.51132020000156E14</v>
      </c>
      <c r="AB105" t="e">
        <v>#N/A</v>
      </c>
    </row>
    <row r="106">
      <c r="A106" s="218" t="s">
        <v>781</v>
      </c>
      <c r="C106" s="218" t="s">
        <v>9625</v>
      </c>
      <c r="F106" s="456">
        <v>43852.0</v>
      </c>
      <c r="G106" s="218">
        <v>3.0</v>
      </c>
      <c r="H106" s="218">
        <v>401091.0</v>
      </c>
      <c r="J106" s="218" t="s">
        <v>9626</v>
      </c>
      <c r="K106" s="218" t="s">
        <v>9627</v>
      </c>
      <c r="L106" s="218">
        <v>15113.0</v>
      </c>
      <c r="M106" s="218">
        <v>168105.0</v>
      </c>
      <c r="N106" s="218">
        <v>1.0E8</v>
      </c>
      <c r="O106" s="218">
        <v>339039.0</v>
      </c>
      <c r="P106" s="218" t="s">
        <v>9628</v>
      </c>
      <c r="Q106" s="222">
        <v>27000.0</v>
      </c>
      <c r="R106" s="222">
        <v>27000.0</v>
      </c>
      <c r="S106" s="222">
        <v>26104.07</v>
      </c>
      <c r="U106" s="222">
        <v>2123.72</v>
      </c>
      <c r="X106" s="218">
        <v>1.51132020000146E14</v>
      </c>
      <c r="AB106" t="e">
        <v>#N/A</v>
      </c>
    </row>
    <row r="107">
      <c r="A107" s="218" t="s">
        <v>781</v>
      </c>
      <c r="C107" s="218" t="s">
        <v>9629</v>
      </c>
      <c r="F107" s="456">
        <v>43852.0</v>
      </c>
      <c r="G107" s="218">
        <v>3.0</v>
      </c>
      <c r="H107" s="218">
        <v>401091.0</v>
      </c>
      <c r="J107" s="218" t="s">
        <v>9630</v>
      </c>
      <c r="K107" s="218" t="s">
        <v>9631</v>
      </c>
      <c r="L107" s="218">
        <v>15113.0</v>
      </c>
      <c r="M107" s="218">
        <v>168105.0</v>
      </c>
      <c r="N107" s="218">
        <v>1.0E8</v>
      </c>
      <c r="O107" s="218">
        <v>339039.0</v>
      </c>
      <c r="P107" s="218" t="s">
        <v>9632</v>
      </c>
      <c r="Q107" s="222">
        <v>317016.0</v>
      </c>
      <c r="R107" s="222">
        <v>317016.0</v>
      </c>
      <c r="S107" s="222">
        <v>316797.16</v>
      </c>
      <c r="U107" s="222">
        <v>25393.0</v>
      </c>
      <c r="X107" s="218">
        <v>1.5113202000015E14</v>
      </c>
      <c r="AB107" t="e">
        <v>#N/A</v>
      </c>
    </row>
    <row r="108">
      <c r="A108" s="218" t="s">
        <v>781</v>
      </c>
      <c r="C108" s="218" t="s">
        <v>9633</v>
      </c>
      <c r="F108" s="456">
        <v>43852.0</v>
      </c>
      <c r="G108" s="218">
        <v>3.0</v>
      </c>
      <c r="H108" s="218">
        <v>401091.0</v>
      </c>
      <c r="J108" s="218" t="s">
        <v>9543</v>
      </c>
      <c r="K108" s="218" t="s">
        <v>9634</v>
      </c>
      <c r="L108" s="218">
        <v>15113.0</v>
      </c>
      <c r="M108" s="218">
        <v>168105.0</v>
      </c>
      <c r="N108" s="218">
        <v>1.0E8</v>
      </c>
      <c r="O108" s="218">
        <v>339039.0</v>
      </c>
      <c r="P108" s="218" t="s">
        <v>9635</v>
      </c>
      <c r="Q108" s="222">
        <v>119000.0</v>
      </c>
      <c r="R108" s="222">
        <v>119000.0</v>
      </c>
      <c r="S108" s="222">
        <v>603429.21</v>
      </c>
      <c r="U108" s="222">
        <v>8386.47</v>
      </c>
      <c r="X108" s="218">
        <v>1.51132020000156E14</v>
      </c>
      <c r="AB108" t="e">
        <v>#N/A</v>
      </c>
    </row>
    <row r="109">
      <c r="A109" s="218" t="s">
        <v>781</v>
      </c>
      <c r="C109" s="218" t="s">
        <v>9636</v>
      </c>
      <c r="F109" s="456">
        <v>43852.0</v>
      </c>
      <c r="G109" s="218">
        <v>5.0</v>
      </c>
      <c r="H109" s="218">
        <v>401091.0</v>
      </c>
      <c r="J109" s="218" t="s">
        <v>9637</v>
      </c>
      <c r="K109" s="218" t="s">
        <v>9638</v>
      </c>
      <c r="L109" s="218">
        <v>15113.0</v>
      </c>
      <c r="M109" s="218">
        <v>168105.0</v>
      </c>
      <c r="N109" s="218">
        <v>1.0E8</v>
      </c>
      <c r="O109" s="218">
        <v>339039.0</v>
      </c>
      <c r="P109" s="218" t="s">
        <v>9639</v>
      </c>
      <c r="Q109" s="222">
        <v>15000.0</v>
      </c>
      <c r="R109" s="222">
        <v>15000.0</v>
      </c>
      <c r="S109" s="222">
        <v>10300.0</v>
      </c>
      <c r="U109" s="222">
        <v>1723.84</v>
      </c>
      <c r="X109" s="218">
        <v>1.51132020000171E14</v>
      </c>
      <c r="AB109" t="e">
        <v>#N/A</v>
      </c>
    </row>
    <row r="110">
      <c r="A110" s="218" t="s">
        <v>781</v>
      </c>
      <c r="C110" s="218" t="s">
        <v>9640</v>
      </c>
      <c r="F110" s="456">
        <v>43852.0</v>
      </c>
      <c r="G110" s="218">
        <v>5.0</v>
      </c>
      <c r="H110" s="218">
        <v>401091.0</v>
      </c>
      <c r="J110" s="218" t="s">
        <v>9641</v>
      </c>
      <c r="K110" s="218" t="s">
        <v>9642</v>
      </c>
      <c r="L110" s="218">
        <v>15113.0</v>
      </c>
      <c r="M110" s="218">
        <v>168105.0</v>
      </c>
      <c r="N110" s="218">
        <v>1.0E8</v>
      </c>
      <c r="O110" s="218">
        <v>339039.0</v>
      </c>
      <c r="P110" s="218" t="s">
        <v>9639</v>
      </c>
      <c r="Q110" s="222">
        <v>150000.0</v>
      </c>
      <c r="R110" s="222">
        <v>150000.0</v>
      </c>
      <c r="S110" s="222">
        <v>122600.0</v>
      </c>
      <c r="U110" s="222">
        <v>9763.52</v>
      </c>
      <c r="X110" s="218">
        <v>1.51132020000171E14</v>
      </c>
      <c r="AB110" t="e">
        <v>#N/A</v>
      </c>
    </row>
    <row r="111">
      <c r="A111" s="218" t="s">
        <v>781</v>
      </c>
      <c r="C111" s="218" t="s">
        <v>9643</v>
      </c>
      <c r="F111" s="456">
        <v>43852.0</v>
      </c>
      <c r="G111" s="218">
        <v>5.0</v>
      </c>
      <c r="H111" s="218">
        <v>401091.0</v>
      </c>
      <c r="J111" s="218" t="s">
        <v>9644</v>
      </c>
      <c r="K111" s="218" t="s">
        <v>9645</v>
      </c>
      <c r="L111" s="218">
        <v>15113.0</v>
      </c>
      <c r="M111" s="218">
        <v>168105.0</v>
      </c>
      <c r="N111" s="218">
        <v>1.0E8</v>
      </c>
      <c r="O111" s="218">
        <v>339039.0</v>
      </c>
      <c r="P111" s="218" t="s">
        <v>9639</v>
      </c>
      <c r="Q111" s="222">
        <v>4200.0</v>
      </c>
      <c r="R111" s="222">
        <v>4200.0</v>
      </c>
      <c r="S111" s="222">
        <v>5208.99</v>
      </c>
      <c r="U111" s="222">
        <v>0.0</v>
      </c>
      <c r="X111" s="218">
        <v>1.51132020000171E14</v>
      </c>
      <c r="AB111" t="e">
        <v>#N/A</v>
      </c>
    </row>
    <row r="112">
      <c r="A112" s="218" t="s">
        <v>781</v>
      </c>
      <c r="C112" s="218" t="s">
        <v>9646</v>
      </c>
      <c r="F112" s="456">
        <v>43852.0</v>
      </c>
      <c r="G112" s="218">
        <v>5.0</v>
      </c>
      <c r="H112" s="218">
        <v>401091.0</v>
      </c>
      <c r="J112" s="218" t="s">
        <v>9647</v>
      </c>
      <c r="K112" s="218" t="s">
        <v>9648</v>
      </c>
      <c r="L112" s="218">
        <v>15113.0</v>
      </c>
      <c r="M112" s="218">
        <v>168105.0</v>
      </c>
      <c r="N112" s="218">
        <v>1.0E8</v>
      </c>
      <c r="O112" s="218">
        <v>339039.0</v>
      </c>
      <c r="P112" s="218" t="s">
        <v>9639</v>
      </c>
      <c r="Q112" s="222">
        <v>1572.0</v>
      </c>
      <c r="R112" s="222">
        <v>1572.0</v>
      </c>
      <c r="S112" s="222">
        <v>1471.59</v>
      </c>
      <c r="U112" s="222">
        <v>0.0</v>
      </c>
      <c r="X112" s="218">
        <v>1.51132020000171E14</v>
      </c>
      <c r="AB112" t="e">
        <v>#N/A</v>
      </c>
    </row>
    <row r="113">
      <c r="A113" s="218" t="s">
        <v>781</v>
      </c>
      <c r="C113" s="218" t="s">
        <v>9649</v>
      </c>
      <c r="F113" s="456">
        <v>43853.0</v>
      </c>
      <c r="G113" s="218">
        <v>1.0</v>
      </c>
      <c r="H113" s="218">
        <v>401091.0</v>
      </c>
      <c r="J113" s="218" t="s">
        <v>9469</v>
      </c>
      <c r="K113" s="218" t="s">
        <v>9650</v>
      </c>
      <c r="L113" s="218">
        <v>15113.0</v>
      </c>
      <c r="M113" s="218">
        <v>168105.0</v>
      </c>
      <c r="N113" s="218">
        <v>1.0E8</v>
      </c>
      <c r="O113" s="218">
        <v>339092.0</v>
      </c>
      <c r="P113" s="218" t="s">
        <v>9467</v>
      </c>
      <c r="Q113" s="222">
        <v>514.11</v>
      </c>
      <c r="R113" s="222">
        <v>514.11</v>
      </c>
      <c r="S113" s="222">
        <v>514.11</v>
      </c>
      <c r="U113" s="222">
        <v>0.0</v>
      </c>
      <c r="X113" s="218">
        <v>1.51132020000114E14</v>
      </c>
      <c r="AB113" t="e">
        <v>#N/A</v>
      </c>
    </row>
    <row r="114">
      <c r="A114" s="218" t="s">
        <v>781</v>
      </c>
      <c r="C114" s="218" t="s">
        <v>9651</v>
      </c>
      <c r="F114" s="456">
        <v>43853.0</v>
      </c>
      <c r="G114" s="218">
        <v>1.0</v>
      </c>
      <c r="H114" s="218">
        <v>401091.0</v>
      </c>
      <c r="J114" s="218" t="s">
        <v>9652</v>
      </c>
      <c r="K114" s="218" t="s">
        <v>9653</v>
      </c>
      <c r="L114" s="218">
        <v>15113.0</v>
      </c>
      <c r="M114" s="218">
        <v>168105.0</v>
      </c>
      <c r="N114" s="218">
        <v>1.0E8</v>
      </c>
      <c r="O114" s="218">
        <v>339030.0</v>
      </c>
      <c r="P114" s="218" t="s">
        <v>9654</v>
      </c>
      <c r="Q114" s="222">
        <v>1403.11</v>
      </c>
      <c r="R114" s="222">
        <v>1403.11</v>
      </c>
      <c r="S114" s="222">
        <v>1403.11</v>
      </c>
      <c r="U114" s="222">
        <v>0.0</v>
      </c>
      <c r="X114" s="218">
        <v>1.51132020000132E14</v>
      </c>
      <c r="AB114" t="e">
        <v>#N/A</v>
      </c>
    </row>
    <row r="115">
      <c r="A115" s="218" t="s">
        <v>781</v>
      </c>
      <c r="C115" s="218" t="s">
        <v>9655</v>
      </c>
      <c r="F115" s="456">
        <v>43853.0</v>
      </c>
      <c r="G115" s="218">
        <v>1.0</v>
      </c>
      <c r="H115" s="218">
        <v>401091.0</v>
      </c>
      <c r="J115" s="218" t="s">
        <v>9652</v>
      </c>
      <c r="K115" s="218" t="s">
        <v>9656</v>
      </c>
      <c r="L115" s="218">
        <v>15113.0</v>
      </c>
      <c r="M115" s="218">
        <v>168105.0</v>
      </c>
      <c r="N115" s="218">
        <v>1.0E8</v>
      </c>
      <c r="O115" s="218">
        <v>339039.0</v>
      </c>
      <c r="P115" s="218" t="s">
        <v>9654</v>
      </c>
      <c r="Q115" s="222">
        <v>428.0</v>
      </c>
      <c r="R115" s="222">
        <v>428.0</v>
      </c>
      <c r="S115" s="222">
        <v>428.0</v>
      </c>
      <c r="U115" s="222">
        <v>0.0</v>
      </c>
      <c r="X115" s="218">
        <v>1.51132020000149E14</v>
      </c>
      <c r="AB115" t="e">
        <v>#N/A</v>
      </c>
    </row>
    <row r="116">
      <c r="A116" s="218" t="s">
        <v>116</v>
      </c>
      <c r="C116" s="218" t="s">
        <v>9657</v>
      </c>
      <c r="F116" s="456">
        <v>43853.0</v>
      </c>
      <c r="G116" s="218">
        <v>3.0</v>
      </c>
      <c r="H116" s="218">
        <v>401091.0</v>
      </c>
      <c r="J116" s="218" t="s">
        <v>9658</v>
      </c>
      <c r="K116" s="218" t="s">
        <v>9659</v>
      </c>
      <c r="L116" s="218">
        <v>15113.0</v>
      </c>
      <c r="M116" s="218">
        <v>168107.0</v>
      </c>
      <c r="N116" s="218">
        <v>1.0E8</v>
      </c>
      <c r="O116" s="218">
        <v>449040.0</v>
      </c>
      <c r="P116" s="218" t="s">
        <v>9660</v>
      </c>
      <c r="Q116" s="222">
        <v>59102.89</v>
      </c>
      <c r="R116" s="222">
        <v>59102.89</v>
      </c>
      <c r="S116" s="222">
        <v>0.0</v>
      </c>
      <c r="U116" s="222">
        <v>0.0</v>
      </c>
      <c r="X116" s="218">
        <v>1.51132020000031E14</v>
      </c>
      <c r="AB116" t="e">
        <v>#N/A</v>
      </c>
    </row>
    <row r="117">
      <c r="A117" s="218" t="s">
        <v>116</v>
      </c>
      <c r="C117" s="218" t="s">
        <v>9661</v>
      </c>
      <c r="F117" s="456">
        <v>43853.0</v>
      </c>
      <c r="G117" s="218">
        <v>1.0</v>
      </c>
      <c r="H117" s="218">
        <v>401091.0</v>
      </c>
      <c r="J117" s="218" t="s">
        <v>9662</v>
      </c>
      <c r="K117" s="218" t="s">
        <v>9663</v>
      </c>
      <c r="L117" s="218">
        <v>15113.0</v>
      </c>
      <c r="M117" s="218">
        <v>168107.0</v>
      </c>
      <c r="N117" s="218">
        <v>1.0E8</v>
      </c>
      <c r="O117" s="218">
        <v>339040.0</v>
      </c>
      <c r="P117" s="218" t="s">
        <v>9664</v>
      </c>
      <c r="Q117" s="222">
        <v>3345.6</v>
      </c>
      <c r="R117" s="222">
        <v>3345.6</v>
      </c>
      <c r="S117" s="222">
        <v>3345.6</v>
      </c>
      <c r="U117" s="222">
        <v>0.0</v>
      </c>
      <c r="X117" s="218">
        <v>1.51132020000205E14</v>
      </c>
      <c r="AB117" t="e">
        <v>#N/A</v>
      </c>
    </row>
    <row r="118">
      <c r="A118" s="218" t="s">
        <v>116</v>
      </c>
      <c r="C118" s="218" t="s">
        <v>9665</v>
      </c>
      <c r="F118" s="456">
        <v>43853.0</v>
      </c>
      <c r="G118" s="218">
        <v>3.0</v>
      </c>
      <c r="H118" s="218">
        <v>401091.0</v>
      </c>
      <c r="J118" s="218" t="s">
        <v>9666</v>
      </c>
      <c r="K118" s="218" t="s">
        <v>9667</v>
      </c>
      <c r="L118" s="218">
        <v>15113.0</v>
      </c>
      <c r="M118" s="218">
        <v>168107.0</v>
      </c>
      <c r="N118" s="218">
        <v>1.0E8</v>
      </c>
      <c r="O118" s="218">
        <v>339040.0</v>
      </c>
      <c r="P118" s="218" t="s">
        <v>261</v>
      </c>
      <c r="Q118" s="222">
        <v>203112.0</v>
      </c>
      <c r="R118" s="222">
        <v>203112.0</v>
      </c>
      <c r="S118" s="222">
        <v>203112.0</v>
      </c>
      <c r="U118" s="222">
        <v>31512.0</v>
      </c>
      <c r="X118" s="218">
        <v>1.5113202000003E14</v>
      </c>
      <c r="AB118" t="e">
        <v>#N/A</v>
      </c>
    </row>
    <row r="119">
      <c r="A119" s="218" t="s">
        <v>116</v>
      </c>
      <c r="C119" s="218" t="s">
        <v>9668</v>
      </c>
      <c r="F119" s="456">
        <v>43853.0</v>
      </c>
      <c r="G119" s="218">
        <v>5.0</v>
      </c>
      <c r="H119" s="218">
        <v>401091.0</v>
      </c>
      <c r="J119" s="218" t="s">
        <v>9669</v>
      </c>
      <c r="K119" s="218" t="s">
        <v>9670</v>
      </c>
      <c r="L119" s="218">
        <v>15113.0</v>
      </c>
      <c r="M119" s="218">
        <v>168107.0</v>
      </c>
      <c r="N119" s="218">
        <v>1.0E8</v>
      </c>
      <c r="O119" s="218">
        <v>339040.0</v>
      </c>
      <c r="P119" s="218" t="s">
        <v>9671</v>
      </c>
      <c r="Q119" s="222">
        <v>306941.67</v>
      </c>
      <c r="R119" s="222">
        <v>306941.67</v>
      </c>
      <c r="S119" s="222">
        <v>306941.67</v>
      </c>
      <c r="U119" s="222">
        <v>53271.47</v>
      </c>
      <c r="X119" s="218">
        <v>1.51132020000028E14</v>
      </c>
      <c r="AB119" t="e">
        <v>#N/A</v>
      </c>
    </row>
    <row r="120">
      <c r="A120" s="218" t="s">
        <v>116</v>
      </c>
      <c r="C120" s="218" t="s">
        <v>9672</v>
      </c>
      <c r="F120" s="456">
        <v>43853.0</v>
      </c>
      <c r="G120" s="218">
        <v>5.0</v>
      </c>
      <c r="H120" s="218">
        <v>401091.0</v>
      </c>
      <c r="J120" s="218" t="s">
        <v>9673</v>
      </c>
      <c r="K120" s="218" t="s">
        <v>9674</v>
      </c>
      <c r="L120" s="218">
        <v>15113.0</v>
      </c>
      <c r="M120" s="218">
        <v>168107.0</v>
      </c>
      <c r="N120" s="218">
        <v>1.0E8</v>
      </c>
      <c r="O120" s="218">
        <v>339040.0</v>
      </c>
      <c r="P120" s="218" t="s">
        <v>149</v>
      </c>
      <c r="Q120" s="222">
        <v>82471.2</v>
      </c>
      <c r="R120" s="222">
        <v>82471.2</v>
      </c>
      <c r="S120" s="222">
        <v>82471.2</v>
      </c>
      <c r="U120" s="222">
        <v>6872.6</v>
      </c>
      <c r="X120" s="218">
        <v>1.51132020000001E14</v>
      </c>
      <c r="AB120" t="e">
        <v>#N/A</v>
      </c>
    </row>
    <row r="121">
      <c r="A121" s="218" t="s">
        <v>116</v>
      </c>
      <c r="C121" s="218" t="s">
        <v>9675</v>
      </c>
      <c r="F121" s="456">
        <v>43853.0</v>
      </c>
      <c r="G121" s="218">
        <v>3.0</v>
      </c>
      <c r="H121" s="218">
        <v>401091.0</v>
      </c>
      <c r="J121" s="218" t="s">
        <v>9676</v>
      </c>
      <c r="K121" s="218" t="s">
        <v>9677</v>
      </c>
      <c r="L121" s="218">
        <v>15113.0</v>
      </c>
      <c r="M121" s="218">
        <v>168107.0</v>
      </c>
      <c r="N121" s="218">
        <v>1.0E8</v>
      </c>
      <c r="O121" s="218">
        <v>339040.0</v>
      </c>
      <c r="P121" s="218" t="s">
        <v>230</v>
      </c>
      <c r="Q121" s="222">
        <v>154001.25</v>
      </c>
      <c r="R121" s="222">
        <v>154001.25</v>
      </c>
      <c r="S121" s="222">
        <v>151692.49</v>
      </c>
      <c r="U121" s="222">
        <v>25916.69</v>
      </c>
      <c r="X121" s="218">
        <v>1.5113202000002E14</v>
      </c>
      <c r="AB121" t="e">
        <v>#N/A</v>
      </c>
    </row>
    <row r="122">
      <c r="A122" s="218" t="s">
        <v>9430</v>
      </c>
      <c r="C122" s="218" t="s">
        <v>9678</v>
      </c>
      <c r="F122" s="456">
        <v>43853.0</v>
      </c>
      <c r="G122" s="218">
        <v>0.0</v>
      </c>
      <c r="H122" s="218">
        <v>401093.0</v>
      </c>
      <c r="I122" s="218" t="s">
        <v>9481</v>
      </c>
      <c r="J122" s="218" t="s">
        <v>9482</v>
      </c>
      <c r="K122" s="218" t="s">
        <v>9398</v>
      </c>
      <c r="L122" s="218">
        <v>15113.0</v>
      </c>
      <c r="M122" s="218">
        <v>168105.0</v>
      </c>
      <c r="N122" s="218">
        <v>1.0E8</v>
      </c>
      <c r="O122" s="218">
        <v>339039.0</v>
      </c>
      <c r="P122" s="218" t="s">
        <v>9484</v>
      </c>
      <c r="Q122" s="222">
        <v>0.3</v>
      </c>
      <c r="R122" s="222">
        <v>-0.3</v>
      </c>
      <c r="S122" s="222">
        <v>0.0</v>
      </c>
      <c r="U122" s="222">
        <v>0.0</v>
      </c>
      <c r="AB122" t="e">
        <v>#N/A</v>
      </c>
    </row>
    <row r="123">
      <c r="A123" s="218" t="s">
        <v>781</v>
      </c>
      <c r="C123" s="218" t="s">
        <v>9679</v>
      </c>
      <c r="F123" s="456">
        <v>43853.0</v>
      </c>
      <c r="G123" s="218">
        <v>3.0</v>
      </c>
      <c r="H123" s="218">
        <v>401091.0</v>
      </c>
      <c r="J123" s="218" t="s">
        <v>9680</v>
      </c>
      <c r="K123" s="218" t="s">
        <v>9681</v>
      </c>
      <c r="L123" s="218">
        <v>15113.0</v>
      </c>
      <c r="M123" s="218">
        <v>168105.0</v>
      </c>
      <c r="N123" s="218">
        <v>1.27E8</v>
      </c>
      <c r="O123" s="218">
        <v>339039.0</v>
      </c>
      <c r="P123" s="218" t="s">
        <v>9682</v>
      </c>
      <c r="Q123" s="222">
        <v>897629.0</v>
      </c>
      <c r="R123" s="222">
        <v>897629.0</v>
      </c>
      <c r="S123" s="222">
        <v>1337629.0</v>
      </c>
      <c r="U123" s="222">
        <v>236977.43</v>
      </c>
      <c r="X123" s="218">
        <v>1.51132020000142E14</v>
      </c>
      <c r="AB123" t="e">
        <v>#N/A</v>
      </c>
    </row>
    <row r="124">
      <c r="A124" s="218" t="s">
        <v>116</v>
      </c>
      <c r="C124" s="218" t="s">
        <v>9683</v>
      </c>
      <c r="F124" s="456">
        <v>43854.0</v>
      </c>
      <c r="G124" s="218">
        <v>5.0</v>
      </c>
      <c r="H124" s="218">
        <v>401091.0</v>
      </c>
      <c r="J124" s="218" t="s">
        <v>9684</v>
      </c>
      <c r="K124" s="218" t="s">
        <v>9685</v>
      </c>
      <c r="L124" s="218">
        <v>15113.0</v>
      </c>
      <c r="M124" s="218">
        <v>168107.0</v>
      </c>
      <c r="N124" s="218">
        <v>1.0E8</v>
      </c>
      <c r="O124" s="218">
        <v>339092.0</v>
      </c>
      <c r="P124" s="218" t="s">
        <v>441</v>
      </c>
      <c r="Q124" s="222">
        <v>554.7</v>
      </c>
      <c r="R124" s="222">
        <v>554.7</v>
      </c>
      <c r="S124" s="222">
        <v>554.7</v>
      </c>
      <c r="U124" s="222">
        <v>0.0</v>
      </c>
      <c r="X124" s="218">
        <v>1.51132020000015E14</v>
      </c>
      <c r="AB124" t="e">
        <v>#N/A</v>
      </c>
    </row>
    <row r="125">
      <c r="A125" s="218" t="s">
        <v>116</v>
      </c>
      <c r="C125" s="218" t="s">
        <v>9686</v>
      </c>
      <c r="F125" s="456">
        <v>43854.0</v>
      </c>
      <c r="G125" s="218">
        <v>5.0</v>
      </c>
      <c r="H125" s="218">
        <v>401091.0</v>
      </c>
      <c r="J125" s="218" t="s">
        <v>9684</v>
      </c>
      <c r="K125" s="219" t="s">
        <v>9687</v>
      </c>
      <c r="L125" s="218">
        <v>15113.0</v>
      </c>
      <c r="M125" s="218">
        <v>168107.0</v>
      </c>
      <c r="N125" s="218">
        <v>1.0E8</v>
      </c>
      <c r="O125" s="218">
        <v>339040.0</v>
      </c>
      <c r="P125" s="218" t="s">
        <v>441</v>
      </c>
      <c r="Q125" s="222">
        <v>319771.54</v>
      </c>
      <c r="R125" s="222">
        <v>319771.54</v>
      </c>
      <c r="S125" s="222">
        <v>303426.25</v>
      </c>
      <c r="U125" s="222">
        <v>25710.5</v>
      </c>
      <c r="X125" s="218">
        <v>1.51132020000015E14</v>
      </c>
      <c r="AB125" t="e">
        <v>#N/A</v>
      </c>
    </row>
    <row r="126">
      <c r="A126" s="218" t="s">
        <v>781</v>
      </c>
      <c r="C126" s="218" t="s">
        <v>9688</v>
      </c>
      <c r="E126" s="218"/>
      <c r="F126" s="456">
        <v>43854.0</v>
      </c>
      <c r="G126" s="218">
        <v>1.0</v>
      </c>
      <c r="H126" s="218">
        <v>401091.0</v>
      </c>
      <c r="J126" s="218" t="s">
        <v>9689</v>
      </c>
      <c r="K126" s="218" t="s">
        <v>9690</v>
      </c>
      <c r="L126" s="218">
        <v>15113.0</v>
      </c>
      <c r="M126" s="218">
        <v>168105.0</v>
      </c>
      <c r="N126" s="218">
        <v>1.0E8</v>
      </c>
      <c r="O126" s="218">
        <v>339047.0</v>
      </c>
      <c r="P126" s="218" t="s">
        <v>9691</v>
      </c>
      <c r="Q126" s="222">
        <v>938.74</v>
      </c>
      <c r="R126" s="222">
        <v>938.74</v>
      </c>
      <c r="S126" s="222">
        <v>938.74</v>
      </c>
      <c r="U126" s="222">
        <v>0.0</v>
      </c>
      <c r="X126" s="218">
        <v>1.51132020000168E14</v>
      </c>
      <c r="AB126" t="e">
        <v>#N/A</v>
      </c>
    </row>
    <row r="127">
      <c r="A127" s="218" t="s">
        <v>781</v>
      </c>
      <c r="C127" s="218" t="s">
        <v>9692</v>
      </c>
      <c r="F127" s="456">
        <v>43854.0</v>
      </c>
      <c r="G127" s="218">
        <v>1.0</v>
      </c>
      <c r="H127" s="218">
        <v>401091.0</v>
      </c>
      <c r="J127" s="218" t="s">
        <v>9693</v>
      </c>
      <c r="K127" s="219" t="s">
        <v>9694</v>
      </c>
      <c r="L127" s="218">
        <v>15113.0</v>
      </c>
      <c r="M127" s="218">
        <v>168105.0</v>
      </c>
      <c r="N127" s="218">
        <v>1.0E8</v>
      </c>
      <c r="O127" s="218">
        <v>339047.0</v>
      </c>
      <c r="P127" s="218" t="s">
        <v>9695</v>
      </c>
      <c r="Q127" s="222">
        <v>15653.6</v>
      </c>
      <c r="R127" s="222">
        <v>15653.6</v>
      </c>
      <c r="S127" s="222">
        <v>0.0</v>
      </c>
      <c r="U127" s="222">
        <v>0.0</v>
      </c>
      <c r="X127" s="218">
        <v>1.51132020000168E14</v>
      </c>
      <c r="AB127" t="e">
        <v>#N/A</v>
      </c>
    </row>
    <row r="128">
      <c r="A128" s="218" t="s">
        <v>116</v>
      </c>
      <c r="C128" s="218" t="s">
        <v>9696</v>
      </c>
      <c r="F128" s="456">
        <v>43854.0</v>
      </c>
      <c r="G128" s="218">
        <v>5.0</v>
      </c>
      <c r="H128" s="218">
        <v>401091.0</v>
      </c>
      <c r="J128" s="218" t="s">
        <v>9697</v>
      </c>
      <c r="K128" s="219" t="s">
        <v>9698</v>
      </c>
      <c r="L128" s="218">
        <v>15113.0</v>
      </c>
      <c r="M128" s="218">
        <v>168105.0</v>
      </c>
      <c r="N128" s="218">
        <v>1.0E8</v>
      </c>
      <c r="O128" s="218">
        <v>339040.0</v>
      </c>
      <c r="P128" s="218" t="s">
        <v>9699</v>
      </c>
      <c r="Q128" s="222">
        <v>3449.92</v>
      </c>
      <c r="R128" s="222">
        <v>3449.92</v>
      </c>
      <c r="S128" s="222">
        <v>4282.2</v>
      </c>
      <c r="U128" s="222">
        <v>0.0</v>
      </c>
      <c r="X128" s="218">
        <v>1.51132020000022E14</v>
      </c>
      <c r="AB128" t="e">
        <v>#N/A</v>
      </c>
    </row>
    <row r="129">
      <c r="A129" s="218" t="s">
        <v>781</v>
      </c>
      <c r="C129" s="218" t="s">
        <v>9700</v>
      </c>
      <c r="F129" s="456">
        <v>43854.0</v>
      </c>
      <c r="G129" s="218">
        <v>1.0</v>
      </c>
      <c r="H129" s="218">
        <v>401091.0</v>
      </c>
      <c r="J129" s="218" t="s">
        <v>9693</v>
      </c>
      <c r="K129" s="219" t="s">
        <v>9701</v>
      </c>
      <c r="L129" s="218">
        <v>15113.0</v>
      </c>
      <c r="M129" s="218">
        <v>168105.0</v>
      </c>
      <c r="N129" s="218">
        <v>1.0E8</v>
      </c>
      <c r="O129" s="218">
        <v>339047.0</v>
      </c>
      <c r="P129" s="218" t="s">
        <v>9702</v>
      </c>
      <c r="Q129" s="222">
        <v>2266.17</v>
      </c>
      <c r="R129" s="222">
        <v>2266.17</v>
      </c>
      <c r="S129" s="222">
        <v>0.0</v>
      </c>
      <c r="U129" s="222">
        <v>0.0</v>
      </c>
      <c r="X129" s="218">
        <v>1.51132020000165E14</v>
      </c>
      <c r="AB129" t="e">
        <v>#N/A</v>
      </c>
    </row>
    <row r="130">
      <c r="A130" s="218" t="s">
        <v>781</v>
      </c>
      <c r="C130" s="218" t="s">
        <v>9703</v>
      </c>
      <c r="F130" s="456">
        <v>43854.0</v>
      </c>
      <c r="G130" s="218">
        <v>1.0</v>
      </c>
      <c r="H130" s="218">
        <v>401091.0</v>
      </c>
      <c r="J130" s="218" t="s">
        <v>9704</v>
      </c>
      <c r="K130" s="219" t="s">
        <v>9705</v>
      </c>
      <c r="L130" s="218">
        <v>15113.0</v>
      </c>
      <c r="M130" s="218">
        <v>168105.0</v>
      </c>
      <c r="N130" s="218">
        <v>1.0E8</v>
      </c>
      <c r="O130" s="218">
        <v>339047.0</v>
      </c>
      <c r="P130" s="218" t="s">
        <v>9706</v>
      </c>
      <c r="Q130" s="222">
        <v>3767.09</v>
      </c>
      <c r="R130" s="222">
        <v>3767.09</v>
      </c>
      <c r="S130" s="222">
        <v>3767.09</v>
      </c>
      <c r="U130" s="222">
        <v>0.0</v>
      </c>
      <c r="X130" s="218">
        <v>1.51132020000168E14</v>
      </c>
      <c r="AB130" t="e">
        <v>#N/A</v>
      </c>
    </row>
    <row r="131">
      <c r="A131" s="218" t="s">
        <v>781</v>
      </c>
      <c r="C131" s="218" t="s">
        <v>9707</v>
      </c>
      <c r="F131" s="456">
        <v>43854.0</v>
      </c>
      <c r="G131" s="218">
        <v>5.0</v>
      </c>
      <c r="H131" s="218">
        <v>401091.0</v>
      </c>
      <c r="J131" s="218" t="s">
        <v>9403</v>
      </c>
      <c r="K131" s="218" t="s">
        <v>9708</v>
      </c>
      <c r="L131" s="218">
        <v>15113.0</v>
      </c>
      <c r="M131" s="218">
        <v>168105.0</v>
      </c>
      <c r="N131" s="218">
        <v>1.0E8</v>
      </c>
      <c r="O131" s="218">
        <v>339039.0</v>
      </c>
      <c r="P131" s="218" t="s">
        <v>9405</v>
      </c>
      <c r="Q131" s="222">
        <v>52500.0</v>
      </c>
      <c r="R131" s="222">
        <v>52500.0</v>
      </c>
      <c r="S131" s="222">
        <v>45500.0</v>
      </c>
      <c r="U131" s="222">
        <v>1747.19</v>
      </c>
      <c r="X131" s="218">
        <v>1.5113202000017E14</v>
      </c>
      <c r="AB131" t="e">
        <v>#N/A</v>
      </c>
    </row>
    <row r="132">
      <c r="A132" s="218" t="s">
        <v>781</v>
      </c>
      <c r="C132" s="218" t="s">
        <v>9709</v>
      </c>
      <c r="F132" s="456">
        <v>43854.0</v>
      </c>
      <c r="G132" s="218">
        <v>5.0</v>
      </c>
      <c r="H132" s="218">
        <v>401091.0</v>
      </c>
      <c r="J132" s="218" t="s">
        <v>9710</v>
      </c>
      <c r="K132" s="218" t="s">
        <v>9711</v>
      </c>
      <c r="L132" s="218">
        <v>15113.0</v>
      </c>
      <c r="M132" s="218">
        <v>168105.0</v>
      </c>
      <c r="N132" s="218">
        <v>1.0E8</v>
      </c>
      <c r="O132" s="218">
        <v>339039.0</v>
      </c>
      <c r="P132" s="218" t="s">
        <v>9405</v>
      </c>
      <c r="Q132" s="222">
        <v>222324.3</v>
      </c>
      <c r="R132" s="222">
        <v>222324.3</v>
      </c>
      <c r="S132" s="222">
        <v>171596.86</v>
      </c>
      <c r="U132" s="222">
        <v>13500.0</v>
      </c>
      <c r="X132" s="218">
        <v>1.5113202000017E14</v>
      </c>
      <c r="AB132" t="e">
        <v>#N/A</v>
      </c>
    </row>
    <row r="133">
      <c r="A133" s="218" t="s">
        <v>781</v>
      </c>
      <c r="C133" s="218" t="s">
        <v>9712</v>
      </c>
      <c r="F133" s="456">
        <v>43854.0</v>
      </c>
      <c r="G133" s="218">
        <v>3.0</v>
      </c>
      <c r="H133" s="218">
        <v>401091.0</v>
      </c>
      <c r="J133" s="218" t="s">
        <v>9713</v>
      </c>
      <c r="K133" s="218" t="s">
        <v>9714</v>
      </c>
      <c r="L133" s="218">
        <v>15113.0</v>
      </c>
      <c r="M133" s="218">
        <v>168105.0</v>
      </c>
      <c r="N133" s="218">
        <v>1.0E8</v>
      </c>
      <c r="O133" s="218">
        <v>339030.0</v>
      </c>
      <c r="P133" s="218" t="s">
        <v>9715</v>
      </c>
      <c r="Q133" s="222">
        <v>2000.0</v>
      </c>
      <c r="R133" s="222">
        <v>2000.0</v>
      </c>
      <c r="S133" s="222">
        <v>2000.0</v>
      </c>
      <c r="U133" s="222">
        <v>850.5</v>
      </c>
      <c r="X133" s="218">
        <v>1.51132020000139E14</v>
      </c>
      <c r="AB133" t="e">
        <v>#N/A</v>
      </c>
    </row>
    <row r="134">
      <c r="A134" s="218" t="s">
        <v>781</v>
      </c>
      <c r="C134" s="218" t="s">
        <v>9716</v>
      </c>
      <c r="F134" s="456">
        <v>43854.0</v>
      </c>
      <c r="G134" s="218">
        <v>3.0</v>
      </c>
      <c r="H134" s="218">
        <v>401091.0</v>
      </c>
      <c r="J134" s="218" t="s">
        <v>9717</v>
      </c>
      <c r="K134" s="218" t="s">
        <v>9718</v>
      </c>
      <c r="L134" s="218">
        <v>15113.0</v>
      </c>
      <c r="M134" s="218">
        <v>168105.0</v>
      </c>
      <c r="N134" s="218">
        <v>1.0E8</v>
      </c>
      <c r="O134" s="218">
        <v>339030.0</v>
      </c>
      <c r="P134" s="218" t="s">
        <v>9719</v>
      </c>
      <c r="Q134" s="222">
        <v>1000.0</v>
      </c>
      <c r="R134" s="222">
        <v>1000.0</v>
      </c>
      <c r="S134" s="222">
        <v>0.0</v>
      </c>
      <c r="U134" s="218">
        <v>0.0</v>
      </c>
      <c r="X134" s="218">
        <v>1.51132020000137E14</v>
      </c>
      <c r="AB134" t="e">
        <v>#N/A</v>
      </c>
    </row>
    <row r="135">
      <c r="A135" s="218" t="s">
        <v>781</v>
      </c>
      <c r="C135" s="218" t="s">
        <v>9720</v>
      </c>
      <c r="F135" s="456">
        <v>43854.0</v>
      </c>
      <c r="G135" s="218">
        <v>3.0</v>
      </c>
      <c r="H135" s="218">
        <v>401091.0</v>
      </c>
      <c r="J135" s="218" t="s">
        <v>9717</v>
      </c>
      <c r="K135" s="218" t="s">
        <v>9721</v>
      </c>
      <c r="L135" s="218">
        <v>15113.0</v>
      </c>
      <c r="M135" s="218">
        <v>168105.0</v>
      </c>
      <c r="N135" s="218">
        <v>1.27E8</v>
      </c>
      <c r="O135" s="218">
        <v>339039.0</v>
      </c>
      <c r="P135" s="218" t="s">
        <v>9719</v>
      </c>
      <c r="Q135" s="222">
        <v>62000.0</v>
      </c>
      <c r="R135" s="222">
        <v>62000.0</v>
      </c>
      <c r="S135" s="222">
        <v>18166.87</v>
      </c>
      <c r="U135" s="222">
        <v>0.0</v>
      </c>
      <c r="X135" s="218">
        <v>1.51132020000107E14</v>
      </c>
      <c r="AB135" t="e">
        <v>#N/A</v>
      </c>
    </row>
    <row r="136">
      <c r="A136" s="218" t="s">
        <v>781</v>
      </c>
      <c r="C136" s="218" t="s">
        <v>9722</v>
      </c>
      <c r="F136" s="456">
        <v>43854.0</v>
      </c>
      <c r="G136" s="218">
        <v>3.0</v>
      </c>
      <c r="H136" s="218">
        <v>401091.0</v>
      </c>
      <c r="J136" s="218" t="s">
        <v>9723</v>
      </c>
      <c r="K136" s="218" t="s">
        <v>9724</v>
      </c>
      <c r="L136" s="218">
        <v>15113.0</v>
      </c>
      <c r="M136" s="218">
        <v>168105.0</v>
      </c>
      <c r="N136" s="218">
        <v>1.0E8</v>
      </c>
      <c r="O136" s="218">
        <v>339030.0</v>
      </c>
      <c r="P136" s="218" t="s">
        <v>9725</v>
      </c>
      <c r="Q136" s="222">
        <v>1000.0</v>
      </c>
      <c r="R136" s="222">
        <v>1000.0</v>
      </c>
      <c r="S136" s="222">
        <v>0.0</v>
      </c>
      <c r="U136" s="222">
        <v>0.0</v>
      </c>
      <c r="X136" s="218">
        <v>1.51132020000137E14</v>
      </c>
      <c r="AB136" t="e">
        <v>#N/A</v>
      </c>
    </row>
    <row r="137">
      <c r="A137" s="218" t="s">
        <v>781</v>
      </c>
      <c r="C137" s="218" t="s">
        <v>9726</v>
      </c>
      <c r="F137" s="456">
        <v>43854.0</v>
      </c>
      <c r="G137" s="218">
        <v>3.0</v>
      </c>
      <c r="H137" s="218">
        <v>401091.0</v>
      </c>
      <c r="J137" s="218" t="s">
        <v>9723</v>
      </c>
      <c r="K137" s="218" t="s">
        <v>9727</v>
      </c>
      <c r="L137" s="218">
        <v>15113.0</v>
      </c>
      <c r="M137" s="218">
        <v>168105.0</v>
      </c>
      <c r="N137" s="218">
        <v>1.27E8</v>
      </c>
      <c r="O137" s="218">
        <v>339039.0</v>
      </c>
      <c r="P137" s="218" t="s">
        <v>9725</v>
      </c>
      <c r="Q137" s="222">
        <v>60000.0</v>
      </c>
      <c r="R137" s="222">
        <v>60000.0</v>
      </c>
      <c r="S137" s="222">
        <v>51027.93</v>
      </c>
      <c r="U137" s="222">
        <v>4671.34</v>
      </c>
      <c r="X137" s="218">
        <v>1.51132020000107E14</v>
      </c>
      <c r="AB137" t="e">
        <v>#N/A</v>
      </c>
    </row>
    <row r="138">
      <c r="A138" s="218" t="s">
        <v>782</v>
      </c>
      <c r="C138" s="218" t="s">
        <v>9728</v>
      </c>
      <c r="F138" s="456">
        <v>43854.0</v>
      </c>
      <c r="G138" s="218">
        <v>3.0</v>
      </c>
      <c r="H138" s="218">
        <v>401091.0</v>
      </c>
      <c r="J138" s="218" t="s">
        <v>9729</v>
      </c>
      <c r="K138" s="218" t="s">
        <v>9730</v>
      </c>
      <c r="L138" s="218">
        <v>15113.0</v>
      </c>
      <c r="M138" s="218">
        <v>168105.0</v>
      </c>
      <c r="N138" s="218">
        <v>1.0E8</v>
      </c>
      <c r="O138" s="218">
        <v>339033.0</v>
      </c>
      <c r="P138" s="218" t="s">
        <v>9731</v>
      </c>
      <c r="Q138" s="222">
        <v>300000.0</v>
      </c>
      <c r="R138" s="222">
        <v>300000.0</v>
      </c>
      <c r="S138" s="222">
        <v>23236.23</v>
      </c>
      <c r="U138" s="222">
        <v>0.0</v>
      </c>
      <c r="X138" s="218">
        <v>1.51132020000127E14</v>
      </c>
      <c r="AB138" t="e">
        <v>#N/A</v>
      </c>
    </row>
    <row r="139">
      <c r="A139" s="218" t="s">
        <v>782</v>
      </c>
      <c r="C139" s="218" t="s">
        <v>9732</v>
      </c>
      <c r="F139" s="456">
        <v>43854.0</v>
      </c>
      <c r="G139" s="218">
        <v>3.0</v>
      </c>
      <c r="H139" s="218">
        <v>401091.0</v>
      </c>
      <c r="J139" s="218" t="s">
        <v>9729</v>
      </c>
      <c r="K139" s="218" t="s">
        <v>9733</v>
      </c>
      <c r="L139" s="218">
        <v>15113.0</v>
      </c>
      <c r="M139" s="218">
        <v>168105.0</v>
      </c>
      <c r="N139" s="218">
        <v>1.0E8</v>
      </c>
      <c r="O139" s="218">
        <v>339039.0</v>
      </c>
      <c r="P139" s="218" t="s">
        <v>9731</v>
      </c>
      <c r="Q139" s="222">
        <v>3.0</v>
      </c>
      <c r="R139" s="222">
        <v>3.0</v>
      </c>
      <c r="S139" s="222">
        <v>0.17</v>
      </c>
      <c r="U139" s="222">
        <v>0.0</v>
      </c>
      <c r="X139" s="218">
        <v>1.51132020000143E14</v>
      </c>
      <c r="AB139" t="e">
        <v>#N/A</v>
      </c>
    </row>
    <row r="140">
      <c r="A140" s="218" t="s">
        <v>781</v>
      </c>
      <c r="C140" s="218" t="s">
        <v>9734</v>
      </c>
      <c r="F140" s="456">
        <v>43854.0</v>
      </c>
      <c r="G140" s="218">
        <v>3.0</v>
      </c>
      <c r="H140" s="218">
        <v>401091.0</v>
      </c>
      <c r="J140" s="218" t="s">
        <v>9735</v>
      </c>
      <c r="K140" s="218" t="s">
        <v>9736</v>
      </c>
      <c r="L140" s="218">
        <v>15113.0</v>
      </c>
      <c r="M140" s="218">
        <v>168105.0</v>
      </c>
      <c r="N140" s="218">
        <v>1.0E8</v>
      </c>
      <c r="O140" s="218">
        <v>339030.0</v>
      </c>
      <c r="P140" s="218" t="s">
        <v>9737</v>
      </c>
      <c r="Q140" s="222">
        <v>15000.0</v>
      </c>
      <c r="R140" s="222">
        <v>15000.0</v>
      </c>
      <c r="S140" s="222">
        <v>11000.0</v>
      </c>
      <c r="U140" s="222">
        <v>1617.57</v>
      </c>
      <c r="X140" s="218">
        <v>1.51132020000137E14</v>
      </c>
      <c r="AB140" t="e">
        <v>#N/A</v>
      </c>
    </row>
    <row r="141">
      <c r="A141" s="218" t="s">
        <v>781</v>
      </c>
      <c r="C141" s="218" t="s">
        <v>9738</v>
      </c>
      <c r="F141" s="456">
        <v>43854.0</v>
      </c>
      <c r="G141" s="218">
        <v>3.0</v>
      </c>
      <c r="H141" s="218">
        <v>401091.0</v>
      </c>
      <c r="J141" s="218" t="s">
        <v>9735</v>
      </c>
      <c r="K141" s="218" t="s">
        <v>9739</v>
      </c>
      <c r="L141" s="218">
        <v>15113.0</v>
      </c>
      <c r="M141" s="218">
        <v>168105.0</v>
      </c>
      <c r="N141" s="218">
        <v>1.27E8</v>
      </c>
      <c r="O141" s="218">
        <v>339039.0</v>
      </c>
      <c r="P141" s="218" t="s">
        <v>9737</v>
      </c>
      <c r="Q141" s="222">
        <v>165000.0</v>
      </c>
      <c r="R141" s="222">
        <v>165000.0</v>
      </c>
      <c r="S141" s="222">
        <v>155000.0</v>
      </c>
      <c r="U141" s="222">
        <v>13881.52</v>
      </c>
      <c r="X141" s="218">
        <v>1.51132020000107E14</v>
      </c>
      <c r="AB141" t="e">
        <v>#N/A</v>
      </c>
    </row>
    <row r="142">
      <c r="A142" s="218" t="s">
        <v>9430</v>
      </c>
      <c r="C142" s="218" t="s">
        <v>9740</v>
      </c>
      <c r="F142" s="456">
        <v>43854.0</v>
      </c>
      <c r="G142" s="218">
        <v>3.0</v>
      </c>
      <c r="H142" s="218">
        <v>401091.0</v>
      </c>
      <c r="J142" s="218" t="s">
        <v>9741</v>
      </c>
      <c r="K142" s="218" t="s">
        <v>9742</v>
      </c>
      <c r="L142" s="218">
        <v>15113.0</v>
      </c>
      <c r="M142" s="218">
        <v>168105.0</v>
      </c>
      <c r="N142" s="218">
        <v>1.0E8</v>
      </c>
      <c r="O142" s="218">
        <v>339039.0</v>
      </c>
      <c r="P142" s="218" t="s">
        <v>9743</v>
      </c>
      <c r="Q142" s="222">
        <v>12900.0</v>
      </c>
      <c r="R142" s="222">
        <v>12900.0</v>
      </c>
      <c r="S142" s="222">
        <v>12600.22</v>
      </c>
      <c r="U142" s="222">
        <v>0.0</v>
      </c>
      <c r="X142" s="218">
        <v>1.51132020000119E14</v>
      </c>
      <c r="AB142" t="e">
        <v>#N/A</v>
      </c>
    </row>
    <row r="143">
      <c r="A143" s="218" t="s">
        <v>9430</v>
      </c>
      <c r="C143" s="218" t="s">
        <v>9744</v>
      </c>
      <c r="F143" s="456">
        <v>43854.0</v>
      </c>
      <c r="G143" s="218">
        <v>3.0</v>
      </c>
      <c r="H143" s="218">
        <v>401091.0</v>
      </c>
      <c r="J143" s="218" t="s">
        <v>9745</v>
      </c>
      <c r="K143" s="218" t="s">
        <v>9742</v>
      </c>
      <c r="L143" s="218">
        <v>15113.0</v>
      </c>
      <c r="M143" s="218">
        <v>168105.0</v>
      </c>
      <c r="N143" s="218">
        <v>1.0E8</v>
      </c>
      <c r="O143" s="218">
        <v>339039.0</v>
      </c>
      <c r="P143" s="218" t="s">
        <v>9743</v>
      </c>
      <c r="Q143" s="222">
        <v>8000.0</v>
      </c>
      <c r="R143" s="222">
        <v>8000.0</v>
      </c>
      <c r="S143" s="222">
        <v>7150.0</v>
      </c>
      <c r="U143" s="218">
        <v>590.0</v>
      </c>
      <c r="X143" s="218">
        <v>1.51132020000119E14</v>
      </c>
      <c r="AB143" t="e">
        <v>#N/A</v>
      </c>
    </row>
    <row r="144">
      <c r="A144" s="218" t="s">
        <v>781</v>
      </c>
      <c r="C144" s="218" t="s">
        <v>9746</v>
      </c>
      <c r="F144" s="456">
        <v>43857.0</v>
      </c>
      <c r="G144" s="218">
        <v>3.0</v>
      </c>
      <c r="H144" s="218">
        <v>401091.0</v>
      </c>
      <c r="J144" s="218" t="s">
        <v>9747</v>
      </c>
      <c r="K144" s="218" t="s">
        <v>9748</v>
      </c>
      <c r="L144" s="218">
        <v>15113.0</v>
      </c>
      <c r="M144" s="218">
        <v>168105.0</v>
      </c>
      <c r="N144" s="218">
        <v>1.0E8</v>
      </c>
      <c r="O144" s="218">
        <v>339030.0</v>
      </c>
      <c r="P144" s="218" t="s">
        <v>9749</v>
      </c>
      <c r="Q144" s="222">
        <v>60000.0</v>
      </c>
      <c r="R144" s="222">
        <v>60000.0</v>
      </c>
      <c r="S144" s="222">
        <v>25000.0</v>
      </c>
      <c r="U144" s="222">
        <v>1858.39</v>
      </c>
      <c r="X144" s="218">
        <v>1.5113202000013E14</v>
      </c>
      <c r="AB144" t="e">
        <v>#N/A</v>
      </c>
    </row>
    <row r="145">
      <c r="A145" s="218" t="s">
        <v>781</v>
      </c>
      <c r="C145" s="218" t="s">
        <v>9750</v>
      </c>
      <c r="F145" s="456">
        <v>43857.0</v>
      </c>
      <c r="G145" s="218">
        <v>3.0</v>
      </c>
      <c r="H145" s="218">
        <v>401091.0</v>
      </c>
      <c r="J145" s="218" t="s">
        <v>9751</v>
      </c>
      <c r="K145" s="218" t="s">
        <v>9752</v>
      </c>
      <c r="L145" s="218">
        <v>15113.0</v>
      </c>
      <c r="M145" s="218">
        <v>168105.0</v>
      </c>
      <c r="N145" s="218">
        <v>1.0E8</v>
      </c>
      <c r="O145" s="218">
        <v>339039.0</v>
      </c>
      <c r="P145" s="218" t="s">
        <v>9753</v>
      </c>
      <c r="Q145" s="222">
        <v>84000.0</v>
      </c>
      <c r="R145" s="222">
        <v>84000.0</v>
      </c>
      <c r="S145" s="222">
        <v>39000.0</v>
      </c>
      <c r="U145" s="222">
        <v>5227.94</v>
      </c>
      <c r="X145" s="218">
        <v>1.51132020000148E14</v>
      </c>
      <c r="AB145" t="e">
        <v>#N/A</v>
      </c>
    </row>
    <row r="146">
      <c r="A146" s="218" t="s">
        <v>781</v>
      </c>
      <c r="C146" s="218" t="s">
        <v>9754</v>
      </c>
      <c r="F146" s="456">
        <v>43857.0</v>
      </c>
      <c r="G146" s="218">
        <v>3.0</v>
      </c>
      <c r="H146" s="218">
        <v>401091.0</v>
      </c>
      <c r="J146" s="218" t="s">
        <v>9755</v>
      </c>
      <c r="K146" s="218" t="s">
        <v>9756</v>
      </c>
      <c r="L146" s="218">
        <v>15113.0</v>
      </c>
      <c r="M146" s="218">
        <v>168105.0</v>
      </c>
      <c r="N146" s="218">
        <v>1.0E8</v>
      </c>
      <c r="O146" s="218">
        <v>339030.0</v>
      </c>
      <c r="P146" s="218" t="s">
        <v>9757</v>
      </c>
      <c r="Q146" s="222">
        <v>1000.0</v>
      </c>
      <c r="R146" s="222">
        <v>1000.0</v>
      </c>
      <c r="S146" s="222">
        <v>1163.1</v>
      </c>
      <c r="U146" s="218">
        <v>0.0</v>
      </c>
      <c r="X146" s="218">
        <v>1.51132020000137E14</v>
      </c>
      <c r="AB146" t="e">
        <v>#N/A</v>
      </c>
    </row>
    <row r="147">
      <c r="A147" s="218" t="s">
        <v>781</v>
      </c>
      <c r="C147" s="218" t="s">
        <v>9758</v>
      </c>
      <c r="F147" s="456">
        <v>43857.0</v>
      </c>
      <c r="G147" s="218">
        <v>3.0</v>
      </c>
      <c r="H147" s="218">
        <v>401091.0</v>
      </c>
      <c r="J147" s="218" t="s">
        <v>9755</v>
      </c>
      <c r="K147" s="218" t="s">
        <v>9759</v>
      </c>
      <c r="L147" s="218">
        <v>15113.0</v>
      </c>
      <c r="M147" s="218">
        <v>168105.0</v>
      </c>
      <c r="N147" s="218">
        <v>1.27E8</v>
      </c>
      <c r="O147" s="218">
        <v>339039.0</v>
      </c>
      <c r="P147" s="218" t="s">
        <v>9757</v>
      </c>
      <c r="Q147" s="222">
        <v>120000.0</v>
      </c>
      <c r="R147" s="222">
        <v>120000.0</v>
      </c>
      <c r="S147" s="222">
        <v>96000.0</v>
      </c>
      <c r="U147" s="222">
        <v>9950.05</v>
      </c>
      <c r="X147" s="218">
        <v>1.51132020000107E14</v>
      </c>
      <c r="AB147" t="e">
        <v>#N/A</v>
      </c>
    </row>
    <row r="148">
      <c r="A148" s="218" t="s">
        <v>781</v>
      </c>
      <c r="C148" s="218" t="s">
        <v>9760</v>
      </c>
      <c r="F148" s="456">
        <v>43857.0</v>
      </c>
      <c r="G148" s="218">
        <v>3.0</v>
      </c>
      <c r="H148" s="218">
        <v>401091.0</v>
      </c>
      <c r="J148" s="218" t="s">
        <v>9761</v>
      </c>
      <c r="K148" s="218" t="s">
        <v>9762</v>
      </c>
      <c r="L148" s="218">
        <v>15113.0</v>
      </c>
      <c r="M148" s="218">
        <v>168105.0</v>
      </c>
      <c r="N148" s="218">
        <v>1.0E8</v>
      </c>
      <c r="O148" s="218">
        <v>339039.0</v>
      </c>
      <c r="P148" s="218" t="s">
        <v>9763</v>
      </c>
      <c r="Q148" s="222">
        <v>30000.0</v>
      </c>
      <c r="R148" s="222">
        <v>30000.0</v>
      </c>
      <c r="S148" s="222">
        <v>0.0</v>
      </c>
      <c r="U148" s="218">
        <v>0.0</v>
      </c>
      <c r="X148" s="218">
        <v>1.51132020000154E14</v>
      </c>
      <c r="AB148" t="e">
        <v>#N/A</v>
      </c>
    </row>
    <row r="149">
      <c r="A149" s="218" t="s">
        <v>781</v>
      </c>
      <c r="C149" s="218" t="s">
        <v>9764</v>
      </c>
      <c r="F149" s="456">
        <v>43857.0</v>
      </c>
      <c r="G149" s="218">
        <v>3.0</v>
      </c>
      <c r="H149" s="218">
        <v>401091.0</v>
      </c>
      <c r="J149" s="218" t="s">
        <v>9765</v>
      </c>
      <c r="K149" s="218" t="s">
        <v>9766</v>
      </c>
      <c r="L149" s="218">
        <v>15113.0</v>
      </c>
      <c r="M149" s="218">
        <v>168105.0</v>
      </c>
      <c r="N149" s="218">
        <v>1.8115113E8</v>
      </c>
      <c r="O149" s="218">
        <v>339039.0</v>
      </c>
      <c r="P149" s="218" t="s">
        <v>9767</v>
      </c>
      <c r="Q149" s="222">
        <v>178955.6</v>
      </c>
      <c r="R149" s="222">
        <v>178955.6</v>
      </c>
      <c r="S149" s="222">
        <v>150827.6</v>
      </c>
      <c r="U149" s="222">
        <v>263.26</v>
      </c>
      <c r="X149" s="218">
        <v>1.51132020000117E14</v>
      </c>
      <c r="AB149" t="e">
        <v>#N/A</v>
      </c>
    </row>
    <row r="150">
      <c r="A150" s="218" t="s">
        <v>781</v>
      </c>
      <c r="C150" s="218" t="s">
        <v>9768</v>
      </c>
      <c r="F150" s="456">
        <v>43857.0</v>
      </c>
      <c r="G150" s="218">
        <v>5.0</v>
      </c>
      <c r="H150" s="218">
        <v>401091.0</v>
      </c>
      <c r="J150" s="218" t="s">
        <v>9769</v>
      </c>
      <c r="K150" s="218" t="s">
        <v>9770</v>
      </c>
      <c r="L150" s="218">
        <v>15113.0</v>
      </c>
      <c r="M150" s="218">
        <v>168105.0</v>
      </c>
      <c r="N150" s="218">
        <v>1.8115113E8</v>
      </c>
      <c r="O150" s="218">
        <v>339039.0</v>
      </c>
      <c r="P150" s="218" t="s">
        <v>9771</v>
      </c>
      <c r="Q150" s="222">
        <v>300000.0</v>
      </c>
      <c r="R150" s="222">
        <v>300000.0</v>
      </c>
      <c r="S150" s="222">
        <v>126538.32</v>
      </c>
      <c r="U150" s="218">
        <v>0.0</v>
      </c>
      <c r="X150" s="218">
        <v>1.51132020000202E14</v>
      </c>
      <c r="AB150" t="e">
        <v>#N/A</v>
      </c>
    </row>
    <row r="151">
      <c r="A151" s="218" t="s">
        <v>781</v>
      </c>
      <c r="C151" s="218" t="s">
        <v>9772</v>
      </c>
      <c r="F151" s="456">
        <v>43857.0</v>
      </c>
      <c r="G151" s="218">
        <v>3.0</v>
      </c>
      <c r="H151" s="218">
        <v>401091.0</v>
      </c>
      <c r="J151" s="218" t="s">
        <v>9773</v>
      </c>
      <c r="K151" s="218" t="s">
        <v>9774</v>
      </c>
      <c r="L151" s="218">
        <v>15113.0</v>
      </c>
      <c r="M151" s="218">
        <v>168105.0</v>
      </c>
      <c r="N151" s="218">
        <v>1.0E8</v>
      </c>
      <c r="O151" s="218">
        <v>339039.0</v>
      </c>
      <c r="P151" s="218" t="s">
        <v>9775</v>
      </c>
      <c r="Q151" s="222">
        <v>70000.0</v>
      </c>
      <c r="R151" s="222">
        <v>70000.0</v>
      </c>
      <c r="S151" s="222">
        <v>75804.0</v>
      </c>
      <c r="U151" s="218">
        <v>0.0</v>
      </c>
      <c r="X151" s="218">
        <v>1.51132020000112E14</v>
      </c>
      <c r="AB151" t="e">
        <v>#N/A</v>
      </c>
    </row>
    <row r="152">
      <c r="A152" s="218" t="s">
        <v>781</v>
      </c>
      <c r="C152" s="218" t="s">
        <v>9776</v>
      </c>
      <c r="F152" s="456">
        <v>43857.0</v>
      </c>
      <c r="G152" s="218">
        <v>3.0</v>
      </c>
      <c r="H152" s="218">
        <v>401091.0</v>
      </c>
      <c r="J152" s="218" t="s">
        <v>9777</v>
      </c>
      <c r="K152" s="218" t="s">
        <v>9778</v>
      </c>
      <c r="L152" s="218">
        <v>15113.0</v>
      </c>
      <c r="M152" s="218">
        <v>168105.0</v>
      </c>
      <c r="N152" s="218">
        <v>1.0E8</v>
      </c>
      <c r="O152" s="218">
        <v>339039.0</v>
      </c>
      <c r="P152" s="218" t="s">
        <v>9779</v>
      </c>
      <c r="Q152" s="222">
        <v>12500.0</v>
      </c>
      <c r="R152" s="222">
        <v>12500.0</v>
      </c>
      <c r="S152" s="222">
        <v>0.0</v>
      </c>
      <c r="U152" s="218">
        <v>0.0</v>
      </c>
      <c r="X152" s="218">
        <v>1.51132020000119E14</v>
      </c>
      <c r="AB152" t="e">
        <v>#N/A</v>
      </c>
    </row>
    <row r="153">
      <c r="A153" s="218" t="s">
        <v>781</v>
      </c>
      <c r="C153" s="218" t="s">
        <v>9780</v>
      </c>
      <c r="F153" s="456">
        <v>43857.0</v>
      </c>
      <c r="G153" s="218">
        <v>5.0</v>
      </c>
      <c r="H153" s="218">
        <v>401091.0</v>
      </c>
      <c r="J153" s="218" t="s">
        <v>9781</v>
      </c>
      <c r="K153" s="218" t="s">
        <v>9782</v>
      </c>
      <c r="L153" s="218">
        <v>15113.0</v>
      </c>
      <c r="M153" s="218">
        <v>168105.0</v>
      </c>
      <c r="N153" s="218">
        <v>1.0E8</v>
      </c>
      <c r="O153" s="218">
        <v>339037.0</v>
      </c>
      <c r="P153" s="218" t="s">
        <v>9783</v>
      </c>
      <c r="Q153" s="222">
        <v>2908000.0</v>
      </c>
      <c r="R153" s="222">
        <v>2908000.0</v>
      </c>
      <c r="S153" s="222">
        <v>1694409.19</v>
      </c>
      <c r="U153" s="222">
        <v>0.0</v>
      </c>
      <c r="X153" s="218">
        <v>1.51132020000123E14</v>
      </c>
      <c r="AB153" t="e">
        <v>#N/A</v>
      </c>
    </row>
    <row r="154">
      <c r="A154" s="218" t="s">
        <v>781</v>
      </c>
      <c r="C154" s="218" t="s">
        <v>9784</v>
      </c>
      <c r="F154" s="456">
        <v>43857.0</v>
      </c>
      <c r="G154" s="218">
        <v>3.0</v>
      </c>
      <c r="H154" s="218">
        <v>401091.0</v>
      </c>
      <c r="J154" s="218" t="s">
        <v>9785</v>
      </c>
      <c r="K154" s="218" t="s">
        <v>9786</v>
      </c>
      <c r="L154" s="218">
        <v>15113.0</v>
      </c>
      <c r="M154" s="218">
        <v>168105.0</v>
      </c>
      <c r="N154" s="218">
        <v>1.0E8</v>
      </c>
      <c r="O154" s="218">
        <v>339039.0</v>
      </c>
      <c r="P154" s="218" t="s">
        <v>9787</v>
      </c>
      <c r="Q154" s="222">
        <v>60950.0</v>
      </c>
      <c r="R154" s="222">
        <v>60950.0</v>
      </c>
      <c r="S154" s="222">
        <v>61041.87</v>
      </c>
      <c r="U154" s="222">
        <v>34766.98</v>
      </c>
      <c r="X154" s="218">
        <v>1.51132020000159E14</v>
      </c>
      <c r="AB154" t="e">
        <v>#N/A</v>
      </c>
    </row>
    <row r="155">
      <c r="A155" s="218" t="s">
        <v>781</v>
      </c>
      <c r="C155" s="218" t="s">
        <v>9788</v>
      </c>
      <c r="F155" s="456">
        <v>43858.0</v>
      </c>
      <c r="G155" s="218">
        <v>3.0</v>
      </c>
      <c r="H155" s="218">
        <v>401091.0</v>
      </c>
      <c r="J155" s="218" t="s">
        <v>9789</v>
      </c>
      <c r="K155" s="218" t="s">
        <v>9790</v>
      </c>
      <c r="L155" s="218">
        <v>15113.0</v>
      </c>
      <c r="M155" s="218">
        <v>168105.0</v>
      </c>
      <c r="N155" s="218">
        <v>1.0E8</v>
      </c>
      <c r="O155" s="218">
        <v>339039.0</v>
      </c>
      <c r="P155" s="218" t="s">
        <v>9791</v>
      </c>
      <c r="Q155" s="222">
        <v>254802.18</v>
      </c>
      <c r="R155" s="222">
        <v>254802.18</v>
      </c>
      <c r="S155" s="222">
        <v>199542.99</v>
      </c>
      <c r="U155" s="222">
        <v>0.0</v>
      </c>
      <c r="X155" s="218">
        <v>1.5113202000016E14</v>
      </c>
      <c r="AB155" t="e">
        <v>#N/A</v>
      </c>
    </row>
    <row r="156">
      <c r="A156" s="218" t="s">
        <v>781</v>
      </c>
      <c r="C156" s="218" t="s">
        <v>9792</v>
      </c>
      <c r="F156" s="456">
        <v>43858.0</v>
      </c>
      <c r="G156" s="218">
        <v>3.0</v>
      </c>
      <c r="H156" s="218">
        <v>401091.0</v>
      </c>
      <c r="J156" s="218" t="s">
        <v>9793</v>
      </c>
      <c r="K156" s="218" t="s">
        <v>9794</v>
      </c>
      <c r="L156" s="218">
        <v>15113.0</v>
      </c>
      <c r="M156" s="218">
        <v>168105.0</v>
      </c>
      <c r="N156" s="218">
        <v>1.0E8</v>
      </c>
      <c r="O156" s="218">
        <v>339039.0</v>
      </c>
      <c r="P156" s="218" t="s">
        <v>9795</v>
      </c>
      <c r="Q156" s="222">
        <v>80000.0</v>
      </c>
      <c r="R156" s="222">
        <v>80000.0</v>
      </c>
      <c r="S156" s="222">
        <v>28000.0</v>
      </c>
      <c r="U156" s="222">
        <v>179.81</v>
      </c>
      <c r="X156" s="218">
        <v>1.51132020000116E14</v>
      </c>
      <c r="AB156" t="e">
        <v>#N/A</v>
      </c>
    </row>
    <row r="157">
      <c r="A157" s="218" t="s">
        <v>781</v>
      </c>
      <c r="C157" s="218" t="s">
        <v>9796</v>
      </c>
      <c r="F157" s="456">
        <v>43858.0</v>
      </c>
      <c r="G157" s="218">
        <v>3.0</v>
      </c>
      <c r="H157" s="218">
        <v>401091.0</v>
      </c>
      <c r="J157" s="218" t="s">
        <v>9797</v>
      </c>
      <c r="K157" s="218" t="s">
        <v>9798</v>
      </c>
      <c r="L157" s="218">
        <v>15113.0</v>
      </c>
      <c r="M157" s="218">
        <v>168105.0</v>
      </c>
      <c r="N157" s="218">
        <v>1.0E8</v>
      </c>
      <c r="O157" s="218">
        <v>339037.0</v>
      </c>
      <c r="P157" s="218" t="s">
        <v>9799</v>
      </c>
      <c r="Q157" s="222">
        <v>118000.0</v>
      </c>
      <c r="R157" s="222">
        <v>118000.0</v>
      </c>
      <c r="S157" s="222">
        <v>110849.15</v>
      </c>
      <c r="U157" s="222">
        <v>9956.51</v>
      </c>
      <c r="X157" s="218">
        <v>1.51132020000121E14</v>
      </c>
      <c r="AB157" t="e">
        <v>#N/A</v>
      </c>
    </row>
    <row r="158">
      <c r="A158" s="218" t="s">
        <v>781</v>
      </c>
      <c r="C158" s="218" t="s">
        <v>9800</v>
      </c>
      <c r="F158" s="456">
        <v>43858.0</v>
      </c>
      <c r="G158" s="218">
        <v>3.0</v>
      </c>
      <c r="H158" s="218">
        <v>401091.0</v>
      </c>
      <c r="J158" s="218" t="s">
        <v>9697</v>
      </c>
      <c r="K158" s="218" t="s">
        <v>9801</v>
      </c>
      <c r="L158" s="218">
        <v>15113.0</v>
      </c>
      <c r="M158" s="218">
        <v>168105.0</v>
      </c>
      <c r="N158" s="218">
        <v>1.27E8</v>
      </c>
      <c r="O158" s="218">
        <v>339039.0</v>
      </c>
      <c r="P158" s="218" t="s">
        <v>9802</v>
      </c>
      <c r="Q158" s="222">
        <v>2500000.0</v>
      </c>
      <c r="R158" s="222">
        <v>2500000.0</v>
      </c>
      <c r="S158" s="222">
        <v>1861589.54</v>
      </c>
      <c r="U158" s="222">
        <v>391200.18</v>
      </c>
      <c r="X158" s="218">
        <v>1.51132020000141E14</v>
      </c>
      <c r="AB158" t="e">
        <v>#N/A</v>
      </c>
    </row>
    <row r="159">
      <c r="A159" s="218" t="s">
        <v>781</v>
      </c>
      <c r="C159" s="218" t="s">
        <v>9803</v>
      </c>
      <c r="F159" s="456">
        <v>43858.0</v>
      </c>
      <c r="G159" s="218">
        <v>3.0</v>
      </c>
      <c r="H159" s="218">
        <v>401091.0</v>
      </c>
      <c r="J159" s="218" t="s">
        <v>9697</v>
      </c>
      <c r="K159" s="218" t="s">
        <v>9804</v>
      </c>
      <c r="L159" s="218">
        <v>15113.0</v>
      </c>
      <c r="M159" s="218">
        <v>168105.0</v>
      </c>
      <c r="N159" s="218">
        <v>1.27E8</v>
      </c>
      <c r="O159" s="218">
        <v>339047.0</v>
      </c>
      <c r="P159" s="218" t="s">
        <v>9802</v>
      </c>
      <c r="Q159" s="222">
        <v>60000.0</v>
      </c>
      <c r="R159" s="222">
        <v>60000.0</v>
      </c>
      <c r="S159" s="222">
        <v>50000.0</v>
      </c>
      <c r="U159" s="222">
        <v>13345.84</v>
      </c>
      <c r="X159" s="218">
        <v>1.51132020000167E14</v>
      </c>
      <c r="AB159" t="e">
        <v>#N/A</v>
      </c>
    </row>
    <row r="160">
      <c r="A160" s="218" t="s">
        <v>781</v>
      </c>
      <c r="C160" s="218" t="s">
        <v>9805</v>
      </c>
      <c r="F160" s="456">
        <v>43858.0</v>
      </c>
      <c r="G160" s="218">
        <v>5.0</v>
      </c>
      <c r="H160" s="218">
        <v>401091.0</v>
      </c>
      <c r="J160" s="218" t="s">
        <v>9806</v>
      </c>
      <c r="K160" s="218" t="s">
        <v>9807</v>
      </c>
      <c r="L160" s="218">
        <v>15113.0</v>
      </c>
      <c r="M160" s="218">
        <v>168105.0</v>
      </c>
      <c r="N160" s="218">
        <v>1.0E8</v>
      </c>
      <c r="O160" s="218">
        <v>339037.0</v>
      </c>
      <c r="P160" s="218" t="s">
        <v>9808</v>
      </c>
      <c r="Q160" s="222">
        <v>179713.43</v>
      </c>
      <c r="R160" s="222">
        <v>179713.43</v>
      </c>
      <c r="S160" s="222">
        <v>368812.64</v>
      </c>
      <c r="U160" s="222">
        <v>16880.44</v>
      </c>
      <c r="X160" s="218">
        <v>1.51132020000123E14</v>
      </c>
      <c r="AB160" t="e">
        <v>#N/A</v>
      </c>
    </row>
    <row r="161">
      <c r="A161" s="218" t="s">
        <v>781</v>
      </c>
      <c r="C161" s="218" t="s">
        <v>9809</v>
      </c>
      <c r="F161" s="456">
        <v>43858.0</v>
      </c>
      <c r="G161" s="218">
        <v>1.0</v>
      </c>
      <c r="H161" s="218">
        <v>401091.0</v>
      </c>
      <c r="J161" s="218" t="s">
        <v>9810</v>
      </c>
      <c r="K161" s="218" t="s">
        <v>9811</v>
      </c>
      <c r="L161" s="218">
        <v>15113.0</v>
      </c>
      <c r="M161" s="218">
        <v>168105.0</v>
      </c>
      <c r="N161" s="218">
        <v>1.0E8</v>
      </c>
      <c r="O161" s="218">
        <v>339092.0</v>
      </c>
      <c r="P161" s="218" t="s">
        <v>9812</v>
      </c>
      <c r="Q161" s="222">
        <v>688.76</v>
      </c>
      <c r="R161" s="222">
        <v>688.76</v>
      </c>
      <c r="S161" s="222">
        <v>688.76</v>
      </c>
      <c r="U161" s="218">
        <v>0.0</v>
      </c>
      <c r="X161" s="218">
        <v>1.51132020000124E14</v>
      </c>
      <c r="AB161" t="e">
        <v>#N/A</v>
      </c>
    </row>
    <row r="162">
      <c r="A162" s="218" t="s">
        <v>781</v>
      </c>
      <c r="C162" s="218" t="s">
        <v>9813</v>
      </c>
      <c r="F162" s="456">
        <v>43858.0</v>
      </c>
      <c r="G162" s="218">
        <v>3.0</v>
      </c>
      <c r="H162" s="218">
        <v>401091.0</v>
      </c>
      <c r="J162" s="218" t="s">
        <v>9814</v>
      </c>
      <c r="K162" s="218" t="s">
        <v>9815</v>
      </c>
      <c r="L162" s="218">
        <v>15113.0</v>
      </c>
      <c r="M162" s="218">
        <v>168105.0</v>
      </c>
      <c r="N162" s="218">
        <v>1.0E8</v>
      </c>
      <c r="O162" s="218">
        <v>339030.0</v>
      </c>
      <c r="P162" s="218" t="s">
        <v>9816</v>
      </c>
      <c r="Q162" s="222">
        <v>30000.0</v>
      </c>
      <c r="R162" s="222">
        <v>30000.0</v>
      </c>
      <c r="S162" s="222">
        <v>25000.0</v>
      </c>
      <c r="U162" s="222">
        <v>2443.72</v>
      </c>
      <c r="X162" s="218">
        <v>1.51132020000137E14</v>
      </c>
      <c r="AB162" t="e">
        <v>#N/A</v>
      </c>
    </row>
    <row r="163">
      <c r="A163" s="218" t="s">
        <v>781</v>
      </c>
      <c r="C163" s="218" t="s">
        <v>9817</v>
      </c>
      <c r="F163" s="456">
        <v>43858.0</v>
      </c>
      <c r="G163" s="218">
        <v>3.0</v>
      </c>
      <c r="H163" s="218">
        <v>401091.0</v>
      </c>
      <c r="J163" s="218" t="s">
        <v>9814</v>
      </c>
      <c r="K163" s="218" t="s">
        <v>9818</v>
      </c>
      <c r="L163" s="218">
        <v>15113.0</v>
      </c>
      <c r="M163" s="218">
        <v>168105.0</v>
      </c>
      <c r="N163" s="218">
        <v>1.27E8</v>
      </c>
      <c r="O163" s="218">
        <v>339039.0</v>
      </c>
      <c r="P163" s="218" t="s">
        <v>9816</v>
      </c>
      <c r="Q163" s="222">
        <v>255000.0</v>
      </c>
      <c r="R163" s="222">
        <v>255000.0</v>
      </c>
      <c r="S163" s="222">
        <v>230000.0</v>
      </c>
      <c r="U163" s="222">
        <v>23439.43</v>
      </c>
      <c r="X163" s="218">
        <v>1.51132020000107E14</v>
      </c>
      <c r="AB163" t="e">
        <v>#N/A</v>
      </c>
    </row>
    <row r="164">
      <c r="A164" s="218" t="s">
        <v>116</v>
      </c>
      <c r="C164" s="218" t="s">
        <v>9819</v>
      </c>
      <c r="F164" s="456">
        <v>43858.0</v>
      </c>
      <c r="G164" s="218">
        <v>3.0</v>
      </c>
      <c r="H164" s="218">
        <v>401091.0</v>
      </c>
      <c r="J164" s="218" t="s">
        <v>9820</v>
      </c>
      <c r="K164" s="218" t="s">
        <v>9821</v>
      </c>
      <c r="L164" s="218">
        <v>15113.0</v>
      </c>
      <c r="M164" s="218">
        <v>168105.0</v>
      </c>
      <c r="N164" s="218">
        <v>1.0E8</v>
      </c>
      <c r="O164" s="218">
        <v>339040.0</v>
      </c>
      <c r="P164" s="218" t="s">
        <v>168</v>
      </c>
      <c r="Q164" s="222">
        <v>126766.0</v>
      </c>
      <c r="R164" s="222">
        <v>126766.0</v>
      </c>
      <c r="S164" s="222">
        <v>126617.94</v>
      </c>
      <c r="U164" s="222">
        <v>10897.94</v>
      </c>
      <c r="X164" s="218">
        <v>1.51132020000018E14</v>
      </c>
      <c r="AB164" t="e">
        <v>#N/A</v>
      </c>
    </row>
    <row r="165">
      <c r="A165" s="218" t="s">
        <v>116</v>
      </c>
      <c r="C165" s="218" t="s">
        <v>9822</v>
      </c>
      <c r="F165" s="456">
        <v>43858.0</v>
      </c>
      <c r="G165" s="218">
        <v>3.0</v>
      </c>
      <c r="H165" s="218">
        <v>401091.0</v>
      </c>
      <c r="J165" s="218" t="s">
        <v>9823</v>
      </c>
      <c r="K165" s="218" t="s">
        <v>9824</v>
      </c>
      <c r="L165" s="218">
        <v>15113.0</v>
      </c>
      <c r="M165" s="218">
        <v>168105.0</v>
      </c>
      <c r="N165" s="218">
        <v>1.0E8</v>
      </c>
      <c r="O165" s="218">
        <v>339040.0</v>
      </c>
      <c r="P165" s="218" t="s">
        <v>235</v>
      </c>
      <c r="Q165" s="222">
        <v>250507.4</v>
      </c>
      <c r="R165" s="222">
        <v>250507.4</v>
      </c>
      <c r="S165" s="222">
        <v>249576.32</v>
      </c>
      <c r="U165" s="222">
        <v>20944.0</v>
      </c>
      <c r="X165" s="218">
        <v>1.5113202000001E14</v>
      </c>
      <c r="AB165" t="e">
        <v>#N/A</v>
      </c>
    </row>
    <row r="166">
      <c r="A166" s="218" t="s">
        <v>116</v>
      </c>
      <c r="C166" s="218" t="s">
        <v>9825</v>
      </c>
      <c r="F166" s="456">
        <v>43858.0</v>
      </c>
      <c r="G166" s="218">
        <v>3.0</v>
      </c>
      <c r="H166" s="218">
        <v>401091.0</v>
      </c>
      <c r="J166" s="218" t="s">
        <v>9826</v>
      </c>
      <c r="K166" s="218" t="s">
        <v>9827</v>
      </c>
      <c r="L166" s="218">
        <v>15113.0</v>
      </c>
      <c r="M166" s="218">
        <v>168105.0</v>
      </c>
      <c r="N166" s="218">
        <v>1.0E8</v>
      </c>
      <c r="O166" s="218">
        <v>339040.0</v>
      </c>
      <c r="P166" s="218" t="s">
        <v>9828</v>
      </c>
      <c r="Q166" s="222">
        <v>39850.0</v>
      </c>
      <c r="R166" s="222">
        <v>39850.0</v>
      </c>
      <c r="S166" s="222">
        <v>46557.19</v>
      </c>
      <c r="U166" s="222">
        <v>0.0</v>
      </c>
      <c r="X166" s="218">
        <v>1.51132020000007E14</v>
      </c>
      <c r="AB166" t="e">
        <v>#N/A</v>
      </c>
    </row>
    <row r="167">
      <c r="A167" s="218" t="s">
        <v>116</v>
      </c>
      <c r="C167" s="218" t="s">
        <v>9829</v>
      </c>
      <c r="F167" s="456">
        <v>43858.0</v>
      </c>
      <c r="G167" s="218">
        <v>5.0</v>
      </c>
      <c r="H167" s="218">
        <v>401091.0</v>
      </c>
      <c r="J167" s="218" t="s">
        <v>9830</v>
      </c>
      <c r="K167" s="218" t="s">
        <v>9831</v>
      </c>
      <c r="L167" s="218">
        <v>15113.0</v>
      </c>
      <c r="M167" s="218">
        <v>168105.0</v>
      </c>
      <c r="N167" s="218">
        <v>1.0E8</v>
      </c>
      <c r="O167" s="218">
        <v>339040.0</v>
      </c>
      <c r="P167" s="218" t="s">
        <v>9832</v>
      </c>
      <c r="Q167" s="222">
        <v>17026.77</v>
      </c>
      <c r="R167" s="222">
        <v>17026.77</v>
      </c>
      <c r="S167" s="222">
        <v>9450.0</v>
      </c>
      <c r="U167" s="218">
        <v>0.0</v>
      </c>
      <c r="X167" s="218">
        <v>1.51132020000011E14</v>
      </c>
      <c r="AB167" t="e">
        <v>#N/A</v>
      </c>
    </row>
    <row r="168">
      <c r="A168" s="218" t="s">
        <v>116</v>
      </c>
      <c r="C168" s="218" t="s">
        <v>9833</v>
      </c>
      <c r="F168" s="456">
        <v>43859.0</v>
      </c>
      <c r="G168" s="218">
        <v>3.0</v>
      </c>
      <c r="H168" s="218">
        <v>401091.0</v>
      </c>
      <c r="J168" s="218" t="s">
        <v>9834</v>
      </c>
      <c r="K168" s="218" t="s">
        <v>9835</v>
      </c>
      <c r="L168" s="218">
        <v>15113.0</v>
      </c>
      <c r="M168" s="218">
        <v>168105.0</v>
      </c>
      <c r="N168" s="218">
        <v>1.0E8</v>
      </c>
      <c r="O168" s="218">
        <v>339040.0</v>
      </c>
      <c r="P168" s="218" t="s">
        <v>9836</v>
      </c>
      <c r="Q168" s="222">
        <v>7369.38</v>
      </c>
      <c r="R168" s="222">
        <v>7369.38</v>
      </c>
      <c r="S168" s="222">
        <v>7126.88</v>
      </c>
      <c r="U168" s="222">
        <v>608.03</v>
      </c>
      <c r="X168" s="218">
        <v>1.51132020000002E14</v>
      </c>
      <c r="AB168" t="e">
        <v>#N/A</v>
      </c>
    </row>
    <row r="169">
      <c r="A169" s="218" t="s">
        <v>116</v>
      </c>
      <c r="C169" s="218" t="s">
        <v>9837</v>
      </c>
      <c r="F169" s="456">
        <v>43859.0</v>
      </c>
      <c r="G169" s="218">
        <v>3.0</v>
      </c>
      <c r="H169" s="218">
        <v>401091.0</v>
      </c>
      <c r="J169" s="218" t="s">
        <v>9838</v>
      </c>
      <c r="K169" s="218" t="s">
        <v>9839</v>
      </c>
      <c r="L169" s="218">
        <v>15113.0</v>
      </c>
      <c r="M169" s="218">
        <v>168105.0</v>
      </c>
      <c r="N169" s="218">
        <v>1.0E8</v>
      </c>
      <c r="O169" s="218">
        <v>339040.0</v>
      </c>
      <c r="P169" s="218" t="s">
        <v>126</v>
      </c>
      <c r="Q169" s="222">
        <v>40221.0</v>
      </c>
      <c r="R169" s="222">
        <v>40221.0</v>
      </c>
      <c r="S169" s="222">
        <v>33716.42</v>
      </c>
      <c r="U169" s="222">
        <v>3495.94</v>
      </c>
      <c r="X169" s="218">
        <v>1.51132020000019E14</v>
      </c>
      <c r="AB169" t="e">
        <v>#N/A</v>
      </c>
    </row>
    <row r="170">
      <c r="A170" s="218" t="s">
        <v>116</v>
      </c>
      <c r="C170" s="218" t="s">
        <v>9840</v>
      </c>
      <c r="F170" s="456">
        <v>43859.0</v>
      </c>
      <c r="G170" s="218">
        <v>3.0</v>
      </c>
      <c r="H170" s="218">
        <v>401091.0</v>
      </c>
      <c r="J170" s="218" t="s">
        <v>9841</v>
      </c>
      <c r="K170" s="218" t="s">
        <v>9842</v>
      </c>
      <c r="L170" s="218">
        <v>15113.0</v>
      </c>
      <c r="M170" s="218">
        <v>168105.0</v>
      </c>
      <c r="N170" s="218">
        <v>1.0E8</v>
      </c>
      <c r="O170" s="218">
        <v>339040.0</v>
      </c>
      <c r="P170" s="218" t="s">
        <v>9843</v>
      </c>
      <c r="Q170" s="222">
        <v>4595.59</v>
      </c>
      <c r="R170" s="222">
        <v>4595.59</v>
      </c>
      <c r="S170" s="222">
        <v>4173.58</v>
      </c>
      <c r="U170" s="222">
        <v>526.83</v>
      </c>
      <c r="X170" s="218">
        <v>1.51132020000009E14</v>
      </c>
      <c r="AB170" t="e">
        <v>#N/A</v>
      </c>
    </row>
    <row r="171">
      <c r="A171" s="218" t="s">
        <v>116</v>
      </c>
      <c r="C171" s="218" t="s">
        <v>9844</v>
      </c>
      <c r="F171" s="456">
        <v>43859.0</v>
      </c>
      <c r="G171" s="218">
        <v>3.0</v>
      </c>
      <c r="H171" s="218">
        <v>401091.0</v>
      </c>
      <c r="J171" s="218" t="s">
        <v>9845</v>
      </c>
      <c r="K171" s="218" t="s">
        <v>9846</v>
      </c>
      <c r="L171" s="218">
        <v>15113.0</v>
      </c>
      <c r="M171" s="218">
        <v>168105.0</v>
      </c>
      <c r="N171" s="218">
        <v>1.0E8</v>
      </c>
      <c r="O171" s="218">
        <v>339040.0</v>
      </c>
      <c r="P171" s="218" t="s">
        <v>254</v>
      </c>
      <c r="Q171" s="222">
        <v>19150.95</v>
      </c>
      <c r="R171" s="222">
        <v>19150.95</v>
      </c>
      <c r="S171" s="222">
        <v>16295.5</v>
      </c>
      <c r="U171" s="222">
        <v>2990.0</v>
      </c>
      <c r="X171" s="218">
        <v>1.51132020000017E14</v>
      </c>
      <c r="AB171" t="e">
        <v>#N/A</v>
      </c>
    </row>
    <row r="172">
      <c r="A172" s="218" t="s">
        <v>116</v>
      </c>
      <c r="C172" s="218" t="s">
        <v>9847</v>
      </c>
      <c r="F172" s="456">
        <v>43859.0</v>
      </c>
      <c r="G172" s="218">
        <v>3.0</v>
      </c>
      <c r="H172" s="218">
        <v>401091.0</v>
      </c>
      <c r="J172" s="218" t="s">
        <v>9820</v>
      </c>
      <c r="K172" s="218" t="s">
        <v>9848</v>
      </c>
      <c r="L172" s="218">
        <v>15113.0</v>
      </c>
      <c r="M172" s="218">
        <v>168105.0</v>
      </c>
      <c r="N172" s="218">
        <v>1.0E8</v>
      </c>
      <c r="O172" s="218">
        <v>339040.0</v>
      </c>
      <c r="P172" s="218" t="s">
        <v>9849</v>
      </c>
      <c r="Q172" s="222">
        <v>19167.75</v>
      </c>
      <c r="R172" s="222">
        <v>19167.75</v>
      </c>
      <c r="S172" s="222">
        <v>19023.3</v>
      </c>
      <c r="U172" s="222">
        <v>768.3</v>
      </c>
      <c r="X172" s="218">
        <v>1.51132020000016E14</v>
      </c>
      <c r="AB172" t="e">
        <v>#N/A</v>
      </c>
    </row>
    <row r="173">
      <c r="A173" s="218" t="s">
        <v>116</v>
      </c>
      <c r="C173" s="218" t="s">
        <v>9850</v>
      </c>
      <c r="F173" s="456">
        <v>43859.0</v>
      </c>
      <c r="G173" s="218">
        <v>5.0</v>
      </c>
      <c r="H173" s="218">
        <v>401091.0</v>
      </c>
      <c r="J173" s="218" t="s">
        <v>9851</v>
      </c>
      <c r="K173" s="218" t="s">
        <v>9852</v>
      </c>
      <c r="L173" s="218">
        <v>15113.0</v>
      </c>
      <c r="M173" s="218">
        <v>168105.0</v>
      </c>
      <c r="N173" s="218">
        <v>1.0E8</v>
      </c>
      <c r="O173" s="218">
        <v>339040.0</v>
      </c>
      <c r="P173" s="218" t="s">
        <v>9853</v>
      </c>
      <c r="Q173" s="222">
        <v>9517.67</v>
      </c>
      <c r="R173" s="222">
        <v>9517.67</v>
      </c>
      <c r="S173" s="222">
        <v>8883.16</v>
      </c>
      <c r="U173" s="222">
        <v>0.0</v>
      </c>
      <c r="X173" s="218">
        <v>1.51132020000026E14</v>
      </c>
      <c r="AB173" t="e">
        <v>#N/A</v>
      </c>
    </row>
    <row r="174">
      <c r="A174" s="218" t="s">
        <v>116</v>
      </c>
      <c r="C174" s="218" t="s">
        <v>9854</v>
      </c>
      <c r="F174" s="456">
        <v>43859.0</v>
      </c>
      <c r="G174" s="218">
        <v>5.0</v>
      </c>
      <c r="H174" s="218">
        <v>401091.0</v>
      </c>
      <c r="J174" s="218" t="s">
        <v>9855</v>
      </c>
      <c r="K174" s="218" t="s">
        <v>9856</v>
      </c>
      <c r="L174" s="218">
        <v>15113.0</v>
      </c>
      <c r="M174" s="218">
        <v>168105.0</v>
      </c>
      <c r="N174" s="218">
        <v>1.0E8</v>
      </c>
      <c r="O174" s="218">
        <v>339040.0</v>
      </c>
      <c r="P174" s="218" t="s">
        <v>9857</v>
      </c>
      <c r="Q174" s="222">
        <v>19200.0</v>
      </c>
      <c r="R174" s="222">
        <v>19200.0</v>
      </c>
      <c r="S174" s="222">
        <v>15070.78</v>
      </c>
      <c r="U174" s="218">
        <v>0.0</v>
      </c>
      <c r="X174" s="218">
        <v>1.51132020000023E14</v>
      </c>
      <c r="AB174" t="e">
        <v>#N/A</v>
      </c>
    </row>
    <row r="175">
      <c r="A175" s="218" t="s">
        <v>116</v>
      </c>
      <c r="C175" s="218" t="s">
        <v>9858</v>
      </c>
      <c r="F175" s="456">
        <v>43859.0</v>
      </c>
      <c r="G175" s="218">
        <v>5.0</v>
      </c>
      <c r="H175" s="218">
        <v>401091.0</v>
      </c>
      <c r="J175" s="218" t="s">
        <v>9462</v>
      </c>
      <c r="K175" s="218" t="s">
        <v>9859</v>
      </c>
      <c r="L175" s="218">
        <v>15113.0</v>
      </c>
      <c r="M175" s="218">
        <v>168105.0</v>
      </c>
      <c r="N175" s="218">
        <v>1.0E8</v>
      </c>
      <c r="O175" s="218">
        <v>339040.0</v>
      </c>
      <c r="P175" s="218" t="s">
        <v>222</v>
      </c>
      <c r="Q175" s="222">
        <v>43569.54</v>
      </c>
      <c r="R175" s="222">
        <v>43569.54</v>
      </c>
      <c r="S175" s="222">
        <v>41494.8</v>
      </c>
      <c r="U175" s="222">
        <v>3457.9</v>
      </c>
      <c r="X175" s="218">
        <v>1.51132020000025E14</v>
      </c>
      <c r="AB175" t="e">
        <v>#N/A</v>
      </c>
    </row>
    <row r="176">
      <c r="A176" s="218" t="s">
        <v>116</v>
      </c>
      <c r="C176" s="218" t="s">
        <v>9860</v>
      </c>
      <c r="F176" s="456">
        <v>43859.0</v>
      </c>
      <c r="G176" s="218">
        <v>3.0</v>
      </c>
      <c r="H176" s="218">
        <v>401091.0</v>
      </c>
      <c r="J176" s="218" t="s">
        <v>9861</v>
      </c>
      <c r="K176" s="218" t="s">
        <v>9862</v>
      </c>
      <c r="L176" s="218">
        <v>15113.0</v>
      </c>
      <c r="M176" s="218">
        <v>168105.0</v>
      </c>
      <c r="N176" s="218">
        <v>1.0E8</v>
      </c>
      <c r="O176" s="218">
        <v>339040.0</v>
      </c>
      <c r="P176" s="218" t="s">
        <v>290</v>
      </c>
      <c r="Q176" s="222">
        <v>70877.27</v>
      </c>
      <c r="R176" s="222">
        <v>70877.27</v>
      </c>
      <c r="S176" s="222">
        <v>70877.27</v>
      </c>
      <c r="U176" s="222">
        <v>39507.13</v>
      </c>
      <c r="X176" s="218">
        <v>1.5113202000004E14</v>
      </c>
      <c r="AB176" t="e">
        <v>#N/A</v>
      </c>
    </row>
    <row r="177">
      <c r="A177" s="218" t="s">
        <v>781</v>
      </c>
      <c r="C177" s="218" t="s">
        <v>9863</v>
      </c>
      <c r="F177" s="456">
        <v>43859.0</v>
      </c>
      <c r="G177" s="218">
        <v>3.0</v>
      </c>
      <c r="H177" s="218">
        <v>401091.0</v>
      </c>
      <c r="J177" s="218" t="s">
        <v>9864</v>
      </c>
      <c r="K177" s="218" t="s">
        <v>9865</v>
      </c>
      <c r="L177" s="218">
        <v>15113.0</v>
      </c>
      <c r="M177" s="218">
        <v>168105.0</v>
      </c>
      <c r="N177" s="218">
        <v>1.0E8</v>
      </c>
      <c r="O177" s="218">
        <v>339037.0</v>
      </c>
      <c r="P177" s="218" t="s">
        <v>9866</v>
      </c>
      <c r="Q177" s="222">
        <v>125000.0</v>
      </c>
      <c r="R177" s="222">
        <v>125000.0</v>
      </c>
      <c r="S177" s="222">
        <v>0.0</v>
      </c>
      <c r="U177" s="218">
        <v>0.0</v>
      </c>
      <c r="X177" s="218">
        <v>1.51132020000122E14</v>
      </c>
      <c r="AB177" t="e">
        <v>#N/A</v>
      </c>
    </row>
    <row r="178">
      <c r="A178" s="218" t="s">
        <v>781</v>
      </c>
      <c r="C178" s="218" t="s">
        <v>9867</v>
      </c>
      <c r="F178" s="456">
        <v>43859.0</v>
      </c>
      <c r="G178" s="218">
        <v>0.0</v>
      </c>
      <c r="H178" s="218">
        <v>401093.0</v>
      </c>
      <c r="I178" s="218" t="s">
        <v>9863</v>
      </c>
      <c r="J178" s="218" t="s">
        <v>9864</v>
      </c>
      <c r="K178" s="218" t="s">
        <v>9398</v>
      </c>
      <c r="L178" s="218">
        <v>15113.0</v>
      </c>
      <c r="M178" s="218">
        <v>168105.0</v>
      </c>
      <c r="N178" s="218">
        <v>1.0E8</v>
      </c>
      <c r="O178" s="218">
        <v>339037.0</v>
      </c>
      <c r="P178" s="218" t="s">
        <v>9866</v>
      </c>
      <c r="Q178" s="222">
        <v>125000.0</v>
      </c>
      <c r="R178" s="222">
        <v>-125000.0</v>
      </c>
      <c r="S178" s="222">
        <v>0.0</v>
      </c>
      <c r="U178" s="222">
        <v>0.0</v>
      </c>
      <c r="AB178" t="e">
        <v>#N/A</v>
      </c>
    </row>
    <row r="179">
      <c r="A179" s="218" t="s">
        <v>781</v>
      </c>
      <c r="C179" s="218" t="s">
        <v>9868</v>
      </c>
      <c r="F179" s="456">
        <v>43859.0</v>
      </c>
      <c r="G179" s="218">
        <v>3.0</v>
      </c>
      <c r="H179" s="218">
        <v>401091.0</v>
      </c>
      <c r="J179" s="218" t="s">
        <v>9869</v>
      </c>
      <c r="K179" s="218" t="s">
        <v>9865</v>
      </c>
      <c r="L179" s="218">
        <v>15113.0</v>
      </c>
      <c r="M179" s="218">
        <v>168105.0</v>
      </c>
      <c r="N179" s="218">
        <v>1.0E8</v>
      </c>
      <c r="O179" s="218">
        <v>339037.0</v>
      </c>
      <c r="P179" s="218" t="s">
        <v>9866</v>
      </c>
      <c r="Q179" s="222">
        <v>125000.0</v>
      </c>
      <c r="R179" s="222">
        <v>125000.0</v>
      </c>
      <c r="S179" s="222">
        <v>41406.01</v>
      </c>
      <c r="U179" s="222">
        <v>0.0</v>
      </c>
      <c r="X179" s="218">
        <v>1.51132020000122E14</v>
      </c>
      <c r="AB179" t="e">
        <v>#N/A</v>
      </c>
    </row>
    <row r="180">
      <c r="A180" s="218" t="s">
        <v>781</v>
      </c>
      <c r="C180" s="218" t="s">
        <v>9870</v>
      </c>
      <c r="F180" s="456">
        <v>43859.0</v>
      </c>
      <c r="G180" s="218">
        <v>5.0</v>
      </c>
      <c r="H180" s="218">
        <v>401091.0</v>
      </c>
      <c r="J180" s="218" t="s">
        <v>9871</v>
      </c>
      <c r="K180" s="218" t="s">
        <v>9872</v>
      </c>
      <c r="L180" s="218">
        <v>15113.0</v>
      </c>
      <c r="M180" s="218">
        <v>168105.0</v>
      </c>
      <c r="N180" s="218">
        <v>1.0E8</v>
      </c>
      <c r="O180" s="218">
        <v>339039.0</v>
      </c>
      <c r="P180" s="218" t="s">
        <v>9873</v>
      </c>
      <c r="Q180" s="222">
        <v>166000.0</v>
      </c>
      <c r="R180" s="222">
        <v>166000.0</v>
      </c>
      <c r="S180" s="222">
        <v>0.0</v>
      </c>
      <c r="U180" s="222">
        <v>0.0</v>
      </c>
      <c r="X180" s="218">
        <v>1.51132020000125E14</v>
      </c>
      <c r="AB180" t="e">
        <v>#N/A</v>
      </c>
    </row>
    <row r="181">
      <c r="A181" s="218" t="s">
        <v>781</v>
      </c>
      <c r="C181" s="218" t="s">
        <v>9874</v>
      </c>
      <c r="F181" s="456">
        <v>43859.0</v>
      </c>
      <c r="G181" s="218">
        <v>3.0</v>
      </c>
      <c r="H181" s="218">
        <v>401091.0</v>
      </c>
      <c r="J181" s="218" t="s">
        <v>9875</v>
      </c>
      <c r="K181" s="218" t="s">
        <v>9876</v>
      </c>
      <c r="L181" s="218">
        <v>15113.0</v>
      </c>
      <c r="M181" s="218">
        <v>168105.0</v>
      </c>
      <c r="N181" s="218">
        <v>1.0E8</v>
      </c>
      <c r="O181" s="218">
        <v>339037.0</v>
      </c>
      <c r="P181" s="218" t="s">
        <v>9877</v>
      </c>
      <c r="Q181" s="222">
        <v>225000.0</v>
      </c>
      <c r="R181" s="222">
        <v>225000.0</v>
      </c>
      <c r="S181" s="222">
        <v>229337.85</v>
      </c>
      <c r="U181" s="222">
        <v>20181.62</v>
      </c>
      <c r="X181" s="218">
        <v>1.51132020000124E14</v>
      </c>
      <c r="AB181" t="e">
        <v>#N/A</v>
      </c>
    </row>
    <row r="182">
      <c r="A182" s="218" t="s">
        <v>781</v>
      </c>
      <c r="C182" s="218" t="s">
        <v>9878</v>
      </c>
      <c r="F182" s="456">
        <v>43859.0</v>
      </c>
      <c r="G182" s="218">
        <v>0.0</v>
      </c>
      <c r="H182" s="218">
        <v>401093.0</v>
      </c>
      <c r="I182" s="218" t="s">
        <v>9870</v>
      </c>
      <c r="J182" s="218" t="s">
        <v>9871</v>
      </c>
      <c r="K182" s="218" t="s">
        <v>9398</v>
      </c>
      <c r="L182" s="218">
        <v>15113.0</v>
      </c>
      <c r="M182" s="218">
        <v>168105.0</v>
      </c>
      <c r="N182" s="218">
        <v>1.0E8</v>
      </c>
      <c r="O182" s="218">
        <v>339039.0</v>
      </c>
      <c r="P182" s="218" t="s">
        <v>9873</v>
      </c>
      <c r="Q182" s="222">
        <v>166000.0</v>
      </c>
      <c r="R182" s="222">
        <v>-166000.0</v>
      </c>
      <c r="S182" s="222">
        <v>0.0</v>
      </c>
      <c r="U182" s="222">
        <v>0.0</v>
      </c>
      <c r="AB182" t="e">
        <v>#N/A</v>
      </c>
    </row>
    <row r="183">
      <c r="A183" s="218" t="s">
        <v>781</v>
      </c>
      <c r="C183" s="218" t="s">
        <v>9879</v>
      </c>
      <c r="F183" s="456">
        <v>43859.0</v>
      </c>
      <c r="G183" s="218">
        <v>5.0</v>
      </c>
      <c r="H183" s="218">
        <v>401091.0</v>
      </c>
      <c r="J183" s="218" t="s">
        <v>9871</v>
      </c>
      <c r="K183" s="218" t="s">
        <v>9872</v>
      </c>
      <c r="L183" s="218">
        <v>15113.0</v>
      </c>
      <c r="M183" s="218">
        <v>168105.0</v>
      </c>
      <c r="N183" s="218">
        <v>1.0E8</v>
      </c>
      <c r="O183" s="218">
        <v>339039.0</v>
      </c>
      <c r="P183" s="218" t="s">
        <v>9873</v>
      </c>
      <c r="Q183" s="222">
        <v>166000.0</v>
      </c>
      <c r="R183" s="222">
        <v>166000.0</v>
      </c>
      <c r="S183" s="222">
        <v>159630.92</v>
      </c>
      <c r="U183" s="222">
        <v>13233.39</v>
      </c>
      <c r="X183" s="218">
        <v>1.51132020000125E14</v>
      </c>
      <c r="AB183" t="e">
        <v>#N/A</v>
      </c>
    </row>
    <row r="184">
      <c r="A184" s="218" t="s">
        <v>781</v>
      </c>
      <c r="C184" s="218" t="s">
        <v>9880</v>
      </c>
      <c r="F184" s="456">
        <v>43859.0</v>
      </c>
      <c r="G184" s="218">
        <v>5.0</v>
      </c>
      <c r="H184" s="218">
        <v>401091.0</v>
      </c>
      <c r="J184" s="218" t="s">
        <v>9864</v>
      </c>
      <c r="K184" s="218" t="s">
        <v>9881</v>
      </c>
      <c r="L184" s="218">
        <v>15113.0</v>
      </c>
      <c r="M184" s="218">
        <v>168105.0</v>
      </c>
      <c r="N184" s="218">
        <v>1.0E8</v>
      </c>
      <c r="O184" s="218">
        <v>339037.0</v>
      </c>
      <c r="P184" s="218" t="s">
        <v>9882</v>
      </c>
      <c r="Q184" s="222">
        <v>696000.0</v>
      </c>
      <c r="R184" s="222">
        <v>696000.0</v>
      </c>
      <c r="S184" s="222">
        <v>691624.4</v>
      </c>
      <c r="U184" s="222">
        <v>63429.59</v>
      </c>
      <c r="X184" s="218">
        <v>1.51132020000123E14</v>
      </c>
      <c r="AB184" t="e">
        <v>#N/A</v>
      </c>
    </row>
    <row r="185">
      <c r="A185" s="218" t="s">
        <v>781</v>
      </c>
      <c r="C185" s="218" t="s">
        <v>9883</v>
      </c>
      <c r="F185" s="456">
        <v>43859.0</v>
      </c>
      <c r="G185" s="218">
        <v>0.0</v>
      </c>
      <c r="H185" s="218">
        <v>401093.0</v>
      </c>
      <c r="I185" s="218" t="s">
        <v>9692</v>
      </c>
      <c r="J185" s="218" t="s">
        <v>9693</v>
      </c>
      <c r="K185" s="218" t="s">
        <v>9398</v>
      </c>
      <c r="L185" s="218">
        <v>15113.0</v>
      </c>
      <c r="M185" s="218">
        <v>168105.0</v>
      </c>
      <c r="N185" s="218">
        <v>1.0E8</v>
      </c>
      <c r="O185" s="218">
        <v>339047.0</v>
      </c>
      <c r="P185" s="218" t="s">
        <v>9695</v>
      </c>
      <c r="Q185" s="222">
        <v>15653.6</v>
      </c>
      <c r="R185" s="222">
        <v>-15653.6</v>
      </c>
      <c r="S185" s="222">
        <v>0.0</v>
      </c>
      <c r="U185" s="222">
        <v>0.0</v>
      </c>
      <c r="AB185" t="e">
        <v>#N/A</v>
      </c>
    </row>
    <row r="186">
      <c r="A186" s="218" t="s">
        <v>781</v>
      </c>
      <c r="C186" s="218" t="s">
        <v>9884</v>
      </c>
      <c r="F186" s="456">
        <v>43859.0</v>
      </c>
      <c r="G186" s="218">
        <v>1.0</v>
      </c>
      <c r="H186" s="218">
        <v>401091.0</v>
      </c>
      <c r="J186" s="218" t="s">
        <v>9693</v>
      </c>
      <c r="K186" s="218" t="s">
        <v>9694</v>
      </c>
      <c r="L186" s="218">
        <v>15113.0</v>
      </c>
      <c r="M186" s="218">
        <v>168105.0</v>
      </c>
      <c r="N186" s="218">
        <v>1.0E8</v>
      </c>
      <c r="O186" s="218">
        <v>339039.0</v>
      </c>
      <c r="P186" s="218" t="s">
        <v>9695</v>
      </c>
      <c r="Q186" s="222">
        <v>15653.6</v>
      </c>
      <c r="R186" s="222">
        <v>15653.6</v>
      </c>
      <c r="S186" s="222">
        <v>15653.6</v>
      </c>
      <c r="U186" s="218">
        <v>0.0</v>
      </c>
      <c r="X186" s="218">
        <v>1.51132020000165E14</v>
      </c>
      <c r="AB186" t="e">
        <v>#N/A</v>
      </c>
    </row>
    <row r="187">
      <c r="A187" s="218" t="s">
        <v>781</v>
      </c>
      <c r="C187" s="218" t="s">
        <v>9885</v>
      </c>
      <c r="F187" s="456">
        <v>43859.0</v>
      </c>
      <c r="G187" s="218">
        <v>3.0</v>
      </c>
      <c r="H187" s="218">
        <v>401091.0</v>
      </c>
      <c r="J187" s="218" t="s">
        <v>9886</v>
      </c>
      <c r="K187" s="218" t="s">
        <v>9887</v>
      </c>
      <c r="L187" s="218">
        <v>15113.0</v>
      </c>
      <c r="M187" s="218">
        <v>168105.0</v>
      </c>
      <c r="N187" s="218">
        <v>1.0E8</v>
      </c>
      <c r="O187" s="218">
        <v>339039.0</v>
      </c>
      <c r="P187" s="218" t="s">
        <v>9888</v>
      </c>
      <c r="Q187" s="222">
        <v>34000.0</v>
      </c>
      <c r="R187" s="222">
        <v>34000.0</v>
      </c>
      <c r="S187" s="222">
        <v>38365.02</v>
      </c>
      <c r="U187" s="222">
        <v>6165.1</v>
      </c>
      <c r="X187" s="218">
        <v>1.51132020000111E14</v>
      </c>
      <c r="AB187" t="e">
        <v>#N/A</v>
      </c>
    </row>
    <row r="188">
      <c r="A188" s="218" t="s">
        <v>781</v>
      </c>
      <c r="C188" s="218" t="s">
        <v>9889</v>
      </c>
      <c r="F188" s="456">
        <v>43859.0</v>
      </c>
      <c r="G188" s="218">
        <v>3.0</v>
      </c>
      <c r="H188" s="218">
        <v>401091.0</v>
      </c>
      <c r="J188" s="218" t="s">
        <v>9890</v>
      </c>
      <c r="K188" s="218" t="s">
        <v>9887</v>
      </c>
      <c r="L188" s="218">
        <v>15113.0</v>
      </c>
      <c r="M188" s="218">
        <v>168105.0</v>
      </c>
      <c r="N188" s="218">
        <v>1.27E8</v>
      </c>
      <c r="O188" s="218">
        <v>339039.0</v>
      </c>
      <c r="P188" s="218" t="s">
        <v>9888</v>
      </c>
      <c r="Q188" s="222">
        <v>28000.0</v>
      </c>
      <c r="R188" s="222">
        <v>28000.0</v>
      </c>
      <c r="S188" s="222">
        <v>26684.33</v>
      </c>
      <c r="U188" s="222">
        <v>2311.81</v>
      </c>
      <c r="X188" s="218">
        <v>1.51132020000111E14</v>
      </c>
      <c r="AB188" t="e">
        <v>#N/A</v>
      </c>
    </row>
    <row r="189">
      <c r="A189" s="218" t="s">
        <v>781</v>
      </c>
      <c r="C189" s="218" t="s">
        <v>9891</v>
      </c>
      <c r="F189" s="456">
        <v>43859.0</v>
      </c>
      <c r="G189" s="218">
        <v>0.0</v>
      </c>
      <c r="H189" s="218">
        <v>401093.0</v>
      </c>
      <c r="I189" s="218" t="s">
        <v>9776</v>
      </c>
      <c r="J189" s="218" t="s">
        <v>9777</v>
      </c>
      <c r="K189" s="218" t="s">
        <v>9398</v>
      </c>
      <c r="L189" s="218">
        <v>15113.0</v>
      </c>
      <c r="M189" s="218">
        <v>168105.0</v>
      </c>
      <c r="N189" s="218">
        <v>1.0E8</v>
      </c>
      <c r="O189" s="218">
        <v>339039.0</v>
      </c>
      <c r="P189" s="218" t="s">
        <v>9779</v>
      </c>
      <c r="Q189" s="222">
        <v>12500.0</v>
      </c>
      <c r="R189" s="222">
        <v>-12500.0</v>
      </c>
      <c r="S189" s="222">
        <v>0.0</v>
      </c>
      <c r="U189" s="218">
        <v>0.0</v>
      </c>
      <c r="AB189" t="e">
        <v>#N/A</v>
      </c>
    </row>
    <row r="190">
      <c r="A190" s="218" t="s">
        <v>9430</v>
      </c>
      <c r="C190" s="218" t="s">
        <v>9892</v>
      </c>
      <c r="F190" s="456">
        <v>43859.0</v>
      </c>
      <c r="G190" s="218">
        <v>3.0</v>
      </c>
      <c r="H190" s="218">
        <v>401091.0</v>
      </c>
      <c r="J190" s="218" t="s">
        <v>9893</v>
      </c>
      <c r="K190" s="218" t="s">
        <v>9778</v>
      </c>
      <c r="L190" s="218">
        <v>15113.0</v>
      </c>
      <c r="M190" s="218">
        <v>168105.0</v>
      </c>
      <c r="N190" s="218">
        <v>1.0E8</v>
      </c>
      <c r="O190" s="218">
        <v>339039.0</v>
      </c>
      <c r="P190" s="218" t="s">
        <v>9779</v>
      </c>
      <c r="Q190" s="222">
        <v>12500.0</v>
      </c>
      <c r="R190" s="222">
        <v>12500.0</v>
      </c>
      <c r="S190" s="222">
        <v>13381.53</v>
      </c>
      <c r="U190" s="218">
        <v>0.0</v>
      </c>
      <c r="X190" s="218">
        <v>1.51132020000119E14</v>
      </c>
      <c r="AB190" t="e">
        <v>#N/A</v>
      </c>
    </row>
    <row r="191">
      <c r="A191" s="218" t="s">
        <v>781</v>
      </c>
      <c r="C191" s="218" t="s">
        <v>9894</v>
      </c>
      <c r="F191" s="456">
        <v>43859.0</v>
      </c>
      <c r="G191" s="218">
        <v>1.0</v>
      </c>
      <c r="H191" s="218">
        <v>401091.0</v>
      </c>
      <c r="J191" s="218" t="s">
        <v>9693</v>
      </c>
      <c r="K191" s="218" t="s">
        <v>9895</v>
      </c>
      <c r="L191" s="218">
        <v>15113.0</v>
      </c>
      <c r="M191" s="218">
        <v>168105.0</v>
      </c>
      <c r="N191" s="218">
        <v>1.0E8</v>
      </c>
      <c r="O191" s="218">
        <v>339039.0</v>
      </c>
      <c r="P191" s="218" t="s">
        <v>9896</v>
      </c>
      <c r="Q191" s="222">
        <v>680.44</v>
      </c>
      <c r="R191" s="222">
        <v>680.44</v>
      </c>
      <c r="S191" s="218">
        <v>680.44</v>
      </c>
      <c r="U191" s="218">
        <v>0.0</v>
      </c>
      <c r="X191" s="218">
        <v>1.51132020000165E14</v>
      </c>
      <c r="AB191" t="e">
        <v>#N/A</v>
      </c>
    </row>
    <row r="192">
      <c r="A192" s="218" t="s">
        <v>781</v>
      </c>
      <c r="C192" s="218" t="s">
        <v>9897</v>
      </c>
      <c r="F192" s="456">
        <v>43859.0</v>
      </c>
      <c r="G192" s="218">
        <v>1.0</v>
      </c>
      <c r="H192" s="218">
        <v>401091.0</v>
      </c>
      <c r="J192" s="218" t="s">
        <v>9693</v>
      </c>
      <c r="K192" s="218" t="s">
        <v>9701</v>
      </c>
      <c r="L192" s="218">
        <v>15113.0</v>
      </c>
      <c r="M192" s="218">
        <v>168105.0</v>
      </c>
      <c r="N192" s="218">
        <v>1.0E8</v>
      </c>
      <c r="O192" s="218">
        <v>339039.0</v>
      </c>
      <c r="P192" s="218" t="s">
        <v>9702</v>
      </c>
      <c r="Q192" s="222">
        <v>2266.17</v>
      </c>
      <c r="R192" s="222">
        <v>2266.17</v>
      </c>
      <c r="S192" s="222">
        <v>2266.17</v>
      </c>
      <c r="U192" s="218">
        <v>0.0</v>
      </c>
      <c r="X192" s="218">
        <v>1.51132020000165E14</v>
      </c>
      <c r="AB192" t="e">
        <v>#N/A</v>
      </c>
    </row>
    <row r="193">
      <c r="A193" s="218" t="s">
        <v>781</v>
      </c>
      <c r="C193" s="218" t="s">
        <v>9898</v>
      </c>
      <c r="F193" s="456">
        <v>43859.0</v>
      </c>
      <c r="G193" s="218">
        <v>0.0</v>
      </c>
      <c r="H193" s="218">
        <v>401093.0</v>
      </c>
      <c r="I193" s="218" t="s">
        <v>9700</v>
      </c>
      <c r="J193" s="218" t="s">
        <v>9693</v>
      </c>
      <c r="K193" s="218" t="s">
        <v>9398</v>
      </c>
      <c r="L193" s="218">
        <v>15113.0</v>
      </c>
      <c r="M193" s="218">
        <v>168105.0</v>
      </c>
      <c r="N193" s="218">
        <v>1.0E8</v>
      </c>
      <c r="O193" s="218">
        <v>339047.0</v>
      </c>
      <c r="P193" s="218" t="s">
        <v>9702</v>
      </c>
      <c r="Q193" s="222">
        <v>2266.17</v>
      </c>
      <c r="R193" s="222">
        <v>-2266.17</v>
      </c>
      <c r="S193" s="222">
        <v>0.0</v>
      </c>
      <c r="U193" s="218">
        <v>0.0</v>
      </c>
      <c r="AB193" t="e">
        <v>#N/A</v>
      </c>
    </row>
    <row r="194">
      <c r="A194" s="218" t="s">
        <v>9430</v>
      </c>
      <c r="C194" s="218" t="s">
        <v>9899</v>
      </c>
      <c r="F194" s="456">
        <v>43860.0</v>
      </c>
      <c r="G194" s="218">
        <v>1.0</v>
      </c>
      <c r="H194" s="218">
        <v>401091.0</v>
      </c>
      <c r="J194" s="218" t="s">
        <v>9900</v>
      </c>
      <c r="K194" s="218" t="s">
        <v>9901</v>
      </c>
      <c r="L194" s="218">
        <v>15113.0</v>
      </c>
      <c r="M194" s="218">
        <v>168105.0</v>
      </c>
      <c r="N194" s="218">
        <v>1.0E8</v>
      </c>
      <c r="O194" s="218">
        <v>339047.0</v>
      </c>
      <c r="P194" s="218" t="s">
        <v>9902</v>
      </c>
      <c r="Q194" s="222">
        <v>514.55</v>
      </c>
      <c r="R194" s="222">
        <v>514.55</v>
      </c>
      <c r="S194" s="218">
        <v>514.55</v>
      </c>
      <c r="U194" s="218">
        <v>0.0</v>
      </c>
      <c r="X194" s="218">
        <v>1.51132020000073E14</v>
      </c>
      <c r="AB194" t="e">
        <v>#N/A</v>
      </c>
    </row>
    <row r="195">
      <c r="A195" s="218" t="s">
        <v>9371</v>
      </c>
      <c r="C195" s="218" t="s">
        <v>9903</v>
      </c>
      <c r="F195" s="456">
        <v>43860.0</v>
      </c>
      <c r="G195" s="218">
        <v>0.0</v>
      </c>
      <c r="H195" s="218">
        <v>401092.0</v>
      </c>
      <c r="I195" s="218" t="s">
        <v>9379</v>
      </c>
      <c r="J195" s="218" t="s">
        <v>9333</v>
      </c>
      <c r="K195" s="218" t="s">
        <v>9904</v>
      </c>
      <c r="L195" s="218">
        <v>15113.0</v>
      </c>
      <c r="M195" s="218">
        <v>168105.0</v>
      </c>
      <c r="N195" s="218">
        <v>1.0E8</v>
      </c>
      <c r="O195" s="218">
        <v>339036.0</v>
      </c>
      <c r="P195" s="218" t="s">
        <v>9374</v>
      </c>
      <c r="Q195" s="222">
        <v>129000.0</v>
      </c>
      <c r="R195" s="222">
        <v>129000.0</v>
      </c>
      <c r="S195" s="218">
        <v>0.0</v>
      </c>
      <c r="U195" s="218">
        <v>0.0</v>
      </c>
      <c r="X195" s="218">
        <v>1.51132020000203E14</v>
      </c>
      <c r="AB195" t="e">
        <v>#N/A</v>
      </c>
    </row>
    <row r="196">
      <c r="A196" s="218" t="s">
        <v>9371</v>
      </c>
      <c r="C196" s="218" t="s">
        <v>9905</v>
      </c>
      <c r="F196" s="457">
        <v>43860.0</v>
      </c>
      <c r="G196" s="218">
        <v>0.0</v>
      </c>
      <c r="H196" s="218">
        <v>401092.0</v>
      </c>
      <c r="I196" s="218" t="s">
        <v>9381</v>
      </c>
      <c r="J196" s="218" t="s">
        <v>9333</v>
      </c>
      <c r="K196" s="218" t="s">
        <v>9904</v>
      </c>
      <c r="L196" s="218">
        <v>15113.0</v>
      </c>
      <c r="M196" s="218">
        <v>168105.0</v>
      </c>
      <c r="N196" s="218">
        <v>1.0E8</v>
      </c>
      <c r="O196" s="218">
        <v>339049.0</v>
      </c>
      <c r="P196" s="218" t="s">
        <v>9374</v>
      </c>
      <c r="Q196" s="222">
        <v>36600.0</v>
      </c>
      <c r="R196" s="222">
        <v>36600.0</v>
      </c>
      <c r="S196" s="222">
        <v>0.0</v>
      </c>
      <c r="U196" s="222">
        <v>0.0</v>
      </c>
      <c r="X196" s="218">
        <v>1.51132020000203E14</v>
      </c>
      <c r="AB196" t="e">
        <v>#N/A</v>
      </c>
    </row>
    <row r="197">
      <c r="A197" s="218" t="s">
        <v>9430</v>
      </c>
      <c r="C197" s="218" t="s">
        <v>9906</v>
      </c>
      <c r="F197" s="456">
        <v>43861.0</v>
      </c>
      <c r="G197" s="218">
        <v>3.0</v>
      </c>
      <c r="H197" s="218">
        <v>401091.0</v>
      </c>
      <c r="J197" s="218" t="s">
        <v>9907</v>
      </c>
      <c r="K197" s="218" t="s">
        <v>9908</v>
      </c>
      <c r="L197" s="218">
        <v>15113.0</v>
      </c>
      <c r="M197" s="218">
        <v>168105.0</v>
      </c>
      <c r="N197" s="218">
        <v>1.0E8</v>
      </c>
      <c r="O197" s="218">
        <v>339039.0</v>
      </c>
      <c r="P197" s="218" t="s">
        <v>9909</v>
      </c>
      <c r="Q197" s="222">
        <v>4400.0</v>
      </c>
      <c r="R197" s="222">
        <v>4400.0</v>
      </c>
      <c r="S197" s="222">
        <v>2450.0</v>
      </c>
      <c r="U197" s="222">
        <v>0.0</v>
      </c>
      <c r="X197" s="218">
        <v>1.51132020000075E14</v>
      </c>
      <c r="AB197" t="e">
        <v>#N/A</v>
      </c>
    </row>
    <row r="198">
      <c r="A198" s="218" t="s">
        <v>9430</v>
      </c>
      <c r="C198" s="218" t="s">
        <v>9910</v>
      </c>
      <c r="F198" s="456">
        <v>43861.0</v>
      </c>
      <c r="G198" s="218">
        <v>3.0</v>
      </c>
      <c r="H198" s="218">
        <v>401091.0</v>
      </c>
      <c r="J198" s="218" t="s">
        <v>9907</v>
      </c>
      <c r="K198" s="218" t="s">
        <v>9911</v>
      </c>
      <c r="L198" s="218">
        <v>15113.0</v>
      </c>
      <c r="M198" s="218">
        <v>168105.0</v>
      </c>
      <c r="N198" s="218">
        <v>1.0E8</v>
      </c>
      <c r="O198" s="218">
        <v>339030.0</v>
      </c>
      <c r="P198" s="218" t="s">
        <v>9909</v>
      </c>
      <c r="Q198" s="222">
        <v>3600.0</v>
      </c>
      <c r="R198" s="222">
        <v>3600.0</v>
      </c>
      <c r="S198" s="222">
        <v>300.0</v>
      </c>
      <c r="U198" s="222">
        <v>0.0</v>
      </c>
      <c r="X198" s="218">
        <v>1.51132020000086E14</v>
      </c>
      <c r="AB198" t="e">
        <v>#N/A</v>
      </c>
    </row>
    <row r="199">
      <c r="A199" s="218" t="s">
        <v>781</v>
      </c>
      <c r="C199" s="218" t="s">
        <v>9912</v>
      </c>
      <c r="F199" s="456">
        <v>43861.0</v>
      </c>
      <c r="G199" s="218">
        <v>3.0</v>
      </c>
      <c r="H199" s="218">
        <v>401091.0</v>
      </c>
      <c r="J199" s="218" t="s">
        <v>9913</v>
      </c>
      <c r="K199" s="218" t="s">
        <v>9914</v>
      </c>
      <c r="L199" s="218">
        <v>15113.0</v>
      </c>
      <c r="M199" s="218">
        <v>168105.0</v>
      </c>
      <c r="N199" s="218">
        <v>1.0E8</v>
      </c>
      <c r="O199" s="218">
        <v>339039.0</v>
      </c>
      <c r="P199" s="218" t="s">
        <v>9915</v>
      </c>
      <c r="Q199" s="222">
        <v>825.0</v>
      </c>
      <c r="R199" s="222">
        <v>825.0</v>
      </c>
      <c r="S199" s="222">
        <v>0.0</v>
      </c>
      <c r="U199" s="222">
        <v>0.0</v>
      </c>
      <c r="X199" s="218">
        <v>1.51132020000207E14</v>
      </c>
      <c r="AB199" t="e">
        <v>#N/A</v>
      </c>
    </row>
    <row r="200">
      <c r="A200" s="218" t="s">
        <v>781</v>
      </c>
      <c r="C200" s="218" t="s">
        <v>9916</v>
      </c>
      <c r="F200" s="456">
        <v>43861.0</v>
      </c>
      <c r="G200" s="218">
        <v>3.0</v>
      </c>
      <c r="H200" s="218">
        <v>401091.0</v>
      </c>
      <c r="J200" s="218" t="s">
        <v>9917</v>
      </c>
      <c r="K200" s="218" t="s">
        <v>9918</v>
      </c>
      <c r="L200" s="218">
        <v>15113.0</v>
      </c>
      <c r="M200" s="218">
        <v>168105.0</v>
      </c>
      <c r="N200" s="218">
        <v>1.0E8</v>
      </c>
      <c r="O200" s="218">
        <v>339039.0</v>
      </c>
      <c r="P200" s="218" t="s">
        <v>9915</v>
      </c>
      <c r="Q200" s="222">
        <v>2760.0</v>
      </c>
      <c r="R200" s="222">
        <v>2760.0</v>
      </c>
      <c r="S200" s="222">
        <v>3169.4</v>
      </c>
      <c r="U200" s="218">
        <v>0.0</v>
      </c>
      <c r="X200" s="218">
        <v>1.51132020000207E14</v>
      </c>
      <c r="AB200" t="e">
        <v>#N/A</v>
      </c>
    </row>
    <row r="201">
      <c r="A201" s="218" t="s">
        <v>9371</v>
      </c>
      <c r="C201" s="218" t="s">
        <v>9919</v>
      </c>
      <c r="F201" s="456">
        <v>43861.0</v>
      </c>
      <c r="G201" s="218">
        <v>0.0</v>
      </c>
      <c r="H201" s="218">
        <v>401092.0</v>
      </c>
      <c r="I201" s="218" t="s">
        <v>9377</v>
      </c>
      <c r="J201" s="218" t="s">
        <v>9333</v>
      </c>
      <c r="K201" s="218" t="s">
        <v>9904</v>
      </c>
      <c r="L201" s="218">
        <v>15113.0</v>
      </c>
      <c r="M201" s="218">
        <v>168105.0</v>
      </c>
      <c r="N201" s="218">
        <v>1.0E8</v>
      </c>
      <c r="O201" s="218">
        <v>339093.0</v>
      </c>
      <c r="P201" s="218" t="s">
        <v>9374</v>
      </c>
      <c r="Q201" s="222">
        <v>2553562.0</v>
      </c>
      <c r="R201" s="222">
        <v>2553562.0</v>
      </c>
      <c r="S201" s="222">
        <v>0.0</v>
      </c>
      <c r="U201" s="222">
        <v>0.0</v>
      </c>
      <c r="X201" s="218">
        <v>1.51132020000056E14</v>
      </c>
      <c r="AB201" t="e">
        <v>#N/A</v>
      </c>
    </row>
    <row r="202">
      <c r="A202" s="218" t="s">
        <v>9920</v>
      </c>
      <c r="C202" s="218" t="s">
        <v>9921</v>
      </c>
      <c r="F202" s="456">
        <v>43861.0</v>
      </c>
      <c r="G202" s="218">
        <v>3.0</v>
      </c>
      <c r="H202" s="218">
        <v>401091.0</v>
      </c>
      <c r="J202" s="218" t="s">
        <v>9922</v>
      </c>
      <c r="K202" s="218" t="s">
        <v>9923</v>
      </c>
      <c r="L202" s="218">
        <v>15113.0</v>
      </c>
      <c r="M202" s="218">
        <v>168105.0</v>
      </c>
      <c r="N202" s="218">
        <v>1.0E8</v>
      </c>
      <c r="O202" s="218">
        <v>339030.0</v>
      </c>
      <c r="P202" s="218" t="s">
        <v>9924</v>
      </c>
      <c r="Q202" s="222">
        <v>8000.0</v>
      </c>
      <c r="R202" s="222">
        <v>8000.0</v>
      </c>
      <c r="S202" s="218">
        <v>0.0</v>
      </c>
      <c r="U202" s="218">
        <v>0.0</v>
      </c>
      <c r="X202" s="218">
        <v>1.51132020000197E14</v>
      </c>
      <c r="AB202" t="e">
        <v>#N/A</v>
      </c>
    </row>
    <row r="203">
      <c r="A203" s="218" t="s">
        <v>9920</v>
      </c>
      <c r="C203" s="218" t="s">
        <v>9925</v>
      </c>
      <c r="F203" s="456">
        <v>43861.0</v>
      </c>
      <c r="G203" s="218">
        <v>3.0</v>
      </c>
      <c r="H203" s="218">
        <v>401091.0</v>
      </c>
      <c r="J203" s="218" t="s">
        <v>9922</v>
      </c>
      <c r="K203" s="218" t="s">
        <v>9926</v>
      </c>
      <c r="L203" s="218">
        <v>15113.0</v>
      </c>
      <c r="M203" s="218">
        <v>168105.0</v>
      </c>
      <c r="N203" s="218">
        <v>1.0E8</v>
      </c>
      <c r="O203" s="218">
        <v>339039.0</v>
      </c>
      <c r="P203" s="218" t="s">
        <v>9924</v>
      </c>
      <c r="Q203" s="222">
        <v>7000.0</v>
      </c>
      <c r="R203" s="222">
        <v>7000.0</v>
      </c>
      <c r="S203" s="218">
        <v>0.0</v>
      </c>
      <c r="U203" s="218">
        <v>0.0</v>
      </c>
      <c r="X203" s="218">
        <v>1.51132020000198E14</v>
      </c>
      <c r="AB203" t="e">
        <v>#N/A</v>
      </c>
    </row>
    <row r="204">
      <c r="A204" s="218" t="s">
        <v>9371</v>
      </c>
      <c r="C204" s="218" t="s">
        <v>9927</v>
      </c>
      <c r="F204" s="456">
        <v>43864.0</v>
      </c>
      <c r="G204" s="218">
        <v>1.0</v>
      </c>
      <c r="H204" s="218">
        <v>401091.0</v>
      </c>
      <c r="J204" s="218" t="s">
        <v>9928</v>
      </c>
      <c r="K204" s="218" t="s">
        <v>9929</v>
      </c>
      <c r="L204" s="218">
        <v>15113.0</v>
      </c>
      <c r="M204" s="218">
        <v>168105.0</v>
      </c>
      <c r="N204" s="218">
        <v>1.0E8</v>
      </c>
      <c r="O204" s="218">
        <v>339030.0</v>
      </c>
      <c r="P204" s="218" t="s">
        <v>9930</v>
      </c>
      <c r="Q204" s="222">
        <v>40.0</v>
      </c>
      <c r="R204" s="222">
        <v>40.0</v>
      </c>
      <c r="S204" s="222">
        <v>40.0</v>
      </c>
      <c r="U204" s="218">
        <v>0.0</v>
      </c>
      <c r="X204" s="218">
        <v>1.5113202000006E14</v>
      </c>
      <c r="AB204" t="e">
        <v>#N/A</v>
      </c>
    </row>
    <row r="205">
      <c r="A205" s="218" t="s">
        <v>9371</v>
      </c>
      <c r="C205" s="218" t="s">
        <v>9931</v>
      </c>
      <c r="F205" s="456">
        <v>43864.0</v>
      </c>
      <c r="G205" s="218">
        <v>0.0</v>
      </c>
      <c r="H205" s="218">
        <v>401092.0</v>
      </c>
      <c r="I205" s="218" t="s">
        <v>9375</v>
      </c>
      <c r="J205" s="218" t="s">
        <v>9333</v>
      </c>
      <c r="K205" s="218" t="s">
        <v>9932</v>
      </c>
      <c r="L205" s="218">
        <v>15113.0</v>
      </c>
      <c r="M205" s="218">
        <v>168105.0</v>
      </c>
      <c r="N205" s="218">
        <v>1.0E8</v>
      </c>
      <c r="O205" s="218">
        <v>339014.0</v>
      </c>
      <c r="P205" s="218" t="s">
        <v>9374</v>
      </c>
      <c r="Q205" s="222">
        <v>770000.0</v>
      </c>
      <c r="R205" s="222">
        <v>770000.0</v>
      </c>
      <c r="S205" s="218">
        <v>0.0</v>
      </c>
      <c r="U205" s="218">
        <v>0.0</v>
      </c>
      <c r="X205" s="218">
        <v>1.51132020000061E14</v>
      </c>
      <c r="AB205" t="e">
        <v>#N/A</v>
      </c>
    </row>
    <row r="206">
      <c r="A206" s="218" t="s">
        <v>116</v>
      </c>
      <c r="C206" s="218" t="s">
        <v>9933</v>
      </c>
      <c r="F206" s="456">
        <v>43864.0</v>
      </c>
      <c r="G206" s="218">
        <v>1.0</v>
      </c>
      <c r="H206" s="218">
        <v>401091.0</v>
      </c>
      <c r="J206" s="218" t="s">
        <v>9934</v>
      </c>
      <c r="K206" s="218" t="s">
        <v>9935</v>
      </c>
      <c r="L206" s="218">
        <v>15113.0</v>
      </c>
      <c r="M206" s="218">
        <v>168105.0</v>
      </c>
      <c r="N206" s="218">
        <v>1.0E8</v>
      </c>
      <c r="O206" s="218">
        <v>339040.0</v>
      </c>
      <c r="P206" s="218" t="s">
        <v>9936</v>
      </c>
      <c r="Q206" s="222">
        <v>16680.0</v>
      </c>
      <c r="R206" s="222">
        <v>16680.0</v>
      </c>
      <c r="S206" s="222">
        <v>16680.0</v>
      </c>
      <c r="U206" s="218">
        <v>973.0</v>
      </c>
      <c r="X206" s="218">
        <v>1.51132020000013E14</v>
      </c>
      <c r="AB206" t="e">
        <v>#N/A</v>
      </c>
    </row>
    <row r="207">
      <c r="A207" s="218" t="s">
        <v>781</v>
      </c>
      <c r="C207" s="218" t="s">
        <v>9937</v>
      </c>
      <c r="F207" s="456">
        <v>43864.0</v>
      </c>
      <c r="G207" s="218">
        <v>1.0</v>
      </c>
      <c r="H207" s="218">
        <v>401091.0</v>
      </c>
      <c r="J207" s="218" t="s">
        <v>9938</v>
      </c>
      <c r="K207" s="218" t="s">
        <v>9939</v>
      </c>
      <c r="L207" s="218">
        <v>15113.0</v>
      </c>
      <c r="M207" s="218">
        <v>168105.0</v>
      </c>
      <c r="N207" s="218">
        <v>1.0E8</v>
      </c>
      <c r="O207" s="218">
        <v>339092.0</v>
      </c>
      <c r="P207" s="218" t="s">
        <v>9940</v>
      </c>
      <c r="Q207" s="222">
        <v>109739.01</v>
      </c>
      <c r="R207" s="222">
        <v>109739.01</v>
      </c>
      <c r="S207" s="222">
        <v>109739.01</v>
      </c>
      <c r="U207" s="218">
        <v>0.0</v>
      </c>
      <c r="X207" s="218">
        <v>1.51132020000193E14</v>
      </c>
      <c r="AB207" t="e">
        <v>#N/A</v>
      </c>
    </row>
    <row r="208">
      <c r="A208" s="218" t="s">
        <v>781</v>
      </c>
      <c r="C208" s="218" t="s">
        <v>9941</v>
      </c>
      <c r="F208" s="456">
        <v>43864.0</v>
      </c>
      <c r="G208" s="218">
        <v>3.0</v>
      </c>
      <c r="H208" s="218">
        <v>401091.0</v>
      </c>
      <c r="J208" s="218" t="s">
        <v>9938</v>
      </c>
      <c r="K208" s="218" t="s">
        <v>9942</v>
      </c>
      <c r="L208" s="218">
        <v>15113.0</v>
      </c>
      <c r="M208" s="218">
        <v>168105.0</v>
      </c>
      <c r="N208" s="218">
        <v>1.27E8</v>
      </c>
      <c r="O208" s="218">
        <v>339039.0</v>
      </c>
      <c r="P208" s="218" t="s">
        <v>9940</v>
      </c>
      <c r="Q208" s="222">
        <v>200000.0</v>
      </c>
      <c r="R208" s="222">
        <v>200000.0</v>
      </c>
      <c r="S208" s="222">
        <v>430052.58</v>
      </c>
      <c r="U208" s="218">
        <v>0.0</v>
      </c>
      <c r="X208" s="218">
        <v>1.51132020000193E14</v>
      </c>
      <c r="AB208" t="e">
        <v>#N/A</v>
      </c>
    </row>
    <row r="209">
      <c r="A209" s="218" t="s">
        <v>781</v>
      </c>
      <c r="C209" s="218" t="s">
        <v>9943</v>
      </c>
      <c r="F209" s="456">
        <v>43864.0</v>
      </c>
      <c r="G209" s="218">
        <v>3.0</v>
      </c>
      <c r="H209" s="218">
        <v>401091.0</v>
      </c>
      <c r="J209" s="218" t="s">
        <v>9938</v>
      </c>
      <c r="K209" s="218" t="s">
        <v>9944</v>
      </c>
      <c r="L209" s="218">
        <v>15113.0</v>
      </c>
      <c r="M209" s="218">
        <v>168105.0</v>
      </c>
      <c r="N209" s="218">
        <v>1.27E8</v>
      </c>
      <c r="O209" s="218">
        <v>339030.0</v>
      </c>
      <c r="P209" s="218" t="s">
        <v>9940</v>
      </c>
      <c r="Q209" s="222">
        <v>250000.0</v>
      </c>
      <c r="R209" s="222">
        <v>250000.0</v>
      </c>
      <c r="S209" s="222">
        <v>756478.75</v>
      </c>
      <c r="U209" s="218">
        <v>0.0</v>
      </c>
      <c r="X209" s="218">
        <v>1.51132020000197E14</v>
      </c>
      <c r="AB209" t="e">
        <v>#N/A</v>
      </c>
    </row>
    <row r="210">
      <c r="A210" s="218" t="s">
        <v>9371</v>
      </c>
      <c r="C210" s="218" t="s">
        <v>9945</v>
      </c>
      <c r="F210" s="456">
        <v>43866.0</v>
      </c>
      <c r="G210" s="218">
        <v>0.0</v>
      </c>
      <c r="H210" s="218">
        <v>401093.0</v>
      </c>
      <c r="I210" s="218" t="s">
        <v>9377</v>
      </c>
      <c r="J210" s="218" t="s">
        <v>9333</v>
      </c>
      <c r="K210" s="218" t="s">
        <v>9946</v>
      </c>
      <c r="L210" s="218">
        <v>15113.0</v>
      </c>
      <c r="M210" s="218">
        <v>168105.0</v>
      </c>
      <c r="N210" s="218">
        <v>1.0E8</v>
      </c>
      <c r="O210" s="218">
        <v>339093.0</v>
      </c>
      <c r="P210" s="218" t="s">
        <v>9374</v>
      </c>
      <c r="Q210" s="222">
        <v>300000.0</v>
      </c>
      <c r="R210" s="222">
        <v>-300000.0</v>
      </c>
      <c r="S210" s="222">
        <v>0.0</v>
      </c>
      <c r="U210" s="218">
        <v>0.0</v>
      </c>
      <c r="AB210" t="e">
        <v>#N/A</v>
      </c>
    </row>
    <row r="211">
      <c r="A211" s="218" t="s">
        <v>9371</v>
      </c>
      <c r="C211" s="218" t="s">
        <v>9947</v>
      </c>
      <c r="F211" s="456">
        <v>43866.0</v>
      </c>
      <c r="G211" s="218">
        <v>0.0</v>
      </c>
      <c r="H211" s="218">
        <v>401093.0</v>
      </c>
      <c r="I211" s="218" t="s">
        <v>9375</v>
      </c>
      <c r="J211" s="218" t="s">
        <v>9333</v>
      </c>
      <c r="K211" s="218" t="s">
        <v>9948</v>
      </c>
      <c r="L211" s="218">
        <v>15113.0</v>
      </c>
      <c r="M211" s="218">
        <v>168105.0</v>
      </c>
      <c r="N211" s="218">
        <v>1.0E8</v>
      </c>
      <c r="O211" s="218">
        <v>339014.0</v>
      </c>
      <c r="P211" s="218" t="s">
        <v>9374</v>
      </c>
      <c r="Q211" s="222">
        <v>322.63</v>
      </c>
      <c r="R211" s="222">
        <v>-322.63</v>
      </c>
      <c r="S211" s="218">
        <v>0.0</v>
      </c>
      <c r="U211" s="218">
        <v>0.0</v>
      </c>
      <c r="AB211" t="e">
        <v>#N/A</v>
      </c>
    </row>
    <row r="212">
      <c r="A212" s="218" t="s">
        <v>9371</v>
      </c>
      <c r="C212" s="218" t="s">
        <v>9949</v>
      </c>
      <c r="F212" s="456">
        <v>43866.0</v>
      </c>
      <c r="G212" s="218">
        <v>0.0</v>
      </c>
      <c r="H212" s="218">
        <v>401093.0</v>
      </c>
      <c r="I212" s="218" t="s">
        <v>9372</v>
      </c>
      <c r="J212" s="218" t="s">
        <v>9333</v>
      </c>
      <c r="K212" s="218" t="s">
        <v>9950</v>
      </c>
      <c r="L212" s="218">
        <v>15113.0</v>
      </c>
      <c r="M212" s="218">
        <v>168108.0</v>
      </c>
      <c r="N212" s="218">
        <v>1.0E8</v>
      </c>
      <c r="O212" s="218">
        <v>339036.0</v>
      </c>
      <c r="P212" s="218" t="s">
        <v>9374</v>
      </c>
      <c r="Q212" s="222">
        <v>10000.0</v>
      </c>
      <c r="R212" s="222">
        <v>-10000.0</v>
      </c>
      <c r="S212" s="222">
        <v>0.0</v>
      </c>
      <c r="U212" s="222">
        <v>0.0</v>
      </c>
      <c r="AB212" t="e">
        <v>#N/A</v>
      </c>
    </row>
    <row r="213">
      <c r="A213" s="218" t="s">
        <v>781</v>
      </c>
      <c r="C213" s="218" t="s">
        <v>9951</v>
      </c>
      <c r="F213" s="456">
        <v>43866.0</v>
      </c>
      <c r="G213" s="218">
        <v>3.0</v>
      </c>
      <c r="H213" s="218">
        <v>401091.0</v>
      </c>
      <c r="J213" s="218" t="s">
        <v>9952</v>
      </c>
      <c r="K213" s="218" t="s">
        <v>9953</v>
      </c>
      <c r="L213" s="218">
        <v>15113.0</v>
      </c>
      <c r="M213" s="218">
        <v>168105.0</v>
      </c>
      <c r="N213" s="218">
        <v>1.8115113E8</v>
      </c>
      <c r="O213" s="218">
        <v>339039.0</v>
      </c>
      <c r="P213" s="218" t="s">
        <v>9954</v>
      </c>
      <c r="Q213" s="222">
        <v>3569000.0</v>
      </c>
      <c r="R213" s="222">
        <v>3569000.0</v>
      </c>
      <c r="S213" s="222">
        <v>1994775.44</v>
      </c>
      <c r="U213" s="218">
        <v>0.0</v>
      </c>
      <c r="X213" s="218">
        <v>1.51132020000151E14</v>
      </c>
      <c r="AB213" t="e">
        <v>#N/A</v>
      </c>
    </row>
    <row r="214">
      <c r="A214" s="218" t="s">
        <v>781</v>
      </c>
      <c r="C214" s="218" t="s">
        <v>9955</v>
      </c>
      <c r="F214" s="456">
        <v>43866.0</v>
      </c>
      <c r="G214" s="218">
        <v>3.0</v>
      </c>
      <c r="H214" s="218">
        <v>401091.0</v>
      </c>
      <c r="J214" s="218" t="s">
        <v>9956</v>
      </c>
      <c r="K214" s="218" t="s">
        <v>9957</v>
      </c>
      <c r="L214" s="218">
        <v>15113.0</v>
      </c>
      <c r="M214" s="218">
        <v>168105.0</v>
      </c>
      <c r="N214" s="218">
        <v>1.0E8</v>
      </c>
      <c r="O214" s="218">
        <v>339037.0</v>
      </c>
      <c r="P214" s="218" t="s">
        <v>9958</v>
      </c>
      <c r="Q214" s="222">
        <v>550000.0</v>
      </c>
      <c r="R214" s="222">
        <v>550000.0</v>
      </c>
      <c r="S214" s="222">
        <v>585754.74</v>
      </c>
      <c r="U214" s="222">
        <v>48020.57</v>
      </c>
      <c r="X214" s="218">
        <v>1.51132020000124E14</v>
      </c>
      <c r="AB214" t="e">
        <v>#N/A</v>
      </c>
    </row>
    <row r="215">
      <c r="A215" s="218" t="s">
        <v>459</v>
      </c>
      <c r="C215" s="218" t="s">
        <v>9959</v>
      </c>
      <c r="F215" s="456">
        <v>43867.0</v>
      </c>
      <c r="G215" s="218">
        <v>0.0</v>
      </c>
      <c r="H215" s="218">
        <v>401095.0</v>
      </c>
      <c r="I215" s="218" t="s">
        <v>9960</v>
      </c>
      <c r="J215" s="218" t="s">
        <v>9961</v>
      </c>
      <c r="K215" s="218" t="s">
        <v>9962</v>
      </c>
      <c r="L215" s="218">
        <v>0.0</v>
      </c>
      <c r="M215" s="218">
        <v>0.0</v>
      </c>
      <c r="O215" s="218">
        <v>0.0</v>
      </c>
      <c r="P215" s="218" t="s">
        <v>9963</v>
      </c>
      <c r="Q215" s="222">
        <v>367.9</v>
      </c>
      <c r="R215" s="222">
        <v>-367.9</v>
      </c>
      <c r="S215" s="222">
        <v>0.0</v>
      </c>
      <c r="U215" s="222">
        <v>0.0</v>
      </c>
      <c r="AB215" t="e">
        <v>#N/A</v>
      </c>
    </row>
    <row r="216">
      <c r="A216" s="218" t="s">
        <v>116</v>
      </c>
      <c r="C216" s="218" t="s">
        <v>9964</v>
      </c>
      <c r="F216" s="456">
        <v>43867.0</v>
      </c>
      <c r="G216" s="218">
        <v>3.0</v>
      </c>
      <c r="H216" s="218">
        <v>401091.0</v>
      </c>
      <c r="J216" s="218" t="s">
        <v>9965</v>
      </c>
      <c r="K216" s="218" t="s">
        <v>9966</v>
      </c>
      <c r="L216" s="218">
        <v>15113.0</v>
      </c>
      <c r="M216" s="218">
        <v>168105.0</v>
      </c>
      <c r="N216" s="218">
        <v>1.0E8</v>
      </c>
      <c r="O216" s="218">
        <v>339040.0</v>
      </c>
      <c r="P216" s="218" t="s">
        <v>207</v>
      </c>
      <c r="Q216" s="222">
        <v>780028.31</v>
      </c>
      <c r="R216" s="222">
        <v>780028.31</v>
      </c>
      <c r="S216" s="222">
        <v>0.0</v>
      </c>
      <c r="U216" s="218">
        <v>0.0</v>
      </c>
      <c r="X216" s="218">
        <v>1.51132020000014E14</v>
      </c>
      <c r="AB216" t="e">
        <v>#N/A</v>
      </c>
    </row>
    <row r="217">
      <c r="A217" s="218" t="s">
        <v>116</v>
      </c>
      <c r="C217" s="218" t="s">
        <v>9967</v>
      </c>
      <c r="F217" s="456">
        <v>43868.0</v>
      </c>
      <c r="G217" s="218">
        <v>0.0</v>
      </c>
      <c r="H217" s="218">
        <v>401093.0</v>
      </c>
      <c r="I217" s="218" t="s">
        <v>9964</v>
      </c>
      <c r="J217" s="218" t="s">
        <v>9965</v>
      </c>
      <c r="K217" s="218" t="s">
        <v>9398</v>
      </c>
      <c r="L217" s="218">
        <v>15113.0</v>
      </c>
      <c r="M217" s="218">
        <v>168105.0</v>
      </c>
      <c r="N217" s="218">
        <v>1.0E8</v>
      </c>
      <c r="O217" s="218">
        <v>339040.0</v>
      </c>
      <c r="P217" s="218" t="s">
        <v>207</v>
      </c>
      <c r="Q217" s="222">
        <v>780028.31</v>
      </c>
      <c r="R217" s="222">
        <v>-780028.31</v>
      </c>
      <c r="S217" s="222">
        <v>0.0</v>
      </c>
      <c r="U217" s="218">
        <v>0.0</v>
      </c>
      <c r="AB217" t="e">
        <v>#N/A</v>
      </c>
    </row>
    <row r="218">
      <c r="A218" s="218" t="s">
        <v>116</v>
      </c>
      <c r="C218" s="218" t="s">
        <v>9968</v>
      </c>
      <c r="F218" s="456">
        <v>43868.0</v>
      </c>
      <c r="G218" s="218">
        <v>3.0</v>
      </c>
      <c r="H218" s="218">
        <v>401091.0</v>
      </c>
      <c r="J218" s="218" t="s">
        <v>9965</v>
      </c>
      <c r="K218" s="218" t="s">
        <v>9966</v>
      </c>
      <c r="L218" s="218">
        <v>15113.0</v>
      </c>
      <c r="M218" s="218">
        <v>168107.0</v>
      </c>
      <c r="N218" s="218">
        <v>1.0E8</v>
      </c>
      <c r="O218" s="218">
        <v>339040.0</v>
      </c>
      <c r="P218" s="218" t="s">
        <v>207</v>
      </c>
      <c r="Q218" s="222">
        <v>780028.31</v>
      </c>
      <c r="R218" s="222">
        <v>780028.31</v>
      </c>
      <c r="S218" s="222">
        <v>723113.72</v>
      </c>
      <c r="U218" s="222">
        <v>69228.07</v>
      </c>
      <c r="X218" s="218">
        <v>1.51132020000014E14</v>
      </c>
      <c r="AB218" t="e">
        <v>#N/A</v>
      </c>
    </row>
    <row r="219">
      <c r="A219" s="218" t="s">
        <v>781</v>
      </c>
      <c r="C219" s="218" t="s">
        <v>9969</v>
      </c>
      <c r="F219" s="456">
        <v>43868.0</v>
      </c>
      <c r="G219" s="218">
        <v>3.0</v>
      </c>
      <c r="H219" s="218">
        <v>401091.0</v>
      </c>
      <c r="J219" s="218" t="s">
        <v>9970</v>
      </c>
      <c r="K219" s="218" t="s">
        <v>9971</v>
      </c>
      <c r="L219" s="218">
        <v>15113.0</v>
      </c>
      <c r="M219" s="218">
        <v>168105.0</v>
      </c>
      <c r="N219" s="218">
        <v>1.0E8</v>
      </c>
      <c r="O219" s="218">
        <v>339030.0</v>
      </c>
      <c r="P219" s="218" t="s">
        <v>9972</v>
      </c>
      <c r="Q219" s="222">
        <v>816.0</v>
      </c>
      <c r="R219" s="222">
        <v>816.0</v>
      </c>
      <c r="S219" s="222">
        <v>0.0</v>
      </c>
      <c r="U219" s="218">
        <v>0.0</v>
      </c>
      <c r="X219" s="218">
        <v>1.51132020000128E14</v>
      </c>
      <c r="AB219" t="e">
        <v>#N/A</v>
      </c>
    </row>
    <row r="220">
      <c r="A220" s="218" t="s">
        <v>499</v>
      </c>
      <c r="C220" s="218" t="s">
        <v>9973</v>
      </c>
      <c r="F220" s="456">
        <v>43871.0</v>
      </c>
      <c r="G220" s="218">
        <v>3.0</v>
      </c>
      <c r="H220" s="218">
        <v>401091.0</v>
      </c>
      <c r="J220" s="218" t="s">
        <v>9974</v>
      </c>
      <c r="K220" s="218" t="s">
        <v>9975</v>
      </c>
      <c r="L220" s="218">
        <v>15113.0</v>
      </c>
      <c r="M220" s="218">
        <v>168106.0</v>
      </c>
      <c r="N220" s="218">
        <v>1.0E8</v>
      </c>
      <c r="O220" s="218">
        <v>339037.0</v>
      </c>
      <c r="P220" s="218" t="s">
        <v>9976</v>
      </c>
      <c r="Q220" s="222">
        <v>4435.0</v>
      </c>
      <c r="R220" s="222">
        <v>4435.0</v>
      </c>
      <c r="S220" s="222">
        <v>4435.0</v>
      </c>
      <c r="U220" s="222">
        <v>0.0</v>
      </c>
      <c r="X220" s="218">
        <v>1.51132020000092E14</v>
      </c>
      <c r="AB220" t="e">
        <v>#N/A</v>
      </c>
    </row>
    <row r="221">
      <c r="A221" s="218" t="s">
        <v>499</v>
      </c>
      <c r="C221" s="218" t="s">
        <v>9977</v>
      </c>
      <c r="F221" s="456">
        <v>43871.0</v>
      </c>
      <c r="G221" s="218">
        <v>3.0</v>
      </c>
      <c r="H221" s="218">
        <v>401091.0</v>
      </c>
      <c r="J221" s="218" t="s">
        <v>9978</v>
      </c>
      <c r="K221" s="218" t="s">
        <v>9979</v>
      </c>
      <c r="L221" s="218">
        <v>15113.0</v>
      </c>
      <c r="M221" s="218">
        <v>168106.0</v>
      </c>
      <c r="N221" s="218">
        <v>1.0E8</v>
      </c>
      <c r="O221" s="218">
        <v>339037.0</v>
      </c>
      <c r="P221" s="218" t="s">
        <v>9980</v>
      </c>
      <c r="Q221" s="222">
        <v>94000.0</v>
      </c>
      <c r="R221" s="222">
        <v>94000.0</v>
      </c>
      <c r="S221" s="222">
        <v>94000.0</v>
      </c>
      <c r="U221" s="222">
        <v>8890.58</v>
      </c>
      <c r="X221" s="218">
        <v>1.51132020000093E14</v>
      </c>
      <c r="AB221" t="e">
        <v>#N/A</v>
      </c>
    </row>
    <row r="222">
      <c r="A222" s="218" t="s">
        <v>116</v>
      </c>
      <c r="C222" s="218" t="s">
        <v>9981</v>
      </c>
      <c r="F222" s="456">
        <v>43871.0</v>
      </c>
      <c r="G222" s="218">
        <v>3.0</v>
      </c>
      <c r="H222" s="218">
        <v>401091.0</v>
      </c>
      <c r="J222" s="218" t="s">
        <v>9982</v>
      </c>
      <c r="K222" s="218" t="s">
        <v>9677</v>
      </c>
      <c r="L222" s="218">
        <v>15113.0</v>
      </c>
      <c r="M222" s="218">
        <v>168107.0</v>
      </c>
      <c r="N222" s="218">
        <v>1.0E8</v>
      </c>
      <c r="O222" s="218">
        <v>339040.0</v>
      </c>
      <c r="P222" s="218" t="s">
        <v>185</v>
      </c>
      <c r="Q222" s="222">
        <v>105840.0</v>
      </c>
      <c r="R222" s="222">
        <v>105840.0</v>
      </c>
      <c r="S222" s="222">
        <v>105840.0</v>
      </c>
      <c r="U222" s="218">
        <v>0.0</v>
      </c>
      <c r="X222" s="218">
        <v>1.51132020000021E14</v>
      </c>
      <c r="AB222" t="e">
        <v>#N/A</v>
      </c>
    </row>
    <row r="223">
      <c r="A223" s="218" t="s">
        <v>116</v>
      </c>
      <c r="C223" s="218" t="s">
        <v>9983</v>
      </c>
      <c r="F223" s="456">
        <v>43871.0</v>
      </c>
      <c r="G223" s="218">
        <v>1.0</v>
      </c>
      <c r="H223" s="218">
        <v>401091.0</v>
      </c>
      <c r="J223" s="218" t="s">
        <v>9984</v>
      </c>
      <c r="K223" s="218" t="s">
        <v>9985</v>
      </c>
      <c r="L223" s="218">
        <v>15113.0</v>
      </c>
      <c r="M223" s="218">
        <v>168105.0</v>
      </c>
      <c r="N223" s="218">
        <v>1.0E8</v>
      </c>
      <c r="O223" s="218">
        <v>339092.0</v>
      </c>
      <c r="P223" s="218" t="s">
        <v>307</v>
      </c>
      <c r="Q223" s="222">
        <v>66.67</v>
      </c>
      <c r="R223" s="222">
        <v>66.67</v>
      </c>
      <c r="S223" s="222">
        <v>66.67</v>
      </c>
      <c r="U223" s="218">
        <v>0.0</v>
      </c>
      <c r="X223" s="218">
        <v>1.51132020000024E14</v>
      </c>
      <c r="AB223" t="e">
        <v>#N/A</v>
      </c>
    </row>
    <row r="224">
      <c r="A224" s="218" t="s">
        <v>781</v>
      </c>
      <c r="C224" s="218" t="s">
        <v>9986</v>
      </c>
      <c r="F224" s="456">
        <v>43872.0</v>
      </c>
      <c r="G224" s="218">
        <v>5.0</v>
      </c>
      <c r="H224" s="218">
        <v>401091.0</v>
      </c>
      <c r="J224" s="218" t="s">
        <v>9987</v>
      </c>
      <c r="K224" s="218" t="s">
        <v>9988</v>
      </c>
      <c r="L224" s="218">
        <v>15113.0</v>
      </c>
      <c r="M224" s="218">
        <v>168105.0</v>
      </c>
      <c r="N224" s="218">
        <v>1.0E8</v>
      </c>
      <c r="O224" s="218">
        <v>339047.0</v>
      </c>
      <c r="P224" s="218" t="s">
        <v>9954</v>
      </c>
      <c r="Q224" s="222">
        <v>85324.08</v>
      </c>
      <c r="R224" s="222">
        <v>85324.08</v>
      </c>
      <c r="S224" s="222">
        <v>0.0</v>
      </c>
      <c r="U224" s="222">
        <v>0.0</v>
      </c>
      <c r="X224" s="218">
        <v>1.51132020000166E14</v>
      </c>
      <c r="AB224" t="e">
        <v>#N/A</v>
      </c>
    </row>
    <row r="225">
      <c r="A225" s="218" t="s">
        <v>781</v>
      </c>
      <c r="C225" s="218" t="s">
        <v>9989</v>
      </c>
      <c r="F225" s="456">
        <v>43872.0</v>
      </c>
      <c r="G225" s="218">
        <v>0.0</v>
      </c>
      <c r="H225" s="218">
        <v>401093.0</v>
      </c>
      <c r="I225" s="218" t="s">
        <v>9986</v>
      </c>
      <c r="J225" s="218" t="s">
        <v>9987</v>
      </c>
      <c r="K225" s="218" t="s">
        <v>9398</v>
      </c>
      <c r="L225" s="218">
        <v>15113.0</v>
      </c>
      <c r="M225" s="218">
        <v>168105.0</v>
      </c>
      <c r="N225" s="218">
        <v>1.0E8</v>
      </c>
      <c r="O225" s="218">
        <v>339047.0</v>
      </c>
      <c r="P225" s="218" t="s">
        <v>9954</v>
      </c>
      <c r="Q225" s="222">
        <v>85324.08</v>
      </c>
      <c r="R225" s="222">
        <v>-85324.08</v>
      </c>
      <c r="S225" s="218">
        <v>0.0</v>
      </c>
      <c r="U225" s="218">
        <v>0.0</v>
      </c>
      <c r="AB225" t="e">
        <v>#N/A</v>
      </c>
    </row>
    <row r="226">
      <c r="A226" s="218" t="s">
        <v>781</v>
      </c>
      <c r="C226" s="218" t="s">
        <v>9990</v>
      </c>
      <c r="F226" s="456">
        <v>43872.0</v>
      </c>
      <c r="G226" s="218">
        <v>5.0</v>
      </c>
      <c r="H226" s="218">
        <v>401091.0</v>
      </c>
      <c r="J226" s="218" t="s">
        <v>9991</v>
      </c>
      <c r="K226" s="218" t="s">
        <v>9988</v>
      </c>
      <c r="L226" s="218">
        <v>15113.0</v>
      </c>
      <c r="M226" s="218">
        <v>168105.0</v>
      </c>
      <c r="N226" s="218">
        <v>1.0E8</v>
      </c>
      <c r="O226" s="218">
        <v>339047.0</v>
      </c>
      <c r="P226" s="218" t="s">
        <v>9954</v>
      </c>
      <c r="Q226" s="222">
        <v>85324.08</v>
      </c>
      <c r="R226" s="222">
        <v>85324.08</v>
      </c>
      <c r="S226" s="222">
        <v>49773.28</v>
      </c>
      <c r="U226" s="218">
        <v>0.0</v>
      </c>
      <c r="X226" s="218">
        <v>1.51132020000166E14</v>
      </c>
      <c r="AB226" t="e">
        <v>#N/A</v>
      </c>
    </row>
    <row r="227">
      <c r="A227" s="218" t="s">
        <v>781</v>
      </c>
      <c r="C227" s="218" t="s">
        <v>9992</v>
      </c>
      <c r="F227" s="456">
        <v>43874.0</v>
      </c>
      <c r="G227" s="218">
        <v>3.0</v>
      </c>
      <c r="H227" s="218">
        <v>401091.0</v>
      </c>
      <c r="J227" s="218" t="s">
        <v>9594</v>
      </c>
      <c r="K227" s="218" t="s">
        <v>9993</v>
      </c>
      <c r="L227" s="218">
        <v>15113.0</v>
      </c>
      <c r="M227" s="218">
        <v>168105.0</v>
      </c>
      <c r="N227" s="218">
        <v>1.0E8</v>
      </c>
      <c r="O227" s="218">
        <v>339039.0</v>
      </c>
      <c r="P227" s="218" t="s">
        <v>9994</v>
      </c>
      <c r="Q227" s="222">
        <v>6500.0</v>
      </c>
      <c r="R227" s="222">
        <v>6500.0</v>
      </c>
      <c r="S227" s="222">
        <v>5489.0</v>
      </c>
      <c r="U227" s="222">
        <v>499.0</v>
      </c>
      <c r="X227" s="218">
        <v>1.51132020000156E14</v>
      </c>
      <c r="AB227" t="e">
        <v>#N/A</v>
      </c>
    </row>
    <row r="228">
      <c r="A228" s="218" t="s">
        <v>781</v>
      </c>
      <c r="C228" s="218" t="s">
        <v>9995</v>
      </c>
      <c r="F228" s="456">
        <v>43874.0</v>
      </c>
      <c r="G228" s="218">
        <v>3.0</v>
      </c>
      <c r="H228" s="218">
        <v>401091.0</v>
      </c>
      <c r="J228" s="218" t="s">
        <v>9996</v>
      </c>
      <c r="K228" s="218" t="s">
        <v>9997</v>
      </c>
      <c r="L228" s="218">
        <v>15113.0</v>
      </c>
      <c r="M228" s="218">
        <v>168105.0</v>
      </c>
      <c r="N228" s="218">
        <v>1.0E8</v>
      </c>
      <c r="O228" s="218">
        <v>339037.0</v>
      </c>
      <c r="P228" s="218" t="s">
        <v>9998</v>
      </c>
      <c r="Q228" s="222">
        <v>723944.6</v>
      </c>
      <c r="R228" s="222">
        <v>723944.6</v>
      </c>
      <c r="S228" s="222">
        <v>662117.68</v>
      </c>
      <c r="U228" s="222">
        <v>56778.42</v>
      </c>
      <c r="X228" s="218">
        <v>1.51132020000124E14</v>
      </c>
      <c r="AB228" t="e">
        <v>#N/A</v>
      </c>
    </row>
    <row r="229">
      <c r="A229" s="218" t="s">
        <v>781</v>
      </c>
      <c r="C229" s="218" t="s">
        <v>9999</v>
      </c>
      <c r="F229" s="456">
        <v>43874.0</v>
      </c>
      <c r="G229" s="218">
        <v>3.0</v>
      </c>
      <c r="H229" s="218">
        <v>401091.0</v>
      </c>
      <c r="J229" s="218" t="s">
        <v>9996</v>
      </c>
      <c r="K229" s="218" t="s">
        <v>9997</v>
      </c>
      <c r="L229" s="218">
        <v>15113.0</v>
      </c>
      <c r="M229" s="218">
        <v>168105.0</v>
      </c>
      <c r="N229" s="218">
        <v>1.8115113E8</v>
      </c>
      <c r="O229" s="218">
        <v>339037.0</v>
      </c>
      <c r="P229" s="218" t="s">
        <v>9998</v>
      </c>
      <c r="Q229" s="222">
        <v>146055.4</v>
      </c>
      <c r="R229" s="222">
        <v>146055.4</v>
      </c>
      <c r="S229" s="222">
        <v>146055.4</v>
      </c>
      <c r="U229" s="218">
        <v>0.0</v>
      </c>
      <c r="X229" s="218">
        <v>1.51132020000124E14</v>
      </c>
      <c r="AB229" t="e">
        <v>#N/A</v>
      </c>
    </row>
    <row r="230">
      <c r="A230" s="218" t="s">
        <v>781</v>
      </c>
      <c r="C230" s="218" t="s">
        <v>10000</v>
      </c>
      <c r="F230" s="456">
        <v>43874.0</v>
      </c>
      <c r="G230" s="218">
        <v>0.0</v>
      </c>
      <c r="H230" s="218">
        <v>401092.0</v>
      </c>
      <c r="I230" s="218" t="s">
        <v>9553</v>
      </c>
      <c r="J230" s="218" t="s">
        <v>9554</v>
      </c>
      <c r="K230" s="218" t="s">
        <v>9904</v>
      </c>
      <c r="L230" s="218">
        <v>15113.0</v>
      </c>
      <c r="M230" s="218">
        <v>168105.0</v>
      </c>
      <c r="N230" s="218">
        <v>1.0E8</v>
      </c>
      <c r="O230" s="218">
        <v>339030.0</v>
      </c>
      <c r="P230" s="218" t="s">
        <v>9556</v>
      </c>
      <c r="Q230" s="222">
        <v>4600.0</v>
      </c>
      <c r="R230" s="222">
        <v>4600.0</v>
      </c>
      <c r="S230" s="222">
        <v>0.0</v>
      </c>
      <c r="U230" s="218">
        <v>0.0</v>
      </c>
      <c r="X230" s="218">
        <v>1.51132020000138E14</v>
      </c>
      <c r="AB230" t="e">
        <v>#N/A</v>
      </c>
    </row>
    <row r="231">
      <c r="A231" s="218" t="s">
        <v>10001</v>
      </c>
      <c r="C231" s="218" t="s">
        <v>10002</v>
      </c>
      <c r="F231" s="456">
        <v>43875.0</v>
      </c>
      <c r="G231" s="218">
        <v>1.0</v>
      </c>
      <c r="H231" s="218">
        <v>401091.0</v>
      </c>
      <c r="J231" s="218" t="s">
        <v>10003</v>
      </c>
      <c r="K231" s="218" t="s">
        <v>10004</v>
      </c>
      <c r="L231" s="218">
        <v>15113.0</v>
      </c>
      <c r="M231" s="218">
        <v>168105.0</v>
      </c>
      <c r="N231" s="218">
        <v>1.0E8</v>
      </c>
      <c r="O231" s="218">
        <v>339039.0</v>
      </c>
      <c r="P231" s="218" t="s">
        <v>10005</v>
      </c>
      <c r="Q231" s="222">
        <v>450.46</v>
      </c>
      <c r="R231" s="222">
        <v>450.46</v>
      </c>
      <c r="S231" s="222">
        <v>450.46</v>
      </c>
      <c r="U231" s="222">
        <v>0.0</v>
      </c>
      <c r="X231" s="218">
        <v>1.51132020000208E14</v>
      </c>
      <c r="AB231" t="e">
        <v>#N/A</v>
      </c>
    </row>
    <row r="232">
      <c r="A232" s="218" t="s">
        <v>781</v>
      </c>
      <c r="C232" s="218" t="s">
        <v>10006</v>
      </c>
      <c r="F232" s="456">
        <v>43875.0</v>
      </c>
      <c r="G232" s="218">
        <v>1.0</v>
      </c>
      <c r="H232" s="218">
        <v>401091.0</v>
      </c>
      <c r="J232" s="218" t="s">
        <v>9991</v>
      </c>
      <c r="K232" s="218" t="s">
        <v>10007</v>
      </c>
      <c r="L232" s="218">
        <v>15113.0</v>
      </c>
      <c r="M232" s="218">
        <v>168105.0</v>
      </c>
      <c r="N232" s="218">
        <v>1.0E8</v>
      </c>
      <c r="O232" s="218">
        <v>339047.0</v>
      </c>
      <c r="P232" s="218" t="s">
        <v>10008</v>
      </c>
      <c r="Q232" s="222">
        <v>142217.2</v>
      </c>
      <c r="R232" s="222">
        <v>142217.2</v>
      </c>
      <c r="S232" s="222">
        <v>142217.2</v>
      </c>
      <c r="U232" s="218">
        <v>0.0</v>
      </c>
      <c r="X232" s="218">
        <v>1.51132020000166E14</v>
      </c>
      <c r="AB232" t="e">
        <v>#N/A</v>
      </c>
    </row>
    <row r="233">
      <c r="A233" s="218" t="s">
        <v>9371</v>
      </c>
      <c r="C233" s="218" t="s">
        <v>10009</v>
      </c>
      <c r="F233" s="456">
        <v>43875.0</v>
      </c>
      <c r="G233" s="218">
        <v>1.0</v>
      </c>
      <c r="H233" s="218">
        <v>401091.0</v>
      </c>
      <c r="J233" s="218" t="s">
        <v>10010</v>
      </c>
      <c r="K233" s="218" t="s">
        <v>10011</v>
      </c>
      <c r="L233" s="218">
        <v>15113.0</v>
      </c>
      <c r="M233" s="218">
        <v>168105.0</v>
      </c>
      <c r="N233" s="218">
        <v>1.0E8</v>
      </c>
      <c r="O233" s="218">
        <v>339039.0</v>
      </c>
      <c r="P233" s="218" t="s">
        <v>10012</v>
      </c>
      <c r="Q233" s="218">
        <v>150.0</v>
      </c>
      <c r="R233" s="218">
        <v>150.0</v>
      </c>
      <c r="S233" s="218">
        <v>150.0</v>
      </c>
      <c r="U233" s="218">
        <v>0.0</v>
      </c>
      <c r="X233" s="218">
        <v>1.51132020000209E14</v>
      </c>
      <c r="AB233" t="e">
        <v>#N/A</v>
      </c>
    </row>
    <row r="234">
      <c r="A234" s="218" t="s">
        <v>9430</v>
      </c>
      <c r="C234" s="218" t="s">
        <v>10013</v>
      </c>
      <c r="F234" s="456">
        <v>43878.0</v>
      </c>
      <c r="G234" s="218">
        <v>1.0</v>
      </c>
      <c r="H234" s="218">
        <v>401091.0</v>
      </c>
      <c r="J234" s="218" t="s">
        <v>9991</v>
      </c>
      <c r="K234" s="218" t="s">
        <v>10014</v>
      </c>
      <c r="L234" s="218">
        <v>15113.0</v>
      </c>
      <c r="M234" s="218">
        <v>168105.0</v>
      </c>
      <c r="N234" s="218">
        <v>1.0E8</v>
      </c>
      <c r="O234" s="218">
        <v>339047.0</v>
      </c>
      <c r="P234" s="218" t="s">
        <v>10015</v>
      </c>
      <c r="Q234" s="222">
        <v>5809.94</v>
      </c>
      <c r="R234" s="222">
        <v>5809.94</v>
      </c>
      <c r="S234" s="222">
        <v>5809.94</v>
      </c>
      <c r="U234" s="222">
        <v>0.0</v>
      </c>
      <c r="X234" s="218">
        <v>1.51132020000073E14</v>
      </c>
      <c r="AB234" t="e">
        <v>#N/A</v>
      </c>
    </row>
    <row r="235">
      <c r="A235" s="218" t="s">
        <v>787</v>
      </c>
      <c r="C235" s="218" t="s">
        <v>10016</v>
      </c>
      <c r="F235" s="456">
        <v>43878.0</v>
      </c>
      <c r="G235" s="218">
        <v>1.0</v>
      </c>
      <c r="H235" s="218">
        <v>401091.0</v>
      </c>
      <c r="J235" s="218" t="s">
        <v>10017</v>
      </c>
      <c r="K235" s="218" t="s">
        <v>10018</v>
      </c>
      <c r="L235" s="218">
        <v>15113.0</v>
      </c>
      <c r="M235" s="218">
        <v>168108.0</v>
      </c>
      <c r="N235" s="218">
        <v>1.0E8</v>
      </c>
      <c r="O235" s="218">
        <v>339039.0</v>
      </c>
      <c r="P235" s="218" t="s">
        <v>10019</v>
      </c>
      <c r="Q235" s="222">
        <v>2890.0</v>
      </c>
      <c r="R235" s="222">
        <v>2890.0</v>
      </c>
      <c r="S235" s="218">
        <v>0.0</v>
      </c>
      <c r="U235" s="218">
        <v>0.0</v>
      </c>
      <c r="X235" s="218">
        <v>1.51132020000066E14</v>
      </c>
      <c r="AB235" t="e">
        <v>#N/A</v>
      </c>
    </row>
    <row r="236">
      <c r="A236" s="218" t="s">
        <v>781</v>
      </c>
      <c r="C236" s="218" t="s">
        <v>10020</v>
      </c>
      <c r="F236" s="456">
        <v>43879.0</v>
      </c>
      <c r="G236" s="218">
        <v>1.0</v>
      </c>
      <c r="H236" s="218">
        <v>401091.0</v>
      </c>
      <c r="J236" s="218" t="s">
        <v>9793</v>
      </c>
      <c r="K236" s="218" t="s">
        <v>10021</v>
      </c>
      <c r="L236" s="218">
        <v>15113.0</v>
      </c>
      <c r="M236" s="218">
        <v>168105.0</v>
      </c>
      <c r="N236" s="218">
        <v>1.0E8</v>
      </c>
      <c r="O236" s="218">
        <v>339092.0</v>
      </c>
      <c r="P236" s="218" t="s">
        <v>9795</v>
      </c>
      <c r="Q236" s="222">
        <v>2856.73</v>
      </c>
      <c r="R236" s="222">
        <v>2856.73</v>
      </c>
      <c r="S236" s="222">
        <v>2856.73</v>
      </c>
      <c r="U236" s="218">
        <v>0.0</v>
      </c>
      <c r="X236" s="218">
        <v>1.51132020000116E14</v>
      </c>
      <c r="AB236" t="e">
        <v>#N/A</v>
      </c>
    </row>
    <row r="237">
      <c r="A237" s="218" t="s">
        <v>9371</v>
      </c>
      <c r="C237" s="218" t="s">
        <v>10022</v>
      </c>
      <c r="F237" s="456">
        <v>43879.0</v>
      </c>
      <c r="G237" s="218">
        <v>1.0</v>
      </c>
      <c r="H237" s="218">
        <v>401091.0</v>
      </c>
      <c r="J237" s="218" t="s">
        <v>10023</v>
      </c>
      <c r="K237" s="218" t="s">
        <v>10024</v>
      </c>
      <c r="L237" s="218">
        <v>15113.0</v>
      </c>
      <c r="M237" s="218">
        <v>168105.0</v>
      </c>
      <c r="N237" s="218">
        <v>1.0E8</v>
      </c>
      <c r="O237" s="218">
        <v>339030.0</v>
      </c>
      <c r="P237" s="218" t="s">
        <v>10025</v>
      </c>
      <c r="Q237" s="222">
        <v>45.0</v>
      </c>
      <c r="R237" s="222">
        <v>45.0</v>
      </c>
      <c r="S237" s="222">
        <v>45.0</v>
      </c>
      <c r="U237" s="218">
        <v>0.0</v>
      </c>
      <c r="X237" s="218">
        <v>1.5113202000006E14</v>
      </c>
      <c r="AB237" t="e">
        <v>#N/A</v>
      </c>
    </row>
    <row r="238">
      <c r="A238" s="218" t="s">
        <v>781</v>
      </c>
      <c r="C238" s="218" t="s">
        <v>10026</v>
      </c>
      <c r="F238" s="456">
        <v>43879.0</v>
      </c>
      <c r="G238" s="218">
        <v>0.0</v>
      </c>
      <c r="H238" s="218">
        <v>401092.0</v>
      </c>
      <c r="I238" s="218" t="s">
        <v>9805</v>
      </c>
      <c r="J238" s="218" t="s">
        <v>9806</v>
      </c>
      <c r="K238" s="218" t="s">
        <v>9904</v>
      </c>
      <c r="L238" s="218">
        <v>15113.0</v>
      </c>
      <c r="M238" s="218">
        <v>168105.0</v>
      </c>
      <c r="N238" s="218">
        <v>1.0E8</v>
      </c>
      <c r="O238" s="218">
        <v>339037.0</v>
      </c>
      <c r="P238" s="218" t="s">
        <v>9808</v>
      </c>
      <c r="Q238" s="222">
        <v>218094.29</v>
      </c>
      <c r="R238" s="222">
        <v>218094.29</v>
      </c>
      <c r="S238" s="222">
        <v>0.0</v>
      </c>
      <c r="U238" s="218">
        <v>0.0</v>
      </c>
      <c r="X238" s="218">
        <v>1.51132020000123E14</v>
      </c>
      <c r="AB238" t="e">
        <v>#N/A</v>
      </c>
    </row>
    <row r="239">
      <c r="A239" s="218" t="s">
        <v>781</v>
      </c>
      <c r="C239" s="218" t="s">
        <v>10027</v>
      </c>
      <c r="F239" s="456">
        <v>43880.0</v>
      </c>
      <c r="G239" s="218">
        <v>0.0</v>
      </c>
      <c r="H239" s="218">
        <v>401092.0</v>
      </c>
      <c r="I239" s="218" t="s">
        <v>9990</v>
      </c>
      <c r="J239" s="218" t="s">
        <v>9991</v>
      </c>
      <c r="K239" s="218" t="s">
        <v>9904</v>
      </c>
      <c r="L239" s="218">
        <v>15113.0</v>
      </c>
      <c r="M239" s="218">
        <v>168105.0</v>
      </c>
      <c r="N239" s="218">
        <v>1.0E8</v>
      </c>
      <c r="O239" s="218">
        <v>339047.0</v>
      </c>
      <c r="P239" s="218" t="s">
        <v>9954</v>
      </c>
      <c r="Q239" s="222">
        <v>0.9</v>
      </c>
      <c r="R239" s="222">
        <v>0.9</v>
      </c>
      <c r="S239" s="222">
        <v>0.0</v>
      </c>
      <c r="U239" s="218">
        <v>0.0</v>
      </c>
      <c r="X239" s="218">
        <v>1.51132020000166E14</v>
      </c>
      <c r="AB239" t="e">
        <v>#N/A</v>
      </c>
    </row>
    <row r="240">
      <c r="A240" s="218" t="s">
        <v>781</v>
      </c>
      <c r="C240" s="218" t="s">
        <v>10028</v>
      </c>
      <c r="F240" s="456">
        <v>43880.0</v>
      </c>
      <c r="G240" s="218">
        <v>3.0</v>
      </c>
      <c r="H240" s="218">
        <v>401091.0</v>
      </c>
      <c r="J240" s="218" t="s">
        <v>9411</v>
      </c>
      <c r="K240" s="218" t="s">
        <v>10029</v>
      </c>
      <c r="L240" s="218">
        <v>15113.0</v>
      </c>
      <c r="M240" s="218">
        <v>168105.0</v>
      </c>
      <c r="N240" s="218">
        <v>1.0E8</v>
      </c>
      <c r="O240" s="218">
        <v>339039.0</v>
      </c>
      <c r="P240" s="218" t="s">
        <v>9413</v>
      </c>
      <c r="Q240" s="222">
        <v>3600.28</v>
      </c>
      <c r="R240" s="222">
        <v>3600.28</v>
      </c>
      <c r="S240" s="222">
        <v>33150.79</v>
      </c>
      <c r="U240" s="218">
        <v>0.0</v>
      </c>
      <c r="X240" s="218">
        <v>1.51132020000115E14</v>
      </c>
      <c r="AB240" t="e">
        <v>#N/A</v>
      </c>
    </row>
    <row r="241">
      <c r="A241" s="218" t="s">
        <v>781</v>
      </c>
      <c r="C241" s="218" t="s">
        <v>10030</v>
      </c>
      <c r="F241" s="457">
        <v>43880.0</v>
      </c>
      <c r="G241" s="218">
        <v>1.0</v>
      </c>
      <c r="H241" s="218">
        <v>401091.0</v>
      </c>
      <c r="J241" s="218" t="s">
        <v>10031</v>
      </c>
      <c r="K241" s="218" t="s">
        <v>10032</v>
      </c>
      <c r="L241" s="218">
        <v>15113.0</v>
      </c>
      <c r="M241" s="218">
        <v>168105.0</v>
      </c>
      <c r="N241" s="218">
        <v>1.0E8</v>
      </c>
      <c r="O241" s="218">
        <v>339039.0</v>
      </c>
      <c r="P241" s="218" t="s">
        <v>10033</v>
      </c>
      <c r="Q241" s="222">
        <v>7990.0</v>
      </c>
      <c r="R241" s="222">
        <v>7990.0</v>
      </c>
      <c r="S241" s="222">
        <v>0.0</v>
      </c>
      <c r="U241" s="222">
        <v>0.0</v>
      </c>
      <c r="X241" s="218">
        <v>1.51132020000118E14</v>
      </c>
      <c r="AB241" t="e">
        <v>#N/A</v>
      </c>
    </row>
    <row r="242">
      <c r="A242" s="218" t="s">
        <v>781</v>
      </c>
      <c r="C242" s="218" t="s">
        <v>10034</v>
      </c>
      <c r="F242" s="456">
        <v>43880.0</v>
      </c>
      <c r="G242" s="218">
        <v>0.0</v>
      </c>
      <c r="H242" s="218">
        <v>401093.0</v>
      </c>
      <c r="I242" s="218" t="s">
        <v>10030</v>
      </c>
      <c r="J242" s="218" t="s">
        <v>10031</v>
      </c>
      <c r="K242" s="218" t="s">
        <v>9398</v>
      </c>
      <c r="L242" s="218">
        <v>15113.0</v>
      </c>
      <c r="M242" s="218">
        <v>168105.0</v>
      </c>
      <c r="N242" s="218">
        <v>1.0E8</v>
      </c>
      <c r="O242" s="218">
        <v>339039.0</v>
      </c>
      <c r="P242" s="218" t="s">
        <v>10033</v>
      </c>
      <c r="Q242" s="222">
        <v>7990.0</v>
      </c>
      <c r="R242" s="222">
        <v>-7990.0</v>
      </c>
      <c r="S242" s="222">
        <v>0.0</v>
      </c>
      <c r="U242" s="218">
        <v>0.0</v>
      </c>
      <c r="AB242" t="e">
        <v>#N/A</v>
      </c>
    </row>
    <row r="243">
      <c r="A243" s="218" t="s">
        <v>781</v>
      </c>
      <c r="C243" s="218" t="s">
        <v>10035</v>
      </c>
      <c r="F243" s="456">
        <v>43880.0</v>
      </c>
      <c r="G243" s="218">
        <v>1.0</v>
      </c>
      <c r="H243" s="218">
        <v>401091.0</v>
      </c>
      <c r="J243" s="218" t="s">
        <v>10031</v>
      </c>
      <c r="K243" s="218" t="s">
        <v>10036</v>
      </c>
      <c r="L243" s="218">
        <v>15113.0</v>
      </c>
      <c r="M243" s="218">
        <v>168105.0</v>
      </c>
      <c r="N243" s="218">
        <v>1.0E8</v>
      </c>
      <c r="O243" s="218">
        <v>339039.0</v>
      </c>
      <c r="P243" s="218" t="s">
        <v>10033</v>
      </c>
      <c r="Q243" s="222">
        <v>7990.0</v>
      </c>
      <c r="R243" s="222">
        <v>7990.0</v>
      </c>
      <c r="S243" s="222">
        <v>7990.0</v>
      </c>
      <c r="U243" s="218">
        <v>0.0</v>
      </c>
      <c r="X243" s="218">
        <v>1.51132020000118E14</v>
      </c>
      <c r="AB243" t="e">
        <v>#N/A</v>
      </c>
    </row>
    <row r="244">
      <c r="A244" s="218" t="s">
        <v>781</v>
      </c>
      <c r="C244" s="218" t="s">
        <v>10037</v>
      </c>
      <c r="F244" s="456">
        <v>43881.0</v>
      </c>
      <c r="G244" s="218">
        <v>3.0</v>
      </c>
      <c r="H244" s="218">
        <v>401091.0</v>
      </c>
      <c r="J244" s="218" t="s">
        <v>9761</v>
      </c>
      <c r="K244" s="218" t="s">
        <v>10038</v>
      </c>
      <c r="L244" s="218">
        <v>15113.0</v>
      </c>
      <c r="M244" s="218">
        <v>168109.0</v>
      </c>
      <c r="N244" s="218">
        <v>1.0E8</v>
      </c>
      <c r="O244" s="218">
        <v>339039.0</v>
      </c>
      <c r="P244" s="218" t="s">
        <v>9763</v>
      </c>
      <c r="Q244" s="222">
        <v>12000.0</v>
      </c>
      <c r="R244" s="222">
        <v>12000.0</v>
      </c>
      <c r="S244" s="222">
        <v>0.0</v>
      </c>
      <c r="U244" s="218">
        <v>0.0</v>
      </c>
      <c r="X244" s="218">
        <v>1.51132020000048E14</v>
      </c>
      <c r="AB244" t="e">
        <v>#N/A</v>
      </c>
    </row>
    <row r="245">
      <c r="A245" s="218" t="s">
        <v>782</v>
      </c>
      <c r="C245" s="218" t="s">
        <v>10039</v>
      </c>
      <c r="F245" s="456">
        <v>43881.0</v>
      </c>
      <c r="G245" s="218">
        <v>3.0</v>
      </c>
      <c r="H245" s="218">
        <v>401091.0</v>
      </c>
      <c r="J245" s="218" t="s">
        <v>9729</v>
      </c>
      <c r="K245" s="218" t="s">
        <v>10040</v>
      </c>
      <c r="L245" s="218">
        <v>15113.0</v>
      </c>
      <c r="M245" s="218">
        <v>168109.0</v>
      </c>
      <c r="N245" s="218">
        <v>1.0E8</v>
      </c>
      <c r="O245" s="218">
        <v>339033.0</v>
      </c>
      <c r="P245" s="218" t="s">
        <v>9731</v>
      </c>
      <c r="Q245" s="222">
        <v>35000.0</v>
      </c>
      <c r="R245" s="222">
        <v>35000.0</v>
      </c>
      <c r="S245" s="222">
        <v>3789.28</v>
      </c>
      <c r="U245" s="218">
        <v>0.0</v>
      </c>
      <c r="X245" s="218">
        <v>1.51132020000051E14</v>
      </c>
      <c r="AB245" t="e">
        <v>#N/A</v>
      </c>
    </row>
    <row r="246">
      <c r="A246" s="218" t="s">
        <v>9371</v>
      </c>
      <c r="C246" s="218" t="s">
        <v>10041</v>
      </c>
      <c r="F246" s="456">
        <v>43881.0</v>
      </c>
      <c r="G246" s="218">
        <v>1.0</v>
      </c>
      <c r="H246" s="218">
        <v>401091.0</v>
      </c>
      <c r="J246" s="218" t="s">
        <v>9590</v>
      </c>
      <c r="K246" s="218" t="s">
        <v>10042</v>
      </c>
      <c r="L246" s="218">
        <v>71103.0</v>
      </c>
      <c r="M246" s="218">
        <v>90162.0</v>
      </c>
      <c r="N246" s="218">
        <v>1.0E8</v>
      </c>
      <c r="O246" s="218">
        <v>319091.0</v>
      </c>
      <c r="P246" s="218" t="s">
        <v>10043</v>
      </c>
      <c r="Q246" s="222">
        <v>66098.83</v>
      </c>
      <c r="R246" s="222">
        <v>66098.83</v>
      </c>
      <c r="S246" s="222">
        <v>66098.83</v>
      </c>
      <c r="U246" s="218">
        <v>0.0</v>
      </c>
      <c r="X246" s="218">
        <v>1.51132020000204E14</v>
      </c>
      <c r="AB246" t="e">
        <v>#N/A</v>
      </c>
    </row>
    <row r="247">
      <c r="A247" s="218" t="s">
        <v>782</v>
      </c>
      <c r="C247" s="218" t="s">
        <v>10044</v>
      </c>
      <c r="F247" s="456">
        <v>43881.0</v>
      </c>
      <c r="G247" s="218">
        <v>3.0</v>
      </c>
      <c r="H247" s="218">
        <v>401091.0</v>
      </c>
      <c r="J247" s="218" t="s">
        <v>9729</v>
      </c>
      <c r="K247" s="218" t="s">
        <v>10045</v>
      </c>
      <c r="L247" s="218">
        <v>15113.0</v>
      </c>
      <c r="M247" s="218">
        <v>168109.0</v>
      </c>
      <c r="N247" s="218">
        <v>1.0E8</v>
      </c>
      <c r="O247" s="218">
        <v>339039.0</v>
      </c>
      <c r="P247" s="218" t="s">
        <v>9731</v>
      </c>
      <c r="Q247" s="222">
        <v>1.0</v>
      </c>
      <c r="R247" s="222">
        <v>1.0</v>
      </c>
      <c r="S247" s="222">
        <v>0.06</v>
      </c>
      <c r="U247" s="218">
        <v>0.0</v>
      </c>
      <c r="X247" s="218">
        <v>1.5113202000021E14</v>
      </c>
      <c r="AB247" t="e">
        <v>#N/A</v>
      </c>
    </row>
    <row r="248">
      <c r="A248" s="218" t="s">
        <v>781</v>
      </c>
      <c r="C248" s="218" t="s">
        <v>10046</v>
      </c>
      <c r="F248" s="456">
        <v>43881.0</v>
      </c>
      <c r="G248" s="218">
        <v>1.0</v>
      </c>
      <c r="H248" s="218">
        <v>401091.0</v>
      </c>
      <c r="J248" s="218" t="s">
        <v>10047</v>
      </c>
      <c r="K248" s="218" t="s">
        <v>10048</v>
      </c>
      <c r="L248" s="218">
        <v>15113.0</v>
      </c>
      <c r="M248" s="218">
        <v>168105.0</v>
      </c>
      <c r="N248" s="218">
        <v>1.0E8</v>
      </c>
      <c r="O248" s="218">
        <v>339030.0</v>
      </c>
      <c r="P248" s="218" t="s">
        <v>10049</v>
      </c>
      <c r="Q248" s="222">
        <v>208.0</v>
      </c>
      <c r="R248" s="222">
        <v>208.0</v>
      </c>
      <c r="S248" s="222">
        <v>208.0</v>
      </c>
      <c r="U248" s="222">
        <v>0.0</v>
      </c>
      <c r="X248" s="218">
        <v>1.51132020000128E14</v>
      </c>
      <c r="AB248" t="e">
        <v>#N/A</v>
      </c>
    </row>
    <row r="249">
      <c r="A249" s="218" t="s">
        <v>9371</v>
      </c>
      <c r="C249" s="218" t="s">
        <v>10050</v>
      </c>
      <c r="F249" s="456">
        <v>43881.0</v>
      </c>
      <c r="G249" s="218">
        <v>0.0</v>
      </c>
      <c r="H249" s="218">
        <v>401092.0</v>
      </c>
      <c r="I249" s="218" t="s">
        <v>9393</v>
      </c>
      <c r="J249" s="218" t="s">
        <v>9333</v>
      </c>
      <c r="K249" s="218" t="s">
        <v>10051</v>
      </c>
      <c r="L249" s="218">
        <v>15113.0</v>
      </c>
      <c r="M249" s="218">
        <v>168109.0</v>
      </c>
      <c r="N249" s="218">
        <v>1.0E8</v>
      </c>
      <c r="O249" s="218">
        <v>339014.0</v>
      </c>
      <c r="P249" s="218" t="s">
        <v>9374</v>
      </c>
      <c r="Q249" s="222">
        <v>222917.0</v>
      </c>
      <c r="R249" s="222">
        <v>222917.0</v>
      </c>
      <c r="S249" s="222">
        <v>0.0</v>
      </c>
      <c r="U249" s="218">
        <v>0.0</v>
      </c>
      <c r="X249" s="218">
        <v>1.51132020000053E14</v>
      </c>
      <c r="AB249" t="e">
        <v>#N/A</v>
      </c>
    </row>
    <row r="250">
      <c r="A250" s="218" t="s">
        <v>9371</v>
      </c>
      <c r="C250" s="218" t="s">
        <v>10052</v>
      </c>
      <c r="F250" s="456">
        <v>43881.0</v>
      </c>
      <c r="G250" s="218">
        <v>0.0</v>
      </c>
      <c r="H250" s="218">
        <v>401092.0</v>
      </c>
      <c r="I250" s="218" t="s">
        <v>9395</v>
      </c>
      <c r="J250" s="218" t="s">
        <v>9333</v>
      </c>
      <c r="K250" s="218" t="s">
        <v>10053</v>
      </c>
      <c r="L250" s="218">
        <v>15113.0</v>
      </c>
      <c r="M250" s="218">
        <v>168109.0</v>
      </c>
      <c r="N250" s="218">
        <v>1.0E8</v>
      </c>
      <c r="O250" s="218">
        <v>339093.0</v>
      </c>
      <c r="P250" s="218" t="s">
        <v>9374</v>
      </c>
      <c r="Q250" s="222">
        <v>15000.0</v>
      </c>
      <c r="R250" s="222">
        <v>15000.0</v>
      </c>
      <c r="S250" s="222">
        <v>0.0</v>
      </c>
      <c r="U250" s="222">
        <v>0.0</v>
      </c>
      <c r="X250" s="218">
        <v>1.51132020000045E14</v>
      </c>
      <c r="AB250" t="e">
        <v>#N/A</v>
      </c>
    </row>
    <row r="251">
      <c r="A251" s="218" t="s">
        <v>9371</v>
      </c>
      <c r="C251" s="218" t="s">
        <v>10054</v>
      </c>
      <c r="F251" s="456">
        <v>43881.0</v>
      </c>
      <c r="G251" s="218">
        <v>3.0</v>
      </c>
      <c r="H251" s="218">
        <v>401091.0</v>
      </c>
      <c r="J251" s="218" t="s">
        <v>9333</v>
      </c>
      <c r="K251" s="218" t="s">
        <v>10055</v>
      </c>
      <c r="L251" s="218">
        <v>15113.0</v>
      </c>
      <c r="M251" s="218">
        <v>168109.0</v>
      </c>
      <c r="N251" s="218">
        <v>1.0E8</v>
      </c>
      <c r="O251" s="218">
        <v>339036.0</v>
      </c>
      <c r="P251" s="218" t="s">
        <v>9374</v>
      </c>
      <c r="Q251" s="222">
        <v>15000.0</v>
      </c>
      <c r="R251" s="222">
        <v>15000.0</v>
      </c>
      <c r="S251" s="222">
        <v>23264.33</v>
      </c>
      <c r="U251" s="222">
        <v>0.0</v>
      </c>
      <c r="X251" s="218">
        <v>1.51132020000049E14</v>
      </c>
      <c r="AB251" t="e">
        <v>#N/A</v>
      </c>
    </row>
    <row r="252">
      <c r="A252" s="218" t="s">
        <v>343</v>
      </c>
      <c r="C252" s="218" t="s">
        <v>10056</v>
      </c>
      <c r="F252" s="456">
        <v>43881.0</v>
      </c>
      <c r="G252" s="218">
        <v>3.0</v>
      </c>
      <c r="H252" s="218">
        <v>401091.0</v>
      </c>
      <c r="J252" s="218" t="s">
        <v>10057</v>
      </c>
      <c r="K252" s="218" t="s">
        <v>10058</v>
      </c>
      <c r="L252" s="218">
        <v>15113.0</v>
      </c>
      <c r="M252" s="218">
        <v>168105.0</v>
      </c>
      <c r="N252" s="218">
        <v>1.0E8</v>
      </c>
      <c r="O252" s="218">
        <v>339039.0</v>
      </c>
      <c r="P252" s="218" t="s">
        <v>10059</v>
      </c>
      <c r="Q252" s="222">
        <v>1198.5</v>
      </c>
      <c r="R252" s="222">
        <v>1198.5</v>
      </c>
      <c r="S252" s="222">
        <v>143.82</v>
      </c>
      <c r="U252" s="222">
        <v>0.0</v>
      </c>
      <c r="X252" s="218">
        <v>1.51132020000211E14</v>
      </c>
      <c r="AB252" t="e">
        <v>#N/A</v>
      </c>
    </row>
    <row r="253">
      <c r="A253" s="218" t="s">
        <v>343</v>
      </c>
      <c r="C253" s="218" t="s">
        <v>10060</v>
      </c>
      <c r="F253" s="456">
        <v>43881.0</v>
      </c>
      <c r="G253" s="218">
        <v>3.0</v>
      </c>
      <c r="H253" s="218">
        <v>401091.0</v>
      </c>
      <c r="J253" s="218" t="s">
        <v>10057</v>
      </c>
      <c r="K253" s="218" t="s">
        <v>10061</v>
      </c>
      <c r="L253" s="218">
        <v>15113.0</v>
      </c>
      <c r="M253" s="218">
        <v>168105.0</v>
      </c>
      <c r="N253" s="218">
        <v>1.0E8</v>
      </c>
      <c r="O253" s="218">
        <v>339030.0</v>
      </c>
      <c r="P253" s="218" t="s">
        <v>10059</v>
      </c>
      <c r="Q253" s="222">
        <v>468.0</v>
      </c>
      <c r="R253" s="222">
        <v>468.0</v>
      </c>
      <c r="S253" s="222">
        <v>468.0</v>
      </c>
      <c r="U253" s="222">
        <v>0.0</v>
      </c>
      <c r="X253" s="218">
        <v>1.51132020000211E14</v>
      </c>
      <c r="AB253" t="e">
        <v>#N/A</v>
      </c>
    </row>
    <row r="254">
      <c r="A254" s="218" t="s">
        <v>781</v>
      </c>
      <c r="C254" s="218" t="s">
        <v>10062</v>
      </c>
      <c r="F254" s="456">
        <v>43888.0</v>
      </c>
      <c r="G254" s="218">
        <v>1.0</v>
      </c>
      <c r="H254" s="218">
        <v>401091.0</v>
      </c>
      <c r="J254" s="218" t="s">
        <v>9652</v>
      </c>
      <c r="K254" s="218" t="s">
        <v>10063</v>
      </c>
      <c r="L254" s="218">
        <v>15113.0</v>
      </c>
      <c r="M254" s="218">
        <v>168105.0</v>
      </c>
      <c r="N254" s="218">
        <v>1.0E8</v>
      </c>
      <c r="O254" s="218">
        <v>339030.0</v>
      </c>
      <c r="P254" s="218" t="s">
        <v>10064</v>
      </c>
      <c r="Q254" s="222">
        <v>282.92</v>
      </c>
      <c r="R254" s="222">
        <v>282.92</v>
      </c>
      <c r="S254" s="218">
        <v>282.92</v>
      </c>
      <c r="U254" s="218">
        <v>0.0</v>
      </c>
      <c r="X254" s="218">
        <v>1.51132020000132E14</v>
      </c>
      <c r="AB254" t="e">
        <v>#N/A</v>
      </c>
    </row>
    <row r="255">
      <c r="A255" s="218" t="s">
        <v>781</v>
      </c>
      <c r="C255" s="218" t="s">
        <v>10065</v>
      </c>
      <c r="F255" s="456">
        <v>43888.0</v>
      </c>
      <c r="G255" s="218">
        <v>1.0</v>
      </c>
      <c r="H255" s="218">
        <v>401091.0</v>
      </c>
      <c r="J255" s="218" t="s">
        <v>9652</v>
      </c>
      <c r="K255" s="218" t="s">
        <v>10066</v>
      </c>
      <c r="L255" s="218">
        <v>15113.0</v>
      </c>
      <c r="M255" s="218">
        <v>168105.0</v>
      </c>
      <c r="N255" s="218">
        <v>1.0E8</v>
      </c>
      <c r="O255" s="218">
        <v>339039.0</v>
      </c>
      <c r="P255" s="218" t="s">
        <v>10064</v>
      </c>
      <c r="Q255" s="222">
        <v>157.5</v>
      </c>
      <c r="R255" s="222">
        <v>157.5</v>
      </c>
      <c r="S255" s="218">
        <v>157.5</v>
      </c>
      <c r="U255" s="218">
        <v>0.0</v>
      </c>
      <c r="X255" s="218">
        <v>1.51132020000149E14</v>
      </c>
      <c r="AB255" t="e">
        <v>#N/A</v>
      </c>
    </row>
    <row r="256">
      <c r="A256" s="218" t="s">
        <v>781</v>
      </c>
      <c r="C256" s="218" t="s">
        <v>10067</v>
      </c>
      <c r="F256" s="456">
        <v>43888.0</v>
      </c>
      <c r="G256" s="218">
        <v>1.0</v>
      </c>
      <c r="H256" s="218">
        <v>401091.0</v>
      </c>
      <c r="J256" s="218" t="s">
        <v>9411</v>
      </c>
      <c r="K256" s="218" t="s">
        <v>10068</v>
      </c>
      <c r="L256" s="218">
        <v>15113.0</v>
      </c>
      <c r="M256" s="218">
        <v>168105.0</v>
      </c>
      <c r="N256" s="218">
        <v>1.0E8</v>
      </c>
      <c r="O256" s="218">
        <v>339092.0</v>
      </c>
      <c r="P256" s="218" t="s">
        <v>9413</v>
      </c>
      <c r="Q256" s="222">
        <v>3024.31</v>
      </c>
      <c r="R256" s="222">
        <v>3024.31</v>
      </c>
      <c r="S256" s="222">
        <v>3024.31</v>
      </c>
      <c r="U256" s="218">
        <v>0.0</v>
      </c>
      <c r="X256" s="218">
        <v>1.51132020000115E14</v>
      </c>
      <c r="AB256" t="e">
        <v>#N/A</v>
      </c>
    </row>
    <row r="257">
      <c r="A257" s="218" t="s">
        <v>781</v>
      </c>
      <c r="C257" s="218" t="s">
        <v>10069</v>
      </c>
      <c r="F257" s="456">
        <v>43888.0</v>
      </c>
      <c r="G257" s="218">
        <v>1.0</v>
      </c>
      <c r="H257" s="218">
        <v>401091.0</v>
      </c>
      <c r="J257" s="218" t="s">
        <v>9411</v>
      </c>
      <c r="K257" s="218" t="s">
        <v>10070</v>
      </c>
      <c r="L257" s="218">
        <v>15113.0</v>
      </c>
      <c r="M257" s="218">
        <v>168105.0</v>
      </c>
      <c r="N257" s="218">
        <v>1.0E8</v>
      </c>
      <c r="O257" s="218">
        <v>339092.0</v>
      </c>
      <c r="P257" s="218" t="s">
        <v>10071</v>
      </c>
      <c r="Q257" s="222">
        <v>6991.44</v>
      </c>
      <c r="R257" s="222">
        <v>6991.44</v>
      </c>
      <c r="S257" s="222">
        <v>0.0</v>
      </c>
      <c r="U257" s="218">
        <v>0.0</v>
      </c>
      <c r="X257" s="218">
        <v>1.51132020000115E14</v>
      </c>
      <c r="AB257" t="e">
        <v>#N/A</v>
      </c>
    </row>
    <row r="258">
      <c r="A258" s="218" t="s">
        <v>781</v>
      </c>
      <c r="C258" s="218" t="s">
        <v>10072</v>
      </c>
      <c r="F258" s="456">
        <v>43888.0</v>
      </c>
      <c r="G258" s="218">
        <v>0.0</v>
      </c>
      <c r="H258" s="218">
        <v>401093.0</v>
      </c>
      <c r="I258" s="218" t="s">
        <v>10069</v>
      </c>
      <c r="J258" s="218" t="s">
        <v>9411</v>
      </c>
      <c r="K258" s="218" t="s">
        <v>9398</v>
      </c>
      <c r="L258" s="218">
        <v>15113.0</v>
      </c>
      <c r="M258" s="218">
        <v>168105.0</v>
      </c>
      <c r="N258" s="218">
        <v>1.0E8</v>
      </c>
      <c r="O258" s="218">
        <v>339092.0</v>
      </c>
      <c r="P258" s="218" t="s">
        <v>10071</v>
      </c>
      <c r="Q258" s="222">
        <v>6991.44</v>
      </c>
      <c r="R258" s="222">
        <v>-6991.44</v>
      </c>
      <c r="S258" s="218">
        <v>0.0</v>
      </c>
      <c r="U258" s="218">
        <v>0.0</v>
      </c>
      <c r="AB258" t="e">
        <v>#N/A</v>
      </c>
    </row>
    <row r="259">
      <c r="A259" s="218" t="s">
        <v>781</v>
      </c>
      <c r="C259" s="218" t="s">
        <v>10073</v>
      </c>
      <c r="F259" s="456">
        <v>43888.0</v>
      </c>
      <c r="G259" s="218">
        <v>1.0</v>
      </c>
      <c r="H259" s="218">
        <v>401091.0</v>
      </c>
      <c r="J259" s="218" t="s">
        <v>10074</v>
      </c>
      <c r="K259" s="218" t="s">
        <v>10070</v>
      </c>
      <c r="L259" s="218">
        <v>15113.0</v>
      </c>
      <c r="M259" s="218">
        <v>168105.0</v>
      </c>
      <c r="N259" s="218">
        <v>1.0E8</v>
      </c>
      <c r="O259" s="218">
        <v>339092.0</v>
      </c>
      <c r="P259" s="218" t="s">
        <v>10071</v>
      </c>
      <c r="Q259" s="222">
        <v>6991.44</v>
      </c>
      <c r="R259" s="222">
        <v>6991.44</v>
      </c>
      <c r="S259" s="222">
        <v>6991.44</v>
      </c>
      <c r="U259" s="218">
        <v>0.0</v>
      </c>
      <c r="X259" s="218">
        <v>1.51132020000115E14</v>
      </c>
      <c r="AB259" t="e">
        <v>#N/A</v>
      </c>
    </row>
    <row r="260">
      <c r="A260" s="218" t="s">
        <v>781</v>
      </c>
      <c r="C260" s="218" t="s">
        <v>10075</v>
      </c>
      <c r="F260" s="456">
        <v>43888.0</v>
      </c>
      <c r="G260" s="218">
        <v>3.0</v>
      </c>
      <c r="H260" s="218">
        <v>401091.0</v>
      </c>
      <c r="J260" s="218" t="s">
        <v>9415</v>
      </c>
      <c r="K260" s="218" t="s">
        <v>10076</v>
      </c>
      <c r="L260" s="218">
        <v>15113.0</v>
      </c>
      <c r="M260" s="218">
        <v>168105.0</v>
      </c>
      <c r="N260" s="218">
        <v>1.0E8</v>
      </c>
      <c r="O260" s="218">
        <v>339030.0</v>
      </c>
      <c r="P260" s="218" t="s">
        <v>10077</v>
      </c>
      <c r="Q260" s="222">
        <v>1745.2</v>
      </c>
      <c r="R260" s="222">
        <v>1745.2</v>
      </c>
      <c r="S260" s="222">
        <v>245.2</v>
      </c>
      <c r="U260" s="218">
        <v>122.6</v>
      </c>
      <c r="X260" s="218">
        <v>1.51132020000128E14</v>
      </c>
      <c r="AB260" t="e">
        <v>#N/A</v>
      </c>
    </row>
    <row r="261">
      <c r="A261" s="218" t="s">
        <v>781</v>
      </c>
      <c r="C261" s="218" t="s">
        <v>10078</v>
      </c>
      <c r="F261" s="456">
        <v>43888.0</v>
      </c>
      <c r="G261" s="218">
        <v>3.0</v>
      </c>
      <c r="H261" s="218">
        <v>401091.0</v>
      </c>
      <c r="J261" s="218" t="s">
        <v>10079</v>
      </c>
      <c r="K261" s="218" t="s">
        <v>10080</v>
      </c>
      <c r="L261" s="218">
        <v>15113.0</v>
      </c>
      <c r="M261" s="218">
        <v>168105.0</v>
      </c>
      <c r="N261" s="218">
        <v>1.0E8</v>
      </c>
      <c r="O261" s="218">
        <v>339030.0</v>
      </c>
      <c r="P261" s="218" t="s">
        <v>10077</v>
      </c>
      <c r="Q261" s="222">
        <v>1143.0</v>
      </c>
      <c r="R261" s="222">
        <v>1143.0</v>
      </c>
      <c r="S261" s="222">
        <v>1143.0</v>
      </c>
      <c r="U261" s="218">
        <v>936.0</v>
      </c>
      <c r="X261" s="218">
        <v>1.51132020000128E14</v>
      </c>
      <c r="AB261" t="e">
        <v>#N/A</v>
      </c>
    </row>
    <row r="262">
      <c r="A262" s="218" t="s">
        <v>781</v>
      </c>
      <c r="C262" s="218" t="s">
        <v>10081</v>
      </c>
      <c r="F262" s="456">
        <v>43892.0</v>
      </c>
      <c r="G262" s="218">
        <v>3.0</v>
      </c>
      <c r="H262" s="218">
        <v>401091.0</v>
      </c>
      <c r="J262" s="218" t="s">
        <v>10074</v>
      </c>
      <c r="K262" s="218" t="s">
        <v>10082</v>
      </c>
      <c r="L262" s="218">
        <v>15113.0</v>
      </c>
      <c r="M262" s="218">
        <v>168105.0</v>
      </c>
      <c r="N262" s="218">
        <v>1.0E8</v>
      </c>
      <c r="O262" s="218">
        <v>339039.0</v>
      </c>
      <c r="P262" s="218" t="s">
        <v>10071</v>
      </c>
      <c r="Q262" s="222">
        <v>9016.15</v>
      </c>
      <c r="R262" s="222">
        <v>9016.15</v>
      </c>
      <c r="S262" s="222">
        <v>81435.97</v>
      </c>
      <c r="U262" s="218">
        <v>0.0</v>
      </c>
      <c r="X262" s="218">
        <v>1.51132020000115E14</v>
      </c>
      <c r="AB262" t="e">
        <v>#N/A</v>
      </c>
    </row>
    <row r="263">
      <c r="A263" s="218" t="s">
        <v>9331</v>
      </c>
      <c r="C263" s="218" t="s">
        <v>10083</v>
      </c>
      <c r="F263" s="456">
        <v>43893.0</v>
      </c>
      <c r="G263" s="218">
        <v>0.0</v>
      </c>
      <c r="H263" s="218">
        <v>401093.0</v>
      </c>
      <c r="I263" s="218" t="s">
        <v>9348</v>
      </c>
      <c r="J263" s="218" t="s">
        <v>9333</v>
      </c>
      <c r="K263" s="218" t="s">
        <v>9398</v>
      </c>
      <c r="L263" s="218">
        <v>15113.0</v>
      </c>
      <c r="M263" s="218">
        <v>168099.0</v>
      </c>
      <c r="N263" s="218">
        <v>1.56E8</v>
      </c>
      <c r="O263" s="218">
        <v>319001.0</v>
      </c>
      <c r="P263" s="218" t="s">
        <v>9335</v>
      </c>
      <c r="Q263" s="222">
        <v>1151857.11</v>
      </c>
      <c r="R263" s="222">
        <v>-1151857.11</v>
      </c>
      <c r="S263" s="218">
        <v>0.0</v>
      </c>
      <c r="U263" s="218">
        <v>0.0</v>
      </c>
      <c r="AB263" t="e">
        <v>#N/A</v>
      </c>
    </row>
    <row r="264">
      <c r="A264" s="218" t="s">
        <v>9331</v>
      </c>
      <c r="C264" s="218" t="s">
        <v>10084</v>
      </c>
      <c r="F264" s="456">
        <v>43893.0</v>
      </c>
      <c r="G264" s="218">
        <v>0.0</v>
      </c>
      <c r="H264" s="218">
        <v>401092.0</v>
      </c>
      <c r="I264" s="218" t="s">
        <v>9348</v>
      </c>
      <c r="J264" s="218" t="s">
        <v>9333</v>
      </c>
      <c r="K264" s="218" t="s">
        <v>9904</v>
      </c>
      <c r="L264" s="218">
        <v>15113.0</v>
      </c>
      <c r="M264" s="218">
        <v>168099.0</v>
      </c>
      <c r="N264" s="218">
        <v>1.56E8</v>
      </c>
      <c r="O264" s="218">
        <v>319001.0</v>
      </c>
      <c r="P264" s="218" t="s">
        <v>9335</v>
      </c>
      <c r="Q264" s="222">
        <v>314605.54</v>
      </c>
      <c r="R264" s="222">
        <v>314605.54</v>
      </c>
      <c r="S264" s="222">
        <v>0.0</v>
      </c>
      <c r="U264" s="218">
        <v>0.0</v>
      </c>
      <c r="X264" s="218">
        <v>1.51132020000178E14</v>
      </c>
      <c r="AB264" t="e">
        <v>#N/A</v>
      </c>
    </row>
    <row r="265">
      <c r="A265" s="218" t="s">
        <v>9331</v>
      </c>
      <c r="C265" s="218" t="s">
        <v>10085</v>
      </c>
      <c r="F265" s="456">
        <v>43893.0</v>
      </c>
      <c r="G265" s="218">
        <v>0.0</v>
      </c>
      <c r="H265" s="218">
        <v>401093.0</v>
      </c>
      <c r="I265" s="218" t="s">
        <v>9350</v>
      </c>
      <c r="J265" s="218" t="s">
        <v>9333</v>
      </c>
      <c r="K265" s="218" t="s">
        <v>9398</v>
      </c>
      <c r="L265" s="218">
        <v>15113.0</v>
      </c>
      <c r="M265" s="218">
        <v>168099.0</v>
      </c>
      <c r="N265" s="218">
        <v>1.56E8</v>
      </c>
      <c r="O265" s="218">
        <v>319003.0</v>
      </c>
      <c r="P265" s="218" t="s">
        <v>9335</v>
      </c>
      <c r="Q265" s="222">
        <v>753160.29</v>
      </c>
      <c r="R265" s="222">
        <v>-753160.29</v>
      </c>
      <c r="S265" s="222">
        <v>0.0</v>
      </c>
      <c r="U265" s="218">
        <v>0.0</v>
      </c>
      <c r="AB265" t="e">
        <v>#N/A</v>
      </c>
    </row>
    <row r="266">
      <c r="A266" s="218" t="s">
        <v>9331</v>
      </c>
      <c r="C266" s="218" t="s">
        <v>10086</v>
      </c>
      <c r="F266" s="457">
        <v>43893.0</v>
      </c>
      <c r="G266" s="218">
        <v>0.0</v>
      </c>
      <c r="H266" s="218">
        <v>401092.0</v>
      </c>
      <c r="I266" s="218" t="s">
        <v>9350</v>
      </c>
      <c r="J266" s="218" t="s">
        <v>9333</v>
      </c>
      <c r="K266" s="218" t="s">
        <v>9904</v>
      </c>
      <c r="L266" s="218">
        <v>15113.0</v>
      </c>
      <c r="M266" s="218">
        <v>168099.0</v>
      </c>
      <c r="N266" s="218">
        <v>1.56E8</v>
      </c>
      <c r="O266" s="218">
        <v>319003.0</v>
      </c>
      <c r="P266" s="218" t="s">
        <v>9335</v>
      </c>
      <c r="Q266" s="222">
        <v>600444.18</v>
      </c>
      <c r="R266" s="222">
        <v>600444.18</v>
      </c>
      <c r="S266" s="218">
        <v>0.0</v>
      </c>
      <c r="U266" s="218">
        <v>0.0</v>
      </c>
      <c r="X266" s="218">
        <v>1.51132020000188E14</v>
      </c>
      <c r="AB266" t="e">
        <v>#N/A</v>
      </c>
    </row>
    <row r="267">
      <c r="A267" s="218" t="s">
        <v>9331</v>
      </c>
      <c r="C267" s="218" t="s">
        <v>10087</v>
      </c>
      <c r="F267" s="456">
        <v>43893.0</v>
      </c>
      <c r="G267" s="218">
        <v>0.0</v>
      </c>
      <c r="H267" s="218">
        <v>401092.0</v>
      </c>
      <c r="I267" s="218" t="s">
        <v>9351</v>
      </c>
      <c r="J267" s="218" t="s">
        <v>9333</v>
      </c>
      <c r="K267" s="218" t="s">
        <v>9904</v>
      </c>
      <c r="L267" s="218">
        <v>15113.0</v>
      </c>
      <c r="M267" s="218">
        <v>168099.0</v>
      </c>
      <c r="N267" s="218">
        <v>1.56E8</v>
      </c>
      <c r="O267" s="218">
        <v>319091.0</v>
      </c>
      <c r="P267" s="218" t="s">
        <v>9335</v>
      </c>
      <c r="Q267" s="222">
        <v>9561.74</v>
      </c>
      <c r="R267" s="222">
        <v>9561.74</v>
      </c>
      <c r="S267" s="222">
        <v>0.0</v>
      </c>
      <c r="U267" s="222">
        <v>0.0</v>
      </c>
      <c r="X267" s="218">
        <v>1.51132020000187E14</v>
      </c>
      <c r="AB267" t="e">
        <v>#N/A</v>
      </c>
    </row>
    <row r="268">
      <c r="A268" s="218" t="s">
        <v>116</v>
      </c>
      <c r="C268" s="218" t="s">
        <v>10088</v>
      </c>
      <c r="F268" s="456">
        <v>43893.0</v>
      </c>
      <c r="G268" s="218">
        <v>3.0</v>
      </c>
      <c r="H268" s="218">
        <v>401091.0</v>
      </c>
      <c r="J268" s="218" t="s">
        <v>9984</v>
      </c>
      <c r="K268" s="218" t="s">
        <v>10089</v>
      </c>
      <c r="L268" s="218">
        <v>15113.0</v>
      </c>
      <c r="M268" s="218">
        <v>168105.0</v>
      </c>
      <c r="N268" s="218">
        <v>1.0E8</v>
      </c>
      <c r="O268" s="218">
        <v>339040.0</v>
      </c>
      <c r="P268" s="218" t="s">
        <v>307</v>
      </c>
      <c r="Q268" s="222">
        <v>12000.0</v>
      </c>
      <c r="R268" s="222">
        <v>12000.0</v>
      </c>
      <c r="S268" s="222">
        <v>12000.0</v>
      </c>
      <c r="U268" s="222">
        <v>1000.0</v>
      </c>
      <c r="X268" s="218">
        <v>1.51132020000024E14</v>
      </c>
      <c r="AB268" t="e">
        <v>#N/A</v>
      </c>
    </row>
    <row r="269">
      <c r="A269" s="218" t="s">
        <v>9371</v>
      </c>
      <c r="C269" s="218" t="s">
        <v>10090</v>
      </c>
      <c r="F269" s="456">
        <v>43893.0</v>
      </c>
      <c r="G269" s="218">
        <v>1.0</v>
      </c>
      <c r="H269" s="218">
        <v>401091.0</v>
      </c>
      <c r="J269" s="218" t="s">
        <v>10091</v>
      </c>
      <c r="K269" s="218" t="s">
        <v>10092</v>
      </c>
      <c r="L269" s="218">
        <v>15113.0</v>
      </c>
      <c r="M269" s="218">
        <v>168105.0</v>
      </c>
      <c r="N269" s="218">
        <v>1.0E8</v>
      </c>
      <c r="O269" s="218">
        <v>339030.0</v>
      </c>
      <c r="P269" s="218" t="s">
        <v>10093</v>
      </c>
      <c r="Q269" s="222">
        <v>560.0</v>
      </c>
      <c r="R269" s="222">
        <v>560.0</v>
      </c>
      <c r="S269" s="222">
        <v>560.0</v>
      </c>
      <c r="U269" s="218">
        <v>0.0</v>
      </c>
      <c r="X269" s="218">
        <v>1.5113202000006E14</v>
      </c>
      <c r="AB269" t="e">
        <v>#N/A</v>
      </c>
    </row>
    <row r="270">
      <c r="A270" s="218" t="s">
        <v>116</v>
      </c>
      <c r="C270" s="218" t="s">
        <v>10094</v>
      </c>
      <c r="F270" s="456">
        <v>43894.0</v>
      </c>
      <c r="G270" s="218">
        <v>1.0</v>
      </c>
      <c r="H270" s="218">
        <v>401091.0</v>
      </c>
      <c r="J270" s="218" t="s">
        <v>10095</v>
      </c>
      <c r="K270" s="218" t="s">
        <v>10096</v>
      </c>
      <c r="L270" s="218">
        <v>15113.0</v>
      </c>
      <c r="M270" s="218">
        <v>168105.0</v>
      </c>
      <c r="N270" s="218">
        <v>1.0E8</v>
      </c>
      <c r="O270" s="218">
        <v>339030.0</v>
      </c>
      <c r="P270" s="218" t="s">
        <v>10097</v>
      </c>
      <c r="Q270" s="222">
        <v>7024.0</v>
      </c>
      <c r="R270" s="222">
        <v>7024.0</v>
      </c>
      <c r="S270" s="222">
        <v>0.0</v>
      </c>
      <c r="U270" s="222">
        <v>0.0</v>
      </c>
      <c r="X270" s="218">
        <v>1.51132020000006E14</v>
      </c>
      <c r="AB270" t="e">
        <v>#N/A</v>
      </c>
    </row>
    <row r="271">
      <c r="A271" s="218" t="s">
        <v>116</v>
      </c>
      <c r="C271" s="218" t="s">
        <v>10098</v>
      </c>
      <c r="F271" s="456">
        <v>43894.0</v>
      </c>
      <c r="G271" s="218">
        <v>1.0</v>
      </c>
      <c r="H271" s="218">
        <v>401091.0</v>
      </c>
      <c r="J271" s="218" t="s">
        <v>9823</v>
      </c>
      <c r="K271" s="218" t="s">
        <v>10099</v>
      </c>
      <c r="L271" s="218">
        <v>15113.0</v>
      </c>
      <c r="M271" s="218">
        <v>168105.0</v>
      </c>
      <c r="N271" s="218">
        <v>1.0E8</v>
      </c>
      <c r="O271" s="218">
        <v>339092.0</v>
      </c>
      <c r="P271" s="218" t="s">
        <v>235</v>
      </c>
      <c r="Q271" s="222">
        <v>22.14</v>
      </c>
      <c r="R271" s="222">
        <v>22.14</v>
      </c>
      <c r="S271" s="222">
        <v>22.14</v>
      </c>
      <c r="U271" s="222">
        <v>22.14</v>
      </c>
      <c r="X271" s="218">
        <v>1.5113202000001E14</v>
      </c>
      <c r="AB271" t="e">
        <v>#N/A</v>
      </c>
    </row>
    <row r="272">
      <c r="A272" s="218" t="s">
        <v>116</v>
      </c>
      <c r="C272" s="218" t="s">
        <v>10100</v>
      </c>
      <c r="F272" s="456">
        <v>43894.0</v>
      </c>
      <c r="G272" s="218">
        <v>0.0</v>
      </c>
      <c r="H272" s="218">
        <v>401093.0</v>
      </c>
      <c r="I272" s="218" t="s">
        <v>10094</v>
      </c>
      <c r="J272" s="218" t="s">
        <v>10095</v>
      </c>
      <c r="K272" s="218" t="s">
        <v>9398</v>
      </c>
      <c r="L272" s="218">
        <v>15113.0</v>
      </c>
      <c r="M272" s="218">
        <v>168105.0</v>
      </c>
      <c r="N272" s="218">
        <v>1.0E8</v>
      </c>
      <c r="O272" s="218">
        <v>339030.0</v>
      </c>
      <c r="P272" s="218" t="s">
        <v>10097</v>
      </c>
      <c r="Q272" s="222">
        <v>7024.0</v>
      </c>
      <c r="R272" s="222">
        <v>-7024.0</v>
      </c>
      <c r="S272" s="222">
        <v>0.0</v>
      </c>
      <c r="U272" s="218">
        <v>0.0</v>
      </c>
      <c r="AB272" t="e">
        <v>#N/A</v>
      </c>
    </row>
    <row r="273">
      <c r="A273" s="218" t="s">
        <v>116</v>
      </c>
      <c r="C273" s="218" t="s">
        <v>10101</v>
      </c>
      <c r="F273" s="456">
        <v>43894.0</v>
      </c>
      <c r="G273" s="218">
        <v>1.0</v>
      </c>
      <c r="H273" s="218">
        <v>401091.0</v>
      </c>
      <c r="J273" s="218" t="s">
        <v>10095</v>
      </c>
      <c r="K273" s="218" t="s">
        <v>10096</v>
      </c>
      <c r="L273" s="218">
        <v>15113.0</v>
      </c>
      <c r="M273" s="218">
        <v>168107.0</v>
      </c>
      <c r="N273" s="218">
        <v>1.0E8</v>
      </c>
      <c r="O273" s="218">
        <v>339030.0</v>
      </c>
      <c r="P273" s="218" t="s">
        <v>10097</v>
      </c>
      <c r="Q273" s="222">
        <v>7024.0</v>
      </c>
      <c r="R273" s="222">
        <v>7024.0</v>
      </c>
      <c r="S273" s="222">
        <v>7024.0</v>
      </c>
      <c r="U273" s="218">
        <v>0.0</v>
      </c>
      <c r="X273" s="218">
        <v>1.51132020000006E14</v>
      </c>
      <c r="AB273" t="e">
        <v>#N/A</v>
      </c>
    </row>
    <row r="274">
      <c r="A274" s="218" t="s">
        <v>787</v>
      </c>
      <c r="C274" s="218" t="s">
        <v>10102</v>
      </c>
      <c r="F274" s="456">
        <v>43895.0</v>
      </c>
      <c r="G274" s="218">
        <v>1.0</v>
      </c>
      <c r="H274" s="218">
        <v>401091.0</v>
      </c>
      <c r="J274" s="218" t="s">
        <v>10103</v>
      </c>
      <c r="K274" s="218" t="s">
        <v>10104</v>
      </c>
      <c r="L274" s="218">
        <v>15113.0</v>
      </c>
      <c r="M274" s="218">
        <v>168108.0</v>
      </c>
      <c r="N274" s="218">
        <v>1.0E8</v>
      </c>
      <c r="O274" s="218">
        <v>339039.0</v>
      </c>
      <c r="P274" s="218" t="s">
        <v>10105</v>
      </c>
      <c r="Q274" s="222">
        <v>7000.0</v>
      </c>
      <c r="R274" s="222">
        <v>7000.0</v>
      </c>
      <c r="S274" s="222">
        <v>7000.0</v>
      </c>
      <c r="U274" s="218">
        <v>0.0</v>
      </c>
      <c r="X274" s="218">
        <v>1.51132020000065E14</v>
      </c>
      <c r="AB274" t="e">
        <v>#N/A</v>
      </c>
    </row>
    <row r="275">
      <c r="A275" s="218" t="s">
        <v>324</v>
      </c>
      <c r="C275" s="218" t="s">
        <v>10106</v>
      </c>
      <c r="F275" s="456">
        <v>43895.0</v>
      </c>
      <c r="G275" s="218">
        <v>1.0</v>
      </c>
      <c r="H275" s="218">
        <v>401091.0</v>
      </c>
      <c r="J275" s="218" t="s">
        <v>9991</v>
      </c>
      <c r="K275" s="218" t="s">
        <v>10107</v>
      </c>
      <c r="L275" s="218">
        <v>15113.0</v>
      </c>
      <c r="M275" s="218">
        <v>168105.0</v>
      </c>
      <c r="N275" s="218">
        <v>1.0E8</v>
      </c>
      <c r="O275" s="218">
        <v>339047.0</v>
      </c>
      <c r="P275" s="218" t="s">
        <v>10108</v>
      </c>
      <c r="Q275" s="222">
        <v>697.27</v>
      </c>
      <c r="R275" s="222">
        <v>697.27</v>
      </c>
      <c r="S275" s="222">
        <v>697.27</v>
      </c>
      <c r="U275" s="222">
        <v>0.0</v>
      </c>
      <c r="X275" s="218">
        <v>1.51132020000212E14</v>
      </c>
      <c r="AB275" t="e">
        <v>#N/A</v>
      </c>
    </row>
    <row r="276">
      <c r="A276" s="218" t="s">
        <v>324</v>
      </c>
      <c r="C276" s="218" t="s">
        <v>10109</v>
      </c>
      <c r="F276" s="456">
        <v>43895.0</v>
      </c>
      <c r="G276" s="218">
        <v>1.0</v>
      </c>
      <c r="H276" s="218">
        <v>401091.0</v>
      </c>
      <c r="J276" s="218" t="s">
        <v>10110</v>
      </c>
      <c r="K276" s="218" t="s">
        <v>10111</v>
      </c>
      <c r="L276" s="218">
        <v>15113.0</v>
      </c>
      <c r="M276" s="218">
        <v>168105.0</v>
      </c>
      <c r="N276" s="218">
        <v>1.0E8</v>
      </c>
      <c r="O276" s="218">
        <v>339047.0</v>
      </c>
      <c r="P276" s="218" t="s">
        <v>10108</v>
      </c>
      <c r="Q276" s="222">
        <v>88.78</v>
      </c>
      <c r="R276" s="222">
        <v>88.78</v>
      </c>
      <c r="S276" s="218">
        <v>88.78</v>
      </c>
      <c r="U276" s="218">
        <v>0.0</v>
      </c>
      <c r="X276" s="218">
        <v>1.51132020000212E14</v>
      </c>
      <c r="AB276" t="e">
        <v>#N/A</v>
      </c>
    </row>
    <row r="277">
      <c r="A277" s="218" t="s">
        <v>9430</v>
      </c>
      <c r="C277" s="218" t="s">
        <v>10112</v>
      </c>
      <c r="F277" s="456">
        <v>43896.0</v>
      </c>
      <c r="G277" s="218">
        <v>1.0</v>
      </c>
      <c r="H277" s="218">
        <v>401091.0</v>
      </c>
      <c r="J277" s="218" t="s">
        <v>9486</v>
      </c>
      <c r="K277" s="218" t="s">
        <v>10113</v>
      </c>
      <c r="L277" s="218">
        <v>15113.0</v>
      </c>
      <c r="M277" s="218">
        <v>168105.0</v>
      </c>
      <c r="N277" s="218">
        <v>1.0E8</v>
      </c>
      <c r="O277" s="218">
        <v>339047.0</v>
      </c>
      <c r="P277" s="218" t="s">
        <v>10114</v>
      </c>
      <c r="Q277" s="222">
        <v>123.53</v>
      </c>
      <c r="R277" s="222">
        <v>123.53</v>
      </c>
      <c r="S277" s="222">
        <v>123.53</v>
      </c>
      <c r="U277" s="222">
        <v>0.0</v>
      </c>
      <c r="X277" s="218">
        <v>1.51132020000072E14</v>
      </c>
      <c r="AB277" t="e">
        <v>#N/A</v>
      </c>
    </row>
    <row r="278">
      <c r="A278" s="218" t="s">
        <v>9430</v>
      </c>
      <c r="C278" s="218" t="s">
        <v>10115</v>
      </c>
      <c r="F278" s="456">
        <v>43896.0</v>
      </c>
      <c r="G278" s="218">
        <v>1.0</v>
      </c>
      <c r="H278" s="218">
        <v>401091.0</v>
      </c>
      <c r="J278" s="218" t="s">
        <v>9482</v>
      </c>
      <c r="K278" s="218" t="s">
        <v>10116</v>
      </c>
      <c r="L278" s="218">
        <v>15113.0</v>
      </c>
      <c r="M278" s="218">
        <v>168105.0</v>
      </c>
      <c r="N278" s="218">
        <v>1.0E8</v>
      </c>
      <c r="O278" s="218">
        <v>339039.0</v>
      </c>
      <c r="P278" s="218" t="s">
        <v>10114</v>
      </c>
      <c r="Q278" s="222">
        <v>5.21</v>
      </c>
      <c r="R278" s="222">
        <v>5.21</v>
      </c>
      <c r="S278" s="218">
        <v>5.21</v>
      </c>
      <c r="U278" s="218">
        <v>0.0</v>
      </c>
      <c r="X278" s="218">
        <v>1.51132020000076E14</v>
      </c>
      <c r="AB278" t="e">
        <v>#N/A</v>
      </c>
    </row>
    <row r="279">
      <c r="A279" s="218" t="s">
        <v>116</v>
      </c>
      <c r="C279" s="218" t="s">
        <v>10117</v>
      </c>
      <c r="F279" s="456">
        <v>43896.0</v>
      </c>
      <c r="G279" s="218">
        <v>1.0</v>
      </c>
      <c r="H279" s="218">
        <v>401091.0</v>
      </c>
      <c r="J279" s="218" t="s">
        <v>10118</v>
      </c>
      <c r="K279" s="218" t="s">
        <v>10119</v>
      </c>
      <c r="L279" s="218">
        <v>15113.0</v>
      </c>
      <c r="M279" s="218">
        <v>168105.0</v>
      </c>
      <c r="N279" s="218">
        <v>1.0E8</v>
      </c>
      <c r="O279" s="218">
        <v>339040.0</v>
      </c>
      <c r="P279" s="218" t="s">
        <v>10120</v>
      </c>
      <c r="Q279" s="222">
        <v>330.0</v>
      </c>
      <c r="R279" s="222">
        <v>330.0</v>
      </c>
      <c r="S279" s="218">
        <v>330.0</v>
      </c>
      <c r="U279" s="218">
        <v>0.0</v>
      </c>
      <c r="X279" s="218">
        <v>1.51132020000213E14</v>
      </c>
      <c r="AB279" t="e">
        <v>#N/A</v>
      </c>
    </row>
    <row r="280">
      <c r="A280" s="218" t="s">
        <v>781</v>
      </c>
      <c r="C280" s="218" t="s">
        <v>10121</v>
      </c>
      <c r="F280" s="456">
        <v>43901.0</v>
      </c>
      <c r="G280" s="218">
        <v>0.0</v>
      </c>
      <c r="H280" s="218">
        <v>401092.0</v>
      </c>
      <c r="I280" s="218" t="s">
        <v>9600</v>
      </c>
      <c r="J280" s="218" t="s">
        <v>9601</v>
      </c>
      <c r="K280" s="218" t="s">
        <v>9904</v>
      </c>
      <c r="L280" s="218">
        <v>15113.0</v>
      </c>
      <c r="M280" s="218">
        <v>168105.0</v>
      </c>
      <c r="N280" s="218">
        <v>1.0E8</v>
      </c>
      <c r="O280" s="218">
        <v>339030.0</v>
      </c>
      <c r="P280" s="218" t="s">
        <v>9603</v>
      </c>
      <c r="Q280" s="222">
        <v>5700.0</v>
      </c>
      <c r="R280" s="222">
        <v>5700.0</v>
      </c>
      <c r="S280" s="218">
        <v>0.0</v>
      </c>
      <c r="U280" s="218">
        <v>0.0</v>
      </c>
      <c r="X280" s="218">
        <v>1.51132020000131E14</v>
      </c>
      <c r="AB280" t="e">
        <v>#N/A</v>
      </c>
    </row>
    <row r="281">
      <c r="A281" s="218" t="s">
        <v>9430</v>
      </c>
      <c r="C281" s="218" t="s">
        <v>10122</v>
      </c>
      <c r="F281" s="456">
        <v>43901.0</v>
      </c>
      <c r="G281" s="218">
        <v>1.0</v>
      </c>
      <c r="H281" s="218">
        <v>401091.0</v>
      </c>
      <c r="J281" s="218" t="s">
        <v>10123</v>
      </c>
      <c r="K281" s="218" t="s">
        <v>10124</v>
      </c>
      <c r="L281" s="218">
        <v>15113.0</v>
      </c>
      <c r="M281" s="218">
        <v>168105.0</v>
      </c>
      <c r="N281" s="218">
        <v>1.0E8</v>
      </c>
      <c r="O281" s="218">
        <v>339047.0</v>
      </c>
      <c r="P281" s="218" t="s">
        <v>10125</v>
      </c>
      <c r="Q281" s="222">
        <v>300.39</v>
      </c>
      <c r="R281" s="222">
        <v>300.39</v>
      </c>
      <c r="S281" s="222">
        <v>300.39</v>
      </c>
      <c r="U281" s="218">
        <v>0.0</v>
      </c>
      <c r="X281" s="218">
        <v>1.51132020000073E14</v>
      </c>
      <c r="AB281" t="e">
        <v>#N/A</v>
      </c>
    </row>
    <row r="282">
      <c r="A282" s="218" t="s">
        <v>9430</v>
      </c>
      <c r="C282" s="218" t="s">
        <v>10126</v>
      </c>
      <c r="F282" s="456">
        <v>43901.0</v>
      </c>
      <c r="G282" s="218">
        <v>1.0</v>
      </c>
      <c r="H282" s="218">
        <v>401091.0</v>
      </c>
      <c r="J282" s="218" t="s">
        <v>10127</v>
      </c>
      <c r="K282" s="218" t="s">
        <v>10128</v>
      </c>
      <c r="L282" s="218">
        <v>15113.0</v>
      </c>
      <c r="M282" s="218">
        <v>168105.0</v>
      </c>
      <c r="N282" s="218">
        <v>1.0E8</v>
      </c>
      <c r="O282" s="218">
        <v>339047.0</v>
      </c>
      <c r="P282" s="218" t="s">
        <v>10125</v>
      </c>
      <c r="Q282" s="222">
        <v>265.68</v>
      </c>
      <c r="R282" s="222">
        <v>265.68</v>
      </c>
      <c r="S282" s="218">
        <v>265.68</v>
      </c>
      <c r="U282" s="218">
        <v>0.0</v>
      </c>
      <c r="X282" s="218">
        <v>1.51132020000073E14</v>
      </c>
      <c r="AB282" t="e">
        <v>#N/A</v>
      </c>
    </row>
    <row r="283">
      <c r="A283" s="218" t="s">
        <v>116</v>
      </c>
      <c r="C283" s="218" t="s">
        <v>10129</v>
      </c>
      <c r="F283" s="456">
        <v>43902.0</v>
      </c>
      <c r="G283" s="218">
        <v>0.0</v>
      </c>
      <c r="H283" s="218">
        <v>401093.0</v>
      </c>
      <c r="I283" s="218" t="s">
        <v>9657</v>
      </c>
      <c r="J283" s="218" t="s">
        <v>9658</v>
      </c>
      <c r="K283" s="218" t="s">
        <v>9398</v>
      </c>
      <c r="L283" s="218">
        <v>15113.0</v>
      </c>
      <c r="M283" s="218">
        <v>168107.0</v>
      </c>
      <c r="N283" s="218">
        <v>1.0E8</v>
      </c>
      <c r="O283" s="218">
        <v>449040.0</v>
      </c>
      <c r="P283" s="218" t="s">
        <v>9660</v>
      </c>
      <c r="Q283" s="222">
        <v>59102.89</v>
      </c>
      <c r="R283" s="222">
        <v>-59102.89</v>
      </c>
      <c r="S283" s="218">
        <v>0.0</v>
      </c>
      <c r="U283" s="218">
        <v>0.0</v>
      </c>
      <c r="AB283" t="e">
        <v>#N/A</v>
      </c>
    </row>
    <row r="284">
      <c r="A284" s="218" t="s">
        <v>116</v>
      </c>
      <c r="C284" s="218" t="s">
        <v>10130</v>
      </c>
      <c r="F284" s="456">
        <v>43902.0</v>
      </c>
      <c r="G284" s="218">
        <v>3.0</v>
      </c>
      <c r="H284" s="218">
        <v>401091.0</v>
      </c>
      <c r="J284" s="218" t="s">
        <v>9658</v>
      </c>
      <c r="K284" s="218" t="s">
        <v>9659</v>
      </c>
      <c r="L284" s="218">
        <v>15113.0</v>
      </c>
      <c r="M284" s="218">
        <v>168107.0</v>
      </c>
      <c r="N284" s="218">
        <v>1.0E8</v>
      </c>
      <c r="O284" s="218">
        <v>339040.0</v>
      </c>
      <c r="P284" s="218" t="s">
        <v>9660</v>
      </c>
      <c r="Q284" s="222">
        <v>59102.89</v>
      </c>
      <c r="R284" s="222">
        <v>59102.89</v>
      </c>
      <c r="S284" s="222">
        <v>56966.64</v>
      </c>
      <c r="U284" s="222">
        <v>4747.22</v>
      </c>
      <c r="X284" s="218">
        <v>1.51132020000031E14</v>
      </c>
      <c r="AB284" t="e">
        <v>#N/A</v>
      </c>
    </row>
    <row r="285">
      <c r="A285" s="218" t="s">
        <v>116</v>
      </c>
      <c r="C285" s="218" t="s">
        <v>10131</v>
      </c>
      <c r="F285" s="456">
        <v>43902.0</v>
      </c>
      <c r="G285" s="218">
        <v>1.0</v>
      </c>
      <c r="H285" s="218">
        <v>401091.0</v>
      </c>
      <c r="J285" s="218" t="s">
        <v>10132</v>
      </c>
      <c r="K285" s="218" t="s">
        <v>10133</v>
      </c>
      <c r="L285" s="218">
        <v>15113.0</v>
      </c>
      <c r="M285" s="218">
        <v>168105.0</v>
      </c>
      <c r="N285" s="218">
        <v>1.0E8</v>
      </c>
      <c r="O285" s="218">
        <v>339030.0</v>
      </c>
      <c r="P285" s="218" t="s">
        <v>10134</v>
      </c>
      <c r="Q285" s="222">
        <v>13504.0</v>
      </c>
      <c r="R285" s="222">
        <v>13504.0</v>
      </c>
      <c r="S285" s="222">
        <v>13504.0</v>
      </c>
      <c r="U285" s="218">
        <v>0.0</v>
      </c>
      <c r="X285" s="218">
        <v>1.51132020000005E14</v>
      </c>
      <c r="AB285" t="e">
        <v>#N/A</v>
      </c>
    </row>
    <row r="286">
      <c r="A286" s="218" t="s">
        <v>781</v>
      </c>
      <c r="C286" s="218" t="s">
        <v>10135</v>
      </c>
      <c r="F286" s="456">
        <v>43903.0</v>
      </c>
      <c r="G286" s="218">
        <v>1.0</v>
      </c>
      <c r="H286" s="218">
        <v>401091.0</v>
      </c>
      <c r="J286" s="218" t="s">
        <v>9626</v>
      </c>
      <c r="K286" s="218" t="s">
        <v>10136</v>
      </c>
      <c r="L286" s="218">
        <v>15113.0</v>
      </c>
      <c r="M286" s="218">
        <v>168105.0</v>
      </c>
      <c r="N286" s="218">
        <v>1.0E8</v>
      </c>
      <c r="O286" s="218">
        <v>339092.0</v>
      </c>
      <c r="P286" s="218" t="s">
        <v>9628</v>
      </c>
      <c r="Q286" s="222">
        <v>209.44</v>
      </c>
      <c r="R286" s="222">
        <v>209.44</v>
      </c>
      <c r="S286" s="222">
        <v>209.44</v>
      </c>
      <c r="U286" s="218">
        <v>0.0</v>
      </c>
      <c r="X286" s="218">
        <v>1.51132020000146E14</v>
      </c>
      <c r="AB286" t="e">
        <v>#N/A</v>
      </c>
    </row>
    <row r="287">
      <c r="A287" s="218" t="s">
        <v>9331</v>
      </c>
      <c r="C287" s="218" t="s">
        <v>10137</v>
      </c>
      <c r="F287" s="456">
        <v>43903.0</v>
      </c>
      <c r="G287" s="218">
        <v>0.0</v>
      </c>
      <c r="H287" s="218">
        <v>401093.0</v>
      </c>
      <c r="I287" s="218" t="s">
        <v>9351</v>
      </c>
      <c r="J287" s="218" t="s">
        <v>9333</v>
      </c>
      <c r="K287" s="218" t="s">
        <v>9398</v>
      </c>
      <c r="L287" s="218">
        <v>15113.0</v>
      </c>
      <c r="M287" s="218">
        <v>168099.0</v>
      </c>
      <c r="N287" s="218">
        <v>1.56E8</v>
      </c>
      <c r="O287" s="218">
        <v>319091.0</v>
      </c>
      <c r="P287" s="218" t="s">
        <v>9335</v>
      </c>
      <c r="Q287" s="222">
        <v>1313.15</v>
      </c>
      <c r="R287" s="222">
        <v>-1313.15</v>
      </c>
      <c r="S287" s="222">
        <v>0.0</v>
      </c>
      <c r="U287" s="218">
        <v>0.0</v>
      </c>
      <c r="AB287" t="e">
        <v>#N/A</v>
      </c>
    </row>
    <row r="288">
      <c r="A288" s="218" t="s">
        <v>9331</v>
      </c>
      <c r="C288" s="218" t="s">
        <v>10138</v>
      </c>
      <c r="F288" s="456">
        <v>43903.0</v>
      </c>
      <c r="G288" s="218">
        <v>0.0</v>
      </c>
      <c r="H288" s="218">
        <v>401092.0</v>
      </c>
      <c r="I288" s="218" t="s">
        <v>9351</v>
      </c>
      <c r="J288" s="218" t="s">
        <v>9333</v>
      </c>
      <c r="K288" s="218" t="s">
        <v>9904</v>
      </c>
      <c r="L288" s="218">
        <v>15113.0</v>
      </c>
      <c r="M288" s="218">
        <v>168099.0</v>
      </c>
      <c r="N288" s="218">
        <v>1.56E8</v>
      </c>
      <c r="O288" s="218">
        <v>319091.0</v>
      </c>
      <c r="P288" s="218" t="s">
        <v>9335</v>
      </c>
      <c r="Q288" s="222">
        <v>596.76</v>
      </c>
      <c r="R288" s="222">
        <v>596.76</v>
      </c>
      <c r="S288" s="222">
        <v>0.0</v>
      </c>
      <c r="U288" s="218">
        <v>0.0</v>
      </c>
      <c r="X288" s="218">
        <v>1.51132020000187E14</v>
      </c>
      <c r="AB288" t="e">
        <v>#N/A</v>
      </c>
    </row>
    <row r="289">
      <c r="A289" s="218" t="s">
        <v>9331</v>
      </c>
      <c r="C289" s="218" t="s">
        <v>10139</v>
      </c>
      <c r="F289" s="456">
        <v>43903.0</v>
      </c>
      <c r="G289" s="218">
        <v>0.0</v>
      </c>
      <c r="H289" s="218">
        <v>401093.0</v>
      </c>
      <c r="I289" s="218" t="s">
        <v>9350</v>
      </c>
      <c r="J289" s="218" t="s">
        <v>9333</v>
      </c>
      <c r="K289" s="218" t="s">
        <v>9398</v>
      </c>
      <c r="L289" s="218">
        <v>15113.0</v>
      </c>
      <c r="M289" s="218">
        <v>168099.0</v>
      </c>
      <c r="N289" s="218">
        <v>1.56E8</v>
      </c>
      <c r="O289" s="218">
        <v>319003.0</v>
      </c>
      <c r="P289" s="218" t="s">
        <v>9335</v>
      </c>
      <c r="Q289" s="222">
        <v>45321.93</v>
      </c>
      <c r="R289" s="222">
        <v>-45321.93</v>
      </c>
      <c r="S289" s="222">
        <v>0.0</v>
      </c>
      <c r="U289" s="218">
        <v>0.0</v>
      </c>
      <c r="AB289" t="e">
        <v>#N/A</v>
      </c>
    </row>
    <row r="290">
      <c r="A290" s="218" t="s">
        <v>9331</v>
      </c>
      <c r="C290" s="218" t="s">
        <v>10140</v>
      </c>
      <c r="F290" s="456">
        <v>43903.0</v>
      </c>
      <c r="G290" s="218">
        <v>0.0</v>
      </c>
      <c r="H290" s="218">
        <v>401092.0</v>
      </c>
      <c r="I290" s="218" t="s">
        <v>9350</v>
      </c>
      <c r="J290" s="218" t="s">
        <v>9333</v>
      </c>
      <c r="K290" s="218" t="s">
        <v>9904</v>
      </c>
      <c r="L290" s="218">
        <v>15113.0</v>
      </c>
      <c r="M290" s="218">
        <v>168099.0</v>
      </c>
      <c r="N290" s="218">
        <v>1.56E8</v>
      </c>
      <c r="O290" s="218">
        <v>319003.0</v>
      </c>
      <c r="P290" s="218" t="s">
        <v>9335</v>
      </c>
      <c r="Q290" s="222">
        <v>81.27</v>
      </c>
      <c r="R290" s="222">
        <v>81.27</v>
      </c>
      <c r="S290" s="222">
        <v>0.0</v>
      </c>
      <c r="U290" s="222">
        <v>0.0</v>
      </c>
      <c r="X290" s="218">
        <v>1.51132020000188E14</v>
      </c>
      <c r="AB290" t="e">
        <v>#N/A</v>
      </c>
    </row>
    <row r="291">
      <c r="A291" s="218" t="s">
        <v>9331</v>
      </c>
      <c r="C291" s="218" t="s">
        <v>10141</v>
      </c>
      <c r="F291" s="456">
        <v>43903.0</v>
      </c>
      <c r="G291" s="218">
        <v>0.0</v>
      </c>
      <c r="H291" s="218">
        <v>401092.0</v>
      </c>
      <c r="I291" s="218" t="s">
        <v>9348</v>
      </c>
      <c r="J291" s="218" t="s">
        <v>9333</v>
      </c>
      <c r="K291" s="218" t="s">
        <v>9904</v>
      </c>
      <c r="L291" s="218">
        <v>15113.0</v>
      </c>
      <c r="M291" s="218">
        <v>168099.0</v>
      </c>
      <c r="N291" s="218">
        <v>1.56E8</v>
      </c>
      <c r="O291" s="218">
        <v>319001.0</v>
      </c>
      <c r="P291" s="218" t="s">
        <v>9335</v>
      </c>
      <c r="Q291" s="222">
        <v>1026362.99</v>
      </c>
      <c r="R291" s="222">
        <v>1026362.99</v>
      </c>
      <c r="S291" s="222">
        <v>0.0</v>
      </c>
      <c r="U291" s="218">
        <v>0.0</v>
      </c>
      <c r="X291" s="218">
        <v>1.51132020000178E14</v>
      </c>
      <c r="AB291" t="e">
        <v>#N/A</v>
      </c>
    </row>
    <row r="292">
      <c r="A292" s="218" t="s">
        <v>116</v>
      </c>
      <c r="C292" s="218" t="s">
        <v>10142</v>
      </c>
      <c r="F292" s="456">
        <v>43903.0</v>
      </c>
      <c r="G292" s="218">
        <v>3.0</v>
      </c>
      <c r="H292" s="218">
        <v>401091.0</v>
      </c>
      <c r="J292" s="218" t="s">
        <v>10143</v>
      </c>
      <c r="K292" s="218" t="s">
        <v>10144</v>
      </c>
      <c r="L292" s="218">
        <v>15113.0</v>
      </c>
      <c r="M292" s="218">
        <v>168107.0</v>
      </c>
      <c r="N292" s="218">
        <v>1.0E8</v>
      </c>
      <c r="O292" s="218">
        <v>339040.0</v>
      </c>
      <c r="P292" s="218" t="s">
        <v>10145</v>
      </c>
      <c r="Q292" s="222">
        <v>229132.21</v>
      </c>
      <c r="R292" s="222">
        <v>229132.21</v>
      </c>
      <c r="S292" s="222">
        <v>364059.49</v>
      </c>
      <c r="U292" s="218">
        <v>0.0</v>
      </c>
      <c r="X292" s="218">
        <v>1.51132020000033E14</v>
      </c>
      <c r="AB292" t="e">
        <v>#N/A</v>
      </c>
    </row>
    <row r="293">
      <c r="A293" s="218" t="s">
        <v>781</v>
      </c>
      <c r="C293" s="218" t="s">
        <v>10146</v>
      </c>
      <c r="F293" s="456">
        <v>43906.0</v>
      </c>
      <c r="G293" s="218">
        <v>1.0</v>
      </c>
      <c r="H293" s="218">
        <v>401091.0</v>
      </c>
      <c r="J293" s="218" t="s">
        <v>10047</v>
      </c>
      <c r="K293" s="218" t="s">
        <v>10048</v>
      </c>
      <c r="L293" s="218">
        <v>15113.0</v>
      </c>
      <c r="M293" s="218">
        <v>168105.0</v>
      </c>
      <c r="N293" s="218">
        <v>1.0E8</v>
      </c>
      <c r="O293" s="218">
        <v>339030.0</v>
      </c>
      <c r="P293" s="218" t="s">
        <v>10147</v>
      </c>
      <c r="Q293" s="222">
        <v>104.0</v>
      </c>
      <c r="R293" s="222">
        <v>104.0</v>
      </c>
      <c r="S293" s="222">
        <v>104.0</v>
      </c>
      <c r="U293" s="222">
        <v>0.0</v>
      </c>
      <c r="X293" s="218">
        <v>1.51132020000128E14</v>
      </c>
      <c r="AB293" t="e">
        <v>#N/A</v>
      </c>
    </row>
    <row r="294">
      <c r="A294" s="218" t="s">
        <v>324</v>
      </c>
      <c r="C294" s="218" t="s">
        <v>10148</v>
      </c>
      <c r="F294" s="456">
        <v>43906.0</v>
      </c>
      <c r="G294" s="218">
        <v>1.0</v>
      </c>
      <c r="H294" s="218">
        <v>401091.0</v>
      </c>
      <c r="J294" s="218" t="s">
        <v>10110</v>
      </c>
      <c r="K294" s="218" t="s">
        <v>10149</v>
      </c>
      <c r="L294" s="218">
        <v>15113.0</v>
      </c>
      <c r="M294" s="218">
        <v>168105.0</v>
      </c>
      <c r="N294" s="218">
        <v>1.0E8</v>
      </c>
      <c r="O294" s="218">
        <v>339047.0</v>
      </c>
      <c r="P294" s="218" t="s">
        <v>10150</v>
      </c>
      <c r="Q294" s="222">
        <v>88.78</v>
      </c>
      <c r="R294" s="222">
        <v>88.78</v>
      </c>
      <c r="S294" s="222">
        <v>88.78</v>
      </c>
      <c r="U294" s="218">
        <v>0.0</v>
      </c>
      <c r="X294" s="218">
        <v>1.51132020000212E14</v>
      </c>
      <c r="AB294" t="e">
        <v>#N/A</v>
      </c>
    </row>
    <row r="295">
      <c r="A295" s="218" t="s">
        <v>9371</v>
      </c>
      <c r="C295" s="218" t="s">
        <v>10151</v>
      </c>
      <c r="F295" s="456">
        <v>43907.0</v>
      </c>
      <c r="G295" s="218">
        <v>0.0</v>
      </c>
      <c r="H295" s="218">
        <v>401093.0</v>
      </c>
      <c r="I295" s="218" t="s">
        <v>9359</v>
      </c>
      <c r="J295" s="218" t="s">
        <v>9333</v>
      </c>
      <c r="K295" s="218" t="s">
        <v>9398</v>
      </c>
      <c r="L295" s="218">
        <v>15113.0</v>
      </c>
      <c r="M295" s="218">
        <v>168103.0</v>
      </c>
      <c r="N295" s="218">
        <v>1.0E8</v>
      </c>
      <c r="O295" s="218">
        <v>339046.0</v>
      </c>
      <c r="P295" s="218" t="s">
        <v>9374</v>
      </c>
      <c r="Q295" s="222">
        <v>40000.0</v>
      </c>
      <c r="R295" s="222">
        <v>-40000.0</v>
      </c>
      <c r="S295" s="222">
        <v>0.0</v>
      </c>
      <c r="U295" s="218">
        <v>0.0</v>
      </c>
      <c r="AB295" t="e">
        <v>#N/A</v>
      </c>
    </row>
    <row r="296">
      <c r="A296" s="218" t="s">
        <v>499</v>
      </c>
      <c r="C296" s="218" t="s">
        <v>10152</v>
      </c>
      <c r="F296" s="456">
        <v>43908.0</v>
      </c>
      <c r="G296" s="218">
        <v>1.0</v>
      </c>
      <c r="H296" s="218">
        <v>401091.0</v>
      </c>
      <c r="J296" s="218" t="s">
        <v>10153</v>
      </c>
      <c r="K296" s="218" t="s">
        <v>10154</v>
      </c>
      <c r="L296" s="218">
        <v>15113.0</v>
      </c>
      <c r="M296" s="218">
        <v>168105.0</v>
      </c>
      <c r="N296" s="218">
        <v>1.0E8</v>
      </c>
      <c r="O296" s="218">
        <v>339030.0</v>
      </c>
      <c r="P296" s="218" t="s">
        <v>10155</v>
      </c>
      <c r="Q296" s="222">
        <v>6000.0</v>
      </c>
      <c r="R296" s="222">
        <v>6000.0</v>
      </c>
      <c r="S296" s="222">
        <v>0.0</v>
      </c>
      <c r="U296" s="218">
        <v>0.0</v>
      </c>
      <c r="X296" s="218">
        <v>1.51132020000094E14</v>
      </c>
      <c r="AB296" t="e">
        <v>#N/A</v>
      </c>
    </row>
    <row r="297">
      <c r="A297" s="218" t="s">
        <v>9371</v>
      </c>
      <c r="C297" s="218" t="s">
        <v>10156</v>
      </c>
      <c r="F297" s="456">
        <v>43908.0</v>
      </c>
      <c r="G297" s="218">
        <v>0.0</v>
      </c>
      <c r="H297" s="218">
        <v>401093.0</v>
      </c>
      <c r="I297" s="218" t="s">
        <v>9377</v>
      </c>
      <c r="J297" s="218" t="s">
        <v>9333</v>
      </c>
      <c r="K297" s="218" t="s">
        <v>10157</v>
      </c>
      <c r="L297" s="218">
        <v>15113.0</v>
      </c>
      <c r="M297" s="218">
        <v>168105.0</v>
      </c>
      <c r="N297" s="218">
        <v>1.0E8</v>
      </c>
      <c r="O297" s="218">
        <v>339093.0</v>
      </c>
      <c r="P297" s="218" t="s">
        <v>9374</v>
      </c>
      <c r="Q297" s="222">
        <v>2999.0</v>
      </c>
      <c r="R297" s="222">
        <v>-2999.0</v>
      </c>
      <c r="S297" s="222">
        <v>0.0</v>
      </c>
      <c r="U297" s="218">
        <v>0.0</v>
      </c>
      <c r="AB297" t="e">
        <v>#N/A</v>
      </c>
    </row>
    <row r="298">
      <c r="A298" s="218" t="s">
        <v>9371</v>
      </c>
      <c r="C298" s="218" t="s">
        <v>10158</v>
      </c>
      <c r="F298" s="456">
        <v>43908.0</v>
      </c>
      <c r="G298" s="218">
        <v>0.0</v>
      </c>
      <c r="H298" s="218">
        <v>406093.0</v>
      </c>
      <c r="I298" s="218" t="s">
        <v>10156</v>
      </c>
      <c r="J298" s="218" t="s">
        <v>9333</v>
      </c>
      <c r="K298" s="218" t="s">
        <v>10159</v>
      </c>
      <c r="L298" s="218">
        <v>0.0</v>
      </c>
      <c r="M298" s="218">
        <v>0.0</v>
      </c>
      <c r="O298" s="218">
        <v>0.0</v>
      </c>
      <c r="P298" s="218" t="s">
        <v>9374</v>
      </c>
      <c r="Q298" s="222">
        <v>2999.0</v>
      </c>
      <c r="R298" s="222">
        <v>2999.0</v>
      </c>
      <c r="S298" s="222">
        <v>0.0</v>
      </c>
      <c r="U298" s="218">
        <v>0.0</v>
      </c>
      <c r="AB298" t="e">
        <v>#N/A</v>
      </c>
    </row>
    <row r="299">
      <c r="A299" s="218" t="s">
        <v>9371</v>
      </c>
      <c r="C299" s="218" t="s">
        <v>10160</v>
      </c>
      <c r="F299" s="456">
        <v>43908.0</v>
      </c>
      <c r="G299" s="218">
        <v>0.0</v>
      </c>
      <c r="H299" s="218">
        <v>401093.0</v>
      </c>
      <c r="I299" s="218" t="s">
        <v>9377</v>
      </c>
      <c r="J299" s="218" t="s">
        <v>9333</v>
      </c>
      <c r="K299" s="218" t="s">
        <v>9398</v>
      </c>
      <c r="L299" s="218">
        <v>15113.0</v>
      </c>
      <c r="M299" s="218">
        <v>168105.0</v>
      </c>
      <c r="N299" s="218">
        <v>1.0E8</v>
      </c>
      <c r="O299" s="218">
        <v>339093.0</v>
      </c>
      <c r="P299" s="218" t="s">
        <v>9374</v>
      </c>
      <c r="Q299" s="222">
        <v>2999.0</v>
      </c>
      <c r="R299" s="222">
        <v>-2999.0</v>
      </c>
      <c r="S299" s="222">
        <v>0.0</v>
      </c>
      <c r="U299" s="218">
        <v>0.0</v>
      </c>
      <c r="AB299" t="e">
        <v>#N/A</v>
      </c>
    </row>
    <row r="300">
      <c r="A300" s="218" t="s">
        <v>9371</v>
      </c>
      <c r="C300" s="218" t="s">
        <v>10161</v>
      </c>
      <c r="F300" s="456">
        <v>43908.0</v>
      </c>
      <c r="G300" s="218">
        <v>0.0</v>
      </c>
      <c r="H300" s="218">
        <v>401092.0</v>
      </c>
      <c r="I300" s="218" t="s">
        <v>9377</v>
      </c>
      <c r="J300" s="218" t="s">
        <v>9333</v>
      </c>
      <c r="K300" s="218" t="s">
        <v>10162</v>
      </c>
      <c r="L300" s="218">
        <v>15113.0</v>
      </c>
      <c r="M300" s="218">
        <v>168105.0</v>
      </c>
      <c r="N300" s="218">
        <v>1.0E8</v>
      </c>
      <c r="O300" s="218">
        <v>339093.0</v>
      </c>
      <c r="P300" s="218" t="s">
        <v>9374</v>
      </c>
      <c r="Q300" s="222">
        <v>2999.0</v>
      </c>
      <c r="R300" s="222">
        <v>2999.0</v>
      </c>
      <c r="S300" s="218">
        <v>0.0</v>
      </c>
      <c r="U300" s="218">
        <v>0.0</v>
      </c>
      <c r="X300" s="218">
        <v>1.51132020000056E14</v>
      </c>
      <c r="AB300" t="e">
        <v>#N/A</v>
      </c>
    </row>
    <row r="301">
      <c r="A301" s="218" t="s">
        <v>499</v>
      </c>
      <c r="C301" s="218" t="s">
        <v>10163</v>
      </c>
      <c r="F301" s="456">
        <v>43908.0</v>
      </c>
      <c r="G301" s="218">
        <v>0.0</v>
      </c>
      <c r="H301" s="218">
        <v>401093.0</v>
      </c>
      <c r="I301" s="218" t="s">
        <v>10152</v>
      </c>
      <c r="J301" s="218" t="s">
        <v>10153</v>
      </c>
      <c r="K301" s="218" t="s">
        <v>10164</v>
      </c>
      <c r="L301" s="218">
        <v>15113.0</v>
      </c>
      <c r="M301" s="218">
        <v>168105.0</v>
      </c>
      <c r="N301" s="218">
        <v>1.0E8</v>
      </c>
      <c r="O301" s="218">
        <v>339030.0</v>
      </c>
      <c r="P301" s="218" t="s">
        <v>10155</v>
      </c>
      <c r="Q301" s="222">
        <v>6000.0</v>
      </c>
      <c r="R301" s="222">
        <v>-6000.0</v>
      </c>
      <c r="S301" s="222">
        <v>0.0</v>
      </c>
      <c r="U301" s="218">
        <v>0.0</v>
      </c>
      <c r="AB301" t="e">
        <v>#N/A</v>
      </c>
    </row>
    <row r="302">
      <c r="A302" s="218" t="s">
        <v>499</v>
      </c>
      <c r="C302" s="218" t="s">
        <v>10165</v>
      </c>
      <c r="F302" s="456">
        <v>43908.0</v>
      </c>
      <c r="G302" s="218">
        <v>1.0</v>
      </c>
      <c r="H302" s="218">
        <v>401091.0</v>
      </c>
      <c r="J302" s="218" t="s">
        <v>10153</v>
      </c>
      <c r="K302" s="218" t="s">
        <v>10154</v>
      </c>
      <c r="L302" s="218">
        <v>15113.0</v>
      </c>
      <c r="M302" s="218">
        <v>168105.0</v>
      </c>
      <c r="N302" s="218">
        <v>1.0E8</v>
      </c>
      <c r="O302" s="218">
        <v>339030.0</v>
      </c>
      <c r="P302" s="218" t="s">
        <v>10155</v>
      </c>
      <c r="Q302" s="222">
        <v>6000.0</v>
      </c>
      <c r="R302" s="222">
        <v>6000.0</v>
      </c>
      <c r="S302" s="222">
        <v>0.0</v>
      </c>
      <c r="U302" s="218">
        <v>0.0</v>
      </c>
      <c r="X302" s="218">
        <v>1.51132020000094E14</v>
      </c>
      <c r="AB302" t="e">
        <v>#N/A</v>
      </c>
    </row>
    <row r="303">
      <c r="A303" s="218" t="s">
        <v>499</v>
      </c>
      <c r="C303" s="218" t="s">
        <v>10166</v>
      </c>
      <c r="F303" s="456">
        <v>43909.0</v>
      </c>
      <c r="G303" s="218">
        <v>0.0</v>
      </c>
      <c r="H303" s="218">
        <v>401093.0</v>
      </c>
      <c r="I303" s="218" t="s">
        <v>10165</v>
      </c>
      <c r="J303" s="218" t="s">
        <v>10153</v>
      </c>
      <c r="K303" s="218" t="s">
        <v>10164</v>
      </c>
      <c r="L303" s="218">
        <v>15113.0</v>
      </c>
      <c r="M303" s="218">
        <v>168105.0</v>
      </c>
      <c r="N303" s="218">
        <v>1.0E8</v>
      </c>
      <c r="O303" s="218">
        <v>339030.0</v>
      </c>
      <c r="P303" s="218" t="s">
        <v>10155</v>
      </c>
      <c r="Q303" s="222">
        <v>6000.0</v>
      </c>
      <c r="R303" s="222">
        <v>-6000.0</v>
      </c>
      <c r="S303" s="222">
        <v>0.0</v>
      </c>
      <c r="U303" s="218">
        <v>0.0</v>
      </c>
      <c r="AB303" t="e">
        <v>#N/A</v>
      </c>
    </row>
    <row r="304">
      <c r="A304" s="218" t="s">
        <v>459</v>
      </c>
      <c r="C304" s="218" t="s">
        <v>10167</v>
      </c>
      <c r="F304" s="456">
        <v>43909.0</v>
      </c>
      <c r="G304" s="218">
        <v>3.0</v>
      </c>
      <c r="H304" s="218">
        <v>401091.0</v>
      </c>
      <c r="J304" s="218" t="s">
        <v>10168</v>
      </c>
      <c r="K304" s="218" t="s">
        <v>10169</v>
      </c>
      <c r="L304" s="218">
        <v>15113.0</v>
      </c>
      <c r="M304" s="218">
        <v>168105.0</v>
      </c>
      <c r="N304" s="218">
        <v>1.0E8</v>
      </c>
      <c r="O304" s="218">
        <v>339039.0</v>
      </c>
      <c r="P304" s="218" t="s">
        <v>10170</v>
      </c>
      <c r="Q304" s="222">
        <v>5600.0</v>
      </c>
      <c r="R304" s="222">
        <v>5600.0</v>
      </c>
      <c r="S304" s="222">
        <v>3500.0</v>
      </c>
      <c r="U304" s="222">
        <v>0.0</v>
      </c>
      <c r="X304" s="218">
        <v>1.51132020000214E14</v>
      </c>
      <c r="AB304" t="e">
        <v>#N/A</v>
      </c>
    </row>
    <row r="305">
      <c r="A305" s="218" t="s">
        <v>459</v>
      </c>
      <c r="C305" s="218" t="s">
        <v>10171</v>
      </c>
      <c r="F305" s="456">
        <v>43909.0</v>
      </c>
      <c r="G305" s="218">
        <v>3.0</v>
      </c>
      <c r="H305" s="218">
        <v>401091.0</v>
      </c>
      <c r="J305" s="218" t="s">
        <v>10172</v>
      </c>
      <c r="K305" s="218" t="s">
        <v>10173</v>
      </c>
      <c r="L305" s="218">
        <v>15113.0</v>
      </c>
      <c r="M305" s="218">
        <v>168101.0</v>
      </c>
      <c r="N305" s="218">
        <v>1.51E8</v>
      </c>
      <c r="O305" s="218">
        <v>339030.0</v>
      </c>
      <c r="P305" s="218" t="s">
        <v>10174</v>
      </c>
      <c r="Q305" s="222">
        <v>50165.0</v>
      </c>
      <c r="R305" s="222">
        <v>50165.0</v>
      </c>
      <c r="S305" s="222">
        <v>0.0</v>
      </c>
      <c r="U305" s="222">
        <v>0.0</v>
      </c>
      <c r="X305" s="218">
        <v>1.51132020000174E14</v>
      </c>
      <c r="AB305" t="e">
        <v>#N/A</v>
      </c>
    </row>
    <row r="306">
      <c r="A306" s="218" t="s">
        <v>9371</v>
      </c>
      <c r="C306" s="218" t="s">
        <v>10175</v>
      </c>
      <c r="F306" s="456">
        <v>43910.0</v>
      </c>
      <c r="G306" s="218">
        <v>1.0</v>
      </c>
      <c r="H306" s="218">
        <v>401091.0</v>
      </c>
      <c r="J306" s="218" t="s">
        <v>9590</v>
      </c>
      <c r="K306" s="218" t="s">
        <v>10176</v>
      </c>
      <c r="L306" s="218">
        <v>71103.0</v>
      </c>
      <c r="M306" s="218">
        <v>90162.0</v>
      </c>
      <c r="N306" s="218">
        <v>1.0E8</v>
      </c>
      <c r="O306" s="218">
        <v>319091.0</v>
      </c>
      <c r="P306" s="218" t="s">
        <v>10177</v>
      </c>
      <c r="Q306" s="222">
        <v>26857.22</v>
      </c>
      <c r="R306" s="222">
        <v>26857.22</v>
      </c>
      <c r="S306" s="222">
        <v>26857.22</v>
      </c>
      <c r="U306" s="222">
        <v>0.0</v>
      </c>
      <c r="X306" s="218">
        <v>1.51132020000204E14</v>
      </c>
      <c r="AB306" t="e">
        <v>#N/A</v>
      </c>
    </row>
    <row r="307">
      <c r="A307" s="218" t="s">
        <v>499</v>
      </c>
      <c r="C307" s="218" t="s">
        <v>10178</v>
      </c>
      <c r="F307" s="456">
        <v>43910.0</v>
      </c>
      <c r="G307" s="218">
        <v>1.0</v>
      </c>
      <c r="H307" s="218">
        <v>401091.0</v>
      </c>
      <c r="J307" s="218" t="s">
        <v>10153</v>
      </c>
      <c r="K307" s="218" t="s">
        <v>10154</v>
      </c>
      <c r="L307" s="218">
        <v>15113.0</v>
      </c>
      <c r="M307" s="218">
        <v>168106.0</v>
      </c>
      <c r="N307" s="218">
        <v>1.0E8</v>
      </c>
      <c r="O307" s="218">
        <v>339030.0</v>
      </c>
      <c r="P307" s="218" t="s">
        <v>10155</v>
      </c>
      <c r="Q307" s="222">
        <v>6000.0</v>
      </c>
      <c r="R307" s="222">
        <v>6000.0</v>
      </c>
      <c r="S307" s="222">
        <v>6000.0</v>
      </c>
      <c r="U307" s="218">
        <v>0.0</v>
      </c>
      <c r="X307" s="218">
        <v>1.51132020000094E14</v>
      </c>
      <c r="AB307" t="e">
        <v>#N/A</v>
      </c>
    </row>
    <row r="308">
      <c r="A308" s="218" t="s">
        <v>9371</v>
      </c>
      <c r="C308" s="218" t="s">
        <v>10179</v>
      </c>
      <c r="F308" s="456">
        <v>43910.0</v>
      </c>
      <c r="G308" s="218">
        <v>0.0</v>
      </c>
      <c r="H308" s="218">
        <v>401093.0</v>
      </c>
      <c r="I308" s="218" t="s">
        <v>9377</v>
      </c>
      <c r="J308" s="218" t="s">
        <v>9333</v>
      </c>
      <c r="K308" s="218" t="s">
        <v>10180</v>
      </c>
      <c r="L308" s="218">
        <v>15113.0</v>
      </c>
      <c r="M308" s="218">
        <v>168105.0</v>
      </c>
      <c r="N308" s="218">
        <v>1.0E8</v>
      </c>
      <c r="O308" s="218">
        <v>339093.0</v>
      </c>
      <c r="P308" s="218" t="s">
        <v>9374</v>
      </c>
      <c r="Q308" s="222">
        <v>2300.0</v>
      </c>
      <c r="R308" s="222">
        <v>-2300.0</v>
      </c>
      <c r="S308" s="222">
        <v>0.0</v>
      </c>
      <c r="U308" s="222">
        <v>0.0</v>
      </c>
      <c r="AB308" t="e">
        <v>#N/A</v>
      </c>
    </row>
    <row r="309">
      <c r="A309" s="218" t="s">
        <v>9371</v>
      </c>
      <c r="C309" s="218" t="s">
        <v>10181</v>
      </c>
      <c r="F309" s="456">
        <v>43910.0</v>
      </c>
      <c r="G309" s="218">
        <v>0.0</v>
      </c>
      <c r="H309" s="218">
        <v>401092.0</v>
      </c>
      <c r="I309" s="218" t="s">
        <v>9377</v>
      </c>
      <c r="J309" s="218" t="s">
        <v>9333</v>
      </c>
      <c r="K309" s="218" t="s">
        <v>10182</v>
      </c>
      <c r="L309" s="218">
        <v>15113.0</v>
      </c>
      <c r="M309" s="218">
        <v>168105.0</v>
      </c>
      <c r="N309" s="218">
        <v>1.0E8</v>
      </c>
      <c r="O309" s="218">
        <v>339093.0</v>
      </c>
      <c r="P309" s="218" t="s">
        <v>9374</v>
      </c>
      <c r="Q309" s="222">
        <v>2300.0</v>
      </c>
      <c r="R309" s="222">
        <v>2300.0</v>
      </c>
      <c r="S309" s="222">
        <v>0.0</v>
      </c>
      <c r="U309" s="222">
        <v>0.0</v>
      </c>
      <c r="X309" s="218">
        <v>1.51132020000056E14</v>
      </c>
      <c r="AB309" t="e">
        <v>#N/A</v>
      </c>
    </row>
    <row r="310">
      <c r="A310" s="218" t="s">
        <v>9430</v>
      </c>
      <c r="C310" s="218" t="s">
        <v>10183</v>
      </c>
      <c r="F310" s="456">
        <v>43914.0</v>
      </c>
      <c r="G310" s="218">
        <v>1.0</v>
      </c>
      <c r="H310" s="218">
        <v>401091.0</v>
      </c>
      <c r="J310" s="218" t="s">
        <v>10184</v>
      </c>
      <c r="K310" s="218" t="s">
        <v>10185</v>
      </c>
      <c r="L310" s="218">
        <v>15113.0</v>
      </c>
      <c r="M310" s="218">
        <v>168105.0</v>
      </c>
      <c r="N310" s="218">
        <v>1.0E8</v>
      </c>
      <c r="O310" s="218">
        <v>339030.0</v>
      </c>
      <c r="P310" s="218" t="s">
        <v>10186</v>
      </c>
      <c r="Q310" s="222">
        <v>558.0</v>
      </c>
      <c r="R310" s="222">
        <v>558.0</v>
      </c>
      <c r="S310" s="218">
        <v>558.0</v>
      </c>
      <c r="U310" s="218">
        <v>0.0</v>
      </c>
      <c r="X310" s="218">
        <v>1.51132020000082E14</v>
      </c>
      <c r="AB310" t="e">
        <v>#N/A</v>
      </c>
    </row>
    <row r="311">
      <c r="A311" s="218" t="s">
        <v>9430</v>
      </c>
      <c r="C311" s="218" t="s">
        <v>10187</v>
      </c>
      <c r="F311" s="456">
        <v>43914.0</v>
      </c>
      <c r="G311" s="218">
        <v>1.0</v>
      </c>
      <c r="H311" s="218">
        <v>401091.0</v>
      </c>
      <c r="J311" s="218" t="s">
        <v>10188</v>
      </c>
      <c r="K311" s="218" t="s">
        <v>10189</v>
      </c>
      <c r="L311" s="218">
        <v>15113.0</v>
      </c>
      <c r="M311" s="218">
        <v>168105.0</v>
      </c>
      <c r="N311" s="218">
        <v>1.0E8</v>
      </c>
      <c r="O311" s="218">
        <v>339030.0</v>
      </c>
      <c r="P311" s="218" t="s">
        <v>10186</v>
      </c>
      <c r="Q311" s="222">
        <v>122.5</v>
      </c>
      <c r="R311" s="222">
        <v>122.5</v>
      </c>
      <c r="S311" s="218">
        <v>122.5</v>
      </c>
      <c r="U311" s="218">
        <v>0.0</v>
      </c>
      <c r="X311" s="218">
        <v>1.51132020000082E14</v>
      </c>
      <c r="AB311" t="e">
        <v>#N/A</v>
      </c>
    </row>
    <row r="312">
      <c r="A312" s="218" t="s">
        <v>9430</v>
      </c>
      <c r="C312" s="218" t="s">
        <v>10190</v>
      </c>
      <c r="F312" s="456">
        <v>43914.0</v>
      </c>
      <c r="G312" s="218">
        <v>1.0</v>
      </c>
      <c r="H312" s="218">
        <v>401091.0</v>
      </c>
      <c r="J312" s="218" t="s">
        <v>10191</v>
      </c>
      <c r="K312" s="218" t="s">
        <v>10189</v>
      </c>
      <c r="L312" s="218">
        <v>15113.0</v>
      </c>
      <c r="M312" s="218">
        <v>168105.0</v>
      </c>
      <c r="N312" s="218">
        <v>1.0E8</v>
      </c>
      <c r="O312" s="218">
        <v>339030.0</v>
      </c>
      <c r="P312" s="218" t="s">
        <v>10186</v>
      </c>
      <c r="Q312" s="222">
        <v>374.0</v>
      </c>
      <c r="R312" s="222">
        <v>374.0</v>
      </c>
      <c r="S312" s="222">
        <v>374.0</v>
      </c>
      <c r="U312" s="222">
        <v>0.0</v>
      </c>
      <c r="X312" s="218">
        <v>1.51132020000082E14</v>
      </c>
      <c r="AB312" t="e">
        <v>#N/A</v>
      </c>
    </row>
    <row r="313">
      <c r="A313" s="218" t="s">
        <v>9430</v>
      </c>
      <c r="C313" s="218" t="s">
        <v>10192</v>
      </c>
      <c r="F313" s="456">
        <v>43914.0</v>
      </c>
      <c r="G313" s="218">
        <v>1.0</v>
      </c>
      <c r="H313" s="218">
        <v>401091.0</v>
      </c>
      <c r="J313" s="218" t="s">
        <v>9970</v>
      </c>
      <c r="K313" s="218" t="s">
        <v>10193</v>
      </c>
      <c r="L313" s="218">
        <v>15113.0</v>
      </c>
      <c r="M313" s="218">
        <v>168105.0</v>
      </c>
      <c r="N313" s="218">
        <v>1.0E8</v>
      </c>
      <c r="O313" s="218">
        <v>339030.0</v>
      </c>
      <c r="P313" s="218" t="s">
        <v>10186</v>
      </c>
      <c r="Q313" s="222">
        <v>5338.5</v>
      </c>
      <c r="R313" s="222">
        <v>5338.5</v>
      </c>
      <c r="S313" s="222">
        <v>5338.5</v>
      </c>
      <c r="U313" s="218">
        <v>0.0</v>
      </c>
      <c r="X313" s="218">
        <v>1.51132020000082E14</v>
      </c>
      <c r="AB313" t="e">
        <v>#N/A</v>
      </c>
    </row>
    <row r="314">
      <c r="A314" s="218" t="s">
        <v>9371</v>
      </c>
      <c r="C314" s="218" t="s">
        <v>10194</v>
      </c>
      <c r="F314" s="456">
        <v>43914.0</v>
      </c>
      <c r="G314" s="218">
        <v>1.0</v>
      </c>
      <c r="H314" s="218">
        <v>401091.0</v>
      </c>
      <c r="J314" s="218" t="s">
        <v>10195</v>
      </c>
      <c r="K314" s="218" t="s">
        <v>10196</v>
      </c>
      <c r="L314" s="218">
        <v>15113.0</v>
      </c>
      <c r="M314" s="218">
        <v>168105.0</v>
      </c>
      <c r="N314" s="218">
        <v>1.0E8</v>
      </c>
      <c r="O314" s="218">
        <v>339092.0</v>
      </c>
      <c r="P314" s="218" t="s">
        <v>10197</v>
      </c>
      <c r="Q314" s="222">
        <v>787.76</v>
      </c>
      <c r="R314" s="222">
        <v>787.76</v>
      </c>
      <c r="S314" s="218">
        <v>0.0</v>
      </c>
      <c r="U314" s="218">
        <v>0.0</v>
      </c>
      <c r="X314" s="218">
        <v>1.51132020000061E14</v>
      </c>
      <c r="AB314" t="e">
        <v>#N/A</v>
      </c>
    </row>
    <row r="315">
      <c r="A315" s="218" t="s">
        <v>787</v>
      </c>
      <c r="C315" s="218" t="s">
        <v>10198</v>
      </c>
      <c r="F315" s="456">
        <v>43916.0</v>
      </c>
      <c r="G315" s="218">
        <v>1.0</v>
      </c>
      <c r="H315" s="218">
        <v>401091.0</v>
      </c>
      <c r="J315" s="218" t="s">
        <v>10199</v>
      </c>
      <c r="K315" s="218" t="s">
        <v>10200</v>
      </c>
      <c r="L315" s="218">
        <v>15113.0</v>
      </c>
      <c r="M315" s="218">
        <v>168108.0</v>
      </c>
      <c r="N315" s="218">
        <v>1.0E8</v>
      </c>
      <c r="O315" s="218">
        <v>339036.0</v>
      </c>
      <c r="P315" s="218" t="s">
        <v>10201</v>
      </c>
      <c r="Q315" s="222">
        <v>9990.0</v>
      </c>
      <c r="R315" s="222">
        <v>9990.0</v>
      </c>
      <c r="S315" s="222">
        <v>9990.0</v>
      </c>
      <c r="U315" s="222">
        <v>0.0</v>
      </c>
      <c r="X315" s="218">
        <v>1.51132020000068E14</v>
      </c>
      <c r="AB315" t="e">
        <v>#N/A</v>
      </c>
    </row>
    <row r="316">
      <c r="A316" s="218" t="s">
        <v>343</v>
      </c>
      <c r="C316" s="218" t="s">
        <v>10202</v>
      </c>
      <c r="F316" s="456">
        <v>43917.0</v>
      </c>
      <c r="G316" s="218">
        <v>1.0</v>
      </c>
      <c r="H316" s="218">
        <v>401091.0</v>
      </c>
      <c r="J316" s="218" t="s">
        <v>10203</v>
      </c>
      <c r="K316" s="218" t="s">
        <v>10204</v>
      </c>
      <c r="L316" s="218">
        <v>15113.0</v>
      </c>
      <c r="M316" s="218">
        <v>168105.0</v>
      </c>
      <c r="N316" s="218">
        <v>1.0E8</v>
      </c>
      <c r="O316" s="218">
        <v>339147.0</v>
      </c>
      <c r="P316" s="218" t="s">
        <v>10205</v>
      </c>
      <c r="Q316" s="222">
        <v>134.0</v>
      </c>
      <c r="R316" s="222">
        <v>134.0</v>
      </c>
      <c r="S316" s="222">
        <v>134.0</v>
      </c>
      <c r="U316" s="218">
        <v>0.0</v>
      </c>
      <c r="X316" s="218">
        <v>1.51132020000215E14</v>
      </c>
      <c r="AB316" t="e">
        <v>#N/A</v>
      </c>
    </row>
    <row r="317">
      <c r="A317" s="218" t="s">
        <v>343</v>
      </c>
      <c r="C317" s="218" t="s">
        <v>10206</v>
      </c>
      <c r="F317" s="456">
        <v>43917.0</v>
      </c>
      <c r="G317" s="218">
        <v>1.0</v>
      </c>
      <c r="H317" s="218">
        <v>401091.0</v>
      </c>
      <c r="J317" s="218" t="s">
        <v>10207</v>
      </c>
      <c r="K317" s="218" t="s">
        <v>10208</v>
      </c>
      <c r="L317" s="218">
        <v>15113.0</v>
      </c>
      <c r="M317" s="218">
        <v>168105.0</v>
      </c>
      <c r="N317" s="218">
        <v>1.0E8</v>
      </c>
      <c r="O317" s="218">
        <v>339147.0</v>
      </c>
      <c r="P317" s="218" t="s">
        <v>10205</v>
      </c>
      <c r="Q317" s="222">
        <v>442.67</v>
      </c>
      <c r="R317" s="222">
        <v>442.67</v>
      </c>
      <c r="S317" s="222">
        <v>442.67</v>
      </c>
      <c r="U317" s="218">
        <v>0.0</v>
      </c>
      <c r="X317" s="218">
        <v>1.51132020000215E14</v>
      </c>
      <c r="AB317" t="e">
        <v>#N/A</v>
      </c>
    </row>
    <row r="318">
      <c r="A318" s="218" t="s">
        <v>9371</v>
      </c>
      <c r="C318" s="218" t="s">
        <v>10209</v>
      </c>
      <c r="F318" s="456">
        <v>43920.0</v>
      </c>
      <c r="G318" s="218">
        <v>0.0</v>
      </c>
      <c r="H318" s="218">
        <v>401093.0</v>
      </c>
      <c r="I318" s="218" t="s">
        <v>10194</v>
      </c>
      <c r="J318" s="218" t="s">
        <v>10195</v>
      </c>
      <c r="K318" s="218" t="s">
        <v>10210</v>
      </c>
      <c r="L318" s="218">
        <v>15113.0</v>
      </c>
      <c r="M318" s="218">
        <v>168105.0</v>
      </c>
      <c r="N318" s="218">
        <v>1.0E8</v>
      </c>
      <c r="O318" s="218">
        <v>339092.0</v>
      </c>
      <c r="P318" s="218" t="s">
        <v>10197</v>
      </c>
      <c r="Q318" s="222">
        <v>787.76</v>
      </c>
      <c r="R318" s="222">
        <v>-787.76</v>
      </c>
      <c r="S318" s="222">
        <v>0.0</v>
      </c>
      <c r="U318" s="218">
        <v>0.0</v>
      </c>
      <c r="AB318" t="e">
        <v>#N/A</v>
      </c>
    </row>
    <row r="319">
      <c r="A319" s="218" t="s">
        <v>10001</v>
      </c>
      <c r="C319" s="218" t="s">
        <v>10211</v>
      </c>
      <c r="F319" s="456">
        <v>43921.0</v>
      </c>
      <c r="G319" s="218">
        <v>1.0</v>
      </c>
      <c r="H319" s="218">
        <v>401091.0</v>
      </c>
      <c r="J319" s="218" t="s">
        <v>10212</v>
      </c>
      <c r="K319" s="218" t="s">
        <v>10213</v>
      </c>
      <c r="L319" s="218">
        <v>15113.0</v>
      </c>
      <c r="M319" s="218">
        <v>168105.0</v>
      </c>
      <c r="N319" s="218">
        <v>1.0E8</v>
      </c>
      <c r="O319" s="218">
        <v>339030.0</v>
      </c>
      <c r="P319" s="218" t="s">
        <v>10214</v>
      </c>
      <c r="Q319" s="222">
        <v>4600.0</v>
      </c>
      <c r="R319" s="222">
        <v>4600.0</v>
      </c>
      <c r="S319" s="222">
        <v>4600.0</v>
      </c>
      <c r="U319" s="222">
        <v>0.0</v>
      </c>
      <c r="X319" s="218">
        <v>1.51132020000101E14</v>
      </c>
      <c r="AB319" t="e">
        <v>#N/A</v>
      </c>
    </row>
    <row r="320">
      <c r="A320" s="218" t="s">
        <v>116</v>
      </c>
      <c r="C320" s="218" t="s">
        <v>10215</v>
      </c>
      <c r="F320" s="456">
        <v>43923.0</v>
      </c>
      <c r="G320" s="218">
        <v>3.0</v>
      </c>
      <c r="H320" s="218">
        <v>401091.0</v>
      </c>
      <c r="J320" s="218" t="s">
        <v>9982</v>
      </c>
      <c r="K320" s="218" t="s">
        <v>9677</v>
      </c>
      <c r="L320" s="218">
        <v>15113.0</v>
      </c>
      <c r="M320" s="218">
        <v>168107.0</v>
      </c>
      <c r="N320" s="218">
        <v>1.0E8</v>
      </c>
      <c r="O320" s="218">
        <v>339040.0</v>
      </c>
      <c r="P320" s="218" t="s">
        <v>185</v>
      </c>
      <c r="Q320" s="222">
        <v>465696.0</v>
      </c>
      <c r="R320" s="222">
        <v>465696.0</v>
      </c>
      <c r="S320" s="222">
        <v>410704.32</v>
      </c>
      <c r="U320" s="222">
        <v>38581.62</v>
      </c>
      <c r="X320" s="218">
        <v>1.51132020000021E14</v>
      </c>
      <c r="AB320" t="e">
        <v>#N/A</v>
      </c>
    </row>
    <row r="321">
      <c r="A321" s="218" t="s">
        <v>9371</v>
      </c>
      <c r="C321" s="218" t="s">
        <v>10216</v>
      </c>
      <c r="F321" s="456">
        <v>43924.0</v>
      </c>
      <c r="G321" s="218">
        <v>0.0</v>
      </c>
      <c r="H321" s="218">
        <v>401092.0</v>
      </c>
      <c r="I321" s="218" t="s">
        <v>9361</v>
      </c>
      <c r="J321" s="218" t="s">
        <v>9333</v>
      </c>
      <c r="K321" s="218" t="s">
        <v>10217</v>
      </c>
      <c r="L321" s="218">
        <v>15113.0</v>
      </c>
      <c r="M321" s="218">
        <v>168102.0</v>
      </c>
      <c r="N321" s="218">
        <v>1.0E8</v>
      </c>
      <c r="O321" s="218">
        <v>339049.0</v>
      </c>
      <c r="P321" s="218" t="s">
        <v>9374</v>
      </c>
      <c r="Q321" s="222">
        <v>40000.0</v>
      </c>
      <c r="R321" s="222">
        <v>40000.0</v>
      </c>
      <c r="S321" s="222">
        <v>0.0</v>
      </c>
      <c r="U321" s="218">
        <v>0.0</v>
      </c>
      <c r="X321" s="218">
        <v>1.51132020000189E14</v>
      </c>
      <c r="AB321" t="e">
        <v>#N/A</v>
      </c>
    </row>
    <row r="322">
      <c r="A322" s="218" t="s">
        <v>781</v>
      </c>
      <c r="C322" s="218" t="s">
        <v>10218</v>
      </c>
      <c r="F322" s="456">
        <v>43927.0</v>
      </c>
      <c r="G322" s="218">
        <v>3.0</v>
      </c>
      <c r="H322" s="218">
        <v>401091.0</v>
      </c>
      <c r="J322" s="218" t="s">
        <v>9864</v>
      </c>
      <c r="K322" s="218" t="s">
        <v>10219</v>
      </c>
      <c r="L322" s="218">
        <v>15113.0</v>
      </c>
      <c r="M322" s="218">
        <v>168105.0</v>
      </c>
      <c r="N322" s="218">
        <v>1.0E8</v>
      </c>
      <c r="O322" s="218">
        <v>339037.0</v>
      </c>
      <c r="P322" s="218" t="s">
        <v>10220</v>
      </c>
      <c r="Q322" s="222">
        <v>572076.0</v>
      </c>
      <c r="R322" s="222">
        <v>572076.0</v>
      </c>
      <c r="S322" s="218">
        <v>0.0</v>
      </c>
      <c r="U322" s="218">
        <v>0.0</v>
      </c>
      <c r="X322" s="218">
        <v>1.51132020000123E14</v>
      </c>
      <c r="AB322" t="e">
        <v>#N/A</v>
      </c>
    </row>
    <row r="323">
      <c r="A323" s="218" t="s">
        <v>781</v>
      </c>
      <c r="C323" s="218" t="s">
        <v>10221</v>
      </c>
      <c r="F323" s="456">
        <v>43927.0</v>
      </c>
      <c r="G323" s="218">
        <v>3.0</v>
      </c>
      <c r="H323" s="218">
        <v>401091.0</v>
      </c>
      <c r="J323" s="218" t="s">
        <v>10222</v>
      </c>
      <c r="K323" s="218" t="s">
        <v>10219</v>
      </c>
      <c r="L323" s="218">
        <v>15113.0</v>
      </c>
      <c r="M323" s="218">
        <v>168105.0</v>
      </c>
      <c r="N323" s="218">
        <v>1.0E8</v>
      </c>
      <c r="O323" s="218">
        <v>339037.0</v>
      </c>
      <c r="P323" s="218" t="s">
        <v>10220</v>
      </c>
      <c r="Q323" s="222">
        <v>250200.0</v>
      </c>
      <c r="R323" s="222">
        <v>250200.0</v>
      </c>
      <c r="S323" s="222">
        <v>219573.65</v>
      </c>
      <c r="U323" s="222">
        <v>86614.74</v>
      </c>
      <c r="X323" s="218">
        <v>1.51132020000123E14</v>
      </c>
      <c r="AB323" t="e">
        <v>#N/A</v>
      </c>
    </row>
    <row r="324">
      <c r="A324" s="218" t="s">
        <v>781</v>
      </c>
      <c r="C324" s="218" t="s">
        <v>10223</v>
      </c>
      <c r="F324" s="456">
        <v>43927.0</v>
      </c>
      <c r="G324" s="218">
        <v>1.0</v>
      </c>
      <c r="H324" s="218">
        <v>401091.0</v>
      </c>
      <c r="J324" s="218" t="s">
        <v>10224</v>
      </c>
      <c r="K324" s="218" t="s">
        <v>10225</v>
      </c>
      <c r="L324" s="218">
        <v>15113.0</v>
      </c>
      <c r="M324" s="218">
        <v>168105.0</v>
      </c>
      <c r="N324" s="218">
        <v>1.0E8</v>
      </c>
      <c r="O324" s="218">
        <v>339040.0</v>
      </c>
      <c r="P324" s="218" t="s">
        <v>10226</v>
      </c>
      <c r="Q324" s="222">
        <v>4800.0</v>
      </c>
      <c r="R324" s="222">
        <v>4800.0</v>
      </c>
      <c r="S324" s="222">
        <v>4800.0</v>
      </c>
      <c r="U324" s="218">
        <v>0.0</v>
      </c>
      <c r="X324" s="218">
        <v>1.51132020000162E14</v>
      </c>
      <c r="AB324" t="e">
        <v>#N/A</v>
      </c>
    </row>
    <row r="325">
      <c r="A325" s="218" t="s">
        <v>781</v>
      </c>
      <c r="C325" s="218" t="s">
        <v>10227</v>
      </c>
      <c r="F325" s="456">
        <v>43927.0</v>
      </c>
      <c r="G325" s="218">
        <v>0.0</v>
      </c>
      <c r="H325" s="218">
        <v>401093.0</v>
      </c>
      <c r="I325" s="218" t="s">
        <v>10218</v>
      </c>
      <c r="J325" s="218" t="s">
        <v>9864</v>
      </c>
      <c r="K325" s="218" t="s">
        <v>9398</v>
      </c>
      <c r="L325" s="218">
        <v>15113.0</v>
      </c>
      <c r="M325" s="218">
        <v>168105.0</v>
      </c>
      <c r="N325" s="218">
        <v>1.0E8</v>
      </c>
      <c r="O325" s="218">
        <v>339037.0</v>
      </c>
      <c r="P325" s="218" t="s">
        <v>10220</v>
      </c>
      <c r="Q325" s="222">
        <v>572076.0</v>
      </c>
      <c r="R325" s="222">
        <v>-572076.0</v>
      </c>
      <c r="S325" s="222">
        <v>0.0</v>
      </c>
      <c r="U325" s="222">
        <v>0.0</v>
      </c>
      <c r="AB325" t="e">
        <v>#N/A</v>
      </c>
    </row>
    <row r="326">
      <c r="A326" s="218" t="s">
        <v>781</v>
      </c>
      <c r="C326" s="218" t="s">
        <v>10228</v>
      </c>
      <c r="F326" s="456">
        <v>43927.0</v>
      </c>
      <c r="G326" s="218">
        <v>3.0</v>
      </c>
      <c r="H326" s="218">
        <v>401091.0</v>
      </c>
      <c r="J326" s="218" t="s">
        <v>9864</v>
      </c>
      <c r="K326" s="218" t="s">
        <v>10219</v>
      </c>
      <c r="L326" s="218">
        <v>15113.0</v>
      </c>
      <c r="M326" s="218">
        <v>168105.0</v>
      </c>
      <c r="N326" s="218">
        <v>1.0E8</v>
      </c>
      <c r="O326" s="218">
        <v>339037.0</v>
      </c>
      <c r="P326" s="218" t="s">
        <v>10220</v>
      </c>
      <c r="Q326" s="222">
        <v>572076.0</v>
      </c>
      <c r="R326" s="222">
        <v>572076.0</v>
      </c>
      <c r="S326" s="222">
        <v>481336.0</v>
      </c>
      <c r="U326" s="222">
        <v>68771.56</v>
      </c>
      <c r="X326" s="218">
        <v>1.51132020000123E14</v>
      </c>
      <c r="AB326" t="e">
        <v>#N/A</v>
      </c>
    </row>
    <row r="327">
      <c r="A327" s="218" t="s">
        <v>324</v>
      </c>
      <c r="C327" s="218" t="s">
        <v>10229</v>
      </c>
      <c r="F327" s="456">
        <v>43927.0</v>
      </c>
      <c r="G327" s="218">
        <v>1.0</v>
      </c>
      <c r="H327" s="218">
        <v>401091.0</v>
      </c>
      <c r="J327" s="218" t="s">
        <v>10230</v>
      </c>
      <c r="K327" s="218" t="s">
        <v>10231</v>
      </c>
      <c r="L327" s="218">
        <v>15113.0</v>
      </c>
      <c r="M327" s="218">
        <v>168105.0</v>
      </c>
      <c r="N327" s="218">
        <v>1.0E8</v>
      </c>
      <c r="O327" s="218">
        <v>339039.0</v>
      </c>
      <c r="P327" s="218" t="s">
        <v>10232</v>
      </c>
      <c r="Q327" s="222">
        <v>5850.0</v>
      </c>
      <c r="R327" s="222">
        <v>5850.0</v>
      </c>
      <c r="S327" s="222">
        <v>5850.0</v>
      </c>
      <c r="U327" s="222">
        <v>0.0</v>
      </c>
      <c r="X327" s="218">
        <v>1.51132020000216E14</v>
      </c>
      <c r="AB327" t="e">
        <v>#N/A</v>
      </c>
    </row>
    <row r="328">
      <c r="A328" s="218" t="s">
        <v>9920</v>
      </c>
      <c r="C328" s="218" t="s">
        <v>10233</v>
      </c>
      <c r="F328" s="456">
        <v>43928.0</v>
      </c>
      <c r="G328" s="218">
        <v>1.0</v>
      </c>
      <c r="H328" s="218">
        <v>401091.0</v>
      </c>
      <c r="J328" s="218" t="s">
        <v>10234</v>
      </c>
      <c r="K328" s="218" t="s">
        <v>10235</v>
      </c>
      <c r="L328" s="218">
        <v>15113.0</v>
      </c>
      <c r="M328" s="218">
        <v>168105.0</v>
      </c>
      <c r="N328" s="218">
        <v>1.0E8</v>
      </c>
      <c r="O328" s="218">
        <v>339039.0</v>
      </c>
      <c r="P328" s="218" t="s">
        <v>10236</v>
      </c>
      <c r="Q328" s="222">
        <v>4100.0</v>
      </c>
      <c r="R328" s="222">
        <v>4100.0</v>
      </c>
      <c r="S328" s="222">
        <v>4100.0</v>
      </c>
      <c r="U328" s="222">
        <v>0.0</v>
      </c>
      <c r="X328" s="218">
        <v>1.51132020000217E14</v>
      </c>
      <c r="AB328" t="e">
        <v>#N/A</v>
      </c>
    </row>
    <row r="329">
      <c r="A329" s="218" t="s">
        <v>10001</v>
      </c>
      <c r="C329" s="218" t="s">
        <v>10237</v>
      </c>
      <c r="F329" s="456">
        <v>43934.0</v>
      </c>
      <c r="G329" s="218">
        <v>3.0</v>
      </c>
      <c r="H329" s="218">
        <v>401091.0</v>
      </c>
      <c r="J329" s="218" t="s">
        <v>10238</v>
      </c>
      <c r="K329" s="218" t="s">
        <v>10239</v>
      </c>
      <c r="L329" s="218">
        <v>15113.0</v>
      </c>
      <c r="M329" s="218">
        <v>168105.0</v>
      </c>
      <c r="N329" s="218">
        <v>1.0E8</v>
      </c>
      <c r="O329" s="218">
        <v>339039.0</v>
      </c>
      <c r="P329" s="218" t="s">
        <v>10240</v>
      </c>
      <c r="Q329" s="222">
        <v>2000.0</v>
      </c>
      <c r="R329" s="222">
        <v>2000.0</v>
      </c>
      <c r="S329" s="218">
        <v>0.0</v>
      </c>
      <c r="U329" s="218">
        <v>0.0</v>
      </c>
      <c r="X329" s="218">
        <v>1.51132020000218E14</v>
      </c>
      <c r="AB329" t="e">
        <v>#N/A</v>
      </c>
    </row>
    <row r="330">
      <c r="A330" s="218" t="s">
        <v>10001</v>
      </c>
      <c r="C330" s="218" t="s">
        <v>10241</v>
      </c>
      <c r="F330" s="456">
        <v>43934.0</v>
      </c>
      <c r="G330" s="218">
        <v>0.0</v>
      </c>
      <c r="H330" s="218">
        <v>401093.0</v>
      </c>
      <c r="I330" s="218" t="s">
        <v>10237</v>
      </c>
      <c r="J330" s="218" t="s">
        <v>10238</v>
      </c>
      <c r="K330" s="218" t="s">
        <v>9398</v>
      </c>
      <c r="L330" s="218">
        <v>15113.0</v>
      </c>
      <c r="M330" s="218">
        <v>168105.0</v>
      </c>
      <c r="N330" s="218">
        <v>1.0E8</v>
      </c>
      <c r="O330" s="218">
        <v>339039.0</v>
      </c>
      <c r="P330" s="218" t="s">
        <v>10240</v>
      </c>
      <c r="Q330" s="222">
        <v>2000.0</v>
      </c>
      <c r="R330" s="222">
        <v>-2000.0</v>
      </c>
      <c r="S330" s="222">
        <v>0.0</v>
      </c>
      <c r="U330" s="218">
        <v>0.0</v>
      </c>
      <c r="AB330" t="e">
        <v>#N/A</v>
      </c>
    </row>
    <row r="331">
      <c r="A331" s="218" t="s">
        <v>10001</v>
      </c>
      <c r="C331" s="218" t="s">
        <v>10242</v>
      </c>
      <c r="F331" s="456">
        <v>43934.0</v>
      </c>
      <c r="G331" s="218">
        <v>3.0</v>
      </c>
      <c r="H331" s="218">
        <v>401091.0</v>
      </c>
      <c r="J331" s="218" t="s">
        <v>10238</v>
      </c>
      <c r="K331" s="218" t="s">
        <v>10243</v>
      </c>
      <c r="L331" s="218">
        <v>15113.0</v>
      </c>
      <c r="M331" s="218">
        <v>168105.0</v>
      </c>
      <c r="N331" s="218">
        <v>1.0E8</v>
      </c>
      <c r="O331" s="218">
        <v>339039.0</v>
      </c>
      <c r="P331" s="218" t="s">
        <v>10240</v>
      </c>
      <c r="Q331" s="222">
        <v>2000.0</v>
      </c>
      <c r="R331" s="222">
        <v>2000.0</v>
      </c>
      <c r="S331" s="222">
        <v>2000.0</v>
      </c>
      <c r="U331" s="222">
        <v>1811.6</v>
      </c>
      <c r="X331" s="218">
        <v>1.51132020000218E14</v>
      </c>
      <c r="AB331" t="e">
        <v>#N/A</v>
      </c>
    </row>
    <row r="332">
      <c r="A332" s="218" t="s">
        <v>324</v>
      </c>
      <c r="C332" s="218" t="s">
        <v>10244</v>
      </c>
      <c r="F332" s="456">
        <v>43934.0</v>
      </c>
      <c r="G332" s="218">
        <v>5.0</v>
      </c>
      <c r="H332" s="218">
        <v>401091.0</v>
      </c>
      <c r="J332" s="218" t="s">
        <v>10245</v>
      </c>
      <c r="K332" s="218" t="s">
        <v>10246</v>
      </c>
      <c r="L332" s="218">
        <v>15113.0</v>
      </c>
      <c r="M332" s="218">
        <v>168105.0</v>
      </c>
      <c r="N332" s="218">
        <v>1.0E8</v>
      </c>
      <c r="O332" s="218">
        <v>339039.0</v>
      </c>
      <c r="P332" s="218" t="s">
        <v>10247</v>
      </c>
      <c r="Q332" s="222">
        <v>96463.62</v>
      </c>
      <c r="R332" s="222">
        <v>96463.62</v>
      </c>
      <c r="S332" s="222">
        <v>232228.55</v>
      </c>
      <c r="U332" s="222">
        <v>24989.29</v>
      </c>
      <c r="X332" s="218">
        <v>1.5113202000022E14</v>
      </c>
      <c r="AB332" t="e">
        <v>#N/A</v>
      </c>
    </row>
    <row r="333">
      <c r="A333" s="218" t="s">
        <v>781</v>
      </c>
      <c r="C333" s="218" t="s">
        <v>10248</v>
      </c>
      <c r="F333" s="456">
        <v>43934.0</v>
      </c>
      <c r="G333" s="218">
        <v>3.0</v>
      </c>
      <c r="H333" s="218">
        <v>401091.0</v>
      </c>
      <c r="J333" s="218" t="s">
        <v>9713</v>
      </c>
      <c r="K333" s="218" t="s">
        <v>10249</v>
      </c>
      <c r="L333" s="218">
        <v>15113.0</v>
      </c>
      <c r="M333" s="218">
        <v>168105.0</v>
      </c>
      <c r="N333" s="218">
        <v>1.0E8</v>
      </c>
      <c r="O333" s="218">
        <v>339030.0</v>
      </c>
      <c r="P333" s="218" t="s">
        <v>10250</v>
      </c>
      <c r="Q333" s="222">
        <v>1285.0</v>
      </c>
      <c r="R333" s="222">
        <v>1285.0</v>
      </c>
      <c r="S333" s="222">
        <v>0.0</v>
      </c>
      <c r="U333" s="218">
        <v>0.0</v>
      </c>
      <c r="X333" s="218">
        <v>1.51132020000139E14</v>
      </c>
      <c r="AB333" t="e">
        <v>#N/A</v>
      </c>
    </row>
    <row r="334">
      <c r="A334" s="218" t="s">
        <v>9430</v>
      </c>
      <c r="C334" s="218" t="s">
        <v>10251</v>
      </c>
      <c r="F334" s="456">
        <v>43934.0</v>
      </c>
      <c r="G334" s="218">
        <v>1.0</v>
      </c>
      <c r="H334" s="218">
        <v>401091.0</v>
      </c>
      <c r="J334" s="218" t="s">
        <v>10252</v>
      </c>
      <c r="K334" s="218" t="s">
        <v>10253</v>
      </c>
      <c r="L334" s="218">
        <v>15113.0</v>
      </c>
      <c r="M334" s="218">
        <v>168105.0</v>
      </c>
      <c r="N334" s="218">
        <v>1.0E8</v>
      </c>
      <c r="O334" s="218">
        <v>449052.0</v>
      </c>
      <c r="P334" s="218" t="s">
        <v>10254</v>
      </c>
      <c r="Q334" s="222">
        <v>2740.0</v>
      </c>
      <c r="R334" s="222">
        <v>2740.0</v>
      </c>
      <c r="S334" s="222">
        <v>2740.0</v>
      </c>
      <c r="U334" s="218">
        <v>0.0</v>
      </c>
      <c r="X334" s="218">
        <v>1.51132020000219E14</v>
      </c>
      <c r="AB334" t="e">
        <v>#N/A</v>
      </c>
    </row>
    <row r="335">
      <c r="A335" s="218" t="s">
        <v>781</v>
      </c>
      <c r="C335" s="218" t="s">
        <v>10255</v>
      </c>
      <c r="F335" s="456">
        <v>43935.0</v>
      </c>
      <c r="G335" s="218">
        <v>0.0</v>
      </c>
      <c r="H335" s="218">
        <v>401093.0</v>
      </c>
      <c r="I335" s="218" t="s">
        <v>10248</v>
      </c>
      <c r="J335" s="218" t="s">
        <v>9713</v>
      </c>
      <c r="K335" s="218" t="s">
        <v>9398</v>
      </c>
      <c r="L335" s="218">
        <v>15113.0</v>
      </c>
      <c r="M335" s="218">
        <v>168105.0</v>
      </c>
      <c r="N335" s="218">
        <v>1.0E8</v>
      </c>
      <c r="O335" s="218">
        <v>339030.0</v>
      </c>
      <c r="P335" s="218" t="s">
        <v>10250</v>
      </c>
      <c r="Q335" s="222">
        <v>1285.0</v>
      </c>
      <c r="R335" s="222">
        <v>-1285.0</v>
      </c>
      <c r="S335" s="218">
        <v>0.0</v>
      </c>
      <c r="U335" s="218">
        <v>0.0</v>
      </c>
      <c r="AB335" t="e">
        <v>#N/A</v>
      </c>
    </row>
    <row r="336">
      <c r="A336" s="218" t="s">
        <v>10001</v>
      </c>
      <c r="C336" s="218" t="s">
        <v>10256</v>
      </c>
      <c r="F336" s="456">
        <v>43936.0</v>
      </c>
      <c r="G336" s="218">
        <v>1.0</v>
      </c>
      <c r="H336" s="218">
        <v>401091.0</v>
      </c>
      <c r="J336" s="218" t="s">
        <v>10257</v>
      </c>
      <c r="K336" s="218" t="s">
        <v>10258</v>
      </c>
      <c r="L336" s="218">
        <v>15113.0</v>
      </c>
      <c r="M336" s="218">
        <v>168105.0</v>
      </c>
      <c r="N336" s="218">
        <v>1.0E8</v>
      </c>
      <c r="O336" s="218">
        <v>339030.0</v>
      </c>
      <c r="P336" s="218" t="s">
        <v>10214</v>
      </c>
      <c r="Q336" s="222">
        <v>475.96</v>
      </c>
      <c r="R336" s="222">
        <v>475.96</v>
      </c>
      <c r="S336" s="218">
        <v>475.96</v>
      </c>
      <c r="U336" s="218">
        <v>0.0</v>
      </c>
      <c r="X336" s="218">
        <v>1.51132020000101E14</v>
      </c>
      <c r="AB336" t="e">
        <v>#N/A</v>
      </c>
    </row>
    <row r="337">
      <c r="A337" s="218" t="s">
        <v>781</v>
      </c>
      <c r="C337" s="218" t="s">
        <v>10259</v>
      </c>
      <c r="F337" s="456">
        <v>43936.0</v>
      </c>
      <c r="G337" s="218">
        <v>1.0</v>
      </c>
      <c r="H337" s="218">
        <v>401091.0</v>
      </c>
      <c r="J337" s="218" t="s">
        <v>9735</v>
      </c>
      <c r="K337" s="218" t="s">
        <v>10260</v>
      </c>
      <c r="L337" s="218">
        <v>15113.0</v>
      </c>
      <c r="M337" s="218">
        <v>168105.0</v>
      </c>
      <c r="N337" s="218">
        <v>1.0E8</v>
      </c>
      <c r="O337" s="218">
        <v>339092.0</v>
      </c>
      <c r="P337" s="218" t="s">
        <v>10261</v>
      </c>
      <c r="Q337" s="222">
        <v>45.02</v>
      </c>
      <c r="R337" s="222">
        <v>45.02</v>
      </c>
      <c r="S337" s="218">
        <v>45.02</v>
      </c>
      <c r="U337" s="218">
        <v>0.0</v>
      </c>
      <c r="X337" s="218">
        <v>1.51132020000107E14</v>
      </c>
      <c r="AB337" t="e">
        <v>#N/A</v>
      </c>
    </row>
    <row r="338">
      <c r="A338" s="218" t="s">
        <v>9920</v>
      </c>
      <c r="C338" s="218" t="s">
        <v>10262</v>
      </c>
      <c r="F338" s="456">
        <v>43937.0</v>
      </c>
      <c r="G338" s="218">
        <v>0.0</v>
      </c>
      <c r="H338" s="218">
        <v>401092.0</v>
      </c>
      <c r="I338" s="218" t="s">
        <v>9921</v>
      </c>
      <c r="J338" s="218" t="s">
        <v>9922</v>
      </c>
      <c r="K338" s="218" t="s">
        <v>10263</v>
      </c>
      <c r="L338" s="218">
        <v>15113.0</v>
      </c>
      <c r="M338" s="218">
        <v>168105.0</v>
      </c>
      <c r="N338" s="218">
        <v>1.0E8</v>
      </c>
      <c r="O338" s="218">
        <v>339030.0</v>
      </c>
      <c r="P338" s="218" t="s">
        <v>9924</v>
      </c>
      <c r="Q338" s="222">
        <v>139821.42</v>
      </c>
      <c r="R338" s="222">
        <v>139821.42</v>
      </c>
      <c r="S338" s="222">
        <v>0.0</v>
      </c>
      <c r="U338" s="218">
        <v>0.0</v>
      </c>
      <c r="X338" s="218">
        <v>1.51132020000197E14</v>
      </c>
      <c r="AB338" t="e">
        <v>#N/A</v>
      </c>
    </row>
    <row r="339">
      <c r="A339" s="218" t="s">
        <v>9920</v>
      </c>
      <c r="C339" s="218" t="s">
        <v>10264</v>
      </c>
      <c r="F339" s="456">
        <v>43937.0</v>
      </c>
      <c r="G339" s="218">
        <v>0.0</v>
      </c>
      <c r="H339" s="218">
        <v>401092.0</v>
      </c>
      <c r="I339" s="218" t="s">
        <v>9925</v>
      </c>
      <c r="J339" s="218" t="s">
        <v>9922</v>
      </c>
      <c r="K339" s="218" t="s">
        <v>10265</v>
      </c>
      <c r="L339" s="218">
        <v>15113.0</v>
      </c>
      <c r="M339" s="218">
        <v>168105.0</v>
      </c>
      <c r="N339" s="218">
        <v>1.0E8</v>
      </c>
      <c r="O339" s="218">
        <v>339039.0</v>
      </c>
      <c r="P339" s="218" t="s">
        <v>9924</v>
      </c>
      <c r="Q339" s="222">
        <v>50178.58</v>
      </c>
      <c r="R339" s="222">
        <v>50178.58</v>
      </c>
      <c r="S339" s="222">
        <v>0.0</v>
      </c>
      <c r="U339" s="218">
        <v>0.0</v>
      </c>
      <c r="X339" s="218">
        <v>1.51132020000198E14</v>
      </c>
      <c r="AB339" t="e">
        <v>#N/A</v>
      </c>
    </row>
    <row r="340">
      <c r="A340" s="218" t="s">
        <v>9430</v>
      </c>
      <c r="C340" s="218" t="s">
        <v>10266</v>
      </c>
      <c r="F340" s="456">
        <v>43938.0</v>
      </c>
      <c r="G340" s="218">
        <v>1.0</v>
      </c>
      <c r="H340" s="218">
        <v>401091.0</v>
      </c>
      <c r="J340" s="218" t="s">
        <v>10267</v>
      </c>
      <c r="K340" s="218" t="s">
        <v>10268</v>
      </c>
      <c r="L340" s="218">
        <v>15113.0</v>
      </c>
      <c r="M340" s="218">
        <v>168105.0</v>
      </c>
      <c r="N340" s="218">
        <v>1.0E8</v>
      </c>
      <c r="O340" s="218">
        <v>339047.0</v>
      </c>
      <c r="P340" s="218" t="s">
        <v>10269</v>
      </c>
      <c r="Q340" s="222">
        <v>881.95</v>
      </c>
      <c r="R340" s="222">
        <v>881.95</v>
      </c>
      <c r="S340" s="222">
        <v>881.95</v>
      </c>
      <c r="U340" s="218">
        <v>0.0</v>
      </c>
      <c r="X340" s="218">
        <v>1.51132020000073E14</v>
      </c>
      <c r="AB340" t="e">
        <v>#N/A</v>
      </c>
    </row>
    <row r="341">
      <c r="A341" s="218" t="s">
        <v>324</v>
      </c>
      <c r="C341" s="218" t="s">
        <v>10270</v>
      </c>
      <c r="F341" s="456">
        <v>43938.0</v>
      </c>
      <c r="G341" s="218">
        <v>1.0</v>
      </c>
      <c r="H341" s="218">
        <v>401091.0</v>
      </c>
      <c r="J341" s="218" t="s">
        <v>10271</v>
      </c>
      <c r="K341" s="218" t="s">
        <v>10272</v>
      </c>
      <c r="L341" s="218">
        <v>15113.0</v>
      </c>
      <c r="M341" s="218">
        <v>168105.0</v>
      </c>
      <c r="N341" s="218">
        <v>1.0E8</v>
      </c>
      <c r="O341" s="218">
        <v>339039.0</v>
      </c>
      <c r="P341" s="218" t="s">
        <v>10273</v>
      </c>
      <c r="Q341" s="222">
        <v>18608.0</v>
      </c>
      <c r="R341" s="222">
        <v>18608.0</v>
      </c>
      <c r="S341" s="222">
        <v>18608.0</v>
      </c>
      <c r="U341" s="218">
        <v>0.0</v>
      </c>
      <c r="X341" s="218">
        <v>1.51132020000221E14</v>
      </c>
      <c r="AB341" t="e">
        <v>#N/A</v>
      </c>
    </row>
    <row r="342">
      <c r="A342" s="218" t="s">
        <v>781</v>
      </c>
      <c r="C342" s="218" t="s">
        <v>10274</v>
      </c>
      <c r="F342" s="456">
        <v>43941.0</v>
      </c>
      <c r="G342" s="218">
        <v>1.0</v>
      </c>
      <c r="H342" s="218">
        <v>401091.0</v>
      </c>
      <c r="J342" s="218" t="s">
        <v>10275</v>
      </c>
      <c r="K342" s="218" t="s">
        <v>10276</v>
      </c>
      <c r="L342" s="218">
        <v>15113.0</v>
      </c>
      <c r="M342" s="218">
        <v>168105.0</v>
      </c>
      <c r="N342" s="218">
        <v>1.0E8</v>
      </c>
      <c r="O342" s="218">
        <v>339047.0</v>
      </c>
      <c r="P342" s="218" t="s">
        <v>10277</v>
      </c>
      <c r="Q342" s="222">
        <v>277.09</v>
      </c>
      <c r="R342" s="222">
        <v>277.09</v>
      </c>
      <c r="S342" s="222">
        <v>277.09</v>
      </c>
      <c r="U342" s="218">
        <v>0.0</v>
      </c>
      <c r="X342" s="218">
        <v>1.51132020000168E14</v>
      </c>
      <c r="AB342" t="e">
        <v>#N/A</v>
      </c>
    </row>
    <row r="343">
      <c r="A343" s="218" t="s">
        <v>787</v>
      </c>
      <c r="C343" s="218" t="s">
        <v>10278</v>
      </c>
      <c r="F343" s="456">
        <v>43941.0</v>
      </c>
      <c r="G343" s="218">
        <v>1.0</v>
      </c>
      <c r="H343" s="218">
        <v>401091.0</v>
      </c>
      <c r="J343" s="218" t="s">
        <v>10279</v>
      </c>
      <c r="K343" s="218" t="s">
        <v>10280</v>
      </c>
      <c r="L343" s="218">
        <v>15113.0</v>
      </c>
      <c r="M343" s="218">
        <v>168108.0</v>
      </c>
      <c r="N343" s="218">
        <v>1.0E8</v>
      </c>
      <c r="O343" s="218">
        <v>339039.0</v>
      </c>
      <c r="P343" s="218" t="s">
        <v>10281</v>
      </c>
      <c r="Q343" s="222">
        <v>20850.0</v>
      </c>
      <c r="R343" s="222">
        <v>20850.0</v>
      </c>
      <c r="S343" s="222">
        <v>20850.0</v>
      </c>
      <c r="U343" s="218">
        <v>0.0</v>
      </c>
      <c r="X343" s="218">
        <v>1.51132020000065E14</v>
      </c>
      <c r="AB343" t="e">
        <v>#N/A</v>
      </c>
    </row>
    <row r="344">
      <c r="A344" s="218" t="s">
        <v>9331</v>
      </c>
      <c r="C344" s="218" t="s">
        <v>10282</v>
      </c>
      <c r="F344" s="456">
        <v>43943.0</v>
      </c>
      <c r="G344" s="218">
        <v>1.0</v>
      </c>
      <c r="H344" s="218">
        <v>401091.0</v>
      </c>
      <c r="J344" s="218" t="s">
        <v>9333</v>
      </c>
      <c r="K344" s="218" t="s">
        <v>9615</v>
      </c>
      <c r="L344" s="218">
        <v>15113.0</v>
      </c>
      <c r="M344" s="218">
        <v>168099.0</v>
      </c>
      <c r="N344" s="218">
        <v>1.69E8</v>
      </c>
      <c r="O344" s="218">
        <v>319092.0</v>
      </c>
      <c r="P344" s="218" t="s">
        <v>9335</v>
      </c>
      <c r="Q344" s="222">
        <v>6718.07</v>
      </c>
      <c r="R344" s="222">
        <v>6718.07</v>
      </c>
      <c r="S344" s="222">
        <v>6718.07</v>
      </c>
      <c r="U344" s="218">
        <v>0.0</v>
      </c>
      <c r="X344" s="218">
        <v>1.51132020000206E14</v>
      </c>
      <c r="AB344" t="e">
        <v>#N/A</v>
      </c>
    </row>
    <row r="345">
      <c r="A345" s="218" t="s">
        <v>459</v>
      </c>
      <c r="C345" s="218" t="s">
        <v>10283</v>
      </c>
      <c r="F345" s="456">
        <v>43943.0</v>
      </c>
      <c r="G345" s="218">
        <v>0.0</v>
      </c>
      <c r="H345" s="218">
        <v>401093.0</v>
      </c>
      <c r="I345" s="218" t="s">
        <v>10171</v>
      </c>
      <c r="J345" s="218" t="s">
        <v>10172</v>
      </c>
      <c r="K345" s="218" t="s">
        <v>10284</v>
      </c>
      <c r="L345" s="218">
        <v>15113.0</v>
      </c>
      <c r="M345" s="218">
        <v>168101.0</v>
      </c>
      <c r="N345" s="218">
        <v>1.51E8</v>
      </c>
      <c r="O345" s="218">
        <v>339030.0</v>
      </c>
      <c r="P345" s="218" t="s">
        <v>10174</v>
      </c>
      <c r="Q345" s="222">
        <v>50165.0</v>
      </c>
      <c r="R345" s="222">
        <v>-50165.0</v>
      </c>
      <c r="S345" s="222">
        <v>0.0</v>
      </c>
      <c r="U345" s="218">
        <v>0.0</v>
      </c>
      <c r="AB345" t="e">
        <v>#N/A</v>
      </c>
    </row>
    <row r="346">
      <c r="A346" s="218" t="s">
        <v>781</v>
      </c>
      <c r="C346" s="218" t="s">
        <v>10285</v>
      </c>
      <c r="F346" s="456">
        <v>43944.0</v>
      </c>
      <c r="G346" s="218">
        <v>3.0</v>
      </c>
      <c r="H346" s="218">
        <v>401091.0</v>
      </c>
      <c r="J346" s="218" t="s">
        <v>9582</v>
      </c>
      <c r="K346" s="218" t="s">
        <v>10286</v>
      </c>
      <c r="L346" s="218">
        <v>15113.0</v>
      </c>
      <c r="M346" s="218">
        <v>168105.0</v>
      </c>
      <c r="N346" s="218">
        <v>1.0E8</v>
      </c>
      <c r="O346" s="218">
        <v>339039.0</v>
      </c>
      <c r="P346" s="218" t="s">
        <v>10287</v>
      </c>
      <c r="Q346" s="222">
        <v>12865.0</v>
      </c>
      <c r="R346" s="222">
        <v>12865.0</v>
      </c>
      <c r="S346" s="222">
        <v>12245.0</v>
      </c>
      <c r="U346" s="222">
        <v>1550.0</v>
      </c>
      <c r="X346" s="218">
        <v>1.51132020000156E14</v>
      </c>
      <c r="AB346" t="e">
        <v>#N/A</v>
      </c>
    </row>
    <row r="347">
      <c r="A347" s="218" t="s">
        <v>116</v>
      </c>
      <c r="C347" s="218" t="s">
        <v>10288</v>
      </c>
      <c r="F347" s="456">
        <v>43944.0</v>
      </c>
      <c r="G347" s="218">
        <v>3.0</v>
      </c>
      <c r="H347" s="218">
        <v>401091.0</v>
      </c>
      <c r="J347" s="218" t="s">
        <v>9676</v>
      </c>
      <c r="K347" s="218" t="s">
        <v>10289</v>
      </c>
      <c r="L347" s="218">
        <v>15113.0</v>
      </c>
      <c r="M347" s="218">
        <v>168107.0</v>
      </c>
      <c r="N347" s="218">
        <v>1.0E8</v>
      </c>
      <c r="O347" s="218">
        <v>339040.0</v>
      </c>
      <c r="P347" s="218" t="s">
        <v>199</v>
      </c>
      <c r="Q347" s="222">
        <v>7480.0</v>
      </c>
      <c r="R347" s="222">
        <v>7480.0</v>
      </c>
      <c r="S347" s="222">
        <v>7480.0</v>
      </c>
      <c r="U347" s="222">
        <v>1870.0</v>
      </c>
      <c r="X347" s="218">
        <v>1.51132020000024E14</v>
      </c>
      <c r="AB347" t="e">
        <v>#N/A</v>
      </c>
    </row>
    <row r="348">
      <c r="A348" s="218" t="s">
        <v>324</v>
      </c>
      <c r="C348" s="218" t="s">
        <v>10290</v>
      </c>
      <c r="F348" s="456">
        <v>43944.0</v>
      </c>
      <c r="G348" s="218">
        <v>1.0</v>
      </c>
      <c r="H348" s="218">
        <v>401091.0</v>
      </c>
      <c r="J348" s="218" t="s">
        <v>9900</v>
      </c>
      <c r="K348" s="218" t="s">
        <v>10291</v>
      </c>
      <c r="L348" s="218">
        <v>15113.0</v>
      </c>
      <c r="M348" s="218">
        <v>168105.0</v>
      </c>
      <c r="N348" s="218">
        <v>1.0E8</v>
      </c>
      <c r="O348" s="218">
        <v>339047.0</v>
      </c>
      <c r="P348" s="218" t="s">
        <v>10292</v>
      </c>
      <c r="Q348" s="222">
        <v>339.21</v>
      </c>
      <c r="R348" s="222">
        <v>339.21</v>
      </c>
      <c r="S348" s="222">
        <v>339.21</v>
      </c>
      <c r="U348" s="222">
        <v>0.0</v>
      </c>
      <c r="X348" s="218">
        <v>1.51132020000212E14</v>
      </c>
      <c r="AB348" t="e">
        <v>#N/A</v>
      </c>
    </row>
    <row r="349">
      <c r="A349" s="218" t="s">
        <v>10001</v>
      </c>
      <c r="C349" s="218" t="s">
        <v>10293</v>
      </c>
      <c r="F349" s="456">
        <v>43944.0</v>
      </c>
      <c r="G349" s="218">
        <v>3.0</v>
      </c>
      <c r="H349" s="218">
        <v>401091.0</v>
      </c>
      <c r="J349" s="218" t="s">
        <v>10294</v>
      </c>
      <c r="K349" s="218" t="s">
        <v>10295</v>
      </c>
      <c r="L349" s="218">
        <v>15113.0</v>
      </c>
      <c r="M349" s="218">
        <v>168105.0</v>
      </c>
      <c r="N349" s="218">
        <v>1.0E8</v>
      </c>
      <c r="O349" s="218">
        <v>339039.0</v>
      </c>
      <c r="P349" s="218" t="s">
        <v>10296</v>
      </c>
      <c r="Q349" s="218">
        <v>750.0</v>
      </c>
      <c r="R349" s="218">
        <v>750.0</v>
      </c>
      <c r="S349" s="218">
        <v>750.0</v>
      </c>
      <c r="U349" s="218">
        <v>606.0</v>
      </c>
      <c r="X349" s="218">
        <v>1.51132020000223E14</v>
      </c>
      <c r="AB349" t="e">
        <v>#N/A</v>
      </c>
    </row>
    <row r="350">
      <c r="A350" s="218" t="s">
        <v>10001</v>
      </c>
      <c r="C350" s="218" t="s">
        <v>10297</v>
      </c>
      <c r="F350" s="456">
        <v>43944.0</v>
      </c>
      <c r="G350" s="218">
        <v>1.0</v>
      </c>
      <c r="H350" s="218">
        <v>401091.0</v>
      </c>
      <c r="J350" s="218" t="s">
        <v>10298</v>
      </c>
      <c r="K350" s="218" t="s">
        <v>10299</v>
      </c>
      <c r="L350" s="218">
        <v>15113.0</v>
      </c>
      <c r="M350" s="218">
        <v>168105.0</v>
      </c>
      <c r="N350" s="218">
        <v>1.0E8</v>
      </c>
      <c r="O350" s="218">
        <v>449052.0</v>
      </c>
      <c r="P350" s="218" t="s">
        <v>10300</v>
      </c>
      <c r="Q350" s="222">
        <v>808.0</v>
      </c>
      <c r="R350" s="222">
        <v>808.0</v>
      </c>
      <c r="S350" s="222">
        <v>808.0</v>
      </c>
      <c r="U350" s="218">
        <v>0.0</v>
      </c>
      <c r="X350" s="218">
        <v>1.51132020000222E14</v>
      </c>
      <c r="AB350" t="e">
        <v>#N/A</v>
      </c>
    </row>
    <row r="351">
      <c r="A351" s="218" t="s">
        <v>781</v>
      </c>
      <c r="C351" s="218" t="s">
        <v>10301</v>
      </c>
      <c r="F351" s="456">
        <v>43945.0</v>
      </c>
      <c r="G351" s="218">
        <v>1.0</v>
      </c>
      <c r="H351" s="218">
        <v>401091.0</v>
      </c>
      <c r="J351" s="218" t="s">
        <v>10302</v>
      </c>
      <c r="K351" s="218" t="s">
        <v>10303</v>
      </c>
      <c r="L351" s="218">
        <v>15113.0</v>
      </c>
      <c r="M351" s="218">
        <v>168105.0</v>
      </c>
      <c r="N351" s="218">
        <v>1.0E8</v>
      </c>
      <c r="O351" s="218">
        <v>339047.0</v>
      </c>
      <c r="P351" s="218" t="s">
        <v>10304</v>
      </c>
      <c r="Q351" s="222">
        <v>811.13</v>
      </c>
      <c r="R351" s="222">
        <v>811.13</v>
      </c>
      <c r="S351" s="222">
        <v>811.13</v>
      </c>
      <c r="U351" s="218">
        <v>0.0</v>
      </c>
      <c r="X351" s="218">
        <v>1.51132020000168E14</v>
      </c>
      <c r="AB351" t="e">
        <v>#N/A</v>
      </c>
    </row>
    <row r="352">
      <c r="A352" s="218" t="s">
        <v>9430</v>
      </c>
      <c r="C352" s="218" t="s">
        <v>10305</v>
      </c>
      <c r="F352" s="456">
        <v>43948.0</v>
      </c>
      <c r="G352" s="218">
        <v>1.0</v>
      </c>
      <c r="H352" s="218">
        <v>401091.0</v>
      </c>
      <c r="J352" s="218" t="s">
        <v>9704</v>
      </c>
      <c r="K352" s="218" t="s">
        <v>10306</v>
      </c>
      <c r="L352" s="218">
        <v>15113.0</v>
      </c>
      <c r="M352" s="218">
        <v>168105.0</v>
      </c>
      <c r="N352" s="218">
        <v>1.0E8</v>
      </c>
      <c r="O352" s="218">
        <v>339047.0</v>
      </c>
      <c r="P352" s="218" t="s">
        <v>10307</v>
      </c>
      <c r="Q352" s="222">
        <v>1330.75</v>
      </c>
      <c r="R352" s="222">
        <v>1330.75</v>
      </c>
      <c r="S352" s="222">
        <v>1330.75</v>
      </c>
      <c r="U352" s="218">
        <v>0.0</v>
      </c>
      <c r="X352" s="218">
        <v>1.51132020000073E14</v>
      </c>
      <c r="AB352" t="e">
        <v>#N/A</v>
      </c>
    </row>
    <row r="353">
      <c r="A353" s="218" t="s">
        <v>9430</v>
      </c>
      <c r="C353" s="218" t="s">
        <v>10308</v>
      </c>
      <c r="F353" s="456">
        <v>43948.0</v>
      </c>
      <c r="G353" s="218">
        <v>1.0</v>
      </c>
      <c r="H353" s="218">
        <v>401091.0</v>
      </c>
      <c r="J353" s="218" t="s">
        <v>10309</v>
      </c>
      <c r="K353" s="218" t="s">
        <v>10310</v>
      </c>
      <c r="L353" s="218">
        <v>15113.0</v>
      </c>
      <c r="M353" s="218">
        <v>168105.0</v>
      </c>
      <c r="N353" s="218">
        <v>1.0E8</v>
      </c>
      <c r="O353" s="218">
        <v>339047.0</v>
      </c>
      <c r="P353" s="218" t="s">
        <v>10307</v>
      </c>
      <c r="Q353" s="222">
        <v>447.26</v>
      </c>
      <c r="R353" s="222">
        <v>447.26</v>
      </c>
      <c r="S353" s="222">
        <v>447.26</v>
      </c>
      <c r="U353" s="222">
        <v>0.0</v>
      </c>
      <c r="X353" s="218">
        <v>1.51132020000073E14</v>
      </c>
      <c r="AB353" t="e">
        <v>#N/A</v>
      </c>
    </row>
    <row r="354">
      <c r="A354" s="218" t="s">
        <v>9371</v>
      </c>
      <c r="C354" s="218" t="s">
        <v>10311</v>
      </c>
      <c r="F354" s="456">
        <v>43949.0</v>
      </c>
      <c r="G354" s="218">
        <v>1.0</v>
      </c>
      <c r="H354" s="218">
        <v>401091.0</v>
      </c>
      <c r="J354" s="218" t="s">
        <v>10312</v>
      </c>
      <c r="K354" s="218" t="s">
        <v>10313</v>
      </c>
      <c r="L354" s="218">
        <v>15113.0</v>
      </c>
      <c r="M354" s="218">
        <v>168105.0</v>
      </c>
      <c r="N354" s="218">
        <v>1.0E8</v>
      </c>
      <c r="O354" s="218">
        <v>339039.0</v>
      </c>
      <c r="P354" s="218" t="s">
        <v>10314</v>
      </c>
      <c r="Q354" s="222">
        <v>7880.0</v>
      </c>
      <c r="R354" s="222">
        <v>7880.0</v>
      </c>
      <c r="S354" s="222">
        <v>7880.0</v>
      </c>
      <c r="U354" s="218">
        <v>0.0</v>
      </c>
      <c r="X354" s="218">
        <v>1.51132020000224E14</v>
      </c>
      <c r="AB354" t="e">
        <v>#N/A</v>
      </c>
    </row>
    <row r="355">
      <c r="A355" s="218" t="s">
        <v>343</v>
      </c>
      <c r="C355" s="218" t="s">
        <v>10315</v>
      </c>
      <c r="F355" s="456">
        <v>43949.0</v>
      </c>
      <c r="G355" s="218">
        <v>1.0</v>
      </c>
      <c r="H355" s="218">
        <v>401091.0</v>
      </c>
      <c r="J355" s="218" t="s">
        <v>10316</v>
      </c>
      <c r="K355" s="218" t="s">
        <v>10317</v>
      </c>
      <c r="L355" s="218">
        <v>15113.0</v>
      </c>
      <c r="M355" s="218">
        <v>168105.0</v>
      </c>
      <c r="N355" s="218">
        <v>1.0E8</v>
      </c>
      <c r="O355" s="218">
        <v>449052.0</v>
      </c>
      <c r="P355" s="218" t="s">
        <v>10318</v>
      </c>
      <c r="Q355" s="222">
        <v>16110.0</v>
      </c>
      <c r="R355" s="222">
        <v>16110.0</v>
      </c>
      <c r="S355" s="222">
        <v>16110.0</v>
      </c>
      <c r="U355" s="222">
        <v>0.0</v>
      </c>
      <c r="X355" s="218">
        <v>1.51132020000225E14</v>
      </c>
      <c r="AB355" t="e">
        <v>#N/A</v>
      </c>
    </row>
    <row r="356">
      <c r="A356" s="218" t="s">
        <v>781</v>
      </c>
      <c r="C356" s="218" t="s">
        <v>10319</v>
      </c>
      <c r="F356" s="456">
        <v>43950.0</v>
      </c>
      <c r="G356" s="218">
        <v>1.0</v>
      </c>
      <c r="H356" s="218">
        <v>401091.0</v>
      </c>
      <c r="J356" s="218" t="s">
        <v>10320</v>
      </c>
      <c r="K356" s="218" t="s">
        <v>10321</v>
      </c>
      <c r="L356" s="218">
        <v>15113.0</v>
      </c>
      <c r="M356" s="218">
        <v>168105.0</v>
      </c>
      <c r="N356" s="218">
        <v>1.0E8</v>
      </c>
      <c r="O356" s="218">
        <v>339047.0</v>
      </c>
      <c r="P356" s="218" t="s">
        <v>10322</v>
      </c>
      <c r="Q356" s="218">
        <v>100.66</v>
      </c>
      <c r="R356" s="218">
        <v>100.66</v>
      </c>
      <c r="S356" s="218">
        <v>100.66</v>
      </c>
      <c r="U356" s="218">
        <v>0.0</v>
      </c>
      <c r="X356" s="218">
        <v>1.51132020000168E14</v>
      </c>
      <c r="AB356" t="e">
        <v>#N/A</v>
      </c>
    </row>
    <row r="357">
      <c r="A357" s="218" t="s">
        <v>9371</v>
      </c>
      <c r="C357" s="218" t="s">
        <v>10323</v>
      </c>
      <c r="F357" s="456">
        <v>43950.0</v>
      </c>
      <c r="G357" s="218">
        <v>0.0</v>
      </c>
      <c r="H357" s="218">
        <v>401095.0</v>
      </c>
      <c r="I357" s="218" t="s">
        <v>10324</v>
      </c>
      <c r="J357" s="218" t="s">
        <v>9333</v>
      </c>
      <c r="K357" s="218" t="s">
        <v>9962</v>
      </c>
      <c r="L357" s="218">
        <v>0.0</v>
      </c>
      <c r="M357" s="218">
        <v>0.0</v>
      </c>
      <c r="O357" s="218">
        <v>0.0</v>
      </c>
      <c r="P357" s="218" t="s">
        <v>10325</v>
      </c>
      <c r="Q357" s="222">
        <v>4621.07</v>
      </c>
      <c r="R357" s="222">
        <v>-4621.07</v>
      </c>
      <c r="S357" s="222">
        <v>0.0</v>
      </c>
      <c r="U357" s="218">
        <v>0.0</v>
      </c>
      <c r="AB357" t="e">
        <v>#N/A</v>
      </c>
    </row>
    <row r="358">
      <c r="A358" s="218" t="s">
        <v>9371</v>
      </c>
      <c r="C358" s="218" t="s">
        <v>10326</v>
      </c>
      <c r="F358" s="456">
        <v>43950.0</v>
      </c>
      <c r="G358" s="218">
        <v>0.0</v>
      </c>
      <c r="H358" s="218">
        <v>401095.0</v>
      </c>
      <c r="I358" s="218" t="s">
        <v>10327</v>
      </c>
      <c r="J358" s="218" t="s">
        <v>9333</v>
      </c>
      <c r="K358" s="218" t="s">
        <v>9962</v>
      </c>
      <c r="L358" s="218">
        <v>0.0</v>
      </c>
      <c r="M358" s="218">
        <v>0.0</v>
      </c>
      <c r="O358" s="218">
        <v>0.0</v>
      </c>
      <c r="P358" s="218" t="s">
        <v>10325</v>
      </c>
      <c r="Q358" s="222">
        <v>3743.01</v>
      </c>
      <c r="R358" s="222">
        <v>-3743.01</v>
      </c>
      <c r="S358" s="218">
        <v>0.0</v>
      </c>
      <c r="U358" s="218">
        <v>0.0</v>
      </c>
      <c r="AB358" t="e">
        <v>#N/A</v>
      </c>
    </row>
    <row r="359">
      <c r="A359" s="218" t="s">
        <v>116</v>
      </c>
      <c r="C359" s="218" t="s">
        <v>10328</v>
      </c>
      <c r="F359" s="456">
        <v>43950.0</v>
      </c>
      <c r="G359" s="218">
        <v>0.0</v>
      </c>
      <c r="H359" s="218">
        <v>401095.0</v>
      </c>
      <c r="I359" s="218" t="s">
        <v>10329</v>
      </c>
      <c r="J359" s="218" t="s">
        <v>9658</v>
      </c>
      <c r="K359" s="218" t="s">
        <v>9962</v>
      </c>
      <c r="L359" s="218">
        <v>0.0</v>
      </c>
      <c r="M359" s="218">
        <v>0.0</v>
      </c>
      <c r="O359" s="218">
        <v>0.0</v>
      </c>
      <c r="P359" s="218" t="s">
        <v>9660</v>
      </c>
      <c r="Q359" s="222">
        <v>0.36</v>
      </c>
      <c r="R359" s="222">
        <v>-0.36</v>
      </c>
      <c r="S359" s="218">
        <v>0.0</v>
      </c>
      <c r="U359" s="218">
        <v>0.0</v>
      </c>
      <c r="AB359" t="e">
        <v>#N/A</v>
      </c>
    </row>
    <row r="360">
      <c r="A360" s="218" t="s">
        <v>781</v>
      </c>
      <c r="C360" s="218" t="s">
        <v>10330</v>
      </c>
      <c r="F360" s="456">
        <v>43950.0</v>
      </c>
      <c r="G360" s="218">
        <v>0.0</v>
      </c>
      <c r="H360" s="218">
        <v>401095.0</v>
      </c>
      <c r="I360" s="218" t="s">
        <v>10331</v>
      </c>
      <c r="J360" s="218" t="s">
        <v>9781</v>
      </c>
      <c r="K360" s="218" t="s">
        <v>9962</v>
      </c>
      <c r="L360" s="218">
        <v>0.0</v>
      </c>
      <c r="M360" s="218">
        <v>0.0</v>
      </c>
      <c r="O360" s="218">
        <v>0.0</v>
      </c>
      <c r="P360" s="218" t="s">
        <v>9783</v>
      </c>
      <c r="Q360" s="222">
        <v>2969.63</v>
      </c>
      <c r="R360" s="222">
        <v>-2969.63</v>
      </c>
      <c r="S360" s="222">
        <v>0.0</v>
      </c>
      <c r="U360" s="218">
        <v>0.0</v>
      </c>
      <c r="AB360" t="e">
        <v>#N/A</v>
      </c>
    </row>
    <row r="361">
      <c r="A361" s="218" t="s">
        <v>9371</v>
      </c>
      <c r="C361" s="218" t="s">
        <v>10332</v>
      </c>
      <c r="F361" s="456">
        <v>43951.0</v>
      </c>
      <c r="G361" s="218">
        <v>1.0</v>
      </c>
      <c r="H361" s="218">
        <v>401091.0</v>
      </c>
      <c r="J361" s="218" t="s">
        <v>10333</v>
      </c>
      <c r="K361" s="218" t="s">
        <v>10334</v>
      </c>
      <c r="L361" s="218">
        <v>15113.0</v>
      </c>
      <c r="M361" s="218">
        <v>168105.0</v>
      </c>
      <c r="N361" s="218">
        <v>1.0E8</v>
      </c>
      <c r="O361" s="218">
        <v>339030.0</v>
      </c>
      <c r="P361" s="218" t="s">
        <v>10335</v>
      </c>
      <c r="Q361" s="222">
        <v>3800.0</v>
      </c>
      <c r="R361" s="222">
        <v>3800.0</v>
      </c>
      <c r="S361" s="222">
        <v>3800.0</v>
      </c>
      <c r="U361" s="218">
        <v>0.0</v>
      </c>
      <c r="X361" s="218">
        <v>1.5113202000006E14</v>
      </c>
      <c r="AB361" t="e">
        <v>#N/A</v>
      </c>
    </row>
    <row r="362">
      <c r="A362" s="218" t="s">
        <v>499</v>
      </c>
      <c r="C362" s="218" t="s">
        <v>10336</v>
      </c>
      <c r="F362" s="456">
        <v>43951.0</v>
      </c>
      <c r="G362" s="218">
        <v>0.0</v>
      </c>
      <c r="H362" s="218">
        <v>401095.0</v>
      </c>
      <c r="I362" s="218" t="s">
        <v>10337</v>
      </c>
      <c r="J362" s="218" t="s">
        <v>10338</v>
      </c>
      <c r="K362" s="218" t="s">
        <v>9962</v>
      </c>
      <c r="L362" s="218">
        <v>0.0</v>
      </c>
      <c r="M362" s="218">
        <v>0.0</v>
      </c>
      <c r="O362" s="218">
        <v>0.0</v>
      </c>
      <c r="P362" s="218" t="s">
        <v>10339</v>
      </c>
      <c r="Q362" s="222">
        <v>836.92</v>
      </c>
      <c r="R362" s="222">
        <v>-836.92</v>
      </c>
      <c r="S362" s="218">
        <v>0.0</v>
      </c>
      <c r="U362" s="218">
        <v>0.0</v>
      </c>
      <c r="AB362" t="e">
        <v>#N/A</v>
      </c>
    </row>
    <row r="363">
      <c r="A363" s="218" t="s">
        <v>781</v>
      </c>
      <c r="C363" s="218" t="s">
        <v>10340</v>
      </c>
      <c r="F363" s="456">
        <v>43951.0</v>
      </c>
      <c r="G363" s="218">
        <v>0.0</v>
      </c>
      <c r="H363" s="218">
        <v>401095.0</v>
      </c>
      <c r="I363" s="218" t="s">
        <v>10341</v>
      </c>
      <c r="J363" s="218" t="s">
        <v>9864</v>
      </c>
      <c r="K363" s="218" t="s">
        <v>9962</v>
      </c>
      <c r="L363" s="218">
        <v>0.0</v>
      </c>
      <c r="M363" s="218">
        <v>0.0</v>
      </c>
      <c r="O363" s="218">
        <v>0.0</v>
      </c>
      <c r="P363" s="218" t="s">
        <v>9882</v>
      </c>
      <c r="Q363" s="222">
        <v>2637.58</v>
      </c>
      <c r="R363" s="222">
        <v>-2637.58</v>
      </c>
      <c r="S363" s="218">
        <v>0.0</v>
      </c>
      <c r="U363" s="218">
        <v>0.0</v>
      </c>
      <c r="AB363" t="e">
        <v>#N/A</v>
      </c>
    </row>
    <row r="364">
      <c r="A364" s="218" t="s">
        <v>781</v>
      </c>
      <c r="C364" s="218" t="s">
        <v>10342</v>
      </c>
      <c r="F364" s="456">
        <v>43951.0</v>
      </c>
      <c r="G364" s="218">
        <v>0.0</v>
      </c>
      <c r="H364" s="218">
        <v>401095.0</v>
      </c>
      <c r="I364" s="218" t="s">
        <v>10343</v>
      </c>
      <c r="J364" s="218" t="s">
        <v>9571</v>
      </c>
      <c r="K364" s="218" t="s">
        <v>9962</v>
      </c>
      <c r="L364" s="218">
        <v>0.0</v>
      </c>
      <c r="M364" s="218">
        <v>0.0</v>
      </c>
      <c r="O364" s="218">
        <v>0.0</v>
      </c>
      <c r="P364" s="218" t="s">
        <v>9573</v>
      </c>
      <c r="Q364" s="222">
        <v>122.6</v>
      </c>
      <c r="R364" s="222">
        <v>-122.6</v>
      </c>
      <c r="S364" s="218">
        <v>0.0</v>
      </c>
      <c r="U364" s="218">
        <v>0.0</v>
      </c>
      <c r="AB364" t="e">
        <v>#N/A</v>
      </c>
    </row>
    <row r="365">
      <c r="A365" s="218" t="s">
        <v>9430</v>
      </c>
      <c r="C365" s="218" t="s">
        <v>10344</v>
      </c>
      <c r="F365" s="456">
        <v>43956.0</v>
      </c>
      <c r="G365" s="218">
        <v>1.0</v>
      </c>
      <c r="H365" s="218">
        <v>401091.0</v>
      </c>
      <c r="J365" s="218" t="s">
        <v>10345</v>
      </c>
      <c r="K365" s="218" t="s">
        <v>10346</v>
      </c>
      <c r="L365" s="218">
        <v>15113.0</v>
      </c>
      <c r="M365" s="218">
        <v>168105.0</v>
      </c>
      <c r="N365" s="218">
        <v>1.0E8</v>
      </c>
      <c r="O365" s="218">
        <v>449052.0</v>
      </c>
      <c r="P365" s="218" t="s">
        <v>10347</v>
      </c>
      <c r="Q365" s="222">
        <v>1460.0</v>
      </c>
      <c r="R365" s="222">
        <v>1460.0</v>
      </c>
      <c r="S365" s="222">
        <v>1460.0</v>
      </c>
      <c r="U365" s="218">
        <v>0.0</v>
      </c>
      <c r="X365" s="218">
        <v>1.51132020000226E14</v>
      </c>
      <c r="AB365" t="e">
        <v>#N/A</v>
      </c>
    </row>
    <row r="366">
      <c r="A366" s="218" t="s">
        <v>324</v>
      </c>
      <c r="C366" s="218" t="s">
        <v>10348</v>
      </c>
      <c r="F366" s="456">
        <v>43957.0</v>
      </c>
      <c r="G366" s="218">
        <v>1.0</v>
      </c>
      <c r="H366" s="218">
        <v>401091.0</v>
      </c>
      <c r="J366" s="218" t="s">
        <v>10349</v>
      </c>
      <c r="K366" s="218" t="s">
        <v>10350</v>
      </c>
      <c r="L366" s="218">
        <v>15113.0</v>
      </c>
      <c r="M366" s="218">
        <v>168105.0</v>
      </c>
      <c r="N366" s="218">
        <v>1.0E8</v>
      </c>
      <c r="O366" s="218">
        <v>339039.0</v>
      </c>
      <c r="P366" s="218" t="s">
        <v>10351</v>
      </c>
      <c r="Q366" s="222">
        <v>4600.0</v>
      </c>
      <c r="R366" s="222">
        <v>4600.0</v>
      </c>
      <c r="S366" s="222">
        <v>4600.0</v>
      </c>
      <c r="U366" s="218">
        <v>0.0</v>
      </c>
      <c r="X366" s="218">
        <v>1.51132020000227E14</v>
      </c>
      <c r="AB366" t="e">
        <v>#N/A</v>
      </c>
    </row>
    <row r="367">
      <c r="A367" s="218" t="s">
        <v>324</v>
      </c>
      <c r="C367" s="218" t="s">
        <v>10352</v>
      </c>
      <c r="F367" s="456">
        <v>43957.0</v>
      </c>
      <c r="G367" s="218">
        <v>1.0</v>
      </c>
      <c r="H367" s="218">
        <v>401091.0</v>
      </c>
      <c r="J367" s="218" t="s">
        <v>10349</v>
      </c>
      <c r="K367" s="218" t="s">
        <v>10353</v>
      </c>
      <c r="L367" s="218">
        <v>15113.0</v>
      </c>
      <c r="M367" s="218">
        <v>168105.0</v>
      </c>
      <c r="N367" s="218">
        <v>1.0E8</v>
      </c>
      <c r="O367" s="218">
        <v>449052.0</v>
      </c>
      <c r="P367" s="218" t="s">
        <v>10351</v>
      </c>
      <c r="Q367" s="222">
        <v>3300.0</v>
      </c>
      <c r="R367" s="222">
        <v>3300.0</v>
      </c>
      <c r="S367" s="222">
        <v>3300.0</v>
      </c>
      <c r="U367" s="218">
        <v>0.0</v>
      </c>
      <c r="X367" s="218">
        <v>1.51132020000227E14</v>
      </c>
      <c r="AB367" t="e">
        <v>#N/A</v>
      </c>
    </row>
    <row r="368">
      <c r="A368" s="218" t="s">
        <v>781</v>
      </c>
      <c r="C368" s="218" t="s">
        <v>10354</v>
      </c>
      <c r="F368" s="456">
        <v>43959.0</v>
      </c>
      <c r="G368" s="218">
        <v>1.0</v>
      </c>
      <c r="H368" s="218">
        <v>401091.0</v>
      </c>
      <c r="J368" s="218" t="s">
        <v>10355</v>
      </c>
      <c r="K368" s="218" t="s">
        <v>10356</v>
      </c>
      <c r="L368" s="218">
        <v>15113.0</v>
      </c>
      <c r="M368" s="218">
        <v>168105.0</v>
      </c>
      <c r="N368" s="218">
        <v>1.0E8</v>
      </c>
      <c r="O368" s="218">
        <v>339039.0</v>
      </c>
      <c r="P368" s="218" t="s">
        <v>10357</v>
      </c>
      <c r="Q368" s="222">
        <v>162.0</v>
      </c>
      <c r="R368" s="222">
        <v>162.0</v>
      </c>
      <c r="S368" s="218">
        <v>162.0</v>
      </c>
      <c r="U368" s="218">
        <v>0.0</v>
      </c>
      <c r="X368" s="218">
        <v>1.51132020000144E14</v>
      </c>
      <c r="AB368" t="e">
        <v>#N/A</v>
      </c>
    </row>
    <row r="369">
      <c r="A369" s="218" t="s">
        <v>10001</v>
      </c>
      <c r="C369" s="218" t="s">
        <v>10358</v>
      </c>
      <c r="F369" s="456">
        <v>43959.0</v>
      </c>
      <c r="G369" s="218">
        <v>1.0</v>
      </c>
      <c r="H369" s="218">
        <v>401091.0</v>
      </c>
      <c r="J369" s="218" t="s">
        <v>10359</v>
      </c>
      <c r="K369" s="218" t="s">
        <v>10360</v>
      </c>
      <c r="L369" s="218">
        <v>15113.0</v>
      </c>
      <c r="M369" s="218">
        <v>168105.0</v>
      </c>
      <c r="N369" s="218">
        <v>1.0E8</v>
      </c>
      <c r="O369" s="218">
        <v>339030.0</v>
      </c>
      <c r="P369" s="218" t="s">
        <v>10361</v>
      </c>
      <c r="Q369" s="222">
        <v>6180.0</v>
      </c>
      <c r="R369" s="222">
        <v>6180.0</v>
      </c>
      <c r="S369" s="218">
        <v>0.0</v>
      </c>
      <c r="U369" s="218">
        <v>0.0</v>
      </c>
      <c r="X369" s="218">
        <v>1.51132020000096E14</v>
      </c>
      <c r="AB369" t="e">
        <v>#N/A</v>
      </c>
    </row>
    <row r="370">
      <c r="A370" s="218" t="s">
        <v>10001</v>
      </c>
      <c r="C370" s="218" t="s">
        <v>10362</v>
      </c>
      <c r="F370" s="456">
        <v>43959.0</v>
      </c>
      <c r="G370" s="218">
        <v>1.0</v>
      </c>
      <c r="H370" s="218">
        <v>401091.0</v>
      </c>
      <c r="J370" s="218" t="s">
        <v>10363</v>
      </c>
      <c r="K370" s="218" t="s">
        <v>10364</v>
      </c>
      <c r="L370" s="218">
        <v>15113.0</v>
      </c>
      <c r="M370" s="218">
        <v>168105.0</v>
      </c>
      <c r="N370" s="218">
        <v>1.0E8</v>
      </c>
      <c r="O370" s="218">
        <v>339030.0</v>
      </c>
      <c r="P370" s="218" t="s">
        <v>10361</v>
      </c>
      <c r="Q370" s="222">
        <v>1728.0</v>
      </c>
      <c r="R370" s="222">
        <v>1728.0</v>
      </c>
      <c r="S370" s="218">
        <v>0.0</v>
      </c>
      <c r="U370" s="218">
        <v>0.0</v>
      </c>
      <c r="X370" s="218">
        <v>1.51132020000096E14</v>
      </c>
      <c r="AB370" t="e">
        <v>#N/A</v>
      </c>
    </row>
    <row r="371">
      <c r="A371" s="218" t="s">
        <v>10001</v>
      </c>
      <c r="C371" s="218" t="s">
        <v>10365</v>
      </c>
      <c r="F371" s="456">
        <v>43962.0</v>
      </c>
      <c r="G371" s="218">
        <v>0.0</v>
      </c>
      <c r="H371" s="218">
        <v>401093.0</v>
      </c>
      <c r="I371" s="218" t="s">
        <v>10358</v>
      </c>
      <c r="J371" s="218" t="s">
        <v>10359</v>
      </c>
      <c r="K371" s="218" t="s">
        <v>9398</v>
      </c>
      <c r="L371" s="218">
        <v>15113.0</v>
      </c>
      <c r="M371" s="218">
        <v>168105.0</v>
      </c>
      <c r="N371" s="218">
        <v>1.0E8</v>
      </c>
      <c r="O371" s="218">
        <v>339030.0</v>
      </c>
      <c r="P371" s="218" t="s">
        <v>10361</v>
      </c>
      <c r="Q371" s="222">
        <v>6180.0</v>
      </c>
      <c r="R371" s="222">
        <v>-6180.0</v>
      </c>
      <c r="S371" s="222">
        <v>0.0</v>
      </c>
      <c r="U371" s="218">
        <v>0.0</v>
      </c>
      <c r="AB371" t="e">
        <v>#N/A</v>
      </c>
    </row>
    <row r="372">
      <c r="A372" s="218" t="s">
        <v>10001</v>
      </c>
      <c r="C372" s="218" t="s">
        <v>10366</v>
      </c>
      <c r="F372" s="456">
        <v>43962.0</v>
      </c>
      <c r="G372" s="218">
        <v>0.0</v>
      </c>
      <c r="H372" s="218">
        <v>401093.0</v>
      </c>
      <c r="I372" s="218" t="s">
        <v>10362</v>
      </c>
      <c r="J372" s="218" t="s">
        <v>10363</v>
      </c>
      <c r="K372" s="218" t="s">
        <v>9398</v>
      </c>
      <c r="L372" s="218">
        <v>15113.0</v>
      </c>
      <c r="M372" s="218">
        <v>168105.0</v>
      </c>
      <c r="N372" s="218">
        <v>1.0E8</v>
      </c>
      <c r="O372" s="218">
        <v>339030.0</v>
      </c>
      <c r="P372" s="218" t="s">
        <v>10361</v>
      </c>
      <c r="Q372" s="222">
        <v>1728.0</v>
      </c>
      <c r="R372" s="222">
        <v>-1728.0</v>
      </c>
      <c r="S372" s="218">
        <v>0.0</v>
      </c>
      <c r="U372" s="218">
        <v>0.0</v>
      </c>
      <c r="AB372" t="e">
        <v>#N/A</v>
      </c>
    </row>
    <row r="373">
      <c r="A373" s="218" t="s">
        <v>10001</v>
      </c>
      <c r="C373" s="218" t="s">
        <v>10367</v>
      </c>
      <c r="F373" s="456">
        <v>43962.0</v>
      </c>
      <c r="G373" s="218">
        <v>1.0</v>
      </c>
      <c r="H373" s="218">
        <v>401091.0</v>
      </c>
      <c r="J373" s="218" t="s">
        <v>10359</v>
      </c>
      <c r="K373" s="218" t="s">
        <v>10368</v>
      </c>
      <c r="L373" s="218">
        <v>15113.0</v>
      </c>
      <c r="M373" s="218">
        <v>168105.0</v>
      </c>
      <c r="N373" s="218">
        <v>1.0E8</v>
      </c>
      <c r="O373" s="218">
        <v>339030.0</v>
      </c>
      <c r="P373" s="218" t="s">
        <v>10361</v>
      </c>
      <c r="Q373" s="222">
        <v>6180.0</v>
      </c>
      <c r="R373" s="222">
        <v>6180.0</v>
      </c>
      <c r="S373" s="222">
        <v>6180.0</v>
      </c>
      <c r="U373" s="218">
        <v>0.0</v>
      </c>
      <c r="X373" s="218">
        <v>1.51132020000096E14</v>
      </c>
      <c r="AB373" t="e">
        <v>#N/A</v>
      </c>
    </row>
    <row r="374">
      <c r="A374" s="218" t="s">
        <v>10001</v>
      </c>
      <c r="C374" s="218" t="s">
        <v>10369</v>
      </c>
      <c r="F374" s="456">
        <v>43962.0</v>
      </c>
      <c r="G374" s="218">
        <v>1.0</v>
      </c>
      <c r="H374" s="218">
        <v>401091.0</v>
      </c>
      <c r="J374" s="218" t="s">
        <v>10363</v>
      </c>
      <c r="K374" s="218" t="s">
        <v>10370</v>
      </c>
      <c r="L374" s="218">
        <v>15113.0</v>
      </c>
      <c r="M374" s="218">
        <v>168105.0</v>
      </c>
      <c r="N374" s="218">
        <v>1.0E8</v>
      </c>
      <c r="O374" s="218">
        <v>339030.0</v>
      </c>
      <c r="P374" s="218" t="s">
        <v>10361</v>
      </c>
      <c r="Q374" s="222">
        <v>1728.0</v>
      </c>
      <c r="R374" s="222">
        <v>1728.0</v>
      </c>
      <c r="S374" s="218">
        <v>0.0</v>
      </c>
      <c r="U374" s="218">
        <v>0.0</v>
      </c>
      <c r="X374" s="218">
        <v>1.51132020000096E14</v>
      </c>
      <c r="AB374" t="e">
        <v>#N/A</v>
      </c>
    </row>
    <row r="375">
      <c r="A375" s="218" t="s">
        <v>9371</v>
      </c>
      <c r="C375" s="218" t="s">
        <v>10371</v>
      </c>
      <c r="F375" s="456">
        <v>43962.0</v>
      </c>
      <c r="G375" s="218">
        <v>0.0</v>
      </c>
      <c r="H375" s="218">
        <v>401093.0</v>
      </c>
      <c r="I375" s="218" t="s">
        <v>9393</v>
      </c>
      <c r="J375" s="218" t="s">
        <v>9333</v>
      </c>
      <c r="K375" s="218" t="s">
        <v>9398</v>
      </c>
      <c r="L375" s="218">
        <v>15113.0</v>
      </c>
      <c r="M375" s="218">
        <v>168109.0</v>
      </c>
      <c r="N375" s="218">
        <v>1.0E8</v>
      </c>
      <c r="O375" s="218">
        <v>339014.0</v>
      </c>
      <c r="P375" s="218" t="s">
        <v>9374</v>
      </c>
      <c r="Q375" s="222">
        <v>50000.0</v>
      </c>
      <c r="R375" s="222">
        <v>-50000.0</v>
      </c>
      <c r="S375" s="218">
        <v>0.0</v>
      </c>
      <c r="U375" s="218">
        <v>0.0</v>
      </c>
      <c r="AB375" t="e">
        <v>#N/A</v>
      </c>
    </row>
    <row r="376">
      <c r="A376" s="218" t="s">
        <v>781</v>
      </c>
      <c r="C376" s="218" t="s">
        <v>10372</v>
      </c>
      <c r="F376" s="456">
        <v>43962.0</v>
      </c>
      <c r="G376" s="218">
        <v>3.0</v>
      </c>
      <c r="H376" s="218">
        <v>401091.0</v>
      </c>
      <c r="J376" s="218" t="s">
        <v>9713</v>
      </c>
      <c r="K376" s="218" t="s">
        <v>10373</v>
      </c>
      <c r="L376" s="218">
        <v>15113.0</v>
      </c>
      <c r="M376" s="218">
        <v>168105.0</v>
      </c>
      <c r="N376" s="218">
        <v>1.0E8</v>
      </c>
      <c r="O376" s="218">
        <v>339030.0</v>
      </c>
      <c r="P376" s="218" t="s">
        <v>10250</v>
      </c>
      <c r="Q376" s="222">
        <v>1285.0</v>
      </c>
      <c r="R376" s="222">
        <v>1285.0</v>
      </c>
      <c r="S376" s="222">
        <v>1285.0</v>
      </c>
      <c r="U376" s="222">
        <v>1285.0</v>
      </c>
      <c r="X376" s="218">
        <v>1.51132020000139E14</v>
      </c>
      <c r="AB376" t="e">
        <v>#N/A</v>
      </c>
    </row>
    <row r="377">
      <c r="A377" s="218" t="s">
        <v>781</v>
      </c>
      <c r="C377" s="218" t="s">
        <v>10374</v>
      </c>
      <c r="F377" s="456">
        <v>43964.0</v>
      </c>
      <c r="G377" s="218">
        <v>1.0</v>
      </c>
      <c r="H377" s="218">
        <v>401091.0</v>
      </c>
      <c r="J377" s="218" t="s">
        <v>10375</v>
      </c>
      <c r="K377" s="218" t="s">
        <v>10376</v>
      </c>
      <c r="L377" s="218">
        <v>15113.0</v>
      </c>
      <c r="M377" s="218">
        <v>168105.0</v>
      </c>
      <c r="N377" s="218">
        <v>1.0E8</v>
      </c>
      <c r="O377" s="218">
        <v>339039.0</v>
      </c>
      <c r="P377" s="218" t="s">
        <v>10377</v>
      </c>
      <c r="Q377" s="218">
        <v>78.72</v>
      </c>
      <c r="R377" s="218">
        <v>78.72</v>
      </c>
      <c r="S377" s="218">
        <v>78.72</v>
      </c>
      <c r="U377" s="218">
        <v>0.0</v>
      </c>
      <c r="X377" s="218">
        <v>1.51132020000165E14</v>
      </c>
      <c r="AB377" t="e">
        <v>#N/A</v>
      </c>
    </row>
    <row r="378">
      <c r="A378" s="218" t="s">
        <v>459</v>
      </c>
      <c r="C378" s="218" t="s">
        <v>10378</v>
      </c>
      <c r="F378" s="456">
        <v>43964.0</v>
      </c>
      <c r="G378" s="218">
        <v>3.0</v>
      </c>
      <c r="H378" s="218">
        <v>401091.0</v>
      </c>
      <c r="J378" s="218" t="s">
        <v>9333</v>
      </c>
      <c r="K378" s="218" t="s">
        <v>10379</v>
      </c>
      <c r="L378" s="218">
        <v>15113.0</v>
      </c>
      <c r="M378" s="218">
        <v>168101.0</v>
      </c>
      <c r="N378" s="218">
        <v>1.51E8</v>
      </c>
      <c r="O378" s="218">
        <v>339093.0</v>
      </c>
      <c r="P378" s="218" t="s">
        <v>10380</v>
      </c>
      <c r="Q378" s="222">
        <v>80000.0</v>
      </c>
      <c r="R378" s="222">
        <v>80000.0</v>
      </c>
      <c r="S378" s="222">
        <v>0.0</v>
      </c>
      <c r="U378" s="218">
        <v>0.0</v>
      </c>
      <c r="X378" s="218">
        <v>1.51132020000174E14</v>
      </c>
      <c r="AB378" t="e">
        <v>#N/A</v>
      </c>
    </row>
    <row r="379">
      <c r="A379" s="218" t="s">
        <v>459</v>
      </c>
      <c r="C379" s="218" t="s">
        <v>10381</v>
      </c>
      <c r="F379" s="456">
        <v>43964.0</v>
      </c>
      <c r="G379" s="218">
        <v>0.0</v>
      </c>
      <c r="H379" s="218">
        <v>401093.0</v>
      </c>
      <c r="I379" s="218" t="s">
        <v>10378</v>
      </c>
      <c r="J379" s="218" t="s">
        <v>9333</v>
      </c>
      <c r="K379" s="218" t="s">
        <v>9398</v>
      </c>
      <c r="L379" s="218">
        <v>15113.0</v>
      </c>
      <c r="M379" s="218">
        <v>168101.0</v>
      </c>
      <c r="N379" s="218">
        <v>1.51E8</v>
      </c>
      <c r="O379" s="218">
        <v>339093.0</v>
      </c>
      <c r="P379" s="218" t="s">
        <v>10380</v>
      </c>
      <c r="Q379" s="222">
        <v>80000.0</v>
      </c>
      <c r="R379" s="222">
        <v>-80000.0</v>
      </c>
      <c r="S379" s="222">
        <v>0.0</v>
      </c>
      <c r="U379" s="218">
        <v>0.0</v>
      </c>
      <c r="AB379" t="e">
        <v>#N/A</v>
      </c>
    </row>
    <row r="380">
      <c r="A380" s="218" t="s">
        <v>459</v>
      </c>
      <c r="C380" s="218" t="s">
        <v>10382</v>
      </c>
      <c r="F380" s="456">
        <v>43964.0</v>
      </c>
      <c r="G380" s="218">
        <v>3.0</v>
      </c>
      <c r="H380" s="218">
        <v>401091.0</v>
      </c>
      <c r="J380" s="218" t="s">
        <v>9333</v>
      </c>
      <c r="K380" s="218" t="s">
        <v>10379</v>
      </c>
      <c r="L380" s="218">
        <v>15113.0</v>
      </c>
      <c r="M380" s="218">
        <v>168101.0</v>
      </c>
      <c r="N380" s="218">
        <v>1.51E8</v>
      </c>
      <c r="O380" s="218">
        <v>339093.0</v>
      </c>
      <c r="P380" s="218" t="s">
        <v>10380</v>
      </c>
      <c r="Q380" s="222">
        <v>80000.0</v>
      </c>
      <c r="R380" s="222">
        <v>80000.0</v>
      </c>
      <c r="S380" s="222">
        <v>45808.57</v>
      </c>
      <c r="U380" s="218">
        <v>0.0</v>
      </c>
      <c r="X380" s="218">
        <v>1.51132020000174E14</v>
      </c>
      <c r="AB380" t="e">
        <v>#N/A</v>
      </c>
    </row>
    <row r="381">
      <c r="A381" s="218" t="s">
        <v>9371</v>
      </c>
      <c r="C381" s="218" t="s">
        <v>10383</v>
      </c>
      <c r="F381" s="456">
        <v>43969.0</v>
      </c>
      <c r="G381" s="218">
        <v>1.0</v>
      </c>
      <c r="H381" s="218">
        <v>401091.0</v>
      </c>
      <c r="J381" s="218" t="s">
        <v>10384</v>
      </c>
      <c r="K381" s="218" t="s">
        <v>10385</v>
      </c>
      <c r="L381" s="218">
        <v>15113.0</v>
      </c>
      <c r="M381" s="218">
        <v>168105.0</v>
      </c>
      <c r="N381" s="218">
        <v>1.0E8</v>
      </c>
      <c r="O381" s="218">
        <v>339030.0</v>
      </c>
      <c r="P381" s="218" t="s">
        <v>10386</v>
      </c>
      <c r="Q381" s="222">
        <v>6900.0</v>
      </c>
      <c r="R381" s="222">
        <v>6900.0</v>
      </c>
      <c r="S381" s="222">
        <v>6900.0</v>
      </c>
      <c r="U381" s="218">
        <v>0.0</v>
      </c>
      <c r="X381" s="218">
        <v>1.5113202000006E14</v>
      </c>
      <c r="AB381" t="e">
        <v>#N/A</v>
      </c>
    </row>
    <row r="382">
      <c r="A382" s="218" t="s">
        <v>10001</v>
      </c>
      <c r="C382" s="218" t="s">
        <v>10387</v>
      </c>
      <c r="F382" s="456">
        <v>43970.0</v>
      </c>
      <c r="G382" s="218">
        <v>1.0</v>
      </c>
      <c r="H382" s="218">
        <v>401091.0</v>
      </c>
      <c r="J382" s="218" t="s">
        <v>10388</v>
      </c>
      <c r="K382" s="218" t="s">
        <v>10389</v>
      </c>
      <c r="L382" s="218">
        <v>15113.0</v>
      </c>
      <c r="M382" s="218">
        <v>168105.0</v>
      </c>
      <c r="N382" s="218">
        <v>1.0E8</v>
      </c>
      <c r="O382" s="218">
        <v>339030.0</v>
      </c>
      <c r="P382" s="218" t="s">
        <v>10390</v>
      </c>
      <c r="Q382" s="222">
        <v>2641.6</v>
      </c>
      <c r="R382" s="222">
        <v>2641.6</v>
      </c>
      <c r="S382" s="222">
        <v>2641.6</v>
      </c>
      <c r="U382" s="218">
        <v>0.0</v>
      </c>
      <c r="X382" s="218">
        <v>1.51132020000097E14</v>
      </c>
      <c r="AB382" t="e">
        <v>#N/A</v>
      </c>
    </row>
    <row r="383">
      <c r="A383" s="218" t="s">
        <v>10001</v>
      </c>
      <c r="C383" s="218" t="s">
        <v>10391</v>
      </c>
      <c r="F383" s="456">
        <v>43970.0</v>
      </c>
      <c r="G383" s="218">
        <v>1.0</v>
      </c>
      <c r="H383" s="218">
        <v>401091.0</v>
      </c>
      <c r="J383" s="218" t="s">
        <v>10392</v>
      </c>
      <c r="K383" s="218" t="s">
        <v>10389</v>
      </c>
      <c r="L383" s="218">
        <v>15113.0</v>
      </c>
      <c r="M383" s="218">
        <v>168105.0</v>
      </c>
      <c r="N383" s="218">
        <v>1.0E8</v>
      </c>
      <c r="O383" s="218">
        <v>339030.0</v>
      </c>
      <c r="P383" s="218" t="s">
        <v>10390</v>
      </c>
      <c r="Q383" s="222">
        <v>3705.0</v>
      </c>
      <c r="R383" s="222">
        <v>3705.0</v>
      </c>
      <c r="S383" s="222">
        <v>3705.0</v>
      </c>
      <c r="U383" s="218">
        <v>0.0</v>
      </c>
      <c r="X383" s="218">
        <v>1.51132020000097E14</v>
      </c>
      <c r="AB383" t="e">
        <v>#N/A</v>
      </c>
    </row>
    <row r="384">
      <c r="A384" s="218" t="s">
        <v>9331</v>
      </c>
      <c r="C384" s="218" t="s">
        <v>10393</v>
      </c>
      <c r="F384" s="456">
        <v>43971.0</v>
      </c>
      <c r="G384" s="218">
        <v>0.0</v>
      </c>
      <c r="H384" s="218">
        <v>401093.0</v>
      </c>
      <c r="I384" s="218" t="s">
        <v>9332</v>
      </c>
      <c r="J384" s="218" t="s">
        <v>9333</v>
      </c>
      <c r="K384" s="218" t="s">
        <v>9398</v>
      </c>
      <c r="L384" s="218">
        <v>15113.0</v>
      </c>
      <c r="M384" s="218">
        <v>168098.0</v>
      </c>
      <c r="N384" s="218">
        <v>1.0E8</v>
      </c>
      <c r="O384" s="218">
        <v>319011.0</v>
      </c>
      <c r="P384" s="218" t="s">
        <v>9335</v>
      </c>
      <c r="Q384" s="222">
        <v>1.3E7</v>
      </c>
      <c r="R384" s="222">
        <v>-1.3E7</v>
      </c>
      <c r="S384" s="222">
        <v>0.0</v>
      </c>
      <c r="U384" s="218">
        <v>0.0</v>
      </c>
      <c r="AB384" t="e">
        <v>#N/A</v>
      </c>
    </row>
    <row r="385">
      <c r="A385" s="218" t="s">
        <v>9371</v>
      </c>
      <c r="C385" s="218" t="s">
        <v>10394</v>
      </c>
      <c r="F385" s="456">
        <v>43972.0</v>
      </c>
      <c r="G385" s="218">
        <v>1.0</v>
      </c>
      <c r="H385" s="218">
        <v>401091.0</v>
      </c>
      <c r="J385" s="218" t="s">
        <v>9590</v>
      </c>
      <c r="K385" s="218" t="s">
        <v>10395</v>
      </c>
      <c r="L385" s="218">
        <v>71103.0</v>
      </c>
      <c r="M385" s="218">
        <v>90162.0</v>
      </c>
      <c r="N385" s="218">
        <v>1.0E8</v>
      </c>
      <c r="O385" s="218">
        <v>319091.0</v>
      </c>
      <c r="P385" s="218" t="s">
        <v>10396</v>
      </c>
      <c r="Q385" s="222">
        <v>3230.57</v>
      </c>
      <c r="R385" s="222">
        <v>3230.57</v>
      </c>
      <c r="S385" s="222">
        <v>3230.57</v>
      </c>
      <c r="U385" s="218">
        <v>0.0</v>
      </c>
      <c r="X385" s="218">
        <v>1.51132020000204E14</v>
      </c>
      <c r="AB385" t="e">
        <v>#N/A</v>
      </c>
    </row>
    <row r="386">
      <c r="A386" s="218" t="s">
        <v>10001</v>
      </c>
      <c r="C386" s="218" t="s">
        <v>10397</v>
      </c>
      <c r="F386" s="456">
        <v>43973.0</v>
      </c>
      <c r="G386" s="218">
        <v>0.0</v>
      </c>
      <c r="H386" s="218">
        <v>401093.0</v>
      </c>
      <c r="I386" s="218" t="s">
        <v>10369</v>
      </c>
      <c r="J386" s="218" t="s">
        <v>10363</v>
      </c>
      <c r="K386" s="218" t="s">
        <v>10164</v>
      </c>
      <c r="L386" s="218">
        <v>15113.0</v>
      </c>
      <c r="M386" s="218">
        <v>168105.0</v>
      </c>
      <c r="N386" s="218">
        <v>1.0E8</v>
      </c>
      <c r="O386" s="218">
        <v>339030.0</v>
      </c>
      <c r="P386" s="218" t="s">
        <v>10361</v>
      </c>
      <c r="Q386" s="222">
        <v>1728.0</v>
      </c>
      <c r="R386" s="222">
        <v>-1728.0</v>
      </c>
      <c r="S386" s="222">
        <v>0.0</v>
      </c>
      <c r="U386" s="222">
        <v>0.0</v>
      </c>
      <c r="AB386" t="e">
        <v>#N/A</v>
      </c>
    </row>
    <row r="387">
      <c r="A387" s="218" t="s">
        <v>10001</v>
      </c>
      <c r="C387" s="218" t="s">
        <v>10398</v>
      </c>
      <c r="F387" s="456">
        <v>43973.0</v>
      </c>
      <c r="G387" s="218">
        <v>1.0</v>
      </c>
      <c r="H387" s="218">
        <v>401091.0</v>
      </c>
      <c r="J387" s="218" t="s">
        <v>10363</v>
      </c>
      <c r="K387" s="218" t="s">
        <v>10370</v>
      </c>
      <c r="L387" s="218">
        <v>15113.0</v>
      </c>
      <c r="M387" s="218">
        <v>168105.0</v>
      </c>
      <c r="N387" s="218">
        <v>1.0E8</v>
      </c>
      <c r="O387" s="218">
        <v>339030.0</v>
      </c>
      <c r="P387" s="218" t="s">
        <v>10361</v>
      </c>
      <c r="Q387" s="222">
        <v>1728.0</v>
      </c>
      <c r="R387" s="222">
        <v>1728.0</v>
      </c>
      <c r="S387" s="222">
        <v>1728.0</v>
      </c>
      <c r="U387" s="218">
        <v>0.0</v>
      </c>
      <c r="X387" s="218">
        <v>1.51132020000096E14</v>
      </c>
      <c r="AB387" t="e">
        <v>#N/A</v>
      </c>
    </row>
    <row r="388">
      <c r="A388" s="218" t="s">
        <v>9430</v>
      </c>
      <c r="C388" s="218" t="s">
        <v>10399</v>
      </c>
      <c r="F388" s="456">
        <v>43973.0</v>
      </c>
      <c r="G388" s="218">
        <v>1.0</v>
      </c>
      <c r="H388" s="218">
        <v>401091.0</v>
      </c>
      <c r="J388" s="218" t="s">
        <v>10400</v>
      </c>
      <c r="K388" s="218" t="s">
        <v>10401</v>
      </c>
      <c r="L388" s="218">
        <v>15113.0</v>
      </c>
      <c r="M388" s="218">
        <v>168105.0</v>
      </c>
      <c r="N388" s="218">
        <v>1.0E8</v>
      </c>
      <c r="O388" s="218">
        <v>339047.0</v>
      </c>
      <c r="P388" s="218" t="s">
        <v>10402</v>
      </c>
      <c r="Q388" s="222">
        <v>184.47</v>
      </c>
      <c r="R388" s="222">
        <v>184.47</v>
      </c>
      <c r="S388" s="222">
        <v>184.47</v>
      </c>
      <c r="U388" s="222">
        <v>0.0</v>
      </c>
      <c r="X388" s="218">
        <v>1.51132020000073E14</v>
      </c>
      <c r="AB388" t="e">
        <v>#N/A</v>
      </c>
    </row>
    <row r="389">
      <c r="A389" s="218" t="s">
        <v>781</v>
      </c>
      <c r="C389" s="218" t="s">
        <v>10403</v>
      </c>
      <c r="F389" s="456">
        <v>43973.0</v>
      </c>
      <c r="G389" s="218">
        <v>0.0</v>
      </c>
      <c r="H389" s="218">
        <v>401092.0</v>
      </c>
      <c r="I389" s="218" t="s">
        <v>9941</v>
      </c>
      <c r="J389" s="218" t="s">
        <v>9938</v>
      </c>
      <c r="K389" s="218" t="s">
        <v>9904</v>
      </c>
      <c r="L389" s="218">
        <v>15113.0</v>
      </c>
      <c r="M389" s="218">
        <v>168105.0</v>
      </c>
      <c r="N389" s="218">
        <v>1.27E8</v>
      </c>
      <c r="O389" s="218">
        <v>339039.0</v>
      </c>
      <c r="P389" s="218" t="s">
        <v>9940</v>
      </c>
      <c r="Q389" s="222">
        <v>133892.15</v>
      </c>
      <c r="R389" s="222">
        <v>133892.15</v>
      </c>
      <c r="S389" s="222">
        <v>0.0</v>
      </c>
      <c r="U389" s="218">
        <v>0.0</v>
      </c>
      <c r="X389" s="218">
        <v>1.51132020000193E14</v>
      </c>
      <c r="AB389" t="e">
        <v>#N/A</v>
      </c>
    </row>
    <row r="390">
      <c r="A390" s="218" t="s">
        <v>781</v>
      </c>
      <c r="C390" s="218" t="s">
        <v>10404</v>
      </c>
      <c r="F390" s="456">
        <v>43973.0</v>
      </c>
      <c r="G390" s="218">
        <v>0.0</v>
      </c>
      <c r="H390" s="218">
        <v>401092.0</v>
      </c>
      <c r="I390" s="218" t="s">
        <v>9943</v>
      </c>
      <c r="J390" s="218" t="s">
        <v>9938</v>
      </c>
      <c r="K390" s="218" t="s">
        <v>9904</v>
      </c>
      <c r="L390" s="218">
        <v>15113.0</v>
      </c>
      <c r="M390" s="218">
        <v>168105.0</v>
      </c>
      <c r="N390" s="218">
        <v>1.27E8</v>
      </c>
      <c r="O390" s="218">
        <v>339030.0</v>
      </c>
      <c r="P390" s="218" t="s">
        <v>9940</v>
      </c>
      <c r="Q390" s="222">
        <v>261107.85</v>
      </c>
      <c r="R390" s="222">
        <v>261107.85</v>
      </c>
      <c r="S390" s="222">
        <v>0.0</v>
      </c>
      <c r="U390" s="218">
        <v>0.0</v>
      </c>
      <c r="X390" s="218">
        <v>1.51132020000197E14</v>
      </c>
      <c r="AB390" t="e">
        <v>#N/A</v>
      </c>
    </row>
    <row r="391">
      <c r="A391" s="218" t="s">
        <v>10001</v>
      </c>
      <c r="C391" s="218" t="s">
        <v>10405</v>
      </c>
      <c r="F391" s="456">
        <v>43973.0</v>
      </c>
      <c r="G391" s="218">
        <v>1.0</v>
      </c>
      <c r="H391" s="218">
        <v>401091.0</v>
      </c>
      <c r="J391" s="218" t="s">
        <v>10406</v>
      </c>
      <c r="K391" s="218" t="s">
        <v>10407</v>
      </c>
      <c r="L391" s="218">
        <v>15113.0</v>
      </c>
      <c r="M391" s="218">
        <v>168105.0</v>
      </c>
      <c r="N391" s="218">
        <v>1.0E8</v>
      </c>
      <c r="O391" s="218">
        <v>449052.0</v>
      </c>
      <c r="P391" s="218" t="s">
        <v>10408</v>
      </c>
      <c r="Q391" s="222">
        <v>2918.9</v>
      </c>
      <c r="R391" s="222">
        <v>2918.9</v>
      </c>
      <c r="S391" s="222">
        <v>2918.9</v>
      </c>
      <c r="U391" s="218">
        <v>0.0</v>
      </c>
      <c r="X391" s="218">
        <v>1.51132020000104E14</v>
      </c>
      <c r="AB391" t="e">
        <v>#N/A</v>
      </c>
    </row>
    <row r="392">
      <c r="A392" s="218" t="s">
        <v>9430</v>
      </c>
      <c r="C392" s="218" t="s">
        <v>10409</v>
      </c>
      <c r="F392" s="456">
        <v>43977.0</v>
      </c>
      <c r="G392" s="218">
        <v>1.0</v>
      </c>
      <c r="H392" s="218">
        <v>401091.0</v>
      </c>
      <c r="J392" s="218" t="s">
        <v>9486</v>
      </c>
      <c r="K392" s="218" t="s">
        <v>10410</v>
      </c>
      <c r="L392" s="218">
        <v>15113.0</v>
      </c>
      <c r="M392" s="218">
        <v>168105.0</v>
      </c>
      <c r="N392" s="218">
        <v>1.0E8</v>
      </c>
      <c r="O392" s="218">
        <v>339047.0</v>
      </c>
      <c r="P392" s="218" t="s">
        <v>10411</v>
      </c>
      <c r="Q392" s="222">
        <v>2477.21</v>
      </c>
      <c r="R392" s="222">
        <v>2477.21</v>
      </c>
      <c r="S392" s="222">
        <v>2477.21</v>
      </c>
      <c r="U392" s="222">
        <v>0.0</v>
      </c>
      <c r="X392" s="218">
        <v>1.51132020000073E14</v>
      </c>
      <c r="AB392" t="e">
        <v>#N/A</v>
      </c>
    </row>
    <row r="393">
      <c r="A393" s="218" t="s">
        <v>787</v>
      </c>
      <c r="C393" s="218" t="s">
        <v>10412</v>
      </c>
      <c r="F393" s="456">
        <v>43979.0</v>
      </c>
      <c r="G393" s="218">
        <v>1.0</v>
      </c>
      <c r="H393" s="218">
        <v>401091.0</v>
      </c>
      <c r="J393" s="218" t="s">
        <v>10413</v>
      </c>
      <c r="K393" s="218" t="s">
        <v>10414</v>
      </c>
      <c r="L393" s="218">
        <v>15113.0</v>
      </c>
      <c r="M393" s="218">
        <v>168105.0</v>
      </c>
      <c r="N393" s="218">
        <v>1.0E8</v>
      </c>
      <c r="O393" s="218">
        <v>339036.0</v>
      </c>
      <c r="P393" s="218" t="s">
        <v>10415</v>
      </c>
      <c r="Q393" s="222">
        <v>1200.0</v>
      </c>
      <c r="R393" s="222">
        <v>1200.0</v>
      </c>
      <c r="S393" s="218">
        <v>0.0</v>
      </c>
      <c r="U393" s="218">
        <v>0.0</v>
      </c>
      <c r="X393" s="218">
        <v>1.51132020000068E14</v>
      </c>
      <c r="AB393" t="e">
        <v>#N/A</v>
      </c>
    </row>
    <row r="394">
      <c r="A394" s="218" t="s">
        <v>787</v>
      </c>
      <c r="C394" s="218" t="s">
        <v>10416</v>
      </c>
      <c r="F394" s="456">
        <v>43979.0</v>
      </c>
      <c r="G394" s="218">
        <v>0.0</v>
      </c>
      <c r="H394" s="218">
        <v>401093.0</v>
      </c>
      <c r="I394" s="218" t="s">
        <v>10412</v>
      </c>
      <c r="J394" s="218" t="s">
        <v>10413</v>
      </c>
      <c r="K394" s="218" t="s">
        <v>9398</v>
      </c>
      <c r="L394" s="218">
        <v>15113.0</v>
      </c>
      <c r="M394" s="218">
        <v>168105.0</v>
      </c>
      <c r="N394" s="218">
        <v>1.0E8</v>
      </c>
      <c r="O394" s="218">
        <v>339036.0</v>
      </c>
      <c r="P394" s="218" t="s">
        <v>10415</v>
      </c>
      <c r="Q394" s="222">
        <v>1200.0</v>
      </c>
      <c r="R394" s="222">
        <v>-1200.0</v>
      </c>
      <c r="S394" s="218">
        <v>0.0</v>
      </c>
      <c r="U394" s="218">
        <v>0.0</v>
      </c>
      <c r="AB394" t="e">
        <v>#N/A</v>
      </c>
    </row>
    <row r="395">
      <c r="A395" s="218" t="s">
        <v>787</v>
      </c>
      <c r="C395" s="218" t="s">
        <v>10417</v>
      </c>
      <c r="F395" s="456">
        <v>43979.0</v>
      </c>
      <c r="G395" s="218">
        <v>1.0</v>
      </c>
      <c r="H395" s="218">
        <v>401091.0</v>
      </c>
      <c r="J395" s="218" t="s">
        <v>10413</v>
      </c>
      <c r="K395" s="218" t="s">
        <v>10418</v>
      </c>
      <c r="L395" s="218">
        <v>15113.0</v>
      </c>
      <c r="M395" s="218">
        <v>168105.0</v>
      </c>
      <c r="N395" s="218">
        <v>1.0E8</v>
      </c>
      <c r="O395" s="218">
        <v>339036.0</v>
      </c>
      <c r="P395" s="218" t="s">
        <v>10415</v>
      </c>
      <c r="Q395" s="222">
        <v>1200.0</v>
      </c>
      <c r="R395" s="222">
        <v>1200.0</v>
      </c>
      <c r="S395" s="218">
        <v>0.0</v>
      </c>
      <c r="U395" s="218">
        <v>0.0</v>
      </c>
      <c r="X395" s="218">
        <v>1.51132020000068E14</v>
      </c>
      <c r="AB395" t="e">
        <v>#N/A</v>
      </c>
    </row>
    <row r="396">
      <c r="A396" s="218" t="s">
        <v>787</v>
      </c>
      <c r="C396" s="218" t="s">
        <v>10419</v>
      </c>
      <c r="F396" s="456">
        <v>43979.0</v>
      </c>
      <c r="G396" s="218">
        <v>0.0</v>
      </c>
      <c r="H396" s="218">
        <v>401093.0</v>
      </c>
      <c r="I396" s="218" t="s">
        <v>10417</v>
      </c>
      <c r="J396" s="218" t="s">
        <v>10413</v>
      </c>
      <c r="K396" s="218" t="s">
        <v>9398</v>
      </c>
      <c r="L396" s="218">
        <v>15113.0</v>
      </c>
      <c r="M396" s="218">
        <v>168105.0</v>
      </c>
      <c r="N396" s="218">
        <v>1.0E8</v>
      </c>
      <c r="O396" s="218">
        <v>339036.0</v>
      </c>
      <c r="P396" s="218" t="s">
        <v>10415</v>
      </c>
      <c r="Q396" s="222">
        <v>1200.0</v>
      </c>
      <c r="R396" s="222">
        <v>-1200.0</v>
      </c>
      <c r="S396" s="222">
        <v>0.0</v>
      </c>
      <c r="U396" s="218">
        <v>0.0</v>
      </c>
      <c r="AB396" t="e">
        <v>#N/A</v>
      </c>
    </row>
    <row r="397">
      <c r="A397" s="218" t="s">
        <v>787</v>
      </c>
      <c r="C397" s="218" t="s">
        <v>10420</v>
      </c>
      <c r="F397" s="456">
        <v>43979.0</v>
      </c>
      <c r="G397" s="218">
        <v>1.0</v>
      </c>
      <c r="H397" s="218">
        <v>401091.0</v>
      </c>
      <c r="J397" s="218" t="s">
        <v>10413</v>
      </c>
      <c r="K397" s="218" t="s">
        <v>10418</v>
      </c>
      <c r="L397" s="218">
        <v>15113.0</v>
      </c>
      <c r="M397" s="218">
        <v>168108.0</v>
      </c>
      <c r="N397" s="218">
        <v>1.0E8</v>
      </c>
      <c r="O397" s="218">
        <v>339036.0</v>
      </c>
      <c r="P397" s="218" t="s">
        <v>10415</v>
      </c>
      <c r="Q397" s="222">
        <v>1200.0</v>
      </c>
      <c r="R397" s="222">
        <v>1200.0</v>
      </c>
      <c r="S397" s="222">
        <v>1200.0</v>
      </c>
      <c r="U397" s="218">
        <v>0.0</v>
      </c>
      <c r="X397" s="218">
        <v>1.51132020000068E14</v>
      </c>
      <c r="AB397" t="e">
        <v>#N/A</v>
      </c>
    </row>
    <row r="398">
      <c r="A398" s="218" t="s">
        <v>9430</v>
      </c>
      <c r="C398" s="218" t="s">
        <v>10421</v>
      </c>
      <c r="F398" s="456">
        <v>43979.0</v>
      </c>
      <c r="G398" s="218">
        <v>1.0</v>
      </c>
      <c r="H398" s="218">
        <v>401091.0</v>
      </c>
      <c r="J398" s="218" t="s">
        <v>10422</v>
      </c>
      <c r="K398" s="218" t="s">
        <v>10423</v>
      </c>
      <c r="L398" s="218">
        <v>15113.0</v>
      </c>
      <c r="M398" s="218">
        <v>168105.0</v>
      </c>
      <c r="N398" s="218">
        <v>1.0E8</v>
      </c>
      <c r="O398" s="218">
        <v>339047.0</v>
      </c>
      <c r="P398" s="218" t="s">
        <v>10424</v>
      </c>
      <c r="Q398" s="222">
        <v>2081.59</v>
      </c>
      <c r="R398" s="222">
        <v>2081.59</v>
      </c>
      <c r="S398" s="222">
        <v>2081.59</v>
      </c>
      <c r="U398" s="218">
        <v>0.0</v>
      </c>
      <c r="X398" s="218">
        <v>1.51132020000073E14</v>
      </c>
      <c r="AB398" t="e">
        <v>#N/A</v>
      </c>
    </row>
    <row r="399">
      <c r="A399" s="218" t="s">
        <v>781</v>
      </c>
      <c r="C399" s="218" t="s">
        <v>10425</v>
      </c>
      <c r="F399" s="456">
        <v>43980.0</v>
      </c>
      <c r="G399" s="218">
        <v>3.0</v>
      </c>
      <c r="H399" s="218">
        <v>401091.0</v>
      </c>
      <c r="J399" s="218" t="s">
        <v>9462</v>
      </c>
      <c r="K399" s="218" t="s">
        <v>10426</v>
      </c>
      <c r="L399" s="218">
        <v>15113.0</v>
      </c>
      <c r="M399" s="218">
        <v>168105.0</v>
      </c>
      <c r="N399" s="218">
        <v>1.0E8</v>
      </c>
      <c r="O399" s="218">
        <v>339040.0</v>
      </c>
      <c r="P399" s="218" t="s">
        <v>10427</v>
      </c>
      <c r="Q399" s="222">
        <v>18339.75</v>
      </c>
      <c r="R399" s="222">
        <v>18339.75</v>
      </c>
      <c r="S399" s="222">
        <v>18339.75</v>
      </c>
      <c r="U399" s="222">
        <v>18339.75</v>
      </c>
      <c r="X399" s="218">
        <v>1.51132020000161E14</v>
      </c>
      <c r="AB399" t="e">
        <v>#N/A</v>
      </c>
    </row>
    <row r="400">
      <c r="A400" s="218" t="s">
        <v>781</v>
      </c>
      <c r="C400" s="218" t="s">
        <v>10428</v>
      </c>
      <c r="F400" s="456">
        <v>43980.0</v>
      </c>
      <c r="G400" s="218">
        <v>0.0</v>
      </c>
      <c r="H400" s="218">
        <v>401092.0</v>
      </c>
      <c r="I400" s="218" t="s">
        <v>10081</v>
      </c>
      <c r="J400" s="218" t="s">
        <v>10074</v>
      </c>
      <c r="K400" s="218" t="s">
        <v>9904</v>
      </c>
      <c r="L400" s="218">
        <v>15113.0</v>
      </c>
      <c r="M400" s="218">
        <v>168105.0</v>
      </c>
      <c r="N400" s="218">
        <v>1.0E8</v>
      </c>
      <c r="O400" s="218">
        <v>339039.0</v>
      </c>
      <c r="P400" s="218" t="s">
        <v>10071</v>
      </c>
      <c r="Q400" s="222">
        <v>30658.27</v>
      </c>
      <c r="R400" s="222">
        <v>30658.27</v>
      </c>
      <c r="S400" s="222">
        <v>0.0</v>
      </c>
      <c r="U400" s="218">
        <v>0.0</v>
      </c>
      <c r="X400" s="218">
        <v>1.51132020000115E14</v>
      </c>
      <c r="AB400" t="e">
        <v>#N/A</v>
      </c>
    </row>
    <row r="401">
      <c r="A401" s="218" t="s">
        <v>781</v>
      </c>
      <c r="C401" s="218" t="s">
        <v>10429</v>
      </c>
      <c r="F401" s="456">
        <v>43980.0</v>
      </c>
      <c r="G401" s="218">
        <v>1.0</v>
      </c>
      <c r="H401" s="218">
        <v>401091.0</v>
      </c>
      <c r="J401" s="218" t="s">
        <v>10074</v>
      </c>
      <c r="K401" s="218" t="s">
        <v>10430</v>
      </c>
      <c r="L401" s="218">
        <v>15113.0</v>
      </c>
      <c r="M401" s="218">
        <v>168105.0</v>
      </c>
      <c r="N401" s="218">
        <v>1.0E8</v>
      </c>
      <c r="O401" s="218">
        <v>339039.0</v>
      </c>
      <c r="P401" s="218" t="s">
        <v>10071</v>
      </c>
      <c r="Q401" s="222">
        <v>23425.68</v>
      </c>
      <c r="R401" s="222">
        <v>23425.68</v>
      </c>
      <c r="S401" s="222">
        <v>23425.68</v>
      </c>
      <c r="U401" s="218">
        <v>0.0</v>
      </c>
      <c r="X401" s="218">
        <v>1.51132020000115E14</v>
      </c>
      <c r="AB401" t="e">
        <v>#N/A</v>
      </c>
    </row>
    <row r="402">
      <c r="A402" s="218" t="s">
        <v>781</v>
      </c>
      <c r="C402" s="218" t="s">
        <v>10431</v>
      </c>
      <c r="F402" s="456">
        <v>43980.0</v>
      </c>
      <c r="G402" s="218">
        <v>0.0</v>
      </c>
      <c r="H402" s="218">
        <v>401092.0</v>
      </c>
      <c r="I402" s="218" t="s">
        <v>10028</v>
      </c>
      <c r="J402" s="218" t="s">
        <v>9411</v>
      </c>
      <c r="K402" s="218" t="s">
        <v>9904</v>
      </c>
      <c r="L402" s="218">
        <v>15113.0</v>
      </c>
      <c r="M402" s="218">
        <v>168105.0</v>
      </c>
      <c r="N402" s="218">
        <v>1.0E8</v>
      </c>
      <c r="O402" s="218">
        <v>339039.0</v>
      </c>
      <c r="P402" s="218" t="s">
        <v>9413</v>
      </c>
      <c r="Q402" s="222">
        <v>12043.42</v>
      </c>
      <c r="R402" s="222">
        <v>12043.42</v>
      </c>
      <c r="S402" s="218">
        <v>0.0</v>
      </c>
      <c r="U402" s="218">
        <v>0.0</v>
      </c>
      <c r="X402" s="218">
        <v>1.51132020000115E14</v>
      </c>
      <c r="AB402" t="e">
        <v>#N/A</v>
      </c>
    </row>
    <row r="403">
      <c r="A403" s="218" t="s">
        <v>781</v>
      </c>
      <c r="C403" s="218" t="s">
        <v>10432</v>
      </c>
      <c r="F403" s="456">
        <v>43980.0</v>
      </c>
      <c r="G403" s="218">
        <v>1.0</v>
      </c>
      <c r="H403" s="218">
        <v>401091.0</v>
      </c>
      <c r="J403" s="218" t="s">
        <v>9411</v>
      </c>
      <c r="K403" s="218" t="s">
        <v>10433</v>
      </c>
      <c r="L403" s="218">
        <v>15113.0</v>
      </c>
      <c r="M403" s="218">
        <v>168105.0</v>
      </c>
      <c r="N403" s="218">
        <v>1.0E8</v>
      </c>
      <c r="O403" s="218">
        <v>339039.0</v>
      </c>
      <c r="P403" s="218" t="s">
        <v>9413</v>
      </c>
      <c r="Q403" s="222">
        <v>10459.49</v>
      </c>
      <c r="R403" s="222">
        <v>10459.49</v>
      </c>
      <c r="S403" s="222">
        <v>10459.49</v>
      </c>
      <c r="U403" s="218">
        <v>0.0</v>
      </c>
      <c r="X403" s="218">
        <v>1.51132020000115E14</v>
      </c>
      <c r="AB403" t="e">
        <v>#N/A</v>
      </c>
    </row>
    <row r="404">
      <c r="A404" s="218" t="s">
        <v>781</v>
      </c>
      <c r="C404" s="218" t="s">
        <v>10434</v>
      </c>
      <c r="F404" s="456">
        <v>43983.0</v>
      </c>
      <c r="G404" s="218">
        <v>1.0</v>
      </c>
      <c r="H404" s="218">
        <v>401091.0</v>
      </c>
      <c r="J404" s="218" t="s">
        <v>9956</v>
      </c>
      <c r="K404" s="218" t="s">
        <v>10435</v>
      </c>
      <c r="L404" s="218">
        <v>15113.0</v>
      </c>
      <c r="M404" s="218">
        <v>168105.0</v>
      </c>
      <c r="N404" s="218">
        <v>1.0E8</v>
      </c>
      <c r="O404" s="218">
        <v>339037.0</v>
      </c>
      <c r="P404" s="218" t="s">
        <v>10436</v>
      </c>
      <c r="Q404" s="222">
        <v>113994.84</v>
      </c>
      <c r="R404" s="222">
        <v>113994.84</v>
      </c>
      <c r="S404" s="222">
        <v>120803.84</v>
      </c>
      <c r="U404" s="222">
        <v>7758.96</v>
      </c>
      <c r="X404" s="218">
        <v>1.51132020000124E14</v>
      </c>
      <c r="AB404" t="e">
        <v>#N/A</v>
      </c>
    </row>
    <row r="405">
      <c r="A405" s="218" t="s">
        <v>324</v>
      </c>
      <c r="C405" s="218" t="s">
        <v>10437</v>
      </c>
      <c r="F405" s="456">
        <v>43985.0</v>
      </c>
      <c r="G405" s="218">
        <v>0.0</v>
      </c>
      <c r="H405" s="218">
        <v>401092.0</v>
      </c>
      <c r="I405" s="218" t="s">
        <v>10244</v>
      </c>
      <c r="J405" s="218" t="s">
        <v>10245</v>
      </c>
      <c r="K405" s="218" t="s">
        <v>9904</v>
      </c>
      <c r="L405" s="218">
        <v>15113.0</v>
      </c>
      <c r="M405" s="218">
        <v>168105.0</v>
      </c>
      <c r="N405" s="218">
        <v>1.0E8</v>
      </c>
      <c r="O405" s="218">
        <v>339039.0</v>
      </c>
      <c r="P405" s="218" t="s">
        <v>10247</v>
      </c>
      <c r="Q405" s="222">
        <v>135764.93</v>
      </c>
      <c r="R405" s="222">
        <v>135764.93</v>
      </c>
      <c r="S405" s="222">
        <v>0.0</v>
      </c>
      <c r="U405" s="218">
        <v>0.0</v>
      </c>
      <c r="X405" s="218">
        <v>1.5113202000022E14</v>
      </c>
      <c r="AB405" t="e">
        <v>#N/A</v>
      </c>
    </row>
    <row r="406">
      <c r="A406" s="218" t="s">
        <v>9430</v>
      </c>
      <c r="C406" s="218" t="s">
        <v>10438</v>
      </c>
      <c r="F406" s="456">
        <v>43986.0</v>
      </c>
      <c r="G406" s="218">
        <v>1.0</v>
      </c>
      <c r="H406" s="218">
        <v>401091.0</v>
      </c>
      <c r="J406" s="218" t="s">
        <v>10439</v>
      </c>
      <c r="K406" s="218" t="s">
        <v>10440</v>
      </c>
      <c r="L406" s="218">
        <v>15113.0</v>
      </c>
      <c r="M406" s="218">
        <v>168105.0</v>
      </c>
      <c r="N406" s="218">
        <v>1.0E8</v>
      </c>
      <c r="O406" s="218">
        <v>339047.0</v>
      </c>
      <c r="P406" s="218" t="s">
        <v>10441</v>
      </c>
      <c r="Q406" s="222">
        <v>305.65</v>
      </c>
      <c r="R406" s="222">
        <v>305.65</v>
      </c>
      <c r="S406" s="222">
        <v>305.65</v>
      </c>
      <c r="U406" s="218">
        <v>0.0</v>
      </c>
      <c r="X406" s="218">
        <v>1.51132020000073E14</v>
      </c>
      <c r="AB406" t="e">
        <v>#N/A</v>
      </c>
    </row>
    <row r="407">
      <c r="A407" s="218" t="s">
        <v>9920</v>
      </c>
      <c r="C407" s="218" t="s">
        <v>10442</v>
      </c>
      <c r="F407" s="456">
        <v>43986.0</v>
      </c>
      <c r="G407" s="218">
        <v>1.0</v>
      </c>
      <c r="H407" s="218">
        <v>401091.0</v>
      </c>
      <c r="J407" s="218" t="s">
        <v>10443</v>
      </c>
      <c r="K407" s="218" t="s">
        <v>10444</v>
      </c>
      <c r="L407" s="218">
        <v>15113.0</v>
      </c>
      <c r="M407" s="218">
        <v>168105.0</v>
      </c>
      <c r="N407" s="218">
        <v>1.0E8</v>
      </c>
      <c r="O407" s="218">
        <v>339039.0</v>
      </c>
      <c r="P407" s="218" t="s">
        <v>10445</v>
      </c>
      <c r="Q407" s="222">
        <v>4300.0</v>
      </c>
      <c r="R407" s="222">
        <v>4300.0</v>
      </c>
      <c r="S407" s="222">
        <v>4300.0</v>
      </c>
      <c r="U407" s="218">
        <v>0.0</v>
      </c>
      <c r="X407" s="218">
        <v>1.51132020000228E14</v>
      </c>
      <c r="AB407" t="e">
        <v>#N/A</v>
      </c>
    </row>
    <row r="408">
      <c r="A408" s="218" t="s">
        <v>781</v>
      </c>
      <c r="C408" s="218" t="s">
        <v>10446</v>
      </c>
      <c r="F408" s="456">
        <v>43987.0</v>
      </c>
      <c r="G408" s="218">
        <v>1.0</v>
      </c>
      <c r="H408" s="218">
        <v>401091.0</v>
      </c>
      <c r="J408" s="218" t="s">
        <v>10447</v>
      </c>
      <c r="K408" s="218" t="s">
        <v>10448</v>
      </c>
      <c r="L408" s="218">
        <v>15113.0</v>
      </c>
      <c r="M408" s="218">
        <v>168105.0</v>
      </c>
      <c r="N408" s="218">
        <v>1.0E8</v>
      </c>
      <c r="O408" s="218">
        <v>339092.0</v>
      </c>
      <c r="P408" s="218" t="s">
        <v>10449</v>
      </c>
      <c r="Q408" s="222">
        <v>517.55</v>
      </c>
      <c r="R408" s="222">
        <v>517.55</v>
      </c>
      <c r="S408" s="222">
        <v>566.23</v>
      </c>
      <c r="U408" s="218">
        <v>0.0</v>
      </c>
      <c r="X408" s="218">
        <v>1.51132020000128E14</v>
      </c>
      <c r="AB408" t="e">
        <v>#N/A</v>
      </c>
    </row>
    <row r="409">
      <c r="A409" s="218" t="s">
        <v>781</v>
      </c>
      <c r="C409" s="218" t="s">
        <v>10450</v>
      </c>
      <c r="F409" s="456">
        <v>43990.0</v>
      </c>
      <c r="G409" s="218">
        <v>1.0</v>
      </c>
      <c r="H409" s="218">
        <v>401091.0</v>
      </c>
      <c r="J409" s="218" t="s">
        <v>10451</v>
      </c>
      <c r="K409" s="218" t="s">
        <v>10452</v>
      </c>
      <c r="L409" s="218">
        <v>15113.0</v>
      </c>
      <c r="M409" s="218">
        <v>168105.0</v>
      </c>
      <c r="N409" s="218">
        <v>1.0E8</v>
      </c>
      <c r="O409" s="218">
        <v>339039.0</v>
      </c>
      <c r="P409" s="218" t="s">
        <v>10453</v>
      </c>
      <c r="Q409" s="222">
        <v>19373.7</v>
      </c>
      <c r="R409" s="222">
        <v>19373.7</v>
      </c>
      <c r="S409" s="222">
        <v>19373.7</v>
      </c>
      <c r="U409" s="222">
        <v>0.0</v>
      </c>
      <c r="X409" s="218">
        <v>1.5113202000011E14</v>
      </c>
      <c r="AB409" t="e">
        <v>#N/A</v>
      </c>
    </row>
    <row r="410">
      <c r="A410" s="218" t="s">
        <v>9920</v>
      </c>
      <c r="C410" s="218" t="s">
        <v>10454</v>
      </c>
      <c r="F410" s="456">
        <v>43990.0</v>
      </c>
      <c r="G410" s="218">
        <v>3.0</v>
      </c>
      <c r="H410" s="218">
        <v>401091.0</v>
      </c>
      <c r="J410" s="218" t="s">
        <v>9922</v>
      </c>
      <c r="K410" s="218" t="s">
        <v>9923</v>
      </c>
      <c r="L410" s="218">
        <v>15113.0</v>
      </c>
      <c r="M410" s="218">
        <v>168105.0</v>
      </c>
      <c r="N410" s="218">
        <v>1.0E8</v>
      </c>
      <c r="O410" s="218">
        <v>339030.0</v>
      </c>
      <c r="P410" s="218" t="s">
        <v>9924</v>
      </c>
      <c r="Q410" s="222">
        <v>147821.42</v>
      </c>
      <c r="R410" s="222">
        <v>147821.42</v>
      </c>
      <c r="S410" s="222">
        <v>222551.18</v>
      </c>
      <c r="U410" s="222">
        <v>0.0</v>
      </c>
      <c r="X410" s="218">
        <v>1.51132020000197E14</v>
      </c>
      <c r="AB410" t="e">
        <v>#N/A</v>
      </c>
    </row>
    <row r="411">
      <c r="A411" s="218" t="s">
        <v>9920</v>
      </c>
      <c r="C411" s="218" t="s">
        <v>10455</v>
      </c>
      <c r="F411" s="456">
        <v>43990.0</v>
      </c>
      <c r="G411" s="218">
        <v>3.0</v>
      </c>
      <c r="H411" s="218">
        <v>401091.0</v>
      </c>
      <c r="J411" s="218" t="s">
        <v>9922</v>
      </c>
      <c r="K411" s="218" t="s">
        <v>9926</v>
      </c>
      <c r="L411" s="218">
        <v>15113.0</v>
      </c>
      <c r="M411" s="218">
        <v>168105.0</v>
      </c>
      <c r="N411" s="218">
        <v>1.0E8</v>
      </c>
      <c r="O411" s="218">
        <v>339039.0</v>
      </c>
      <c r="P411" s="218" t="s">
        <v>9924</v>
      </c>
      <c r="Q411" s="222">
        <v>57178.58</v>
      </c>
      <c r="R411" s="222">
        <v>57178.58</v>
      </c>
      <c r="S411" s="222">
        <v>78697.99</v>
      </c>
      <c r="U411" s="222">
        <v>0.0</v>
      </c>
      <c r="X411" s="218">
        <v>1.51132020000198E14</v>
      </c>
      <c r="AB411" t="e">
        <v>#N/A</v>
      </c>
    </row>
    <row r="412">
      <c r="A412" s="218" t="s">
        <v>9920</v>
      </c>
      <c r="C412" s="218" t="s">
        <v>10456</v>
      </c>
      <c r="F412" s="456">
        <v>43990.0</v>
      </c>
      <c r="G412" s="218">
        <v>0.0</v>
      </c>
      <c r="H412" s="218">
        <v>401093.0</v>
      </c>
      <c r="I412" s="218" t="s">
        <v>9921</v>
      </c>
      <c r="J412" s="218" t="s">
        <v>9922</v>
      </c>
      <c r="K412" s="218" t="s">
        <v>9398</v>
      </c>
      <c r="L412" s="218">
        <v>15113.0</v>
      </c>
      <c r="M412" s="218">
        <v>168105.0</v>
      </c>
      <c r="N412" s="218">
        <v>1.0E8</v>
      </c>
      <c r="O412" s="218">
        <v>339030.0</v>
      </c>
      <c r="P412" s="218" t="s">
        <v>9924</v>
      </c>
      <c r="Q412" s="222">
        <v>147821.42</v>
      </c>
      <c r="R412" s="222">
        <v>-147821.42</v>
      </c>
      <c r="S412" s="222">
        <v>0.0</v>
      </c>
      <c r="U412" s="218">
        <v>0.0</v>
      </c>
      <c r="AB412" t="e">
        <v>#N/A</v>
      </c>
    </row>
    <row r="413">
      <c r="A413" s="218" t="s">
        <v>9920</v>
      </c>
      <c r="C413" s="218" t="s">
        <v>10457</v>
      </c>
      <c r="F413" s="456">
        <v>43990.0</v>
      </c>
      <c r="G413" s="218">
        <v>0.0</v>
      </c>
      <c r="H413" s="218">
        <v>401093.0</v>
      </c>
      <c r="I413" s="218" t="s">
        <v>9925</v>
      </c>
      <c r="J413" s="218" t="s">
        <v>9922</v>
      </c>
      <c r="K413" s="218" t="s">
        <v>10164</v>
      </c>
      <c r="L413" s="218">
        <v>15113.0</v>
      </c>
      <c r="M413" s="218">
        <v>168105.0</v>
      </c>
      <c r="N413" s="218">
        <v>1.0E8</v>
      </c>
      <c r="O413" s="218">
        <v>339039.0</v>
      </c>
      <c r="P413" s="218" t="s">
        <v>9924</v>
      </c>
      <c r="Q413" s="222">
        <v>57178.58</v>
      </c>
      <c r="R413" s="222">
        <v>-57178.58</v>
      </c>
      <c r="S413" s="218">
        <v>0.0</v>
      </c>
      <c r="U413" s="218">
        <v>0.0</v>
      </c>
      <c r="AB413" t="e">
        <v>#N/A</v>
      </c>
    </row>
    <row r="414">
      <c r="A414" s="218" t="s">
        <v>9331</v>
      </c>
      <c r="C414" s="218" t="s">
        <v>10458</v>
      </c>
      <c r="F414" s="456">
        <v>43992.0</v>
      </c>
      <c r="G414" s="218">
        <v>0.0</v>
      </c>
      <c r="H414" s="218">
        <v>401093.0</v>
      </c>
      <c r="I414" s="218" t="s">
        <v>9363</v>
      </c>
      <c r="J414" s="218" t="s">
        <v>9333</v>
      </c>
      <c r="K414" s="218" t="s">
        <v>9398</v>
      </c>
      <c r="L414" s="218">
        <v>15113.0</v>
      </c>
      <c r="M414" s="218">
        <v>168104.0</v>
      </c>
      <c r="N414" s="218">
        <v>1.0E8</v>
      </c>
      <c r="O414" s="218">
        <v>339008.0</v>
      </c>
      <c r="P414" s="218" t="s">
        <v>9335</v>
      </c>
      <c r="Q414" s="222">
        <v>659.25</v>
      </c>
      <c r="R414" s="222">
        <v>-659.25</v>
      </c>
      <c r="S414" s="222">
        <v>0.0</v>
      </c>
      <c r="U414" s="218">
        <v>0.0</v>
      </c>
      <c r="AB414" t="e">
        <v>#N/A</v>
      </c>
    </row>
    <row r="415">
      <c r="A415" s="218" t="s">
        <v>9331</v>
      </c>
      <c r="C415" s="218" t="s">
        <v>10459</v>
      </c>
      <c r="F415" s="456">
        <v>43992.0</v>
      </c>
      <c r="G415" s="218">
        <v>0.0</v>
      </c>
      <c r="H415" s="218">
        <v>401092.0</v>
      </c>
      <c r="I415" s="218" t="s">
        <v>9363</v>
      </c>
      <c r="J415" s="218" t="s">
        <v>9333</v>
      </c>
      <c r="K415" s="218" t="s">
        <v>10460</v>
      </c>
      <c r="L415" s="218">
        <v>15113.0</v>
      </c>
      <c r="M415" s="218">
        <v>168104.0</v>
      </c>
      <c r="N415" s="218">
        <v>1.0E8</v>
      </c>
      <c r="O415" s="218">
        <v>339008.0</v>
      </c>
      <c r="P415" s="218" t="s">
        <v>9335</v>
      </c>
      <c r="Q415" s="222">
        <v>659.25</v>
      </c>
      <c r="R415" s="222">
        <v>659.25</v>
      </c>
      <c r="S415" s="222">
        <v>0.0</v>
      </c>
      <c r="U415" s="218">
        <v>0.0</v>
      </c>
      <c r="X415" s="218">
        <v>1.51132020000192E14</v>
      </c>
      <c r="AB415" t="e">
        <v>#N/A</v>
      </c>
    </row>
    <row r="416">
      <c r="A416" s="218" t="s">
        <v>116</v>
      </c>
      <c r="C416" s="218" t="s">
        <v>10461</v>
      </c>
      <c r="F416" s="456">
        <v>43997.0</v>
      </c>
      <c r="G416" s="218">
        <v>3.0</v>
      </c>
      <c r="H416" s="218">
        <v>401091.0</v>
      </c>
      <c r="J416" s="218" t="s">
        <v>9820</v>
      </c>
      <c r="K416" s="218" t="s">
        <v>10462</v>
      </c>
      <c r="L416" s="218">
        <v>15113.0</v>
      </c>
      <c r="M416" s="218">
        <v>168107.0</v>
      </c>
      <c r="N416" s="218">
        <v>1.0E8</v>
      </c>
      <c r="O416" s="218">
        <v>339040.0</v>
      </c>
      <c r="P416" s="218" t="s">
        <v>350</v>
      </c>
      <c r="Q416" s="222">
        <v>54400.0</v>
      </c>
      <c r="R416" s="222">
        <v>54400.0</v>
      </c>
      <c r="S416" s="222">
        <v>53549.45</v>
      </c>
      <c r="U416" s="222">
        <v>8323.75</v>
      </c>
      <c r="X416" s="218">
        <v>1.51132020000016E14</v>
      </c>
      <c r="AB416" t="e">
        <v>#N/A</v>
      </c>
    </row>
    <row r="417">
      <c r="A417" s="218" t="s">
        <v>9430</v>
      </c>
      <c r="C417" s="218" t="s">
        <v>10463</v>
      </c>
      <c r="F417" s="456">
        <v>43998.0</v>
      </c>
      <c r="G417" s="218">
        <v>1.0</v>
      </c>
      <c r="H417" s="218">
        <v>401091.0</v>
      </c>
      <c r="J417" s="218" t="s">
        <v>10464</v>
      </c>
      <c r="K417" s="218" t="s">
        <v>10465</v>
      </c>
      <c r="L417" s="218">
        <v>15113.0</v>
      </c>
      <c r="M417" s="218">
        <v>168105.0</v>
      </c>
      <c r="N417" s="218">
        <v>1.0E8</v>
      </c>
      <c r="O417" s="218">
        <v>339030.0</v>
      </c>
      <c r="P417" s="218" t="s">
        <v>10466</v>
      </c>
      <c r="Q417" s="222">
        <v>350.0</v>
      </c>
      <c r="R417" s="222">
        <v>350.0</v>
      </c>
      <c r="S417" s="218">
        <v>350.0</v>
      </c>
      <c r="U417" s="218">
        <v>0.0</v>
      </c>
      <c r="X417" s="218">
        <v>1.51132020000081E14</v>
      </c>
      <c r="AB417" t="e">
        <v>#N/A</v>
      </c>
    </row>
    <row r="418">
      <c r="A418" s="218" t="s">
        <v>9920</v>
      </c>
      <c r="C418" s="218" t="s">
        <v>10467</v>
      </c>
      <c r="F418" s="456">
        <v>43998.0</v>
      </c>
      <c r="G418" s="218">
        <v>0.0</v>
      </c>
      <c r="H418" s="218">
        <v>401092.0</v>
      </c>
      <c r="I418" s="218" t="s">
        <v>10454</v>
      </c>
      <c r="J418" s="218" t="s">
        <v>9922</v>
      </c>
      <c r="K418" s="218" t="s">
        <v>9904</v>
      </c>
      <c r="L418" s="218">
        <v>15113.0</v>
      </c>
      <c r="M418" s="218">
        <v>168105.0</v>
      </c>
      <c r="N418" s="218">
        <v>1.0E8</v>
      </c>
      <c r="O418" s="218">
        <v>339030.0</v>
      </c>
      <c r="P418" s="218" t="s">
        <v>9924</v>
      </c>
      <c r="Q418" s="222">
        <v>25000.0</v>
      </c>
      <c r="R418" s="222">
        <v>25000.0</v>
      </c>
      <c r="S418" s="222">
        <v>0.0</v>
      </c>
      <c r="U418" s="218">
        <v>0.0</v>
      </c>
      <c r="X418" s="218">
        <v>1.51132020000197E14</v>
      </c>
      <c r="AB418" t="e">
        <v>#N/A</v>
      </c>
    </row>
    <row r="419">
      <c r="A419" s="218" t="s">
        <v>781</v>
      </c>
      <c r="C419" s="218" t="s">
        <v>10468</v>
      </c>
      <c r="F419" s="456">
        <v>43998.0</v>
      </c>
      <c r="G419" s="218">
        <v>0.0</v>
      </c>
      <c r="H419" s="218">
        <v>401092.0</v>
      </c>
      <c r="I419" s="218" t="s">
        <v>9943</v>
      </c>
      <c r="J419" s="218" t="s">
        <v>9938</v>
      </c>
      <c r="K419" s="218" t="s">
        <v>9904</v>
      </c>
      <c r="L419" s="218">
        <v>15113.0</v>
      </c>
      <c r="M419" s="218">
        <v>168105.0</v>
      </c>
      <c r="N419" s="218">
        <v>1.27E8</v>
      </c>
      <c r="O419" s="218">
        <v>339030.0</v>
      </c>
      <c r="P419" s="218" t="s">
        <v>9940</v>
      </c>
      <c r="Q419" s="222">
        <v>20000.0</v>
      </c>
      <c r="R419" s="222">
        <v>20000.0</v>
      </c>
      <c r="S419" s="218">
        <v>0.0</v>
      </c>
      <c r="U419" s="218">
        <v>0.0</v>
      </c>
      <c r="X419" s="218">
        <v>1.51132020000197E14</v>
      </c>
      <c r="AB419" t="e">
        <v>#N/A</v>
      </c>
    </row>
    <row r="420">
      <c r="A420" s="218" t="s">
        <v>781</v>
      </c>
      <c r="C420" s="218" t="s">
        <v>10469</v>
      </c>
      <c r="F420" s="456">
        <v>43998.0</v>
      </c>
      <c r="G420" s="218">
        <v>3.0</v>
      </c>
      <c r="H420" s="218">
        <v>401091.0</v>
      </c>
      <c r="J420" s="218" t="s">
        <v>9938</v>
      </c>
      <c r="K420" s="218" t="s">
        <v>9944</v>
      </c>
      <c r="L420" s="218">
        <v>15113.0</v>
      </c>
      <c r="M420" s="218">
        <v>168105.0</v>
      </c>
      <c r="N420" s="218">
        <v>1.0E8</v>
      </c>
      <c r="O420" s="218">
        <v>339030.0</v>
      </c>
      <c r="P420" s="218" t="s">
        <v>9940</v>
      </c>
      <c r="Q420" s="222">
        <v>400000.0</v>
      </c>
      <c r="R420" s="222">
        <v>400000.0</v>
      </c>
      <c r="S420" s="222">
        <v>600000.0</v>
      </c>
      <c r="U420" s="222">
        <v>0.0</v>
      </c>
      <c r="X420" s="218">
        <v>1.51132020000197E14</v>
      </c>
      <c r="AB420" t="e">
        <v>#N/A</v>
      </c>
    </row>
    <row r="421">
      <c r="A421" s="218" t="s">
        <v>781</v>
      </c>
      <c r="C421" s="218" t="s">
        <v>10470</v>
      </c>
      <c r="F421" s="456">
        <v>43998.0</v>
      </c>
      <c r="G421" s="218">
        <v>3.0</v>
      </c>
      <c r="H421" s="218">
        <v>401091.0</v>
      </c>
      <c r="J421" s="218" t="s">
        <v>9938</v>
      </c>
      <c r="K421" s="218" t="s">
        <v>9942</v>
      </c>
      <c r="L421" s="218">
        <v>15113.0</v>
      </c>
      <c r="M421" s="218">
        <v>168105.0</v>
      </c>
      <c r="N421" s="218">
        <v>1.0E8</v>
      </c>
      <c r="O421" s="218">
        <v>339039.0</v>
      </c>
      <c r="P421" s="218" t="s">
        <v>9940</v>
      </c>
      <c r="Q421" s="222">
        <v>250000.0</v>
      </c>
      <c r="R421" s="222">
        <v>250000.0</v>
      </c>
      <c r="S421" s="222">
        <v>550000.0</v>
      </c>
      <c r="U421" s="222">
        <v>3687.64</v>
      </c>
      <c r="X421" s="218">
        <v>1.51132020000193E14</v>
      </c>
      <c r="AB421" t="e">
        <v>#N/A</v>
      </c>
    </row>
    <row r="422">
      <c r="A422" s="218" t="s">
        <v>781</v>
      </c>
      <c r="C422" s="218" t="s">
        <v>10471</v>
      </c>
      <c r="F422" s="456">
        <v>43998.0</v>
      </c>
      <c r="G422" s="218">
        <v>3.0</v>
      </c>
      <c r="H422" s="218">
        <v>401091.0</v>
      </c>
      <c r="J422" s="218" t="s">
        <v>10472</v>
      </c>
      <c r="K422" s="218" t="s">
        <v>10473</v>
      </c>
      <c r="L422" s="218">
        <v>15113.0</v>
      </c>
      <c r="M422" s="218">
        <v>168105.0</v>
      </c>
      <c r="N422" s="218">
        <v>1.0E8</v>
      </c>
      <c r="O422" s="218">
        <v>339039.0</v>
      </c>
      <c r="P422" s="218" t="s">
        <v>10474</v>
      </c>
      <c r="Q422" s="222">
        <v>8267.64</v>
      </c>
      <c r="R422" s="222">
        <v>8267.64</v>
      </c>
      <c r="S422" s="222">
        <v>16106.88</v>
      </c>
      <c r="U422" s="218">
        <v>0.0</v>
      </c>
      <c r="X422" s="218">
        <v>1.51132020000141E14</v>
      </c>
      <c r="AB422" t="e">
        <v>#N/A</v>
      </c>
    </row>
    <row r="423">
      <c r="A423" s="218" t="s">
        <v>9371</v>
      </c>
      <c r="C423" s="218" t="s">
        <v>10475</v>
      </c>
      <c r="F423" s="456">
        <v>43999.0</v>
      </c>
      <c r="G423" s="218">
        <v>1.0</v>
      </c>
      <c r="H423" s="218">
        <v>401091.0</v>
      </c>
      <c r="J423" s="218" t="s">
        <v>10476</v>
      </c>
      <c r="K423" s="218" t="s">
        <v>10477</v>
      </c>
      <c r="L423" s="218">
        <v>15113.0</v>
      </c>
      <c r="M423" s="218">
        <v>168105.0</v>
      </c>
      <c r="N423" s="218">
        <v>1.0E8</v>
      </c>
      <c r="O423" s="218">
        <v>339030.0</v>
      </c>
      <c r="P423" s="218" t="s">
        <v>10478</v>
      </c>
      <c r="Q423" s="222">
        <v>16983.0</v>
      </c>
      <c r="R423" s="222">
        <v>16983.0</v>
      </c>
      <c r="S423" s="218">
        <v>0.0</v>
      </c>
      <c r="U423" s="218">
        <v>0.0</v>
      </c>
      <c r="X423" s="218">
        <v>1.5113202000006E14</v>
      </c>
      <c r="AB423" t="e">
        <v>#N/A</v>
      </c>
    </row>
    <row r="424">
      <c r="A424" s="218" t="s">
        <v>9371</v>
      </c>
      <c r="C424" s="218" t="s">
        <v>10479</v>
      </c>
      <c r="F424" s="456">
        <v>43999.0</v>
      </c>
      <c r="G424" s="218">
        <v>1.0</v>
      </c>
      <c r="H424" s="218">
        <v>401091.0</v>
      </c>
      <c r="J424" s="218" t="s">
        <v>10476</v>
      </c>
      <c r="K424" s="218" t="s">
        <v>10480</v>
      </c>
      <c r="L424" s="218">
        <v>15113.0</v>
      </c>
      <c r="M424" s="218">
        <v>168105.0</v>
      </c>
      <c r="N424" s="218">
        <v>1.0E8</v>
      </c>
      <c r="O424" s="218">
        <v>339030.0</v>
      </c>
      <c r="P424" s="218" t="s">
        <v>10478</v>
      </c>
      <c r="Q424" s="222">
        <v>16983.0</v>
      </c>
      <c r="R424" s="222">
        <v>16983.0</v>
      </c>
      <c r="S424" s="222">
        <v>16983.0</v>
      </c>
      <c r="U424" s="218">
        <v>0.0</v>
      </c>
      <c r="X424" s="218">
        <v>1.5113202000006E14</v>
      </c>
      <c r="AB424" t="e">
        <v>#N/A</v>
      </c>
    </row>
    <row r="425">
      <c r="A425" s="218" t="s">
        <v>9371</v>
      </c>
      <c r="C425" s="218" t="s">
        <v>10481</v>
      </c>
      <c r="F425" s="456">
        <v>43999.0</v>
      </c>
      <c r="G425" s="218">
        <v>0.0</v>
      </c>
      <c r="H425" s="218">
        <v>401093.0</v>
      </c>
      <c r="I425" s="218" t="s">
        <v>10475</v>
      </c>
      <c r="J425" s="218" t="s">
        <v>10476</v>
      </c>
      <c r="K425" s="218" t="s">
        <v>9398</v>
      </c>
      <c r="L425" s="218">
        <v>15113.0</v>
      </c>
      <c r="M425" s="218">
        <v>168105.0</v>
      </c>
      <c r="N425" s="218">
        <v>1.0E8</v>
      </c>
      <c r="O425" s="218">
        <v>339030.0</v>
      </c>
      <c r="P425" s="218" t="s">
        <v>10478</v>
      </c>
      <c r="Q425" s="222">
        <v>16983.0</v>
      </c>
      <c r="R425" s="222">
        <v>-16983.0</v>
      </c>
      <c r="S425" s="222">
        <v>0.0</v>
      </c>
      <c r="U425" s="222">
        <v>0.0</v>
      </c>
      <c r="AB425" t="e">
        <v>#N/A</v>
      </c>
    </row>
    <row r="426">
      <c r="A426" s="218" t="s">
        <v>781</v>
      </c>
      <c r="C426" s="218" t="s">
        <v>10482</v>
      </c>
      <c r="F426" s="456">
        <v>44001.0</v>
      </c>
      <c r="G426" s="218">
        <v>1.0</v>
      </c>
      <c r="H426" s="218">
        <v>401091.0</v>
      </c>
      <c r="J426" s="218" t="s">
        <v>9571</v>
      </c>
      <c r="K426" s="218" t="s">
        <v>10483</v>
      </c>
      <c r="L426" s="218">
        <v>15113.0</v>
      </c>
      <c r="M426" s="218">
        <v>168105.0</v>
      </c>
      <c r="N426" s="218">
        <v>1.0E8</v>
      </c>
      <c r="O426" s="218">
        <v>339092.0</v>
      </c>
      <c r="P426" s="218" t="s">
        <v>9573</v>
      </c>
      <c r="Q426" s="222">
        <v>122.6</v>
      </c>
      <c r="R426" s="222">
        <v>122.6</v>
      </c>
      <c r="S426" s="222">
        <v>122.6</v>
      </c>
      <c r="U426" s="222">
        <v>0.0</v>
      </c>
      <c r="X426" s="218">
        <v>1.51132020000156E14</v>
      </c>
      <c r="AB426" t="e">
        <v>#N/A</v>
      </c>
    </row>
    <row r="427">
      <c r="A427" s="218" t="s">
        <v>116</v>
      </c>
      <c r="C427" s="218" t="s">
        <v>10484</v>
      </c>
      <c r="F427" s="456">
        <v>44004.0</v>
      </c>
      <c r="G427" s="218">
        <v>3.0</v>
      </c>
      <c r="H427" s="218">
        <v>401091.0</v>
      </c>
      <c r="J427" s="218" t="s">
        <v>10485</v>
      </c>
      <c r="K427" s="218" t="s">
        <v>10486</v>
      </c>
      <c r="L427" s="218">
        <v>15113.0</v>
      </c>
      <c r="M427" s="218">
        <v>168107.0</v>
      </c>
      <c r="N427" s="218">
        <v>1.0E8</v>
      </c>
      <c r="O427" s="218">
        <v>339040.0</v>
      </c>
      <c r="P427" s="218" t="s">
        <v>10487</v>
      </c>
      <c r="Q427" s="222">
        <v>89820.0</v>
      </c>
      <c r="R427" s="222">
        <v>89820.0</v>
      </c>
      <c r="S427" s="222">
        <v>89820.0</v>
      </c>
      <c r="U427" s="222">
        <v>14970.0</v>
      </c>
      <c r="X427" s="218">
        <v>1.51132020000036E14</v>
      </c>
      <c r="AB427" t="e">
        <v>#N/A</v>
      </c>
    </row>
    <row r="428">
      <c r="A428" s="218" t="s">
        <v>781</v>
      </c>
      <c r="C428" s="218" t="s">
        <v>10488</v>
      </c>
      <c r="F428" s="456">
        <v>44004.0</v>
      </c>
      <c r="G428" s="218">
        <v>3.0</v>
      </c>
      <c r="H428" s="218">
        <v>401091.0</v>
      </c>
      <c r="J428" s="218" t="s">
        <v>10489</v>
      </c>
      <c r="K428" s="218" t="s">
        <v>10490</v>
      </c>
      <c r="L428" s="218">
        <v>15113.0</v>
      </c>
      <c r="M428" s="218">
        <v>168105.0</v>
      </c>
      <c r="N428" s="218">
        <v>1.0E8</v>
      </c>
      <c r="O428" s="218">
        <v>339039.0</v>
      </c>
      <c r="P428" s="218" t="s">
        <v>10491</v>
      </c>
      <c r="Q428" s="222">
        <v>1867.0</v>
      </c>
      <c r="R428" s="222">
        <v>1867.0</v>
      </c>
      <c r="S428" s="222">
        <v>4529.3</v>
      </c>
      <c r="U428" s="222">
        <v>303.51</v>
      </c>
      <c r="X428" s="218">
        <v>1.51132020000149E14</v>
      </c>
      <c r="AB428" t="e">
        <v>#N/A</v>
      </c>
    </row>
    <row r="429">
      <c r="A429" s="218" t="s">
        <v>781</v>
      </c>
      <c r="C429" s="218" t="s">
        <v>10492</v>
      </c>
      <c r="F429" s="456">
        <v>44004.0</v>
      </c>
      <c r="G429" s="218">
        <v>3.0</v>
      </c>
      <c r="H429" s="218">
        <v>401091.0</v>
      </c>
      <c r="J429" s="218" t="s">
        <v>10489</v>
      </c>
      <c r="K429" s="218" t="s">
        <v>10493</v>
      </c>
      <c r="L429" s="218">
        <v>15113.0</v>
      </c>
      <c r="M429" s="218">
        <v>168105.0</v>
      </c>
      <c r="N429" s="218">
        <v>1.0E8</v>
      </c>
      <c r="O429" s="218">
        <v>339030.0</v>
      </c>
      <c r="P429" s="218" t="s">
        <v>10491</v>
      </c>
      <c r="Q429" s="222">
        <v>11473.0</v>
      </c>
      <c r="R429" s="222">
        <v>11473.0</v>
      </c>
      <c r="S429" s="222">
        <v>17173.35</v>
      </c>
      <c r="U429" s="222">
        <v>873.76</v>
      </c>
      <c r="X429" s="218">
        <v>1.51132020000132E14</v>
      </c>
      <c r="AB429" t="e">
        <v>#N/A</v>
      </c>
    </row>
    <row r="430">
      <c r="A430" s="218" t="s">
        <v>787</v>
      </c>
      <c r="C430" s="218" t="s">
        <v>10494</v>
      </c>
      <c r="F430" s="456">
        <v>44004.0</v>
      </c>
      <c r="G430" s="218">
        <v>1.0</v>
      </c>
      <c r="H430" s="218">
        <v>401091.0</v>
      </c>
      <c r="J430" s="218" t="s">
        <v>10495</v>
      </c>
      <c r="K430" s="218" t="s">
        <v>10496</v>
      </c>
      <c r="L430" s="218">
        <v>15113.0</v>
      </c>
      <c r="M430" s="218">
        <v>168108.0</v>
      </c>
      <c r="N430" s="218">
        <v>1.0E8</v>
      </c>
      <c r="O430" s="218">
        <v>339039.0</v>
      </c>
      <c r="P430" s="218" t="s">
        <v>10497</v>
      </c>
      <c r="Q430" s="222">
        <v>1574.0</v>
      </c>
      <c r="R430" s="222">
        <v>1574.0</v>
      </c>
      <c r="S430" s="222">
        <v>1574.0</v>
      </c>
      <c r="U430" s="218">
        <v>0.0</v>
      </c>
      <c r="X430" s="218">
        <v>1.51132020000065E14</v>
      </c>
      <c r="AB430" t="e">
        <v>#N/A</v>
      </c>
    </row>
    <row r="431">
      <c r="A431" s="218" t="s">
        <v>9371</v>
      </c>
      <c r="C431" s="218" t="s">
        <v>10498</v>
      </c>
      <c r="F431" s="456">
        <v>44005.0</v>
      </c>
      <c r="G431" s="218">
        <v>1.0</v>
      </c>
      <c r="H431" s="218">
        <v>401091.0</v>
      </c>
      <c r="J431" s="218" t="s">
        <v>9590</v>
      </c>
      <c r="K431" s="218" t="s">
        <v>10499</v>
      </c>
      <c r="L431" s="218">
        <v>71103.0</v>
      </c>
      <c r="M431" s="218">
        <v>90162.0</v>
      </c>
      <c r="N431" s="218">
        <v>1.0E8</v>
      </c>
      <c r="O431" s="218">
        <v>319091.0</v>
      </c>
      <c r="P431" s="218" t="s">
        <v>10500</v>
      </c>
      <c r="Q431" s="222">
        <v>107224.86</v>
      </c>
      <c r="R431" s="222">
        <v>107224.86</v>
      </c>
      <c r="S431" s="222">
        <v>107224.86</v>
      </c>
      <c r="U431" s="218">
        <v>0.0</v>
      </c>
      <c r="X431" s="218">
        <v>1.51132020000204E14</v>
      </c>
      <c r="AB431" t="e">
        <v>#N/A</v>
      </c>
    </row>
    <row r="432">
      <c r="A432" s="218" t="s">
        <v>9331</v>
      </c>
      <c r="C432" s="218" t="s">
        <v>10501</v>
      </c>
      <c r="F432" s="456">
        <v>44007.0</v>
      </c>
      <c r="G432" s="218">
        <v>0.0</v>
      </c>
      <c r="H432" s="218">
        <v>401093.0</v>
      </c>
      <c r="I432" s="218" t="s">
        <v>9363</v>
      </c>
      <c r="J432" s="218" t="s">
        <v>9333</v>
      </c>
      <c r="K432" s="218" t="s">
        <v>9398</v>
      </c>
      <c r="L432" s="218">
        <v>15113.0</v>
      </c>
      <c r="M432" s="218">
        <v>168104.0</v>
      </c>
      <c r="N432" s="218">
        <v>1.0E8</v>
      </c>
      <c r="O432" s="218">
        <v>339008.0</v>
      </c>
      <c r="P432" s="218" t="s">
        <v>9335</v>
      </c>
      <c r="Q432" s="222">
        <v>13526.69</v>
      </c>
      <c r="R432" s="222">
        <v>-13526.69</v>
      </c>
      <c r="S432" s="222">
        <v>0.0</v>
      </c>
      <c r="U432" s="218">
        <v>0.0</v>
      </c>
      <c r="AB432" t="e">
        <v>#N/A</v>
      </c>
    </row>
    <row r="433">
      <c r="A433" s="218" t="s">
        <v>9331</v>
      </c>
      <c r="C433" s="218" t="s">
        <v>10502</v>
      </c>
      <c r="F433" s="456">
        <v>44007.0</v>
      </c>
      <c r="G433" s="218">
        <v>0.0</v>
      </c>
      <c r="H433" s="218">
        <v>401092.0</v>
      </c>
      <c r="I433" s="218" t="s">
        <v>9363</v>
      </c>
      <c r="J433" s="218" t="s">
        <v>9333</v>
      </c>
      <c r="K433" s="218" t="s">
        <v>9904</v>
      </c>
      <c r="L433" s="218">
        <v>15113.0</v>
      </c>
      <c r="M433" s="218">
        <v>168104.0</v>
      </c>
      <c r="N433" s="218">
        <v>1.0E8</v>
      </c>
      <c r="O433" s="218">
        <v>339008.0</v>
      </c>
      <c r="P433" s="218" t="s">
        <v>9335</v>
      </c>
      <c r="Q433" s="222">
        <v>13526.69</v>
      </c>
      <c r="R433" s="222">
        <v>13526.69</v>
      </c>
      <c r="S433" s="222">
        <v>0.0</v>
      </c>
      <c r="U433" s="218">
        <v>0.0</v>
      </c>
      <c r="X433" s="218">
        <v>1.51132020000192E14</v>
      </c>
      <c r="AB433" t="e">
        <v>#N/A</v>
      </c>
    </row>
    <row r="434">
      <c r="A434" s="218" t="s">
        <v>781</v>
      </c>
      <c r="C434" s="218" t="s">
        <v>10503</v>
      </c>
      <c r="F434" s="456">
        <v>44007.0</v>
      </c>
      <c r="G434" s="218">
        <v>3.0</v>
      </c>
      <c r="H434" s="218">
        <v>401091.0</v>
      </c>
      <c r="J434" s="218" t="s">
        <v>9564</v>
      </c>
      <c r="K434" s="218" t="s">
        <v>10504</v>
      </c>
      <c r="L434" s="218">
        <v>15113.0</v>
      </c>
      <c r="M434" s="218">
        <v>168105.0</v>
      </c>
      <c r="N434" s="218">
        <v>1.0E8</v>
      </c>
      <c r="O434" s="218">
        <v>339030.0</v>
      </c>
      <c r="P434" s="218" t="s">
        <v>10287</v>
      </c>
      <c r="Q434" s="222">
        <v>500.0</v>
      </c>
      <c r="R434" s="222">
        <v>500.0</v>
      </c>
      <c r="S434" s="222">
        <v>0.0</v>
      </c>
      <c r="U434" s="218">
        <v>0.0</v>
      </c>
      <c r="X434" s="218">
        <v>1.51132020000156E14</v>
      </c>
      <c r="AB434" t="e">
        <v>#N/A</v>
      </c>
    </row>
    <row r="435">
      <c r="A435" s="218" t="s">
        <v>781</v>
      </c>
      <c r="C435" s="218" t="s">
        <v>10505</v>
      </c>
      <c r="F435" s="456">
        <v>44007.0</v>
      </c>
      <c r="G435" s="218">
        <v>0.0</v>
      </c>
      <c r="H435" s="218">
        <v>401093.0</v>
      </c>
      <c r="I435" s="218" t="s">
        <v>10503</v>
      </c>
      <c r="J435" s="218" t="s">
        <v>9564</v>
      </c>
      <c r="K435" s="218" t="s">
        <v>9398</v>
      </c>
      <c r="L435" s="218">
        <v>15113.0</v>
      </c>
      <c r="M435" s="218">
        <v>168105.0</v>
      </c>
      <c r="N435" s="218">
        <v>1.0E8</v>
      </c>
      <c r="O435" s="218">
        <v>339030.0</v>
      </c>
      <c r="P435" s="218" t="s">
        <v>10287</v>
      </c>
      <c r="Q435" s="222">
        <v>500.0</v>
      </c>
      <c r="R435" s="222">
        <v>-500.0</v>
      </c>
      <c r="S435" s="222">
        <v>0.0</v>
      </c>
      <c r="U435" s="218">
        <v>0.0</v>
      </c>
      <c r="AB435" t="e">
        <v>#N/A</v>
      </c>
    </row>
    <row r="436">
      <c r="A436" s="218" t="s">
        <v>781</v>
      </c>
      <c r="C436" s="218" t="s">
        <v>10506</v>
      </c>
      <c r="F436" s="456">
        <v>44007.0</v>
      </c>
      <c r="G436" s="218">
        <v>3.0</v>
      </c>
      <c r="H436" s="218">
        <v>401091.0</v>
      </c>
      <c r="J436" s="218" t="s">
        <v>9582</v>
      </c>
      <c r="K436" s="218" t="s">
        <v>10504</v>
      </c>
      <c r="L436" s="218">
        <v>15113.0</v>
      </c>
      <c r="M436" s="218">
        <v>168105.0</v>
      </c>
      <c r="N436" s="218">
        <v>1.0E8</v>
      </c>
      <c r="O436" s="218">
        <v>339030.0</v>
      </c>
      <c r="P436" s="218" t="s">
        <v>10287</v>
      </c>
      <c r="Q436" s="222">
        <v>500.0</v>
      </c>
      <c r="R436" s="222">
        <v>500.0</v>
      </c>
      <c r="S436" s="218">
        <v>129.0</v>
      </c>
      <c r="U436" s="218">
        <v>0.0</v>
      </c>
      <c r="X436" s="218">
        <v>1.51132020000156E14</v>
      </c>
      <c r="AB436" t="e">
        <v>#N/A</v>
      </c>
    </row>
    <row r="437">
      <c r="A437" s="218" t="s">
        <v>9371</v>
      </c>
      <c r="C437" s="218" t="s">
        <v>10507</v>
      </c>
      <c r="F437" s="456">
        <v>44011.0</v>
      </c>
      <c r="G437" s="218">
        <v>0.0</v>
      </c>
      <c r="H437" s="218">
        <v>401092.0</v>
      </c>
      <c r="I437" s="218" t="s">
        <v>9390</v>
      </c>
      <c r="J437" s="218" t="s">
        <v>9333</v>
      </c>
      <c r="K437" s="218" t="s">
        <v>9904</v>
      </c>
      <c r="L437" s="218">
        <v>15113.0</v>
      </c>
      <c r="M437" s="218">
        <v>168105.0</v>
      </c>
      <c r="N437" s="218">
        <v>1.0E8</v>
      </c>
      <c r="O437" s="218">
        <v>339039.0</v>
      </c>
      <c r="P437" s="218" t="s">
        <v>9374</v>
      </c>
      <c r="Q437" s="222">
        <v>5000.0</v>
      </c>
      <c r="R437" s="222">
        <v>5000.0</v>
      </c>
      <c r="S437" s="218">
        <v>0.0</v>
      </c>
      <c r="U437" s="218">
        <v>0.0</v>
      </c>
      <c r="X437" s="218">
        <v>1.51132020000057E14</v>
      </c>
      <c r="AB437" t="e">
        <v>#N/A</v>
      </c>
    </row>
    <row r="438">
      <c r="A438" s="218" t="s">
        <v>459</v>
      </c>
      <c r="C438" s="218" t="s">
        <v>10508</v>
      </c>
      <c r="F438" s="456">
        <v>44012.0</v>
      </c>
      <c r="G438" s="218">
        <v>1.0</v>
      </c>
      <c r="H438" s="218">
        <v>401091.0</v>
      </c>
      <c r="J438" s="218" t="s">
        <v>10509</v>
      </c>
      <c r="K438" s="218" t="s">
        <v>10510</v>
      </c>
      <c r="L438" s="218">
        <v>15113.0</v>
      </c>
      <c r="M438" s="218">
        <v>168101.0</v>
      </c>
      <c r="N438" s="218">
        <v>1.51E8</v>
      </c>
      <c r="O438" s="218">
        <v>339030.0</v>
      </c>
      <c r="P438" s="218" t="s">
        <v>10511</v>
      </c>
      <c r="Q438" s="222">
        <v>585.6</v>
      </c>
      <c r="R438" s="222">
        <v>585.6</v>
      </c>
      <c r="S438" s="218">
        <v>585.6</v>
      </c>
      <c r="U438" s="218">
        <v>0.0</v>
      </c>
      <c r="X438" s="218">
        <v>1.51132020000176E14</v>
      </c>
      <c r="AB438" t="e">
        <v>#N/A</v>
      </c>
    </row>
    <row r="439">
      <c r="A439" s="218" t="s">
        <v>459</v>
      </c>
      <c r="C439" s="218" t="s">
        <v>10512</v>
      </c>
      <c r="F439" s="456">
        <v>44012.0</v>
      </c>
      <c r="G439" s="218">
        <v>1.0</v>
      </c>
      <c r="H439" s="218">
        <v>401091.0</v>
      </c>
      <c r="J439" s="218" t="s">
        <v>10513</v>
      </c>
      <c r="K439" s="218" t="s">
        <v>10510</v>
      </c>
      <c r="L439" s="218">
        <v>15113.0</v>
      </c>
      <c r="M439" s="218">
        <v>168101.0</v>
      </c>
      <c r="N439" s="218">
        <v>1.51E8</v>
      </c>
      <c r="O439" s="218">
        <v>339030.0</v>
      </c>
      <c r="P439" s="218" t="s">
        <v>10511</v>
      </c>
      <c r="Q439" s="222">
        <v>14119.3</v>
      </c>
      <c r="R439" s="222">
        <v>14119.3</v>
      </c>
      <c r="S439" s="222">
        <v>14119.3</v>
      </c>
      <c r="U439" s="218">
        <v>0.0</v>
      </c>
      <c r="X439" s="218">
        <v>1.51132020000176E14</v>
      </c>
      <c r="AB439" t="e">
        <v>#N/A</v>
      </c>
    </row>
    <row r="440">
      <c r="A440" s="218" t="s">
        <v>459</v>
      </c>
      <c r="C440" s="218" t="s">
        <v>10514</v>
      </c>
      <c r="F440" s="456">
        <v>44012.0</v>
      </c>
      <c r="G440" s="218">
        <v>1.0</v>
      </c>
      <c r="H440" s="218">
        <v>401091.0</v>
      </c>
      <c r="J440" s="218" t="s">
        <v>10515</v>
      </c>
      <c r="K440" s="218" t="s">
        <v>10510</v>
      </c>
      <c r="L440" s="218">
        <v>15113.0</v>
      </c>
      <c r="M440" s="218">
        <v>168101.0</v>
      </c>
      <c r="N440" s="218">
        <v>1.51E8</v>
      </c>
      <c r="O440" s="218">
        <v>339030.0</v>
      </c>
      <c r="P440" s="218" t="s">
        <v>10511</v>
      </c>
      <c r="Q440" s="222">
        <v>1170.0</v>
      </c>
      <c r="R440" s="222">
        <v>1170.0</v>
      </c>
      <c r="S440" s="222">
        <v>1170.0</v>
      </c>
      <c r="U440" s="218">
        <v>0.0</v>
      </c>
      <c r="X440" s="218">
        <v>1.51132020000176E14</v>
      </c>
      <c r="AB440" t="e">
        <v>#N/A</v>
      </c>
    </row>
    <row r="441">
      <c r="A441" s="218" t="s">
        <v>787</v>
      </c>
      <c r="C441" s="218" t="s">
        <v>10516</v>
      </c>
      <c r="F441" s="456">
        <v>44012.0</v>
      </c>
      <c r="G441" s="218">
        <v>1.0</v>
      </c>
      <c r="H441" s="218">
        <v>401091.0</v>
      </c>
      <c r="J441" s="218" t="s">
        <v>10517</v>
      </c>
      <c r="K441" s="218" t="s">
        <v>10518</v>
      </c>
      <c r="L441" s="218">
        <v>15113.0</v>
      </c>
      <c r="M441" s="218">
        <v>168108.0</v>
      </c>
      <c r="N441" s="218">
        <v>1.0E8</v>
      </c>
      <c r="O441" s="218">
        <v>339039.0</v>
      </c>
      <c r="P441" s="218" t="s">
        <v>10519</v>
      </c>
      <c r="Q441" s="222">
        <v>120.0</v>
      </c>
      <c r="R441" s="222">
        <v>120.0</v>
      </c>
      <c r="S441" s="218">
        <v>120.0</v>
      </c>
      <c r="U441" s="218">
        <v>0.0</v>
      </c>
      <c r="X441" s="218">
        <v>1.51132020000065E14</v>
      </c>
      <c r="AB441" t="e">
        <v>#N/A</v>
      </c>
    </row>
    <row r="442">
      <c r="A442" s="218" t="s">
        <v>781</v>
      </c>
      <c r="C442" s="218" t="s">
        <v>10520</v>
      </c>
      <c r="F442" s="456">
        <v>44013.0</v>
      </c>
      <c r="G442" s="218">
        <v>0.0</v>
      </c>
      <c r="H442" s="218">
        <v>401092.0</v>
      </c>
      <c r="I442" s="218" t="s">
        <v>10446</v>
      </c>
      <c r="J442" s="218" t="s">
        <v>10447</v>
      </c>
      <c r="K442" s="218" t="s">
        <v>9904</v>
      </c>
      <c r="L442" s="218">
        <v>15113.0</v>
      </c>
      <c r="M442" s="218">
        <v>168105.0</v>
      </c>
      <c r="N442" s="218">
        <v>1.0E8</v>
      </c>
      <c r="O442" s="218">
        <v>339092.0</v>
      </c>
      <c r="P442" s="218" t="s">
        <v>10449</v>
      </c>
      <c r="Q442" s="222">
        <v>48.68</v>
      </c>
      <c r="R442" s="222">
        <v>48.68</v>
      </c>
      <c r="S442" s="222">
        <v>0.0</v>
      </c>
      <c r="U442" s="218">
        <v>0.0</v>
      </c>
      <c r="X442" s="218">
        <v>1.51132020000128E14</v>
      </c>
      <c r="AB442" t="e">
        <v>#N/A</v>
      </c>
    </row>
    <row r="443">
      <c r="A443" s="218" t="s">
        <v>9430</v>
      </c>
      <c r="C443" s="218" t="s">
        <v>10521</v>
      </c>
      <c r="F443" s="456">
        <v>44014.0</v>
      </c>
      <c r="G443" s="218">
        <v>1.0</v>
      </c>
      <c r="H443" s="218">
        <v>401091.0</v>
      </c>
      <c r="J443" s="218" t="s">
        <v>10522</v>
      </c>
      <c r="K443" s="218" t="s">
        <v>10523</v>
      </c>
      <c r="L443" s="218">
        <v>15113.0</v>
      </c>
      <c r="M443" s="218">
        <v>168105.0</v>
      </c>
      <c r="N443" s="218">
        <v>1.0E8</v>
      </c>
      <c r="O443" s="218">
        <v>339030.0</v>
      </c>
      <c r="P443" s="218" t="s">
        <v>10524</v>
      </c>
      <c r="Q443" s="222">
        <v>4746.4</v>
      </c>
      <c r="R443" s="222">
        <v>4746.4</v>
      </c>
      <c r="S443" s="222">
        <v>4746.4</v>
      </c>
      <c r="U443" s="222">
        <v>0.0</v>
      </c>
      <c r="X443" s="218">
        <v>1.51132020000083E14</v>
      </c>
      <c r="AB443" t="e">
        <v>#N/A</v>
      </c>
    </row>
    <row r="444">
      <c r="A444" s="218" t="s">
        <v>785</v>
      </c>
      <c r="C444" s="218" t="s">
        <v>10525</v>
      </c>
      <c r="F444" s="456">
        <v>44014.0</v>
      </c>
      <c r="G444" s="218">
        <v>1.0</v>
      </c>
      <c r="H444" s="218">
        <v>401091.0</v>
      </c>
      <c r="J444" s="218" t="s">
        <v>10526</v>
      </c>
      <c r="K444" s="218" t="s">
        <v>10527</v>
      </c>
      <c r="L444" s="218">
        <v>15113.0</v>
      </c>
      <c r="M444" s="218">
        <v>168105.0</v>
      </c>
      <c r="N444" s="218">
        <v>1.0E8</v>
      </c>
      <c r="O444" s="218">
        <v>339039.0</v>
      </c>
      <c r="P444" s="218" t="s">
        <v>10528</v>
      </c>
      <c r="Q444" s="222">
        <v>2400.0</v>
      </c>
      <c r="R444" s="222">
        <v>2400.0</v>
      </c>
      <c r="S444" s="222">
        <v>2400.0</v>
      </c>
      <c r="U444" s="218">
        <v>0.0</v>
      </c>
      <c r="X444" s="218">
        <v>1.51132020000177E14</v>
      </c>
      <c r="AB444" t="e">
        <v>#N/A</v>
      </c>
    </row>
    <row r="445">
      <c r="A445" s="218" t="s">
        <v>781</v>
      </c>
      <c r="C445" s="218" t="s">
        <v>10529</v>
      </c>
      <c r="F445" s="456">
        <v>44019.0</v>
      </c>
      <c r="G445" s="218">
        <v>0.0</v>
      </c>
      <c r="H445" s="218">
        <v>401093.0</v>
      </c>
      <c r="I445" s="218" t="s">
        <v>9709</v>
      </c>
      <c r="J445" s="218" t="s">
        <v>9710</v>
      </c>
      <c r="K445" s="218" t="s">
        <v>9398</v>
      </c>
      <c r="L445" s="218">
        <v>15113.0</v>
      </c>
      <c r="M445" s="218">
        <v>168105.0</v>
      </c>
      <c r="N445" s="218">
        <v>1.0E8</v>
      </c>
      <c r="O445" s="218">
        <v>339039.0</v>
      </c>
      <c r="P445" s="218" t="s">
        <v>9405</v>
      </c>
      <c r="Q445" s="222">
        <v>50727.44</v>
      </c>
      <c r="R445" s="222">
        <v>-50727.44</v>
      </c>
      <c r="S445" s="222">
        <v>0.0</v>
      </c>
      <c r="U445" s="222">
        <v>0.0</v>
      </c>
      <c r="AB445" t="e">
        <v>#N/A</v>
      </c>
    </row>
    <row r="446">
      <c r="A446" s="218" t="s">
        <v>782</v>
      </c>
      <c r="C446" s="218" t="s">
        <v>10530</v>
      </c>
      <c r="F446" s="456">
        <v>44019.0</v>
      </c>
      <c r="G446" s="218">
        <v>0.0</v>
      </c>
      <c r="H446" s="218">
        <v>401093.0</v>
      </c>
      <c r="I446" s="218" t="s">
        <v>9728</v>
      </c>
      <c r="J446" s="218" t="s">
        <v>9729</v>
      </c>
      <c r="K446" s="218" t="s">
        <v>9398</v>
      </c>
      <c r="L446" s="218">
        <v>15113.0</v>
      </c>
      <c r="M446" s="218">
        <v>168105.0</v>
      </c>
      <c r="N446" s="218">
        <v>1.0E8</v>
      </c>
      <c r="O446" s="218">
        <v>339033.0</v>
      </c>
      <c r="P446" s="218" t="s">
        <v>9731</v>
      </c>
      <c r="Q446" s="222">
        <v>210000.0</v>
      </c>
      <c r="R446" s="222">
        <v>-210000.0</v>
      </c>
      <c r="S446" s="218">
        <v>0.0</v>
      </c>
      <c r="U446" s="218">
        <v>0.0</v>
      </c>
      <c r="AB446" t="e">
        <v>#N/A</v>
      </c>
    </row>
    <row r="447">
      <c r="A447" s="218" t="s">
        <v>782</v>
      </c>
      <c r="C447" s="218" t="s">
        <v>10531</v>
      </c>
      <c r="F447" s="456">
        <v>44019.0</v>
      </c>
      <c r="G447" s="218">
        <v>0.0</v>
      </c>
      <c r="H447" s="218">
        <v>406093.0</v>
      </c>
      <c r="I447" s="218" t="s">
        <v>10530</v>
      </c>
      <c r="J447" s="218" t="s">
        <v>9729</v>
      </c>
      <c r="K447" s="218" t="s">
        <v>10532</v>
      </c>
      <c r="L447" s="218">
        <v>0.0</v>
      </c>
      <c r="M447" s="218">
        <v>0.0</v>
      </c>
      <c r="O447" s="218">
        <v>0.0</v>
      </c>
      <c r="P447" s="218" t="s">
        <v>9731</v>
      </c>
      <c r="Q447" s="222">
        <v>210000.0</v>
      </c>
      <c r="R447" s="222">
        <v>210000.0</v>
      </c>
      <c r="S447" s="222">
        <v>0.0</v>
      </c>
      <c r="U447" s="222">
        <v>0.0</v>
      </c>
      <c r="AB447" t="e">
        <v>#N/A</v>
      </c>
    </row>
    <row r="448">
      <c r="A448" s="218" t="s">
        <v>782</v>
      </c>
      <c r="C448" s="218" t="s">
        <v>10533</v>
      </c>
      <c r="F448" s="456">
        <v>44019.0</v>
      </c>
      <c r="G448" s="218">
        <v>0.0</v>
      </c>
      <c r="H448" s="218">
        <v>401093.0</v>
      </c>
      <c r="I448" s="218" t="s">
        <v>9728</v>
      </c>
      <c r="J448" s="218" t="s">
        <v>9729</v>
      </c>
      <c r="K448" s="218" t="s">
        <v>9398</v>
      </c>
      <c r="L448" s="218">
        <v>15113.0</v>
      </c>
      <c r="M448" s="218">
        <v>168105.0</v>
      </c>
      <c r="N448" s="218">
        <v>1.0E8</v>
      </c>
      <c r="O448" s="218">
        <v>339033.0</v>
      </c>
      <c r="P448" s="218" t="s">
        <v>9731</v>
      </c>
      <c r="Q448" s="222">
        <v>210000.0</v>
      </c>
      <c r="R448" s="222">
        <v>-210000.0</v>
      </c>
      <c r="S448" s="218">
        <v>0.0</v>
      </c>
      <c r="U448" s="218">
        <v>0.0</v>
      </c>
      <c r="AB448" t="e">
        <v>#N/A</v>
      </c>
    </row>
    <row r="449">
      <c r="A449" s="218" t="s">
        <v>781</v>
      </c>
      <c r="C449" s="218" t="s">
        <v>10534</v>
      </c>
      <c r="F449" s="456">
        <v>44019.0</v>
      </c>
      <c r="G449" s="218">
        <v>0.0</v>
      </c>
      <c r="H449" s="218">
        <v>401093.0</v>
      </c>
      <c r="I449" s="218" t="s">
        <v>9760</v>
      </c>
      <c r="J449" s="218" t="s">
        <v>9761</v>
      </c>
      <c r="K449" s="218" t="s">
        <v>9398</v>
      </c>
      <c r="L449" s="218">
        <v>15113.0</v>
      </c>
      <c r="M449" s="218">
        <v>168105.0</v>
      </c>
      <c r="N449" s="218">
        <v>1.0E8</v>
      </c>
      <c r="O449" s="218">
        <v>339039.0</v>
      </c>
      <c r="P449" s="218" t="s">
        <v>9763</v>
      </c>
      <c r="Q449" s="222">
        <v>20000.0</v>
      </c>
      <c r="R449" s="222">
        <v>-20000.0</v>
      </c>
      <c r="S449" s="218">
        <v>0.0</v>
      </c>
      <c r="U449" s="218">
        <v>0.0</v>
      </c>
      <c r="AB449" t="e">
        <v>#N/A</v>
      </c>
    </row>
    <row r="450">
      <c r="A450" s="218" t="s">
        <v>781</v>
      </c>
      <c r="C450" s="218" t="s">
        <v>10535</v>
      </c>
      <c r="F450" s="456">
        <v>44019.0</v>
      </c>
      <c r="G450" s="218">
        <v>0.0</v>
      </c>
      <c r="H450" s="218">
        <v>401093.0</v>
      </c>
      <c r="I450" s="218" t="s">
        <v>9792</v>
      </c>
      <c r="J450" s="218" t="s">
        <v>9793</v>
      </c>
      <c r="K450" s="218" t="s">
        <v>9398</v>
      </c>
      <c r="L450" s="218">
        <v>15113.0</v>
      </c>
      <c r="M450" s="218">
        <v>168105.0</v>
      </c>
      <c r="N450" s="218">
        <v>1.0E8</v>
      </c>
      <c r="O450" s="218">
        <v>339039.0</v>
      </c>
      <c r="P450" s="218" t="s">
        <v>9795</v>
      </c>
      <c r="Q450" s="222">
        <v>32000.0</v>
      </c>
      <c r="R450" s="222">
        <v>-32000.0</v>
      </c>
      <c r="S450" s="218">
        <v>0.0</v>
      </c>
      <c r="U450" s="218">
        <v>0.0</v>
      </c>
      <c r="AB450" t="e">
        <v>#N/A</v>
      </c>
    </row>
    <row r="451">
      <c r="A451" s="218" t="s">
        <v>781</v>
      </c>
      <c r="C451" s="218" t="s">
        <v>10536</v>
      </c>
      <c r="F451" s="456">
        <v>44019.0</v>
      </c>
      <c r="G451" s="218">
        <v>0.0</v>
      </c>
      <c r="H451" s="218">
        <v>401093.0</v>
      </c>
      <c r="I451" s="218" t="s">
        <v>9764</v>
      </c>
      <c r="J451" s="218" t="s">
        <v>9765</v>
      </c>
      <c r="K451" s="218" t="s">
        <v>9398</v>
      </c>
      <c r="L451" s="218">
        <v>15113.0</v>
      </c>
      <c r="M451" s="218">
        <v>168105.0</v>
      </c>
      <c r="N451" s="218">
        <v>1.8115113E8</v>
      </c>
      <c r="O451" s="218">
        <v>339039.0</v>
      </c>
      <c r="P451" s="218" t="s">
        <v>9767</v>
      </c>
      <c r="Q451" s="222">
        <v>26116.0</v>
      </c>
      <c r="R451" s="222">
        <v>-26116.0</v>
      </c>
      <c r="S451" s="222">
        <v>0.0</v>
      </c>
      <c r="U451" s="218">
        <v>0.0</v>
      </c>
      <c r="AB451" t="e">
        <v>#N/A</v>
      </c>
    </row>
    <row r="452">
      <c r="A452" s="218" t="s">
        <v>781</v>
      </c>
      <c r="C452" s="218" t="s">
        <v>10537</v>
      </c>
      <c r="F452" s="456">
        <v>44019.0</v>
      </c>
      <c r="G452" s="218">
        <v>0.0</v>
      </c>
      <c r="H452" s="218">
        <v>401093.0</v>
      </c>
      <c r="I452" s="218" t="s">
        <v>9780</v>
      </c>
      <c r="J452" s="218" t="s">
        <v>9781</v>
      </c>
      <c r="K452" s="218" t="s">
        <v>9398</v>
      </c>
      <c r="L452" s="218">
        <v>15113.0</v>
      </c>
      <c r="M452" s="218">
        <v>168105.0</v>
      </c>
      <c r="N452" s="218">
        <v>1.0E8</v>
      </c>
      <c r="O452" s="218">
        <v>339037.0</v>
      </c>
      <c r="P452" s="218" t="s">
        <v>9783</v>
      </c>
      <c r="Q452" s="222">
        <v>152000.0</v>
      </c>
      <c r="R452" s="222">
        <v>-152000.0</v>
      </c>
      <c r="S452" s="218">
        <v>0.0</v>
      </c>
      <c r="U452" s="218">
        <v>0.0</v>
      </c>
      <c r="AB452" t="e">
        <v>#N/A</v>
      </c>
    </row>
    <row r="453">
      <c r="A453" s="218" t="s">
        <v>781</v>
      </c>
      <c r="C453" s="218" t="s">
        <v>10538</v>
      </c>
      <c r="F453" s="456">
        <v>44019.0</v>
      </c>
      <c r="G453" s="218">
        <v>0.0</v>
      </c>
      <c r="H453" s="218">
        <v>401093.0</v>
      </c>
      <c r="I453" s="218" t="s">
        <v>9800</v>
      </c>
      <c r="J453" s="218" t="s">
        <v>9697</v>
      </c>
      <c r="K453" s="218" t="s">
        <v>9398</v>
      </c>
      <c r="L453" s="218">
        <v>15113.0</v>
      </c>
      <c r="M453" s="218">
        <v>168105.0</v>
      </c>
      <c r="N453" s="218">
        <v>1.27E8</v>
      </c>
      <c r="O453" s="218">
        <v>339039.0</v>
      </c>
      <c r="P453" s="218" t="s">
        <v>9802</v>
      </c>
      <c r="Q453" s="222">
        <v>600000.0</v>
      </c>
      <c r="R453" s="222">
        <v>-600000.0</v>
      </c>
      <c r="S453" s="222">
        <v>0.0</v>
      </c>
      <c r="U453" s="218">
        <v>0.0</v>
      </c>
      <c r="AB453" t="e">
        <v>#N/A</v>
      </c>
    </row>
    <row r="454">
      <c r="A454" s="218" t="s">
        <v>781</v>
      </c>
      <c r="C454" s="218" t="s">
        <v>10539</v>
      </c>
      <c r="F454" s="456">
        <v>44019.0</v>
      </c>
      <c r="G454" s="218">
        <v>0.0</v>
      </c>
      <c r="H454" s="218">
        <v>401092.0</v>
      </c>
      <c r="I454" s="218" t="s">
        <v>9679</v>
      </c>
      <c r="J454" s="218" t="s">
        <v>9680</v>
      </c>
      <c r="K454" s="218" t="s">
        <v>9904</v>
      </c>
      <c r="L454" s="218">
        <v>15113.0</v>
      </c>
      <c r="M454" s="218">
        <v>168105.0</v>
      </c>
      <c r="N454" s="218">
        <v>1.27E8</v>
      </c>
      <c r="O454" s="218">
        <v>339039.0</v>
      </c>
      <c r="P454" s="218" t="s">
        <v>9682</v>
      </c>
      <c r="Q454" s="222">
        <v>440000.0</v>
      </c>
      <c r="R454" s="222">
        <v>440000.0</v>
      </c>
      <c r="S454" s="222">
        <v>0.0</v>
      </c>
      <c r="U454" s="222">
        <v>0.0</v>
      </c>
      <c r="X454" s="218">
        <v>1.51132020000142E14</v>
      </c>
      <c r="AB454" t="e">
        <v>#N/A</v>
      </c>
    </row>
    <row r="455">
      <c r="A455" s="218" t="s">
        <v>781</v>
      </c>
      <c r="C455" s="218" t="s">
        <v>10540</v>
      </c>
      <c r="F455" s="456">
        <v>44019.0</v>
      </c>
      <c r="G455" s="218">
        <v>0.0</v>
      </c>
      <c r="H455" s="218">
        <v>401093.0</v>
      </c>
      <c r="I455" s="218" t="s">
        <v>9803</v>
      </c>
      <c r="J455" s="218" t="s">
        <v>9697</v>
      </c>
      <c r="K455" s="218" t="s">
        <v>9398</v>
      </c>
      <c r="L455" s="218">
        <v>15113.0</v>
      </c>
      <c r="M455" s="218">
        <v>168105.0</v>
      </c>
      <c r="N455" s="218">
        <v>1.27E8</v>
      </c>
      <c r="O455" s="218">
        <v>339047.0</v>
      </c>
      <c r="P455" s="218" t="s">
        <v>9802</v>
      </c>
      <c r="Q455" s="222">
        <v>10000.0</v>
      </c>
      <c r="R455" s="222">
        <v>-10000.0</v>
      </c>
      <c r="S455" s="218">
        <v>0.0</v>
      </c>
      <c r="U455" s="218">
        <v>0.0</v>
      </c>
      <c r="AB455" t="e">
        <v>#N/A</v>
      </c>
    </row>
    <row r="456">
      <c r="A456" s="218" t="s">
        <v>781</v>
      </c>
      <c r="C456" s="218" t="s">
        <v>10541</v>
      </c>
      <c r="F456" s="456">
        <v>44020.0</v>
      </c>
      <c r="G456" s="218">
        <v>0.0</v>
      </c>
      <c r="H456" s="218">
        <v>401093.0</v>
      </c>
      <c r="I456" s="218" t="s">
        <v>9720</v>
      </c>
      <c r="J456" s="218" t="s">
        <v>9717</v>
      </c>
      <c r="K456" s="218" t="s">
        <v>9398</v>
      </c>
      <c r="L456" s="218">
        <v>15113.0</v>
      </c>
      <c r="M456" s="218">
        <v>168105.0</v>
      </c>
      <c r="N456" s="218">
        <v>1.27E8</v>
      </c>
      <c r="O456" s="218">
        <v>339039.0</v>
      </c>
      <c r="P456" s="218" t="s">
        <v>9719</v>
      </c>
      <c r="Q456" s="222">
        <v>43833.13</v>
      </c>
      <c r="R456" s="222">
        <v>-43833.13</v>
      </c>
      <c r="S456" s="222">
        <v>0.0</v>
      </c>
      <c r="U456" s="222">
        <v>0.0</v>
      </c>
      <c r="AB456" t="e">
        <v>#N/A</v>
      </c>
    </row>
    <row r="457">
      <c r="A457" s="218" t="s">
        <v>781</v>
      </c>
      <c r="C457" s="218" t="s">
        <v>10542</v>
      </c>
      <c r="F457" s="456">
        <v>44020.0</v>
      </c>
      <c r="G457" s="218">
        <v>0.0</v>
      </c>
      <c r="H457" s="218">
        <v>401093.0</v>
      </c>
      <c r="I457" s="218" t="s">
        <v>9716</v>
      </c>
      <c r="J457" s="218" t="s">
        <v>9717</v>
      </c>
      <c r="K457" s="218" t="s">
        <v>9398</v>
      </c>
      <c r="L457" s="218">
        <v>15113.0</v>
      </c>
      <c r="M457" s="218">
        <v>168105.0</v>
      </c>
      <c r="N457" s="218">
        <v>1.0E8</v>
      </c>
      <c r="O457" s="218">
        <v>339030.0</v>
      </c>
      <c r="P457" s="218" t="s">
        <v>9719</v>
      </c>
      <c r="Q457" s="222">
        <v>1000.0</v>
      </c>
      <c r="R457" s="222">
        <v>-1000.0</v>
      </c>
      <c r="S457" s="222">
        <v>0.0</v>
      </c>
      <c r="U457" s="222">
        <v>0.0</v>
      </c>
      <c r="AB457" t="e">
        <v>#N/A</v>
      </c>
    </row>
    <row r="458">
      <c r="A458" s="218" t="s">
        <v>9331</v>
      </c>
      <c r="C458" s="218" t="s">
        <v>10543</v>
      </c>
      <c r="F458" s="456">
        <v>44025.0</v>
      </c>
      <c r="G458" s="218">
        <v>0.0</v>
      </c>
      <c r="H458" s="218">
        <v>401092.0</v>
      </c>
      <c r="I458" s="218" t="s">
        <v>9353</v>
      </c>
      <c r="J458" s="218" t="s">
        <v>9333</v>
      </c>
      <c r="K458" s="218" t="s">
        <v>9904</v>
      </c>
      <c r="L458" s="218">
        <v>15113.0</v>
      </c>
      <c r="M458" s="218">
        <v>168099.0</v>
      </c>
      <c r="N458" s="218">
        <v>1.69E8</v>
      </c>
      <c r="O458" s="218">
        <v>319001.0</v>
      </c>
      <c r="P458" s="218" t="s">
        <v>9335</v>
      </c>
      <c r="Q458" s="222">
        <v>72000.0</v>
      </c>
      <c r="R458" s="222">
        <v>72000.0</v>
      </c>
      <c r="S458" s="218">
        <v>0.0</v>
      </c>
      <c r="U458" s="218">
        <v>0.0</v>
      </c>
      <c r="X458" s="218">
        <v>1.51132020000179E14</v>
      </c>
      <c r="AB458" t="e">
        <v>#N/A</v>
      </c>
    </row>
    <row r="459">
      <c r="A459" s="218" t="s">
        <v>9331</v>
      </c>
      <c r="C459" s="218" t="s">
        <v>10544</v>
      </c>
      <c r="F459" s="456">
        <v>44025.0</v>
      </c>
      <c r="G459" s="218">
        <v>0.0</v>
      </c>
      <c r="H459" s="218">
        <v>401093.0</v>
      </c>
      <c r="I459" s="218" t="s">
        <v>9363</v>
      </c>
      <c r="J459" s="218" t="s">
        <v>9333</v>
      </c>
      <c r="K459" s="218" t="s">
        <v>9398</v>
      </c>
      <c r="L459" s="218">
        <v>15113.0</v>
      </c>
      <c r="M459" s="218">
        <v>168104.0</v>
      </c>
      <c r="N459" s="218">
        <v>1.0E8</v>
      </c>
      <c r="O459" s="218">
        <v>339008.0</v>
      </c>
      <c r="P459" s="218" t="s">
        <v>9335</v>
      </c>
      <c r="Q459" s="222">
        <v>3286.02</v>
      </c>
      <c r="R459" s="222">
        <v>-3286.02</v>
      </c>
      <c r="S459" s="218">
        <v>0.0</v>
      </c>
      <c r="U459" s="218">
        <v>0.0</v>
      </c>
      <c r="AB459" t="e">
        <v>#N/A</v>
      </c>
    </row>
    <row r="460">
      <c r="A460" s="218" t="s">
        <v>9331</v>
      </c>
      <c r="C460" s="218" t="s">
        <v>10545</v>
      </c>
      <c r="F460" s="456">
        <v>44025.0</v>
      </c>
      <c r="G460" s="218">
        <v>0.0</v>
      </c>
      <c r="H460" s="218">
        <v>401092.0</v>
      </c>
      <c r="I460" s="218" t="s">
        <v>9363</v>
      </c>
      <c r="J460" s="218" t="s">
        <v>9333</v>
      </c>
      <c r="K460" s="218" t="s">
        <v>9904</v>
      </c>
      <c r="L460" s="218">
        <v>15113.0</v>
      </c>
      <c r="M460" s="218">
        <v>168104.0</v>
      </c>
      <c r="N460" s="218">
        <v>1.0E8</v>
      </c>
      <c r="O460" s="218">
        <v>339008.0</v>
      </c>
      <c r="P460" s="218" t="s">
        <v>9335</v>
      </c>
      <c r="Q460" s="222">
        <v>3286.02</v>
      </c>
      <c r="R460" s="222">
        <v>3286.02</v>
      </c>
      <c r="S460" s="222">
        <v>0.0</v>
      </c>
      <c r="U460" s="222">
        <v>0.0</v>
      </c>
      <c r="X460" s="218">
        <v>1.51132020000192E14</v>
      </c>
      <c r="AB460" t="e">
        <v>#N/A</v>
      </c>
    </row>
    <row r="461">
      <c r="A461" s="218" t="s">
        <v>9371</v>
      </c>
      <c r="C461" s="218" t="s">
        <v>10546</v>
      </c>
      <c r="F461" s="456">
        <v>44026.0</v>
      </c>
      <c r="G461" s="218">
        <v>1.0</v>
      </c>
      <c r="H461" s="218">
        <v>401091.0</v>
      </c>
      <c r="J461" s="218" t="s">
        <v>9333</v>
      </c>
      <c r="K461" s="218" t="s">
        <v>10547</v>
      </c>
      <c r="L461" s="218">
        <v>15113.0</v>
      </c>
      <c r="M461" s="218">
        <v>168105.0</v>
      </c>
      <c r="N461" s="218">
        <v>1.0E8</v>
      </c>
      <c r="O461" s="218">
        <v>339092.0</v>
      </c>
      <c r="P461" s="218" t="s">
        <v>10548</v>
      </c>
      <c r="Q461" s="222">
        <v>1537.89</v>
      </c>
      <c r="R461" s="222">
        <v>1537.89</v>
      </c>
      <c r="S461" s="222">
        <v>1537.89</v>
      </c>
      <c r="U461" s="218">
        <v>0.0</v>
      </c>
      <c r="X461" s="218">
        <v>1.51132020000056E14</v>
      </c>
      <c r="AB461" t="e">
        <v>#N/A</v>
      </c>
    </row>
    <row r="462">
      <c r="A462" s="218" t="s">
        <v>116</v>
      </c>
      <c r="C462" s="218" t="s">
        <v>10549</v>
      </c>
      <c r="F462" s="456">
        <v>44026.0</v>
      </c>
      <c r="G462" s="218">
        <v>1.0</v>
      </c>
      <c r="H462" s="218">
        <v>401091.0</v>
      </c>
      <c r="J462" s="218" t="s">
        <v>10550</v>
      </c>
      <c r="K462" s="218" t="s">
        <v>10551</v>
      </c>
      <c r="L462" s="218">
        <v>15113.0</v>
      </c>
      <c r="M462" s="218">
        <v>168105.0</v>
      </c>
      <c r="N462" s="218">
        <v>1.0E8</v>
      </c>
      <c r="O462" s="218">
        <v>339040.0</v>
      </c>
      <c r="P462" s="218" t="s">
        <v>10552</v>
      </c>
      <c r="Q462" s="222">
        <v>1798.0</v>
      </c>
      <c r="R462" s="222">
        <v>1798.0</v>
      </c>
      <c r="S462" s="222">
        <v>1798.0</v>
      </c>
      <c r="U462" s="218">
        <v>0.0</v>
      </c>
      <c r="X462" s="218">
        <v>1.51132020000038E14</v>
      </c>
      <c r="AB462" t="e">
        <v>#N/A</v>
      </c>
    </row>
    <row r="463">
      <c r="A463" s="218" t="s">
        <v>116</v>
      </c>
      <c r="C463" s="218" t="s">
        <v>10553</v>
      </c>
      <c r="F463" s="456">
        <v>44026.0</v>
      </c>
      <c r="G463" s="218">
        <v>1.0</v>
      </c>
      <c r="H463" s="218">
        <v>401091.0</v>
      </c>
      <c r="J463" s="218" t="s">
        <v>10554</v>
      </c>
      <c r="K463" s="218" t="s">
        <v>10555</v>
      </c>
      <c r="L463" s="218">
        <v>15113.0</v>
      </c>
      <c r="M463" s="218">
        <v>168105.0</v>
      </c>
      <c r="N463" s="218">
        <v>1.0E8</v>
      </c>
      <c r="O463" s="218">
        <v>339040.0</v>
      </c>
      <c r="P463" s="218" t="s">
        <v>10552</v>
      </c>
      <c r="Q463" s="222">
        <v>1952.0</v>
      </c>
      <c r="R463" s="222">
        <v>1952.0</v>
      </c>
      <c r="S463" s="222">
        <v>1852.0</v>
      </c>
      <c r="U463" s="222">
        <v>0.0</v>
      </c>
      <c r="X463" s="218">
        <v>1.51132020000038E14</v>
      </c>
      <c r="AB463" t="e">
        <v>#N/A</v>
      </c>
    </row>
    <row r="464">
      <c r="A464" s="218" t="s">
        <v>9371</v>
      </c>
      <c r="C464" s="218" t="s">
        <v>10556</v>
      </c>
      <c r="F464" s="456">
        <v>44026.0</v>
      </c>
      <c r="G464" s="218">
        <v>1.0</v>
      </c>
      <c r="H464" s="218">
        <v>401091.0</v>
      </c>
      <c r="J464" s="218" t="s">
        <v>10557</v>
      </c>
      <c r="K464" s="218" t="s">
        <v>10558</v>
      </c>
      <c r="L464" s="218">
        <v>15113.0</v>
      </c>
      <c r="M464" s="218">
        <v>168105.0</v>
      </c>
      <c r="N464" s="218">
        <v>1.0E8</v>
      </c>
      <c r="O464" s="218">
        <v>339039.0</v>
      </c>
      <c r="P464" s="218" t="s">
        <v>10559</v>
      </c>
      <c r="Q464" s="222">
        <v>2000.0</v>
      </c>
      <c r="R464" s="222">
        <v>2000.0</v>
      </c>
      <c r="S464" s="222">
        <v>2000.0</v>
      </c>
      <c r="U464" s="218">
        <v>0.0</v>
      </c>
      <c r="X464" s="218">
        <v>1.51132020000209E14</v>
      </c>
      <c r="AB464" t="e">
        <v>#N/A</v>
      </c>
    </row>
    <row r="465">
      <c r="A465" s="218" t="s">
        <v>787</v>
      </c>
      <c r="C465" s="218" t="s">
        <v>10560</v>
      </c>
      <c r="F465" s="456">
        <v>44027.0</v>
      </c>
      <c r="G465" s="218">
        <v>1.0</v>
      </c>
      <c r="H465" s="218">
        <v>401091.0</v>
      </c>
      <c r="J465" s="218" t="s">
        <v>10561</v>
      </c>
      <c r="K465" s="218" t="s">
        <v>10562</v>
      </c>
      <c r="L465" s="218">
        <v>15113.0</v>
      </c>
      <c r="M465" s="218">
        <v>168108.0</v>
      </c>
      <c r="N465" s="218">
        <v>1.0E8</v>
      </c>
      <c r="O465" s="218">
        <v>339039.0</v>
      </c>
      <c r="P465" s="218" t="s">
        <v>10563</v>
      </c>
      <c r="Q465" s="222">
        <v>5000.0</v>
      </c>
      <c r="R465" s="222">
        <v>5000.0</v>
      </c>
      <c r="S465" s="222">
        <v>5000.0</v>
      </c>
      <c r="U465" s="222">
        <v>0.0</v>
      </c>
      <c r="X465" s="218">
        <v>1.51132020000066E14</v>
      </c>
      <c r="AB465" t="e">
        <v>#N/A</v>
      </c>
    </row>
    <row r="466">
      <c r="A466" s="218" t="s">
        <v>787</v>
      </c>
      <c r="C466" s="218" t="s">
        <v>10564</v>
      </c>
      <c r="F466" s="456">
        <v>44027.0</v>
      </c>
      <c r="G466" s="218">
        <v>0.0</v>
      </c>
      <c r="H466" s="218">
        <v>401093.0</v>
      </c>
      <c r="I466" s="218" t="s">
        <v>10016</v>
      </c>
      <c r="J466" s="218" t="s">
        <v>10017</v>
      </c>
      <c r="K466" s="218" t="s">
        <v>9398</v>
      </c>
      <c r="L466" s="218">
        <v>15113.0</v>
      </c>
      <c r="M466" s="218">
        <v>168108.0</v>
      </c>
      <c r="N466" s="218">
        <v>1.0E8</v>
      </c>
      <c r="O466" s="218">
        <v>339039.0</v>
      </c>
      <c r="P466" s="218" t="s">
        <v>10019</v>
      </c>
      <c r="Q466" s="222">
        <v>2890.0</v>
      </c>
      <c r="R466" s="222">
        <v>-2890.0</v>
      </c>
      <c r="S466" s="222">
        <v>0.0</v>
      </c>
      <c r="U466" s="222">
        <v>0.0</v>
      </c>
      <c r="AB466" t="e">
        <v>#N/A</v>
      </c>
    </row>
    <row r="467">
      <c r="A467" s="218" t="s">
        <v>9920</v>
      </c>
      <c r="C467" s="218" t="s">
        <v>10565</v>
      </c>
      <c r="F467" s="456">
        <v>44027.0</v>
      </c>
      <c r="G467" s="218">
        <v>1.0</v>
      </c>
      <c r="H467" s="218">
        <v>401091.0</v>
      </c>
      <c r="J467" s="218" t="s">
        <v>10566</v>
      </c>
      <c r="K467" s="218" t="s">
        <v>10567</v>
      </c>
      <c r="L467" s="218">
        <v>15113.0</v>
      </c>
      <c r="M467" s="218">
        <v>168105.0</v>
      </c>
      <c r="N467" s="218">
        <v>1.0E8</v>
      </c>
      <c r="O467" s="218">
        <v>339039.0</v>
      </c>
      <c r="P467" s="218" t="s">
        <v>10568</v>
      </c>
      <c r="Q467" s="222">
        <v>11297.25</v>
      </c>
      <c r="R467" s="222">
        <v>11297.25</v>
      </c>
      <c r="S467" s="222">
        <v>13587.25</v>
      </c>
      <c r="U467" s="222">
        <v>0.0</v>
      </c>
      <c r="X467" s="218">
        <v>1.5113202000023E14</v>
      </c>
      <c r="AB467" t="e">
        <v>#N/A</v>
      </c>
    </row>
    <row r="468">
      <c r="A468" s="218" t="s">
        <v>787</v>
      </c>
      <c r="C468" s="218" t="s">
        <v>10569</v>
      </c>
      <c r="F468" s="456">
        <v>44028.0</v>
      </c>
      <c r="G468" s="218">
        <v>1.0</v>
      </c>
      <c r="H468" s="218">
        <v>401091.0</v>
      </c>
      <c r="J468" s="218" t="s">
        <v>10570</v>
      </c>
      <c r="K468" s="218" t="s">
        <v>10571</v>
      </c>
      <c r="L468" s="218">
        <v>15113.0</v>
      </c>
      <c r="M468" s="218">
        <v>168108.0</v>
      </c>
      <c r="N468" s="218">
        <v>1.0E8</v>
      </c>
      <c r="O468" s="218">
        <v>339039.0</v>
      </c>
      <c r="P468" s="218" t="s">
        <v>10572</v>
      </c>
      <c r="Q468" s="222">
        <v>3000.0</v>
      </c>
      <c r="R468" s="222">
        <v>3000.0</v>
      </c>
      <c r="S468" s="222">
        <v>3000.0</v>
      </c>
      <c r="U468" s="218">
        <v>0.0</v>
      </c>
      <c r="X468" s="218">
        <v>1.51132020000065E14</v>
      </c>
      <c r="AB468" t="e">
        <v>#N/A</v>
      </c>
    </row>
    <row r="469">
      <c r="A469" s="218" t="s">
        <v>781</v>
      </c>
      <c r="C469" s="218" t="s">
        <v>10573</v>
      </c>
      <c r="F469" s="456">
        <v>44028.0</v>
      </c>
      <c r="G469" s="218">
        <v>0.0</v>
      </c>
      <c r="H469" s="218">
        <v>401092.0</v>
      </c>
      <c r="I469" s="218" t="s">
        <v>9475</v>
      </c>
      <c r="J469" s="218" t="s">
        <v>9476</v>
      </c>
      <c r="K469" s="218" t="s">
        <v>9904</v>
      </c>
      <c r="L469" s="218">
        <v>15113.0</v>
      </c>
      <c r="M469" s="218">
        <v>168105.0</v>
      </c>
      <c r="N469" s="218">
        <v>1.0E8</v>
      </c>
      <c r="O469" s="218">
        <v>339047.0</v>
      </c>
      <c r="P469" s="218" t="s">
        <v>9478</v>
      </c>
      <c r="Q469" s="222">
        <v>239.76</v>
      </c>
      <c r="R469" s="222">
        <v>239.76</v>
      </c>
      <c r="S469" s="218">
        <v>0.0</v>
      </c>
      <c r="U469" s="218">
        <v>0.0</v>
      </c>
      <c r="X469" s="218">
        <v>1.51132020000168E14</v>
      </c>
      <c r="AB469" t="e">
        <v>#N/A</v>
      </c>
    </row>
    <row r="470">
      <c r="A470" s="218" t="s">
        <v>781</v>
      </c>
      <c r="C470" s="218" t="s">
        <v>10574</v>
      </c>
      <c r="F470" s="456">
        <v>44028.0</v>
      </c>
      <c r="G470" s="218">
        <v>3.0</v>
      </c>
      <c r="H470" s="218">
        <v>401091.0</v>
      </c>
      <c r="J470" s="218" t="s">
        <v>9411</v>
      </c>
      <c r="K470" s="218" t="s">
        <v>10575</v>
      </c>
      <c r="L470" s="218">
        <v>15113.0</v>
      </c>
      <c r="M470" s="218">
        <v>168105.0</v>
      </c>
      <c r="N470" s="218">
        <v>1.0E8</v>
      </c>
      <c r="O470" s="218">
        <v>339039.0</v>
      </c>
      <c r="P470" s="218" t="s">
        <v>10576</v>
      </c>
      <c r="Q470" s="222">
        <v>24433.76</v>
      </c>
      <c r="R470" s="222">
        <v>24433.76</v>
      </c>
      <c r="S470" s="222">
        <v>24433.76</v>
      </c>
      <c r="U470" s="218">
        <v>0.0</v>
      </c>
      <c r="X470" s="218">
        <v>1.51132020000153E14</v>
      </c>
      <c r="AB470" t="e">
        <v>#N/A</v>
      </c>
    </row>
    <row r="471">
      <c r="A471" s="218" t="s">
        <v>9920</v>
      </c>
      <c r="C471" s="218" t="s">
        <v>10577</v>
      </c>
      <c r="F471" s="456">
        <v>44028.0</v>
      </c>
      <c r="G471" s="218">
        <v>1.0</v>
      </c>
      <c r="H471" s="218">
        <v>401091.0</v>
      </c>
      <c r="J471" s="218" t="s">
        <v>10578</v>
      </c>
      <c r="K471" s="218" t="s">
        <v>10579</v>
      </c>
      <c r="L471" s="218">
        <v>15113.0</v>
      </c>
      <c r="M471" s="218">
        <v>168105.0</v>
      </c>
      <c r="N471" s="218">
        <v>1.0E8</v>
      </c>
      <c r="O471" s="218">
        <v>339039.0</v>
      </c>
      <c r="P471" s="218" t="s">
        <v>10580</v>
      </c>
      <c r="Q471" s="222">
        <v>2200.0</v>
      </c>
      <c r="R471" s="222">
        <v>2200.0</v>
      </c>
      <c r="S471" s="222">
        <v>2750.0</v>
      </c>
      <c r="U471" s="218">
        <v>0.0</v>
      </c>
      <c r="X471" s="218">
        <v>1.51132020000229E14</v>
      </c>
      <c r="AB471" t="e">
        <v>#N/A</v>
      </c>
    </row>
    <row r="472">
      <c r="A472" s="218" t="s">
        <v>787</v>
      </c>
      <c r="C472" s="218" t="s">
        <v>10581</v>
      </c>
      <c r="F472" s="456">
        <v>44029.0</v>
      </c>
      <c r="G472" s="218">
        <v>1.0</v>
      </c>
      <c r="H472" s="218">
        <v>401091.0</v>
      </c>
      <c r="J472" s="218" t="s">
        <v>10017</v>
      </c>
      <c r="K472" s="218" t="s">
        <v>10582</v>
      </c>
      <c r="L472" s="218">
        <v>15113.0</v>
      </c>
      <c r="M472" s="218">
        <v>168108.0</v>
      </c>
      <c r="N472" s="218">
        <v>1.0E8</v>
      </c>
      <c r="O472" s="218">
        <v>339039.0</v>
      </c>
      <c r="P472" s="218" t="s">
        <v>10583</v>
      </c>
      <c r="Q472" s="222">
        <v>1290.0</v>
      </c>
      <c r="R472" s="222">
        <v>1290.0</v>
      </c>
      <c r="S472" s="222">
        <v>1290.0</v>
      </c>
      <c r="U472" s="218">
        <v>0.0</v>
      </c>
      <c r="X472" s="218">
        <v>1.51132020000066E14</v>
      </c>
      <c r="AB472" t="e">
        <v>#N/A</v>
      </c>
    </row>
    <row r="473">
      <c r="A473" s="218" t="s">
        <v>9430</v>
      </c>
      <c r="C473" s="218" t="s">
        <v>10584</v>
      </c>
      <c r="F473" s="456">
        <v>44029.0</v>
      </c>
      <c r="G473" s="218">
        <v>1.0</v>
      </c>
      <c r="H473" s="218">
        <v>401091.0</v>
      </c>
      <c r="J473" s="218" t="s">
        <v>10585</v>
      </c>
      <c r="K473" s="218" t="s">
        <v>10586</v>
      </c>
      <c r="L473" s="218">
        <v>15113.0</v>
      </c>
      <c r="M473" s="218">
        <v>168105.0</v>
      </c>
      <c r="N473" s="218">
        <v>1.0E8</v>
      </c>
      <c r="O473" s="218">
        <v>339047.0</v>
      </c>
      <c r="P473" s="218" t="s">
        <v>10587</v>
      </c>
      <c r="Q473" s="222">
        <v>41.0</v>
      </c>
      <c r="R473" s="222">
        <v>41.0</v>
      </c>
      <c r="S473" s="222">
        <v>41.0</v>
      </c>
      <c r="U473" s="222">
        <v>0.0</v>
      </c>
      <c r="X473" s="218">
        <v>1.51132020000073E14</v>
      </c>
      <c r="AB473" t="e">
        <v>#N/A</v>
      </c>
    </row>
    <row r="474">
      <c r="A474" s="218" t="s">
        <v>9430</v>
      </c>
      <c r="C474" s="218" t="s">
        <v>10588</v>
      </c>
      <c r="F474" s="456">
        <v>44029.0</v>
      </c>
      <c r="G474" s="218">
        <v>1.0</v>
      </c>
      <c r="H474" s="218">
        <v>401091.0</v>
      </c>
      <c r="J474" s="218" t="s">
        <v>10589</v>
      </c>
      <c r="K474" s="218" t="s">
        <v>10590</v>
      </c>
      <c r="L474" s="218">
        <v>15113.0</v>
      </c>
      <c r="M474" s="218">
        <v>168105.0</v>
      </c>
      <c r="N474" s="218">
        <v>1.0E8</v>
      </c>
      <c r="O474" s="218">
        <v>339047.0</v>
      </c>
      <c r="P474" s="218" t="s">
        <v>10587</v>
      </c>
      <c r="Q474" s="222">
        <v>421.48</v>
      </c>
      <c r="R474" s="222">
        <v>421.48</v>
      </c>
      <c r="S474" s="222">
        <v>421.48</v>
      </c>
      <c r="U474" s="218">
        <v>0.0</v>
      </c>
      <c r="X474" s="218">
        <v>1.51132020000073E14</v>
      </c>
      <c r="AB474" t="e">
        <v>#N/A</v>
      </c>
    </row>
    <row r="475">
      <c r="A475" s="218" t="s">
        <v>787</v>
      </c>
      <c r="C475" s="218" t="s">
        <v>10591</v>
      </c>
      <c r="F475" s="456">
        <v>44032.0</v>
      </c>
      <c r="G475" s="218">
        <v>1.0</v>
      </c>
      <c r="H475" s="218">
        <v>401091.0</v>
      </c>
      <c r="J475" s="218" t="s">
        <v>10592</v>
      </c>
      <c r="K475" s="218" t="s">
        <v>10593</v>
      </c>
      <c r="L475" s="218">
        <v>15113.0</v>
      </c>
      <c r="M475" s="218">
        <v>168108.0</v>
      </c>
      <c r="N475" s="218">
        <v>1.0E8</v>
      </c>
      <c r="O475" s="218">
        <v>339039.0</v>
      </c>
      <c r="P475" s="218" t="s">
        <v>10594</v>
      </c>
      <c r="Q475" s="222">
        <v>1290.0</v>
      </c>
      <c r="R475" s="222">
        <v>1290.0</v>
      </c>
      <c r="S475" s="222">
        <v>1290.0</v>
      </c>
      <c r="U475" s="218">
        <v>0.0</v>
      </c>
      <c r="X475" s="218">
        <v>1.51132020000066E14</v>
      </c>
      <c r="AB475" t="e">
        <v>#N/A</v>
      </c>
    </row>
    <row r="476">
      <c r="A476" s="218" t="s">
        <v>116</v>
      </c>
      <c r="C476" s="218" t="s">
        <v>10595</v>
      </c>
      <c r="F476" s="456">
        <v>44032.0</v>
      </c>
      <c r="G476" s="218">
        <v>3.0</v>
      </c>
      <c r="H476" s="218">
        <v>401091.0</v>
      </c>
      <c r="J476" s="218" t="s">
        <v>10485</v>
      </c>
      <c r="K476" s="218" t="s">
        <v>10596</v>
      </c>
      <c r="L476" s="218">
        <v>15113.0</v>
      </c>
      <c r="M476" s="218">
        <v>168107.0</v>
      </c>
      <c r="N476" s="218">
        <v>1.0E8</v>
      </c>
      <c r="O476" s="218">
        <v>339040.0</v>
      </c>
      <c r="P476" s="218" t="s">
        <v>10597</v>
      </c>
      <c r="Q476" s="222">
        <v>5382.0</v>
      </c>
      <c r="R476" s="222">
        <v>5382.0</v>
      </c>
      <c r="S476" s="222">
        <v>5382.0</v>
      </c>
      <c r="U476" s="222">
        <v>1076.4</v>
      </c>
      <c r="X476" s="218">
        <v>1.51132020000011E14</v>
      </c>
      <c r="AB476" t="e">
        <v>#N/A</v>
      </c>
    </row>
    <row r="477">
      <c r="A477" s="218" t="s">
        <v>9920</v>
      </c>
      <c r="C477" s="218" t="s">
        <v>10598</v>
      </c>
      <c r="F477" s="456">
        <v>44033.0</v>
      </c>
      <c r="G477" s="218">
        <v>0.0</v>
      </c>
      <c r="H477" s="218">
        <v>401092.0</v>
      </c>
      <c r="I477" s="218" t="s">
        <v>10454</v>
      </c>
      <c r="J477" s="218" t="s">
        <v>9922</v>
      </c>
      <c r="K477" s="218" t="s">
        <v>9904</v>
      </c>
      <c r="L477" s="218">
        <v>15113.0</v>
      </c>
      <c r="M477" s="218">
        <v>168105.0</v>
      </c>
      <c r="N477" s="218">
        <v>1.0E8</v>
      </c>
      <c r="O477" s="218">
        <v>339030.0</v>
      </c>
      <c r="P477" s="218" t="s">
        <v>9924</v>
      </c>
      <c r="Q477" s="222">
        <v>40000.0</v>
      </c>
      <c r="R477" s="222">
        <v>40000.0</v>
      </c>
      <c r="S477" s="218">
        <v>0.0</v>
      </c>
      <c r="U477" s="218">
        <v>0.0</v>
      </c>
      <c r="X477" s="218">
        <v>1.51132020000197E14</v>
      </c>
      <c r="AB477" t="e">
        <v>#N/A</v>
      </c>
    </row>
    <row r="478">
      <c r="A478" s="218" t="s">
        <v>9920</v>
      </c>
      <c r="C478" s="218" t="s">
        <v>10599</v>
      </c>
      <c r="F478" s="456">
        <v>44033.0</v>
      </c>
      <c r="G478" s="218">
        <v>0.0</v>
      </c>
      <c r="H478" s="218">
        <v>401092.0</v>
      </c>
      <c r="I478" s="218" t="s">
        <v>10455</v>
      </c>
      <c r="J478" s="218" t="s">
        <v>9922</v>
      </c>
      <c r="K478" s="218" t="s">
        <v>9904</v>
      </c>
      <c r="L478" s="218">
        <v>15113.0</v>
      </c>
      <c r="M478" s="218">
        <v>168105.0</v>
      </c>
      <c r="N478" s="218">
        <v>1.0E8</v>
      </c>
      <c r="O478" s="218">
        <v>339039.0</v>
      </c>
      <c r="P478" s="218" t="s">
        <v>9924</v>
      </c>
      <c r="Q478" s="222">
        <v>20000.0</v>
      </c>
      <c r="R478" s="222">
        <v>20000.0</v>
      </c>
      <c r="S478" s="222">
        <v>0.0</v>
      </c>
      <c r="U478" s="222">
        <v>0.0</v>
      </c>
      <c r="X478" s="218">
        <v>1.51132020000198E14</v>
      </c>
      <c r="AB478" t="e">
        <v>#N/A</v>
      </c>
    </row>
    <row r="479">
      <c r="A479" s="218" t="s">
        <v>781</v>
      </c>
      <c r="C479" s="218" t="s">
        <v>10600</v>
      </c>
      <c r="F479" s="456">
        <v>44035.0</v>
      </c>
      <c r="G479" s="218">
        <v>0.0</v>
      </c>
      <c r="H479" s="218">
        <v>401093.0</v>
      </c>
      <c r="I479" s="218" t="s">
        <v>9606</v>
      </c>
      <c r="J479" s="218" t="s">
        <v>9607</v>
      </c>
      <c r="K479" s="218" t="s">
        <v>9398</v>
      </c>
      <c r="L479" s="218">
        <v>15113.0</v>
      </c>
      <c r="M479" s="218">
        <v>168105.0</v>
      </c>
      <c r="N479" s="218">
        <v>1.0E8</v>
      </c>
      <c r="O479" s="218">
        <v>339039.0</v>
      </c>
      <c r="P479" s="218" t="s">
        <v>9609</v>
      </c>
      <c r="Q479" s="222">
        <v>15499.6</v>
      </c>
      <c r="R479" s="222">
        <v>-15499.6</v>
      </c>
      <c r="S479" s="222">
        <v>0.0</v>
      </c>
      <c r="U479" s="218">
        <v>0.0</v>
      </c>
      <c r="AB479" t="e">
        <v>#N/A</v>
      </c>
    </row>
    <row r="480">
      <c r="A480" s="218" t="s">
        <v>781</v>
      </c>
      <c r="C480" s="218" t="s">
        <v>10601</v>
      </c>
      <c r="F480" s="456">
        <v>44035.0</v>
      </c>
      <c r="G480" s="218">
        <v>0.0</v>
      </c>
      <c r="H480" s="218">
        <v>401093.0</v>
      </c>
      <c r="I480" s="218" t="s">
        <v>9494</v>
      </c>
      <c r="J480" s="218" t="s">
        <v>9495</v>
      </c>
      <c r="K480" s="218" t="s">
        <v>9398</v>
      </c>
      <c r="L480" s="218">
        <v>15113.0</v>
      </c>
      <c r="M480" s="218">
        <v>168105.0</v>
      </c>
      <c r="N480" s="218">
        <v>1.0E8</v>
      </c>
      <c r="O480" s="218">
        <v>339039.0</v>
      </c>
      <c r="P480" s="218" t="s">
        <v>9497</v>
      </c>
      <c r="Q480" s="222">
        <v>20000.0</v>
      </c>
      <c r="R480" s="222">
        <v>-20000.0</v>
      </c>
      <c r="S480" s="222">
        <v>0.0</v>
      </c>
      <c r="U480" s="218">
        <v>0.0</v>
      </c>
      <c r="AB480" t="e">
        <v>#N/A</v>
      </c>
    </row>
    <row r="481">
      <c r="A481" s="218" t="s">
        <v>781</v>
      </c>
      <c r="C481" s="218" t="s">
        <v>10602</v>
      </c>
      <c r="F481" s="456">
        <v>44035.0</v>
      </c>
      <c r="G481" s="218">
        <v>0.0</v>
      </c>
      <c r="H481" s="218">
        <v>401093.0</v>
      </c>
      <c r="I481" s="218" t="s">
        <v>9640</v>
      </c>
      <c r="J481" s="218" t="s">
        <v>9641</v>
      </c>
      <c r="K481" s="218" t="s">
        <v>9398</v>
      </c>
      <c r="L481" s="218">
        <v>15113.0</v>
      </c>
      <c r="M481" s="218">
        <v>168105.0</v>
      </c>
      <c r="N481" s="218">
        <v>1.0E8</v>
      </c>
      <c r="O481" s="218">
        <v>339039.0</v>
      </c>
      <c r="P481" s="218" t="s">
        <v>9639</v>
      </c>
      <c r="Q481" s="222">
        <v>21900.0</v>
      </c>
      <c r="R481" s="222">
        <v>-21900.0</v>
      </c>
      <c r="S481" s="222">
        <v>0.0</v>
      </c>
      <c r="U481" s="218">
        <v>0.0</v>
      </c>
      <c r="AB481" t="e">
        <v>#N/A</v>
      </c>
    </row>
    <row r="482">
      <c r="A482" s="218" t="s">
        <v>9430</v>
      </c>
      <c r="C482" s="218" t="s">
        <v>10603</v>
      </c>
      <c r="F482" s="456">
        <v>44035.0</v>
      </c>
      <c r="G482" s="218">
        <v>0.0</v>
      </c>
      <c r="H482" s="218">
        <v>401092.0</v>
      </c>
      <c r="I482" s="218" t="s">
        <v>9892</v>
      </c>
      <c r="J482" s="218" t="s">
        <v>9893</v>
      </c>
      <c r="K482" s="218" t="s">
        <v>9904</v>
      </c>
      <c r="L482" s="218">
        <v>15113.0</v>
      </c>
      <c r="M482" s="218">
        <v>168105.0</v>
      </c>
      <c r="N482" s="218">
        <v>1.0E8</v>
      </c>
      <c r="O482" s="218">
        <v>339039.0</v>
      </c>
      <c r="P482" s="218" t="s">
        <v>9779</v>
      </c>
      <c r="Q482" s="222">
        <v>675.0</v>
      </c>
      <c r="R482" s="222">
        <v>675.0</v>
      </c>
      <c r="S482" s="222">
        <v>0.0</v>
      </c>
      <c r="U482" s="222">
        <v>0.0</v>
      </c>
      <c r="X482" s="218">
        <v>1.51132020000119E14</v>
      </c>
      <c r="AB482" t="e">
        <v>#N/A</v>
      </c>
    </row>
    <row r="483">
      <c r="A483" s="218" t="s">
        <v>9371</v>
      </c>
      <c r="C483" s="218" t="s">
        <v>10604</v>
      </c>
      <c r="F483" s="456">
        <v>44035.0</v>
      </c>
      <c r="G483" s="218">
        <v>0.0</v>
      </c>
      <c r="H483" s="218">
        <v>401093.0</v>
      </c>
      <c r="I483" s="218" t="s">
        <v>9393</v>
      </c>
      <c r="J483" s="218" t="s">
        <v>9333</v>
      </c>
      <c r="K483" s="218" t="s">
        <v>9398</v>
      </c>
      <c r="L483" s="218">
        <v>15113.0</v>
      </c>
      <c r="M483" s="218">
        <v>168109.0</v>
      </c>
      <c r="N483" s="218">
        <v>1.0E8</v>
      </c>
      <c r="O483" s="218">
        <v>339014.0</v>
      </c>
      <c r="P483" s="218" t="s">
        <v>9374</v>
      </c>
      <c r="Q483" s="222">
        <v>100000.0</v>
      </c>
      <c r="R483" s="222">
        <v>-100000.0</v>
      </c>
      <c r="S483" s="222">
        <v>0.0</v>
      </c>
      <c r="U483" s="222">
        <v>0.0</v>
      </c>
      <c r="AB483" t="e">
        <v>#N/A</v>
      </c>
    </row>
    <row r="484">
      <c r="A484" s="218" t="s">
        <v>781</v>
      </c>
      <c r="C484" s="218" t="s">
        <v>10605</v>
      </c>
      <c r="F484" s="456">
        <v>44036.0</v>
      </c>
      <c r="G484" s="218">
        <v>0.0</v>
      </c>
      <c r="H484" s="218">
        <v>401092.0</v>
      </c>
      <c r="I484" s="218" t="s">
        <v>9643</v>
      </c>
      <c r="J484" s="218" t="s">
        <v>9644</v>
      </c>
      <c r="K484" s="218" t="s">
        <v>9904</v>
      </c>
      <c r="L484" s="218">
        <v>15113.0</v>
      </c>
      <c r="M484" s="218">
        <v>168105.0</v>
      </c>
      <c r="N484" s="218">
        <v>1.0E8</v>
      </c>
      <c r="O484" s="218">
        <v>339039.0</v>
      </c>
      <c r="P484" s="218" t="s">
        <v>9639</v>
      </c>
      <c r="Q484" s="222">
        <v>1008.99</v>
      </c>
      <c r="R484" s="222">
        <v>1008.99</v>
      </c>
      <c r="S484" s="218">
        <v>0.0</v>
      </c>
      <c r="U484" s="218">
        <v>0.0</v>
      </c>
      <c r="X484" s="218">
        <v>1.51132020000171E14</v>
      </c>
      <c r="AB484" t="e">
        <v>#N/A</v>
      </c>
    </row>
    <row r="485">
      <c r="A485" s="218" t="s">
        <v>9920</v>
      </c>
      <c r="C485" s="218" t="s">
        <v>10606</v>
      </c>
      <c r="F485" s="456">
        <v>44036.0</v>
      </c>
      <c r="G485" s="218">
        <v>1.0</v>
      </c>
      <c r="H485" s="218">
        <v>401091.0</v>
      </c>
      <c r="J485" s="218" t="s">
        <v>10607</v>
      </c>
      <c r="K485" s="218" t="s">
        <v>10608</v>
      </c>
      <c r="L485" s="218">
        <v>15113.0</v>
      </c>
      <c r="M485" s="218">
        <v>168105.0</v>
      </c>
      <c r="N485" s="218">
        <v>1.0E8</v>
      </c>
      <c r="O485" s="218">
        <v>339039.0</v>
      </c>
      <c r="P485" s="218" t="s">
        <v>10609</v>
      </c>
      <c r="Q485" s="222">
        <v>11200.0</v>
      </c>
      <c r="R485" s="222">
        <v>11200.0</v>
      </c>
      <c r="S485" s="222">
        <v>11200.0</v>
      </c>
      <c r="U485" s="218">
        <v>0.0</v>
      </c>
      <c r="X485" s="218">
        <v>1.51132020000235E14</v>
      </c>
      <c r="AB485" t="e">
        <v>#N/A</v>
      </c>
    </row>
    <row r="486">
      <c r="A486" s="218" t="s">
        <v>9371</v>
      </c>
      <c r="C486" s="218" t="s">
        <v>10610</v>
      </c>
      <c r="F486" s="456">
        <v>44036.0</v>
      </c>
      <c r="G486" s="218">
        <v>1.0</v>
      </c>
      <c r="H486" s="218">
        <v>401091.0</v>
      </c>
      <c r="J486" s="218" t="s">
        <v>10091</v>
      </c>
      <c r="K486" s="218" t="s">
        <v>10611</v>
      </c>
      <c r="L486" s="218">
        <v>15113.0</v>
      </c>
      <c r="M486" s="218">
        <v>168105.0</v>
      </c>
      <c r="N486" s="218">
        <v>1.0E8</v>
      </c>
      <c r="O486" s="218">
        <v>339030.0</v>
      </c>
      <c r="P486" s="218" t="s">
        <v>10612</v>
      </c>
      <c r="Q486" s="222">
        <v>5728.0</v>
      </c>
      <c r="R486" s="222">
        <v>5728.0</v>
      </c>
      <c r="S486" s="222">
        <v>5728.0</v>
      </c>
      <c r="U486" s="222">
        <v>0.0</v>
      </c>
      <c r="X486" s="218">
        <v>1.5113202000006E14</v>
      </c>
      <c r="AB486" t="e">
        <v>#N/A</v>
      </c>
    </row>
    <row r="487">
      <c r="A487" s="218" t="s">
        <v>9920</v>
      </c>
      <c r="C487" s="218" t="s">
        <v>10613</v>
      </c>
      <c r="F487" s="456">
        <v>44041.0</v>
      </c>
      <c r="G487" s="218">
        <v>0.0</v>
      </c>
      <c r="H487" s="218">
        <v>401092.0</v>
      </c>
      <c r="I487" s="218" t="s">
        <v>10577</v>
      </c>
      <c r="J487" s="218" t="s">
        <v>10578</v>
      </c>
      <c r="K487" s="218" t="s">
        <v>9904</v>
      </c>
      <c r="L487" s="218">
        <v>15113.0</v>
      </c>
      <c r="M487" s="218">
        <v>168105.0</v>
      </c>
      <c r="N487" s="218">
        <v>1.0E8</v>
      </c>
      <c r="O487" s="218">
        <v>339039.0</v>
      </c>
      <c r="P487" s="218" t="s">
        <v>10580</v>
      </c>
      <c r="Q487" s="222">
        <v>550.0</v>
      </c>
      <c r="R487" s="222">
        <v>550.0</v>
      </c>
      <c r="S487" s="218">
        <v>0.0</v>
      </c>
      <c r="U487" s="218">
        <v>0.0</v>
      </c>
      <c r="X487" s="218">
        <v>1.51132020000229E14</v>
      </c>
      <c r="AB487" t="e">
        <v>#N/A</v>
      </c>
    </row>
    <row r="488">
      <c r="A488" s="218" t="s">
        <v>9920</v>
      </c>
      <c r="C488" s="218" t="s">
        <v>10614</v>
      </c>
      <c r="F488" s="456">
        <v>44041.0</v>
      </c>
      <c r="G488" s="218">
        <v>0.0</v>
      </c>
      <c r="H488" s="218">
        <v>401093.0</v>
      </c>
      <c r="I488" s="218" t="s">
        <v>10577</v>
      </c>
      <c r="J488" s="218" t="s">
        <v>10578</v>
      </c>
      <c r="K488" s="218" t="s">
        <v>9398</v>
      </c>
      <c r="L488" s="218">
        <v>15113.0</v>
      </c>
      <c r="M488" s="218">
        <v>168105.0</v>
      </c>
      <c r="N488" s="218">
        <v>1.0E8</v>
      </c>
      <c r="O488" s="218">
        <v>339039.0</v>
      </c>
      <c r="P488" s="218" t="s">
        <v>10580</v>
      </c>
      <c r="Q488" s="222">
        <v>550.0</v>
      </c>
      <c r="R488" s="222">
        <v>-550.0</v>
      </c>
      <c r="S488" s="218">
        <v>0.0</v>
      </c>
      <c r="U488" s="218">
        <v>0.0</v>
      </c>
      <c r="AB488" t="e">
        <v>#N/A</v>
      </c>
    </row>
    <row r="489">
      <c r="A489" s="218" t="s">
        <v>9920</v>
      </c>
      <c r="C489" s="218" t="s">
        <v>10615</v>
      </c>
      <c r="F489" s="456">
        <v>44041.0</v>
      </c>
      <c r="G489" s="218">
        <v>0.0</v>
      </c>
      <c r="H489" s="218">
        <v>401092.0</v>
      </c>
      <c r="I489" s="218" t="s">
        <v>10577</v>
      </c>
      <c r="J489" s="218" t="s">
        <v>10578</v>
      </c>
      <c r="K489" s="218" t="s">
        <v>9904</v>
      </c>
      <c r="L489" s="218">
        <v>15113.0</v>
      </c>
      <c r="M489" s="218">
        <v>168105.0</v>
      </c>
      <c r="N489" s="218">
        <v>1.0E8</v>
      </c>
      <c r="O489" s="218">
        <v>339039.0</v>
      </c>
      <c r="P489" s="218" t="s">
        <v>10580</v>
      </c>
      <c r="Q489" s="218">
        <v>550.0</v>
      </c>
      <c r="R489" s="218">
        <v>550.0</v>
      </c>
      <c r="S489" s="218">
        <v>0.0</v>
      </c>
      <c r="U489" s="218">
        <v>0.0</v>
      </c>
      <c r="X489" s="218">
        <v>1.51132020000229E14</v>
      </c>
      <c r="AB489" t="e">
        <v>#N/A</v>
      </c>
    </row>
    <row r="490">
      <c r="A490" s="218" t="s">
        <v>781</v>
      </c>
      <c r="C490" s="218" t="s">
        <v>10616</v>
      </c>
      <c r="F490" s="456">
        <v>44041.0</v>
      </c>
      <c r="G490" s="218">
        <v>0.0</v>
      </c>
      <c r="H490" s="218">
        <v>401093.0</v>
      </c>
      <c r="I490" s="218" t="s">
        <v>9868</v>
      </c>
      <c r="J490" s="218" t="s">
        <v>9869</v>
      </c>
      <c r="K490" s="218" t="s">
        <v>9398</v>
      </c>
      <c r="L490" s="218">
        <v>15113.0</v>
      </c>
      <c r="M490" s="218">
        <v>168105.0</v>
      </c>
      <c r="N490" s="218">
        <v>1.0E8</v>
      </c>
      <c r="O490" s="218">
        <v>339037.0</v>
      </c>
      <c r="P490" s="218" t="s">
        <v>9866</v>
      </c>
      <c r="Q490" s="222">
        <v>40500.0</v>
      </c>
      <c r="R490" s="222">
        <v>-40500.0</v>
      </c>
      <c r="S490" s="218">
        <v>0.0</v>
      </c>
      <c r="U490" s="218">
        <v>0.0</v>
      </c>
      <c r="AB490" t="e">
        <v>#N/A</v>
      </c>
    </row>
    <row r="491">
      <c r="A491" s="218" t="s">
        <v>781</v>
      </c>
      <c r="C491" s="218" t="s">
        <v>10617</v>
      </c>
      <c r="F491" s="456">
        <v>44041.0</v>
      </c>
      <c r="G491" s="218">
        <v>0.0</v>
      </c>
      <c r="H491" s="218">
        <v>401093.0</v>
      </c>
      <c r="I491" s="218" t="s">
        <v>9995</v>
      </c>
      <c r="J491" s="218" t="s">
        <v>9996</v>
      </c>
      <c r="K491" s="218" t="s">
        <v>9398</v>
      </c>
      <c r="L491" s="218">
        <v>15113.0</v>
      </c>
      <c r="M491" s="218">
        <v>168105.0</v>
      </c>
      <c r="N491" s="218">
        <v>1.0E8</v>
      </c>
      <c r="O491" s="218">
        <v>339037.0</v>
      </c>
      <c r="P491" s="218" t="s">
        <v>9998</v>
      </c>
      <c r="Q491" s="222">
        <v>73872.83</v>
      </c>
      <c r="R491" s="222">
        <v>-73872.83</v>
      </c>
      <c r="S491" s="222">
        <v>0.0</v>
      </c>
      <c r="U491" s="218">
        <v>0.0</v>
      </c>
      <c r="AB491" t="e">
        <v>#N/A</v>
      </c>
    </row>
    <row r="492">
      <c r="A492" s="218" t="s">
        <v>781</v>
      </c>
      <c r="C492" s="218" t="s">
        <v>10618</v>
      </c>
      <c r="F492" s="456">
        <v>44041.0</v>
      </c>
      <c r="G492" s="218">
        <v>0.0</v>
      </c>
      <c r="H492" s="218">
        <v>401092.0</v>
      </c>
      <c r="I492" s="218" t="s">
        <v>9874</v>
      </c>
      <c r="J492" s="218" t="s">
        <v>9875</v>
      </c>
      <c r="K492" s="218" t="s">
        <v>10619</v>
      </c>
      <c r="L492" s="218">
        <v>15113.0</v>
      </c>
      <c r="M492" s="218">
        <v>168105.0</v>
      </c>
      <c r="N492" s="218">
        <v>1.0E8</v>
      </c>
      <c r="O492" s="218">
        <v>339037.0</v>
      </c>
      <c r="P492" s="218" t="s">
        <v>9877</v>
      </c>
      <c r="Q492" s="222">
        <v>4337.85</v>
      </c>
      <c r="R492" s="222">
        <v>4337.85</v>
      </c>
      <c r="S492" s="218">
        <v>0.0</v>
      </c>
      <c r="U492" s="218">
        <v>0.0</v>
      </c>
      <c r="X492" s="218">
        <v>1.51132020000124E14</v>
      </c>
      <c r="AB492" t="e">
        <v>#N/A</v>
      </c>
    </row>
    <row r="493">
      <c r="A493" s="218" t="s">
        <v>10620</v>
      </c>
      <c r="C493" s="218" t="s">
        <v>10621</v>
      </c>
      <c r="F493" s="456">
        <v>44041.0</v>
      </c>
      <c r="G493" s="218">
        <v>1.0</v>
      </c>
      <c r="H493" s="218">
        <v>401091.0</v>
      </c>
      <c r="J493" s="218" t="s">
        <v>10384</v>
      </c>
      <c r="K493" s="218" t="s">
        <v>10622</v>
      </c>
      <c r="L493" s="218">
        <v>15101.0</v>
      </c>
      <c r="M493" s="218">
        <v>167925.0</v>
      </c>
      <c r="N493" s="218">
        <v>1.0E8</v>
      </c>
      <c r="O493" s="218">
        <v>339030.0</v>
      </c>
      <c r="P493" s="218" t="s">
        <v>10623</v>
      </c>
      <c r="Q493" s="222">
        <v>6969.0</v>
      </c>
      <c r="R493" s="222">
        <v>6969.0</v>
      </c>
      <c r="S493" s="222">
        <v>7472.7</v>
      </c>
      <c r="U493" s="218">
        <v>0.0</v>
      </c>
      <c r="X493" s="218">
        <v>1.51132020000231E14</v>
      </c>
      <c r="AB493" t="e">
        <v>#N/A</v>
      </c>
    </row>
    <row r="494">
      <c r="A494" s="218" t="s">
        <v>781</v>
      </c>
      <c r="C494" s="218" t="s">
        <v>10624</v>
      </c>
      <c r="F494" s="456">
        <v>44041.0</v>
      </c>
      <c r="G494" s="218">
        <v>0.0</v>
      </c>
      <c r="H494" s="218">
        <v>401092.0</v>
      </c>
      <c r="I494" s="218" t="s">
        <v>9955</v>
      </c>
      <c r="J494" s="218" t="s">
        <v>9956</v>
      </c>
      <c r="K494" s="218" t="s">
        <v>9904</v>
      </c>
      <c r="L494" s="218">
        <v>15113.0</v>
      </c>
      <c r="M494" s="218">
        <v>168105.0</v>
      </c>
      <c r="N494" s="218">
        <v>1.0E8</v>
      </c>
      <c r="O494" s="218">
        <v>339037.0</v>
      </c>
      <c r="P494" s="218" t="s">
        <v>9958</v>
      </c>
      <c r="Q494" s="222">
        <v>35450.35</v>
      </c>
      <c r="R494" s="222">
        <v>35450.35</v>
      </c>
      <c r="S494" s="222">
        <v>0.0</v>
      </c>
      <c r="U494" s="218">
        <v>0.0</v>
      </c>
      <c r="X494" s="218">
        <v>1.51132020000124E14</v>
      </c>
      <c r="AB494" t="e">
        <v>#N/A</v>
      </c>
    </row>
    <row r="495">
      <c r="A495" s="218" t="s">
        <v>9430</v>
      </c>
      <c r="C495" s="218" t="s">
        <v>10625</v>
      </c>
      <c r="F495" s="456">
        <v>44041.0</v>
      </c>
      <c r="G495" s="218">
        <v>0.0</v>
      </c>
      <c r="H495" s="218">
        <v>401093.0</v>
      </c>
      <c r="I495" s="218" t="s">
        <v>9744</v>
      </c>
      <c r="J495" s="218" t="s">
        <v>9745</v>
      </c>
      <c r="K495" s="218" t="s">
        <v>9398</v>
      </c>
      <c r="L495" s="218">
        <v>15113.0</v>
      </c>
      <c r="M495" s="218">
        <v>168105.0</v>
      </c>
      <c r="N495" s="218">
        <v>1.0E8</v>
      </c>
      <c r="O495" s="218">
        <v>339039.0</v>
      </c>
      <c r="P495" s="218" t="s">
        <v>9743</v>
      </c>
      <c r="Q495" s="222">
        <v>850.0</v>
      </c>
      <c r="R495" s="222">
        <v>-850.0</v>
      </c>
      <c r="S495" s="218">
        <v>0.0</v>
      </c>
      <c r="U495" s="218">
        <v>0.0</v>
      </c>
      <c r="AB495" t="e">
        <v>#N/A</v>
      </c>
    </row>
    <row r="496">
      <c r="A496" s="218" t="s">
        <v>9430</v>
      </c>
      <c r="C496" s="218" t="s">
        <v>10626</v>
      </c>
      <c r="F496" s="456">
        <v>44041.0</v>
      </c>
      <c r="G496" s="218">
        <v>0.0</v>
      </c>
      <c r="H496" s="218">
        <v>401093.0</v>
      </c>
      <c r="I496" s="218" t="s">
        <v>9740</v>
      </c>
      <c r="J496" s="218" t="s">
        <v>9741</v>
      </c>
      <c r="K496" s="218" t="s">
        <v>9398</v>
      </c>
      <c r="L496" s="218">
        <v>15113.0</v>
      </c>
      <c r="M496" s="218">
        <v>168105.0</v>
      </c>
      <c r="N496" s="218">
        <v>1.0E8</v>
      </c>
      <c r="O496" s="218">
        <v>339039.0</v>
      </c>
      <c r="P496" s="218" t="s">
        <v>9743</v>
      </c>
      <c r="Q496" s="222">
        <v>408.14</v>
      </c>
      <c r="R496" s="222">
        <v>-408.14</v>
      </c>
      <c r="S496" s="218">
        <v>0.0</v>
      </c>
      <c r="U496" s="218">
        <v>0.0</v>
      </c>
      <c r="AB496" t="e">
        <v>#N/A</v>
      </c>
    </row>
    <row r="497">
      <c r="A497" s="218" t="s">
        <v>781</v>
      </c>
      <c r="C497" s="218" t="s">
        <v>10627</v>
      </c>
      <c r="F497" s="456">
        <v>44042.0</v>
      </c>
      <c r="G497" s="218">
        <v>1.0</v>
      </c>
      <c r="H497" s="218">
        <v>401091.0</v>
      </c>
      <c r="J497" s="218" t="s">
        <v>9952</v>
      </c>
      <c r="K497" s="218" t="s">
        <v>10628</v>
      </c>
      <c r="L497" s="218">
        <v>15113.0</v>
      </c>
      <c r="M497" s="218">
        <v>168105.0</v>
      </c>
      <c r="N497" s="218">
        <v>1.0E8</v>
      </c>
      <c r="O497" s="218">
        <v>339093.0</v>
      </c>
      <c r="P497" s="218" t="s">
        <v>9954</v>
      </c>
      <c r="Q497" s="222">
        <v>67000.0</v>
      </c>
      <c r="R497" s="222">
        <v>67000.0</v>
      </c>
      <c r="S497" s="222">
        <v>67000.0</v>
      </c>
      <c r="U497" s="218">
        <v>0.0</v>
      </c>
      <c r="X497" s="218">
        <v>1.51132020000232E14</v>
      </c>
      <c r="AB497" t="e">
        <v>#N/A</v>
      </c>
    </row>
    <row r="498">
      <c r="A498" s="218" t="s">
        <v>781</v>
      </c>
      <c r="C498" s="218" t="s">
        <v>10629</v>
      </c>
      <c r="F498" s="456">
        <v>44042.0</v>
      </c>
      <c r="G498" s="218">
        <v>1.0</v>
      </c>
      <c r="H498" s="218">
        <v>401091.0</v>
      </c>
      <c r="J498" s="218" t="s">
        <v>10630</v>
      </c>
      <c r="K498" s="218" t="s">
        <v>10631</v>
      </c>
      <c r="L498" s="218">
        <v>15113.0</v>
      </c>
      <c r="M498" s="218">
        <v>168105.0</v>
      </c>
      <c r="N498" s="218">
        <v>1.0E8</v>
      </c>
      <c r="O498" s="218">
        <v>339039.0</v>
      </c>
      <c r="P498" s="218" t="s">
        <v>10632</v>
      </c>
      <c r="Q498" s="222">
        <v>6279.01</v>
      </c>
      <c r="R498" s="222">
        <v>6279.01</v>
      </c>
      <c r="S498" s="222">
        <v>0.0</v>
      </c>
      <c r="U498" s="218">
        <v>0.0</v>
      </c>
      <c r="X498" s="218">
        <v>1.51132020000108E14</v>
      </c>
      <c r="AB498" t="e">
        <v>#N/A</v>
      </c>
    </row>
    <row r="499">
      <c r="A499" s="218" t="s">
        <v>781</v>
      </c>
      <c r="C499" s="218" t="s">
        <v>10633</v>
      </c>
      <c r="F499" s="456">
        <v>44042.0</v>
      </c>
      <c r="G499" s="218">
        <v>1.0</v>
      </c>
      <c r="H499" s="218">
        <v>401091.0</v>
      </c>
      <c r="J499" s="218" t="s">
        <v>9917</v>
      </c>
      <c r="K499" s="218" t="s">
        <v>10634</v>
      </c>
      <c r="L499" s="218">
        <v>15113.0</v>
      </c>
      <c r="M499" s="218">
        <v>168105.0</v>
      </c>
      <c r="N499" s="218">
        <v>1.0E8</v>
      </c>
      <c r="O499" s="218">
        <v>339039.0</v>
      </c>
      <c r="P499" s="218" t="s">
        <v>9915</v>
      </c>
      <c r="Q499" s="222">
        <v>690.0</v>
      </c>
      <c r="R499" s="222">
        <v>690.0</v>
      </c>
      <c r="S499" s="222">
        <v>0.0</v>
      </c>
      <c r="U499" s="218">
        <v>0.0</v>
      </c>
      <c r="X499" s="218">
        <v>1.51132020000207E14</v>
      </c>
      <c r="AB499" t="e">
        <v>#N/A</v>
      </c>
    </row>
    <row r="500">
      <c r="A500" s="218" t="s">
        <v>10001</v>
      </c>
      <c r="C500" s="218" t="s">
        <v>10635</v>
      </c>
      <c r="F500" s="456">
        <v>44042.0</v>
      </c>
      <c r="G500" s="218">
        <v>1.0</v>
      </c>
      <c r="H500" s="218">
        <v>401091.0</v>
      </c>
      <c r="J500" s="218" t="s">
        <v>10636</v>
      </c>
      <c r="K500" s="218" t="s">
        <v>10637</v>
      </c>
      <c r="L500" s="218">
        <v>15113.0</v>
      </c>
      <c r="M500" s="218">
        <v>168105.0</v>
      </c>
      <c r="N500" s="218">
        <v>1.0E8</v>
      </c>
      <c r="O500" s="218">
        <v>339030.0</v>
      </c>
      <c r="P500" s="218" t="s">
        <v>10638</v>
      </c>
      <c r="Q500" s="222">
        <v>23228.0</v>
      </c>
      <c r="R500" s="222">
        <v>23228.0</v>
      </c>
      <c r="S500" s="222">
        <v>23228.0</v>
      </c>
      <c r="U500" s="218">
        <v>0.0</v>
      </c>
      <c r="X500" s="218">
        <v>1.51132020000098E14</v>
      </c>
      <c r="AB500" t="e">
        <v>#N/A</v>
      </c>
    </row>
    <row r="501">
      <c r="A501" s="218" t="s">
        <v>781</v>
      </c>
      <c r="C501" s="218" t="s">
        <v>10639</v>
      </c>
      <c r="F501" s="456">
        <v>44043.0</v>
      </c>
      <c r="G501" s="218">
        <v>0.0</v>
      </c>
      <c r="H501" s="218">
        <v>401092.0</v>
      </c>
      <c r="I501" s="218" t="s">
        <v>9764</v>
      </c>
      <c r="J501" s="218" t="s">
        <v>9765</v>
      </c>
      <c r="K501" s="218" t="s">
        <v>9904</v>
      </c>
      <c r="L501" s="218">
        <v>15113.0</v>
      </c>
      <c r="M501" s="218">
        <v>168105.0</v>
      </c>
      <c r="N501" s="218">
        <v>1.8115113E8</v>
      </c>
      <c r="O501" s="218">
        <v>339039.0</v>
      </c>
      <c r="P501" s="218" t="s">
        <v>9767</v>
      </c>
      <c r="Q501" s="222">
        <v>13056.0</v>
      </c>
      <c r="R501" s="222">
        <v>13056.0</v>
      </c>
      <c r="S501" s="218">
        <v>0.0</v>
      </c>
      <c r="U501" s="218">
        <v>0.0</v>
      </c>
      <c r="X501" s="218">
        <v>1.51132020000117E14</v>
      </c>
      <c r="AB501" t="e">
        <v>#N/A</v>
      </c>
    </row>
    <row r="502">
      <c r="A502" s="218" t="s">
        <v>9920</v>
      </c>
      <c r="C502" s="218" t="s">
        <v>10640</v>
      </c>
      <c r="F502" s="456">
        <v>44043.0</v>
      </c>
      <c r="G502" s="218">
        <v>1.0</v>
      </c>
      <c r="H502" s="218">
        <v>401091.0</v>
      </c>
      <c r="J502" s="218" t="s">
        <v>10641</v>
      </c>
      <c r="K502" s="218" t="s">
        <v>10642</v>
      </c>
      <c r="L502" s="218">
        <v>15113.0</v>
      </c>
      <c r="M502" s="218">
        <v>168105.0</v>
      </c>
      <c r="N502" s="218">
        <v>1.0E8</v>
      </c>
      <c r="O502" s="218">
        <v>339039.0</v>
      </c>
      <c r="P502" s="218" t="s">
        <v>10643</v>
      </c>
      <c r="Q502" s="222">
        <v>1680.0</v>
      </c>
      <c r="R502" s="222">
        <v>1680.0</v>
      </c>
      <c r="S502" s="222">
        <v>1680.0</v>
      </c>
      <c r="U502" s="222">
        <v>0.0</v>
      </c>
      <c r="X502" s="218">
        <v>1.51132020000233E14</v>
      </c>
      <c r="AB502" t="e">
        <v>#N/A</v>
      </c>
    </row>
    <row r="503">
      <c r="A503" s="218" t="s">
        <v>781</v>
      </c>
      <c r="C503" s="218" t="s">
        <v>10644</v>
      </c>
      <c r="F503" s="456">
        <v>44043.0</v>
      </c>
      <c r="G503" s="218">
        <v>0.0</v>
      </c>
      <c r="H503" s="218">
        <v>401092.0</v>
      </c>
      <c r="I503" s="218" t="s">
        <v>9784</v>
      </c>
      <c r="J503" s="218" t="s">
        <v>9785</v>
      </c>
      <c r="K503" s="218" t="s">
        <v>9904</v>
      </c>
      <c r="L503" s="218">
        <v>15113.0</v>
      </c>
      <c r="M503" s="218">
        <v>168105.0</v>
      </c>
      <c r="N503" s="218">
        <v>1.0E8</v>
      </c>
      <c r="O503" s="218">
        <v>339039.0</v>
      </c>
      <c r="P503" s="218" t="s">
        <v>9787</v>
      </c>
      <c r="Q503" s="222">
        <v>91.87</v>
      </c>
      <c r="R503" s="222">
        <v>91.87</v>
      </c>
      <c r="S503" s="222">
        <v>0.0</v>
      </c>
      <c r="U503" s="222">
        <v>0.0</v>
      </c>
      <c r="X503" s="218">
        <v>1.51132020000159E14</v>
      </c>
      <c r="AB503" t="e">
        <v>#N/A</v>
      </c>
    </row>
    <row r="504">
      <c r="A504" s="218" t="s">
        <v>787</v>
      </c>
      <c r="C504" s="218" t="s">
        <v>10645</v>
      </c>
      <c r="F504" s="456">
        <v>44043.0</v>
      </c>
      <c r="G504" s="218">
        <v>1.0</v>
      </c>
      <c r="H504" s="218">
        <v>401091.0</v>
      </c>
      <c r="J504" s="218" t="s">
        <v>10646</v>
      </c>
      <c r="K504" s="218" t="s">
        <v>10647</v>
      </c>
      <c r="L504" s="218">
        <v>15113.0</v>
      </c>
      <c r="M504" s="218">
        <v>168108.0</v>
      </c>
      <c r="N504" s="218">
        <v>1.0E8</v>
      </c>
      <c r="O504" s="218">
        <v>339039.0</v>
      </c>
      <c r="P504" s="218" t="s">
        <v>10648</v>
      </c>
      <c r="Q504" s="222">
        <v>1200.0</v>
      </c>
      <c r="R504" s="222">
        <v>1200.0</v>
      </c>
      <c r="S504" s="222">
        <v>1200.0</v>
      </c>
      <c r="U504" s="222">
        <v>0.0</v>
      </c>
      <c r="W504" s="458"/>
      <c r="X504" s="218">
        <v>1.51132020000066E14</v>
      </c>
      <c r="AB504" t="e">
        <v>#N/A</v>
      </c>
    </row>
    <row r="505">
      <c r="A505" s="218" t="s">
        <v>781</v>
      </c>
      <c r="C505" s="218" t="s">
        <v>10649</v>
      </c>
      <c r="F505" s="456">
        <v>44043.0</v>
      </c>
      <c r="G505" s="218">
        <v>1.0</v>
      </c>
      <c r="H505" s="218">
        <v>401091.0</v>
      </c>
      <c r="J505" s="218" t="s">
        <v>9543</v>
      </c>
      <c r="K505" s="218" t="s">
        <v>10650</v>
      </c>
      <c r="L505" s="218">
        <v>15113.0</v>
      </c>
      <c r="M505" s="218">
        <v>168105.0</v>
      </c>
      <c r="N505" s="218">
        <v>1.0E8</v>
      </c>
      <c r="O505" s="218">
        <v>339030.0</v>
      </c>
      <c r="P505" s="218" t="s">
        <v>9545</v>
      </c>
      <c r="Q505" s="222">
        <v>136.0</v>
      </c>
      <c r="R505" s="222">
        <v>136.0</v>
      </c>
      <c r="S505" s="222">
        <v>136.0</v>
      </c>
      <c r="U505" s="222">
        <v>0.0</v>
      </c>
      <c r="X505" s="218">
        <v>1.51132020000156E14</v>
      </c>
      <c r="AB505" t="e">
        <v>#N/A</v>
      </c>
    </row>
    <row r="506">
      <c r="A506" s="218" t="s">
        <v>787</v>
      </c>
      <c r="C506" s="218" t="s">
        <v>10651</v>
      </c>
      <c r="F506" s="456">
        <v>44043.0</v>
      </c>
      <c r="G506" s="218">
        <v>1.0</v>
      </c>
      <c r="H506" s="218">
        <v>401091.0</v>
      </c>
      <c r="J506" s="218" t="s">
        <v>10592</v>
      </c>
      <c r="K506" s="218" t="s">
        <v>10652</v>
      </c>
      <c r="L506" s="218">
        <v>15113.0</v>
      </c>
      <c r="M506" s="218">
        <v>168108.0</v>
      </c>
      <c r="N506" s="218">
        <v>1.0E8</v>
      </c>
      <c r="O506" s="218">
        <v>339039.0</v>
      </c>
      <c r="P506" s="218" t="s">
        <v>10653</v>
      </c>
      <c r="Q506" s="222">
        <v>2580.0</v>
      </c>
      <c r="R506" s="222">
        <v>2580.0</v>
      </c>
      <c r="S506" s="222">
        <v>2580.0</v>
      </c>
      <c r="U506" s="218">
        <v>0.0</v>
      </c>
      <c r="X506" s="218">
        <v>1.51132020000066E14</v>
      </c>
      <c r="AB506" t="e">
        <v>#N/A</v>
      </c>
    </row>
    <row r="507">
      <c r="A507" s="218" t="s">
        <v>787</v>
      </c>
      <c r="C507" s="218" t="s">
        <v>10654</v>
      </c>
      <c r="F507" s="456">
        <v>44043.0</v>
      </c>
      <c r="G507" s="218">
        <v>1.0</v>
      </c>
      <c r="H507" s="218">
        <v>401091.0</v>
      </c>
      <c r="J507" s="218" t="s">
        <v>10655</v>
      </c>
      <c r="K507" s="218" t="s">
        <v>10656</v>
      </c>
      <c r="L507" s="218">
        <v>15113.0</v>
      </c>
      <c r="M507" s="218">
        <v>168108.0</v>
      </c>
      <c r="N507" s="218">
        <v>1.0E8</v>
      </c>
      <c r="O507" s="218">
        <v>339039.0</v>
      </c>
      <c r="P507" s="218" t="s">
        <v>10657</v>
      </c>
      <c r="Q507" s="222">
        <v>1000.0</v>
      </c>
      <c r="R507" s="222">
        <v>1000.0</v>
      </c>
      <c r="S507" s="222">
        <v>1000.0</v>
      </c>
      <c r="U507" s="218">
        <v>0.0</v>
      </c>
      <c r="X507" s="218">
        <v>1.51132020000066E14</v>
      </c>
      <c r="AB507" t="e">
        <v>#N/A</v>
      </c>
    </row>
    <row r="508">
      <c r="A508" s="218" t="s">
        <v>10620</v>
      </c>
      <c r="C508" s="218" t="s">
        <v>10658</v>
      </c>
      <c r="F508" s="456">
        <v>44043.0</v>
      </c>
      <c r="G508" s="218">
        <v>1.0</v>
      </c>
      <c r="H508" s="218">
        <v>401091.0</v>
      </c>
      <c r="J508" s="218" t="s">
        <v>10659</v>
      </c>
      <c r="K508" s="218" t="s">
        <v>10660</v>
      </c>
      <c r="L508" s="218">
        <v>15101.0</v>
      </c>
      <c r="M508" s="218">
        <v>167925.0</v>
      </c>
      <c r="N508" s="218">
        <v>1.0E8</v>
      </c>
      <c r="O508" s="218">
        <v>339039.0</v>
      </c>
      <c r="P508" s="218" t="s">
        <v>10661</v>
      </c>
      <c r="Q508" s="222">
        <v>4600.0</v>
      </c>
      <c r="R508" s="222">
        <v>4600.0</v>
      </c>
      <c r="S508" s="222">
        <v>4600.0</v>
      </c>
      <c r="U508" s="218">
        <v>0.0</v>
      </c>
      <c r="X508" s="218">
        <v>1.51132020000234E14</v>
      </c>
      <c r="AB508" t="e">
        <v>#N/A</v>
      </c>
    </row>
    <row r="509">
      <c r="A509" s="218" t="s">
        <v>10620</v>
      </c>
      <c r="C509" s="218" t="s">
        <v>10662</v>
      </c>
      <c r="F509" s="456">
        <v>44047.0</v>
      </c>
      <c r="G509" s="218">
        <v>0.0</v>
      </c>
      <c r="H509" s="218">
        <v>401092.0</v>
      </c>
      <c r="I509" s="218" t="s">
        <v>10621</v>
      </c>
      <c r="J509" s="218" t="s">
        <v>10384</v>
      </c>
      <c r="K509" s="218" t="s">
        <v>9904</v>
      </c>
      <c r="L509" s="218">
        <v>15101.0</v>
      </c>
      <c r="M509" s="218">
        <v>167925.0</v>
      </c>
      <c r="N509" s="218">
        <v>1.0E8</v>
      </c>
      <c r="O509" s="218">
        <v>339030.0</v>
      </c>
      <c r="P509" s="218" t="s">
        <v>10623</v>
      </c>
      <c r="Q509" s="222">
        <v>503.7</v>
      </c>
      <c r="R509" s="222">
        <v>503.7</v>
      </c>
      <c r="S509" s="222">
        <v>0.0</v>
      </c>
      <c r="U509" s="218">
        <v>0.0</v>
      </c>
      <c r="X509" s="218">
        <v>1.51132020000231E14</v>
      </c>
      <c r="AB509" t="e">
        <v>#N/A</v>
      </c>
    </row>
    <row r="510">
      <c r="A510" s="218" t="s">
        <v>9371</v>
      </c>
      <c r="C510" s="218" t="s">
        <v>10663</v>
      </c>
      <c r="F510" s="456">
        <v>44047.0</v>
      </c>
      <c r="G510" s="218">
        <v>0.0</v>
      </c>
      <c r="H510" s="218">
        <v>401092.0</v>
      </c>
      <c r="I510" s="218" t="s">
        <v>9387</v>
      </c>
      <c r="J510" s="218" t="s">
        <v>9333</v>
      </c>
      <c r="K510" s="218" t="s">
        <v>9904</v>
      </c>
      <c r="L510" s="218">
        <v>15113.0</v>
      </c>
      <c r="M510" s="218">
        <v>168105.0</v>
      </c>
      <c r="N510" s="218">
        <v>1.0E8</v>
      </c>
      <c r="O510" s="218">
        <v>339030.0</v>
      </c>
      <c r="P510" s="218" t="s">
        <v>9374</v>
      </c>
      <c r="Q510" s="222">
        <v>8000.0</v>
      </c>
      <c r="R510" s="222">
        <v>8000.0</v>
      </c>
      <c r="S510" s="218">
        <v>0.0</v>
      </c>
      <c r="U510" s="218">
        <v>0.0</v>
      </c>
      <c r="X510" s="218">
        <v>1.51132020000059E14</v>
      </c>
      <c r="AB510" t="e">
        <v>#N/A</v>
      </c>
    </row>
    <row r="511">
      <c r="A511" s="218" t="s">
        <v>9371</v>
      </c>
      <c r="C511" s="218" t="s">
        <v>10664</v>
      </c>
      <c r="F511" s="456">
        <v>44047.0</v>
      </c>
      <c r="G511" s="218">
        <v>0.0</v>
      </c>
      <c r="H511" s="218">
        <v>401092.0</v>
      </c>
      <c r="I511" s="218" t="s">
        <v>9390</v>
      </c>
      <c r="J511" s="218" t="s">
        <v>9333</v>
      </c>
      <c r="K511" s="218" t="s">
        <v>9904</v>
      </c>
      <c r="L511" s="218">
        <v>15113.0</v>
      </c>
      <c r="M511" s="218">
        <v>168105.0</v>
      </c>
      <c r="N511" s="218">
        <v>1.0E8</v>
      </c>
      <c r="O511" s="218">
        <v>339039.0</v>
      </c>
      <c r="P511" s="218" t="s">
        <v>9374</v>
      </c>
      <c r="Q511" s="222">
        <v>6000.0</v>
      </c>
      <c r="R511" s="222">
        <v>6000.0</v>
      </c>
      <c r="S511" s="222">
        <v>0.0</v>
      </c>
      <c r="U511" s="222">
        <v>0.0</v>
      </c>
      <c r="X511" s="218">
        <v>1.51132020000057E14</v>
      </c>
      <c r="AB511" t="e">
        <v>#N/A</v>
      </c>
    </row>
    <row r="512">
      <c r="A512" s="218" t="s">
        <v>9371</v>
      </c>
      <c r="C512" s="218" t="s">
        <v>10665</v>
      </c>
      <c r="F512" s="456">
        <v>44047.0</v>
      </c>
      <c r="G512" s="218">
        <v>1.0</v>
      </c>
      <c r="H512" s="218">
        <v>401091.0</v>
      </c>
      <c r="J512" s="218" t="s">
        <v>10666</v>
      </c>
      <c r="K512" s="218" t="s">
        <v>10667</v>
      </c>
      <c r="L512" s="218">
        <v>15113.0</v>
      </c>
      <c r="M512" s="218">
        <v>168105.0</v>
      </c>
      <c r="N512" s="218">
        <v>1.0E8</v>
      </c>
      <c r="O512" s="218">
        <v>339039.0</v>
      </c>
      <c r="P512" s="218" t="s">
        <v>10668</v>
      </c>
      <c r="Q512" s="218">
        <v>400.0</v>
      </c>
      <c r="R512" s="218">
        <v>400.0</v>
      </c>
      <c r="S512" s="218">
        <v>400.0</v>
      </c>
      <c r="U512" s="218">
        <v>0.0</v>
      </c>
      <c r="X512" s="218">
        <v>1.51132020000209E14</v>
      </c>
      <c r="AB512" t="e">
        <v>#N/A</v>
      </c>
    </row>
    <row r="513">
      <c r="A513" s="218" t="s">
        <v>781</v>
      </c>
      <c r="C513" s="218" t="s">
        <v>10669</v>
      </c>
      <c r="F513" s="456">
        <v>44047.0</v>
      </c>
      <c r="G513" s="218">
        <v>0.0</v>
      </c>
      <c r="H513" s="218">
        <v>401093.0</v>
      </c>
      <c r="I513" s="218" t="s">
        <v>10629</v>
      </c>
      <c r="J513" s="218" t="s">
        <v>10630</v>
      </c>
      <c r="K513" s="218" t="s">
        <v>9398</v>
      </c>
      <c r="L513" s="218">
        <v>15113.0</v>
      </c>
      <c r="M513" s="218">
        <v>168105.0</v>
      </c>
      <c r="N513" s="218">
        <v>1.0E8</v>
      </c>
      <c r="O513" s="218">
        <v>339039.0</v>
      </c>
      <c r="P513" s="218" t="s">
        <v>10632</v>
      </c>
      <c r="Q513" s="222">
        <v>6279.01</v>
      </c>
      <c r="R513" s="222">
        <v>-6279.01</v>
      </c>
      <c r="S513" s="222">
        <v>0.0</v>
      </c>
      <c r="U513" s="218">
        <v>0.0</v>
      </c>
      <c r="AB513" t="e">
        <v>#N/A</v>
      </c>
    </row>
    <row r="514">
      <c r="A514" s="218" t="s">
        <v>781</v>
      </c>
      <c r="C514" s="218" t="s">
        <v>10670</v>
      </c>
      <c r="F514" s="456">
        <v>44047.0</v>
      </c>
      <c r="G514" s="218">
        <v>1.0</v>
      </c>
      <c r="H514" s="218">
        <v>401091.0</v>
      </c>
      <c r="J514" s="218" t="s">
        <v>10630</v>
      </c>
      <c r="K514" s="218" t="s">
        <v>10631</v>
      </c>
      <c r="L514" s="218">
        <v>15113.0</v>
      </c>
      <c r="M514" s="218">
        <v>168105.0</v>
      </c>
      <c r="N514" s="218">
        <v>1.0E8</v>
      </c>
      <c r="O514" s="218">
        <v>339039.0</v>
      </c>
      <c r="P514" s="218" t="s">
        <v>10632</v>
      </c>
      <c r="Q514" s="222">
        <v>6453.8</v>
      </c>
      <c r="R514" s="222">
        <v>6453.8</v>
      </c>
      <c r="S514" s="222">
        <v>6374.48</v>
      </c>
      <c r="U514" s="218">
        <v>0.0</v>
      </c>
      <c r="X514" s="218">
        <v>1.51132020000108E14</v>
      </c>
      <c r="AB514" t="e">
        <v>#N/A</v>
      </c>
    </row>
    <row r="515">
      <c r="A515" s="218" t="s">
        <v>9371</v>
      </c>
      <c r="C515" s="218" t="s">
        <v>10671</v>
      </c>
      <c r="F515" s="456">
        <v>44047.0</v>
      </c>
      <c r="G515" s="218">
        <v>1.0</v>
      </c>
      <c r="H515" s="218">
        <v>401091.0</v>
      </c>
      <c r="J515" s="218" t="s">
        <v>10672</v>
      </c>
      <c r="K515" s="218" t="s">
        <v>10673</v>
      </c>
      <c r="L515" s="218">
        <v>15113.0</v>
      </c>
      <c r="M515" s="218">
        <v>168105.0</v>
      </c>
      <c r="N515" s="218">
        <v>1.0E8</v>
      </c>
      <c r="O515" s="218">
        <v>339030.0</v>
      </c>
      <c r="P515" s="218" t="s">
        <v>10674</v>
      </c>
      <c r="Q515" s="222">
        <v>135.8</v>
      </c>
      <c r="R515" s="222">
        <v>135.8</v>
      </c>
      <c r="S515" s="222">
        <v>135.8</v>
      </c>
      <c r="U515" s="218">
        <v>0.0</v>
      </c>
      <c r="X515" s="218">
        <v>1.5113202000006E14</v>
      </c>
      <c r="AB515" t="e">
        <v>#N/A</v>
      </c>
    </row>
    <row r="516">
      <c r="A516" s="218" t="s">
        <v>9371</v>
      </c>
      <c r="C516" s="218" t="s">
        <v>10675</v>
      </c>
      <c r="F516" s="456">
        <v>44047.0</v>
      </c>
      <c r="G516" s="218">
        <v>1.0</v>
      </c>
      <c r="H516" s="218">
        <v>401091.0</v>
      </c>
      <c r="J516" s="218" t="s">
        <v>10672</v>
      </c>
      <c r="K516" s="218" t="s">
        <v>10676</v>
      </c>
      <c r="L516" s="218">
        <v>15113.0</v>
      </c>
      <c r="M516" s="218">
        <v>168105.0</v>
      </c>
      <c r="N516" s="218">
        <v>1.0E8</v>
      </c>
      <c r="O516" s="218">
        <v>339039.0</v>
      </c>
      <c r="P516" s="218" t="s">
        <v>10674</v>
      </c>
      <c r="Q516" s="222">
        <v>187.2</v>
      </c>
      <c r="R516" s="222">
        <v>187.2</v>
      </c>
      <c r="S516" s="222">
        <v>187.2</v>
      </c>
      <c r="U516" s="218">
        <v>0.0</v>
      </c>
      <c r="X516" s="218">
        <v>1.51132020000209E14</v>
      </c>
      <c r="AB516" t="e">
        <v>#N/A</v>
      </c>
    </row>
    <row r="517">
      <c r="A517" s="218" t="s">
        <v>787</v>
      </c>
      <c r="C517" s="218" t="s">
        <v>10677</v>
      </c>
      <c r="F517" s="456">
        <v>44047.0</v>
      </c>
      <c r="G517" s="218">
        <v>1.0</v>
      </c>
      <c r="H517" s="218">
        <v>401091.0</v>
      </c>
      <c r="J517" s="218" t="s">
        <v>10592</v>
      </c>
      <c r="K517" s="218" t="s">
        <v>10678</v>
      </c>
      <c r="L517" s="218">
        <v>15113.0</v>
      </c>
      <c r="M517" s="218">
        <v>168108.0</v>
      </c>
      <c r="N517" s="218">
        <v>1.0E8</v>
      </c>
      <c r="O517" s="218">
        <v>339039.0</v>
      </c>
      <c r="P517" s="218" t="s">
        <v>10679</v>
      </c>
      <c r="Q517" s="222">
        <v>5985.0</v>
      </c>
      <c r="R517" s="222">
        <v>5985.0</v>
      </c>
      <c r="S517" s="222">
        <v>5985.0</v>
      </c>
      <c r="U517" s="218">
        <v>0.0</v>
      </c>
      <c r="X517" s="218">
        <v>1.51132020000066E14</v>
      </c>
      <c r="AB517" t="e">
        <v>#N/A</v>
      </c>
    </row>
    <row r="518">
      <c r="A518" s="218" t="s">
        <v>787</v>
      </c>
      <c r="C518" s="218" t="s">
        <v>10680</v>
      </c>
      <c r="F518" s="456">
        <v>44047.0</v>
      </c>
      <c r="G518" s="218">
        <v>1.0</v>
      </c>
      <c r="H518" s="218">
        <v>401091.0</v>
      </c>
      <c r="J518" s="218" t="s">
        <v>10681</v>
      </c>
      <c r="K518" s="218" t="s">
        <v>10682</v>
      </c>
      <c r="L518" s="218">
        <v>15113.0</v>
      </c>
      <c r="M518" s="218">
        <v>168108.0</v>
      </c>
      <c r="N518" s="218">
        <v>1.0E8</v>
      </c>
      <c r="O518" s="218">
        <v>339039.0</v>
      </c>
      <c r="P518" s="218" t="s">
        <v>10683</v>
      </c>
      <c r="Q518" s="222">
        <v>966.0</v>
      </c>
      <c r="R518" s="222">
        <v>966.0</v>
      </c>
      <c r="S518" s="222">
        <v>966.0</v>
      </c>
      <c r="U518" s="218">
        <v>0.0</v>
      </c>
      <c r="X518" s="218">
        <v>1.51132020000066E14</v>
      </c>
      <c r="AB518" t="e">
        <v>#N/A</v>
      </c>
    </row>
    <row r="519">
      <c r="A519" s="218" t="s">
        <v>787</v>
      </c>
      <c r="C519" s="218" t="s">
        <v>10684</v>
      </c>
      <c r="F519" s="456">
        <v>44047.0</v>
      </c>
      <c r="G519" s="218">
        <v>1.0</v>
      </c>
      <c r="H519" s="218">
        <v>401091.0</v>
      </c>
      <c r="J519" s="218" t="s">
        <v>10681</v>
      </c>
      <c r="K519" s="218" t="s">
        <v>10685</v>
      </c>
      <c r="L519" s="218">
        <v>15113.0</v>
      </c>
      <c r="M519" s="218">
        <v>168108.0</v>
      </c>
      <c r="N519" s="218">
        <v>1.0E8</v>
      </c>
      <c r="O519" s="218">
        <v>339039.0</v>
      </c>
      <c r="P519" s="218" t="s">
        <v>10686</v>
      </c>
      <c r="Q519" s="222">
        <v>2898.0</v>
      </c>
      <c r="R519" s="222">
        <v>2898.0</v>
      </c>
      <c r="S519" s="222">
        <v>2898.0</v>
      </c>
      <c r="U519" s="222">
        <v>0.0</v>
      </c>
      <c r="X519" s="218">
        <v>1.51132020000066E14</v>
      </c>
      <c r="AB519" t="e">
        <v>#N/A</v>
      </c>
    </row>
    <row r="520">
      <c r="A520" s="218" t="s">
        <v>787</v>
      </c>
      <c r="C520" s="218" t="s">
        <v>10687</v>
      </c>
      <c r="F520" s="456">
        <v>44048.0</v>
      </c>
      <c r="G520" s="218">
        <v>1.0</v>
      </c>
      <c r="H520" s="218">
        <v>401091.0</v>
      </c>
      <c r="J520" s="218" t="s">
        <v>10688</v>
      </c>
      <c r="K520" s="218" t="s">
        <v>10689</v>
      </c>
      <c r="L520" s="218">
        <v>15113.0</v>
      </c>
      <c r="M520" s="218">
        <v>168108.0</v>
      </c>
      <c r="N520" s="218">
        <v>1.0E8</v>
      </c>
      <c r="O520" s="218">
        <v>339039.0</v>
      </c>
      <c r="P520" s="218" t="s">
        <v>10690</v>
      </c>
      <c r="Q520" s="222">
        <v>1397.0</v>
      </c>
      <c r="R520" s="222">
        <v>1397.0</v>
      </c>
      <c r="S520" s="222">
        <v>1397.0</v>
      </c>
      <c r="U520" s="222">
        <v>0.0</v>
      </c>
      <c r="X520" s="218">
        <v>1.51132020000066E14</v>
      </c>
      <c r="AB520" t="e">
        <v>#N/A</v>
      </c>
    </row>
    <row r="521">
      <c r="A521" s="218" t="s">
        <v>787</v>
      </c>
      <c r="C521" s="218" t="s">
        <v>10691</v>
      </c>
      <c r="F521" s="456">
        <v>44048.0</v>
      </c>
      <c r="G521" s="218">
        <v>1.0</v>
      </c>
      <c r="H521" s="218">
        <v>401091.0</v>
      </c>
      <c r="J521" s="218" t="s">
        <v>10692</v>
      </c>
      <c r="K521" s="218" t="s">
        <v>10693</v>
      </c>
      <c r="L521" s="218">
        <v>15113.0</v>
      </c>
      <c r="M521" s="218">
        <v>168108.0</v>
      </c>
      <c r="N521" s="218">
        <v>1.0E8</v>
      </c>
      <c r="O521" s="218">
        <v>339039.0</v>
      </c>
      <c r="P521" s="218" t="s">
        <v>10694</v>
      </c>
      <c r="Q521" s="222">
        <v>1746.0</v>
      </c>
      <c r="R521" s="222">
        <v>1746.0</v>
      </c>
      <c r="S521" s="222">
        <v>1746.0</v>
      </c>
      <c r="U521" s="222">
        <v>600.0</v>
      </c>
      <c r="X521" s="218">
        <v>1.51132020000066E14</v>
      </c>
      <c r="AB521" t="e">
        <v>#N/A</v>
      </c>
    </row>
    <row r="522">
      <c r="A522" s="218" t="s">
        <v>781</v>
      </c>
      <c r="C522" s="218" t="s">
        <v>10695</v>
      </c>
      <c r="F522" s="456">
        <v>44049.0</v>
      </c>
      <c r="G522" s="218">
        <v>1.0</v>
      </c>
      <c r="H522" s="218">
        <v>401091.0</v>
      </c>
      <c r="J522" s="218" t="s">
        <v>9952</v>
      </c>
      <c r="K522" s="218" t="s">
        <v>10696</v>
      </c>
      <c r="L522" s="218">
        <v>15113.0</v>
      </c>
      <c r="M522" s="218">
        <v>168105.0</v>
      </c>
      <c r="N522" s="218">
        <v>1.0E8</v>
      </c>
      <c r="O522" s="218">
        <v>339093.0</v>
      </c>
      <c r="P522" s="218" t="s">
        <v>9954</v>
      </c>
      <c r="Q522" s="222">
        <v>2887.23</v>
      </c>
      <c r="R522" s="222">
        <v>2887.23</v>
      </c>
      <c r="S522" s="222">
        <v>2887.23</v>
      </c>
      <c r="U522" s="218">
        <v>0.0</v>
      </c>
      <c r="X522" s="218">
        <v>1.51132020000232E14</v>
      </c>
      <c r="AB522" t="e">
        <v>#N/A</v>
      </c>
    </row>
    <row r="523">
      <c r="A523" s="218" t="s">
        <v>9430</v>
      </c>
      <c r="C523" s="218" t="s">
        <v>10697</v>
      </c>
      <c r="F523" s="456">
        <v>44049.0</v>
      </c>
      <c r="G523" s="218">
        <v>1.0</v>
      </c>
      <c r="H523" s="218">
        <v>401091.0</v>
      </c>
      <c r="J523" s="218" t="s">
        <v>10698</v>
      </c>
      <c r="K523" s="218" t="s">
        <v>10699</v>
      </c>
      <c r="L523" s="218">
        <v>15113.0</v>
      </c>
      <c r="M523" s="218">
        <v>168105.0</v>
      </c>
      <c r="N523" s="218">
        <v>1.0E8</v>
      </c>
      <c r="O523" s="218">
        <v>339030.0</v>
      </c>
      <c r="P523" s="218" t="s">
        <v>10700</v>
      </c>
      <c r="Q523" s="222">
        <v>6240.0</v>
      </c>
      <c r="R523" s="222">
        <v>6240.0</v>
      </c>
      <c r="S523" s="222">
        <v>6240.0</v>
      </c>
      <c r="U523" s="222">
        <v>0.0</v>
      </c>
      <c r="X523" s="218">
        <v>1.51132020000078E14</v>
      </c>
      <c r="AB523" t="e">
        <v>#N/A</v>
      </c>
    </row>
    <row r="524">
      <c r="A524" s="218" t="s">
        <v>9371</v>
      </c>
      <c r="C524" s="218" t="s">
        <v>10701</v>
      </c>
      <c r="F524" s="456">
        <v>44050.0</v>
      </c>
      <c r="G524" s="218">
        <v>0.0</v>
      </c>
      <c r="H524" s="218">
        <v>401093.0</v>
      </c>
      <c r="I524" s="218" t="s">
        <v>9377</v>
      </c>
      <c r="J524" s="218" t="s">
        <v>9333</v>
      </c>
      <c r="K524" s="218" t="s">
        <v>9398</v>
      </c>
      <c r="L524" s="218">
        <v>15113.0</v>
      </c>
      <c r="M524" s="218">
        <v>168105.0</v>
      </c>
      <c r="N524" s="218">
        <v>1.0E8</v>
      </c>
      <c r="O524" s="218">
        <v>339093.0</v>
      </c>
      <c r="P524" s="218" t="s">
        <v>9374</v>
      </c>
      <c r="Q524" s="222">
        <v>1200.0</v>
      </c>
      <c r="R524" s="222">
        <v>-1200.0</v>
      </c>
      <c r="S524" s="222">
        <v>0.0</v>
      </c>
      <c r="U524" s="222">
        <v>0.0</v>
      </c>
      <c r="AB524" t="e">
        <v>#N/A</v>
      </c>
    </row>
    <row r="525">
      <c r="A525" s="218" t="s">
        <v>9371</v>
      </c>
      <c r="C525" s="218" t="s">
        <v>10702</v>
      </c>
      <c r="F525" s="456">
        <v>44050.0</v>
      </c>
      <c r="G525" s="218">
        <v>0.0</v>
      </c>
      <c r="H525" s="218">
        <v>401092.0</v>
      </c>
      <c r="I525" s="218" t="s">
        <v>9377</v>
      </c>
      <c r="J525" s="218" t="s">
        <v>9333</v>
      </c>
      <c r="K525" s="218" t="s">
        <v>9904</v>
      </c>
      <c r="L525" s="218">
        <v>15113.0</v>
      </c>
      <c r="M525" s="218">
        <v>168105.0</v>
      </c>
      <c r="N525" s="218">
        <v>1.0E8</v>
      </c>
      <c r="O525" s="218">
        <v>339093.0</v>
      </c>
      <c r="P525" s="218" t="s">
        <v>9374</v>
      </c>
      <c r="Q525" s="222">
        <v>1200.0</v>
      </c>
      <c r="R525" s="222">
        <v>1200.0</v>
      </c>
      <c r="S525" s="222">
        <v>0.0</v>
      </c>
      <c r="U525" s="222">
        <v>0.0</v>
      </c>
      <c r="X525" s="218">
        <v>1.51132020000056E14</v>
      </c>
      <c r="AB525" t="e">
        <v>#N/A</v>
      </c>
    </row>
    <row r="526">
      <c r="A526" s="218" t="s">
        <v>9371</v>
      </c>
      <c r="C526" s="218" t="s">
        <v>10703</v>
      </c>
      <c r="F526" s="456">
        <v>44050.0</v>
      </c>
      <c r="G526" s="218">
        <v>0.0</v>
      </c>
      <c r="H526" s="218">
        <v>401093.0</v>
      </c>
      <c r="I526" s="218" t="s">
        <v>9377</v>
      </c>
      <c r="J526" s="218" t="s">
        <v>9333</v>
      </c>
      <c r="K526" s="218" t="s">
        <v>9398</v>
      </c>
      <c r="L526" s="218">
        <v>15113.0</v>
      </c>
      <c r="M526" s="218">
        <v>168105.0</v>
      </c>
      <c r="N526" s="218">
        <v>1.0E8</v>
      </c>
      <c r="O526" s="218">
        <v>339093.0</v>
      </c>
      <c r="P526" s="218" t="s">
        <v>9374</v>
      </c>
      <c r="Q526" s="222">
        <v>1200.0</v>
      </c>
      <c r="R526" s="222">
        <v>-1200.0</v>
      </c>
      <c r="S526" s="222">
        <v>0.0</v>
      </c>
      <c r="U526" s="222">
        <v>0.0</v>
      </c>
      <c r="AB526" t="e">
        <v>#N/A</v>
      </c>
    </row>
    <row r="527">
      <c r="A527" s="218" t="s">
        <v>9371</v>
      </c>
      <c r="C527" s="218" t="s">
        <v>10704</v>
      </c>
      <c r="F527" s="456">
        <v>44050.0</v>
      </c>
      <c r="G527" s="218">
        <v>0.0</v>
      </c>
      <c r="H527" s="218">
        <v>401092.0</v>
      </c>
      <c r="I527" s="218" t="s">
        <v>9377</v>
      </c>
      <c r="J527" s="218" t="s">
        <v>9333</v>
      </c>
      <c r="K527" s="218" t="s">
        <v>10162</v>
      </c>
      <c r="L527" s="218">
        <v>15113.0</v>
      </c>
      <c r="M527" s="218">
        <v>168105.0</v>
      </c>
      <c r="N527" s="218">
        <v>1.0E8</v>
      </c>
      <c r="O527" s="218">
        <v>339093.0</v>
      </c>
      <c r="P527" s="218" t="s">
        <v>9374</v>
      </c>
      <c r="Q527" s="222">
        <v>1200.0</v>
      </c>
      <c r="R527" s="222">
        <v>1200.0</v>
      </c>
      <c r="S527" s="218">
        <v>0.0</v>
      </c>
      <c r="U527" s="218">
        <v>0.0</v>
      </c>
      <c r="X527" s="218">
        <v>1.51132020000056E14</v>
      </c>
      <c r="AB527" t="e">
        <v>#N/A</v>
      </c>
    </row>
    <row r="528">
      <c r="A528" s="218" t="s">
        <v>787</v>
      </c>
      <c r="C528" s="218" t="s">
        <v>10705</v>
      </c>
      <c r="F528" s="456">
        <v>44050.0</v>
      </c>
      <c r="G528" s="218">
        <v>1.0</v>
      </c>
      <c r="H528" s="218">
        <v>401091.0</v>
      </c>
      <c r="J528" s="218" t="s">
        <v>10017</v>
      </c>
      <c r="K528" s="218" t="s">
        <v>10706</v>
      </c>
      <c r="L528" s="218">
        <v>15113.0</v>
      </c>
      <c r="M528" s="218">
        <v>168108.0</v>
      </c>
      <c r="N528" s="218">
        <v>1.0E8</v>
      </c>
      <c r="O528" s="218">
        <v>339039.0</v>
      </c>
      <c r="P528" s="218" t="s">
        <v>10707</v>
      </c>
      <c r="Q528" s="222">
        <v>4500.0</v>
      </c>
      <c r="R528" s="222">
        <v>4500.0</v>
      </c>
      <c r="S528" s="222">
        <v>4500.0</v>
      </c>
      <c r="U528" s="218">
        <v>0.0</v>
      </c>
      <c r="X528" s="218">
        <v>1.51132020000066E14</v>
      </c>
      <c r="AB528" t="e">
        <v>#N/A</v>
      </c>
    </row>
    <row r="529">
      <c r="A529" s="218" t="s">
        <v>787</v>
      </c>
      <c r="C529" s="218" t="s">
        <v>10708</v>
      </c>
      <c r="F529" s="456">
        <v>44054.0</v>
      </c>
      <c r="G529" s="218">
        <v>1.0</v>
      </c>
      <c r="H529" s="218">
        <v>401091.0</v>
      </c>
      <c r="J529" s="218" t="s">
        <v>10709</v>
      </c>
      <c r="K529" s="218" t="s">
        <v>10710</v>
      </c>
      <c r="L529" s="218">
        <v>15113.0</v>
      </c>
      <c r="M529" s="218">
        <v>168108.0</v>
      </c>
      <c r="N529" s="218">
        <v>1.0E8</v>
      </c>
      <c r="O529" s="218">
        <v>339039.0</v>
      </c>
      <c r="P529" s="218" t="s">
        <v>10711</v>
      </c>
      <c r="Q529" s="222">
        <v>1489.0</v>
      </c>
      <c r="R529" s="222">
        <v>1489.0</v>
      </c>
      <c r="S529" s="222">
        <v>1489.0</v>
      </c>
      <c r="U529" s="218">
        <v>0.0</v>
      </c>
      <c r="X529" s="218">
        <v>1.51132020000066E14</v>
      </c>
      <c r="AB529" t="e">
        <v>#N/A</v>
      </c>
    </row>
    <row r="530">
      <c r="A530" s="218" t="s">
        <v>787</v>
      </c>
      <c r="C530" s="218" t="s">
        <v>10712</v>
      </c>
      <c r="F530" s="456">
        <v>44054.0</v>
      </c>
      <c r="G530" s="218">
        <v>1.0</v>
      </c>
      <c r="H530" s="218">
        <v>401091.0</v>
      </c>
      <c r="J530" s="218" t="s">
        <v>10713</v>
      </c>
      <c r="K530" s="218" t="s">
        <v>10714</v>
      </c>
      <c r="L530" s="218">
        <v>15113.0</v>
      </c>
      <c r="M530" s="218">
        <v>168108.0</v>
      </c>
      <c r="N530" s="218">
        <v>1.0E8</v>
      </c>
      <c r="O530" s="218">
        <v>339039.0</v>
      </c>
      <c r="P530" s="218" t="s">
        <v>10715</v>
      </c>
      <c r="Q530" s="222">
        <v>1889.58</v>
      </c>
      <c r="R530" s="222">
        <v>1889.58</v>
      </c>
      <c r="S530" s="222">
        <v>1889.58</v>
      </c>
      <c r="U530" s="222">
        <v>0.0</v>
      </c>
      <c r="X530" s="218">
        <v>1.51132020000066E14</v>
      </c>
      <c r="AB530" t="e">
        <v>#N/A</v>
      </c>
    </row>
    <row r="531">
      <c r="A531" s="218" t="s">
        <v>9331</v>
      </c>
      <c r="C531" s="218" t="s">
        <v>10716</v>
      </c>
      <c r="F531" s="456">
        <v>44055.0</v>
      </c>
      <c r="G531" s="218">
        <v>0.0</v>
      </c>
      <c r="H531" s="218">
        <v>401093.0</v>
      </c>
      <c r="I531" s="218" t="s">
        <v>9332</v>
      </c>
      <c r="J531" s="218" t="s">
        <v>9333</v>
      </c>
      <c r="K531" s="218" t="s">
        <v>9398</v>
      </c>
      <c r="L531" s="218">
        <v>15113.0</v>
      </c>
      <c r="M531" s="218">
        <v>168098.0</v>
      </c>
      <c r="N531" s="218">
        <v>1.0E8</v>
      </c>
      <c r="O531" s="218">
        <v>319011.0</v>
      </c>
      <c r="P531" s="218" t="s">
        <v>9335</v>
      </c>
      <c r="Q531" s="222">
        <v>6499.91</v>
      </c>
      <c r="R531" s="222">
        <v>-6499.91</v>
      </c>
      <c r="S531" s="218">
        <v>0.0</v>
      </c>
      <c r="U531" s="218">
        <v>0.0</v>
      </c>
      <c r="AB531" t="e">
        <v>#N/A</v>
      </c>
    </row>
    <row r="532">
      <c r="A532" s="218" t="s">
        <v>9331</v>
      </c>
      <c r="C532" s="218" t="s">
        <v>10717</v>
      </c>
      <c r="F532" s="456">
        <v>44055.0</v>
      </c>
      <c r="G532" s="218">
        <v>0.0</v>
      </c>
      <c r="H532" s="218">
        <v>401092.0</v>
      </c>
      <c r="I532" s="218" t="s">
        <v>9332</v>
      </c>
      <c r="J532" s="218" t="s">
        <v>9333</v>
      </c>
      <c r="K532" s="218" t="s">
        <v>9904</v>
      </c>
      <c r="L532" s="218">
        <v>15113.0</v>
      </c>
      <c r="M532" s="218">
        <v>168098.0</v>
      </c>
      <c r="N532" s="218">
        <v>1.0E8</v>
      </c>
      <c r="O532" s="218">
        <v>319011.0</v>
      </c>
      <c r="P532" s="218" t="s">
        <v>9335</v>
      </c>
      <c r="Q532" s="222">
        <v>6499.91</v>
      </c>
      <c r="R532" s="222">
        <v>6499.91</v>
      </c>
      <c r="S532" s="222">
        <v>0.0</v>
      </c>
      <c r="U532" s="218">
        <v>0.0</v>
      </c>
      <c r="X532" s="218">
        <v>1.51132020000185E14</v>
      </c>
      <c r="AB532" t="e">
        <v>#N/A</v>
      </c>
    </row>
    <row r="533">
      <c r="A533" s="218" t="s">
        <v>10001</v>
      </c>
      <c r="C533" s="218" t="s">
        <v>10718</v>
      </c>
      <c r="F533" s="456">
        <v>44055.0</v>
      </c>
      <c r="G533" s="218">
        <v>1.0</v>
      </c>
      <c r="H533" s="218">
        <v>401091.0</v>
      </c>
      <c r="J533" s="218" t="s">
        <v>10719</v>
      </c>
      <c r="K533" s="218" t="s">
        <v>10720</v>
      </c>
      <c r="L533" s="218">
        <v>15113.0</v>
      </c>
      <c r="M533" s="218">
        <v>168105.0</v>
      </c>
      <c r="N533" s="218">
        <v>1.0E8</v>
      </c>
      <c r="O533" s="218">
        <v>339030.0</v>
      </c>
      <c r="P533" s="218" t="s">
        <v>10721</v>
      </c>
      <c r="Q533" s="222">
        <v>5070.0</v>
      </c>
      <c r="R533" s="222">
        <v>5070.0</v>
      </c>
      <c r="S533" s="222">
        <v>5069.93</v>
      </c>
      <c r="U533" s="218">
        <v>0.0</v>
      </c>
      <c r="X533" s="218">
        <v>1.51132020000101E14</v>
      </c>
      <c r="AB533" t="e">
        <v>#N/A</v>
      </c>
    </row>
    <row r="534">
      <c r="A534" s="218" t="s">
        <v>781</v>
      </c>
      <c r="C534" s="218" t="s">
        <v>10722</v>
      </c>
      <c r="F534" s="456">
        <v>44055.0</v>
      </c>
      <c r="G534" s="218">
        <v>0.0</v>
      </c>
      <c r="H534" s="218">
        <v>401093.0</v>
      </c>
      <c r="I534" s="218" t="s">
        <v>9990</v>
      </c>
      <c r="J534" s="218" t="s">
        <v>9991</v>
      </c>
      <c r="K534" s="218" t="s">
        <v>9398</v>
      </c>
      <c r="L534" s="218">
        <v>15113.0</v>
      </c>
      <c r="M534" s="218">
        <v>168105.0</v>
      </c>
      <c r="N534" s="218">
        <v>1.0E8</v>
      </c>
      <c r="O534" s="218">
        <v>339047.0</v>
      </c>
      <c r="P534" s="218" t="s">
        <v>9954</v>
      </c>
      <c r="Q534" s="222">
        <v>35551.7</v>
      </c>
      <c r="R534" s="222">
        <v>-35551.7</v>
      </c>
      <c r="S534" s="218">
        <v>0.0</v>
      </c>
      <c r="U534" s="218">
        <v>0.0</v>
      </c>
      <c r="AB534" t="e">
        <v>#N/A</v>
      </c>
    </row>
    <row r="535">
      <c r="A535" s="218" t="s">
        <v>782</v>
      </c>
      <c r="C535" s="218" t="s">
        <v>10723</v>
      </c>
      <c r="F535" s="456">
        <v>44055.0</v>
      </c>
      <c r="G535" s="218">
        <v>1.0</v>
      </c>
      <c r="H535" s="218">
        <v>401091.0</v>
      </c>
      <c r="J535" s="218" t="s">
        <v>10724</v>
      </c>
      <c r="K535" s="218" t="s">
        <v>10725</v>
      </c>
      <c r="L535" s="218">
        <v>15113.0</v>
      </c>
      <c r="M535" s="218">
        <v>168109.0</v>
      </c>
      <c r="N535" s="218">
        <v>1.0E8</v>
      </c>
      <c r="O535" s="218">
        <v>339039.0</v>
      </c>
      <c r="P535" s="218" t="s">
        <v>10726</v>
      </c>
      <c r="Q535" s="222">
        <v>2300.0</v>
      </c>
      <c r="R535" s="222">
        <v>2300.0</v>
      </c>
      <c r="S535" s="222">
        <v>2300.0</v>
      </c>
      <c r="U535" s="222">
        <v>0.0</v>
      </c>
      <c r="X535" s="218">
        <v>1.51132020000047E14</v>
      </c>
      <c r="AB535" t="e">
        <v>#N/A</v>
      </c>
    </row>
    <row r="536">
      <c r="A536" s="218" t="s">
        <v>9331</v>
      </c>
      <c r="C536" s="218" t="s">
        <v>10727</v>
      </c>
      <c r="F536" s="456">
        <v>44056.0</v>
      </c>
      <c r="G536" s="218">
        <v>0.0</v>
      </c>
      <c r="H536" s="218">
        <v>401093.0</v>
      </c>
      <c r="I536" s="218" t="s">
        <v>9353</v>
      </c>
      <c r="J536" s="218" t="s">
        <v>9333</v>
      </c>
      <c r="K536" s="218" t="s">
        <v>9398</v>
      </c>
      <c r="L536" s="218">
        <v>15113.0</v>
      </c>
      <c r="M536" s="218">
        <v>168099.0</v>
      </c>
      <c r="N536" s="218">
        <v>1.69E8</v>
      </c>
      <c r="O536" s="218">
        <v>319001.0</v>
      </c>
      <c r="P536" s="218" t="s">
        <v>9335</v>
      </c>
      <c r="Q536" s="222">
        <v>4000000.0</v>
      </c>
      <c r="R536" s="222">
        <v>-4000000.0</v>
      </c>
      <c r="S536" s="222">
        <v>0.0</v>
      </c>
      <c r="U536" s="222">
        <v>0.0</v>
      </c>
      <c r="AB536" t="e">
        <v>#N/A</v>
      </c>
    </row>
    <row r="537">
      <c r="A537" s="218" t="s">
        <v>9331</v>
      </c>
      <c r="C537" s="218" t="s">
        <v>10728</v>
      </c>
      <c r="F537" s="456">
        <v>44056.0</v>
      </c>
      <c r="G537" s="218">
        <v>0.0</v>
      </c>
      <c r="H537" s="218">
        <v>401092.0</v>
      </c>
      <c r="I537" s="218" t="s">
        <v>9353</v>
      </c>
      <c r="J537" s="218" t="s">
        <v>9333</v>
      </c>
      <c r="K537" s="218" t="s">
        <v>9904</v>
      </c>
      <c r="L537" s="218">
        <v>15113.0</v>
      </c>
      <c r="M537" s="218">
        <v>168099.0</v>
      </c>
      <c r="N537" s="218">
        <v>1.69E8</v>
      </c>
      <c r="O537" s="218">
        <v>319001.0</v>
      </c>
      <c r="P537" s="218" t="s">
        <v>9335</v>
      </c>
      <c r="Q537" s="222">
        <v>365019.0</v>
      </c>
      <c r="R537" s="222">
        <v>365019.0</v>
      </c>
      <c r="S537" s="222">
        <v>0.0</v>
      </c>
      <c r="U537" s="222">
        <v>0.0</v>
      </c>
      <c r="X537" s="218">
        <v>1.51132020000179E14</v>
      </c>
      <c r="AB537" t="e">
        <v>#N/A</v>
      </c>
    </row>
    <row r="538">
      <c r="A538" s="218" t="s">
        <v>9331</v>
      </c>
      <c r="C538" s="218" t="s">
        <v>10729</v>
      </c>
      <c r="F538" s="456">
        <v>44056.0</v>
      </c>
      <c r="G538" s="218">
        <v>0.0</v>
      </c>
      <c r="H538" s="218">
        <v>401093.0</v>
      </c>
      <c r="I538" s="218" t="s">
        <v>9353</v>
      </c>
      <c r="J538" s="218" t="s">
        <v>9333</v>
      </c>
      <c r="K538" s="218" t="s">
        <v>9398</v>
      </c>
      <c r="L538" s="218">
        <v>15113.0</v>
      </c>
      <c r="M538" s="218">
        <v>168099.0</v>
      </c>
      <c r="N538" s="218">
        <v>1.69E8</v>
      </c>
      <c r="O538" s="218">
        <v>319001.0</v>
      </c>
      <c r="P538" s="218" t="s">
        <v>9335</v>
      </c>
      <c r="Q538" s="222">
        <v>620000.0</v>
      </c>
      <c r="R538" s="222">
        <v>-620000.0</v>
      </c>
      <c r="S538" s="218">
        <v>0.0</v>
      </c>
      <c r="U538" s="218">
        <v>0.0</v>
      </c>
      <c r="AB538" t="e">
        <v>#N/A</v>
      </c>
    </row>
    <row r="539">
      <c r="A539" s="218" t="s">
        <v>9331</v>
      </c>
      <c r="C539" s="218" t="s">
        <v>10730</v>
      </c>
      <c r="F539" s="456">
        <v>44056.0</v>
      </c>
      <c r="G539" s="218">
        <v>0.0</v>
      </c>
      <c r="H539" s="218">
        <v>401093.0</v>
      </c>
      <c r="I539" s="218" t="s">
        <v>9354</v>
      </c>
      <c r="J539" s="218" t="s">
        <v>9333</v>
      </c>
      <c r="K539" s="218" t="s">
        <v>9398</v>
      </c>
      <c r="L539" s="218">
        <v>15113.0</v>
      </c>
      <c r="M539" s="218">
        <v>168099.0</v>
      </c>
      <c r="N539" s="218">
        <v>1.69E8</v>
      </c>
      <c r="O539" s="218">
        <v>319003.0</v>
      </c>
      <c r="P539" s="218" t="s">
        <v>9335</v>
      </c>
      <c r="Q539" s="222">
        <v>1000000.0</v>
      </c>
      <c r="R539" s="222">
        <v>-1000000.0</v>
      </c>
      <c r="S539" s="222">
        <v>0.0</v>
      </c>
      <c r="U539" s="222">
        <v>0.0</v>
      </c>
      <c r="AB539" t="e">
        <v>#N/A</v>
      </c>
    </row>
    <row r="540">
      <c r="A540" s="218" t="s">
        <v>9331</v>
      </c>
      <c r="C540" s="218" t="s">
        <v>10731</v>
      </c>
      <c r="F540" s="456">
        <v>44056.0</v>
      </c>
      <c r="G540" s="218">
        <v>0.0</v>
      </c>
      <c r="H540" s="218">
        <v>401092.0</v>
      </c>
      <c r="I540" s="218" t="s">
        <v>9354</v>
      </c>
      <c r="J540" s="218" t="s">
        <v>9333</v>
      </c>
      <c r="K540" s="218" t="s">
        <v>9904</v>
      </c>
      <c r="L540" s="218">
        <v>15113.0</v>
      </c>
      <c r="M540" s="218">
        <v>168099.0</v>
      </c>
      <c r="N540" s="218">
        <v>1.69E8</v>
      </c>
      <c r="O540" s="218">
        <v>319003.0</v>
      </c>
      <c r="P540" s="218" t="s">
        <v>9335</v>
      </c>
      <c r="Q540" s="222">
        <v>4854006.0</v>
      </c>
      <c r="R540" s="222">
        <v>4854006.0</v>
      </c>
      <c r="S540" s="218">
        <v>0.0</v>
      </c>
      <c r="U540" s="218">
        <v>0.0</v>
      </c>
      <c r="X540" s="218">
        <v>1.51132020000188E14</v>
      </c>
      <c r="AB540" t="e">
        <v>#N/A</v>
      </c>
    </row>
    <row r="541">
      <c r="A541" s="218" t="s">
        <v>9331</v>
      </c>
      <c r="C541" s="218" t="s">
        <v>10732</v>
      </c>
      <c r="F541" s="456">
        <v>44056.0</v>
      </c>
      <c r="G541" s="218">
        <v>0.0</v>
      </c>
      <c r="H541" s="218">
        <v>401093.0</v>
      </c>
      <c r="I541" s="218" t="s">
        <v>9332</v>
      </c>
      <c r="J541" s="218" t="s">
        <v>9333</v>
      </c>
      <c r="K541" s="218" t="s">
        <v>9398</v>
      </c>
      <c r="L541" s="218">
        <v>15113.0</v>
      </c>
      <c r="M541" s="218">
        <v>168098.0</v>
      </c>
      <c r="N541" s="218">
        <v>1.0E8</v>
      </c>
      <c r="O541" s="218">
        <v>319011.0</v>
      </c>
      <c r="P541" s="218" t="s">
        <v>9335</v>
      </c>
      <c r="Q541" s="222">
        <v>8535280.0</v>
      </c>
      <c r="R541" s="222">
        <v>-8535280.0</v>
      </c>
      <c r="S541" s="218">
        <v>0.0</v>
      </c>
      <c r="U541" s="218">
        <v>0.0</v>
      </c>
      <c r="AB541" t="e">
        <v>#N/A</v>
      </c>
    </row>
    <row r="542">
      <c r="A542" s="218" t="s">
        <v>9331</v>
      </c>
      <c r="C542" s="218" t="s">
        <v>10733</v>
      </c>
      <c r="F542" s="456">
        <v>44056.0</v>
      </c>
      <c r="G542" s="218">
        <v>0.0</v>
      </c>
      <c r="H542" s="218">
        <v>401092.0</v>
      </c>
      <c r="I542" s="218" t="s">
        <v>9332</v>
      </c>
      <c r="J542" s="218" t="s">
        <v>9333</v>
      </c>
      <c r="K542" s="218" t="s">
        <v>9904</v>
      </c>
      <c r="L542" s="218">
        <v>15113.0</v>
      </c>
      <c r="M542" s="218">
        <v>168098.0</v>
      </c>
      <c r="N542" s="218">
        <v>1.0E8</v>
      </c>
      <c r="O542" s="218">
        <v>319011.0</v>
      </c>
      <c r="P542" s="218" t="s">
        <v>9335</v>
      </c>
      <c r="Q542" s="222">
        <v>8535280.0</v>
      </c>
      <c r="R542" s="222">
        <v>8535280.0</v>
      </c>
      <c r="S542" s="218">
        <v>0.0</v>
      </c>
      <c r="U542" s="218">
        <v>0.0</v>
      </c>
      <c r="X542" s="218">
        <v>1.51132020000185E14</v>
      </c>
      <c r="AB542" t="e">
        <v>#N/A</v>
      </c>
    </row>
    <row r="543">
      <c r="A543" s="218" t="s">
        <v>10734</v>
      </c>
      <c r="C543" s="218" t="s">
        <v>10735</v>
      </c>
      <c r="F543" s="456">
        <v>44057.0</v>
      </c>
      <c r="G543" s="218">
        <v>1.0</v>
      </c>
      <c r="H543" s="218">
        <v>401091.0</v>
      </c>
      <c r="J543" s="218" t="s">
        <v>10736</v>
      </c>
      <c r="K543" s="218" t="s">
        <v>10737</v>
      </c>
      <c r="L543" s="218">
        <v>15113.0</v>
      </c>
      <c r="M543" s="218">
        <v>168105.0</v>
      </c>
      <c r="N543" s="218">
        <v>1.0E8</v>
      </c>
      <c r="O543" s="218">
        <v>339030.0</v>
      </c>
      <c r="P543" s="218" t="s">
        <v>10738</v>
      </c>
      <c r="Q543" s="222">
        <v>1130.74</v>
      </c>
      <c r="R543" s="222">
        <v>1130.74</v>
      </c>
      <c r="S543" s="218">
        <v>894.38</v>
      </c>
      <c r="U543" s="218">
        <v>0.0</v>
      </c>
      <c r="X543" s="218">
        <v>1.51132020000201E14</v>
      </c>
      <c r="AB543" t="e">
        <v>#N/A</v>
      </c>
    </row>
    <row r="544">
      <c r="A544" s="218" t="s">
        <v>324</v>
      </c>
      <c r="C544" s="218" t="s">
        <v>10739</v>
      </c>
      <c r="F544" s="456">
        <v>44057.0</v>
      </c>
      <c r="G544" s="218">
        <v>5.0</v>
      </c>
      <c r="H544" s="218">
        <v>401091.0</v>
      </c>
      <c r="J544" s="218" t="s">
        <v>10740</v>
      </c>
      <c r="K544" s="218" t="s">
        <v>10741</v>
      </c>
      <c r="L544" s="218">
        <v>15113.0</v>
      </c>
      <c r="M544" s="218">
        <v>168105.0</v>
      </c>
      <c r="N544" s="218">
        <v>1.0E8</v>
      </c>
      <c r="O544" s="218">
        <v>339039.0</v>
      </c>
      <c r="P544" s="218" t="s">
        <v>10742</v>
      </c>
      <c r="Q544" s="222">
        <v>603779.05</v>
      </c>
      <c r="R544" s="222">
        <v>603779.05</v>
      </c>
      <c r="S544" s="222">
        <v>464255.55</v>
      </c>
      <c r="U544" s="222">
        <v>211057.57</v>
      </c>
      <c r="X544" s="218">
        <v>1.51132020000237E14</v>
      </c>
      <c r="AB544" t="e">
        <v>#N/A</v>
      </c>
    </row>
    <row r="545">
      <c r="A545" s="218" t="s">
        <v>787</v>
      </c>
      <c r="C545" s="218" t="s">
        <v>10743</v>
      </c>
      <c r="F545" s="456">
        <v>44057.0</v>
      </c>
      <c r="G545" s="218">
        <v>1.0</v>
      </c>
      <c r="H545" s="218">
        <v>401091.0</v>
      </c>
      <c r="J545" s="218" t="s">
        <v>10744</v>
      </c>
      <c r="K545" s="218" t="s">
        <v>10745</v>
      </c>
      <c r="L545" s="218">
        <v>15113.0</v>
      </c>
      <c r="M545" s="218">
        <v>168108.0</v>
      </c>
      <c r="N545" s="218">
        <v>1.0E8</v>
      </c>
      <c r="O545" s="218">
        <v>339039.0</v>
      </c>
      <c r="P545" s="218" t="s">
        <v>10746</v>
      </c>
      <c r="Q545" s="222">
        <v>990.0</v>
      </c>
      <c r="R545" s="222">
        <v>990.0</v>
      </c>
      <c r="S545" s="222">
        <v>990.0</v>
      </c>
      <c r="U545" s="222">
        <v>0.0</v>
      </c>
      <c r="X545" s="218">
        <v>1.51132020000066E14</v>
      </c>
      <c r="AB545" t="e">
        <v>#N/A</v>
      </c>
    </row>
    <row r="546">
      <c r="A546" s="218" t="s">
        <v>781</v>
      </c>
      <c r="C546" s="218" t="s">
        <v>10747</v>
      </c>
      <c r="F546" s="456">
        <v>44057.0</v>
      </c>
      <c r="G546" s="218">
        <v>0.0</v>
      </c>
      <c r="H546" s="218">
        <v>401092.0</v>
      </c>
      <c r="I546" s="218" t="s">
        <v>9916</v>
      </c>
      <c r="J546" s="218" t="s">
        <v>9917</v>
      </c>
      <c r="K546" s="218" t="s">
        <v>9904</v>
      </c>
      <c r="L546" s="218">
        <v>15113.0</v>
      </c>
      <c r="M546" s="218">
        <v>168105.0</v>
      </c>
      <c r="N546" s="218">
        <v>1.0E8</v>
      </c>
      <c r="O546" s="218">
        <v>339039.0</v>
      </c>
      <c r="P546" s="218" t="s">
        <v>9915</v>
      </c>
      <c r="Q546" s="222">
        <v>690.0</v>
      </c>
      <c r="R546" s="222">
        <v>690.0</v>
      </c>
      <c r="S546" s="218">
        <v>0.0</v>
      </c>
      <c r="U546" s="218">
        <v>0.0</v>
      </c>
      <c r="X546" s="218">
        <v>1.51132020000207E14</v>
      </c>
      <c r="AB546" t="e">
        <v>#N/A</v>
      </c>
    </row>
    <row r="547">
      <c r="A547" s="218" t="s">
        <v>781</v>
      </c>
      <c r="C547" s="218" t="s">
        <v>10748</v>
      </c>
      <c r="F547" s="456">
        <v>44057.0</v>
      </c>
      <c r="G547" s="218">
        <v>0.0</v>
      </c>
      <c r="H547" s="218">
        <v>401093.0</v>
      </c>
      <c r="I547" s="218" t="s">
        <v>9951</v>
      </c>
      <c r="J547" s="218" t="s">
        <v>9952</v>
      </c>
      <c r="K547" s="218" t="s">
        <v>9398</v>
      </c>
      <c r="L547" s="218">
        <v>15113.0</v>
      </c>
      <c r="M547" s="218">
        <v>168105.0</v>
      </c>
      <c r="N547" s="218">
        <v>1.8115113E8</v>
      </c>
      <c r="O547" s="218">
        <v>339039.0</v>
      </c>
      <c r="P547" s="218" t="s">
        <v>9954</v>
      </c>
      <c r="Q547" s="222">
        <v>1574224.56</v>
      </c>
      <c r="R547" s="222">
        <v>-1574224.56</v>
      </c>
      <c r="S547" s="222">
        <v>0.0</v>
      </c>
      <c r="U547" s="222">
        <v>0.0</v>
      </c>
      <c r="AB547" t="e">
        <v>#N/A</v>
      </c>
    </row>
    <row r="548">
      <c r="A548" s="218" t="s">
        <v>781</v>
      </c>
      <c r="C548" s="218" t="s">
        <v>10749</v>
      </c>
      <c r="F548" s="456">
        <v>44057.0</v>
      </c>
      <c r="G548" s="218">
        <v>0.0</v>
      </c>
      <c r="H548" s="218">
        <v>401093.0</v>
      </c>
      <c r="I548" s="218" t="s">
        <v>9550</v>
      </c>
      <c r="J548" s="218" t="s">
        <v>9543</v>
      </c>
      <c r="K548" s="218" t="s">
        <v>9398</v>
      </c>
      <c r="L548" s="218">
        <v>15113.0</v>
      </c>
      <c r="M548" s="218">
        <v>168105.0</v>
      </c>
      <c r="N548" s="218">
        <v>1.0E8</v>
      </c>
      <c r="O548" s="218">
        <v>339039.0</v>
      </c>
      <c r="P548" s="218" t="s">
        <v>9552</v>
      </c>
      <c r="Q548" s="222">
        <v>3112.0</v>
      </c>
      <c r="R548" s="222">
        <v>-3112.0</v>
      </c>
      <c r="S548" s="222">
        <v>0.0</v>
      </c>
      <c r="U548" s="222">
        <v>0.0</v>
      </c>
      <c r="AB548" t="e">
        <v>#N/A</v>
      </c>
    </row>
    <row r="549">
      <c r="A549" s="218" t="s">
        <v>116</v>
      </c>
      <c r="C549" s="218" t="s">
        <v>10750</v>
      </c>
      <c r="F549" s="457">
        <v>44057.0</v>
      </c>
      <c r="G549" s="218">
        <v>1.0</v>
      </c>
      <c r="H549" s="218">
        <v>401091.0</v>
      </c>
      <c r="J549" s="218" t="s">
        <v>9934</v>
      </c>
      <c r="K549" s="218" t="s">
        <v>10751</v>
      </c>
      <c r="L549" s="218">
        <v>15113.0</v>
      </c>
      <c r="M549" s="218">
        <v>168105.0</v>
      </c>
      <c r="N549" s="218">
        <v>1.0E8</v>
      </c>
      <c r="O549" s="218">
        <v>339040.0</v>
      </c>
      <c r="P549" s="218" t="s">
        <v>10752</v>
      </c>
      <c r="Q549" s="222">
        <v>5280.0</v>
      </c>
      <c r="R549" s="222">
        <v>5280.0</v>
      </c>
      <c r="S549" s="218">
        <v>0.0</v>
      </c>
      <c r="U549" s="218">
        <v>0.0</v>
      </c>
      <c r="X549" s="218">
        <v>1.51132020000013E14</v>
      </c>
      <c r="AB549" t="e">
        <v>#N/A</v>
      </c>
    </row>
    <row r="550">
      <c r="A550" s="218" t="s">
        <v>781</v>
      </c>
      <c r="C550" s="218" t="s">
        <v>10753</v>
      </c>
      <c r="F550" s="457">
        <v>44057.0</v>
      </c>
      <c r="G550" s="218">
        <v>0.0</v>
      </c>
      <c r="H550" s="218">
        <v>401093.0</v>
      </c>
      <c r="I550" s="218" t="s">
        <v>9768</v>
      </c>
      <c r="J550" s="218" t="s">
        <v>9769</v>
      </c>
      <c r="K550" s="218" t="s">
        <v>9398</v>
      </c>
      <c r="L550" s="218">
        <v>15113.0</v>
      </c>
      <c r="M550" s="218">
        <v>168105.0</v>
      </c>
      <c r="N550" s="218">
        <v>1.8115113E8</v>
      </c>
      <c r="O550" s="218">
        <v>339039.0</v>
      </c>
      <c r="P550" s="218" t="s">
        <v>9771</v>
      </c>
      <c r="Q550" s="222">
        <v>150000.0</v>
      </c>
      <c r="R550" s="222">
        <v>-150000.0</v>
      </c>
      <c r="S550" s="222">
        <v>0.0</v>
      </c>
      <c r="U550" s="222">
        <v>0.0</v>
      </c>
      <c r="AB550" t="e">
        <v>#N/A</v>
      </c>
    </row>
    <row r="551">
      <c r="A551" s="218" t="s">
        <v>9331</v>
      </c>
      <c r="C551" s="218" t="s">
        <v>10754</v>
      </c>
      <c r="F551" s="457">
        <v>44060.0</v>
      </c>
      <c r="G551" s="218">
        <v>3.0</v>
      </c>
      <c r="H551" s="218">
        <v>401091.0</v>
      </c>
      <c r="J551" s="218" t="s">
        <v>9341</v>
      </c>
      <c r="K551" s="218" t="s">
        <v>10755</v>
      </c>
      <c r="L551" s="218">
        <v>15113.0</v>
      </c>
      <c r="M551" s="218">
        <v>168108.0</v>
      </c>
      <c r="N551" s="218">
        <v>1.0E8</v>
      </c>
      <c r="O551" s="218">
        <v>339147.0</v>
      </c>
      <c r="P551" s="218" t="s">
        <v>9335</v>
      </c>
      <c r="Q551" s="222">
        <v>1000.0</v>
      </c>
      <c r="R551" s="222">
        <v>1000.0</v>
      </c>
      <c r="S551" s="222">
        <v>2238.0</v>
      </c>
      <c r="U551" s="218">
        <v>0.0</v>
      </c>
      <c r="X551" s="218">
        <v>1.51132020000064E14</v>
      </c>
      <c r="AB551" t="e">
        <v>#N/A</v>
      </c>
    </row>
    <row r="552">
      <c r="A552" s="218" t="s">
        <v>9331</v>
      </c>
      <c r="C552" s="218" t="s">
        <v>10756</v>
      </c>
      <c r="F552" s="457">
        <v>44060.0</v>
      </c>
      <c r="G552" s="218">
        <v>0.0</v>
      </c>
      <c r="H552" s="218">
        <v>401092.0</v>
      </c>
      <c r="I552" s="218" t="s">
        <v>9332</v>
      </c>
      <c r="J552" s="218" t="s">
        <v>9333</v>
      </c>
      <c r="K552" s="218" t="s">
        <v>9904</v>
      </c>
      <c r="L552" s="218">
        <v>15113.0</v>
      </c>
      <c r="M552" s="218">
        <v>168098.0</v>
      </c>
      <c r="N552" s="218">
        <v>1.0E8</v>
      </c>
      <c r="O552" s="218">
        <v>319011.0</v>
      </c>
      <c r="P552" s="218" t="s">
        <v>9335</v>
      </c>
      <c r="Q552" s="222">
        <v>24021.44</v>
      </c>
      <c r="R552" s="222">
        <v>24021.44</v>
      </c>
      <c r="S552" s="218">
        <v>0.0</v>
      </c>
      <c r="U552" s="218">
        <v>0.0</v>
      </c>
      <c r="X552" s="218">
        <v>1.51132020000185E14</v>
      </c>
      <c r="AB552" t="e">
        <v>#N/A</v>
      </c>
    </row>
    <row r="553">
      <c r="A553" s="218" t="s">
        <v>10001</v>
      </c>
      <c r="C553" s="218" t="s">
        <v>10757</v>
      </c>
      <c r="F553" s="457">
        <v>44060.0</v>
      </c>
      <c r="G553" s="218">
        <v>1.0</v>
      </c>
      <c r="H553" s="218">
        <v>401091.0</v>
      </c>
      <c r="J553" s="218" t="s">
        <v>10758</v>
      </c>
      <c r="K553" s="218" t="s">
        <v>10759</v>
      </c>
      <c r="L553" s="218">
        <v>15113.0</v>
      </c>
      <c r="M553" s="218">
        <v>168105.0</v>
      </c>
      <c r="N553" s="218">
        <v>1.0E8</v>
      </c>
      <c r="O553" s="218">
        <v>339030.0</v>
      </c>
      <c r="P553" s="218" t="s">
        <v>10760</v>
      </c>
      <c r="Q553" s="222">
        <v>13200.0</v>
      </c>
      <c r="R553" s="222">
        <v>13200.0</v>
      </c>
      <c r="S553" s="222">
        <v>13200.0</v>
      </c>
      <c r="U553" s="218">
        <v>0.0</v>
      </c>
      <c r="X553" s="218">
        <v>1.51132020000236E14</v>
      </c>
      <c r="AB553" t="e">
        <v>#N/A</v>
      </c>
    </row>
    <row r="554">
      <c r="A554" s="218" t="s">
        <v>9371</v>
      </c>
      <c r="C554" s="218" t="s">
        <v>10761</v>
      </c>
      <c r="F554" s="457">
        <v>44061.0</v>
      </c>
      <c r="G554" s="218">
        <v>0.0</v>
      </c>
      <c r="H554" s="218">
        <v>401092.0</v>
      </c>
      <c r="I554" s="218" t="s">
        <v>9372</v>
      </c>
      <c r="J554" s="218" t="s">
        <v>9333</v>
      </c>
      <c r="K554" s="218" t="s">
        <v>10762</v>
      </c>
      <c r="L554" s="218">
        <v>15113.0</v>
      </c>
      <c r="M554" s="218">
        <v>168108.0</v>
      </c>
      <c r="N554" s="218">
        <v>1.0E8</v>
      </c>
      <c r="O554" s="218">
        <v>339036.0</v>
      </c>
      <c r="P554" s="218" t="s">
        <v>9374</v>
      </c>
      <c r="Q554" s="222">
        <v>1501.7</v>
      </c>
      <c r="R554" s="222">
        <v>1501.7</v>
      </c>
      <c r="S554" s="222">
        <v>0.0</v>
      </c>
      <c r="U554" s="218">
        <v>0.0</v>
      </c>
      <c r="X554" s="218">
        <v>1.51132020000067E14</v>
      </c>
      <c r="AB554" t="e">
        <v>#N/A</v>
      </c>
    </row>
    <row r="555">
      <c r="A555" s="218" t="s">
        <v>9331</v>
      </c>
      <c r="C555" s="218" t="s">
        <v>10763</v>
      </c>
      <c r="F555" s="457">
        <v>44062.0</v>
      </c>
      <c r="G555" s="218">
        <v>0.0</v>
      </c>
      <c r="H555" s="218">
        <v>401093.0</v>
      </c>
      <c r="I555" s="218" t="s">
        <v>9363</v>
      </c>
      <c r="J555" s="218" t="s">
        <v>9333</v>
      </c>
      <c r="K555" s="218" t="s">
        <v>9398</v>
      </c>
      <c r="L555" s="218">
        <v>15113.0</v>
      </c>
      <c r="M555" s="218">
        <v>168104.0</v>
      </c>
      <c r="N555" s="218">
        <v>1.0E8</v>
      </c>
      <c r="O555" s="218">
        <v>339008.0</v>
      </c>
      <c r="P555" s="218" t="s">
        <v>9335</v>
      </c>
      <c r="Q555" s="222">
        <v>8836.1</v>
      </c>
      <c r="R555" s="222">
        <v>-8836.1</v>
      </c>
      <c r="S555" s="222">
        <v>0.0</v>
      </c>
      <c r="U555" s="222">
        <v>0.0</v>
      </c>
      <c r="AB555" t="e">
        <v>#N/A</v>
      </c>
    </row>
    <row r="556">
      <c r="A556" s="218" t="s">
        <v>9331</v>
      </c>
      <c r="C556" s="218" t="s">
        <v>10764</v>
      </c>
      <c r="F556" s="456">
        <v>44062.0</v>
      </c>
      <c r="G556" s="218">
        <v>0.0</v>
      </c>
      <c r="H556" s="218">
        <v>401092.0</v>
      </c>
      <c r="I556" s="218" t="s">
        <v>9363</v>
      </c>
      <c r="J556" s="218" t="s">
        <v>9333</v>
      </c>
      <c r="K556" s="218" t="s">
        <v>9904</v>
      </c>
      <c r="L556" s="218">
        <v>15113.0</v>
      </c>
      <c r="M556" s="218">
        <v>168104.0</v>
      </c>
      <c r="N556" s="218">
        <v>1.0E8</v>
      </c>
      <c r="O556" s="218">
        <v>339008.0</v>
      </c>
      <c r="P556" s="218" t="s">
        <v>9335</v>
      </c>
      <c r="Q556" s="222">
        <v>8836.1</v>
      </c>
      <c r="R556" s="222">
        <v>8836.1</v>
      </c>
      <c r="S556" s="222">
        <v>0.0</v>
      </c>
      <c r="U556" s="222">
        <v>0.0</v>
      </c>
      <c r="X556" s="218">
        <v>1.51132020000192E14</v>
      </c>
      <c r="AB556" t="e">
        <v>#N/A</v>
      </c>
    </row>
    <row r="557">
      <c r="A557" s="218" t="s">
        <v>781</v>
      </c>
      <c r="C557" s="218" t="s">
        <v>10765</v>
      </c>
      <c r="F557" s="456">
        <v>44064.0</v>
      </c>
      <c r="G557" s="218">
        <v>0.0</v>
      </c>
      <c r="H557" s="218">
        <v>401092.0</v>
      </c>
      <c r="I557" s="218" t="s">
        <v>10469</v>
      </c>
      <c r="J557" s="218" t="s">
        <v>9938</v>
      </c>
      <c r="K557" s="218" t="s">
        <v>10766</v>
      </c>
      <c r="L557" s="218">
        <v>15113.0</v>
      </c>
      <c r="M557" s="218">
        <v>168105.0</v>
      </c>
      <c r="N557" s="218">
        <v>1.0E8</v>
      </c>
      <c r="O557" s="218">
        <v>339030.0</v>
      </c>
      <c r="P557" s="218" t="s">
        <v>9940</v>
      </c>
      <c r="Q557" s="222">
        <v>200000.0</v>
      </c>
      <c r="R557" s="222">
        <v>200000.0</v>
      </c>
      <c r="S557" s="222">
        <v>0.0</v>
      </c>
      <c r="U557" s="218">
        <v>0.0</v>
      </c>
      <c r="X557" s="218">
        <v>1.51132020000197E14</v>
      </c>
      <c r="AB557" t="e">
        <v>#N/A</v>
      </c>
    </row>
    <row r="558">
      <c r="A558" s="218" t="s">
        <v>781</v>
      </c>
      <c r="C558" s="218" t="s">
        <v>10767</v>
      </c>
      <c r="F558" s="457">
        <v>44064.0</v>
      </c>
      <c r="G558" s="218">
        <v>0.0</v>
      </c>
      <c r="H558" s="218">
        <v>401092.0</v>
      </c>
      <c r="I558" s="218" t="s">
        <v>10470</v>
      </c>
      <c r="J558" s="218" t="s">
        <v>9938</v>
      </c>
      <c r="K558" s="218" t="s">
        <v>10768</v>
      </c>
      <c r="L558" s="218">
        <v>15113.0</v>
      </c>
      <c r="M558" s="218">
        <v>168105.0</v>
      </c>
      <c r="N558" s="218">
        <v>1.0E8</v>
      </c>
      <c r="O558" s="218">
        <v>339039.0</v>
      </c>
      <c r="P558" s="218" t="s">
        <v>9940</v>
      </c>
      <c r="Q558" s="222">
        <v>300000.0</v>
      </c>
      <c r="R558" s="222">
        <v>300000.0</v>
      </c>
      <c r="S558" s="218">
        <v>0.0</v>
      </c>
      <c r="U558" s="218">
        <v>0.0</v>
      </c>
      <c r="X558" s="218">
        <v>1.51132020000193E14</v>
      </c>
      <c r="AB558" t="e">
        <v>#N/A</v>
      </c>
    </row>
    <row r="559">
      <c r="A559" s="218" t="s">
        <v>9371</v>
      </c>
      <c r="C559" s="218" t="s">
        <v>10769</v>
      </c>
      <c r="F559" s="457">
        <v>44064.0</v>
      </c>
      <c r="G559" s="218">
        <v>1.0</v>
      </c>
      <c r="H559" s="218">
        <v>401091.0</v>
      </c>
      <c r="J559" s="218" t="s">
        <v>9590</v>
      </c>
      <c r="K559" s="218" t="s">
        <v>10770</v>
      </c>
      <c r="L559" s="218">
        <v>71103.0</v>
      </c>
      <c r="M559" s="218">
        <v>90162.0</v>
      </c>
      <c r="N559" s="218">
        <v>1.0E8</v>
      </c>
      <c r="O559" s="218">
        <v>319091.0</v>
      </c>
      <c r="P559" s="218" t="s">
        <v>10771</v>
      </c>
      <c r="Q559" s="222">
        <v>114229.71</v>
      </c>
      <c r="R559" s="222">
        <v>114229.71</v>
      </c>
      <c r="S559" s="222">
        <v>114229.71</v>
      </c>
      <c r="U559" s="218">
        <v>0.0</v>
      </c>
      <c r="X559" s="218">
        <v>1.51132020000204E14</v>
      </c>
      <c r="AB559" t="e">
        <v>#N/A</v>
      </c>
    </row>
    <row r="560">
      <c r="A560" s="218" t="s">
        <v>781</v>
      </c>
      <c r="C560" s="218" t="s">
        <v>10772</v>
      </c>
      <c r="F560" s="457">
        <v>44064.0</v>
      </c>
      <c r="G560" s="218">
        <v>1.0</v>
      </c>
      <c r="H560" s="218">
        <v>401091.0</v>
      </c>
      <c r="J560" s="218" t="s">
        <v>10773</v>
      </c>
      <c r="K560" s="218" t="s">
        <v>10774</v>
      </c>
      <c r="L560" s="218">
        <v>15113.0</v>
      </c>
      <c r="M560" s="218">
        <v>168105.0</v>
      </c>
      <c r="N560" s="218">
        <v>1.0E8</v>
      </c>
      <c r="O560" s="218">
        <v>339039.0</v>
      </c>
      <c r="P560" s="218" t="s">
        <v>10775</v>
      </c>
      <c r="Q560" s="222">
        <v>1200.0</v>
      </c>
      <c r="R560" s="222">
        <v>1200.0</v>
      </c>
      <c r="S560" s="218">
        <v>700.0</v>
      </c>
      <c r="U560" s="218">
        <v>229.69</v>
      </c>
      <c r="X560" s="218">
        <v>1.51132020000157E14</v>
      </c>
      <c r="AB560" t="e">
        <v>#N/A</v>
      </c>
    </row>
    <row r="561">
      <c r="A561" s="218" t="s">
        <v>781</v>
      </c>
      <c r="C561" s="218" t="s">
        <v>10776</v>
      </c>
      <c r="F561" s="457">
        <v>44064.0</v>
      </c>
      <c r="G561" s="218">
        <v>1.0</v>
      </c>
      <c r="H561" s="218">
        <v>401091.0</v>
      </c>
      <c r="J561" s="218" t="s">
        <v>10773</v>
      </c>
      <c r="K561" s="218" t="s">
        <v>10777</v>
      </c>
      <c r="L561" s="218">
        <v>15113.0</v>
      </c>
      <c r="M561" s="218">
        <v>168105.0</v>
      </c>
      <c r="N561" s="218">
        <v>1.0E8</v>
      </c>
      <c r="O561" s="218">
        <v>339047.0</v>
      </c>
      <c r="P561" s="218" t="s">
        <v>10775</v>
      </c>
      <c r="Q561" s="222">
        <v>236.16</v>
      </c>
      <c r="R561" s="222">
        <v>236.16</v>
      </c>
      <c r="S561" s="222">
        <v>236.16</v>
      </c>
      <c r="U561" s="218">
        <v>39.36</v>
      </c>
      <c r="X561" s="218">
        <v>1.51132020000165E14</v>
      </c>
      <c r="AB561" t="e">
        <v>#N/A</v>
      </c>
    </row>
    <row r="562">
      <c r="A562" s="218" t="s">
        <v>116</v>
      </c>
      <c r="C562" s="218" t="s">
        <v>10778</v>
      </c>
      <c r="F562" s="457">
        <v>44067.0</v>
      </c>
      <c r="G562" s="218">
        <v>3.0</v>
      </c>
      <c r="H562" s="218">
        <v>401091.0</v>
      </c>
      <c r="J562" s="218" t="s">
        <v>9934</v>
      </c>
      <c r="K562" s="218" t="s">
        <v>10779</v>
      </c>
      <c r="L562" s="218">
        <v>15113.0</v>
      </c>
      <c r="M562" s="218">
        <v>168105.0</v>
      </c>
      <c r="N562" s="218">
        <v>1.0E8</v>
      </c>
      <c r="O562" s="218">
        <v>339040.0</v>
      </c>
      <c r="P562" s="218" t="s">
        <v>356</v>
      </c>
      <c r="Q562" s="222">
        <v>14000.0</v>
      </c>
      <c r="R562" s="222">
        <v>14000.0</v>
      </c>
      <c r="S562" s="222">
        <v>14000.0</v>
      </c>
      <c r="U562" s="222">
        <v>8381.0</v>
      </c>
      <c r="X562" s="218">
        <v>1.51132020000013E14</v>
      </c>
      <c r="AB562" t="e">
        <v>#N/A</v>
      </c>
    </row>
    <row r="563">
      <c r="A563" s="218" t="s">
        <v>116</v>
      </c>
      <c r="C563" s="218" t="s">
        <v>10780</v>
      </c>
      <c r="F563" s="456">
        <v>44067.0</v>
      </c>
      <c r="G563" s="218">
        <v>1.0</v>
      </c>
      <c r="H563" s="218">
        <v>401091.0</v>
      </c>
      <c r="J563" s="218" t="s">
        <v>10781</v>
      </c>
      <c r="K563" s="218" t="s">
        <v>10782</v>
      </c>
      <c r="L563" s="218">
        <v>15113.0</v>
      </c>
      <c r="M563" s="218">
        <v>168107.0</v>
      </c>
      <c r="N563" s="218">
        <v>1.0E8</v>
      </c>
      <c r="O563" s="218">
        <v>339040.0</v>
      </c>
      <c r="P563" s="218" t="s">
        <v>10783</v>
      </c>
      <c r="Q563" s="222">
        <v>7980.0</v>
      </c>
      <c r="R563" s="222">
        <v>7980.0</v>
      </c>
      <c r="S563" s="222">
        <v>2660.0</v>
      </c>
      <c r="U563" s="218">
        <v>665.0</v>
      </c>
      <c r="X563" s="218">
        <v>1.51132020000249E14</v>
      </c>
      <c r="AB563" t="e">
        <v>#N/A</v>
      </c>
    </row>
    <row r="564">
      <c r="A564" s="218" t="s">
        <v>9371</v>
      </c>
      <c r="C564" s="218" t="s">
        <v>10784</v>
      </c>
      <c r="F564" s="456">
        <v>44067.0</v>
      </c>
      <c r="G564" s="218">
        <v>0.0</v>
      </c>
      <c r="H564" s="218">
        <v>401093.0</v>
      </c>
      <c r="I564" s="218" t="s">
        <v>9375</v>
      </c>
      <c r="J564" s="218" t="s">
        <v>9333</v>
      </c>
      <c r="K564" s="218" t="s">
        <v>9948</v>
      </c>
      <c r="L564" s="218">
        <v>15113.0</v>
      </c>
      <c r="M564" s="218">
        <v>168105.0</v>
      </c>
      <c r="N564" s="218">
        <v>1.0E8</v>
      </c>
      <c r="O564" s="218">
        <v>339014.0</v>
      </c>
      <c r="P564" s="218" t="s">
        <v>9374</v>
      </c>
      <c r="Q564" s="222">
        <v>525000.0</v>
      </c>
      <c r="R564" s="222">
        <v>-525000.0</v>
      </c>
      <c r="S564" s="222">
        <v>0.0</v>
      </c>
      <c r="U564" s="222">
        <v>0.0</v>
      </c>
      <c r="AB564" t="e">
        <v>#N/A</v>
      </c>
    </row>
    <row r="565">
      <c r="A565" s="218" t="s">
        <v>9371</v>
      </c>
      <c r="C565" s="218" t="s">
        <v>10785</v>
      </c>
      <c r="F565" s="456">
        <v>44067.0</v>
      </c>
      <c r="G565" s="218">
        <v>0.0</v>
      </c>
      <c r="H565" s="218">
        <v>401093.0</v>
      </c>
      <c r="I565" s="218" t="s">
        <v>9377</v>
      </c>
      <c r="J565" s="218" t="s">
        <v>9333</v>
      </c>
      <c r="K565" s="218" t="s">
        <v>10786</v>
      </c>
      <c r="L565" s="218">
        <v>15113.0</v>
      </c>
      <c r="M565" s="218">
        <v>168105.0</v>
      </c>
      <c r="N565" s="218">
        <v>1.0E8</v>
      </c>
      <c r="O565" s="218">
        <v>339093.0</v>
      </c>
      <c r="P565" s="218" t="s">
        <v>9374</v>
      </c>
      <c r="Q565" s="222">
        <v>740827.08</v>
      </c>
      <c r="R565" s="222">
        <v>-740827.08</v>
      </c>
      <c r="S565" s="218">
        <v>0.0</v>
      </c>
      <c r="U565" s="218">
        <v>0.0</v>
      </c>
      <c r="AB565" t="e">
        <v>#N/A</v>
      </c>
    </row>
    <row r="566">
      <c r="A566" s="218" t="s">
        <v>10001</v>
      </c>
      <c r="C566" s="218" t="s">
        <v>10787</v>
      </c>
      <c r="F566" s="456">
        <v>44067.0</v>
      </c>
      <c r="G566" s="218">
        <v>1.0</v>
      </c>
      <c r="H566" s="218">
        <v>401091.0</v>
      </c>
      <c r="J566" s="218" t="s">
        <v>10788</v>
      </c>
      <c r="K566" s="218" t="s">
        <v>10789</v>
      </c>
      <c r="L566" s="218">
        <v>15113.0</v>
      </c>
      <c r="M566" s="218">
        <v>168105.0</v>
      </c>
      <c r="N566" s="218">
        <v>1.0E8</v>
      </c>
      <c r="O566" s="218">
        <v>449052.0</v>
      </c>
      <c r="P566" s="218" t="s">
        <v>10790</v>
      </c>
      <c r="Q566" s="222">
        <v>1358.5</v>
      </c>
      <c r="R566" s="222">
        <v>1358.5</v>
      </c>
      <c r="S566" s="222">
        <v>0.0</v>
      </c>
      <c r="U566" s="222">
        <v>0.0</v>
      </c>
      <c r="X566" s="218">
        <v>1.51132020000104E14</v>
      </c>
      <c r="AB566" t="e">
        <v>#N/A</v>
      </c>
    </row>
    <row r="567">
      <c r="A567" s="218" t="s">
        <v>10001</v>
      </c>
      <c r="C567" s="218" t="s">
        <v>10791</v>
      </c>
      <c r="F567" s="457">
        <v>44067.0</v>
      </c>
      <c r="G567" s="218">
        <v>1.0</v>
      </c>
      <c r="H567" s="218">
        <v>401091.0</v>
      </c>
      <c r="J567" s="218" t="s">
        <v>10792</v>
      </c>
      <c r="K567" s="218" t="s">
        <v>10793</v>
      </c>
      <c r="L567" s="218">
        <v>15113.0</v>
      </c>
      <c r="M567" s="218">
        <v>168105.0</v>
      </c>
      <c r="N567" s="218">
        <v>1.0E8</v>
      </c>
      <c r="O567" s="218">
        <v>449052.0</v>
      </c>
      <c r="P567" s="218" t="s">
        <v>10790</v>
      </c>
      <c r="Q567" s="222">
        <v>3899.0</v>
      </c>
      <c r="R567" s="222">
        <v>3899.0</v>
      </c>
      <c r="S567" s="222">
        <v>3899.0</v>
      </c>
      <c r="U567" s="218">
        <v>0.0</v>
      </c>
      <c r="X567" s="218">
        <v>1.51132020000104E14</v>
      </c>
      <c r="AB567" t="e">
        <v>#N/A</v>
      </c>
    </row>
    <row r="568">
      <c r="A568" s="218" t="s">
        <v>10001</v>
      </c>
      <c r="C568" s="218" t="s">
        <v>10794</v>
      </c>
      <c r="F568" s="457">
        <v>44067.0</v>
      </c>
      <c r="G568" s="218">
        <v>0.0</v>
      </c>
      <c r="H568" s="218">
        <v>401093.0</v>
      </c>
      <c r="I568" s="218" t="s">
        <v>10787</v>
      </c>
      <c r="J568" s="218" t="s">
        <v>10788</v>
      </c>
      <c r="K568" s="218" t="s">
        <v>10795</v>
      </c>
      <c r="L568" s="218">
        <v>15113.0</v>
      </c>
      <c r="M568" s="218">
        <v>168105.0</v>
      </c>
      <c r="N568" s="218">
        <v>1.0E8</v>
      </c>
      <c r="O568" s="218">
        <v>449052.0</v>
      </c>
      <c r="P568" s="218" t="s">
        <v>10790</v>
      </c>
      <c r="Q568" s="222">
        <v>1358.5</v>
      </c>
      <c r="R568" s="222">
        <v>-1358.5</v>
      </c>
      <c r="S568" s="218">
        <v>0.0</v>
      </c>
      <c r="U568" s="218">
        <v>0.0</v>
      </c>
      <c r="AB568" t="e">
        <v>#N/A</v>
      </c>
    </row>
    <row r="569">
      <c r="A569" s="218" t="s">
        <v>10001</v>
      </c>
      <c r="C569" s="218" t="s">
        <v>10796</v>
      </c>
      <c r="F569" s="456">
        <v>44067.0</v>
      </c>
      <c r="G569" s="218">
        <v>1.0</v>
      </c>
      <c r="H569" s="218">
        <v>401091.0</v>
      </c>
      <c r="J569" s="218" t="s">
        <v>10788</v>
      </c>
      <c r="K569" s="218" t="s">
        <v>10797</v>
      </c>
      <c r="L569" s="218">
        <v>15113.0</v>
      </c>
      <c r="M569" s="218">
        <v>168105.0</v>
      </c>
      <c r="N569" s="218">
        <v>1.0E8</v>
      </c>
      <c r="O569" s="218">
        <v>449052.0</v>
      </c>
      <c r="P569" s="218" t="s">
        <v>10790</v>
      </c>
      <c r="Q569" s="222">
        <v>1358.5</v>
      </c>
      <c r="R569" s="222">
        <v>1358.5</v>
      </c>
      <c r="S569" s="222">
        <v>1358.5</v>
      </c>
      <c r="U569" s="222">
        <v>0.0</v>
      </c>
      <c r="X569" s="218">
        <v>1.51132020000104E14</v>
      </c>
      <c r="AB569" t="e">
        <v>#N/A</v>
      </c>
    </row>
    <row r="570">
      <c r="A570" s="218" t="s">
        <v>10001</v>
      </c>
      <c r="C570" s="218" t="s">
        <v>10798</v>
      </c>
      <c r="F570" s="456">
        <v>44067.0</v>
      </c>
      <c r="G570" s="218">
        <v>1.0</v>
      </c>
      <c r="H570" s="218">
        <v>401091.0</v>
      </c>
      <c r="J570" s="218" t="s">
        <v>10799</v>
      </c>
      <c r="K570" s="218" t="s">
        <v>10800</v>
      </c>
      <c r="L570" s="218">
        <v>15113.0</v>
      </c>
      <c r="M570" s="218">
        <v>168105.0</v>
      </c>
      <c r="N570" s="218">
        <v>1.0E8</v>
      </c>
      <c r="O570" s="218">
        <v>449052.0</v>
      </c>
      <c r="P570" s="218" t="s">
        <v>10790</v>
      </c>
      <c r="Q570" s="222">
        <v>6890.0</v>
      </c>
      <c r="R570" s="222">
        <v>6890.0</v>
      </c>
      <c r="S570" s="222">
        <v>6890.0</v>
      </c>
      <c r="U570" s="222">
        <v>0.0</v>
      </c>
      <c r="X570" s="218">
        <v>1.51132020000104E14</v>
      </c>
      <c r="AB570" t="e">
        <v>#N/A</v>
      </c>
    </row>
    <row r="571">
      <c r="A571" s="218" t="s">
        <v>782</v>
      </c>
      <c r="C571" s="218" t="s">
        <v>10801</v>
      </c>
      <c r="F571" s="456">
        <v>44068.0</v>
      </c>
      <c r="G571" s="218">
        <v>1.0</v>
      </c>
      <c r="H571" s="218">
        <v>401091.0</v>
      </c>
      <c r="J571" s="218" t="s">
        <v>10802</v>
      </c>
      <c r="K571" s="218" t="s">
        <v>10803</v>
      </c>
      <c r="L571" s="218">
        <v>15113.0</v>
      </c>
      <c r="M571" s="218">
        <v>168109.0</v>
      </c>
      <c r="N571" s="218">
        <v>1.0E8</v>
      </c>
      <c r="O571" s="218">
        <v>339036.0</v>
      </c>
      <c r="P571" s="218" t="s">
        <v>10804</v>
      </c>
      <c r="Q571" s="222">
        <v>570.0</v>
      </c>
      <c r="R571" s="222">
        <v>570.0</v>
      </c>
      <c r="S571" s="222">
        <v>570.0</v>
      </c>
      <c r="U571" s="218">
        <v>0.0</v>
      </c>
      <c r="X571" s="218">
        <v>1.51132020000049E14</v>
      </c>
      <c r="AB571" t="e">
        <v>#N/A</v>
      </c>
    </row>
    <row r="572">
      <c r="A572" s="218" t="s">
        <v>9371</v>
      </c>
      <c r="C572" s="218" t="s">
        <v>10805</v>
      </c>
      <c r="F572" s="456">
        <v>44068.0</v>
      </c>
      <c r="G572" s="218">
        <v>0.0</v>
      </c>
      <c r="H572" s="218">
        <v>401093.0</v>
      </c>
      <c r="I572" s="218" t="s">
        <v>9383</v>
      </c>
      <c r="J572" s="218" t="s">
        <v>9333</v>
      </c>
      <c r="K572" s="218" t="s">
        <v>10806</v>
      </c>
      <c r="L572" s="218">
        <v>15113.0</v>
      </c>
      <c r="M572" s="218">
        <v>168097.0</v>
      </c>
      <c r="N572" s="218">
        <v>1.0E8</v>
      </c>
      <c r="O572" s="218">
        <v>339036.0</v>
      </c>
      <c r="P572" s="218" t="s">
        <v>9374</v>
      </c>
      <c r="Q572" s="222">
        <v>2000000.0</v>
      </c>
      <c r="R572" s="222">
        <v>-2000000.0</v>
      </c>
      <c r="S572" s="218">
        <v>0.0</v>
      </c>
      <c r="U572" s="218">
        <v>0.0</v>
      </c>
      <c r="AB572" t="e">
        <v>#N/A</v>
      </c>
    </row>
    <row r="573">
      <c r="A573" s="218" t="s">
        <v>9331</v>
      </c>
      <c r="C573" s="218" t="s">
        <v>10807</v>
      </c>
      <c r="F573" s="457">
        <v>44068.0</v>
      </c>
      <c r="G573" s="218">
        <v>0.0</v>
      </c>
      <c r="H573" s="218">
        <v>401093.0</v>
      </c>
      <c r="I573" s="218" t="s">
        <v>9369</v>
      </c>
      <c r="J573" s="218" t="s">
        <v>9344</v>
      </c>
      <c r="K573" s="218" t="s">
        <v>9398</v>
      </c>
      <c r="L573" s="218">
        <v>15113.0</v>
      </c>
      <c r="M573" s="218">
        <v>168095.0</v>
      </c>
      <c r="N573" s="218">
        <v>1.0E8</v>
      </c>
      <c r="O573" s="218">
        <v>319192.0</v>
      </c>
      <c r="P573" s="218" t="s">
        <v>9335</v>
      </c>
      <c r="Q573" s="218">
        <v>72.08</v>
      </c>
      <c r="R573" s="218">
        <v>-72.08</v>
      </c>
      <c r="S573" s="218">
        <v>0.0</v>
      </c>
      <c r="U573" s="218">
        <v>0.0</v>
      </c>
      <c r="AB573" t="e">
        <v>#N/A</v>
      </c>
    </row>
    <row r="574">
      <c r="A574" s="218" t="s">
        <v>10734</v>
      </c>
      <c r="C574" s="218" t="s">
        <v>10808</v>
      </c>
      <c r="F574" s="457">
        <v>44069.0</v>
      </c>
      <c r="G574" s="218">
        <v>1.0</v>
      </c>
      <c r="H574" s="218">
        <v>401091.0</v>
      </c>
      <c r="J574" s="218" t="s">
        <v>10809</v>
      </c>
      <c r="K574" s="218" t="s">
        <v>10810</v>
      </c>
      <c r="L574" s="218">
        <v>15113.0</v>
      </c>
      <c r="M574" s="218">
        <v>168105.0</v>
      </c>
      <c r="N574" s="218">
        <v>1.0E8</v>
      </c>
      <c r="O574" s="218">
        <v>339030.0</v>
      </c>
      <c r="P574" s="218" t="s">
        <v>10811</v>
      </c>
      <c r="Q574" s="222">
        <v>6786.48</v>
      </c>
      <c r="R574" s="222">
        <v>6786.48</v>
      </c>
      <c r="S574" s="222">
        <v>6131.69</v>
      </c>
      <c r="U574" s="218">
        <v>0.0</v>
      </c>
      <c r="X574" s="218">
        <v>1.51132020000201E14</v>
      </c>
      <c r="AB574" t="e">
        <v>#N/A</v>
      </c>
    </row>
    <row r="575">
      <c r="A575" s="218" t="s">
        <v>10001</v>
      </c>
      <c r="C575" s="218" t="s">
        <v>10812</v>
      </c>
      <c r="F575" s="457">
        <v>44069.0</v>
      </c>
      <c r="G575" s="218">
        <v>1.0</v>
      </c>
      <c r="H575" s="218">
        <v>401091.0</v>
      </c>
      <c r="J575" s="218" t="s">
        <v>10349</v>
      </c>
      <c r="K575" s="218" t="s">
        <v>10813</v>
      </c>
      <c r="L575" s="218">
        <v>15113.0</v>
      </c>
      <c r="M575" s="218">
        <v>168105.0</v>
      </c>
      <c r="N575" s="218">
        <v>1.0E8</v>
      </c>
      <c r="O575" s="218">
        <v>449052.0</v>
      </c>
      <c r="P575" s="218" t="s">
        <v>10814</v>
      </c>
      <c r="Q575" s="222">
        <v>5000.0</v>
      </c>
      <c r="R575" s="222">
        <v>5000.0</v>
      </c>
      <c r="S575" s="222">
        <v>5000.0</v>
      </c>
      <c r="U575" s="218">
        <v>0.0</v>
      </c>
      <c r="X575" s="218">
        <v>1.51132020000095E14</v>
      </c>
      <c r="AB575" t="e">
        <v>#N/A</v>
      </c>
    </row>
    <row r="576">
      <c r="A576" s="218" t="s">
        <v>9430</v>
      </c>
      <c r="C576" s="218" t="s">
        <v>10815</v>
      </c>
      <c r="F576" s="457">
        <v>44069.0</v>
      </c>
      <c r="G576" s="218">
        <v>1.0</v>
      </c>
      <c r="H576" s="218">
        <v>401091.0</v>
      </c>
      <c r="J576" s="218" t="s">
        <v>9689</v>
      </c>
      <c r="K576" s="218" t="s">
        <v>10816</v>
      </c>
      <c r="L576" s="218">
        <v>15113.0</v>
      </c>
      <c r="M576" s="218">
        <v>168105.0</v>
      </c>
      <c r="N576" s="218">
        <v>1.0E8</v>
      </c>
      <c r="O576" s="218">
        <v>339047.0</v>
      </c>
      <c r="P576" s="218" t="s">
        <v>10817</v>
      </c>
      <c r="Q576" s="222">
        <v>1371.62</v>
      </c>
      <c r="R576" s="222">
        <v>1371.62</v>
      </c>
      <c r="S576" s="222">
        <v>1371.62</v>
      </c>
      <c r="U576" s="218">
        <v>0.0</v>
      </c>
      <c r="X576" s="218">
        <v>1.51132020000073E14</v>
      </c>
      <c r="AB576" t="e">
        <v>#N/A</v>
      </c>
    </row>
    <row r="577">
      <c r="A577" s="218" t="s">
        <v>459</v>
      </c>
      <c r="C577" s="218" t="s">
        <v>10818</v>
      </c>
      <c r="F577" s="457">
        <v>44069.0</v>
      </c>
      <c r="G577" s="218">
        <v>0.0</v>
      </c>
      <c r="H577" s="218">
        <v>401093.0</v>
      </c>
      <c r="I577" s="218" t="s">
        <v>10382</v>
      </c>
      <c r="J577" s="218" t="s">
        <v>9333</v>
      </c>
      <c r="K577" s="218" t="s">
        <v>10819</v>
      </c>
      <c r="L577" s="218">
        <v>15113.0</v>
      </c>
      <c r="M577" s="218">
        <v>168101.0</v>
      </c>
      <c r="N577" s="218">
        <v>1.51E8</v>
      </c>
      <c r="O577" s="218">
        <v>339093.0</v>
      </c>
      <c r="P577" s="218" t="s">
        <v>10380</v>
      </c>
      <c r="Q577" s="222">
        <v>34191.43</v>
      </c>
      <c r="R577" s="222">
        <v>-34191.43</v>
      </c>
      <c r="S577" s="218">
        <v>0.0</v>
      </c>
      <c r="U577" s="218">
        <v>0.0</v>
      </c>
      <c r="AB577" t="e">
        <v>#N/A</v>
      </c>
    </row>
    <row r="578">
      <c r="A578" s="218" t="s">
        <v>9331</v>
      </c>
      <c r="C578" s="218" t="s">
        <v>10820</v>
      </c>
      <c r="F578" s="457">
        <v>44069.0</v>
      </c>
      <c r="G578" s="218">
        <v>3.0</v>
      </c>
      <c r="H578" s="218">
        <v>401091.0</v>
      </c>
      <c r="J578" s="218" t="s">
        <v>9341</v>
      </c>
      <c r="K578" s="218" t="s">
        <v>10821</v>
      </c>
      <c r="L578" s="218">
        <v>15113.0</v>
      </c>
      <c r="M578" s="218">
        <v>168109.0</v>
      </c>
      <c r="N578" s="218">
        <v>1.0E8</v>
      </c>
      <c r="O578" s="218">
        <v>339147.0</v>
      </c>
      <c r="P578" s="218" t="s">
        <v>9335</v>
      </c>
      <c r="Q578" s="222">
        <v>114.0</v>
      </c>
      <c r="R578" s="222">
        <v>114.0</v>
      </c>
      <c r="S578" s="218">
        <v>195.91</v>
      </c>
      <c r="U578" s="218">
        <v>0.0</v>
      </c>
      <c r="X578" s="218">
        <v>1.51132020000044E14</v>
      </c>
      <c r="AB578" t="e">
        <v>#N/A</v>
      </c>
    </row>
    <row r="579">
      <c r="A579" s="218" t="s">
        <v>781</v>
      </c>
      <c r="C579" s="218" t="s">
        <v>10822</v>
      </c>
      <c r="F579" s="457">
        <v>44071.0</v>
      </c>
      <c r="G579" s="218">
        <v>0.0</v>
      </c>
      <c r="H579" s="218">
        <v>401093.0</v>
      </c>
      <c r="I579" s="218" t="s">
        <v>9633</v>
      </c>
      <c r="J579" s="218" t="s">
        <v>9543</v>
      </c>
      <c r="K579" s="218" t="s">
        <v>10823</v>
      </c>
      <c r="L579" s="218">
        <v>15113.0</v>
      </c>
      <c r="M579" s="218">
        <v>168105.0</v>
      </c>
      <c r="N579" s="218">
        <v>1.0E8</v>
      </c>
      <c r="O579" s="218">
        <v>339039.0</v>
      </c>
      <c r="P579" s="218" t="s">
        <v>9635</v>
      </c>
      <c r="Q579" s="222">
        <v>12680.44</v>
      </c>
      <c r="R579" s="222">
        <v>-12680.44</v>
      </c>
      <c r="S579" s="222">
        <v>0.0</v>
      </c>
      <c r="U579" s="222">
        <v>0.0</v>
      </c>
      <c r="AB579" t="e">
        <v>#N/A</v>
      </c>
    </row>
    <row r="580">
      <c r="A580" s="218" t="s">
        <v>781</v>
      </c>
      <c r="C580" s="218" t="s">
        <v>10824</v>
      </c>
      <c r="F580" s="457">
        <v>44071.0</v>
      </c>
      <c r="G580" s="218">
        <v>3.0</v>
      </c>
      <c r="H580" s="218">
        <v>401091.0</v>
      </c>
      <c r="J580" s="218" t="s">
        <v>9543</v>
      </c>
      <c r="K580" s="218" t="s">
        <v>10825</v>
      </c>
      <c r="L580" s="218">
        <v>15113.0</v>
      </c>
      <c r="M580" s="218">
        <v>168105.0</v>
      </c>
      <c r="N580" s="218">
        <v>1.0E8</v>
      </c>
      <c r="O580" s="218">
        <v>339030.0</v>
      </c>
      <c r="P580" s="218" t="s">
        <v>9635</v>
      </c>
      <c r="Q580" s="222">
        <v>1224.0</v>
      </c>
      <c r="R580" s="222">
        <v>1224.0</v>
      </c>
      <c r="S580" s="222">
        <v>1224.0</v>
      </c>
      <c r="U580" s="218">
        <v>0.0</v>
      </c>
      <c r="X580" s="218">
        <v>1.51132020000156E14</v>
      </c>
      <c r="AB580" t="e">
        <v>#N/A</v>
      </c>
    </row>
    <row r="581">
      <c r="A581" s="218" t="s">
        <v>343</v>
      </c>
      <c r="C581" s="218" t="s">
        <v>10826</v>
      </c>
      <c r="F581" s="457">
        <v>44071.0</v>
      </c>
      <c r="G581" s="218">
        <v>1.0</v>
      </c>
      <c r="H581" s="218">
        <v>401091.0</v>
      </c>
      <c r="J581" s="218" t="s">
        <v>10827</v>
      </c>
      <c r="K581" s="218" t="s">
        <v>10828</v>
      </c>
      <c r="L581" s="218">
        <v>15113.0</v>
      </c>
      <c r="M581" s="218">
        <v>168105.0</v>
      </c>
      <c r="N581" s="218">
        <v>1.0E8</v>
      </c>
      <c r="O581" s="218">
        <v>449052.0</v>
      </c>
      <c r="P581" s="218" t="s">
        <v>10829</v>
      </c>
      <c r="Q581" s="222">
        <v>5960.0</v>
      </c>
      <c r="R581" s="222">
        <v>5960.0</v>
      </c>
      <c r="S581" s="222">
        <v>5960.0</v>
      </c>
      <c r="U581" s="222">
        <v>0.0</v>
      </c>
      <c r="X581" s="218">
        <v>1.51132020000248E14</v>
      </c>
      <c r="AB581" t="e">
        <v>#N/A</v>
      </c>
    </row>
    <row r="582">
      <c r="A582" s="218" t="s">
        <v>787</v>
      </c>
      <c r="C582" s="218" t="s">
        <v>10830</v>
      </c>
      <c r="F582" s="457">
        <v>44074.0</v>
      </c>
      <c r="G582" s="218">
        <v>1.0</v>
      </c>
      <c r="H582" s="218">
        <v>401091.0</v>
      </c>
      <c r="J582" s="218" t="s">
        <v>10017</v>
      </c>
      <c r="K582" s="218" t="s">
        <v>10831</v>
      </c>
      <c r="L582" s="218">
        <v>15113.0</v>
      </c>
      <c r="M582" s="218">
        <v>168108.0</v>
      </c>
      <c r="N582" s="218">
        <v>1.0E8</v>
      </c>
      <c r="O582" s="218">
        <v>339039.0</v>
      </c>
      <c r="P582" s="218" t="s">
        <v>10832</v>
      </c>
      <c r="Q582" s="222">
        <v>1290.0</v>
      </c>
      <c r="R582" s="222">
        <v>1290.0</v>
      </c>
      <c r="S582" s="222">
        <v>0.0</v>
      </c>
      <c r="U582" s="222">
        <v>0.0</v>
      </c>
      <c r="X582" s="218">
        <v>1.51132020000066E14</v>
      </c>
      <c r="AB582" t="e">
        <v>#N/A</v>
      </c>
    </row>
    <row r="583">
      <c r="A583" s="218" t="s">
        <v>787</v>
      </c>
      <c r="C583" s="218" t="s">
        <v>10833</v>
      </c>
      <c r="F583" s="457">
        <v>44074.0</v>
      </c>
      <c r="G583" s="218">
        <v>1.0</v>
      </c>
      <c r="H583" s="218">
        <v>401091.0</v>
      </c>
      <c r="J583" s="218" t="s">
        <v>10834</v>
      </c>
      <c r="K583" s="218" t="s">
        <v>10835</v>
      </c>
      <c r="L583" s="218">
        <v>15113.0</v>
      </c>
      <c r="M583" s="218">
        <v>168108.0</v>
      </c>
      <c r="N583" s="218">
        <v>1.0E8</v>
      </c>
      <c r="O583" s="218">
        <v>339039.0</v>
      </c>
      <c r="P583" s="218" t="s">
        <v>10836</v>
      </c>
      <c r="Q583" s="222">
        <v>1250.0</v>
      </c>
      <c r="R583" s="222">
        <v>1250.0</v>
      </c>
      <c r="S583" s="222">
        <v>1250.0</v>
      </c>
      <c r="U583" s="222">
        <v>0.0</v>
      </c>
      <c r="X583" s="218">
        <v>1.51132020000066E14</v>
      </c>
      <c r="AB583" t="e">
        <v>#N/A</v>
      </c>
    </row>
    <row r="584">
      <c r="A584" s="218" t="s">
        <v>787</v>
      </c>
      <c r="C584" s="218" t="s">
        <v>10837</v>
      </c>
      <c r="F584" s="457">
        <v>44074.0</v>
      </c>
      <c r="G584" s="218">
        <v>0.0</v>
      </c>
      <c r="H584" s="218">
        <v>401093.0</v>
      </c>
      <c r="I584" s="218" t="s">
        <v>10830</v>
      </c>
      <c r="J584" s="218" t="s">
        <v>10017</v>
      </c>
      <c r="K584" s="218" t="s">
        <v>10838</v>
      </c>
      <c r="L584" s="218">
        <v>15113.0</v>
      </c>
      <c r="M584" s="218">
        <v>168108.0</v>
      </c>
      <c r="N584" s="218">
        <v>1.0E8</v>
      </c>
      <c r="O584" s="218">
        <v>339039.0</v>
      </c>
      <c r="P584" s="218" t="s">
        <v>10832</v>
      </c>
      <c r="Q584" s="222">
        <v>1290.0</v>
      </c>
      <c r="R584" s="222">
        <v>-1290.0</v>
      </c>
      <c r="S584" s="222">
        <v>0.0</v>
      </c>
      <c r="U584" s="222">
        <v>0.0</v>
      </c>
      <c r="AB584" t="e">
        <v>#N/A</v>
      </c>
    </row>
    <row r="585">
      <c r="A585" s="218" t="s">
        <v>787</v>
      </c>
      <c r="C585" s="218" t="s">
        <v>10839</v>
      </c>
      <c r="F585" s="457">
        <v>44074.0</v>
      </c>
      <c r="G585" s="218">
        <v>1.0</v>
      </c>
      <c r="H585" s="218">
        <v>401091.0</v>
      </c>
      <c r="J585" s="218" t="s">
        <v>10017</v>
      </c>
      <c r="K585" s="218" t="s">
        <v>10831</v>
      </c>
      <c r="L585" s="218">
        <v>15113.0</v>
      </c>
      <c r="M585" s="218">
        <v>168108.0</v>
      </c>
      <c r="N585" s="218">
        <v>1.0E8</v>
      </c>
      <c r="O585" s="218">
        <v>339039.0</v>
      </c>
      <c r="P585" s="218" t="s">
        <v>10832</v>
      </c>
      <c r="Q585" s="222">
        <v>1290.0</v>
      </c>
      <c r="R585" s="222">
        <v>1290.0</v>
      </c>
      <c r="S585" s="222">
        <v>1290.0</v>
      </c>
      <c r="U585" s="222">
        <v>0.0</v>
      </c>
      <c r="X585" s="218">
        <v>1.51132020000066E14</v>
      </c>
      <c r="AB585" t="e">
        <v>#N/A</v>
      </c>
    </row>
    <row r="586">
      <c r="A586" s="218" t="s">
        <v>9920</v>
      </c>
      <c r="C586" s="218" t="s">
        <v>10840</v>
      </c>
      <c r="F586" s="457">
        <v>44075.0</v>
      </c>
      <c r="G586" s="218">
        <v>0.0</v>
      </c>
      <c r="H586" s="218">
        <v>401092.0</v>
      </c>
      <c r="I586" s="218" t="s">
        <v>10565</v>
      </c>
      <c r="J586" s="218" t="s">
        <v>10566</v>
      </c>
      <c r="K586" s="218" t="s">
        <v>10841</v>
      </c>
      <c r="L586" s="218">
        <v>15113.0</v>
      </c>
      <c r="M586" s="218">
        <v>168105.0</v>
      </c>
      <c r="N586" s="218">
        <v>1.0E8</v>
      </c>
      <c r="O586" s="218">
        <v>339039.0</v>
      </c>
      <c r="P586" s="218" t="s">
        <v>10568</v>
      </c>
      <c r="Q586" s="222">
        <v>2290.0</v>
      </c>
      <c r="R586" s="222">
        <v>2290.0</v>
      </c>
      <c r="S586" s="222">
        <v>0.0</v>
      </c>
      <c r="U586" s="222">
        <v>0.0</v>
      </c>
      <c r="X586" s="218">
        <v>1.5113202000023E14</v>
      </c>
      <c r="AB586" t="e">
        <v>#N/A</v>
      </c>
    </row>
    <row r="587">
      <c r="A587" s="218" t="s">
        <v>787</v>
      </c>
      <c r="C587" s="218" t="s">
        <v>10842</v>
      </c>
      <c r="F587" s="457">
        <v>44075.0</v>
      </c>
      <c r="G587" s="218">
        <v>1.0</v>
      </c>
      <c r="H587" s="218">
        <v>401091.0</v>
      </c>
      <c r="J587" s="218" t="s">
        <v>10744</v>
      </c>
      <c r="K587" s="218" t="s">
        <v>10843</v>
      </c>
      <c r="L587" s="218">
        <v>15113.0</v>
      </c>
      <c r="M587" s="218">
        <v>168108.0</v>
      </c>
      <c r="N587" s="218">
        <v>1.0E8</v>
      </c>
      <c r="O587" s="218">
        <v>339039.0</v>
      </c>
      <c r="P587" s="218" t="s">
        <v>10844</v>
      </c>
      <c r="Q587" s="222">
        <v>970.0</v>
      </c>
      <c r="R587" s="222">
        <v>970.0</v>
      </c>
      <c r="S587" s="222">
        <v>970.0</v>
      </c>
      <c r="U587" s="222">
        <v>0.0</v>
      </c>
      <c r="X587" s="218">
        <v>1.51132020000066E14</v>
      </c>
      <c r="AB587" t="e">
        <v>#N/A</v>
      </c>
    </row>
    <row r="588">
      <c r="A588" s="218" t="s">
        <v>10001</v>
      </c>
      <c r="C588" s="218" t="s">
        <v>10845</v>
      </c>
      <c r="F588" s="457">
        <v>44075.0</v>
      </c>
      <c r="G588" s="218">
        <v>1.0</v>
      </c>
      <c r="H588" s="218">
        <v>401091.0</v>
      </c>
      <c r="J588" s="218" t="s">
        <v>10359</v>
      </c>
      <c r="K588" s="218" t="s">
        <v>10846</v>
      </c>
      <c r="L588" s="218">
        <v>15113.0</v>
      </c>
      <c r="M588" s="218">
        <v>168105.0</v>
      </c>
      <c r="N588" s="218">
        <v>1.0E8</v>
      </c>
      <c r="O588" s="218">
        <v>339030.0</v>
      </c>
      <c r="P588" s="218" t="s">
        <v>10847</v>
      </c>
      <c r="Q588" s="222">
        <v>1060.0</v>
      </c>
      <c r="R588" s="222">
        <v>1060.0</v>
      </c>
      <c r="S588" s="222">
        <v>1060.0</v>
      </c>
      <c r="U588" s="222">
        <v>0.0</v>
      </c>
      <c r="X588" s="218">
        <v>1.511320200001E14</v>
      </c>
      <c r="AB588" t="e">
        <v>#N/A</v>
      </c>
    </row>
    <row r="589">
      <c r="A589" s="218" t="s">
        <v>10734</v>
      </c>
      <c r="C589" s="218" t="s">
        <v>10848</v>
      </c>
      <c r="F589" s="457">
        <v>44075.0</v>
      </c>
      <c r="G589" s="218">
        <v>0.0</v>
      </c>
      <c r="H589" s="218">
        <v>401093.0</v>
      </c>
      <c r="I589" s="218" t="s">
        <v>10735</v>
      </c>
      <c r="J589" s="218" t="s">
        <v>10736</v>
      </c>
      <c r="K589" s="218" t="s">
        <v>10849</v>
      </c>
      <c r="L589" s="218">
        <v>15113.0</v>
      </c>
      <c r="M589" s="218">
        <v>168105.0</v>
      </c>
      <c r="N589" s="218">
        <v>1.0E8</v>
      </c>
      <c r="O589" s="218">
        <v>339030.0</v>
      </c>
      <c r="P589" s="218" t="s">
        <v>10738</v>
      </c>
      <c r="Q589" s="222">
        <v>236.36</v>
      </c>
      <c r="R589" s="222">
        <v>-236.36</v>
      </c>
      <c r="S589" s="222">
        <v>0.0</v>
      </c>
      <c r="U589" s="222">
        <v>0.0</v>
      </c>
      <c r="AB589" t="e">
        <v>#N/A</v>
      </c>
    </row>
    <row r="590">
      <c r="A590" s="218" t="s">
        <v>116</v>
      </c>
      <c r="C590" s="218" t="s">
        <v>10850</v>
      </c>
      <c r="F590" s="457">
        <v>44076.0</v>
      </c>
      <c r="G590" s="218">
        <v>0.0</v>
      </c>
      <c r="H590" s="218">
        <v>401093.0</v>
      </c>
      <c r="I590" s="218" t="s">
        <v>10750</v>
      </c>
      <c r="J590" s="218" t="s">
        <v>9934</v>
      </c>
      <c r="K590" s="218" t="s">
        <v>10851</v>
      </c>
      <c r="L590" s="218">
        <v>15113.0</v>
      </c>
      <c r="M590" s="218">
        <v>168105.0</v>
      </c>
      <c r="N590" s="218">
        <v>1.0E8</v>
      </c>
      <c r="O590" s="218">
        <v>339040.0</v>
      </c>
      <c r="P590" s="218" t="s">
        <v>10752</v>
      </c>
      <c r="Q590" s="222">
        <v>5280.0</v>
      </c>
      <c r="R590" s="222">
        <v>-5280.0</v>
      </c>
      <c r="S590" s="222">
        <v>0.0</v>
      </c>
      <c r="U590" s="222">
        <v>0.0</v>
      </c>
      <c r="AB590" t="e">
        <v>#N/A</v>
      </c>
    </row>
    <row r="591">
      <c r="A591" s="218" t="s">
        <v>781</v>
      </c>
      <c r="C591" s="218" t="s">
        <v>10852</v>
      </c>
      <c r="F591" s="457">
        <v>44076.0</v>
      </c>
      <c r="G591" s="218">
        <v>3.0</v>
      </c>
      <c r="H591" s="218">
        <v>401091.0</v>
      </c>
      <c r="J591" s="218" t="s">
        <v>10853</v>
      </c>
      <c r="K591" s="218" t="s">
        <v>10854</v>
      </c>
      <c r="L591" s="218">
        <v>15113.0</v>
      </c>
      <c r="M591" s="218">
        <v>168105.0</v>
      </c>
      <c r="N591" s="218">
        <v>1.0E8</v>
      </c>
      <c r="O591" s="218">
        <v>339039.0</v>
      </c>
      <c r="P591" s="218" t="s">
        <v>10855</v>
      </c>
      <c r="Q591" s="222">
        <v>2000.0</v>
      </c>
      <c r="R591" s="222">
        <v>2000.0</v>
      </c>
      <c r="S591" s="222">
        <v>2000.0</v>
      </c>
      <c r="U591" s="222">
        <v>1952.75</v>
      </c>
      <c r="X591" s="218">
        <v>1.51132020000156E14</v>
      </c>
      <c r="AB591" t="e">
        <v>#N/A</v>
      </c>
    </row>
    <row r="592">
      <c r="A592" s="218" t="s">
        <v>499</v>
      </c>
      <c r="C592" s="218" t="s">
        <v>10856</v>
      </c>
      <c r="F592" s="457">
        <v>44076.0</v>
      </c>
      <c r="G592" s="218">
        <v>3.0</v>
      </c>
      <c r="H592" s="218">
        <v>401091.0</v>
      </c>
      <c r="J592" s="218" t="s">
        <v>10857</v>
      </c>
      <c r="K592" s="218" t="s">
        <v>10858</v>
      </c>
      <c r="L592" s="218">
        <v>15113.0</v>
      </c>
      <c r="M592" s="218">
        <v>168105.0</v>
      </c>
      <c r="N592" s="218">
        <v>1.0E8</v>
      </c>
      <c r="O592" s="218">
        <v>339039.0</v>
      </c>
      <c r="P592" s="218" t="s">
        <v>10339</v>
      </c>
      <c r="Q592" s="222">
        <v>6700.0</v>
      </c>
      <c r="R592" s="222">
        <v>6700.0</v>
      </c>
      <c r="S592" s="222">
        <v>8978.31</v>
      </c>
      <c r="U592" s="218">
        <v>0.0</v>
      </c>
      <c r="X592" s="218">
        <v>1.51132020000218E14</v>
      </c>
      <c r="AB592" t="e">
        <v>#N/A</v>
      </c>
    </row>
    <row r="593">
      <c r="A593" s="218" t="s">
        <v>499</v>
      </c>
      <c r="C593" s="218" t="s">
        <v>10859</v>
      </c>
      <c r="F593" s="457">
        <v>44082.0</v>
      </c>
      <c r="G593" s="218">
        <v>1.0</v>
      </c>
      <c r="H593" s="218">
        <v>401091.0</v>
      </c>
      <c r="J593" s="218" t="s">
        <v>9974</v>
      </c>
      <c r="K593" s="218" t="s">
        <v>10860</v>
      </c>
      <c r="L593" s="218">
        <v>15113.0</v>
      </c>
      <c r="M593" s="218">
        <v>168105.0</v>
      </c>
      <c r="N593" s="218">
        <v>1.0E8</v>
      </c>
      <c r="O593" s="218">
        <v>339093.0</v>
      </c>
      <c r="P593" s="218" t="s">
        <v>9976</v>
      </c>
      <c r="Q593" s="222">
        <v>1252.0</v>
      </c>
      <c r="R593" s="222">
        <v>1252.0</v>
      </c>
      <c r="S593" s="222">
        <v>1252.0</v>
      </c>
      <c r="U593" s="222">
        <v>0.0</v>
      </c>
      <c r="X593" s="218">
        <v>1.51132020000239E14</v>
      </c>
      <c r="AB593" t="e">
        <v>#N/A</v>
      </c>
    </row>
    <row r="594">
      <c r="A594" s="218" t="s">
        <v>9331</v>
      </c>
      <c r="C594" s="218" t="s">
        <v>10861</v>
      </c>
      <c r="F594" s="457">
        <v>44082.0</v>
      </c>
      <c r="G594" s="218">
        <v>0.0</v>
      </c>
      <c r="H594" s="218">
        <v>401093.0</v>
      </c>
      <c r="I594" s="218" t="s">
        <v>9353</v>
      </c>
      <c r="J594" s="218" t="s">
        <v>9333</v>
      </c>
      <c r="K594" s="218" t="s">
        <v>9398</v>
      </c>
      <c r="L594" s="218">
        <v>15113.0</v>
      </c>
      <c r="M594" s="218">
        <v>168099.0</v>
      </c>
      <c r="N594" s="218">
        <v>1.69E8</v>
      </c>
      <c r="O594" s="218">
        <v>319001.0</v>
      </c>
      <c r="P594" s="218" t="s">
        <v>9335</v>
      </c>
      <c r="Q594" s="222">
        <v>1030000.0</v>
      </c>
      <c r="R594" s="222">
        <v>-1030000.0</v>
      </c>
      <c r="S594" s="218">
        <v>0.0</v>
      </c>
      <c r="U594" s="218">
        <v>0.0</v>
      </c>
      <c r="AB594" t="e">
        <v>#N/A</v>
      </c>
    </row>
    <row r="595">
      <c r="A595" s="218" t="s">
        <v>9331</v>
      </c>
      <c r="C595" s="218" t="s">
        <v>10862</v>
      </c>
      <c r="F595" s="457">
        <v>44082.0</v>
      </c>
      <c r="G595" s="218">
        <v>0.0</v>
      </c>
      <c r="H595" s="218">
        <v>401092.0</v>
      </c>
      <c r="I595" s="218" t="s">
        <v>9353</v>
      </c>
      <c r="J595" s="218" t="s">
        <v>9333</v>
      </c>
      <c r="K595" s="218" t="s">
        <v>9904</v>
      </c>
      <c r="L595" s="218">
        <v>15113.0</v>
      </c>
      <c r="M595" s="218">
        <v>168099.0</v>
      </c>
      <c r="N595" s="218">
        <v>1.69E8</v>
      </c>
      <c r="O595" s="218">
        <v>319001.0</v>
      </c>
      <c r="P595" s="218" t="s">
        <v>9335</v>
      </c>
      <c r="Q595" s="222">
        <v>2.16103E7</v>
      </c>
      <c r="R595" s="222">
        <v>2.16103E7</v>
      </c>
      <c r="S595" s="218">
        <v>0.0</v>
      </c>
      <c r="U595" s="218">
        <v>0.0</v>
      </c>
      <c r="X595" s="218">
        <v>1.51132020000179E14</v>
      </c>
      <c r="AB595" t="e">
        <v>#N/A</v>
      </c>
    </row>
    <row r="596">
      <c r="A596" s="218" t="s">
        <v>787</v>
      </c>
      <c r="C596" s="218" t="s">
        <v>10863</v>
      </c>
      <c r="F596" s="457">
        <v>44082.0</v>
      </c>
      <c r="G596" s="218">
        <v>1.0</v>
      </c>
      <c r="H596" s="218">
        <v>401091.0</v>
      </c>
      <c r="J596" s="218" t="s">
        <v>10864</v>
      </c>
      <c r="K596" s="218" t="s">
        <v>10865</v>
      </c>
      <c r="L596" s="218">
        <v>15113.0</v>
      </c>
      <c r="M596" s="218">
        <v>168108.0</v>
      </c>
      <c r="N596" s="218">
        <v>1.0E8</v>
      </c>
      <c r="O596" s="218">
        <v>339039.0</v>
      </c>
      <c r="P596" s="218" t="s">
        <v>10866</v>
      </c>
      <c r="Q596" s="222">
        <v>299.0</v>
      </c>
      <c r="R596" s="222">
        <v>299.0</v>
      </c>
      <c r="S596" s="222">
        <v>299.0</v>
      </c>
      <c r="U596" s="218">
        <v>0.0</v>
      </c>
      <c r="X596" s="218">
        <v>1.51132020000066E14</v>
      </c>
      <c r="AB596" t="e">
        <v>#N/A</v>
      </c>
    </row>
    <row r="597">
      <c r="A597" s="218" t="s">
        <v>9331</v>
      </c>
      <c r="C597" s="218" t="s">
        <v>10867</v>
      </c>
      <c r="F597" s="457">
        <v>44082.0</v>
      </c>
      <c r="G597" s="218">
        <v>0.0</v>
      </c>
      <c r="H597" s="218">
        <v>401092.0</v>
      </c>
      <c r="I597" s="218" t="s">
        <v>9354</v>
      </c>
      <c r="J597" s="218" t="s">
        <v>9333</v>
      </c>
      <c r="K597" s="218" t="s">
        <v>9904</v>
      </c>
      <c r="L597" s="218">
        <v>15113.0</v>
      </c>
      <c r="M597" s="218">
        <v>168099.0</v>
      </c>
      <c r="N597" s="218">
        <v>1.69E8</v>
      </c>
      <c r="O597" s="218">
        <v>319003.0</v>
      </c>
      <c r="P597" s="218" t="s">
        <v>9335</v>
      </c>
      <c r="Q597" s="222">
        <v>560505.0</v>
      </c>
      <c r="R597" s="222">
        <v>560505.0</v>
      </c>
      <c r="S597" s="222">
        <v>0.0</v>
      </c>
      <c r="U597" s="218">
        <v>0.0</v>
      </c>
      <c r="X597" s="218">
        <v>1.51132020000188E14</v>
      </c>
      <c r="AB597" t="e">
        <v>#N/A</v>
      </c>
    </row>
    <row r="598">
      <c r="A598" s="218" t="s">
        <v>9331</v>
      </c>
      <c r="C598" s="218" t="s">
        <v>10868</v>
      </c>
      <c r="F598" s="457">
        <v>44082.0</v>
      </c>
      <c r="G598" s="218">
        <v>0.0</v>
      </c>
      <c r="H598" s="218">
        <v>401092.0</v>
      </c>
      <c r="I598" s="218" t="s">
        <v>9356</v>
      </c>
      <c r="J598" s="218" t="s">
        <v>9333</v>
      </c>
      <c r="K598" s="218" t="s">
        <v>9904</v>
      </c>
      <c r="L598" s="218">
        <v>15113.0</v>
      </c>
      <c r="M598" s="218">
        <v>168099.0</v>
      </c>
      <c r="N598" s="218">
        <v>1.69E8</v>
      </c>
      <c r="O598" s="218">
        <v>319091.0</v>
      </c>
      <c r="P598" s="218" t="s">
        <v>9335</v>
      </c>
      <c r="Q598" s="222">
        <v>304394.6</v>
      </c>
      <c r="R598" s="222">
        <v>304394.6</v>
      </c>
      <c r="S598" s="222">
        <v>0.0</v>
      </c>
      <c r="U598" s="222">
        <v>0.0</v>
      </c>
      <c r="X598" s="218">
        <v>1.51132020000187E14</v>
      </c>
      <c r="AB598" t="e">
        <v>#N/A</v>
      </c>
    </row>
    <row r="599">
      <c r="A599" s="218" t="s">
        <v>9331</v>
      </c>
      <c r="C599" s="218" t="s">
        <v>10869</v>
      </c>
      <c r="F599" s="457">
        <v>44082.0</v>
      </c>
      <c r="G599" s="218">
        <v>0.0</v>
      </c>
      <c r="H599" s="218">
        <v>401092.0</v>
      </c>
      <c r="I599" s="218" t="s">
        <v>9338</v>
      </c>
      <c r="J599" s="218" t="s">
        <v>9333</v>
      </c>
      <c r="K599" s="218" t="s">
        <v>9904</v>
      </c>
      <c r="L599" s="218">
        <v>15113.0</v>
      </c>
      <c r="M599" s="218">
        <v>168098.0</v>
      </c>
      <c r="N599" s="218">
        <v>1.0E8</v>
      </c>
      <c r="O599" s="218">
        <v>319091.0</v>
      </c>
      <c r="P599" s="218" t="s">
        <v>9335</v>
      </c>
      <c r="Q599" s="222">
        <v>15715.22</v>
      </c>
      <c r="R599" s="222">
        <v>15715.22</v>
      </c>
      <c r="S599" s="222">
        <v>0.0</v>
      </c>
      <c r="U599" s="218">
        <v>0.0</v>
      </c>
      <c r="X599" s="218">
        <v>1.51132020000183E14</v>
      </c>
      <c r="AB599" t="e">
        <v>#N/A</v>
      </c>
    </row>
    <row r="600">
      <c r="A600" s="218" t="s">
        <v>9331</v>
      </c>
      <c r="C600" s="218" t="s">
        <v>10870</v>
      </c>
      <c r="F600" s="457">
        <v>44082.0</v>
      </c>
      <c r="G600" s="218">
        <v>0.0</v>
      </c>
      <c r="H600" s="218">
        <v>401092.0</v>
      </c>
      <c r="I600" s="218" t="s">
        <v>9345</v>
      </c>
      <c r="J600" s="218" t="s">
        <v>9346</v>
      </c>
      <c r="K600" s="218" t="s">
        <v>9904</v>
      </c>
      <c r="L600" s="218">
        <v>15113.0</v>
      </c>
      <c r="M600" s="218">
        <v>168098.0</v>
      </c>
      <c r="N600" s="218">
        <v>1.0E8</v>
      </c>
      <c r="O600" s="218">
        <v>319007.0</v>
      </c>
      <c r="P600" s="218" t="s">
        <v>9335</v>
      </c>
      <c r="Q600" s="222">
        <v>203000.0</v>
      </c>
      <c r="R600" s="222">
        <v>203000.0</v>
      </c>
      <c r="S600" s="222">
        <v>0.0</v>
      </c>
      <c r="U600" s="218">
        <v>0.0</v>
      </c>
      <c r="X600" s="218">
        <v>1.51132020000186E14</v>
      </c>
      <c r="AB600" t="e">
        <v>#N/A</v>
      </c>
    </row>
    <row r="601">
      <c r="A601" s="218" t="s">
        <v>9371</v>
      </c>
      <c r="C601" s="218" t="s">
        <v>10871</v>
      </c>
      <c r="F601" s="457">
        <v>44082.0</v>
      </c>
      <c r="G601" s="218">
        <v>0.0</v>
      </c>
      <c r="H601" s="218">
        <v>401093.0</v>
      </c>
      <c r="I601" s="218" t="s">
        <v>9393</v>
      </c>
      <c r="J601" s="218" t="s">
        <v>9333</v>
      </c>
      <c r="K601" s="218" t="s">
        <v>9398</v>
      </c>
      <c r="L601" s="218">
        <v>15113.0</v>
      </c>
      <c r="M601" s="218">
        <v>168109.0</v>
      </c>
      <c r="N601" s="218">
        <v>1.0E8</v>
      </c>
      <c r="O601" s="218">
        <v>339014.0</v>
      </c>
      <c r="P601" s="218" t="s">
        <v>9374</v>
      </c>
      <c r="Q601" s="222">
        <v>80000.0</v>
      </c>
      <c r="R601" s="222">
        <v>-80000.0</v>
      </c>
      <c r="S601" s="222">
        <v>0.0</v>
      </c>
      <c r="U601" s="222">
        <v>0.0</v>
      </c>
      <c r="AB601" t="e">
        <v>#N/A</v>
      </c>
    </row>
    <row r="602">
      <c r="A602" s="218" t="s">
        <v>782</v>
      </c>
      <c r="C602" s="218" t="s">
        <v>10872</v>
      </c>
      <c r="F602" s="457">
        <v>44082.0</v>
      </c>
      <c r="G602" s="218">
        <v>0.0</v>
      </c>
      <c r="H602" s="218">
        <v>401093.0</v>
      </c>
      <c r="I602" s="218" t="s">
        <v>10039</v>
      </c>
      <c r="J602" s="218" t="s">
        <v>9729</v>
      </c>
      <c r="K602" s="218" t="s">
        <v>9398</v>
      </c>
      <c r="L602" s="218">
        <v>15113.0</v>
      </c>
      <c r="M602" s="218">
        <v>168109.0</v>
      </c>
      <c r="N602" s="218">
        <v>1.0E8</v>
      </c>
      <c r="O602" s="218">
        <v>339033.0</v>
      </c>
      <c r="P602" s="218" t="s">
        <v>9731</v>
      </c>
      <c r="Q602" s="222">
        <v>20000.0</v>
      </c>
      <c r="R602" s="222">
        <v>-20000.0</v>
      </c>
      <c r="S602" s="222">
        <v>0.0</v>
      </c>
      <c r="U602" s="222">
        <v>0.0</v>
      </c>
      <c r="AB602" t="e">
        <v>#N/A</v>
      </c>
    </row>
    <row r="603">
      <c r="A603" s="218" t="s">
        <v>9371</v>
      </c>
      <c r="C603" s="218" t="s">
        <v>10873</v>
      </c>
      <c r="F603" s="457">
        <v>44083.0</v>
      </c>
      <c r="G603" s="218">
        <v>0.0</v>
      </c>
      <c r="H603" s="218">
        <v>401093.0</v>
      </c>
      <c r="I603" s="218" t="s">
        <v>9359</v>
      </c>
      <c r="J603" s="218" t="s">
        <v>9333</v>
      </c>
      <c r="K603" s="218" t="s">
        <v>9398</v>
      </c>
      <c r="L603" s="218">
        <v>15113.0</v>
      </c>
      <c r="M603" s="218">
        <v>168103.0</v>
      </c>
      <c r="N603" s="218">
        <v>1.0E8</v>
      </c>
      <c r="O603" s="218">
        <v>339046.0</v>
      </c>
      <c r="P603" s="218" t="s">
        <v>9374</v>
      </c>
      <c r="Q603" s="222">
        <v>100000.0</v>
      </c>
      <c r="R603" s="222">
        <v>-100000.0</v>
      </c>
      <c r="S603" s="218">
        <v>0.0</v>
      </c>
      <c r="U603" s="218">
        <v>0.0</v>
      </c>
      <c r="AB603" t="e">
        <v>#N/A</v>
      </c>
    </row>
    <row r="604">
      <c r="A604" s="218" t="s">
        <v>787</v>
      </c>
      <c r="C604" s="218" t="s">
        <v>10874</v>
      </c>
      <c r="F604" s="457">
        <v>44083.0</v>
      </c>
      <c r="G604" s="218">
        <v>1.0</v>
      </c>
      <c r="H604" s="218">
        <v>401091.0</v>
      </c>
      <c r="J604" s="218" t="s">
        <v>10875</v>
      </c>
      <c r="K604" s="218" t="s">
        <v>10876</v>
      </c>
      <c r="L604" s="218">
        <v>15113.0</v>
      </c>
      <c r="M604" s="218">
        <v>168108.0</v>
      </c>
      <c r="N604" s="218">
        <v>1.0E8</v>
      </c>
      <c r="O604" s="218">
        <v>339039.0</v>
      </c>
      <c r="P604" s="218" t="s">
        <v>10877</v>
      </c>
      <c r="Q604" s="222">
        <v>2223.0</v>
      </c>
      <c r="R604" s="222">
        <v>2223.0</v>
      </c>
      <c r="S604" s="222">
        <v>2223.0</v>
      </c>
      <c r="U604" s="222">
        <v>0.0</v>
      </c>
      <c r="X604" s="218">
        <v>1.51132020000066E14</v>
      </c>
      <c r="AB604" t="e">
        <v>#N/A</v>
      </c>
    </row>
    <row r="605">
      <c r="A605" s="218" t="s">
        <v>787</v>
      </c>
      <c r="C605" s="218" t="s">
        <v>10878</v>
      </c>
      <c r="F605" s="457">
        <v>44084.0</v>
      </c>
      <c r="G605" s="218">
        <v>1.0</v>
      </c>
      <c r="H605" s="218">
        <v>401091.0</v>
      </c>
      <c r="J605" s="218" t="s">
        <v>10879</v>
      </c>
      <c r="K605" s="218" t="s">
        <v>10880</v>
      </c>
      <c r="L605" s="218">
        <v>15113.0</v>
      </c>
      <c r="M605" s="218">
        <v>168108.0</v>
      </c>
      <c r="N605" s="218">
        <v>1.0E8</v>
      </c>
      <c r="O605" s="218">
        <v>339039.0</v>
      </c>
      <c r="P605" s="218" t="s">
        <v>10881</v>
      </c>
      <c r="Q605" s="222">
        <v>1599.0</v>
      </c>
      <c r="R605" s="222">
        <v>1599.0</v>
      </c>
      <c r="S605" s="222">
        <v>1599.0</v>
      </c>
      <c r="U605" s="222">
        <v>1599.0</v>
      </c>
      <c r="X605" s="218">
        <v>1.51132020000066E14</v>
      </c>
      <c r="AB605" t="e">
        <v>#N/A</v>
      </c>
    </row>
    <row r="606">
      <c r="A606" s="218" t="s">
        <v>9331</v>
      </c>
      <c r="C606" s="218" t="s">
        <v>10882</v>
      </c>
      <c r="F606" s="457">
        <v>44085.0</v>
      </c>
      <c r="G606" s="218">
        <v>0.0</v>
      </c>
      <c r="H606" s="218">
        <v>401092.0</v>
      </c>
      <c r="I606" s="218" t="s">
        <v>9363</v>
      </c>
      <c r="J606" s="218" t="s">
        <v>9333</v>
      </c>
      <c r="K606" s="218" t="s">
        <v>9904</v>
      </c>
      <c r="L606" s="218">
        <v>15113.0</v>
      </c>
      <c r="M606" s="218">
        <v>168104.0</v>
      </c>
      <c r="N606" s="218">
        <v>1.0E8</v>
      </c>
      <c r="O606" s="218">
        <v>339008.0</v>
      </c>
      <c r="P606" s="218" t="s">
        <v>9335</v>
      </c>
      <c r="Q606" s="222">
        <v>8836.1</v>
      </c>
      <c r="R606" s="222">
        <v>8836.1</v>
      </c>
      <c r="S606" s="218">
        <v>0.0</v>
      </c>
      <c r="U606" s="218">
        <v>0.0</v>
      </c>
      <c r="X606" s="218">
        <v>1.51132020000192E14</v>
      </c>
      <c r="AB606" t="e">
        <v>#N/A</v>
      </c>
    </row>
    <row r="607">
      <c r="A607" s="218" t="s">
        <v>787</v>
      </c>
      <c r="C607" s="218" t="s">
        <v>10883</v>
      </c>
      <c r="F607" s="457">
        <v>44085.0</v>
      </c>
      <c r="G607" s="218">
        <v>1.0</v>
      </c>
      <c r="H607" s="218">
        <v>401091.0</v>
      </c>
      <c r="J607" s="218" t="s">
        <v>10884</v>
      </c>
      <c r="K607" s="218" t="s">
        <v>10885</v>
      </c>
      <c r="L607" s="218">
        <v>15113.0</v>
      </c>
      <c r="M607" s="218">
        <v>168108.0</v>
      </c>
      <c r="N607" s="218">
        <v>1.0E8</v>
      </c>
      <c r="O607" s="218">
        <v>339039.0</v>
      </c>
      <c r="P607" s="218" t="s">
        <v>10886</v>
      </c>
      <c r="Q607" s="222">
        <v>8800.0</v>
      </c>
      <c r="R607" s="222">
        <v>8800.0</v>
      </c>
      <c r="S607" s="222">
        <v>8800.0</v>
      </c>
      <c r="U607" s="218">
        <v>0.0</v>
      </c>
      <c r="X607" s="218">
        <v>1.51132020000066E14</v>
      </c>
      <c r="AB607" t="e">
        <v>#N/A</v>
      </c>
    </row>
    <row r="608">
      <c r="A608" s="218" t="s">
        <v>787</v>
      </c>
      <c r="C608" s="218" t="s">
        <v>10887</v>
      </c>
      <c r="F608" s="457">
        <v>44088.0</v>
      </c>
      <c r="G608" s="218">
        <v>1.0</v>
      </c>
      <c r="H608" s="218">
        <v>401091.0</v>
      </c>
      <c r="J608" s="218" t="s">
        <v>10879</v>
      </c>
      <c r="K608" s="218" t="s">
        <v>10888</v>
      </c>
      <c r="L608" s="218">
        <v>15113.0</v>
      </c>
      <c r="M608" s="218">
        <v>168108.0</v>
      </c>
      <c r="N608" s="218">
        <v>1.0E8</v>
      </c>
      <c r="O608" s="218">
        <v>339039.0</v>
      </c>
      <c r="P608" s="218" t="s">
        <v>10889</v>
      </c>
      <c r="Q608" s="222">
        <v>399.0</v>
      </c>
      <c r="R608" s="222">
        <v>399.0</v>
      </c>
      <c r="S608" s="218">
        <v>399.0</v>
      </c>
      <c r="U608" s="218">
        <v>399.0</v>
      </c>
      <c r="X608" s="218">
        <v>1.51132020000066E14</v>
      </c>
      <c r="AB608" t="e">
        <v>#N/A</v>
      </c>
    </row>
    <row r="609">
      <c r="A609" s="218" t="s">
        <v>787</v>
      </c>
      <c r="C609" s="218" t="s">
        <v>10890</v>
      </c>
      <c r="F609" s="457">
        <v>44088.0</v>
      </c>
      <c r="G609" s="218">
        <v>1.0</v>
      </c>
      <c r="H609" s="218">
        <v>401091.0</v>
      </c>
      <c r="J609" s="218" t="s">
        <v>10879</v>
      </c>
      <c r="K609" s="218" t="s">
        <v>10888</v>
      </c>
      <c r="L609" s="218">
        <v>15113.0</v>
      </c>
      <c r="M609" s="218">
        <v>168108.0</v>
      </c>
      <c r="N609" s="218">
        <v>1.0E8</v>
      </c>
      <c r="O609" s="218">
        <v>339039.0</v>
      </c>
      <c r="P609" s="218" t="s">
        <v>10891</v>
      </c>
      <c r="Q609" s="222">
        <v>399.0</v>
      </c>
      <c r="R609" s="222">
        <v>399.0</v>
      </c>
      <c r="S609" s="218">
        <v>399.0</v>
      </c>
      <c r="U609" s="218">
        <v>399.0</v>
      </c>
      <c r="X609" s="218">
        <v>1.51132020000066E14</v>
      </c>
      <c r="AB609" t="e">
        <v>#N/A</v>
      </c>
    </row>
    <row r="610">
      <c r="A610" s="218" t="s">
        <v>787</v>
      </c>
      <c r="C610" s="218" t="s">
        <v>10892</v>
      </c>
      <c r="F610" s="457">
        <v>44088.0</v>
      </c>
      <c r="G610" s="218">
        <v>1.0</v>
      </c>
      <c r="H610" s="218">
        <v>401091.0</v>
      </c>
      <c r="J610" s="218" t="s">
        <v>10879</v>
      </c>
      <c r="K610" s="218" t="s">
        <v>10888</v>
      </c>
      <c r="L610" s="218">
        <v>15113.0</v>
      </c>
      <c r="M610" s="218">
        <v>168108.0</v>
      </c>
      <c r="N610" s="218">
        <v>1.0E8</v>
      </c>
      <c r="O610" s="218">
        <v>339039.0</v>
      </c>
      <c r="P610" s="218" t="s">
        <v>10893</v>
      </c>
      <c r="Q610" s="222">
        <v>1200.0</v>
      </c>
      <c r="R610" s="222">
        <v>1200.0</v>
      </c>
      <c r="S610" s="222">
        <v>1200.0</v>
      </c>
      <c r="U610" s="222">
        <v>0.0</v>
      </c>
      <c r="X610" s="218">
        <v>1.51132020000066E14</v>
      </c>
      <c r="AB610" t="e">
        <v>#N/A</v>
      </c>
    </row>
    <row r="611">
      <c r="A611" s="218" t="s">
        <v>787</v>
      </c>
      <c r="C611" s="218" t="s">
        <v>10894</v>
      </c>
      <c r="F611" s="457">
        <v>44088.0</v>
      </c>
      <c r="G611" s="218">
        <v>1.0</v>
      </c>
      <c r="H611" s="218">
        <v>401091.0</v>
      </c>
      <c r="J611" s="218" t="s">
        <v>10879</v>
      </c>
      <c r="K611" s="218" t="s">
        <v>10895</v>
      </c>
      <c r="L611" s="218">
        <v>15113.0</v>
      </c>
      <c r="M611" s="218">
        <v>168108.0</v>
      </c>
      <c r="N611" s="218">
        <v>1.0E8</v>
      </c>
      <c r="O611" s="218">
        <v>339039.0</v>
      </c>
      <c r="P611" s="218" t="s">
        <v>10896</v>
      </c>
      <c r="Q611" s="222">
        <v>2197.0</v>
      </c>
      <c r="R611" s="222">
        <v>2197.0</v>
      </c>
      <c r="S611" s="222">
        <v>2197.0</v>
      </c>
      <c r="U611" s="222">
        <v>2197.0</v>
      </c>
      <c r="X611" s="218">
        <v>1.51132020000066E14</v>
      </c>
      <c r="AB611" t="e">
        <v>#N/A</v>
      </c>
    </row>
    <row r="612">
      <c r="A612" s="218" t="s">
        <v>781</v>
      </c>
      <c r="C612" s="218" t="s">
        <v>10897</v>
      </c>
      <c r="F612" s="457">
        <v>44088.0</v>
      </c>
      <c r="G612" s="218">
        <v>0.0</v>
      </c>
      <c r="H612" s="218">
        <v>401092.0</v>
      </c>
      <c r="I612" s="218" t="s">
        <v>10471</v>
      </c>
      <c r="J612" s="218" t="s">
        <v>10472</v>
      </c>
      <c r="K612" s="218" t="s">
        <v>9904</v>
      </c>
      <c r="L612" s="218">
        <v>15113.0</v>
      </c>
      <c r="M612" s="218">
        <v>168105.0</v>
      </c>
      <c r="N612" s="218">
        <v>1.0E8</v>
      </c>
      <c r="O612" s="218">
        <v>339039.0</v>
      </c>
      <c r="P612" s="218" t="s">
        <v>10474</v>
      </c>
      <c r="Q612" s="222">
        <v>3056.4</v>
      </c>
      <c r="R612" s="222">
        <v>3056.4</v>
      </c>
      <c r="S612" s="222">
        <v>0.0</v>
      </c>
      <c r="U612" s="218">
        <v>0.0</v>
      </c>
      <c r="X612" s="218">
        <v>1.51132020000141E14</v>
      </c>
      <c r="AB612" t="e">
        <v>#N/A</v>
      </c>
    </row>
    <row r="613">
      <c r="A613" s="218" t="s">
        <v>787</v>
      </c>
      <c r="C613" s="218" t="s">
        <v>10898</v>
      </c>
      <c r="F613" s="457">
        <v>44088.0</v>
      </c>
      <c r="G613" s="218">
        <v>1.0</v>
      </c>
      <c r="H613" s="218">
        <v>401091.0</v>
      </c>
      <c r="J613" s="218" t="s">
        <v>10899</v>
      </c>
      <c r="K613" s="218" t="s">
        <v>10900</v>
      </c>
      <c r="L613" s="218">
        <v>15113.0</v>
      </c>
      <c r="M613" s="218">
        <v>168108.0</v>
      </c>
      <c r="N613" s="218">
        <v>1.0E8</v>
      </c>
      <c r="O613" s="218">
        <v>339039.0</v>
      </c>
      <c r="P613" s="218" t="s">
        <v>10901</v>
      </c>
      <c r="Q613" s="222">
        <v>790.0</v>
      </c>
      <c r="R613" s="222">
        <v>790.0</v>
      </c>
      <c r="S613" s="218">
        <v>790.0</v>
      </c>
      <c r="U613" s="218">
        <v>0.0</v>
      </c>
      <c r="X613" s="218">
        <v>1.51132020000066E14</v>
      </c>
      <c r="AB613" t="e">
        <v>#N/A</v>
      </c>
    </row>
    <row r="614">
      <c r="A614" s="218" t="s">
        <v>9371</v>
      </c>
      <c r="C614" s="218" t="s">
        <v>10902</v>
      </c>
      <c r="F614" s="457">
        <v>44088.0</v>
      </c>
      <c r="G614" s="218">
        <v>1.0</v>
      </c>
      <c r="H614" s="218">
        <v>401091.0</v>
      </c>
      <c r="J614" s="218" t="s">
        <v>10903</v>
      </c>
      <c r="K614" s="218" t="s">
        <v>10904</v>
      </c>
      <c r="L614" s="218">
        <v>15113.0</v>
      </c>
      <c r="M614" s="218">
        <v>168105.0</v>
      </c>
      <c r="N614" s="218">
        <v>1.0E8</v>
      </c>
      <c r="O614" s="218">
        <v>339030.0</v>
      </c>
      <c r="P614" s="218" t="s">
        <v>10905</v>
      </c>
      <c r="Q614" s="222">
        <v>11434.15</v>
      </c>
      <c r="R614" s="222">
        <v>11434.15</v>
      </c>
      <c r="S614" s="222">
        <v>16987.7</v>
      </c>
      <c r="U614" s="218">
        <v>0.0</v>
      </c>
      <c r="X614" s="218">
        <v>1.51132020000238E14</v>
      </c>
      <c r="AB614" t="e">
        <v>#N/A</v>
      </c>
    </row>
    <row r="615">
      <c r="A615" s="218" t="s">
        <v>9371</v>
      </c>
      <c r="C615" s="218" t="s">
        <v>10906</v>
      </c>
      <c r="F615" s="457">
        <v>44088.0</v>
      </c>
      <c r="G615" s="218">
        <v>1.0</v>
      </c>
      <c r="H615" s="218">
        <v>401091.0</v>
      </c>
      <c r="J615" s="218" t="s">
        <v>10476</v>
      </c>
      <c r="K615" s="218" t="s">
        <v>10907</v>
      </c>
      <c r="L615" s="218">
        <v>15113.0</v>
      </c>
      <c r="M615" s="218">
        <v>168105.0</v>
      </c>
      <c r="N615" s="218">
        <v>1.0E8</v>
      </c>
      <c r="O615" s="218">
        <v>339030.0</v>
      </c>
      <c r="P615" s="218" t="s">
        <v>10905</v>
      </c>
      <c r="Q615" s="222">
        <v>2309.0</v>
      </c>
      <c r="R615" s="222">
        <v>2309.0</v>
      </c>
      <c r="S615" s="222">
        <v>2309.0</v>
      </c>
      <c r="U615" s="218">
        <v>0.0</v>
      </c>
      <c r="X615" s="218">
        <v>1.51132020000238E14</v>
      </c>
      <c r="AB615" t="e">
        <v>#N/A</v>
      </c>
    </row>
    <row r="616">
      <c r="A616" s="218" t="s">
        <v>9371</v>
      </c>
      <c r="C616" s="218" t="s">
        <v>10908</v>
      </c>
      <c r="F616" s="457">
        <v>44088.0</v>
      </c>
      <c r="G616" s="218">
        <v>1.0</v>
      </c>
      <c r="H616" s="218">
        <v>401091.0</v>
      </c>
      <c r="J616" s="218" t="s">
        <v>10909</v>
      </c>
      <c r="K616" s="218" t="s">
        <v>10907</v>
      </c>
      <c r="L616" s="218">
        <v>15113.0</v>
      </c>
      <c r="M616" s="218">
        <v>168105.0</v>
      </c>
      <c r="N616" s="218">
        <v>1.0E8</v>
      </c>
      <c r="O616" s="218">
        <v>339030.0</v>
      </c>
      <c r="P616" s="218" t="s">
        <v>10905</v>
      </c>
      <c r="Q616" s="222">
        <v>4832.0</v>
      </c>
      <c r="R616" s="222">
        <v>4832.0</v>
      </c>
      <c r="S616" s="222">
        <v>4832.0</v>
      </c>
      <c r="U616" s="218">
        <v>0.0</v>
      </c>
      <c r="X616" s="218">
        <v>1.51132020000238E14</v>
      </c>
      <c r="AB616" t="e">
        <v>#N/A</v>
      </c>
    </row>
    <row r="617">
      <c r="A617" s="218" t="s">
        <v>9371</v>
      </c>
      <c r="C617" s="218" t="s">
        <v>10910</v>
      </c>
      <c r="F617" s="457">
        <v>44088.0</v>
      </c>
      <c r="G617" s="218">
        <v>1.0</v>
      </c>
      <c r="H617" s="218">
        <v>401091.0</v>
      </c>
      <c r="J617" s="218" t="s">
        <v>10513</v>
      </c>
      <c r="K617" s="218" t="s">
        <v>10907</v>
      </c>
      <c r="L617" s="218">
        <v>15113.0</v>
      </c>
      <c r="M617" s="218">
        <v>168105.0</v>
      </c>
      <c r="N617" s="218">
        <v>1.0E8</v>
      </c>
      <c r="O617" s="218">
        <v>339030.0</v>
      </c>
      <c r="P617" s="218" t="s">
        <v>10905</v>
      </c>
      <c r="Q617" s="222">
        <v>33953.0</v>
      </c>
      <c r="R617" s="222">
        <v>33953.0</v>
      </c>
      <c r="S617" s="222">
        <v>30950.0</v>
      </c>
      <c r="U617" s="218">
        <v>0.0</v>
      </c>
      <c r="X617" s="218">
        <v>1.51132020000238E14</v>
      </c>
      <c r="AB617" t="e">
        <v>#N/A</v>
      </c>
    </row>
    <row r="618">
      <c r="A618" s="218" t="s">
        <v>9371</v>
      </c>
      <c r="C618" s="218" t="s">
        <v>10911</v>
      </c>
      <c r="F618" s="457">
        <v>44088.0</v>
      </c>
      <c r="G618" s="218">
        <v>1.0</v>
      </c>
      <c r="H618" s="218">
        <v>401091.0</v>
      </c>
      <c r="J618" s="218" t="s">
        <v>10912</v>
      </c>
      <c r="K618" s="218" t="s">
        <v>10907</v>
      </c>
      <c r="L618" s="218">
        <v>15113.0</v>
      </c>
      <c r="M618" s="218">
        <v>168105.0</v>
      </c>
      <c r="N618" s="218">
        <v>1.0E8</v>
      </c>
      <c r="O618" s="218">
        <v>339030.0</v>
      </c>
      <c r="P618" s="218" t="s">
        <v>10905</v>
      </c>
      <c r="Q618" s="222">
        <v>5200.0</v>
      </c>
      <c r="R618" s="222">
        <v>5200.0</v>
      </c>
      <c r="S618" s="222">
        <v>5200.0</v>
      </c>
      <c r="U618" s="218">
        <v>0.0</v>
      </c>
      <c r="X618" s="218">
        <v>1.51132020000238E14</v>
      </c>
      <c r="AB618" t="e">
        <v>#N/A</v>
      </c>
    </row>
    <row r="619">
      <c r="A619" s="218" t="s">
        <v>787</v>
      </c>
      <c r="C619" s="218" t="s">
        <v>10913</v>
      </c>
      <c r="F619" s="457">
        <v>44088.0</v>
      </c>
      <c r="G619" s="218">
        <v>1.0</v>
      </c>
      <c r="H619" s="218">
        <v>401091.0</v>
      </c>
      <c r="J619" s="218" t="s">
        <v>10884</v>
      </c>
      <c r="K619" s="218" t="s">
        <v>10914</v>
      </c>
      <c r="L619" s="218">
        <v>15113.0</v>
      </c>
      <c r="M619" s="218">
        <v>168108.0</v>
      </c>
      <c r="N619" s="218">
        <v>1.0E8</v>
      </c>
      <c r="O619" s="218">
        <v>339039.0</v>
      </c>
      <c r="P619" s="218" t="s">
        <v>10915</v>
      </c>
      <c r="Q619" s="222">
        <v>8900.0</v>
      </c>
      <c r="R619" s="222">
        <v>8900.0</v>
      </c>
      <c r="S619" s="222">
        <v>8900.0</v>
      </c>
      <c r="U619" s="218">
        <v>0.0</v>
      </c>
      <c r="X619" s="218">
        <v>1.51132020000066E14</v>
      </c>
      <c r="AB619" t="e">
        <v>#N/A</v>
      </c>
    </row>
    <row r="620">
      <c r="A620" s="218" t="s">
        <v>787</v>
      </c>
      <c r="C620" s="218" t="s">
        <v>10916</v>
      </c>
      <c r="F620" s="457">
        <v>44089.0</v>
      </c>
      <c r="G620" s="218">
        <v>1.0</v>
      </c>
      <c r="H620" s="218">
        <v>401091.0</v>
      </c>
      <c r="J620" s="218" t="s">
        <v>10917</v>
      </c>
      <c r="K620" s="218" t="s">
        <v>10918</v>
      </c>
      <c r="L620" s="218">
        <v>15113.0</v>
      </c>
      <c r="M620" s="218">
        <v>168108.0</v>
      </c>
      <c r="N620" s="218">
        <v>1.0E8</v>
      </c>
      <c r="O620" s="218">
        <v>339039.0</v>
      </c>
      <c r="P620" s="218" t="s">
        <v>10919</v>
      </c>
      <c r="Q620" s="222">
        <v>360.0</v>
      </c>
      <c r="R620" s="222">
        <v>360.0</v>
      </c>
      <c r="S620" s="218">
        <v>360.0</v>
      </c>
      <c r="U620" s="218">
        <v>0.0</v>
      </c>
      <c r="X620" s="218">
        <v>1.51132020000066E14</v>
      </c>
      <c r="AB620" t="e">
        <v>#N/A</v>
      </c>
    </row>
    <row r="621">
      <c r="A621" s="218" t="s">
        <v>781</v>
      </c>
      <c r="C621" s="218" t="s">
        <v>10920</v>
      </c>
      <c r="F621" s="457">
        <v>44089.0</v>
      </c>
      <c r="G621" s="218">
        <v>1.0</v>
      </c>
      <c r="H621" s="218">
        <v>401091.0</v>
      </c>
      <c r="J621" s="218" t="s">
        <v>10921</v>
      </c>
      <c r="K621" s="218" t="s">
        <v>10922</v>
      </c>
      <c r="L621" s="218">
        <v>15113.0</v>
      </c>
      <c r="M621" s="218">
        <v>168105.0</v>
      </c>
      <c r="N621" s="218">
        <v>1.0E8</v>
      </c>
      <c r="O621" s="218">
        <v>339039.0</v>
      </c>
      <c r="P621" s="218" t="s">
        <v>10923</v>
      </c>
      <c r="Q621" s="222">
        <v>3100.0</v>
      </c>
      <c r="R621" s="222">
        <v>3100.0</v>
      </c>
      <c r="S621" s="222">
        <v>3100.0</v>
      </c>
      <c r="U621" s="222">
        <v>0.0</v>
      </c>
      <c r="X621" s="218">
        <v>1.5113202000012E14</v>
      </c>
      <c r="AB621" t="e">
        <v>#N/A</v>
      </c>
    </row>
    <row r="622">
      <c r="A622" s="218" t="s">
        <v>9331</v>
      </c>
      <c r="C622" s="218" t="s">
        <v>10924</v>
      </c>
      <c r="F622" s="457">
        <v>44089.0</v>
      </c>
      <c r="G622" s="218">
        <v>0.0</v>
      </c>
      <c r="H622" s="218">
        <v>401092.0</v>
      </c>
      <c r="I622" s="218" t="s">
        <v>9363</v>
      </c>
      <c r="J622" s="218" t="s">
        <v>9333</v>
      </c>
      <c r="K622" s="218" t="s">
        <v>9904</v>
      </c>
      <c r="L622" s="218">
        <v>15113.0</v>
      </c>
      <c r="M622" s="218">
        <v>168104.0</v>
      </c>
      <c r="N622" s="218">
        <v>1.0E8</v>
      </c>
      <c r="O622" s="218">
        <v>339008.0</v>
      </c>
      <c r="P622" s="218" t="s">
        <v>9335</v>
      </c>
      <c r="Q622" s="222">
        <v>13114.0</v>
      </c>
      <c r="R622" s="222">
        <v>13114.0</v>
      </c>
      <c r="S622" s="218">
        <v>0.0</v>
      </c>
      <c r="U622" s="218">
        <v>0.0</v>
      </c>
      <c r="X622" s="218">
        <v>1.51132020000192E14</v>
      </c>
      <c r="AB622" t="e">
        <v>#N/A</v>
      </c>
    </row>
    <row r="623">
      <c r="A623" s="218" t="s">
        <v>781</v>
      </c>
      <c r="C623" s="218" t="s">
        <v>10925</v>
      </c>
      <c r="F623" s="456">
        <v>44090.0</v>
      </c>
      <c r="G623" s="218">
        <v>0.0</v>
      </c>
      <c r="H623" s="218">
        <v>401092.0</v>
      </c>
      <c r="I623" s="218" t="s">
        <v>9633</v>
      </c>
      <c r="J623" s="218" t="s">
        <v>9543</v>
      </c>
      <c r="K623" s="218" t="s">
        <v>10926</v>
      </c>
      <c r="L623" s="218">
        <v>15113.0</v>
      </c>
      <c r="M623" s="218">
        <v>168105.0</v>
      </c>
      <c r="N623" s="218">
        <v>1.0E8</v>
      </c>
      <c r="O623" s="218">
        <v>339039.0</v>
      </c>
      <c r="P623" s="218" t="s">
        <v>9635</v>
      </c>
      <c r="Q623" s="222">
        <v>496660.7</v>
      </c>
      <c r="R623" s="222">
        <v>496660.7</v>
      </c>
      <c r="S623" s="222">
        <v>0.0</v>
      </c>
      <c r="U623" s="222">
        <v>0.0</v>
      </c>
      <c r="X623" s="218">
        <v>1.51132020000156E14</v>
      </c>
      <c r="AB623" t="e">
        <v>#N/A</v>
      </c>
    </row>
    <row r="624">
      <c r="A624" s="218" t="s">
        <v>10001</v>
      </c>
      <c r="C624" s="218" t="s">
        <v>10927</v>
      </c>
      <c r="F624" s="456">
        <v>44091.0</v>
      </c>
      <c r="G624" s="218">
        <v>1.0</v>
      </c>
      <c r="H624" s="218">
        <v>401091.0</v>
      </c>
      <c r="J624" s="218" t="s">
        <v>10788</v>
      </c>
      <c r="K624" s="218" t="s">
        <v>10928</v>
      </c>
      <c r="L624" s="218">
        <v>15113.0</v>
      </c>
      <c r="M624" s="218">
        <v>168105.0</v>
      </c>
      <c r="N624" s="218">
        <v>1.0E8</v>
      </c>
      <c r="O624" s="218">
        <v>339030.0</v>
      </c>
      <c r="P624" s="218" t="s">
        <v>10929</v>
      </c>
      <c r="Q624" s="222">
        <v>3225.0</v>
      </c>
      <c r="R624" s="222">
        <v>3225.0</v>
      </c>
      <c r="S624" s="222">
        <v>3225.0</v>
      </c>
      <c r="U624" s="222">
        <v>0.0</v>
      </c>
      <c r="X624" s="218">
        <v>1.511320200001E14</v>
      </c>
      <c r="AB624" t="e">
        <v>#N/A</v>
      </c>
    </row>
    <row r="625">
      <c r="A625" s="218" t="s">
        <v>782</v>
      </c>
      <c r="C625" s="218" t="s">
        <v>10930</v>
      </c>
      <c r="F625" s="456">
        <v>44091.0</v>
      </c>
      <c r="G625" s="218">
        <v>1.0</v>
      </c>
      <c r="H625" s="218">
        <v>401091.0</v>
      </c>
      <c r="J625" s="218" t="s">
        <v>10659</v>
      </c>
      <c r="K625" s="218" t="s">
        <v>10931</v>
      </c>
      <c r="L625" s="218">
        <v>15113.0</v>
      </c>
      <c r="M625" s="218">
        <v>168109.0</v>
      </c>
      <c r="N625" s="218">
        <v>1.0E8</v>
      </c>
      <c r="O625" s="218">
        <v>339039.0</v>
      </c>
      <c r="P625" s="218" t="s">
        <v>10932</v>
      </c>
      <c r="Q625" s="222">
        <v>7740.0</v>
      </c>
      <c r="R625" s="222">
        <v>7740.0</v>
      </c>
      <c r="S625" s="222">
        <v>7740.0</v>
      </c>
      <c r="U625" s="222">
        <v>0.0</v>
      </c>
      <c r="X625" s="218">
        <v>1.51132020000047E14</v>
      </c>
      <c r="AB625" t="e">
        <v>#N/A</v>
      </c>
    </row>
    <row r="626">
      <c r="A626" s="218" t="s">
        <v>9371</v>
      </c>
      <c r="C626" s="218" t="s">
        <v>10933</v>
      </c>
      <c r="F626" s="456">
        <v>44091.0</v>
      </c>
      <c r="G626" s="218">
        <v>0.0</v>
      </c>
      <c r="H626" s="218">
        <v>401092.0</v>
      </c>
      <c r="I626" s="218" t="s">
        <v>9387</v>
      </c>
      <c r="J626" s="218" t="s">
        <v>9333</v>
      </c>
      <c r="K626" s="218" t="s">
        <v>9904</v>
      </c>
      <c r="L626" s="218">
        <v>15113.0</v>
      </c>
      <c r="M626" s="218">
        <v>168105.0</v>
      </c>
      <c r="N626" s="218">
        <v>1.0E8</v>
      </c>
      <c r="O626" s="218">
        <v>339030.0</v>
      </c>
      <c r="P626" s="218" t="s">
        <v>9374</v>
      </c>
      <c r="Q626" s="222">
        <v>15000.0</v>
      </c>
      <c r="R626" s="222">
        <v>15000.0</v>
      </c>
      <c r="S626" s="222">
        <v>0.0</v>
      </c>
      <c r="U626" s="222">
        <v>0.0</v>
      </c>
      <c r="X626" s="218">
        <v>1.51132020000059E14</v>
      </c>
      <c r="AB626" t="e">
        <v>#N/A</v>
      </c>
    </row>
    <row r="627">
      <c r="A627" s="218" t="s">
        <v>9371</v>
      </c>
      <c r="C627" s="218" t="s">
        <v>10934</v>
      </c>
      <c r="F627" s="456">
        <v>44091.0</v>
      </c>
      <c r="G627" s="218">
        <v>0.0</v>
      </c>
      <c r="H627" s="218">
        <v>401092.0</v>
      </c>
      <c r="I627" s="218" t="s">
        <v>9390</v>
      </c>
      <c r="J627" s="218" t="s">
        <v>9333</v>
      </c>
      <c r="K627" s="218" t="s">
        <v>9904</v>
      </c>
      <c r="L627" s="218">
        <v>15113.0</v>
      </c>
      <c r="M627" s="218">
        <v>168105.0</v>
      </c>
      <c r="N627" s="218">
        <v>1.0E8</v>
      </c>
      <c r="O627" s="218">
        <v>339039.0</v>
      </c>
      <c r="P627" s="218" t="s">
        <v>9374</v>
      </c>
      <c r="Q627" s="222">
        <v>15000.0</v>
      </c>
      <c r="R627" s="222">
        <v>15000.0</v>
      </c>
      <c r="S627" s="222">
        <v>0.0</v>
      </c>
      <c r="U627" s="222">
        <v>0.0</v>
      </c>
      <c r="X627" s="218">
        <v>1.51132020000057E14</v>
      </c>
      <c r="AB627" t="e">
        <v>#N/A</v>
      </c>
    </row>
    <row r="628">
      <c r="A628" s="218" t="s">
        <v>116</v>
      </c>
      <c r="C628" s="218" t="s">
        <v>10935</v>
      </c>
      <c r="F628" s="456">
        <v>44091.0</v>
      </c>
      <c r="G628" s="218">
        <v>1.0</v>
      </c>
      <c r="H628" s="218">
        <v>401091.0</v>
      </c>
      <c r="J628" s="218" t="s">
        <v>10936</v>
      </c>
      <c r="K628" s="218" t="s">
        <v>10937</v>
      </c>
      <c r="L628" s="218">
        <v>15113.0</v>
      </c>
      <c r="M628" s="218">
        <v>168105.0</v>
      </c>
      <c r="N628" s="218">
        <v>1.0E8</v>
      </c>
      <c r="O628" s="218">
        <v>339040.0</v>
      </c>
      <c r="P628" s="218" t="s">
        <v>335</v>
      </c>
      <c r="Q628" s="222">
        <v>54405.32</v>
      </c>
      <c r="R628" s="222">
        <v>54405.32</v>
      </c>
      <c r="S628" s="222">
        <v>33000.0</v>
      </c>
      <c r="U628" s="222">
        <v>33000.0</v>
      </c>
      <c r="X628" s="218">
        <v>1.51132020000247E14</v>
      </c>
      <c r="AB628" t="e">
        <v>#N/A</v>
      </c>
    </row>
    <row r="629">
      <c r="A629" s="218" t="s">
        <v>781</v>
      </c>
      <c r="C629" s="218" t="s">
        <v>10938</v>
      </c>
      <c r="F629" s="456">
        <v>44092.0</v>
      </c>
      <c r="G629" s="218">
        <v>0.0</v>
      </c>
      <c r="H629" s="218">
        <v>401092.0</v>
      </c>
      <c r="I629" s="218" t="s">
        <v>10081</v>
      </c>
      <c r="J629" s="218" t="s">
        <v>10074</v>
      </c>
      <c r="K629" s="218" t="s">
        <v>9904</v>
      </c>
      <c r="L629" s="218">
        <v>15113.0</v>
      </c>
      <c r="M629" s="218">
        <v>168105.0</v>
      </c>
      <c r="N629" s="218">
        <v>1.0E8</v>
      </c>
      <c r="O629" s="218">
        <v>339039.0</v>
      </c>
      <c r="P629" s="218" t="s">
        <v>10071</v>
      </c>
      <c r="Q629" s="222">
        <v>41761.55</v>
      </c>
      <c r="R629" s="222">
        <v>41761.55</v>
      </c>
      <c r="S629" s="222">
        <v>0.0</v>
      </c>
      <c r="U629" s="218">
        <v>0.0</v>
      </c>
      <c r="X629" s="218">
        <v>1.51132020000115E14</v>
      </c>
      <c r="AB629" t="e">
        <v>#N/A</v>
      </c>
    </row>
    <row r="630">
      <c r="A630" s="218" t="s">
        <v>781</v>
      </c>
      <c r="C630" s="218" t="s">
        <v>10939</v>
      </c>
      <c r="F630" s="456">
        <v>44092.0</v>
      </c>
      <c r="G630" s="218">
        <v>0.0</v>
      </c>
      <c r="H630" s="218">
        <v>401092.0</v>
      </c>
      <c r="I630" s="218" t="s">
        <v>10028</v>
      </c>
      <c r="J630" s="218" t="s">
        <v>9411</v>
      </c>
      <c r="K630" s="218" t="s">
        <v>9904</v>
      </c>
      <c r="L630" s="218">
        <v>15113.0</v>
      </c>
      <c r="M630" s="218">
        <v>168105.0</v>
      </c>
      <c r="N630" s="218">
        <v>1.0E8</v>
      </c>
      <c r="O630" s="218">
        <v>339039.0</v>
      </c>
      <c r="P630" s="218" t="s">
        <v>9413</v>
      </c>
      <c r="Q630" s="222">
        <v>17507.09</v>
      </c>
      <c r="R630" s="222">
        <v>17507.09</v>
      </c>
      <c r="S630" s="222">
        <v>0.0</v>
      </c>
      <c r="U630" s="222">
        <v>0.0</v>
      </c>
      <c r="X630" s="218">
        <v>1.51132020000115E14</v>
      </c>
      <c r="AB630" t="e">
        <v>#N/A</v>
      </c>
    </row>
    <row r="631">
      <c r="A631" s="218" t="s">
        <v>9371</v>
      </c>
      <c r="C631" s="218" t="s">
        <v>10940</v>
      </c>
      <c r="F631" s="456">
        <v>44095.0</v>
      </c>
      <c r="G631" s="218">
        <v>0.0</v>
      </c>
      <c r="H631" s="218">
        <v>401092.0</v>
      </c>
      <c r="I631" s="218" t="s">
        <v>10910</v>
      </c>
      <c r="J631" s="218" t="s">
        <v>10513</v>
      </c>
      <c r="K631" s="218" t="s">
        <v>9904</v>
      </c>
      <c r="L631" s="218">
        <v>15113.0</v>
      </c>
      <c r="M631" s="218">
        <v>168105.0</v>
      </c>
      <c r="N631" s="218">
        <v>1.0E8</v>
      </c>
      <c r="O631" s="218">
        <v>339030.0</v>
      </c>
      <c r="P631" s="218" t="s">
        <v>10905</v>
      </c>
      <c r="Q631" s="222">
        <v>1185.0</v>
      </c>
      <c r="R631" s="222">
        <v>1185.0</v>
      </c>
      <c r="S631" s="218">
        <v>0.0</v>
      </c>
      <c r="U631" s="218">
        <v>0.0</v>
      </c>
      <c r="X631" s="218">
        <v>1.51132020000238E14</v>
      </c>
      <c r="AB631" t="e">
        <v>#N/A</v>
      </c>
    </row>
    <row r="632">
      <c r="A632" s="218" t="s">
        <v>9371</v>
      </c>
      <c r="C632" s="218" t="s">
        <v>10941</v>
      </c>
      <c r="F632" s="456">
        <v>44095.0</v>
      </c>
      <c r="G632" s="218">
        <v>0.0</v>
      </c>
      <c r="H632" s="218">
        <v>401092.0</v>
      </c>
      <c r="I632" s="218" t="s">
        <v>10902</v>
      </c>
      <c r="J632" s="218" t="s">
        <v>10903</v>
      </c>
      <c r="K632" s="218" t="s">
        <v>9904</v>
      </c>
      <c r="L632" s="218">
        <v>15113.0</v>
      </c>
      <c r="M632" s="218">
        <v>168105.0</v>
      </c>
      <c r="N632" s="218">
        <v>1.0E8</v>
      </c>
      <c r="O632" s="218">
        <v>339030.0</v>
      </c>
      <c r="P632" s="218" t="s">
        <v>10905</v>
      </c>
      <c r="Q632" s="222">
        <v>5553.73</v>
      </c>
      <c r="R632" s="222">
        <v>5553.73</v>
      </c>
      <c r="S632" s="218">
        <v>0.0</v>
      </c>
      <c r="U632" s="218">
        <v>0.0</v>
      </c>
      <c r="X632" s="218">
        <v>1.51132020000238E14</v>
      </c>
      <c r="AB632" t="e">
        <v>#N/A</v>
      </c>
    </row>
    <row r="633">
      <c r="A633" s="218" t="s">
        <v>116</v>
      </c>
      <c r="C633" s="218" t="s">
        <v>10942</v>
      </c>
      <c r="F633" s="456">
        <v>44095.0</v>
      </c>
      <c r="G633" s="218">
        <v>3.0</v>
      </c>
      <c r="H633" s="218">
        <v>401091.0</v>
      </c>
      <c r="J633" s="218" t="s">
        <v>9823</v>
      </c>
      <c r="K633" s="218" t="s">
        <v>10943</v>
      </c>
      <c r="L633" s="218">
        <v>15113.0</v>
      </c>
      <c r="M633" s="218">
        <v>168107.0</v>
      </c>
      <c r="N633" s="218">
        <v>1.0E8</v>
      </c>
      <c r="O633" s="218">
        <v>339040.0</v>
      </c>
      <c r="P633" s="218" t="s">
        <v>10944</v>
      </c>
      <c r="Q633" s="222">
        <v>29134.0</v>
      </c>
      <c r="R633" s="222">
        <v>29134.0</v>
      </c>
      <c r="S633" s="222">
        <v>0.0</v>
      </c>
      <c r="U633" s="218">
        <v>0.0</v>
      </c>
      <c r="X633" s="218">
        <v>1.51132020000246E14</v>
      </c>
      <c r="AB633" t="e">
        <v>#N/A</v>
      </c>
    </row>
    <row r="634">
      <c r="A634" s="218" t="s">
        <v>116</v>
      </c>
      <c r="C634" s="218" t="s">
        <v>10945</v>
      </c>
      <c r="F634" s="456">
        <v>44095.0</v>
      </c>
      <c r="G634" s="218">
        <v>0.0</v>
      </c>
      <c r="H634" s="218">
        <v>401093.0</v>
      </c>
      <c r="I634" s="218" t="s">
        <v>10942</v>
      </c>
      <c r="J634" s="218" t="s">
        <v>9823</v>
      </c>
      <c r="K634" s="218" t="s">
        <v>9398</v>
      </c>
      <c r="L634" s="218">
        <v>15113.0</v>
      </c>
      <c r="M634" s="218">
        <v>168107.0</v>
      </c>
      <c r="N634" s="218">
        <v>1.0E8</v>
      </c>
      <c r="O634" s="218">
        <v>339040.0</v>
      </c>
      <c r="P634" s="218" t="s">
        <v>10944</v>
      </c>
      <c r="Q634" s="222">
        <v>29134.0</v>
      </c>
      <c r="R634" s="222">
        <v>-29134.0</v>
      </c>
      <c r="S634" s="218">
        <v>0.0</v>
      </c>
      <c r="U634" s="218">
        <v>0.0</v>
      </c>
      <c r="AB634" t="e">
        <v>#N/A</v>
      </c>
    </row>
    <row r="635">
      <c r="A635" s="218" t="s">
        <v>116</v>
      </c>
      <c r="C635" s="218" t="s">
        <v>10946</v>
      </c>
      <c r="F635" s="456">
        <v>44095.0</v>
      </c>
      <c r="G635" s="218">
        <v>3.0</v>
      </c>
      <c r="H635" s="218">
        <v>401091.0</v>
      </c>
      <c r="J635" s="218" t="s">
        <v>9823</v>
      </c>
      <c r="K635" s="218" t="s">
        <v>10947</v>
      </c>
      <c r="L635" s="218">
        <v>15113.0</v>
      </c>
      <c r="M635" s="218">
        <v>168107.0</v>
      </c>
      <c r="N635" s="218">
        <v>1.0E8</v>
      </c>
      <c r="O635" s="218">
        <v>339040.0</v>
      </c>
      <c r="P635" s="218" t="s">
        <v>10944</v>
      </c>
      <c r="Q635" s="222">
        <v>29134.0</v>
      </c>
      <c r="R635" s="222">
        <v>29134.0</v>
      </c>
      <c r="S635" s="222">
        <v>29134.0</v>
      </c>
      <c r="U635" s="222">
        <v>11654.0</v>
      </c>
      <c r="X635" s="218">
        <v>1.51132020000246E14</v>
      </c>
      <c r="AB635" t="e">
        <v>#N/A</v>
      </c>
    </row>
    <row r="636">
      <c r="A636" s="218" t="s">
        <v>781</v>
      </c>
      <c r="C636" s="218" t="s">
        <v>10948</v>
      </c>
      <c r="F636" s="456">
        <v>44095.0</v>
      </c>
      <c r="G636" s="218">
        <v>1.0</v>
      </c>
      <c r="H636" s="218">
        <v>401091.0</v>
      </c>
      <c r="J636" s="218" t="s">
        <v>9697</v>
      </c>
      <c r="K636" s="218" t="s">
        <v>10949</v>
      </c>
      <c r="L636" s="218">
        <v>15113.0</v>
      </c>
      <c r="M636" s="218">
        <v>168105.0</v>
      </c>
      <c r="N636" s="218">
        <v>1.0E8</v>
      </c>
      <c r="O636" s="218">
        <v>339039.0</v>
      </c>
      <c r="P636" s="218" t="s">
        <v>10950</v>
      </c>
      <c r="Q636" s="222">
        <v>2107.34</v>
      </c>
      <c r="R636" s="222">
        <v>2107.34</v>
      </c>
      <c r="S636" s="222">
        <v>2107.34</v>
      </c>
      <c r="U636" s="222">
        <v>0.0</v>
      </c>
      <c r="X636" s="218">
        <v>1.51132020000141E14</v>
      </c>
      <c r="AB636" t="e">
        <v>#N/A</v>
      </c>
    </row>
    <row r="637">
      <c r="A637" s="218" t="s">
        <v>9331</v>
      </c>
      <c r="C637" s="218" t="s">
        <v>10951</v>
      </c>
      <c r="F637" s="456">
        <v>44096.0</v>
      </c>
      <c r="G637" s="218">
        <v>1.0</v>
      </c>
      <c r="H637" s="218">
        <v>401091.0</v>
      </c>
      <c r="J637" s="218" t="s">
        <v>10952</v>
      </c>
      <c r="K637" s="218" t="s">
        <v>10953</v>
      </c>
      <c r="L637" s="218">
        <v>71103.0</v>
      </c>
      <c r="M637" s="218">
        <v>188280.0</v>
      </c>
      <c r="N637" s="218">
        <v>1.44E8</v>
      </c>
      <c r="O637" s="218">
        <v>319091.0</v>
      </c>
      <c r="P637" s="218" t="s">
        <v>10954</v>
      </c>
      <c r="Q637" s="222">
        <v>103579.62</v>
      </c>
      <c r="R637" s="222">
        <v>103579.62</v>
      </c>
      <c r="S637" s="222">
        <v>103579.62</v>
      </c>
      <c r="U637" s="222">
        <v>0.0</v>
      </c>
      <c r="X637" s="218">
        <v>1.5113202000024E14</v>
      </c>
      <c r="AB637" t="e">
        <v>#N/A</v>
      </c>
    </row>
    <row r="638">
      <c r="A638" s="218" t="s">
        <v>9331</v>
      </c>
      <c r="C638" s="218" t="s">
        <v>10955</v>
      </c>
      <c r="F638" s="456">
        <v>44096.0</v>
      </c>
      <c r="G638" s="218">
        <v>1.0</v>
      </c>
      <c r="H638" s="218">
        <v>401091.0</v>
      </c>
      <c r="J638" s="218" t="s">
        <v>10952</v>
      </c>
      <c r="K638" s="218" t="s">
        <v>10956</v>
      </c>
      <c r="L638" s="218">
        <v>44207.0</v>
      </c>
      <c r="M638" s="218">
        <v>188313.0</v>
      </c>
      <c r="N638" s="218">
        <v>1.44E8</v>
      </c>
      <c r="O638" s="218">
        <v>319091.0</v>
      </c>
      <c r="P638" s="218" t="s">
        <v>10954</v>
      </c>
      <c r="Q638" s="222">
        <v>75957.52</v>
      </c>
      <c r="R638" s="222">
        <v>75957.52</v>
      </c>
      <c r="S638" s="222">
        <v>75957.52</v>
      </c>
      <c r="U638" s="222">
        <v>0.0</v>
      </c>
      <c r="X638" s="218">
        <v>1.51132020000243E14</v>
      </c>
      <c r="AB638" t="e">
        <v>#N/A</v>
      </c>
    </row>
    <row r="639">
      <c r="A639" s="218" t="s">
        <v>9331</v>
      </c>
      <c r="C639" s="218" t="s">
        <v>10957</v>
      </c>
      <c r="F639" s="456">
        <v>44096.0</v>
      </c>
      <c r="G639" s="218">
        <v>1.0</v>
      </c>
      <c r="H639" s="218">
        <v>401091.0</v>
      </c>
      <c r="J639" s="218" t="s">
        <v>10952</v>
      </c>
      <c r="K639" s="218" t="s">
        <v>10958</v>
      </c>
      <c r="L639" s="218">
        <v>39252.0</v>
      </c>
      <c r="M639" s="218">
        <v>188307.0</v>
      </c>
      <c r="N639" s="218">
        <v>1.44E8</v>
      </c>
      <c r="O639" s="218">
        <v>319091.0</v>
      </c>
      <c r="P639" s="218" t="s">
        <v>10954</v>
      </c>
      <c r="Q639" s="222">
        <v>67365.97</v>
      </c>
      <c r="R639" s="222">
        <v>67365.97</v>
      </c>
      <c r="S639" s="222">
        <v>67365.97</v>
      </c>
      <c r="U639" s="218">
        <v>0.0</v>
      </c>
      <c r="X639" s="218">
        <v>1.51132020000242E14</v>
      </c>
      <c r="AB639" t="e">
        <v>#N/A</v>
      </c>
    </row>
    <row r="640">
      <c r="A640" s="218" t="s">
        <v>9331</v>
      </c>
      <c r="C640" s="218" t="s">
        <v>10959</v>
      </c>
      <c r="F640" s="456">
        <v>44096.0</v>
      </c>
      <c r="G640" s="218">
        <v>1.0</v>
      </c>
      <c r="H640" s="218">
        <v>401091.0</v>
      </c>
      <c r="J640" s="218" t="s">
        <v>10952</v>
      </c>
      <c r="K640" s="218" t="s">
        <v>10960</v>
      </c>
      <c r="L640" s="218">
        <v>26422.0</v>
      </c>
      <c r="M640" s="218">
        <v>188248.0</v>
      </c>
      <c r="N640" s="218">
        <v>8.144E9</v>
      </c>
      <c r="O640" s="218">
        <v>319091.0</v>
      </c>
      <c r="P640" s="218" t="s">
        <v>10954</v>
      </c>
      <c r="Q640" s="222">
        <v>97263.14</v>
      </c>
      <c r="R640" s="222">
        <v>97263.14</v>
      </c>
      <c r="S640" s="222">
        <v>97263.14</v>
      </c>
      <c r="U640" s="218">
        <v>0.0</v>
      </c>
      <c r="X640" s="218">
        <v>1.51132020000241E14</v>
      </c>
      <c r="AB640" t="e">
        <v>#N/A</v>
      </c>
    </row>
    <row r="641">
      <c r="A641" s="218" t="s">
        <v>116</v>
      </c>
      <c r="C641" s="218" t="s">
        <v>10961</v>
      </c>
      <c r="F641" s="456">
        <v>44096.0</v>
      </c>
      <c r="G641" s="218">
        <v>0.0</v>
      </c>
      <c r="H641" s="218">
        <v>401092.0</v>
      </c>
      <c r="I641" s="218" t="s">
        <v>10142</v>
      </c>
      <c r="J641" s="218" t="s">
        <v>10143</v>
      </c>
      <c r="K641" s="218" t="s">
        <v>10962</v>
      </c>
      <c r="L641" s="218">
        <v>15113.0</v>
      </c>
      <c r="M641" s="218">
        <v>168107.0</v>
      </c>
      <c r="N641" s="218">
        <v>1.0E8</v>
      </c>
      <c r="O641" s="218">
        <v>339040.0</v>
      </c>
      <c r="P641" s="218" t="s">
        <v>10145</v>
      </c>
      <c r="Q641" s="222">
        <v>100000.0</v>
      </c>
      <c r="R641" s="222">
        <v>100000.0</v>
      </c>
      <c r="S641" s="222">
        <v>0.0</v>
      </c>
      <c r="U641" s="222">
        <v>0.0</v>
      </c>
      <c r="X641" s="218">
        <v>1.51132020000033E14</v>
      </c>
      <c r="AB641" t="e">
        <v>#N/A</v>
      </c>
    </row>
    <row r="642">
      <c r="A642" s="218" t="s">
        <v>499</v>
      </c>
      <c r="C642" s="218" t="s">
        <v>10963</v>
      </c>
      <c r="F642" s="456">
        <v>44096.0</v>
      </c>
      <c r="G642" s="218">
        <v>1.0</v>
      </c>
      <c r="H642" s="218">
        <v>401091.0</v>
      </c>
      <c r="J642" s="218" t="s">
        <v>10964</v>
      </c>
      <c r="K642" s="218" t="s">
        <v>10965</v>
      </c>
      <c r="L642" s="218">
        <v>15113.0</v>
      </c>
      <c r="M642" s="218">
        <v>168106.0</v>
      </c>
      <c r="N642" s="218">
        <v>1.0E8</v>
      </c>
      <c r="O642" s="218">
        <v>339030.0</v>
      </c>
      <c r="P642" s="218" t="s">
        <v>10966</v>
      </c>
      <c r="Q642" s="222">
        <v>453.6</v>
      </c>
      <c r="R642" s="222">
        <v>453.6</v>
      </c>
      <c r="S642" s="218">
        <v>453.6</v>
      </c>
      <c r="U642" s="218">
        <v>0.0</v>
      </c>
      <c r="X642" s="218">
        <v>1.51132020000094E14</v>
      </c>
      <c r="AB642" t="e">
        <v>#N/A</v>
      </c>
    </row>
    <row r="643">
      <c r="A643" s="218" t="s">
        <v>10001</v>
      </c>
      <c r="C643" s="218" t="s">
        <v>10967</v>
      </c>
      <c r="F643" s="456">
        <v>44097.0</v>
      </c>
      <c r="G643" s="218">
        <v>1.0</v>
      </c>
      <c r="H643" s="218">
        <v>401091.0</v>
      </c>
      <c r="J643" s="218" t="s">
        <v>10636</v>
      </c>
      <c r="K643" s="218" t="s">
        <v>10637</v>
      </c>
      <c r="L643" s="218">
        <v>15113.0</v>
      </c>
      <c r="M643" s="218">
        <v>168105.0</v>
      </c>
      <c r="N643" s="218">
        <v>1.0E8</v>
      </c>
      <c r="O643" s="218">
        <v>339030.0</v>
      </c>
      <c r="P643" s="218" t="s">
        <v>10638</v>
      </c>
      <c r="Q643" s="222">
        <v>950.0</v>
      </c>
      <c r="R643" s="222">
        <v>950.0</v>
      </c>
      <c r="S643" s="218">
        <v>950.0</v>
      </c>
      <c r="U643" s="218">
        <v>0.0</v>
      </c>
      <c r="X643" s="218">
        <v>1.51132020000098E14</v>
      </c>
      <c r="AB643" t="e">
        <v>#N/A</v>
      </c>
    </row>
    <row r="644">
      <c r="A644" s="218" t="s">
        <v>10001</v>
      </c>
      <c r="C644" s="218" t="s">
        <v>10968</v>
      </c>
      <c r="F644" s="456">
        <v>44097.0</v>
      </c>
      <c r="G644" s="218">
        <v>1.0</v>
      </c>
      <c r="H644" s="218">
        <v>401091.0</v>
      </c>
      <c r="J644" s="218" t="s">
        <v>10969</v>
      </c>
      <c r="K644" s="218" t="s">
        <v>10637</v>
      </c>
      <c r="L644" s="218">
        <v>15113.0</v>
      </c>
      <c r="M644" s="218">
        <v>168105.0</v>
      </c>
      <c r="N644" s="218">
        <v>1.0E8</v>
      </c>
      <c r="O644" s="218">
        <v>339030.0</v>
      </c>
      <c r="P644" s="218" t="s">
        <v>10638</v>
      </c>
      <c r="Q644" s="222">
        <v>3840.0</v>
      </c>
      <c r="R644" s="222">
        <v>3840.0</v>
      </c>
      <c r="S644" s="222">
        <v>0.0</v>
      </c>
      <c r="U644" s="222">
        <v>0.0</v>
      </c>
      <c r="X644" s="218">
        <v>1.51132020000098E14</v>
      </c>
      <c r="AB644" t="e">
        <v>#N/A</v>
      </c>
    </row>
    <row r="645">
      <c r="A645" s="218" t="s">
        <v>10001</v>
      </c>
      <c r="C645" s="218" t="s">
        <v>10970</v>
      </c>
      <c r="F645" s="456">
        <v>44097.0</v>
      </c>
      <c r="G645" s="218">
        <v>0.0</v>
      </c>
      <c r="H645" s="218">
        <v>401093.0</v>
      </c>
      <c r="I645" s="218" t="s">
        <v>10968</v>
      </c>
      <c r="J645" s="218" t="s">
        <v>10969</v>
      </c>
      <c r="K645" s="218" t="s">
        <v>9398</v>
      </c>
      <c r="L645" s="218">
        <v>15113.0</v>
      </c>
      <c r="M645" s="218">
        <v>168105.0</v>
      </c>
      <c r="N645" s="218">
        <v>1.0E8</v>
      </c>
      <c r="O645" s="218">
        <v>339030.0</v>
      </c>
      <c r="P645" s="218" t="s">
        <v>10638</v>
      </c>
      <c r="Q645" s="222">
        <v>3840.0</v>
      </c>
      <c r="R645" s="222">
        <v>-3840.0</v>
      </c>
      <c r="S645" s="222">
        <v>0.0</v>
      </c>
      <c r="U645" s="218">
        <v>0.0</v>
      </c>
      <c r="AB645" t="e">
        <v>#N/A</v>
      </c>
    </row>
    <row r="646">
      <c r="A646" s="218" t="s">
        <v>10001</v>
      </c>
      <c r="C646" s="218" t="s">
        <v>10971</v>
      </c>
      <c r="F646" s="456">
        <v>44097.0</v>
      </c>
      <c r="G646" s="218">
        <v>1.0</v>
      </c>
      <c r="H646" s="218">
        <v>401091.0</v>
      </c>
      <c r="J646" s="218" t="s">
        <v>10969</v>
      </c>
      <c r="K646" s="218" t="s">
        <v>10972</v>
      </c>
      <c r="L646" s="218">
        <v>15113.0</v>
      </c>
      <c r="M646" s="218">
        <v>168105.0</v>
      </c>
      <c r="N646" s="218">
        <v>1.0E8</v>
      </c>
      <c r="O646" s="218">
        <v>339030.0</v>
      </c>
      <c r="P646" s="218" t="s">
        <v>10638</v>
      </c>
      <c r="Q646" s="222">
        <v>3840.0</v>
      </c>
      <c r="R646" s="222">
        <v>3840.0</v>
      </c>
      <c r="S646" s="222">
        <v>3840.0</v>
      </c>
      <c r="U646" s="218">
        <v>0.0</v>
      </c>
      <c r="X646" s="218">
        <v>1.51132020000098E14</v>
      </c>
      <c r="AB646" t="e">
        <v>#N/A</v>
      </c>
    </row>
    <row r="647">
      <c r="A647" s="218" t="s">
        <v>10001</v>
      </c>
      <c r="C647" s="218" t="s">
        <v>10973</v>
      </c>
      <c r="F647" s="456">
        <v>44097.0</v>
      </c>
      <c r="G647" s="218">
        <v>1.0</v>
      </c>
      <c r="H647" s="218">
        <v>401091.0</v>
      </c>
      <c r="J647" s="218" t="s">
        <v>10974</v>
      </c>
      <c r="K647" s="218" t="s">
        <v>10975</v>
      </c>
      <c r="L647" s="218">
        <v>15113.0</v>
      </c>
      <c r="M647" s="218">
        <v>168105.0</v>
      </c>
      <c r="N647" s="218">
        <v>1.0E8</v>
      </c>
      <c r="O647" s="218">
        <v>339030.0</v>
      </c>
      <c r="P647" s="218" t="s">
        <v>10638</v>
      </c>
      <c r="Q647" s="222">
        <v>369.0</v>
      </c>
      <c r="R647" s="222">
        <v>369.0</v>
      </c>
      <c r="S647" s="218">
        <v>369.0</v>
      </c>
      <c r="U647" s="218">
        <v>0.0</v>
      </c>
      <c r="X647" s="218">
        <v>1.51132020000098E14</v>
      </c>
      <c r="AB647" t="e">
        <v>#N/A</v>
      </c>
    </row>
    <row r="648">
      <c r="A648" s="218" t="s">
        <v>10001</v>
      </c>
      <c r="C648" s="218" t="s">
        <v>10976</v>
      </c>
      <c r="F648" s="456">
        <v>44097.0</v>
      </c>
      <c r="G648" s="218">
        <v>1.0</v>
      </c>
      <c r="H648" s="218">
        <v>401091.0</v>
      </c>
      <c r="J648" s="218" t="s">
        <v>10977</v>
      </c>
      <c r="K648" s="218" t="s">
        <v>10978</v>
      </c>
      <c r="L648" s="218">
        <v>15113.0</v>
      </c>
      <c r="M648" s="218">
        <v>168105.0</v>
      </c>
      <c r="N648" s="218">
        <v>1.0E8</v>
      </c>
      <c r="O648" s="218">
        <v>339030.0</v>
      </c>
      <c r="P648" s="218" t="s">
        <v>10638</v>
      </c>
      <c r="Q648" s="222">
        <v>787.2</v>
      </c>
      <c r="R648" s="222">
        <v>787.2</v>
      </c>
      <c r="S648" s="218">
        <v>787.2</v>
      </c>
      <c r="U648" s="218">
        <v>0.0</v>
      </c>
      <c r="X648" s="218">
        <v>1.51132020000098E14</v>
      </c>
      <c r="AB648" t="e">
        <v>#N/A</v>
      </c>
    </row>
    <row r="649">
      <c r="A649" s="218" t="s">
        <v>9371</v>
      </c>
      <c r="C649" s="218" t="s">
        <v>10979</v>
      </c>
      <c r="F649" s="456">
        <v>44098.0</v>
      </c>
      <c r="G649" s="218">
        <v>0.0</v>
      </c>
      <c r="H649" s="218">
        <v>401093.0</v>
      </c>
      <c r="I649" s="218" t="s">
        <v>9377</v>
      </c>
      <c r="J649" s="218" t="s">
        <v>9333</v>
      </c>
      <c r="K649" s="218" t="s">
        <v>9398</v>
      </c>
      <c r="L649" s="218">
        <v>15113.0</v>
      </c>
      <c r="M649" s="218">
        <v>168105.0</v>
      </c>
      <c r="N649" s="218">
        <v>1.0E8</v>
      </c>
      <c r="O649" s="218">
        <v>339093.0</v>
      </c>
      <c r="P649" s="218" t="s">
        <v>9374</v>
      </c>
      <c r="Q649" s="222">
        <v>19323.77</v>
      </c>
      <c r="R649" s="222">
        <v>-19323.77</v>
      </c>
      <c r="S649" s="222">
        <v>0.0</v>
      </c>
      <c r="U649" s="222">
        <v>0.0</v>
      </c>
      <c r="AB649" t="e">
        <v>#N/A</v>
      </c>
    </row>
    <row r="650">
      <c r="A650" s="218" t="s">
        <v>9371</v>
      </c>
      <c r="C650" s="218" t="s">
        <v>10980</v>
      </c>
      <c r="F650" s="456">
        <v>44098.0</v>
      </c>
      <c r="G650" s="218">
        <v>0.0</v>
      </c>
      <c r="H650" s="218">
        <v>401092.0</v>
      </c>
      <c r="I650" s="218" t="s">
        <v>9377</v>
      </c>
      <c r="J650" s="218" t="s">
        <v>9333</v>
      </c>
      <c r="K650" s="218" t="s">
        <v>9904</v>
      </c>
      <c r="L650" s="218">
        <v>15113.0</v>
      </c>
      <c r="M650" s="218">
        <v>168105.0</v>
      </c>
      <c r="N650" s="218">
        <v>1.0E8</v>
      </c>
      <c r="O650" s="218">
        <v>339093.0</v>
      </c>
      <c r="P650" s="218" t="s">
        <v>9374</v>
      </c>
      <c r="Q650" s="222">
        <v>19323.77</v>
      </c>
      <c r="R650" s="222">
        <v>19323.77</v>
      </c>
      <c r="S650" s="218">
        <v>0.0</v>
      </c>
      <c r="U650" s="218">
        <v>0.0</v>
      </c>
      <c r="X650" s="218">
        <v>1.51132020000056E14</v>
      </c>
      <c r="AB650" t="e">
        <v>#N/A</v>
      </c>
    </row>
    <row r="651">
      <c r="A651" s="218" t="s">
        <v>10001</v>
      </c>
      <c r="C651" s="218" t="s">
        <v>10981</v>
      </c>
      <c r="F651" s="456">
        <v>44098.0</v>
      </c>
      <c r="G651" s="218">
        <v>0.0</v>
      </c>
      <c r="H651" s="218">
        <v>401093.0</v>
      </c>
      <c r="I651" s="218" t="s">
        <v>10718</v>
      </c>
      <c r="J651" s="218" t="s">
        <v>10719</v>
      </c>
      <c r="K651" s="218" t="s">
        <v>9398</v>
      </c>
      <c r="L651" s="218">
        <v>15113.0</v>
      </c>
      <c r="M651" s="218">
        <v>168105.0</v>
      </c>
      <c r="N651" s="218">
        <v>1.0E8</v>
      </c>
      <c r="O651" s="218">
        <v>339030.0</v>
      </c>
      <c r="P651" s="218" t="s">
        <v>10721</v>
      </c>
      <c r="Q651" s="222">
        <v>0.07</v>
      </c>
      <c r="R651" s="222">
        <v>-0.07</v>
      </c>
      <c r="S651" s="218">
        <v>0.0</v>
      </c>
      <c r="U651" s="218">
        <v>0.0</v>
      </c>
      <c r="AB651" t="e">
        <v>#N/A</v>
      </c>
    </row>
    <row r="652">
      <c r="A652" s="218" t="s">
        <v>116</v>
      </c>
      <c r="C652" s="218" t="s">
        <v>10982</v>
      </c>
      <c r="F652" s="456">
        <v>44099.0</v>
      </c>
      <c r="G652" s="218">
        <v>0.0</v>
      </c>
      <c r="H652" s="218">
        <v>401092.0</v>
      </c>
      <c r="I652" s="218" t="s">
        <v>9696</v>
      </c>
      <c r="J652" s="218" t="s">
        <v>9697</v>
      </c>
      <c r="K652" s="218" t="s">
        <v>10983</v>
      </c>
      <c r="L652" s="218">
        <v>15113.0</v>
      </c>
      <c r="M652" s="218">
        <v>168105.0</v>
      </c>
      <c r="N652" s="218">
        <v>1.0E8</v>
      </c>
      <c r="O652" s="218">
        <v>339040.0</v>
      </c>
      <c r="P652" s="218" t="s">
        <v>9699</v>
      </c>
      <c r="Q652" s="222">
        <v>832.28</v>
      </c>
      <c r="R652" s="222">
        <v>832.28</v>
      </c>
      <c r="S652" s="222">
        <v>0.0</v>
      </c>
      <c r="U652" s="218">
        <v>0.0</v>
      </c>
      <c r="X652" s="218">
        <v>1.51132020000022E14</v>
      </c>
      <c r="AB652" t="e">
        <v>#N/A</v>
      </c>
    </row>
    <row r="653">
      <c r="A653" s="218" t="s">
        <v>343</v>
      </c>
      <c r="C653" s="218" t="s">
        <v>10984</v>
      </c>
      <c r="F653" s="457">
        <v>44099.0</v>
      </c>
      <c r="G653" s="218">
        <v>1.0</v>
      </c>
      <c r="H653" s="218">
        <v>401091.0</v>
      </c>
      <c r="J653" s="218" t="s">
        <v>10985</v>
      </c>
      <c r="K653" s="218" t="s">
        <v>10986</v>
      </c>
      <c r="L653" s="218">
        <v>15113.0</v>
      </c>
      <c r="M653" s="218">
        <v>168105.0</v>
      </c>
      <c r="N653" s="218">
        <v>1.0E8</v>
      </c>
      <c r="O653" s="218">
        <v>339030.0</v>
      </c>
      <c r="P653" s="218" t="s">
        <v>10987</v>
      </c>
      <c r="Q653" s="222">
        <v>1700.0</v>
      </c>
      <c r="R653" s="222">
        <v>1700.0</v>
      </c>
      <c r="S653" s="222">
        <v>1700.0</v>
      </c>
      <c r="U653" s="222">
        <v>0.0</v>
      </c>
      <c r="X653" s="218">
        <v>1.51132020000245E14</v>
      </c>
      <c r="AB653" t="e">
        <v>#N/A</v>
      </c>
    </row>
    <row r="654">
      <c r="A654" s="218" t="s">
        <v>343</v>
      </c>
      <c r="C654" s="218" t="s">
        <v>10988</v>
      </c>
      <c r="F654" s="457">
        <v>44099.0</v>
      </c>
      <c r="G654" s="218">
        <v>1.0</v>
      </c>
      <c r="H654" s="218">
        <v>401091.0</v>
      </c>
      <c r="J654" s="218" t="s">
        <v>10985</v>
      </c>
      <c r="K654" s="218" t="s">
        <v>10989</v>
      </c>
      <c r="L654" s="218">
        <v>15113.0</v>
      </c>
      <c r="M654" s="218">
        <v>168105.0</v>
      </c>
      <c r="N654" s="218">
        <v>1.0E8</v>
      </c>
      <c r="O654" s="218">
        <v>339039.0</v>
      </c>
      <c r="P654" s="218" t="s">
        <v>10987</v>
      </c>
      <c r="Q654" s="222">
        <v>300.0</v>
      </c>
      <c r="R654" s="222">
        <v>300.0</v>
      </c>
      <c r="S654" s="218">
        <v>300.0</v>
      </c>
      <c r="U654" s="218">
        <v>0.0</v>
      </c>
      <c r="X654" s="218">
        <v>1.51132020000245E14</v>
      </c>
      <c r="AB654" t="e">
        <v>#N/A</v>
      </c>
    </row>
    <row r="655">
      <c r="A655" s="218" t="s">
        <v>9430</v>
      </c>
      <c r="C655" s="218" t="s">
        <v>10990</v>
      </c>
      <c r="F655" s="457">
        <v>44099.0</v>
      </c>
      <c r="G655" s="218">
        <v>1.0</v>
      </c>
      <c r="H655" s="218">
        <v>401091.0</v>
      </c>
      <c r="J655" s="218" t="s">
        <v>10320</v>
      </c>
      <c r="K655" s="218" t="s">
        <v>10991</v>
      </c>
      <c r="L655" s="218">
        <v>15113.0</v>
      </c>
      <c r="M655" s="218">
        <v>168105.0</v>
      </c>
      <c r="N655" s="218">
        <v>1.0E8</v>
      </c>
      <c r="O655" s="218">
        <v>339047.0</v>
      </c>
      <c r="P655" s="218" t="s">
        <v>10992</v>
      </c>
      <c r="Q655" s="222">
        <v>188.64</v>
      </c>
      <c r="R655" s="222">
        <v>188.64</v>
      </c>
      <c r="S655" s="222">
        <v>188.64</v>
      </c>
      <c r="U655" s="222">
        <v>0.0</v>
      </c>
      <c r="X655" s="218">
        <v>1.51132020000073E14</v>
      </c>
      <c r="AB655" t="e">
        <v>#N/A</v>
      </c>
    </row>
    <row r="656">
      <c r="A656" s="218" t="s">
        <v>9430</v>
      </c>
      <c r="C656" s="218" t="s">
        <v>10993</v>
      </c>
      <c r="F656" s="457">
        <v>44099.0</v>
      </c>
      <c r="G656" s="218">
        <v>1.0</v>
      </c>
      <c r="H656" s="218">
        <v>401091.0</v>
      </c>
      <c r="J656" s="218" t="s">
        <v>9536</v>
      </c>
      <c r="K656" s="218" t="s">
        <v>10994</v>
      </c>
      <c r="L656" s="218">
        <v>15113.0</v>
      </c>
      <c r="M656" s="218">
        <v>168105.0</v>
      </c>
      <c r="N656" s="218">
        <v>1.0E8</v>
      </c>
      <c r="O656" s="218">
        <v>339047.0</v>
      </c>
      <c r="P656" s="218" t="s">
        <v>10992</v>
      </c>
      <c r="Q656" s="222">
        <v>232.77</v>
      </c>
      <c r="R656" s="222">
        <v>232.77</v>
      </c>
      <c r="S656" s="222">
        <v>232.77</v>
      </c>
      <c r="U656" s="222">
        <v>0.0</v>
      </c>
      <c r="X656" s="218">
        <v>1.51132020000073E14</v>
      </c>
      <c r="AB656" t="e">
        <v>#N/A</v>
      </c>
    </row>
    <row r="657">
      <c r="A657" s="218" t="s">
        <v>343</v>
      </c>
      <c r="C657" s="218" t="s">
        <v>10995</v>
      </c>
      <c r="F657" s="457">
        <v>44099.0</v>
      </c>
      <c r="G657" s="218">
        <v>1.0</v>
      </c>
      <c r="H657" s="218">
        <v>401091.0</v>
      </c>
      <c r="J657" s="218" t="s">
        <v>10827</v>
      </c>
      <c r="K657" s="218" t="s">
        <v>10996</v>
      </c>
      <c r="L657" s="218">
        <v>15113.0</v>
      </c>
      <c r="M657" s="218">
        <v>168105.0</v>
      </c>
      <c r="N657" s="218">
        <v>1.0E8</v>
      </c>
      <c r="O657" s="218">
        <v>339030.0</v>
      </c>
      <c r="P657" s="218" t="s">
        <v>10997</v>
      </c>
      <c r="Q657" s="222">
        <v>17600.0</v>
      </c>
      <c r="R657" s="222">
        <v>17600.0</v>
      </c>
      <c r="S657" s="222">
        <v>17600.0</v>
      </c>
      <c r="U657" s="222">
        <v>0.0</v>
      </c>
      <c r="X657" s="218">
        <v>1.51132020000244E14</v>
      </c>
      <c r="AB657" t="e">
        <v>#N/A</v>
      </c>
    </row>
    <row r="658">
      <c r="A658" s="218" t="s">
        <v>499</v>
      </c>
      <c r="C658" s="218" t="s">
        <v>10998</v>
      </c>
      <c r="F658" s="457">
        <v>44099.0</v>
      </c>
      <c r="G658" s="218">
        <v>0.0</v>
      </c>
      <c r="H658" s="218">
        <v>401092.0</v>
      </c>
      <c r="I658" s="218" t="s">
        <v>10856</v>
      </c>
      <c r="J658" s="218" t="s">
        <v>10857</v>
      </c>
      <c r="K658" s="218" t="s">
        <v>9904</v>
      </c>
      <c r="L658" s="218">
        <v>15113.0</v>
      </c>
      <c r="M658" s="218">
        <v>168105.0</v>
      </c>
      <c r="N658" s="218">
        <v>1.0E8</v>
      </c>
      <c r="O658" s="218">
        <v>339039.0</v>
      </c>
      <c r="P658" s="218" t="s">
        <v>10339</v>
      </c>
      <c r="Q658" s="222">
        <v>2278.31</v>
      </c>
      <c r="R658" s="222">
        <v>2278.31</v>
      </c>
      <c r="S658" s="222">
        <v>0.0</v>
      </c>
      <c r="U658" s="222">
        <v>0.0</v>
      </c>
      <c r="X658" s="218">
        <v>1.51132020000218E14</v>
      </c>
      <c r="AB658" t="e">
        <v>#N/A</v>
      </c>
    </row>
    <row r="659">
      <c r="A659" s="218" t="s">
        <v>787</v>
      </c>
      <c r="C659" s="218" t="s">
        <v>10999</v>
      </c>
      <c r="F659" s="457">
        <v>44102.0</v>
      </c>
      <c r="G659" s="218">
        <v>1.0</v>
      </c>
      <c r="H659" s="218">
        <v>401091.0</v>
      </c>
      <c r="J659" s="218" t="s">
        <v>11000</v>
      </c>
      <c r="K659" s="218" t="s">
        <v>11001</v>
      </c>
      <c r="L659" s="218">
        <v>15113.0</v>
      </c>
      <c r="M659" s="218">
        <v>168108.0</v>
      </c>
      <c r="N659" s="218">
        <v>1.0E8</v>
      </c>
      <c r="O659" s="218">
        <v>339039.0</v>
      </c>
      <c r="P659" s="218" t="s">
        <v>11002</v>
      </c>
      <c r="Q659" s="222">
        <v>750.0</v>
      </c>
      <c r="R659" s="222">
        <v>750.0</v>
      </c>
      <c r="S659" s="222">
        <v>750.0</v>
      </c>
      <c r="U659" s="222">
        <v>0.0</v>
      </c>
      <c r="X659" s="218">
        <v>1.51132020000065E14</v>
      </c>
      <c r="AB659" t="e">
        <v>#N/A</v>
      </c>
    </row>
    <row r="660">
      <c r="A660" s="218" t="s">
        <v>781</v>
      </c>
      <c r="C660" s="218" t="s">
        <v>11003</v>
      </c>
      <c r="F660" s="457">
        <v>44103.0</v>
      </c>
      <c r="G660" s="218">
        <v>0.0</v>
      </c>
      <c r="H660" s="218">
        <v>401093.0</v>
      </c>
      <c r="I660" s="218" t="s">
        <v>9868</v>
      </c>
      <c r="J660" s="218" t="s">
        <v>9869</v>
      </c>
      <c r="K660" s="218" t="s">
        <v>9398</v>
      </c>
      <c r="L660" s="218">
        <v>15113.0</v>
      </c>
      <c r="M660" s="218">
        <v>168105.0</v>
      </c>
      <c r="N660" s="218">
        <v>1.0E8</v>
      </c>
      <c r="O660" s="218">
        <v>339037.0</v>
      </c>
      <c r="P660" s="218" t="s">
        <v>9866</v>
      </c>
      <c r="Q660" s="222">
        <v>43093.99</v>
      </c>
      <c r="R660" s="222">
        <v>-43093.99</v>
      </c>
      <c r="S660" s="222">
        <v>0.0</v>
      </c>
      <c r="U660" s="222">
        <v>0.0</v>
      </c>
      <c r="AB660" t="e">
        <v>#N/A</v>
      </c>
    </row>
    <row r="661">
      <c r="A661" s="218" t="s">
        <v>9371</v>
      </c>
      <c r="C661" s="218" t="s">
        <v>11004</v>
      </c>
      <c r="F661" s="457">
        <v>44104.0</v>
      </c>
      <c r="G661" s="218">
        <v>0.0</v>
      </c>
      <c r="H661" s="218">
        <v>401093.0</v>
      </c>
      <c r="I661" s="218" t="s">
        <v>9377</v>
      </c>
      <c r="J661" s="218" t="s">
        <v>9333</v>
      </c>
      <c r="K661" s="218" t="s">
        <v>9398</v>
      </c>
      <c r="L661" s="218">
        <v>15113.0</v>
      </c>
      <c r="M661" s="218">
        <v>168105.0</v>
      </c>
      <c r="N661" s="218">
        <v>1.0E8</v>
      </c>
      <c r="O661" s="218">
        <v>339093.0</v>
      </c>
      <c r="P661" s="218" t="s">
        <v>9374</v>
      </c>
      <c r="Q661" s="222">
        <v>15000.0</v>
      </c>
      <c r="R661" s="222">
        <v>-15000.0</v>
      </c>
      <c r="S661" s="218">
        <v>0.0</v>
      </c>
      <c r="U661" s="218">
        <v>0.0</v>
      </c>
      <c r="AB661" t="e">
        <v>#N/A</v>
      </c>
    </row>
    <row r="662">
      <c r="A662" s="218" t="s">
        <v>9371</v>
      </c>
      <c r="C662" s="218" t="s">
        <v>11005</v>
      </c>
      <c r="F662" s="457">
        <v>44104.0</v>
      </c>
      <c r="G662" s="218">
        <v>0.0</v>
      </c>
      <c r="H662" s="218">
        <v>401092.0</v>
      </c>
      <c r="I662" s="218" t="s">
        <v>9377</v>
      </c>
      <c r="J662" s="218" t="s">
        <v>9333</v>
      </c>
      <c r="K662" s="218" t="s">
        <v>9904</v>
      </c>
      <c r="L662" s="218">
        <v>15113.0</v>
      </c>
      <c r="M662" s="218">
        <v>168105.0</v>
      </c>
      <c r="N662" s="218">
        <v>1.0E8</v>
      </c>
      <c r="O662" s="218">
        <v>339093.0</v>
      </c>
      <c r="P662" s="218" t="s">
        <v>9374</v>
      </c>
      <c r="Q662" s="222">
        <v>15000.0</v>
      </c>
      <c r="R662" s="222">
        <v>15000.0</v>
      </c>
      <c r="S662" s="222">
        <v>0.0</v>
      </c>
      <c r="U662" s="222">
        <v>0.0</v>
      </c>
      <c r="X662" s="218">
        <v>1.51132020000056E14</v>
      </c>
      <c r="AB662" t="e">
        <v>#N/A</v>
      </c>
    </row>
    <row r="663">
      <c r="A663" s="218" t="s">
        <v>9331</v>
      </c>
      <c r="C663" s="218" t="s">
        <v>11006</v>
      </c>
      <c r="F663" s="457">
        <v>44104.0</v>
      </c>
      <c r="G663" s="218">
        <v>0.0</v>
      </c>
      <c r="H663" s="218">
        <v>401092.0</v>
      </c>
      <c r="I663" s="218" t="s">
        <v>9363</v>
      </c>
      <c r="J663" s="218" t="s">
        <v>9333</v>
      </c>
      <c r="K663" s="218" t="s">
        <v>9904</v>
      </c>
      <c r="L663" s="218">
        <v>15113.0</v>
      </c>
      <c r="M663" s="218">
        <v>168104.0</v>
      </c>
      <c r="N663" s="218">
        <v>1.0E8</v>
      </c>
      <c r="O663" s="218">
        <v>339008.0</v>
      </c>
      <c r="P663" s="218" t="s">
        <v>9335</v>
      </c>
      <c r="Q663" s="222">
        <v>41262.65</v>
      </c>
      <c r="R663" s="222">
        <v>41262.65</v>
      </c>
      <c r="S663" s="222">
        <v>0.0</v>
      </c>
      <c r="U663" s="222">
        <v>0.0</v>
      </c>
      <c r="X663" s="218">
        <v>1.51132020000192E14</v>
      </c>
      <c r="AB663" t="e">
        <v>#N/A</v>
      </c>
    </row>
    <row r="664">
      <c r="A664" s="218" t="s">
        <v>781</v>
      </c>
      <c r="C664" s="218" t="s">
        <v>11007</v>
      </c>
      <c r="F664" s="457">
        <v>44104.0</v>
      </c>
      <c r="G664" s="218">
        <v>3.0</v>
      </c>
      <c r="H664" s="218">
        <v>401091.0</v>
      </c>
      <c r="J664" s="218" t="s">
        <v>9781</v>
      </c>
      <c r="K664" s="218" t="s">
        <v>11008</v>
      </c>
      <c r="L664" s="218">
        <v>15113.0</v>
      </c>
      <c r="M664" s="218">
        <v>168105.0</v>
      </c>
      <c r="N664" s="218">
        <v>1.0E8</v>
      </c>
      <c r="O664" s="218">
        <v>339037.0</v>
      </c>
      <c r="P664" s="218" t="s">
        <v>11009</v>
      </c>
      <c r="Q664" s="222">
        <v>226000.0</v>
      </c>
      <c r="R664" s="222">
        <v>226000.0</v>
      </c>
      <c r="S664" s="222">
        <v>0.0</v>
      </c>
      <c r="U664" s="222">
        <v>0.0</v>
      </c>
      <c r="X664" s="218">
        <v>1.51132020000252E14</v>
      </c>
      <c r="AB664" t="e">
        <v>#N/A</v>
      </c>
    </row>
    <row r="665">
      <c r="A665" s="218" t="s">
        <v>9430</v>
      </c>
      <c r="C665" s="218" t="s">
        <v>11010</v>
      </c>
      <c r="F665" s="457">
        <v>44104.0</v>
      </c>
      <c r="G665" s="218">
        <v>3.0</v>
      </c>
      <c r="H665" s="218">
        <v>401091.0</v>
      </c>
      <c r="J665" s="218" t="s">
        <v>9893</v>
      </c>
      <c r="K665" s="218" t="s">
        <v>11011</v>
      </c>
      <c r="L665" s="218">
        <v>15113.0</v>
      </c>
      <c r="M665" s="218">
        <v>168105.0</v>
      </c>
      <c r="N665" s="218">
        <v>1.0E8</v>
      </c>
      <c r="O665" s="218">
        <v>339039.0</v>
      </c>
      <c r="P665" s="218" t="s">
        <v>11012</v>
      </c>
      <c r="Q665" s="222">
        <v>50000.0</v>
      </c>
      <c r="R665" s="222">
        <v>50000.0</v>
      </c>
      <c r="S665" s="222">
        <v>32642.37</v>
      </c>
      <c r="U665" s="222">
        <v>0.0</v>
      </c>
      <c r="X665" s="218">
        <v>1.51132020000253E14</v>
      </c>
      <c r="AB665" t="e">
        <v>#N/A</v>
      </c>
    </row>
    <row r="666">
      <c r="A666" s="218" t="s">
        <v>9430</v>
      </c>
      <c r="C666" s="218" t="s">
        <v>11013</v>
      </c>
      <c r="F666" s="457">
        <v>44105.0</v>
      </c>
      <c r="G666" s="218">
        <v>1.0</v>
      </c>
      <c r="H666" s="218">
        <v>401091.0</v>
      </c>
      <c r="J666" s="218" t="s">
        <v>11014</v>
      </c>
      <c r="K666" s="218" t="s">
        <v>11015</v>
      </c>
      <c r="L666" s="218">
        <v>15113.0</v>
      </c>
      <c r="M666" s="218">
        <v>168105.0</v>
      </c>
      <c r="N666" s="218">
        <v>1.0E8</v>
      </c>
      <c r="O666" s="218">
        <v>339047.0</v>
      </c>
      <c r="P666" s="218" t="s">
        <v>11016</v>
      </c>
      <c r="Q666" s="222">
        <v>295.42</v>
      </c>
      <c r="R666" s="222">
        <v>295.42</v>
      </c>
      <c r="S666" s="222">
        <v>295.42</v>
      </c>
      <c r="U666" s="222">
        <v>0.0</v>
      </c>
      <c r="X666" s="218">
        <v>1.51132020000073E14</v>
      </c>
      <c r="AB666" t="e">
        <v>#N/A</v>
      </c>
    </row>
    <row r="667">
      <c r="A667" s="218" t="s">
        <v>9430</v>
      </c>
      <c r="C667" s="218" t="s">
        <v>11017</v>
      </c>
      <c r="F667" s="457">
        <v>44105.0</v>
      </c>
      <c r="G667" s="218">
        <v>1.0</v>
      </c>
      <c r="H667" s="218">
        <v>401091.0</v>
      </c>
      <c r="J667" s="218" t="s">
        <v>11018</v>
      </c>
      <c r="K667" s="218" t="s">
        <v>11019</v>
      </c>
      <c r="L667" s="218">
        <v>15113.0</v>
      </c>
      <c r="M667" s="218">
        <v>168105.0</v>
      </c>
      <c r="N667" s="218">
        <v>1.0E8</v>
      </c>
      <c r="O667" s="218">
        <v>339047.0</v>
      </c>
      <c r="P667" s="218" t="s">
        <v>11016</v>
      </c>
      <c r="Q667" s="222">
        <v>522.75</v>
      </c>
      <c r="R667" s="222">
        <v>522.75</v>
      </c>
      <c r="S667" s="222">
        <v>522.75</v>
      </c>
      <c r="U667" s="222">
        <v>0.0</v>
      </c>
      <c r="X667" s="218">
        <v>1.51132020000073E14</v>
      </c>
      <c r="AB667" t="e">
        <v>#N/A</v>
      </c>
    </row>
    <row r="668">
      <c r="A668" s="218" t="s">
        <v>9371</v>
      </c>
      <c r="C668" s="218" t="s">
        <v>11020</v>
      </c>
      <c r="F668" s="457">
        <v>44105.0</v>
      </c>
      <c r="G668" s="218">
        <v>1.0</v>
      </c>
      <c r="H668" s="218">
        <v>401091.0</v>
      </c>
      <c r="J668" s="218" t="s">
        <v>11021</v>
      </c>
      <c r="K668" s="218" t="s">
        <v>11022</v>
      </c>
      <c r="L668" s="218">
        <v>15113.0</v>
      </c>
      <c r="M668" s="218">
        <v>168105.0</v>
      </c>
      <c r="N668" s="218">
        <v>1.0E8</v>
      </c>
      <c r="O668" s="218">
        <v>339033.0</v>
      </c>
      <c r="P668" s="218" t="s">
        <v>11023</v>
      </c>
      <c r="Q668" s="222">
        <v>2678.4</v>
      </c>
      <c r="R668" s="222">
        <v>2678.4</v>
      </c>
      <c r="S668" s="222">
        <v>2678.4</v>
      </c>
      <c r="U668" s="222">
        <v>0.0</v>
      </c>
      <c r="X668" s="218">
        <v>1.51132020000209E14</v>
      </c>
      <c r="AB668" t="e">
        <v>#N/A</v>
      </c>
    </row>
    <row r="669">
      <c r="A669" s="218" t="s">
        <v>781</v>
      </c>
      <c r="C669" s="218" t="s">
        <v>11024</v>
      </c>
      <c r="F669" s="457">
        <v>44106.0</v>
      </c>
      <c r="G669" s="218">
        <v>3.0</v>
      </c>
      <c r="H669" s="218">
        <v>401091.0</v>
      </c>
      <c r="J669" s="218" t="s">
        <v>11025</v>
      </c>
      <c r="K669" s="218" t="s">
        <v>11026</v>
      </c>
      <c r="L669" s="218">
        <v>15113.0</v>
      </c>
      <c r="M669" s="218">
        <v>168105.0</v>
      </c>
      <c r="N669" s="218">
        <v>1.0E8</v>
      </c>
      <c r="O669" s="218">
        <v>339039.0</v>
      </c>
      <c r="P669" s="218" t="s">
        <v>11027</v>
      </c>
      <c r="Q669" s="222">
        <v>1307.97</v>
      </c>
      <c r="R669" s="222">
        <v>1307.97</v>
      </c>
      <c r="S669" s="222">
        <v>1307.97</v>
      </c>
      <c r="U669" s="222">
        <v>610.38</v>
      </c>
      <c r="X669" s="218">
        <v>1.51132020000158E14</v>
      </c>
      <c r="AB669" t="e">
        <v>#N/A</v>
      </c>
    </row>
    <row r="670">
      <c r="A670" s="218" t="s">
        <v>781</v>
      </c>
      <c r="C670" s="218" t="s">
        <v>11028</v>
      </c>
      <c r="F670" s="457">
        <v>44106.0</v>
      </c>
      <c r="G670" s="218">
        <v>3.0</v>
      </c>
      <c r="H670" s="218">
        <v>401091.0</v>
      </c>
      <c r="J670" s="218" t="s">
        <v>11029</v>
      </c>
      <c r="K670" s="218" t="s">
        <v>11030</v>
      </c>
      <c r="L670" s="218">
        <v>15113.0</v>
      </c>
      <c r="M670" s="218">
        <v>168105.0</v>
      </c>
      <c r="N670" s="218">
        <v>1.0E8</v>
      </c>
      <c r="O670" s="218">
        <v>339039.0</v>
      </c>
      <c r="P670" s="218" t="s">
        <v>11027</v>
      </c>
      <c r="Q670" s="222">
        <v>858.0</v>
      </c>
      <c r="R670" s="222">
        <v>858.0</v>
      </c>
      <c r="S670" s="222">
        <v>858.0</v>
      </c>
      <c r="U670" s="218">
        <v>400.4</v>
      </c>
      <c r="X670" s="218">
        <v>1.51132020000158E14</v>
      </c>
      <c r="AB670" t="e">
        <v>#N/A</v>
      </c>
    </row>
    <row r="671">
      <c r="A671" s="218" t="s">
        <v>781</v>
      </c>
      <c r="C671" s="218" t="s">
        <v>11031</v>
      </c>
      <c r="F671" s="457">
        <v>44106.0</v>
      </c>
      <c r="G671" s="218">
        <v>3.0</v>
      </c>
      <c r="H671" s="218">
        <v>401091.0</v>
      </c>
      <c r="J671" s="218" t="s">
        <v>11025</v>
      </c>
      <c r="K671" s="218" t="s">
        <v>11032</v>
      </c>
      <c r="L671" s="218">
        <v>15113.0</v>
      </c>
      <c r="M671" s="218">
        <v>168105.0</v>
      </c>
      <c r="N671" s="218">
        <v>1.0E8</v>
      </c>
      <c r="O671" s="218">
        <v>339030.0</v>
      </c>
      <c r="P671" s="218" t="s">
        <v>11027</v>
      </c>
      <c r="Q671" s="222">
        <v>1426.25</v>
      </c>
      <c r="R671" s="222">
        <v>1426.25</v>
      </c>
      <c r="S671" s="222">
        <v>2420.0</v>
      </c>
      <c r="U671" s="222">
        <v>0.0</v>
      </c>
      <c r="X671" s="218">
        <v>1.51132020000158E14</v>
      </c>
      <c r="AB671" t="e">
        <v>#N/A</v>
      </c>
    </row>
    <row r="672">
      <c r="A672" s="218" t="s">
        <v>781</v>
      </c>
      <c r="C672" s="218" t="s">
        <v>11033</v>
      </c>
      <c r="F672" s="457">
        <v>44106.0</v>
      </c>
      <c r="G672" s="218">
        <v>3.0</v>
      </c>
      <c r="H672" s="218">
        <v>401091.0</v>
      </c>
      <c r="J672" s="218" t="s">
        <v>11029</v>
      </c>
      <c r="K672" s="218" t="s">
        <v>11034</v>
      </c>
      <c r="L672" s="218">
        <v>15113.0</v>
      </c>
      <c r="M672" s="218">
        <v>168105.0</v>
      </c>
      <c r="N672" s="218">
        <v>1.0E8</v>
      </c>
      <c r="O672" s="218">
        <v>339030.0</v>
      </c>
      <c r="P672" s="218" t="s">
        <v>11027</v>
      </c>
      <c r="Q672" s="222">
        <v>1426.25</v>
      </c>
      <c r="R672" s="222">
        <v>1426.25</v>
      </c>
      <c r="S672" s="222">
        <v>1426.25</v>
      </c>
      <c r="U672" s="222">
        <v>1426.25</v>
      </c>
      <c r="X672" s="218">
        <v>1.51132020000158E14</v>
      </c>
      <c r="AB672" t="e">
        <v>#N/A</v>
      </c>
    </row>
    <row r="673">
      <c r="A673" s="218" t="s">
        <v>9920</v>
      </c>
      <c r="C673" s="218" t="s">
        <v>11035</v>
      </c>
      <c r="F673" s="457">
        <v>44106.0</v>
      </c>
      <c r="G673" s="218">
        <v>0.0</v>
      </c>
      <c r="H673" s="218">
        <v>401092.0</v>
      </c>
      <c r="I673" s="218" t="s">
        <v>10454</v>
      </c>
      <c r="J673" s="218" t="s">
        <v>9922</v>
      </c>
      <c r="K673" s="218" t="s">
        <v>9904</v>
      </c>
      <c r="L673" s="218">
        <v>15113.0</v>
      </c>
      <c r="M673" s="218">
        <v>168105.0</v>
      </c>
      <c r="N673" s="218">
        <v>1.0E8</v>
      </c>
      <c r="O673" s="218">
        <v>339030.0</v>
      </c>
      <c r="P673" s="218" t="s">
        <v>9924</v>
      </c>
      <c r="Q673" s="222">
        <v>30000.0</v>
      </c>
      <c r="R673" s="222">
        <v>30000.0</v>
      </c>
      <c r="S673" s="218">
        <v>0.0</v>
      </c>
      <c r="U673" s="218">
        <v>0.0</v>
      </c>
      <c r="X673" s="218">
        <v>1.51132020000197E14</v>
      </c>
      <c r="AB673" t="e">
        <v>#N/A</v>
      </c>
    </row>
    <row r="674">
      <c r="A674" s="218" t="s">
        <v>9920</v>
      </c>
      <c r="C674" s="218" t="s">
        <v>11036</v>
      </c>
      <c r="F674" s="457">
        <v>44106.0</v>
      </c>
      <c r="G674" s="218">
        <v>0.0</v>
      </c>
      <c r="H674" s="218">
        <v>401092.0</v>
      </c>
      <c r="I674" s="218" t="s">
        <v>10455</v>
      </c>
      <c r="J674" s="218" t="s">
        <v>9922</v>
      </c>
      <c r="K674" s="218" t="s">
        <v>9904</v>
      </c>
      <c r="L674" s="218">
        <v>15113.0</v>
      </c>
      <c r="M674" s="218">
        <v>168105.0</v>
      </c>
      <c r="N674" s="218">
        <v>1.0E8</v>
      </c>
      <c r="O674" s="218">
        <v>339039.0</v>
      </c>
      <c r="P674" s="218" t="s">
        <v>9924</v>
      </c>
      <c r="Q674" s="222">
        <v>15000.0</v>
      </c>
      <c r="R674" s="222">
        <v>15000.0</v>
      </c>
      <c r="S674" s="218">
        <v>0.0</v>
      </c>
      <c r="U674" s="218">
        <v>0.0</v>
      </c>
      <c r="X674" s="218">
        <v>1.51132020000198E14</v>
      </c>
      <c r="AB674" t="e">
        <v>#N/A</v>
      </c>
    </row>
    <row r="675">
      <c r="A675" s="218" t="s">
        <v>9371</v>
      </c>
      <c r="C675" s="218" t="s">
        <v>11037</v>
      </c>
      <c r="F675" s="457">
        <v>44109.0</v>
      </c>
      <c r="G675" s="218">
        <v>1.0</v>
      </c>
      <c r="H675" s="218">
        <v>401091.0</v>
      </c>
      <c r="J675" s="218" t="s">
        <v>11038</v>
      </c>
      <c r="K675" s="218" t="s">
        <v>11039</v>
      </c>
      <c r="L675" s="218">
        <v>15113.0</v>
      </c>
      <c r="M675" s="218">
        <v>168105.0</v>
      </c>
      <c r="N675" s="218">
        <v>1.0E8</v>
      </c>
      <c r="O675" s="218">
        <v>339093.0</v>
      </c>
      <c r="P675" s="218" t="s">
        <v>9791</v>
      </c>
      <c r="Q675" s="222">
        <v>29220.0</v>
      </c>
      <c r="R675" s="222">
        <v>29220.0</v>
      </c>
      <c r="S675" s="218">
        <v>0.0</v>
      </c>
      <c r="U675" s="218">
        <v>0.0</v>
      </c>
      <c r="X675" s="218">
        <v>1.51132020000251E14</v>
      </c>
      <c r="AB675" t="e">
        <v>#N/A</v>
      </c>
    </row>
    <row r="676">
      <c r="A676" s="218" t="s">
        <v>9371</v>
      </c>
      <c r="C676" s="218" t="s">
        <v>11040</v>
      </c>
      <c r="F676" s="457">
        <v>44109.0</v>
      </c>
      <c r="G676" s="218">
        <v>0.0</v>
      </c>
      <c r="H676" s="218">
        <v>401093.0</v>
      </c>
      <c r="I676" s="218" t="s">
        <v>10910</v>
      </c>
      <c r="J676" s="218" t="s">
        <v>10513</v>
      </c>
      <c r="K676" s="218" t="s">
        <v>9398</v>
      </c>
      <c r="L676" s="218">
        <v>15113.0</v>
      </c>
      <c r="M676" s="218">
        <v>168105.0</v>
      </c>
      <c r="N676" s="218">
        <v>1.0E8</v>
      </c>
      <c r="O676" s="218">
        <v>339030.0</v>
      </c>
      <c r="P676" s="218" t="s">
        <v>10905</v>
      </c>
      <c r="Q676" s="222">
        <v>4188.0</v>
      </c>
      <c r="R676" s="222">
        <v>-4188.0</v>
      </c>
      <c r="S676" s="218">
        <v>0.0</v>
      </c>
      <c r="U676" s="218">
        <v>0.0</v>
      </c>
      <c r="AB676" t="e">
        <v>#N/A</v>
      </c>
    </row>
    <row r="677">
      <c r="A677" s="218" t="s">
        <v>9371</v>
      </c>
      <c r="C677" s="218" t="s">
        <v>11041</v>
      </c>
      <c r="F677" s="457">
        <v>44109.0</v>
      </c>
      <c r="G677" s="218">
        <v>1.0</v>
      </c>
      <c r="H677" s="218">
        <v>401091.0</v>
      </c>
      <c r="J677" s="218" t="s">
        <v>11042</v>
      </c>
      <c r="K677" s="218" t="s">
        <v>11043</v>
      </c>
      <c r="L677" s="218">
        <v>15113.0</v>
      </c>
      <c r="M677" s="218">
        <v>168105.0</v>
      </c>
      <c r="N677" s="218">
        <v>1.0E8</v>
      </c>
      <c r="O677" s="218">
        <v>339030.0</v>
      </c>
      <c r="P677" s="218" t="s">
        <v>10905</v>
      </c>
      <c r="Q677" s="222">
        <v>11520.0</v>
      </c>
      <c r="R677" s="222">
        <v>11520.0</v>
      </c>
      <c r="S677" s="222">
        <v>11520.0</v>
      </c>
      <c r="U677" s="218">
        <v>0.0</v>
      </c>
      <c r="X677" s="218">
        <v>1.51132020000238E14</v>
      </c>
      <c r="AB677" t="e">
        <v>#N/A</v>
      </c>
    </row>
    <row r="678">
      <c r="A678" s="218" t="s">
        <v>9371</v>
      </c>
      <c r="C678" s="218" t="s">
        <v>11044</v>
      </c>
      <c r="F678" s="457">
        <v>44109.0</v>
      </c>
      <c r="G678" s="218">
        <v>0.0</v>
      </c>
      <c r="H678" s="218">
        <v>401093.0</v>
      </c>
      <c r="I678" s="218" t="s">
        <v>11037</v>
      </c>
      <c r="J678" s="218" t="s">
        <v>11038</v>
      </c>
      <c r="K678" s="218" t="s">
        <v>9398</v>
      </c>
      <c r="L678" s="218">
        <v>15113.0</v>
      </c>
      <c r="M678" s="218">
        <v>168105.0</v>
      </c>
      <c r="N678" s="218">
        <v>1.0E8</v>
      </c>
      <c r="O678" s="218">
        <v>339093.0</v>
      </c>
      <c r="P678" s="218" t="s">
        <v>9791</v>
      </c>
      <c r="Q678" s="222">
        <v>29220.0</v>
      </c>
      <c r="R678" s="222">
        <v>-29220.0</v>
      </c>
      <c r="S678" s="218">
        <v>0.0</v>
      </c>
      <c r="U678" s="218">
        <v>0.0</v>
      </c>
      <c r="AB678" t="e">
        <v>#N/A</v>
      </c>
    </row>
    <row r="679">
      <c r="A679" s="218" t="s">
        <v>781</v>
      </c>
      <c r="C679" s="218" t="s">
        <v>11045</v>
      </c>
      <c r="F679" s="457">
        <v>44109.0</v>
      </c>
      <c r="G679" s="218">
        <v>1.0</v>
      </c>
      <c r="H679" s="218">
        <v>401091.0</v>
      </c>
      <c r="J679" s="218" t="s">
        <v>9789</v>
      </c>
      <c r="K679" s="218" t="s">
        <v>11039</v>
      </c>
      <c r="L679" s="218">
        <v>15113.0</v>
      </c>
      <c r="M679" s="218">
        <v>168105.0</v>
      </c>
      <c r="N679" s="218">
        <v>1.0E8</v>
      </c>
      <c r="O679" s="218">
        <v>339093.0</v>
      </c>
      <c r="P679" s="218" t="s">
        <v>9791</v>
      </c>
      <c r="Q679" s="222">
        <v>29220.0</v>
      </c>
      <c r="R679" s="222">
        <v>29220.0</v>
      </c>
      <c r="S679" s="222">
        <v>29220.0</v>
      </c>
      <c r="U679" s="218">
        <v>0.0</v>
      </c>
      <c r="X679" s="218">
        <v>1.51132020000251E14</v>
      </c>
      <c r="AB679" t="e">
        <v>#N/A</v>
      </c>
    </row>
    <row r="680">
      <c r="A680" s="218" t="s">
        <v>343</v>
      </c>
      <c r="C680" s="218" t="s">
        <v>11046</v>
      </c>
      <c r="F680" s="457">
        <v>44111.0</v>
      </c>
      <c r="G680" s="218">
        <v>1.0</v>
      </c>
      <c r="H680" s="218">
        <v>401091.0</v>
      </c>
      <c r="J680" s="218" t="s">
        <v>11047</v>
      </c>
      <c r="K680" s="218" t="s">
        <v>11048</v>
      </c>
      <c r="L680" s="218">
        <v>15113.0</v>
      </c>
      <c r="M680" s="218">
        <v>168105.0</v>
      </c>
      <c r="N680" s="218">
        <v>1.0E8</v>
      </c>
      <c r="O680" s="218">
        <v>449052.0</v>
      </c>
      <c r="P680" s="218" t="s">
        <v>11049</v>
      </c>
      <c r="Q680" s="222">
        <v>6889.0</v>
      </c>
      <c r="R680" s="222">
        <v>6889.0</v>
      </c>
      <c r="S680" s="222">
        <v>6889.0</v>
      </c>
      <c r="U680" s="222">
        <v>6889.0</v>
      </c>
      <c r="X680" s="218">
        <v>1.5113202000025E14</v>
      </c>
      <c r="AB680" t="e">
        <v>#N/A</v>
      </c>
    </row>
    <row r="681">
      <c r="A681" s="218" t="s">
        <v>9371</v>
      </c>
      <c r="C681" s="218" t="s">
        <v>11050</v>
      </c>
      <c r="F681" s="457">
        <v>44113.0</v>
      </c>
      <c r="G681" s="218">
        <v>0.0</v>
      </c>
      <c r="H681" s="218">
        <v>401093.0</v>
      </c>
      <c r="I681" s="218" t="s">
        <v>9377</v>
      </c>
      <c r="J681" s="218" t="s">
        <v>9333</v>
      </c>
      <c r="K681" s="218" t="s">
        <v>9398</v>
      </c>
      <c r="L681" s="218">
        <v>15113.0</v>
      </c>
      <c r="M681" s="218">
        <v>168105.0</v>
      </c>
      <c r="N681" s="218">
        <v>1.0E8</v>
      </c>
      <c r="O681" s="218">
        <v>339093.0</v>
      </c>
      <c r="P681" s="218" t="s">
        <v>9374</v>
      </c>
      <c r="Q681" s="222">
        <v>1537.89</v>
      </c>
      <c r="R681" s="222">
        <v>-1537.89</v>
      </c>
      <c r="S681" s="222">
        <v>0.0</v>
      </c>
      <c r="U681" s="218">
        <v>0.0</v>
      </c>
      <c r="AB681" t="e">
        <v>#N/A</v>
      </c>
    </row>
    <row r="682">
      <c r="A682" s="218" t="s">
        <v>9371</v>
      </c>
      <c r="C682" s="218" t="s">
        <v>11051</v>
      </c>
      <c r="F682" s="457">
        <v>44113.0</v>
      </c>
      <c r="G682" s="218">
        <v>1.0</v>
      </c>
      <c r="H682" s="218">
        <v>401091.0</v>
      </c>
      <c r="J682" s="218" t="s">
        <v>9333</v>
      </c>
      <c r="K682" s="218" t="s">
        <v>11052</v>
      </c>
      <c r="L682" s="218">
        <v>15113.0</v>
      </c>
      <c r="M682" s="218">
        <v>168105.0</v>
      </c>
      <c r="N682" s="218">
        <v>1.0E8</v>
      </c>
      <c r="O682" s="218">
        <v>339092.0</v>
      </c>
      <c r="P682" s="218" t="s">
        <v>11053</v>
      </c>
      <c r="Q682" s="222">
        <v>1537.89</v>
      </c>
      <c r="R682" s="222">
        <v>1537.89</v>
      </c>
      <c r="S682" s="222">
        <v>1537.89</v>
      </c>
      <c r="U682" s="218">
        <v>0.0</v>
      </c>
      <c r="X682" s="218">
        <v>1.51132020000056E14</v>
      </c>
      <c r="AB682" t="e">
        <v>#N/A</v>
      </c>
    </row>
    <row r="683">
      <c r="A683" s="218" t="s">
        <v>116</v>
      </c>
      <c r="C683" s="218" t="s">
        <v>11054</v>
      </c>
      <c r="F683" s="457">
        <v>44117.0</v>
      </c>
      <c r="G683" s="218">
        <v>3.0</v>
      </c>
      <c r="H683" s="218">
        <v>401091.0</v>
      </c>
      <c r="J683" s="218" t="s">
        <v>11025</v>
      </c>
      <c r="K683" s="218" t="s">
        <v>11055</v>
      </c>
      <c r="L683" s="218">
        <v>15113.0</v>
      </c>
      <c r="M683" s="218">
        <v>168105.0</v>
      </c>
      <c r="N683" s="218">
        <v>1.0E8</v>
      </c>
      <c r="O683" s="218">
        <v>339040.0</v>
      </c>
      <c r="P683" s="218" t="s">
        <v>283</v>
      </c>
      <c r="Q683" s="222">
        <v>6748.0</v>
      </c>
      <c r="R683" s="222">
        <v>6748.0</v>
      </c>
      <c r="S683" s="222">
        <v>6748.0</v>
      </c>
      <c r="U683" s="222">
        <v>6748.0</v>
      </c>
      <c r="X683" s="218">
        <v>1.51132020000039E14</v>
      </c>
      <c r="AB683" t="e">
        <v>#N/A</v>
      </c>
    </row>
    <row r="684">
      <c r="A684" s="218" t="s">
        <v>782</v>
      </c>
      <c r="C684" s="218" t="s">
        <v>11056</v>
      </c>
      <c r="F684" s="457">
        <v>44117.0</v>
      </c>
      <c r="G684" s="218">
        <v>1.0</v>
      </c>
      <c r="H684" s="218">
        <v>401091.0</v>
      </c>
      <c r="J684" s="218" t="s">
        <v>11057</v>
      </c>
      <c r="K684" s="218" t="s">
        <v>11058</v>
      </c>
      <c r="L684" s="218">
        <v>15113.0</v>
      </c>
      <c r="M684" s="218">
        <v>168108.0</v>
      </c>
      <c r="N684" s="218">
        <v>1.0E8</v>
      </c>
      <c r="O684" s="218">
        <v>339036.0</v>
      </c>
      <c r="P684" s="218" t="s">
        <v>11059</v>
      </c>
      <c r="Q684" s="222">
        <v>409.55</v>
      </c>
      <c r="R684" s="222">
        <v>409.55</v>
      </c>
      <c r="S684" s="222">
        <v>0.0</v>
      </c>
      <c r="U684" s="218">
        <v>0.0</v>
      </c>
      <c r="X684" s="218">
        <v>1.51132020000068E14</v>
      </c>
      <c r="AB684" t="e">
        <v>#N/A</v>
      </c>
    </row>
    <row r="685">
      <c r="A685" s="218" t="s">
        <v>10001</v>
      </c>
      <c r="C685" s="218" t="s">
        <v>11060</v>
      </c>
      <c r="F685" s="457">
        <v>44118.0</v>
      </c>
      <c r="G685" s="218">
        <v>1.0</v>
      </c>
      <c r="H685" s="218">
        <v>401091.0</v>
      </c>
      <c r="J685" s="218" t="s">
        <v>11061</v>
      </c>
      <c r="K685" s="218" t="s">
        <v>11062</v>
      </c>
      <c r="L685" s="218">
        <v>15113.0</v>
      </c>
      <c r="M685" s="218">
        <v>168105.0</v>
      </c>
      <c r="N685" s="218">
        <v>1.0E8</v>
      </c>
      <c r="O685" s="218">
        <v>339030.0</v>
      </c>
      <c r="P685" s="218" t="s">
        <v>10214</v>
      </c>
      <c r="Q685" s="222">
        <v>2940.0</v>
      </c>
      <c r="R685" s="222">
        <v>2940.0</v>
      </c>
      <c r="S685" s="222">
        <v>2940.0</v>
      </c>
      <c r="U685" s="218">
        <v>0.0</v>
      </c>
      <c r="X685" s="218">
        <v>1.51132020000101E14</v>
      </c>
      <c r="AB685" t="e">
        <v>#N/A</v>
      </c>
    </row>
    <row r="686">
      <c r="A686" s="218" t="s">
        <v>10001</v>
      </c>
      <c r="C686" s="218" t="s">
        <v>11063</v>
      </c>
      <c r="F686" s="457">
        <v>44118.0</v>
      </c>
      <c r="G686" s="218">
        <v>1.0</v>
      </c>
      <c r="H686" s="218">
        <v>401091.0</v>
      </c>
      <c r="J686" s="218" t="s">
        <v>10788</v>
      </c>
      <c r="K686" s="218" t="s">
        <v>11064</v>
      </c>
      <c r="L686" s="218">
        <v>15113.0</v>
      </c>
      <c r="M686" s="218">
        <v>168105.0</v>
      </c>
      <c r="N686" s="218">
        <v>1.0E8</v>
      </c>
      <c r="O686" s="218">
        <v>339030.0</v>
      </c>
      <c r="P686" s="218" t="s">
        <v>10214</v>
      </c>
      <c r="Q686" s="222">
        <v>2759.4</v>
      </c>
      <c r="R686" s="222">
        <v>2759.4</v>
      </c>
      <c r="S686" s="222">
        <v>2759.4</v>
      </c>
      <c r="U686" s="218">
        <v>0.0</v>
      </c>
      <c r="X686" s="218">
        <v>1.51132020000101E14</v>
      </c>
      <c r="AB686" t="e">
        <v>#N/A</v>
      </c>
    </row>
    <row r="687">
      <c r="A687" s="218" t="s">
        <v>10001</v>
      </c>
      <c r="C687" s="218" t="s">
        <v>11065</v>
      </c>
      <c r="F687" s="457">
        <v>44118.0</v>
      </c>
      <c r="G687" s="218">
        <v>1.0</v>
      </c>
      <c r="H687" s="218">
        <v>401091.0</v>
      </c>
      <c r="J687" s="218" t="s">
        <v>10257</v>
      </c>
      <c r="K687" s="218" t="s">
        <v>11066</v>
      </c>
      <c r="L687" s="218">
        <v>15113.0</v>
      </c>
      <c r="M687" s="218">
        <v>168105.0</v>
      </c>
      <c r="N687" s="218">
        <v>1.0E8</v>
      </c>
      <c r="O687" s="218">
        <v>339030.0</v>
      </c>
      <c r="P687" s="218" t="s">
        <v>10214</v>
      </c>
      <c r="Q687" s="222">
        <v>401.97</v>
      </c>
      <c r="R687" s="222">
        <v>401.97</v>
      </c>
      <c r="S687" s="222">
        <v>401.97</v>
      </c>
      <c r="U687" s="218">
        <v>0.0</v>
      </c>
      <c r="X687" s="218">
        <v>1.51132020000101E14</v>
      </c>
      <c r="AB687" t="e">
        <v>#N/A</v>
      </c>
    </row>
    <row r="688">
      <c r="A688" s="218" t="s">
        <v>9920</v>
      </c>
      <c r="C688" s="218" t="s">
        <v>11067</v>
      </c>
      <c r="F688" s="457">
        <v>44118.0</v>
      </c>
      <c r="G688" s="218">
        <v>1.0</v>
      </c>
      <c r="H688" s="218">
        <v>401091.0</v>
      </c>
      <c r="J688" s="218" t="s">
        <v>11068</v>
      </c>
      <c r="K688" s="218" t="s">
        <v>11069</v>
      </c>
      <c r="L688" s="218">
        <v>15113.0</v>
      </c>
      <c r="M688" s="218">
        <v>168105.0</v>
      </c>
      <c r="N688" s="218">
        <v>1.0E8</v>
      </c>
      <c r="O688" s="218">
        <v>339030.0</v>
      </c>
      <c r="P688" s="218" t="s">
        <v>11070</v>
      </c>
      <c r="Q688" s="222">
        <v>605.0</v>
      </c>
      <c r="R688" s="222">
        <v>605.0</v>
      </c>
      <c r="S688" s="218">
        <v>605.0</v>
      </c>
      <c r="U688" s="218">
        <v>0.0</v>
      </c>
      <c r="X688" s="218">
        <v>1.51132020000254E14</v>
      </c>
      <c r="AB688" t="e">
        <v>#N/A</v>
      </c>
    </row>
    <row r="689">
      <c r="A689" s="218" t="s">
        <v>343</v>
      </c>
      <c r="C689" s="218" t="s">
        <v>11071</v>
      </c>
      <c r="F689" s="457">
        <v>44118.0</v>
      </c>
      <c r="G689" s="218">
        <v>1.0</v>
      </c>
      <c r="H689" s="218">
        <v>401091.0</v>
      </c>
      <c r="J689" s="218" t="s">
        <v>11072</v>
      </c>
      <c r="K689" s="218" t="s">
        <v>11073</v>
      </c>
      <c r="L689" s="218">
        <v>15113.0</v>
      </c>
      <c r="M689" s="218">
        <v>168105.0</v>
      </c>
      <c r="N689" s="218">
        <v>1.0E8</v>
      </c>
      <c r="O689" s="218">
        <v>339030.0</v>
      </c>
      <c r="P689" s="218" t="s">
        <v>11074</v>
      </c>
      <c r="Q689" s="222">
        <v>649.0</v>
      </c>
      <c r="R689" s="222">
        <v>649.0</v>
      </c>
      <c r="S689" s="218">
        <v>649.0</v>
      </c>
      <c r="U689" s="218">
        <v>0.0</v>
      </c>
      <c r="X689" s="218">
        <v>1.51132020000255E14</v>
      </c>
      <c r="AB689" t="e">
        <v>#N/A</v>
      </c>
    </row>
    <row r="690">
      <c r="A690" s="218" t="s">
        <v>781</v>
      </c>
      <c r="C690" s="218" t="s">
        <v>11075</v>
      </c>
      <c r="F690" s="457">
        <v>44118.0</v>
      </c>
      <c r="G690" s="218">
        <v>0.0</v>
      </c>
      <c r="H690" s="218">
        <v>401092.0</v>
      </c>
      <c r="I690" s="218" t="s">
        <v>9550</v>
      </c>
      <c r="J690" s="218" t="s">
        <v>9543</v>
      </c>
      <c r="K690" s="218" t="s">
        <v>9904</v>
      </c>
      <c r="L690" s="218">
        <v>15113.0</v>
      </c>
      <c r="M690" s="218">
        <v>168105.0</v>
      </c>
      <c r="N690" s="218">
        <v>1.0E8</v>
      </c>
      <c r="O690" s="218">
        <v>339039.0</v>
      </c>
      <c r="P690" s="218" t="s">
        <v>9552</v>
      </c>
      <c r="Q690" s="222">
        <v>2280.0</v>
      </c>
      <c r="R690" s="222">
        <v>2280.0</v>
      </c>
      <c r="S690" s="218">
        <v>0.0</v>
      </c>
      <c r="U690" s="218">
        <v>0.0</v>
      </c>
      <c r="X690" s="218">
        <v>1.51132020000156E14</v>
      </c>
      <c r="AB690" t="e">
        <v>#N/A</v>
      </c>
    </row>
    <row r="691">
      <c r="A691" s="218" t="s">
        <v>9331</v>
      </c>
      <c r="C691" s="218" t="s">
        <v>11076</v>
      </c>
      <c r="F691" s="457">
        <v>44118.0</v>
      </c>
      <c r="G691" s="218">
        <v>0.0</v>
      </c>
      <c r="H691" s="218">
        <v>401092.0</v>
      </c>
      <c r="I691" s="218" t="s">
        <v>9332</v>
      </c>
      <c r="J691" s="218" t="s">
        <v>9333</v>
      </c>
      <c r="K691" s="218" t="s">
        <v>9904</v>
      </c>
      <c r="L691" s="218">
        <v>15113.0</v>
      </c>
      <c r="M691" s="218">
        <v>168098.0</v>
      </c>
      <c r="N691" s="218">
        <v>1.0E8</v>
      </c>
      <c r="O691" s="218">
        <v>319011.0</v>
      </c>
      <c r="P691" s="218" t="s">
        <v>9335</v>
      </c>
      <c r="Q691" s="222">
        <v>1728000.0</v>
      </c>
      <c r="R691" s="222">
        <v>1728000.0</v>
      </c>
      <c r="S691" s="222">
        <v>0.0</v>
      </c>
      <c r="U691" s="222">
        <v>0.0</v>
      </c>
      <c r="X691" s="218">
        <v>1.51132020000185E14</v>
      </c>
      <c r="AB691" t="e">
        <v>#N/A</v>
      </c>
    </row>
    <row r="692">
      <c r="A692" s="218" t="s">
        <v>10001</v>
      </c>
      <c r="C692" s="218" t="s">
        <v>11077</v>
      </c>
      <c r="F692" s="457">
        <v>44119.0</v>
      </c>
      <c r="G692" s="218">
        <v>0.0</v>
      </c>
      <c r="H692" s="218">
        <v>401095.0</v>
      </c>
      <c r="I692" s="218" t="s">
        <v>11078</v>
      </c>
      <c r="J692" s="218" t="s">
        <v>11079</v>
      </c>
      <c r="K692" s="218" t="s">
        <v>11080</v>
      </c>
      <c r="L692" s="218">
        <v>0.0</v>
      </c>
      <c r="M692" s="218">
        <v>0.0</v>
      </c>
      <c r="O692" s="218">
        <v>0.0</v>
      </c>
      <c r="P692" s="218" t="s">
        <v>11081</v>
      </c>
      <c r="Q692" s="222">
        <v>4388.7</v>
      </c>
      <c r="R692" s="222">
        <v>-4388.7</v>
      </c>
      <c r="S692" s="222">
        <v>0.0</v>
      </c>
      <c r="U692" s="222">
        <v>0.0</v>
      </c>
      <c r="AB692" t="e">
        <v>#N/A</v>
      </c>
    </row>
    <row r="693">
      <c r="A693" s="218" t="s">
        <v>10001</v>
      </c>
      <c r="C693" s="218" t="s">
        <v>11082</v>
      </c>
      <c r="F693" s="457">
        <v>44119.0</v>
      </c>
      <c r="G693" s="218">
        <v>1.0</v>
      </c>
      <c r="H693" s="218">
        <v>401091.0</v>
      </c>
      <c r="J693" s="218" t="s">
        <v>11083</v>
      </c>
      <c r="K693" s="218" t="s">
        <v>11084</v>
      </c>
      <c r="L693" s="218">
        <v>15113.0</v>
      </c>
      <c r="M693" s="218">
        <v>168105.0</v>
      </c>
      <c r="N693" s="218">
        <v>1.0E8</v>
      </c>
      <c r="O693" s="218">
        <v>339030.0</v>
      </c>
      <c r="P693" s="218" t="s">
        <v>11085</v>
      </c>
      <c r="Q693" s="222">
        <v>3912.0</v>
      </c>
      <c r="R693" s="222">
        <v>3912.0</v>
      </c>
      <c r="S693" s="222">
        <v>3912.0</v>
      </c>
      <c r="U693" s="218">
        <v>0.0</v>
      </c>
      <c r="X693" s="218">
        <v>1.51132020000101E14</v>
      </c>
      <c r="AB693" t="e">
        <v>#N/A</v>
      </c>
    </row>
    <row r="694">
      <c r="A694" s="218" t="s">
        <v>10001</v>
      </c>
      <c r="C694" s="218" t="s">
        <v>11086</v>
      </c>
      <c r="F694" s="457">
        <v>44119.0</v>
      </c>
      <c r="G694" s="218">
        <v>1.0</v>
      </c>
      <c r="H694" s="218">
        <v>401091.0</v>
      </c>
      <c r="J694" s="218" t="s">
        <v>11087</v>
      </c>
      <c r="K694" s="218" t="s">
        <v>11084</v>
      </c>
      <c r="L694" s="218">
        <v>15113.0</v>
      </c>
      <c r="M694" s="218">
        <v>168105.0</v>
      </c>
      <c r="N694" s="218">
        <v>1.0E8</v>
      </c>
      <c r="O694" s="218">
        <v>339030.0</v>
      </c>
      <c r="P694" s="218" t="s">
        <v>11085</v>
      </c>
      <c r="Q694" s="222">
        <v>1450.0</v>
      </c>
      <c r="R694" s="222">
        <v>1450.0</v>
      </c>
      <c r="S694" s="222">
        <v>1450.0</v>
      </c>
      <c r="U694" s="218">
        <v>0.0</v>
      </c>
      <c r="X694" s="218">
        <v>1.51132020000101E14</v>
      </c>
      <c r="AB694" t="e">
        <v>#N/A</v>
      </c>
    </row>
    <row r="695">
      <c r="A695" s="218" t="s">
        <v>10001</v>
      </c>
      <c r="C695" s="218" t="s">
        <v>11088</v>
      </c>
      <c r="F695" s="457">
        <v>44119.0</v>
      </c>
      <c r="G695" s="218">
        <v>1.0</v>
      </c>
      <c r="H695" s="218">
        <v>401091.0</v>
      </c>
      <c r="J695" s="218" t="s">
        <v>11089</v>
      </c>
      <c r="K695" s="218" t="s">
        <v>11084</v>
      </c>
      <c r="L695" s="218">
        <v>15113.0</v>
      </c>
      <c r="M695" s="218">
        <v>168105.0</v>
      </c>
      <c r="N695" s="218">
        <v>1.0E8</v>
      </c>
      <c r="O695" s="218">
        <v>339030.0</v>
      </c>
      <c r="P695" s="218" t="s">
        <v>11085</v>
      </c>
      <c r="Q695" s="222">
        <v>8662.0</v>
      </c>
      <c r="R695" s="222">
        <v>8662.0</v>
      </c>
      <c r="S695" s="222">
        <v>8662.0</v>
      </c>
      <c r="U695" s="218">
        <v>0.0</v>
      </c>
      <c r="X695" s="218">
        <v>1.51132020000101E14</v>
      </c>
      <c r="AB695" t="e">
        <v>#N/A</v>
      </c>
    </row>
    <row r="696">
      <c r="A696" s="218" t="s">
        <v>9371</v>
      </c>
      <c r="C696" s="218" t="s">
        <v>11090</v>
      </c>
      <c r="F696" s="457">
        <v>44119.0</v>
      </c>
      <c r="G696" s="218">
        <v>1.0</v>
      </c>
      <c r="H696" s="218">
        <v>401091.0</v>
      </c>
      <c r="J696" s="218" t="s">
        <v>11091</v>
      </c>
      <c r="K696" s="218" t="s">
        <v>11092</v>
      </c>
      <c r="L696" s="218">
        <v>15113.0</v>
      </c>
      <c r="M696" s="218">
        <v>168105.0</v>
      </c>
      <c r="N696" s="218">
        <v>1.0E8</v>
      </c>
      <c r="O696" s="218">
        <v>339030.0</v>
      </c>
      <c r="P696" s="218" t="s">
        <v>11093</v>
      </c>
      <c r="Q696" s="222">
        <v>100.0</v>
      </c>
      <c r="R696" s="222">
        <v>100.0</v>
      </c>
      <c r="S696" s="222">
        <v>100.0</v>
      </c>
      <c r="U696" s="222">
        <v>0.0</v>
      </c>
      <c r="X696" s="218">
        <v>1.5113202000006E14</v>
      </c>
      <c r="AB696" t="e">
        <v>#N/A</v>
      </c>
    </row>
    <row r="697">
      <c r="A697" s="218" t="s">
        <v>9331</v>
      </c>
      <c r="C697" s="218" t="s">
        <v>11094</v>
      </c>
      <c r="F697" s="457">
        <v>44119.0</v>
      </c>
      <c r="G697" s="218">
        <v>0.0</v>
      </c>
      <c r="H697" s="218">
        <v>401092.0</v>
      </c>
      <c r="I697" s="218" t="s">
        <v>9353</v>
      </c>
      <c r="J697" s="218" t="s">
        <v>9333</v>
      </c>
      <c r="K697" s="218" t="s">
        <v>9904</v>
      </c>
      <c r="L697" s="218">
        <v>15113.0</v>
      </c>
      <c r="M697" s="218">
        <v>168099.0</v>
      </c>
      <c r="N697" s="218">
        <v>1.69E8</v>
      </c>
      <c r="O697" s="218">
        <v>319001.0</v>
      </c>
      <c r="P697" s="218" t="s">
        <v>9335</v>
      </c>
      <c r="Q697" s="222">
        <v>3.438970483E7</v>
      </c>
      <c r="R697" s="222">
        <v>3.438970483E7</v>
      </c>
      <c r="S697" s="222">
        <v>0.0</v>
      </c>
      <c r="U697" s="218">
        <v>0.0</v>
      </c>
      <c r="X697" s="218">
        <v>1.51132020000179E14</v>
      </c>
      <c r="AB697" t="e">
        <v>#N/A</v>
      </c>
    </row>
    <row r="698">
      <c r="A698" s="218" t="s">
        <v>782</v>
      </c>
      <c r="C698" s="218" t="s">
        <v>11095</v>
      </c>
      <c r="F698" s="457">
        <v>44119.0</v>
      </c>
      <c r="G698" s="218">
        <v>0.0</v>
      </c>
      <c r="H698" s="218">
        <v>401093.0</v>
      </c>
      <c r="I698" s="218" t="s">
        <v>11056</v>
      </c>
      <c r="J698" s="218" t="s">
        <v>11057</v>
      </c>
      <c r="K698" s="218" t="s">
        <v>9398</v>
      </c>
      <c r="L698" s="218">
        <v>15113.0</v>
      </c>
      <c r="M698" s="218">
        <v>168108.0</v>
      </c>
      <c r="N698" s="218">
        <v>1.0E8</v>
      </c>
      <c r="O698" s="218">
        <v>339036.0</v>
      </c>
      <c r="P698" s="218" t="s">
        <v>11059</v>
      </c>
      <c r="Q698" s="222">
        <v>409.55</v>
      </c>
      <c r="R698" s="222">
        <v>-409.55</v>
      </c>
      <c r="S698" s="218">
        <v>0.0</v>
      </c>
      <c r="U698" s="218">
        <v>0.0</v>
      </c>
      <c r="AB698" t="e">
        <v>#N/A</v>
      </c>
    </row>
    <row r="699">
      <c r="A699" s="218" t="s">
        <v>782</v>
      </c>
      <c r="C699" s="218" t="s">
        <v>11096</v>
      </c>
      <c r="F699" s="457">
        <v>44119.0</v>
      </c>
      <c r="G699" s="218">
        <v>1.0</v>
      </c>
      <c r="H699" s="218">
        <v>401091.0</v>
      </c>
      <c r="J699" s="218" t="s">
        <v>11057</v>
      </c>
      <c r="K699" s="218" t="s">
        <v>11058</v>
      </c>
      <c r="L699" s="218">
        <v>15113.0</v>
      </c>
      <c r="M699" s="218">
        <v>168109.0</v>
      </c>
      <c r="N699" s="218">
        <v>1.0E8</v>
      </c>
      <c r="O699" s="218">
        <v>339036.0</v>
      </c>
      <c r="P699" s="218" t="s">
        <v>11059</v>
      </c>
      <c r="Q699" s="222">
        <v>409.55</v>
      </c>
      <c r="R699" s="222">
        <v>409.55</v>
      </c>
      <c r="S699" s="218">
        <v>409.55</v>
      </c>
      <c r="U699" s="218">
        <v>0.0</v>
      </c>
      <c r="X699" s="218">
        <v>1.51132020000049E14</v>
      </c>
      <c r="AB699" t="e">
        <v>#N/A</v>
      </c>
    </row>
    <row r="700">
      <c r="A700" s="218" t="s">
        <v>9331</v>
      </c>
      <c r="C700" s="218" t="s">
        <v>11097</v>
      </c>
      <c r="F700" s="457">
        <v>44119.0</v>
      </c>
      <c r="G700" s="218">
        <v>0.0</v>
      </c>
      <c r="H700" s="218">
        <v>401092.0</v>
      </c>
      <c r="I700" s="218" t="s">
        <v>9354</v>
      </c>
      <c r="J700" s="218" t="s">
        <v>9333</v>
      </c>
      <c r="K700" s="218" t="s">
        <v>9904</v>
      </c>
      <c r="L700" s="218">
        <v>15113.0</v>
      </c>
      <c r="M700" s="218">
        <v>168099.0</v>
      </c>
      <c r="N700" s="218">
        <v>1.69E8</v>
      </c>
      <c r="O700" s="218">
        <v>319003.0</v>
      </c>
      <c r="P700" s="218" t="s">
        <v>9335</v>
      </c>
      <c r="Q700" s="222">
        <v>79359.17</v>
      </c>
      <c r="R700" s="222">
        <v>79359.17</v>
      </c>
      <c r="S700" s="218">
        <v>0.0</v>
      </c>
      <c r="U700" s="218">
        <v>0.0</v>
      </c>
      <c r="X700" s="218">
        <v>1.51132020000188E14</v>
      </c>
      <c r="AB700" t="e">
        <v>#N/A</v>
      </c>
    </row>
    <row r="701">
      <c r="A701" s="218" t="s">
        <v>787</v>
      </c>
      <c r="C701" s="218" t="s">
        <v>11098</v>
      </c>
      <c r="F701" s="457">
        <v>44120.0</v>
      </c>
      <c r="G701" s="218">
        <v>1.0</v>
      </c>
      <c r="H701" s="218">
        <v>401091.0</v>
      </c>
      <c r="J701" s="218" t="s">
        <v>11099</v>
      </c>
      <c r="K701" s="218" t="s">
        <v>11100</v>
      </c>
      <c r="L701" s="218">
        <v>15113.0</v>
      </c>
      <c r="M701" s="218">
        <v>168108.0</v>
      </c>
      <c r="N701" s="218">
        <v>1.0E8</v>
      </c>
      <c r="O701" s="218">
        <v>339039.0</v>
      </c>
      <c r="P701" s="218" t="s">
        <v>11101</v>
      </c>
      <c r="Q701" s="222">
        <v>499.0</v>
      </c>
      <c r="R701" s="222">
        <v>499.0</v>
      </c>
      <c r="S701" s="218">
        <v>499.0</v>
      </c>
      <c r="U701" s="218">
        <v>0.0</v>
      </c>
      <c r="X701" s="218">
        <v>1.51132020000066E14</v>
      </c>
      <c r="AB701" t="e">
        <v>#N/A</v>
      </c>
    </row>
    <row r="702">
      <c r="A702" s="218" t="s">
        <v>787</v>
      </c>
      <c r="C702" s="218" t="s">
        <v>11102</v>
      </c>
      <c r="F702" s="457">
        <v>44120.0</v>
      </c>
      <c r="G702" s="218">
        <v>1.0</v>
      </c>
      <c r="H702" s="218">
        <v>401091.0</v>
      </c>
      <c r="J702" s="218" t="s">
        <v>11103</v>
      </c>
      <c r="K702" s="218" t="s">
        <v>11100</v>
      </c>
      <c r="L702" s="218">
        <v>15113.0</v>
      </c>
      <c r="M702" s="218">
        <v>168108.0</v>
      </c>
      <c r="N702" s="218">
        <v>1.0E8</v>
      </c>
      <c r="O702" s="218">
        <v>339039.0</v>
      </c>
      <c r="P702" s="218" t="s">
        <v>11104</v>
      </c>
      <c r="Q702" s="222">
        <v>361.0</v>
      </c>
      <c r="R702" s="222">
        <v>361.0</v>
      </c>
      <c r="S702" s="218">
        <v>361.0</v>
      </c>
      <c r="U702" s="218">
        <v>0.0</v>
      </c>
      <c r="X702" s="218">
        <v>1.51132020000066E14</v>
      </c>
      <c r="AB702" t="e">
        <v>#N/A</v>
      </c>
    </row>
    <row r="703">
      <c r="A703" s="218" t="s">
        <v>9371</v>
      </c>
      <c r="C703" s="218" t="s">
        <v>11105</v>
      </c>
      <c r="F703" s="457">
        <v>44120.0</v>
      </c>
      <c r="G703" s="218">
        <v>0.0</v>
      </c>
      <c r="H703" s="218">
        <v>401092.0</v>
      </c>
      <c r="I703" s="218" t="s">
        <v>10054</v>
      </c>
      <c r="J703" s="218" t="s">
        <v>9333</v>
      </c>
      <c r="K703" s="218" t="s">
        <v>10619</v>
      </c>
      <c r="L703" s="218">
        <v>15113.0</v>
      </c>
      <c r="M703" s="218">
        <v>168109.0</v>
      </c>
      <c r="N703" s="218">
        <v>1.0E8</v>
      </c>
      <c r="O703" s="218">
        <v>339036.0</v>
      </c>
      <c r="P703" s="218" t="s">
        <v>9374</v>
      </c>
      <c r="Q703" s="222">
        <v>10000.0</v>
      </c>
      <c r="R703" s="222">
        <v>10000.0</v>
      </c>
      <c r="S703" s="218">
        <v>0.0</v>
      </c>
      <c r="U703" s="218">
        <v>0.0</v>
      </c>
      <c r="X703" s="218">
        <v>1.51132020000049E14</v>
      </c>
      <c r="AB703" t="e">
        <v>#N/A</v>
      </c>
    </row>
    <row r="704">
      <c r="A704" s="218" t="s">
        <v>9430</v>
      </c>
      <c r="C704" s="218" t="s">
        <v>11106</v>
      </c>
      <c r="F704" s="457">
        <v>44120.0</v>
      </c>
      <c r="G704" s="218">
        <v>1.0</v>
      </c>
      <c r="H704" s="218">
        <v>401091.0</v>
      </c>
      <c r="J704" s="218" t="s">
        <v>11107</v>
      </c>
      <c r="K704" s="218" t="s">
        <v>11108</v>
      </c>
      <c r="L704" s="218">
        <v>15113.0</v>
      </c>
      <c r="M704" s="218">
        <v>168105.0</v>
      </c>
      <c r="N704" s="218">
        <v>1.0E8</v>
      </c>
      <c r="O704" s="218">
        <v>339047.0</v>
      </c>
      <c r="P704" s="218" t="s">
        <v>11109</v>
      </c>
      <c r="Q704" s="222">
        <v>320.44</v>
      </c>
      <c r="R704" s="222">
        <v>320.44</v>
      </c>
      <c r="S704" s="218">
        <v>320.44</v>
      </c>
      <c r="U704" s="218">
        <v>0.0</v>
      </c>
      <c r="X704" s="218">
        <v>1.51132020000073E14</v>
      </c>
      <c r="AB704" t="e">
        <v>#N/A</v>
      </c>
    </row>
    <row r="705">
      <c r="A705" s="218" t="s">
        <v>9430</v>
      </c>
      <c r="C705" s="218" t="s">
        <v>11110</v>
      </c>
      <c r="F705" s="457">
        <v>44120.0</v>
      </c>
      <c r="G705" s="218">
        <v>1.0</v>
      </c>
      <c r="H705" s="218">
        <v>401091.0</v>
      </c>
      <c r="J705" s="218" t="s">
        <v>11111</v>
      </c>
      <c r="K705" s="218" t="s">
        <v>11112</v>
      </c>
      <c r="L705" s="218">
        <v>15113.0</v>
      </c>
      <c r="M705" s="218">
        <v>168105.0</v>
      </c>
      <c r="N705" s="218">
        <v>1.0E8</v>
      </c>
      <c r="O705" s="218">
        <v>339047.0</v>
      </c>
      <c r="P705" s="218" t="s">
        <v>11109</v>
      </c>
      <c r="Q705" s="222">
        <v>196.27</v>
      </c>
      <c r="R705" s="222">
        <v>196.27</v>
      </c>
      <c r="S705" s="218">
        <v>196.27</v>
      </c>
      <c r="U705" s="218">
        <v>0.0</v>
      </c>
      <c r="X705" s="218">
        <v>1.51132020000073E14</v>
      </c>
      <c r="AB705" t="e">
        <v>#N/A</v>
      </c>
    </row>
    <row r="706">
      <c r="A706" s="218" t="s">
        <v>9430</v>
      </c>
      <c r="C706" s="218" t="s">
        <v>11113</v>
      </c>
      <c r="F706" s="457">
        <v>44120.0</v>
      </c>
      <c r="G706" s="218">
        <v>1.0</v>
      </c>
      <c r="H706" s="218">
        <v>401091.0</v>
      </c>
      <c r="J706" s="218" t="s">
        <v>11114</v>
      </c>
      <c r="K706" s="218" t="s">
        <v>11115</v>
      </c>
      <c r="L706" s="218">
        <v>15113.0</v>
      </c>
      <c r="M706" s="218">
        <v>168105.0</v>
      </c>
      <c r="N706" s="218">
        <v>1.0E8</v>
      </c>
      <c r="O706" s="218">
        <v>339047.0</v>
      </c>
      <c r="P706" s="218" t="s">
        <v>11109</v>
      </c>
      <c r="Q706" s="222">
        <v>177.66</v>
      </c>
      <c r="R706" s="222">
        <v>177.66</v>
      </c>
      <c r="S706" s="218">
        <v>177.66</v>
      </c>
      <c r="U706" s="218">
        <v>0.0</v>
      </c>
      <c r="X706" s="218">
        <v>1.51132020000073E14</v>
      </c>
      <c r="AB706" t="e">
        <v>#N/A</v>
      </c>
    </row>
    <row r="707">
      <c r="A707" s="218" t="s">
        <v>9371</v>
      </c>
      <c r="C707" s="218" t="s">
        <v>11116</v>
      </c>
      <c r="F707" s="457">
        <v>44120.0</v>
      </c>
      <c r="G707" s="218">
        <v>0.0</v>
      </c>
      <c r="H707" s="218">
        <v>401093.0</v>
      </c>
      <c r="I707" s="218" t="s">
        <v>9393</v>
      </c>
      <c r="J707" s="218" t="s">
        <v>9333</v>
      </c>
      <c r="K707" s="218" t="s">
        <v>9398</v>
      </c>
      <c r="L707" s="218">
        <v>15113.0</v>
      </c>
      <c r="M707" s="218">
        <v>168109.0</v>
      </c>
      <c r="N707" s="218">
        <v>1.0E8</v>
      </c>
      <c r="O707" s="218">
        <v>339014.0</v>
      </c>
      <c r="P707" s="218" t="s">
        <v>9374</v>
      </c>
      <c r="Q707" s="222">
        <v>16100.3</v>
      </c>
      <c r="R707" s="222">
        <v>-16100.3</v>
      </c>
      <c r="S707" s="218">
        <v>0.0</v>
      </c>
      <c r="U707" s="218">
        <v>0.0</v>
      </c>
      <c r="AB707" t="e">
        <v>#N/A</v>
      </c>
    </row>
    <row r="708">
      <c r="A708" s="218" t="s">
        <v>9371</v>
      </c>
      <c r="C708" s="218" t="s">
        <v>11117</v>
      </c>
      <c r="F708" s="457">
        <v>44120.0</v>
      </c>
      <c r="G708" s="218">
        <v>0.0</v>
      </c>
      <c r="H708" s="218">
        <v>401093.0</v>
      </c>
      <c r="I708" s="218" t="s">
        <v>9395</v>
      </c>
      <c r="J708" s="218" t="s">
        <v>9333</v>
      </c>
      <c r="K708" s="218" t="s">
        <v>9398</v>
      </c>
      <c r="L708" s="218">
        <v>15113.0</v>
      </c>
      <c r="M708" s="218">
        <v>168109.0</v>
      </c>
      <c r="N708" s="218">
        <v>1.0E8</v>
      </c>
      <c r="O708" s="218">
        <v>339093.0</v>
      </c>
      <c r="P708" s="218" t="s">
        <v>9374</v>
      </c>
      <c r="Q708" s="222">
        <v>19661.88</v>
      </c>
      <c r="R708" s="222">
        <v>-19661.88</v>
      </c>
      <c r="S708" s="222">
        <v>0.0</v>
      </c>
      <c r="U708" s="222">
        <v>0.0</v>
      </c>
      <c r="AB708" t="e">
        <v>#N/A</v>
      </c>
    </row>
    <row r="709">
      <c r="A709" s="218" t="s">
        <v>9920</v>
      </c>
      <c r="C709" s="218" t="s">
        <v>11118</v>
      </c>
      <c r="F709" s="457">
        <v>44120.0</v>
      </c>
      <c r="G709" s="218">
        <v>1.0</v>
      </c>
      <c r="H709" s="218">
        <v>401091.0</v>
      </c>
      <c r="J709" s="218" t="s">
        <v>10234</v>
      </c>
      <c r="K709" s="218" t="s">
        <v>11119</v>
      </c>
      <c r="L709" s="218">
        <v>15113.0</v>
      </c>
      <c r="M709" s="218">
        <v>168105.0</v>
      </c>
      <c r="N709" s="218">
        <v>1.0E8</v>
      </c>
      <c r="O709" s="218">
        <v>339039.0</v>
      </c>
      <c r="P709" s="218" t="s">
        <v>11120</v>
      </c>
      <c r="Q709" s="222">
        <v>10010.0</v>
      </c>
      <c r="R709" s="222">
        <v>10010.0</v>
      </c>
      <c r="S709" s="222">
        <v>10010.0</v>
      </c>
      <c r="U709" s="222">
        <v>0.0</v>
      </c>
      <c r="X709" s="218">
        <v>1.51132020000256E14</v>
      </c>
      <c r="AB709" t="e">
        <v>#N/A</v>
      </c>
    </row>
    <row r="710">
      <c r="A710" s="218" t="s">
        <v>781</v>
      </c>
      <c r="C710" s="218" t="s">
        <v>11121</v>
      </c>
      <c r="F710" s="457">
        <v>44120.0</v>
      </c>
      <c r="G710" s="218">
        <v>0.0</v>
      </c>
      <c r="H710" s="218">
        <v>401093.0</v>
      </c>
      <c r="I710" s="218" t="s">
        <v>10037</v>
      </c>
      <c r="J710" s="218" t="s">
        <v>9761</v>
      </c>
      <c r="K710" s="218" t="s">
        <v>9398</v>
      </c>
      <c r="L710" s="218">
        <v>15113.0</v>
      </c>
      <c r="M710" s="218">
        <v>168109.0</v>
      </c>
      <c r="N710" s="218">
        <v>1.0E8</v>
      </c>
      <c r="O710" s="218">
        <v>339039.0</v>
      </c>
      <c r="P710" s="218" t="s">
        <v>9763</v>
      </c>
      <c r="Q710" s="222">
        <v>12000.0</v>
      </c>
      <c r="R710" s="222">
        <v>-12000.0</v>
      </c>
      <c r="S710" s="222">
        <v>0.0</v>
      </c>
      <c r="U710" s="222">
        <v>0.0</v>
      </c>
      <c r="AB710" t="e">
        <v>#N/A</v>
      </c>
    </row>
    <row r="711">
      <c r="A711" s="218" t="s">
        <v>781</v>
      </c>
      <c r="C711" s="218" t="s">
        <v>11122</v>
      </c>
      <c r="F711" s="457">
        <v>44120.0</v>
      </c>
      <c r="G711" s="218">
        <v>0.0</v>
      </c>
      <c r="H711" s="218">
        <v>401093.0</v>
      </c>
      <c r="I711" s="218" t="s">
        <v>9760</v>
      </c>
      <c r="J711" s="218" t="s">
        <v>9761</v>
      </c>
      <c r="K711" s="218" t="s">
        <v>9398</v>
      </c>
      <c r="L711" s="218">
        <v>15113.0</v>
      </c>
      <c r="M711" s="218">
        <v>168105.0</v>
      </c>
      <c r="N711" s="218">
        <v>1.0E8</v>
      </c>
      <c r="O711" s="218">
        <v>339039.0</v>
      </c>
      <c r="P711" s="218" t="s">
        <v>9763</v>
      </c>
      <c r="Q711" s="222">
        <v>10000.0</v>
      </c>
      <c r="R711" s="222">
        <v>-10000.0</v>
      </c>
      <c r="S711" s="222">
        <v>0.0</v>
      </c>
      <c r="U711" s="218">
        <v>0.0</v>
      </c>
      <c r="AB711" t="e">
        <v>#N/A</v>
      </c>
    </row>
    <row r="712">
      <c r="A712" s="218" t="s">
        <v>787</v>
      </c>
      <c r="C712" s="218" t="s">
        <v>11123</v>
      </c>
      <c r="F712" s="457">
        <v>44120.0</v>
      </c>
      <c r="G712" s="218">
        <v>1.0</v>
      </c>
      <c r="H712" s="218">
        <v>401091.0</v>
      </c>
      <c r="J712" s="218" t="s">
        <v>11124</v>
      </c>
      <c r="K712" s="218" t="s">
        <v>11125</v>
      </c>
      <c r="L712" s="218">
        <v>15113.0</v>
      </c>
      <c r="M712" s="218">
        <v>168108.0</v>
      </c>
      <c r="N712" s="218">
        <v>1.0E8</v>
      </c>
      <c r="O712" s="218">
        <v>339039.0</v>
      </c>
      <c r="P712" s="218" t="s">
        <v>11126</v>
      </c>
      <c r="Q712" s="222">
        <v>790.0</v>
      </c>
      <c r="R712" s="222">
        <v>790.0</v>
      </c>
      <c r="S712" s="218">
        <v>790.0</v>
      </c>
      <c r="U712" s="218">
        <v>790.0</v>
      </c>
      <c r="X712" s="218">
        <v>1.51132020000066E14</v>
      </c>
      <c r="AB712" t="e">
        <v>#N/A</v>
      </c>
    </row>
    <row r="713">
      <c r="A713" s="218" t="s">
        <v>787</v>
      </c>
      <c r="C713" s="218" t="s">
        <v>11127</v>
      </c>
      <c r="F713" s="457">
        <v>44120.0</v>
      </c>
      <c r="G713" s="218">
        <v>1.0</v>
      </c>
      <c r="H713" s="218">
        <v>401091.0</v>
      </c>
      <c r="J713" s="218" t="s">
        <v>11128</v>
      </c>
      <c r="K713" s="218" t="s">
        <v>11129</v>
      </c>
      <c r="L713" s="218">
        <v>15113.0</v>
      </c>
      <c r="M713" s="218">
        <v>168108.0</v>
      </c>
      <c r="N713" s="218">
        <v>1.0E8</v>
      </c>
      <c r="O713" s="218">
        <v>339039.0</v>
      </c>
      <c r="P713" s="218" t="s">
        <v>11130</v>
      </c>
      <c r="Q713" s="222">
        <v>1166.4</v>
      </c>
      <c r="R713" s="222">
        <v>1166.4</v>
      </c>
      <c r="S713" s="222">
        <v>1166.4</v>
      </c>
      <c r="U713" s="222">
        <v>1166.4</v>
      </c>
      <c r="X713" s="218">
        <v>1.51132020000066E14</v>
      </c>
      <c r="AB713" t="e">
        <v>#N/A</v>
      </c>
    </row>
    <row r="714">
      <c r="A714" s="218" t="s">
        <v>781</v>
      </c>
      <c r="C714" s="218" t="s">
        <v>11131</v>
      </c>
      <c r="F714" s="457">
        <v>44120.0</v>
      </c>
      <c r="G714" s="218">
        <v>0.0</v>
      </c>
      <c r="H714" s="218">
        <v>401093.0</v>
      </c>
      <c r="I714" s="218" t="s">
        <v>9780</v>
      </c>
      <c r="J714" s="218" t="s">
        <v>9781</v>
      </c>
      <c r="K714" s="218" t="s">
        <v>9398</v>
      </c>
      <c r="L714" s="218">
        <v>15113.0</v>
      </c>
      <c r="M714" s="218">
        <v>168105.0</v>
      </c>
      <c r="N714" s="218">
        <v>1.0E8</v>
      </c>
      <c r="O714" s="218">
        <v>339037.0</v>
      </c>
      <c r="P714" s="218" t="s">
        <v>9783</v>
      </c>
      <c r="Q714" s="222">
        <v>1061590.81</v>
      </c>
      <c r="R714" s="222">
        <v>-1061590.81</v>
      </c>
      <c r="S714" s="222">
        <v>0.0</v>
      </c>
      <c r="U714" s="222">
        <v>0.0</v>
      </c>
      <c r="AB714" t="e">
        <v>#N/A</v>
      </c>
    </row>
    <row r="715">
      <c r="A715" s="218" t="s">
        <v>781</v>
      </c>
      <c r="C715" s="218" t="s">
        <v>11132</v>
      </c>
      <c r="F715" s="457">
        <v>44120.0</v>
      </c>
      <c r="G715" s="218">
        <v>5.0</v>
      </c>
      <c r="H715" s="218">
        <v>401091.0</v>
      </c>
      <c r="J715" s="218" t="s">
        <v>9781</v>
      </c>
      <c r="K715" s="218" t="s">
        <v>11133</v>
      </c>
      <c r="L715" s="218">
        <v>15113.0</v>
      </c>
      <c r="M715" s="218">
        <v>168105.0</v>
      </c>
      <c r="N715" s="218">
        <v>1.8115113E8</v>
      </c>
      <c r="O715" s="218">
        <v>339037.0</v>
      </c>
      <c r="P715" s="218" t="s">
        <v>9783</v>
      </c>
      <c r="Q715" s="222">
        <v>911670.24</v>
      </c>
      <c r="R715" s="222">
        <v>911670.24</v>
      </c>
      <c r="S715" s="222">
        <v>911670.24</v>
      </c>
      <c r="U715" s="222">
        <v>373418.2</v>
      </c>
      <c r="X715" s="218">
        <v>1.51132020000123E14</v>
      </c>
      <c r="AB715" t="e">
        <v>#N/A</v>
      </c>
    </row>
    <row r="716">
      <c r="A716" s="218" t="s">
        <v>9371</v>
      </c>
      <c r="C716" s="218" t="s">
        <v>11134</v>
      </c>
      <c r="F716" s="457">
        <v>44123.0</v>
      </c>
      <c r="G716" s="218">
        <v>0.0</v>
      </c>
      <c r="H716" s="218">
        <v>401093.0</v>
      </c>
      <c r="I716" s="218" t="s">
        <v>9359</v>
      </c>
      <c r="J716" s="218" t="s">
        <v>9333</v>
      </c>
      <c r="K716" s="218" t="s">
        <v>9398</v>
      </c>
      <c r="L716" s="218">
        <v>15113.0</v>
      </c>
      <c r="M716" s="218">
        <v>168103.0</v>
      </c>
      <c r="N716" s="218">
        <v>1.0E8</v>
      </c>
      <c r="O716" s="218">
        <v>339046.0</v>
      </c>
      <c r="P716" s="218" t="s">
        <v>9374</v>
      </c>
      <c r="Q716" s="222">
        <v>1600000.0</v>
      </c>
      <c r="R716" s="222">
        <v>-1600000.0</v>
      </c>
      <c r="S716" s="222">
        <v>0.0</v>
      </c>
      <c r="U716" s="218">
        <v>0.0</v>
      </c>
      <c r="AB716" t="e">
        <v>#N/A</v>
      </c>
    </row>
    <row r="717">
      <c r="A717" s="218" t="s">
        <v>324</v>
      </c>
      <c r="C717" s="218" t="s">
        <v>11135</v>
      </c>
      <c r="F717" s="457">
        <v>44123.0</v>
      </c>
      <c r="G717" s="218">
        <v>0.0</v>
      </c>
      <c r="H717" s="218">
        <v>401093.0</v>
      </c>
      <c r="I717" s="218" t="s">
        <v>10739</v>
      </c>
      <c r="J717" s="218" t="s">
        <v>10740</v>
      </c>
      <c r="K717" s="218" t="s">
        <v>9398</v>
      </c>
      <c r="L717" s="218">
        <v>15113.0</v>
      </c>
      <c r="M717" s="218">
        <v>168105.0</v>
      </c>
      <c r="N717" s="218">
        <v>1.0E8</v>
      </c>
      <c r="O717" s="218">
        <v>339039.0</v>
      </c>
      <c r="P717" s="218" t="s">
        <v>10742</v>
      </c>
      <c r="Q717" s="222">
        <v>417864.93</v>
      </c>
      <c r="R717" s="222">
        <v>-417864.93</v>
      </c>
      <c r="S717" s="218">
        <v>0.0</v>
      </c>
      <c r="U717" s="218">
        <v>0.0</v>
      </c>
      <c r="AB717" t="e">
        <v>#N/A</v>
      </c>
    </row>
    <row r="718">
      <c r="A718" s="218" t="s">
        <v>324</v>
      </c>
      <c r="C718" s="218" t="s">
        <v>11136</v>
      </c>
      <c r="F718" s="457">
        <v>44123.0</v>
      </c>
      <c r="G718" s="218">
        <v>5.0</v>
      </c>
      <c r="H718" s="218">
        <v>401091.0</v>
      </c>
      <c r="J718" s="218" t="s">
        <v>10740</v>
      </c>
      <c r="K718" s="218" t="s">
        <v>10741</v>
      </c>
      <c r="L718" s="218">
        <v>15113.0</v>
      </c>
      <c r="M718" s="218">
        <v>168105.0</v>
      </c>
      <c r="N718" s="218">
        <v>1.8115113E8</v>
      </c>
      <c r="O718" s="218">
        <v>339039.0</v>
      </c>
      <c r="P718" s="218" t="s">
        <v>10742</v>
      </c>
      <c r="Q718" s="222">
        <v>417864.93</v>
      </c>
      <c r="R718" s="222">
        <v>417864.93</v>
      </c>
      <c r="S718" s="222">
        <v>417864.93</v>
      </c>
      <c r="U718" s="222">
        <v>899.13</v>
      </c>
      <c r="X718" s="218">
        <v>1.51132020000237E14</v>
      </c>
      <c r="AB718" t="e">
        <v>#N/A</v>
      </c>
    </row>
    <row r="719">
      <c r="A719" s="218" t="s">
        <v>781</v>
      </c>
      <c r="C719" s="218" t="s">
        <v>11137</v>
      </c>
      <c r="F719" s="457">
        <v>44123.0</v>
      </c>
      <c r="G719" s="218">
        <v>0.0</v>
      </c>
      <c r="H719" s="218">
        <v>401093.0</v>
      </c>
      <c r="I719" s="218" t="s">
        <v>11007</v>
      </c>
      <c r="J719" s="218" t="s">
        <v>9781</v>
      </c>
      <c r="K719" s="218" t="s">
        <v>9398</v>
      </c>
      <c r="L719" s="218">
        <v>15113.0</v>
      </c>
      <c r="M719" s="218">
        <v>168105.0</v>
      </c>
      <c r="N719" s="218">
        <v>1.0E8</v>
      </c>
      <c r="O719" s="218">
        <v>339037.0</v>
      </c>
      <c r="P719" s="218" t="s">
        <v>11009</v>
      </c>
      <c r="Q719" s="222">
        <v>226000.0</v>
      </c>
      <c r="R719" s="222">
        <v>-226000.0</v>
      </c>
      <c r="S719" s="222">
        <v>0.0</v>
      </c>
      <c r="U719" s="222">
        <v>0.0</v>
      </c>
      <c r="AB719" t="e">
        <v>#N/A</v>
      </c>
    </row>
    <row r="720">
      <c r="A720" s="218" t="s">
        <v>781</v>
      </c>
      <c r="C720" s="218" t="s">
        <v>11138</v>
      </c>
      <c r="F720" s="457">
        <v>44123.0</v>
      </c>
      <c r="G720" s="218">
        <v>3.0</v>
      </c>
      <c r="H720" s="218">
        <v>401091.0</v>
      </c>
      <c r="J720" s="218" t="s">
        <v>9781</v>
      </c>
      <c r="K720" s="218" t="s">
        <v>11008</v>
      </c>
      <c r="L720" s="218">
        <v>15113.0</v>
      </c>
      <c r="M720" s="218">
        <v>168105.0</v>
      </c>
      <c r="N720" s="218">
        <v>1.8115113E8</v>
      </c>
      <c r="O720" s="218">
        <v>339037.0</v>
      </c>
      <c r="P720" s="218" t="s">
        <v>11009</v>
      </c>
      <c r="Q720" s="222">
        <v>226000.0</v>
      </c>
      <c r="R720" s="222">
        <v>226000.0</v>
      </c>
      <c r="S720" s="222">
        <v>226000.0</v>
      </c>
      <c r="U720" s="222">
        <v>93804.37</v>
      </c>
      <c r="X720" s="218">
        <v>1.51132020000252E14</v>
      </c>
      <c r="AB720" t="e">
        <v>#N/A</v>
      </c>
    </row>
    <row r="721">
      <c r="A721" s="218" t="s">
        <v>782</v>
      </c>
      <c r="C721" s="218" t="s">
        <v>11139</v>
      </c>
      <c r="F721" s="457">
        <v>44123.0</v>
      </c>
      <c r="G721" s="218">
        <v>0.0</v>
      </c>
      <c r="H721" s="218">
        <v>401093.0</v>
      </c>
      <c r="I721" s="218" t="s">
        <v>10039</v>
      </c>
      <c r="J721" s="218" t="s">
        <v>9729</v>
      </c>
      <c r="K721" s="218" t="s">
        <v>9398</v>
      </c>
      <c r="L721" s="218">
        <v>15113.0</v>
      </c>
      <c r="M721" s="218">
        <v>168109.0</v>
      </c>
      <c r="N721" s="218">
        <v>1.0E8</v>
      </c>
      <c r="O721" s="218">
        <v>339033.0</v>
      </c>
      <c r="P721" s="218" t="s">
        <v>9731</v>
      </c>
      <c r="Q721" s="222">
        <v>11210.72</v>
      </c>
      <c r="R721" s="222">
        <v>-11210.72</v>
      </c>
      <c r="S721" s="218">
        <v>0.0</v>
      </c>
      <c r="U721" s="218">
        <v>0.0</v>
      </c>
      <c r="AB721" t="e">
        <v>#N/A</v>
      </c>
    </row>
    <row r="722">
      <c r="A722" s="218" t="s">
        <v>782</v>
      </c>
      <c r="C722" s="218" t="s">
        <v>11140</v>
      </c>
      <c r="F722" s="457">
        <v>44123.0</v>
      </c>
      <c r="G722" s="218">
        <v>0.0</v>
      </c>
      <c r="H722" s="218">
        <v>401093.0</v>
      </c>
      <c r="I722" s="218" t="s">
        <v>10044</v>
      </c>
      <c r="J722" s="218" t="s">
        <v>9729</v>
      </c>
      <c r="K722" s="218" t="s">
        <v>9398</v>
      </c>
      <c r="L722" s="218">
        <v>15113.0</v>
      </c>
      <c r="M722" s="218">
        <v>168109.0</v>
      </c>
      <c r="N722" s="218">
        <v>1.0E8</v>
      </c>
      <c r="O722" s="218">
        <v>339039.0</v>
      </c>
      <c r="P722" s="218" t="s">
        <v>9731</v>
      </c>
      <c r="Q722" s="222">
        <v>0.94</v>
      </c>
      <c r="R722" s="222">
        <v>-0.94</v>
      </c>
      <c r="S722" s="222">
        <v>0.0</v>
      </c>
      <c r="U722" s="222">
        <v>0.0</v>
      </c>
      <c r="AB722" t="e">
        <v>#N/A</v>
      </c>
    </row>
    <row r="723">
      <c r="A723" s="218" t="s">
        <v>782</v>
      </c>
      <c r="C723" s="218" t="s">
        <v>11141</v>
      </c>
      <c r="F723" s="457">
        <v>44123.0</v>
      </c>
      <c r="G723" s="218">
        <v>0.0</v>
      </c>
      <c r="H723" s="218">
        <v>401093.0</v>
      </c>
      <c r="I723" s="218" t="s">
        <v>9728</v>
      </c>
      <c r="J723" s="218" t="s">
        <v>9729</v>
      </c>
      <c r="K723" s="218" t="s">
        <v>9398</v>
      </c>
      <c r="L723" s="218">
        <v>15113.0</v>
      </c>
      <c r="M723" s="218">
        <v>168105.0</v>
      </c>
      <c r="N723" s="218">
        <v>1.0E8</v>
      </c>
      <c r="O723" s="218">
        <v>339033.0</v>
      </c>
      <c r="P723" s="218" t="s">
        <v>9731</v>
      </c>
      <c r="Q723" s="222">
        <v>60000.0</v>
      </c>
      <c r="R723" s="222">
        <v>-60000.0</v>
      </c>
      <c r="S723" s="222">
        <v>0.0</v>
      </c>
      <c r="U723" s="222">
        <v>0.0</v>
      </c>
      <c r="AB723" t="e">
        <v>#N/A</v>
      </c>
    </row>
    <row r="724">
      <c r="A724" s="218" t="s">
        <v>782</v>
      </c>
      <c r="C724" s="218" t="s">
        <v>11142</v>
      </c>
      <c r="F724" s="457">
        <v>44123.0</v>
      </c>
      <c r="G724" s="218">
        <v>0.0</v>
      </c>
      <c r="H724" s="218">
        <v>401093.0</v>
      </c>
      <c r="I724" s="218" t="s">
        <v>9732</v>
      </c>
      <c r="J724" s="218" t="s">
        <v>9729</v>
      </c>
      <c r="K724" s="218" t="s">
        <v>9398</v>
      </c>
      <c r="L724" s="218">
        <v>15113.0</v>
      </c>
      <c r="M724" s="218">
        <v>168105.0</v>
      </c>
      <c r="N724" s="218">
        <v>1.0E8</v>
      </c>
      <c r="O724" s="218">
        <v>339039.0</v>
      </c>
      <c r="P724" s="218" t="s">
        <v>9731</v>
      </c>
      <c r="Q724" s="222">
        <v>2.0</v>
      </c>
      <c r="R724" s="222">
        <v>-2.0</v>
      </c>
      <c r="S724" s="222">
        <v>0.0</v>
      </c>
      <c r="U724" s="218">
        <v>0.0</v>
      </c>
      <c r="AB724" t="e">
        <v>#N/A</v>
      </c>
    </row>
    <row r="725">
      <c r="A725" s="218" t="s">
        <v>9371</v>
      </c>
      <c r="C725" s="218" t="s">
        <v>11143</v>
      </c>
      <c r="F725" s="457">
        <v>44123.0</v>
      </c>
      <c r="G725" s="218">
        <v>0.0</v>
      </c>
      <c r="H725" s="218">
        <v>401093.0</v>
      </c>
      <c r="I725" s="218" t="s">
        <v>9375</v>
      </c>
      <c r="J725" s="218" t="s">
        <v>9333</v>
      </c>
      <c r="K725" s="218" t="s">
        <v>9398</v>
      </c>
      <c r="L725" s="218">
        <v>15113.0</v>
      </c>
      <c r="M725" s="218">
        <v>168105.0</v>
      </c>
      <c r="N725" s="218">
        <v>1.0E8</v>
      </c>
      <c r="O725" s="218">
        <v>339014.0</v>
      </c>
      <c r="P725" s="218" t="s">
        <v>9374</v>
      </c>
      <c r="Q725" s="222">
        <v>35000.0</v>
      </c>
      <c r="R725" s="222">
        <v>-35000.0</v>
      </c>
      <c r="S725" s="222">
        <v>0.0</v>
      </c>
      <c r="U725" s="222">
        <v>0.0</v>
      </c>
      <c r="AB725" t="e">
        <v>#N/A</v>
      </c>
    </row>
    <row r="726">
      <c r="A726" s="218" t="s">
        <v>9371</v>
      </c>
      <c r="C726" s="218" t="s">
        <v>11144</v>
      </c>
      <c r="F726" s="457">
        <v>44123.0</v>
      </c>
      <c r="G726" s="218">
        <v>0.0</v>
      </c>
      <c r="H726" s="218">
        <v>401093.0</v>
      </c>
      <c r="I726" s="218" t="s">
        <v>9377</v>
      </c>
      <c r="J726" s="218" t="s">
        <v>9333</v>
      </c>
      <c r="K726" s="218" t="s">
        <v>9398</v>
      </c>
      <c r="L726" s="218">
        <v>15113.0</v>
      </c>
      <c r="M726" s="218">
        <v>168105.0</v>
      </c>
      <c r="N726" s="218">
        <v>1.0E8</v>
      </c>
      <c r="O726" s="218">
        <v>339093.0</v>
      </c>
      <c r="P726" s="218" t="s">
        <v>9374</v>
      </c>
      <c r="Q726" s="222">
        <v>154063.97</v>
      </c>
      <c r="R726" s="222">
        <v>-154063.97</v>
      </c>
      <c r="S726" s="222">
        <v>0.0</v>
      </c>
      <c r="U726" s="222">
        <v>0.0</v>
      </c>
      <c r="AB726" t="e">
        <v>#N/A</v>
      </c>
    </row>
    <row r="727">
      <c r="A727" s="218" t="s">
        <v>9371</v>
      </c>
      <c r="C727" s="218" t="s">
        <v>11145</v>
      </c>
      <c r="F727" s="457">
        <v>44123.0</v>
      </c>
      <c r="G727" s="218">
        <v>0.0</v>
      </c>
      <c r="H727" s="218">
        <v>401093.0</v>
      </c>
      <c r="I727" s="218" t="s">
        <v>9383</v>
      </c>
      <c r="J727" s="218" t="s">
        <v>9333</v>
      </c>
      <c r="K727" s="218" t="s">
        <v>9398</v>
      </c>
      <c r="L727" s="218">
        <v>15113.0</v>
      </c>
      <c r="M727" s="218">
        <v>168097.0</v>
      </c>
      <c r="N727" s="218">
        <v>1.0E8</v>
      </c>
      <c r="O727" s="218">
        <v>339036.0</v>
      </c>
      <c r="P727" s="218" t="s">
        <v>9374</v>
      </c>
      <c r="Q727" s="222">
        <v>180000.0</v>
      </c>
      <c r="R727" s="222">
        <v>-180000.0</v>
      </c>
      <c r="S727" s="218">
        <v>0.0</v>
      </c>
      <c r="U727" s="218">
        <v>0.0</v>
      </c>
      <c r="AB727" t="e">
        <v>#N/A</v>
      </c>
    </row>
    <row r="728">
      <c r="A728" s="218" t="s">
        <v>9371</v>
      </c>
      <c r="C728" s="218" t="s">
        <v>11146</v>
      </c>
      <c r="F728" s="457">
        <v>44123.0</v>
      </c>
      <c r="G728" s="218">
        <v>0.0</v>
      </c>
      <c r="H728" s="218">
        <v>401093.0</v>
      </c>
      <c r="I728" s="218" t="s">
        <v>9385</v>
      </c>
      <c r="J728" s="218" t="s">
        <v>9341</v>
      </c>
      <c r="K728" s="218" t="s">
        <v>9398</v>
      </c>
      <c r="L728" s="218">
        <v>15113.0</v>
      </c>
      <c r="M728" s="218">
        <v>168097.0</v>
      </c>
      <c r="N728" s="218">
        <v>1.0E8</v>
      </c>
      <c r="O728" s="218">
        <v>339147.0</v>
      </c>
      <c r="P728" s="218" t="s">
        <v>9374</v>
      </c>
      <c r="Q728" s="222">
        <v>570000.0</v>
      </c>
      <c r="R728" s="222">
        <v>-570000.0</v>
      </c>
      <c r="S728" s="222">
        <v>0.0</v>
      </c>
      <c r="U728" s="218">
        <v>0.0</v>
      </c>
      <c r="AB728" t="e">
        <v>#N/A</v>
      </c>
    </row>
    <row r="729">
      <c r="A729" s="218" t="s">
        <v>781</v>
      </c>
      <c r="C729" s="218" t="s">
        <v>11147</v>
      </c>
      <c r="F729" s="457">
        <v>44123.0</v>
      </c>
      <c r="G729" s="218">
        <v>0.0</v>
      </c>
      <c r="H729" s="218">
        <v>401092.0</v>
      </c>
      <c r="I729" s="218" t="s">
        <v>9772</v>
      </c>
      <c r="J729" s="218" t="s">
        <v>9773</v>
      </c>
      <c r="K729" s="218" t="s">
        <v>9904</v>
      </c>
      <c r="L729" s="218">
        <v>15113.0</v>
      </c>
      <c r="M729" s="218">
        <v>168105.0</v>
      </c>
      <c r="N729" s="218">
        <v>1.0E8</v>
      </c>
      <c r="O729" s="218">
        <v>339039.0</v>
      </c>
      <c r="P729" s="218" t="s">
        <v>9775</v>
      </c>
      <c r="Q729" s="222">
        <v>4845.93</v>
      </c>
      <c r="R729" s="222">
        <v>4845.93</v>
      </c>
      <c r="S729" s="222">
        <v>0.0</v>
      </c>
      <c r="U729" s="218">
        <v>0.0</v>
      </c>
      <c r="X729" s="218">
        <v>1.51132020000112E14</v>
      </c>
      <c r="AB729" t="e">
        <v>#N/A</v>
      </c>
    </row>
    <row r="730">
      <c r="A730" s="218" t="s">
        <v>781</v>
      </c>
      <c r="C730" s="218" t="s">
        <v>11148</v>
      </c>
      <c r="F730" s="457">
        <v>44123.0</v>
      </c>
      <c r="G730" s="218">
        <v>0.0</v>
      </c>
      <c r="H730" s="218">
        <v>401092.0</v>
      </c>
      <c r="I730" s="218" t="s">
        <v>10488</v>
      </c>
      <c r="J730" s="218" t="s">
        <v>10489</v>
      </c>
      <c r="K730" s="218" t="s">
        <v>9904</v>
      </c>
      <c r="L730" s="218">
        <v>15113.0</v>
      </c>
      <c r="M730" s="218">
        <v>168105.0</v>
      </c>
      <c r="N730" s="218">
        <v>1.0E8</v>
      </c>
      <c r="O730" s="218">
        <v>339039.0</v>
      </c>
      <c r="P730" s="218" t="s">
        <v>10491</v>
      </c>
      <c r="Q730" s="222">
        <v>7000.0</v>
      </c>
      <c r="R730" s="222">
        <v>7000.0</v>
      </c>
      <c r="S730" s="222">
        <v>0.0</v>
      </c>
      <c r="U730" s="218">
        <v>0.0</v>
      </c>
      <c r="X730" s="218">
        <v>1.51132020000149E14</v>
      </c>
      <c r="AB730" t="e">
        <v>#N/A</v>
      </c>
    </row>
    <row r="731">
      <c r="A731" s="218" t="s">
        <v>781</v>
      </c>
      <c r="C731" s="218" t="s">
        <v>11149</v>
      </c>
      <c r="F731" s="457">
        <v>44123.0</v>
      </c>
      <c r="G731" s="218">
        <v>0.0</v>
      </c>
      <c r="H731" s="218">
        <v>401092.0</v>
      </c>
      <c r="I731" s="218" t="s">
        <v>10492</v>
      </c>
      <c r="J731" s="218" t="s">
        <v>10489</v>
      </c>
      <c r="K731" s="218" t="s">
        <v>9904</v>
      </c>
      <c r="L731" s="218">
        <v>15113.0</v>
      </c>
      <c r="M731" s="218">
        <v>168105.0</v>
      </c>
      <c r="N731" s="218">
        <v>1.0E8</v>
      </c>
      <c r="O731" s="218">
        <v>339030.0</v>
      </c>
      <c r="P731" s="218" t="s">
        <v>10491</v>
      </c>
      <c r="Q731" s="222">
        <v>5000.0</v>
      </c>
      <c r="R731" s="222">
        <v>5000.0</v>
      </c>
      <c r="S731" s="222">
        <v>0.0</v>
      </c>
      <c r="U731" s="218">
        <v>0.0</v>
      </c>
      <c r="X731" s="218">
        <v>1.51132020000132E14</v>
      </c>
      <c r="AB731" t="e">
        <v>#N/A</v>
      </c>
    </row>
    <row r="732">
      <c r="A732" s="218" t="s">
        <v>787</v>
      </c>
      <c r="C732" s="218" t="s">
        <v>11150</v>
      </c>
      <c r="F732" s="457">
        <v>44123.0</v>
      </c>
      <c r="G732" s="218">
        <v>1.0</v>
      </c>
      <c r="H732" s="218">
        <v>401091.0</v>
      </c>
      <c r="J732" s="218" t="s">
        <v>10681</v>
      </c>
      <c r="K732" s="218" t="s">
        <v>11125</v>
      </c>
      <c r="L732" s="218">
        <v>15113.0</v>
      </c>
      <c r="M732" s="218">
        <v>168108.0</v>
      </c>
      <c r="N732" s="218">
        <v>1.0E8</v>
      </c>
      <c r="O732" s="218">
        <v>339039.0</v>
      </c>
      <c r="P732" s="218" t="s">
        <v>11151</v>
      </c>
      <c r="Q732" s="222">
        <v>966.0</v>
      </c>
      <c r="R732" s="222">
        <v>966.0</v>
      </c>
      <c r="S732" s="222">
        <v>966.0</v>
      </c>
      <c r="U732" s="222">
        <v>0.0</v>
      </c>
      <c r="X732" s="218">
        <v>1.51132020000066E14</v>
      </c>
      <c r="AB732" t="e">
        <v>#N/A</v>
      </c>
    </row>
    <row r="733">
      <c r="A733" s="218" t="s">
        <v>781</v>
      </c>
      <c r="C733" s="218" t="s">
        <v>11152</v>
      </c>
      <c r="F733" s="457">
        <v>44124.0</v>
      </c>
      <c r="G733" s="218">
        <v>0.0</v>
      </c>
      <c r="H733" s="218">
        <v>401093.0</v>
      </c>
      <c r="I733" s="218" t="s">
        <v>10633</v>
      </c>
      <c r="J733" s="218" t="s">
        <v>9917</v>
      </c>
      <c r="K733" s="218" t="s">
        <v>9398</v>
      </c>
      <c r="L733" s="218">
        <v>15113.0</v>
      </c>
      <c r="M733" s="218">
        <v>168105.0</v>
      </c>
      <c r="N733" s="218">
        <v>1.0E8</v>
      </c>
      <c r="O733" s="218">
        <v>339039.0</v>
      </c>
      <c r="P733" s="218" t="s">
        <v>9915</v>
      </c>
      <c r="Q733" s="222">
        <v>690.0</v>
      </c>
      <c r="R733" s="222">
        <v>-690.0</v>
      </c>
      <c r="S733" s="218">
        <v>0.0</v>
      </c>
      <c r="U733" s="218">
        <v>0.0</v>
      </c>
      <c r="AB733" t="e">
        <v>#N/A</v>
      </c>
    </row>
    <row r="734">
      <c r="A734" s="218" t="s">
        <v>787</v>
      </c>
      <c r="C734" s="218" t="s">
        <v>11153</v>
      </c>
      <c r="F734" s="457">
        <v>44124.0</v>
      </c>
      <c r="G734" s="218">
        <v>1.0</v>
      </c>
      <c r="H734" s="218">
        <v>401091.0</v>
      </c>
      <c r="J734" s="218" t="s">
        <v>11154</v>
      </c>
      <c r="K734" s="218" t="s">
        <v>11125</v>
      </c>
      <c r="L734" s="218">
        <v>15113.0</v>
      </c>
      <c r="M734" s="218">
        <v>168108.0</v>
      </c>
      <c r="N734" s="218">
        <v>1.0E8</v>
      </c>
      <c r="O734" s="218">
        <v>339039.0</v>
      </c>
      <c r="P734" s="218" t="s">
        <v>11155</v>
      </c>
      <c r="Q734" s="222">
        <v>490.0</v>
      </c>
      <c r="R734" s="222">
        <v>490.0</v>
      </c>
      <c r="S734" s="218">
        <v>490.0</v>
      </c>
      <c r="U734" s="218">
        <v>490.0</v>
      </c>
      <c r="X734" s="218">
        <v>1.51132020000066E14</v>
      </c>
      <c r="AB734" t="e">
        <v>#N/A</v>
      </c>
    </row>
    <row r="735">
      <c r="A735" s="218" t="s">
        <v>787</v>
      </c>
      <c r="C735" s="218" t="s">
        <v>11156</v>
      </c>
      <c r="F735" s="457">
        <v>44124.0</v>
      </c>
      <c r="G735" s="218">
        <v>1.0</v>
      </c>
      <c r="H735" s="218">
        <v>401091.0</v>
      </c>
      <c r="J735" s="218" t="s">
        <v>10517</v>
      </c>
      <c r="K735" s="218" t="s">
        <v>11125</v>
      </c>
      <c r="L735" s="218">
        <v>15113.0</v>
      </c>
      <c r="M735" s="218">
        <v>168108.0</v>
      </c>
      <c r="N735" s="218">
        <v>1.0E8</v>
      </c>
      <c r="O735" s="218">
        <v>339039.0</v>
      </c>
      <c r="P735" s="218" t="s">
        <v>11157</v>
      </c>
      <c r="Q735" s="222">
        <v>460.0</v>
      </c>
      <c r="R735" s="222">
        <v>460.0</v>
      </c>
      <c r="S735" s="218">
        <v>460.0</v>
      </c>
      <c r="U735" s="218">
        <v>0.0</v>
      </c>
      <c r="X735" s="218">
        <v>1.51132020000066E14</v>
      </c>
      <c r="AB735" t="e">
        <v>#N/A</v>
      </c>
    </row>
    <row r="736">
      <c r="A736" s="218" t="s">
        <v>787</v>
      </c>
      <c r="C736" s="218" t="s">
        <v>11158</v>
      </c>
      <c r="F736" s="457">
        <v>44124.0</v>
      </c>
      <c r="G736" s="218">
        <v>1.0</v>
      </c>
      <c r="H736" s="218">
        <v>401091.0</v>
      </c>
      <c r="J736" s="218" t="s">
        <v>11154</v>
      </c>
      <c r="K736" s="218" t="s">
        <v>11125</v>
      </c>
      <c r="L736" s="218">
        <v>15113.0</v>
      </c>
      <c r="M736" s="218">
        <v>168108.0</v>
      </c>
      <c r="N736" s="218">
        <v>1.0E8</v>
      </c>
      <c r="O736" s="218">
        <v>339039.0</v>
      </c>
      <c r="P736" s="218" t="s">
        <v>11159</v>
      </c>
      <c r="Q736" s="222">
        <v>299.0</v>
      </c>
      <c r="R736" s="222">
        <v>299.0</v>
      </c>
      <c r="S736" s="222">
        <v>299.0</v>
      </c>
      <c r="U736" s="218">
        <v>299.0</v>
      </c>
      <c r="X736" s="218">
        <v>1.51132020000066E14</v>
      </c>
      <c r="AB736" t="e">
        <v>#N/A</v>
      </c>
    </row>
    <row r="737">
      <c r="A737" s="218" t="s">
        <v>9430</v>
      </c>
      <c r="C737" s="218" t="s">
        <v>11160</v>
      </c>
      <c r="F737" s="457">
        <v>44125.0</v>
      </c>
      <c r="G737" s="218">
        <v>1.0</v>
      </c>
      <c r="H737" s="218">
        <v>401091.0</v>
      </c>
      <c r="J737" s="218" t="s">
        <v>10302</v>
      </c>
      <c r="K737" s="218" t="s">
        <v>11161</v>
      </c>
      <c r="L737" s="218">
        <v>15113.0</v>
      </c>
      <c r="M737" s="218">
        <v>168105.0</v>
      </c>
      <c r="N737" s="218">
        <v>1.0E8</v>
      </c>
      <c r="O737" s="218">
        <v>339047.0</v>
      </c>
      <c r="P737" s="218" t="s">
        <v>11162</v>
      </c>
      <c r="Q737" s="222">
        <v>184.47</v>
      </c>
      <c r="R737" s="222">
        <v>184.47</v>
      </c>
      <c r="S737" s="218">
        <v>184.47</v>
      </c>
      <c r="U737" s="218">
        <v>0.0</v>
      </c>
      <c r="X737" s="218">
        <v>1.51132020000073E14</v>
      </c>
      <c r="AB737" t="e">
        <v>#N/A</v>
      </c>
    </row>
    <row r="738">
      <c r="A738" s="218" t="s">
        <v>781</v>
      </c>
      <c r="C738" s="218" t="s">
        <v>11163</v>
      </c>
      <c r="F738" s="457">
        <v>44126.0</v>
      </c>
      <c r="G738" s="218">
        <v>0.0</v>
      </c>
      <c r="H738" s="218">
        <v>401092.0</v>
      </c>
      <c r="I738" s="218" t="s">
        <v>9772</v>
      </c>
      <c r="J738" s="218" t="s">
        <v>9773</v>
      </c>
      <c r="K738" s="218" t="s">
        <v>9904</v>
      </c>
      <c r="L738" s="218">
        <v>15113.0</v>
      </c>
      <c r="M738" s="218">
        <v>168105.0</v>
      </c>
      <c r="N738" s="218">
        <v>1.0E8</v>
      </c>
      <c r="O738" s="218">
        <v>339039.0</v>
      </c>
      <c r="P738" s="218" t="s">
        <v>9775</v>
      </c>
      <c r="Q738" s="222">
        <v>958.07</v>
      </c>
      <c r="R738" s="222">
        <v>958.07</v>
      </c>
      <c r="S738" s="218">
        <v>0.0</v>
      </c>
      <c r="U738" s="218">
        <v>0.0</v>
      </c>
      <c r="X738" s="218">
        <v>1.51132020000112E14</v>
      </c>
      <c r="AB738" t="e">
        <v>#N/A</v>
      </c>
    </row>
    <row r="739">
      <c r="A739" s="218" t="s">
        <v>116</v>
      </c>
      <c r="C739" s="218" t="s">
        <v>11164</v>
      </c>
      <c r="F739" s="457">
        <v>44127.0</v>
      </c>
      <c r="G739" s="218">
        <v>1.0</v>
      </c>
      <c r="H739" s="218">
        <v>401091.0</v>
      </c>
      <c r="J739" s="218" t="s">
        <v>11165</v>
      </c>
      <c r="K739" s="218" t="s">
        <v>11166</v>
      </c>
      <c r="L739" s="218">
        <v>15113.0</v>
      </c>
      <c r="M739" s="218">
        <v>168105.0</v>
      </c>
      <c r="N739" s="218">
        <v>1.0E8</v>
      </c>
      <c r="O739" s="218">
        <v>339030.0</v>
      </c>
      <c r="P739" s="218" t="s">
        <v>11167</v>
      </c>
      <c r="Q739" s="222">
        <v>28618.24</v>
      </c>
      <c r="R739" s="222">
        <v>28618.24</v>
      </c>
      <c r="S739" s="218">
        <v>0.0</v>
      </c>
      <c r="U739" s="218">
        <v>0.0</v>
      </c>
      <c r="X739" s="218">
        <v>1.51132020000005E14</v>
      </c>
      <c r="AB739" t="e">
        <v>#N/A</v>
      </c>
    </row>
    <row r="740">
      <c r="A740" s="218" t="s">
        <v>116</v>
      </c>
      <c r="C740" s="218" t="s">
        <v>11168</v>
      </c>
      <c r="F740" s="457">
        <v>44127.0</v>
      </c>
      <c r="G740" s="218">
        <v>0.0</v>
      </c>
      <c r="H740" s="218">
        <v>401093.0</v>
      </c>
      <c r="I740" s="218" t="s">
        <v>11164</v>
      </c>
      <c r="J740" s="218" t="s">
        <v>11165</v>
      </c>
      <c r="K740" s="218" t="s">
        <v>9398</v>
      </c>
      <c r="L740" s="218">
        <v>15113.0</v>
      </c>
      <c r="M740" s="218">
        <v>168105.0</v>
      </c>
      <c r="N740" s="218">
        <v>1.0E8</v>
      </c>
      <c r="O740" s="218">
        <v>339030.0</v>
      </c>
      <c r="P740" s="218" t="s">
        <v>11167</v>
      </c>
      <c r="Q740" s="222">
        <v>28618.24</v>
      </c>
      <c r="R740" s="222">
        <v>-28618.24</v>
      </c>
      <c r="S740" s="222">
        <v>0.0</v>
      </c>
      <c r="U740" s="218">
        <v>0.0</v>
      </c>
      <c r="AB740" t="e">
        <v>#N/A</v>
      </c>
    </row>
    <row r="741">
      <c r="A741" s="218" t="s">
        <v>116</v>
      </c>
      <c r="C741" s="218" t="s">
        <v>11169</v>
      </c>
      <c r="F741" s="457">
        <v>44127.0</v>
      </c>
      <c r="G741" s="218">
        <v>1.0</v>
      </c>
      <c r="H741" s="218">
        <v>401091.0</v>
      </c>
      <c r="J741" s="218" t="s">
        <v>11165</v>
      </c>
      <c r="K741" s="218" t="s">
        <v>11170</v>
      </c>
      <c r="L741" s="218">
        <v>15113.0</v>
      </c>
      <c r="M741" s="218">
        <v>168105.0</v>
      </c>
      <c r="N741" s="218">
        <v>1.0E8</v>
      </c>
      <c r="O741" s="218">
        <v>339030.0</v>
      </c>
      <c r="P741" s="218" t="s">
        <v>11167</v>
      </c>
      <c r="Q741" s="222">
        <v>28618.24</v>
      </c>
      <c r="R741" s="222">
        <v>28618.24</v>
      </c>
      <c r="S741" s="222">
        <v>28618.24</v>
      </c>
      <c r="U741" s="218">
        <v>0.0</v>
      </c>
      <c r="X741" s="218">
        <v>1.51132020000005E14</v>
      </c>
      <c r="AB741" t="e">
        <v>#N/A</v>
      </c>
    </row>
    <row r="742">
      <c r="A742" s="218" t="s">
        <v>781</v>
      </c>
      <c r="C742" s="218" t="s">
        <v>11171</v>
      </c>
      <c r="F742" s="457">
        <v>44130.0</v>
      </c>
      <c r="G742" s="218">
        <v>0.0</v>
      </c>
      <c r="H742" s="218">
        <v>401093.0</v>
      </c>
      <c r="I742" s="218" t="s">
        <v>9492</v>
      </c>
      <c r="J742" s="218" t="s">
        <v>9489</v>
      </c>
      <c r="K742" s="218" t="s">
        <v>9398</v>
      </c>
      <c r="L742" s="218">
        <v>15113.0</v>
      </c>
      <c r="M742" s="218">
        <v>168105.0</v>
      </c>
      <c r="N742" s="218">
        <v>1.0E8</v>
      </c>
      <c r="O742" s="218">
        <v>339047.0</v>
      </c>
      <c r="P742" s="218" t="s">
        <v>9491</v>
      </c>
      <c r="Q742" s="218">
        <v>370.0</v>
      </c>
      <c r="R742" s="218">
        <v>-370.0</v>
      </c>
      <c r="S742" s="218">
        <v>0.0</v>
      </c>
      <c r="U742" s="218">
        <v>0.0</v>
      </c>
      <c r="AB742" t="e">
        <v>#N/A</v>
      </c>
    </row>
    <row r="743">
      <c r="A743" s="218" t="s">
        <v>781</v>
      </c>
      <c r="C743" s="218" t="s">
        <v>11172</v>
      </c>
      <c r="F743" s="457">
        <v>44130.0</v>
      </c>
      <c r="G743" s="218">
        <v>0.0</v>
      </c>
      <c r="H743" s="218">
        <v>401093.0</v>
      </c>
      <c r="I743" s="218" t="s">
        <v>9488</v>
      </c>
      <c r="J743" s="218" t="s">
        <v>9489</v>
      </c>
      <c r="K743" s="218" t="s">
        <v>9398</v>
      </c>
      <c r="L743" s="218">
        <v>15113.0</v>
      </c>
      <c r="M743" s="218">
        <v>168105.0</v>
      </c>
      <c r="N743" s="218">
        <v>1.0E8</v>
      </c>
      <c r="O743" s="218">
        <v>339039.0</v>
      </c>
      <c r="P743" s="218" t="s">
        <v>9491</v>
      </c>
      <c r="Q743" s="222">
        <v>7000.0</v>
      </c>
      <c r="R743" s="222">
        <v>-7000.0</v>
      </c>
      <c r="S743" s="222">
        <v>0.0</v>
      </c>
      <c r="U743" s="222">
        <v>0.0</v>
      </c>
      <c r="AB743" t="e">
        <v>#N/A</v>
      </c>
    </row>
    <row r="744">
      <c r="A744" s="218" t="s">
        <v>781</v>
      </c>
      <c r="C744" s="218" t="s">
        <v>11173</v>
      </c>
      <c r="F744" s="457">
        <v>44130.0</v>
      </c>
      <c r="G744" s="218">
        <v>0.0</v>
      </c>
      <c r="H744" s="218">
        <v>401093.0</v>
      </c>
      <c r="I744" s="218" t="s">
        <v>9519</v>
      </c>
      <c r="J744" s="218" t="s">
        <v>9516</v>
      </c>
      <c r="K744" s="218" t="s">
        <v>9398</v>
      </c>
      <c r="L744" s="218">
        <v>15113.0</v>
      </c>
      <c r="M744" s="218">
        <v>168105.0</v>
      </c>
      <c r="N744" s="218">
        <v>1.0E8</v>
      </c>
      <c r="O744" s="218">
        <v>339047.0</v>
      </c>
      <c r="P744" s="218" t="s">
        <v>9518</v>
      </c>
      <c r="Q744" s="222">
        <v>28.0</v>
      </c>
      <c r="R744" s="222">
        <v>-28.0</v>
      </c>
      <c r="S744" s="218">
        <v>0.0</v>
      </c>
      <c r="U744" s="218">
        <v>0.0</v>
      </c>
      <c r="AB744" t="e">
        <v>#N/A</v>
      </c>
    </row>
    <row r="745">
      <c r="A745" s="218" t="s">
        <v>781</v>
      </c>
      <c r="C745" s="218" t="s">
        <v>11174</v>
      </c>
      <c r="F745" s="457">
        <v>44130.0</v>
      </c>
      <c r="G745" s="218">
        <v>0.0</v>
      </c>
      <c r="H745" s="218">
        <v>401093.0</v>
      </c>
      <c r="I745" s="218" t="s">
        <v>9515</v>
      </c>
      <c r="J745" s="218" t="s">
        <v>9516</v>
      </c>
      <c r="K745" s="218" t="s">
        <v>9398</v>
      </c>
      <c r="L745" s="218">
        <v>15113.0</v>
      </c>
      <c r="M745" s="218">
        <v>168105.0</v>
      </c>
      <c r="N745" s="218">
        <v>1.0E8</v>
      </c>
      <c r="O745" s="218">
        <v>339039.0</v>
      </c>
      <c r="P745" s="218" t="s">
        <v>9518</v>
      </c>
      <c r="Q745" s="222">
        <v>1300.0</v>
      </c>
      <c r="R745" s="222">
        <v>-1300.0</v>
      </c>
      <c r="S745" s="222">
        <v>0.0</v>
      </c>
      <c r="U745" s="218">
        <v>0.0</v>
      </c>
      <c r="AB745" t="e">
        <v>#N/A</v>
      </c>
    </row>
    <row r="746">
      <c r="A746" s="218" t="s">
        <v>781</v>
      </c>
      <c r="C746" s="218" t="s">
        <v>11175</v>
      </c>
      <c r="F746" s="457">
        <v>44130.0</v>
      </c>
      <c r="G746" s="218">
        <v>0.0</v>
      </c>
      <c r="H746" s="218">
        <v>401092.0</v>
      </c>
      <c r="I746" s="218" t="s">
        <v>9546</v>
      </c>
      <c r="J746" s="218" t="s">
        <v>9547</v>
      </c>
      <c r="K746" s="218" t="s">
        <v>9904</v>
      </c>
      <c r="L746" s="218">
        <v>15113.0</v>
      </c>
      <c r="M746" s="218">
        <v>168105.0</v>
      </c>
      <c r="N746" s="218">
        <v>1.0E8</v>
      </c>
      <c r="O746" s="218">
        <v>339039.0</v>
      </c>
      <c r="P746" s="218" t="s">
        <v>9549</v>
      </c>
      <c r="Q746" s="222">
        <v>759.0</v>
      </c>
      <c r="R746" s="222">
        <v>759.0</v>
      </c>
      <c r="S746" s="222">
        <v>0.0</v>
      </c>
      <c r="U746" s="218">
        <v>0.0</v>
      </c>
      <c r="X746" s="218">
        <v>1.51132020000169E14</v>
      </c>
      <c r="AB746" t="e">
        <v>#N/A</v>
      </c>
    </row>
    <row r="747">
      <c r="A747" s="218" t="s">
        <v>781</v>
      </c>
      <c r="C747" s="218" t="s">
        <v>11176</v>
      </c>
      <c r="F747" s="457">
        <v>44130.0</v>
      </c>
      <c r="G747" s="218">
        <v>0.0</v>
      </c>
      <c r="H747" s="218">
        <v>401093.0</v>
      </c>
      <c r="I747" s="218" t="s">
        <v>9606</v>
      </c>
      <c r="J747" s="218" t="s">
        <v>9607</v>
      </c>
      <c r="K747" s="218" t="s">
        <v>9398</v>
      </c>
      <c r="L747" s="218">
        <v>15113.0</v>
      </c>
      <c r="M747" s="218">
        <v>168105.0</v>
      </c>
      <c r="N747" s="218">
        <v>1.0E8</v>
      </c>
      <c r="O747" s="218">
        <v>339039.0</v>
      </c>
      <c r="P747" s="218" t="s">
        <v>9609</v>
      </c>
      <c r="Q747" s="222">
        <v>8000.0</v>
      </c>
      <c r="R747" s="222">
        <v>-8000.0</v>
      </c>
      <c r="S747" s="218">
        <v>0.0</v>
      </c>
      <c r="U747" s="218">
        <v>0.0</v>
      </c>
      <c r="AB747" t="e">
        <v>#N/A</v>
      </c>
    </row>
    <row r="748">
      <c r="A748" s="218" t="s">
        <v>781</v>
      </c>
      <c r="C748" s="218" t="s">
        <v>11177</v>
      </c>
      <c r="F748" s="457">
        <v>44130.0</v>
      </c>
      <c r="G748" s="218">
        <v>0.0</v>
      </c>
      <c r="H748" s="218">
        <v>401092.0</v>
      </c>
      <c r="I748" s="218" t="s">
        <v>9502</v>
      </c>
      <c r="J748" s="218" t="s">
        <v>9432</v>
      </c>
      <c r="K748" s="218" t="s">
        <v>9904</v>
      </c>
      <c r="L748" s="218">
        <v>15113.0</v>
      </c>
      <c r="M748" s="218">
        <v>168105.0</v>
      </c>
      <c r="N748" s="218">
        <v>1.0E8</v>
      </c>
      <c r="O748" s="218">
        <v>339039.0</v>
      </c>
      <c r="P748" s="218" t="s">
        <v>9504</v>
      </c>
      <c r="Q748" s="222">
        <v>300.0</v>
      </c>
      <c r="R748" s="222">
        <v>300.0</v>
      </c>
      <c r="S748" s="218">
        <v>0.0</v>
      </c>
      <c r="U748" s="218">
        <v>0.0</v>
      </c>
      <c r="X748" s="218">
        <v>1.51132020000157E14</v>
      </c>
      <c r="AB748" t="e">
        <v>#N/A</v>
      </c>
    </row>
    <row r="749">
      <c r="A749" s="218" t="s">
        <v>781</v>
      </c>
      <c r="C749" s="218" t="s">
        <v>11178</v>
      </c>
      <c r="F749" s="457">
        <v>44130.0</v>
      </c>
      <c r="G749" s="218">
        <v>0.0</v>
      </c>
      <c r="H749" s="218">
        <v>401092.0</v>
      </c>
      <c r="I749" s="218" t="s">
        <v>9550</v>
      </c>
      <c r="J749" s="218" t="s">
        <v>9543</v>
      </c>
      <c r="K749" s="218" t="s">
        <v>9904</v>
      </c>
      <c r="L749" s="218">
        <v>15113.0</v>
      </c>
      <c r="M749" s="218">
        <v>168105.0</v>
      </c>
      <c r="N749" s="218">
        <v>1.0E8</v>
      </c>
      <c r="O749" s="218">
        <v>339039.0</v>
      </c>
      <c r="P749" s="218" t="s">
        <v>9552</v>
      </c>
      <c r="Q749" s="222">
        <v>2208.0</v>
      </c>
      <c r="R749" s="222">
        <v>2208.0</v>
      </c>
      <c r="S749" s="222">
        <v>0.0</v>
      </c>
      <c r="U749" s="218">
        <v>0.0</v>
      </c>
      <c r="X749" s="218">
        <v>1.51132020000156E14</v>
      </c>
      <c r="AB749" t="e">
        <v>#N/A</v>
      </c>
    </row>
    <row r="750">
      <c r="A750" s="218" t="s">
        <v>781</v>
      </c>
      <c r="C750" s="218" t="s">
        <v>11179</v>
      </c>
      <c r="F750" s="457">
        <v>44130.0</v>
      </c>
      <c r="G750" s="218">
        <v>0.0</v>
      </c>
      <c r="H750" s="218">
        <v>401092.0</v>
      </c>
      <c r="I750" s="218" t="s">
        <v>9633</v>
      </c>
      <c r="J750" s="218" t="s">
        <v>9543</v>
      </c>
      <c r="K750" s="218" t="s">
        <v>9904</v>
      </c>
      <c r="L750" s="218">
        <v>15113.0</v>
      </c>
      <c r="M750" s="218">
        <v>168105.0</v>
      </c>
      <c r="N750" s="218">
        <v>1.0E8</v>
      </c>
      <c r="O750" s="218">
        <v>339039.0</v>
      </c>
      <c r="P750" s="218" t="s">
        <v>9635</v>
      </c>
      <c r="Q750" s="222">
        <v>448.95</v>
      </c>
      <c r="R750" s="222">
        <v>448.95</v>
      </c>
      <c r="S750" s="222">
        <v>0.0</v>
      </c>
      <c r="U750" s="218">
        <v>0.0</v>
      </c>
      <c r="X750" s="218">
        <v>1.51132020000156E14</v>
      </c>
      <c r="AB750" t="e">
        <v>#N/A</v>
      </c>
    </row>
    <row r="751">
      <c r="A751" s="218" t="s">
        <v>781</v>
      </c>
      <c r="C751" s="218" t="s">
        <v>11180</v>
      </c>
      <c r="F751" s="457">
        <v>44130.0</v>
      </c>
      <c r="G751" s="218">
        <v>0.0</v>
      </c>
      <c r="H751" s="218">
        <v>401093.0</v>
      </c>
      <c r="I751" s="218" t="s">
        <v>9629</v>
      </c>
      <c r="J751" s="218" t="s">
        <v>9630</v>
      </c>
      <c r="K751" s="218" t="s">
        <v>9398</v>
      </c>
      <c r="L751" s="218">
        <v>15113.0</v>
      </c>
      <c r="M751" s="218">
        <v>168105.0</v>
      </c>
      <c r="N751" s="218">
        <v>1.0E8</v>
      </c>
      <c r="O751" s="218">
        <v>339039.0</v>
      </c>
      <c r="P751" s="218" t="s">
        <v>9632</v>
      </c>
      <c r="Q751" s="222">
        <v>218.84</v>
      </c>
      <c r="R751" s="222">
        <v>-218.84</v>
      </c>
      <c r="S751" s="222">
        <v>0.0</v>
      </c>
      <c r="U751" s="218">
        <v>0.0</v>
      </c>
      <c r="AB751" t="e">
        <v>#N/A</v>
      </c>
    </row>
    <row r="752">
      <c r="A752" s="218" t="s">
        <v>781</v>
      </c>
      <c r="C752" s="218" t="s">
        <v>11181</v>
      </c>
      <c r="F752" s="457">
        <v>44130.0</v>
      </c>
      <c r="G752" s="218">
        <v>0.0</v>
      </c>
      <c r="H752" s="218">
        <v>401093.0</v>
      </c>
      <c r="I752" s="218" t="s">
        <v>9636</v>
      </c>
      <c r="J752" s="218" t="s">
        <v>9637</v>
      </c>
      <c r="K752" s="218" t="s">
        <v>9398</v>
      </c>
      <c r="L752" s="218">
        <v>15113.0</v>
      </c>
      <c r="M752" s="218">
        <v>168105.0</v>
      </c>
      <c r="N752" s="218">
        <v>1.0E8</v>
      </c>
      <c r="O752" s="218">
        <v>339039.0</v>
      </c>
      <c r="P752" s="218" t="s">
        <v>9639</v>
      </c>
      <c r="Q752" s="222">
        <v>4700.0</v>
      </c>
      <c r="R752" s="222">
        <v>-4700.0</v>
      </c>
      <c r="S752" s="222">
        <v>0.0</v>
      </c>
      <c r="U752" s="218">
        <v>0.0</v>
      </c>
      <c r="AB752" t="e">
        <v>#N/A</v>
      </c>
    </row>
    <row r="753">
      <c r="A753" s="218" t="s">
        <v>781</v>
      </c>
      <c r="C753" s="218" t="s">
        <v>11182</v>
      </c>
      <c r="F753" s="457">
        <v>44130.0</v>
      </c>
      <c r="G753" s="218">
        <v>0.0</v>
      </c>
      <c r="H753" s="218">
        <v>401093.0</v>
      </c>
      <c r="I753" s="218" t="s">
        <v>9640</v>
      </c>
      <c r="J753" s="218" t="s">
        <v>9641</v>
      </c>
      <c r="K753" s="218" t="s">
        <v>9398</v>
      </c>
      <c r="L753" s="218">
        <v>15113.0</v>
      </c>
      <c r="M753" s="218">
        <v>168105.0</v>
      </c>
      <c r="N753" s="218">
        <v>1.0E8</v>
      </c>
      <c r="O753" s="218">
        <v>339039.0</v>
      </c>
      <c r="P753" s="218" t="s">
        <v>9639</v>
      </c>
      <c r="Q753" s="222">
        <v>5500.0</v>
      </c>
      <c r="R753" s="222">
        <v>-5500.0</v>
      </c>
      <c r="S753" s="222">
        <v>0.0</v>
      </c>
      <c r="U753" s="218">
        <v>0.0</v>
      </c>
      <c r="AB753" t="e">
        <v>#N/A</v>
      </c>
    </row>
    <row r="754">
      <c r="A754" s="218" t="s">
        <v>781</v>
      </c>
      <c r="C754" s="218" t="s">
        <v>11183</v>
      </c>
      <c r="F754" s="457">
        <v>44130.0</v>
      </c>
      <c r="G754" s="218">
        <v>0.0</v>
      </c>
      <c r="H754" s="218">
        <v>401093.0</v>
      </c>
      <c r="I754" s="218" t="s">
        <v>9646</v>
      </c>
      <c r="J754" s="218" t="s">
        <v>9647</v>
      </c>
      <c r="K754" s="218" t="s">
        <v>9398</v>
      </c>
      <c r="L754" s="218">
        <v>15113.0</v>
      </c>
      <c r="M754" s="218">
        <v>168105.0</v>
      </c>
      <c r="N754" s="218">
        <v>1.0E8</v>
      </c>
      <c r="O754" s="218">
        <v>339039.0</v>
      </c>
      <c r="P754" s="218" t="s">
        <v>9639</v>
      </c>
      <c r="Q754" s="222">
        <v>100.41</v>
      </c>
      <c r="R754" s="222">
        <v>-100.41</v>
      </c>
      <c r="S754" s="218">
        <v>0.0</v>
      </c>
      <c r="U754" s="218">
        <v>0.0</v>
      </c>
      <c r="AB754" t="e">
        <v>#N/A</v>
      </c>
    </row>
    <row r="755">
      <c r="A755" s="218" t="s">
        <v>781</v>
      </c>
      <c r="C755" s="218" t="s">
        <v>11184</v>
      </c>
      <c r="F755" s="457">
        <v>44130.0</v>
      </c>
      <c r="G755" s="218">
        <v>0.0</v>
      </c>
      <c r="H755" s="218">
        <v>401093.0</v>
      </c>
      <c r="I755" s="218" t="s">
        <v>9879</v>
      </c>
      <c r="J755" s="218" t="s">
        <v>9871</v>
      </c>
      <c r="K755" s="218" t="s">
        <v>9398</v>
      </c>
      <c r="L755" s="218">
        <v>15113.0</v>
      </c>
      <c r="M755" s="218">
        <v>168105.0</v>
      </c>
      <c r="N755" s="218">
        <v>1.0E8</v>
      </c>
      <c r="O755" s="218">
        <v>339039.0</v>
      </c>
      <c r="P755" s="218" t="s">
        <v>9873</v>
      </c>
      <c r="Q755" s="222">
        <v>6369.08</v>
      </c>
      <c r="R755" s="222">
        <v>-6369.08</v>
      </c>
      <c r="S755" s="222">
        <v>0.0</v>
      </c>
      <c r="U755" s="222">
        <v>0.0</v>
      </c>
      <c r="AB755" t="e">
        <v>#N/A</v>
      </c>
    </row>
    <row r="756">
      <c r="A756" s="218" t="s">
        <v>781</v>
      </c>
      <c r="C756" s="218" t="s">
        <v>11185</v>
      </c>
      <c r="F756" s="457">
        <v>44130.0</v>
      </c>
      <c r="G756" s="218">
        <v>0.0</v>
      </c>
      <c r="H756" s="218">
        <v>401093.0</v>
      </c>
      <c r="I756" s="218" t="s">
        <v>9521</v>
      </c>
      <c r="J756" s="218" t="s">
        <v>9522</v>
      </c>
      <c r="K756" s="218" t="s">
        <v>9398</v>
      </c>
      <c r="L756" s="218">
        <v>15113.0</v>
      </c>
      <c r="M756" s="218">
        <v>168105.0</v>
      </c>
      <c r="N756" s="218">
        <v>1.0E8</v>
      </c>
      <c r="O756" s="218">
        <v>339039.0</v>
      </c>
      <c r="P756" s="218" t="s">
        <v>9524</v>
      </c>
      <c r="Q756" s="222">
        <v>1200.0</v>
      </c>
      <c r="R756" s="222">
        <v>-1200.0</v>
      </c>
      <c r="S756" s="222">
        <v>0.0</v>
      </c>
      <c r="U756" s="222">
        <v>0.0</v>
      </c>
      <c r="AB756" t="e">
        <v>#N/A</v>
      </c>
    </row>
    <row r="757">
      <c r="A757" s="218" t="s">
        <v>781</v>
      </c>
      <c r="C757" s="218" t="s">
        <v>11186</v>
      </c>
      <c r="F757" s="457">
        <v>44130.0</v>
      </c>
      <c r="G757" s="218">
        <v>0.0</v>
      </c>
      <c r="H757" s="218">
        <v>401093.0</v>
      </c>
      <c r="I757" s="218" t="s">
        <v>9509</v>
      </c>
      <c r="J757" s="218" t="s">
        <v>9510</v>
      </c>
      <c r="K757" s="218" t="s">
        <v>9398</v>
      </c>
      <c r="L757" s="218">
        <v>15113.0</v>
      </c>
      <c r="M757" s="218">
        <v>168105.0</v>
      </c>
      <c r="N757" s="218">
        <v>1.0E8</v>
      </c>
      <c r="O757" s="218">
        <v>339039.0</v>
      </c>
      <c r="P757" s="218" t="s">
        <v>9512</v>
      </c>
      <c r="Q757" s="222">
        <v>400.0</v>
      </c>
      <c r="R757" s="222">
        <v>-400.0</v>
      </c>
      <c r="S757" s="222">
        <v>0.0</v>
      </c>
      <c r="U757" s="222">
        <v>0.0</v>
      </c>
      <c r="AB757" t="e">
        <v>#N/A</v>
      </c>
    </row>
    <row r="758">
      <c r="A758" s="218" t="s">
        <v>781</v>
      </c>
      <c r="C758" s="218" t="s">
        <v>11187</v>
      </c>
      <c r="F758" s="457">
        <v>44130.0</v>
      </c>
      <c r="G758" s="218">
        <v>0.0</v>
      </c>
      <c r="H758" s="218">
        <v>401093.0</v>
      </c>
      <c r="I758" s="218" t="s">
        <v>9479</v>
      </c>
      <c r="J758" s="218" t="s">
        <v>9476</v>
      </c>
      <c r="K758" s="218" t="s">
        <v>9398</v>
      </c>
      <c r="L758" s="218">
        <v>15113.0</v>
      </c>
      <c r="M758" s="218">
        <v>168105.0</v>
      </c>
      <c r="N758" s="218">
        <v>1.0E8</v>
      </c>
      <c r="O758" s="218">
        <v>339039.0</v>
      </c>
      <c r="P758" s="218" t="s">
        <v>9478</v>
      </c>
      <c r="Q758" s="222">
        <v>1000.0</v>
      </c>
      <c r="R758" s="222">
        <v>-1000.0</v>
      </c>
      <c r="S758" s="222">
        <v>0.0</v>
      </c>
      <c r="U758" s="222">
        <v>0.0</v>
      </c>
      <c r="AB758" t="e">
        <v>#N/A</v>
      </c>
    </row>
    <row r="759">
      <c r="A759" s="218" t="s">
        <v>781</v>
      </c>
      <c r="C759" s="218" t="s">
        <v>11188</v>
      </c>
      <c r="F759" s="457">
        <v>44130.0</v>
      </c>
      <c r="G759" s="218">
        <v>0.0</v>
      </c>
      <c r="H759" s="218">
        <v>401093.0</v>
      </c>
      <c r="I759" s="218" t="s">
        <v>9505</v>
      </c>
      <c r="J759" s="218" t="s">
        <v>9506</v>
      </c>
      <c r="K759" s="218" t="s">
        <v>9398</v>
      </c>
      <c r="L759" s="218">
        <v>15113.0</v>
      </c>
      <c r="M759" s="218">
        <v>168105.0</v>
      </c>
      <c r="N759" s="218">
        <v>1.0E8</v>
      </c>
      <c r="O759" s="218">
        <v>339039.0</v>
      </c>
      <c r="P759" s="218" t="s">
        <v>9508</v>
      </c>
      <c r="Q759" s="222">
        <v>150.0</v>
      </c>
      <c r="R759" s="222">
        <v>-150.0</v>
      </c>
      <c r="S759" s="222">
        <v>0.0</v>
      </c>
      <c r="U759" s="222">
        <v>0.0</v>
      </c>
      <c r="AB759" t="e">
        <v>#N/A</v>
      </c>
    </row>
    <row r="760">
      <c r="A760" s="218" t="s">
        <v>781</v>
      </c>
      <c r="C760" s="218" t="s">
        <v>11189</v>
      </c>
      <c r="F760" s="457">
        <v>44130.0</v>
      </c>
      <c r="G760" s="218">
        <v>0.0</v>
      </c>
      <c r="H760" s="218">
        <v>401093.0</v>
      </c>
      <c r="I760" s="218" t="s">
        <v>10772</v>
      </c>
      <c r="J760" s="218" t="s">
        <v>10773</v>
      </c>
      <c r="K760" s="218" t="s">
        <v>9398</v>
      </c>
      <c r="L760" s="218">
        <v>15113.0</v>
      </c>
      <c r="M760" s="218">
        <v>168105.0</v>
      </c>
      <c r="N760" s="218">
        <v>1.0E8</v>
      </c>
      <c r="O760" s="218">
        <v>339039.0</v>
      </c>
      <c r="P760" s="218" t="s">
        <v>10775</v>
      </c>
      <c r="Q760" s="222">
        <v>500.0</v>
      </c>
      <c r="R760" s="222">
        <v>-500.0</v>
      </c>
      <c r="S760" s="222">
        <v>0.0</v>
      </c>
      <c r="U760" s="222">
        <v>0.0</v>
      </c>
      <c r="AB760" t="e">
        <v>#N/A</v>
      </c>
    </row>
    <row r="761">
      <c r="A761" s="218" t="s">
        <v>781</v>
      </c>
      <c r="C761" s="218" t="s">
        <v>11190</v>
      </c>
      <c r="F761" s="457">
        <v>44130.0</v>
      </c>
      <c r="G761" s="218">
        <v>0.0</v>
      </c>
      <c r="H761" s="218">
        <v>401093.0</v>
      </c>
      <c r="I761" s="218" t="s">
        <v>9800</v>
      </c>
      <c r="J761" s="218" t="s">
        <v>9697</v>
      </c>
      <c r="K761" s="218" t="s">
        <v>9398</v>
      </c>
      <c r="L761" s="218">
        <v>15113.0</v>
      </c>
      <c r="M761" s="218">
        <v>168105.0</v>
      </c>
      <c r="N761" s="218">
        <v>1.27E8</v>
      </c>
      <c r="O761" s="218">
        <v>339039.0</v>
      </c>
      <c r="P761" s="218" t="s">
        <v>9802</v>
      </c>
      <c r="Q761" s="222">
        <v>200000.0</v>
      </c>
      <c r="R761" s="222">
        <v>-200000.0</v>
      </c>
      <c r="S761" s="222">
        <v>0.0</v>
      </c>
      <c r="U761" s="222">
        <v>0.0</v>
      </c>
      <c r="AB761" t="e">
        <v>#N/A</v>
      </c>
    </row>
    <row r="762">
      <c r="A762" s="218" t="s">
        <v>781</v>
      </c>
      <c r="C762" s="218" t="s">
        <v>11191</v>
      </c>
      <c r="F762" s="457">
        <v>44130.0</v>
      </c>
      <c r="G762" s="218">
        <v>0.0</v>
      </c>
      <c r="H762" s="218">
        <v>401093.0</v>
      </c>
      <c r="I762" s="218" t="s">
        <v>9426</v>
      </c>
      <c r="J762" s="218" t="s">
        <v>9427</v>
      </c>
      <c r="K762" s="218" t="s">
        <v>9398</v>
      </c>
      <c r="L762" s="218">
        <v>15113.0</v>
      </c>
      <c r="M762" s="218">
        <v>168105.0</v>
      </c>
      <c r="N762" s="218">
        <v>1.0E8</v>
      </c>
      <c r="O762" s="218">
        <v>339039.0</v>
      </c>
      <c r="P762" s="218" t="s">
        <v>9429</v>
      </c>
      <c r="Q762" s="222">
        <v>8000.0</v>
      </c>
      <c r="R762" s="222">
        <v>-8000.0</v>
      </c>
      <c r="S762" s="218">
        <v>0.0</v>
      </c>
      <c r="U762" s="218">
        <v>0.0</v>
      </c>
      <c r="AB762" t="e">
        <v>#N/A</v>
      </c>
    </row>
    <row r="763">
      <c r="A763" s="218" t="s">
        <v>9371</v>
      </c>
      <c r="C763" s="218" t="s">
        <v>11192</v>
      </c>
      <c r="F763" s="457">
        <v>44131.0</v>
      </c>
      <c r="G763" s="218">
        <v>1.0</v>
      </c>
      <c r="H763" s="218">
        <v>401091.0</v>
      </c>
      <c r="J763" s="218" t="s">
        <v>9590</v>
      </c>
      <c r="K763" s="218" t="s">
        <v>11193</v>
      </c>
      <c r="L763" s="218">
        <v>71103.0</v>
      </c>
      <c r="M763" s="218">
        <v>90162.0</v>
      </c>
      <c r="N763" s="218">
        <v>1.0E8</v>
      </c>
      <c r="O763" s="218">
        <v>319091.0</v>
      </c>
      <c r="P763" s="218" t="s">
        <v>11194</v>
      </c>
      <c r="Q763" s="222">
        <v>171483.6</v>
      </c>
      <c r="R763" s="222">
        <v>171483.6</v>
      </c>
      <c r="S763" s="222">
        <v>171483.6</v>
      </c>
      <c r="U763" s="218">
        <v>0.0</v>
      </c>
      <c r="X763" s="218">
        <v>1.51132020000204E14</v>
      </c>
      <c r="AB763" t="e">
        <v>#N/A</v>
      </c>
    </row>
    <row r="764">
      <c r="A764" s="218" t="s">
        <v>9371</v>
      </c>
      <c r="C764" s="218" t="s">
        <v>11195</v>
      </c>
      <c r="F764" s="457">
        <v>44131.0</v>
      </c>
      <c r="G764" s="218">
        <v>0.0</v>
      </c>
      <c r="H764" s="218">
        <v>401093.0</v>
      </c>
      <c r="I764" s="218" t="s">
        <v>9377</v>
      </c>
      <c r="J764" s="218" t="s">
        <v>9333</v>
      </c>
      <c r="K764" s="218" t="s">
        <v>9398</v>
      </c>
      <c r="L764" s="218">
        <v>15113.0</v>
      </c>
      <c r="M764" s="218">
        <v>168105.0</v>
      </c>
      <c r="N764" s="218">
        <v>1.0E8</v>
      </c>
      <c r="O764" s="218">
        <v>339093.0</v>
      </c>
      <c r="P764" s="218" t="s">
        <v>9374</v>
      </c>
      <c r="Q764" s="222">
        <v>2571.42</v>
      </c>
      <c r="R764" s="222">
        <v>-2571.42</v>
      </c>
      <c r="S764" s="218">
        <v>0.0</v>
      </c>
      <c r="U764" s="218">
        <v>0.0</v>
      </c>
      <c r="AB764" t="e">
        <v>#N/A</v>
      </c>
    </row>
    <row r="765">
      <c r="A765" s="218" t="s">
        <v>9371</v>
      </c>
      <c r="C765" s="218" t="s">
        <v>11196</v>
      </c>
      <c r="F765" s="457">
        <v>44131.0</v>
      </c>
      <c r="G765" s="218">
        <v>0.0</v>
      </c>
      <c r="H765" s="218">
        <v>401092.0</v>
      </c>
      <c r="I765" s="218" t="s">
        <v>9377</v>
      </c>
      <c r="J765" s="218" t="s">
        <v>9333</v>
      </c>
      <c r="K765" s="218" t="s">
        <v>9904</v>
      </c>
      <c r="L765" s="218">
        <v>15113.0</v>
      </c>
      <c r="M765" s="218">
        <v>168105.0</v>
      </c>
      <c r="N765" s="218">
        <v>1.0E8</v>
      </c>
      <c r="O765" s="218">
        <v>339093.0</v>
      </c>
      <c r="P765" s="218" t="s">
        <v>9374</v>
      </c>
      <c r="Q765" s="222">
        <v>2571.42</v>
      </c>
      <c r="R765" s="222">
        <v>2571.42</v>
      </c>
      <c r="S765" s="222">
        <v>0.0</v>
      </c>
      <c r="U765" s="222">
        <v>0.0</v>
      </c>
      <c r="X765" s="218">
        <v>1.51132020000056E14</v>
      </c>
      <c r="AB765" t="e">
        <v>#N/A</v>
      </c>
    </row>
    <row r="766">
      <c r="A766" s="218" t="s">
        <v>781</v>
      </c>
      <c r="C766" s="218" t="s">
        <v>11197</v>
      </c>
      <c r="F766" s="457">
        <v>44131.0</v>
      </c>
      <c r="G766" s="218">
        <v>0.0</v>
      </c>
      <c r="H766" s="218">
        <v>401092.0</v>
      </c>
      <c r="I766" s="218" t="s">
        <v>9992</v>
      </c>
      <c r="J766" s="218" t="s">
        <v>9594</v>
      </c>
      <c r="K766" s="218" t="s">
        <v>9904</v>
      </c>
      <c r="L766" s="218">
        <v>15113.0</v>
      </c>
      <c r="M766" s="218">
        <v>168105.0</v>
      </c>
      <c r="N766" s="218">
        <v>1.0E8</v>
      </c>
      <c r="O766" s="218">
        <v>339039.0</v>
      </c>
      <c r="P766" s="218" t="s">
        <v>9994</v>
      </c>
      <c r="Q766" s="222">
        <v>1011.0</v>
      </c>
      <c r="R766" s="222">
        <v>1011.0</v>
      </c>
      <c r="S766" s="222">
        <v>0.0</v>
      </c>
      <c r="U766" s="218">
        <v>0.0</v>
      </c>
      <c r="X766" s="218">
        <v>1.51132020000156E14</v>
      </c>
      <c r="AB766" t="e">
        <v>#N/A</v>
      </c>
    </row>
    <row r="767">
      <c r="A767" s="218" t="s">
        <v>781</v>
      </c>
      <c r="C767" s="218" t="s">
        <v>11198</v>
      </c>
      <c r="F767" s="457">
        <v>44131.0</v>
      </c>
      <c r="G767" s="218">
        <v>0.0</v>
      </c>
      <c r="H767" s="218">
        <v>401093.0</v>
      </c>
      <c r="I767" s="218" t="s">
        <v>9604</v>
      </c>
      <c r="J767" s="218" t="s">
        <v>9601</v>
      </c>
      <c r="K767" s="218" t="s">
        <v>9398</v>
      </c>
      <c r="L767" s="218">
        <v>15113.0</v>
      </c>
      <c r="M767" s="218">
        <v>168105.0</v>
      </c>
      <c r="N767" s="218">
        <v>1.0E8</v>
      </c>
      <c r="O767" s="218">
        <v>339039.0</v>
      </c>
      <c r="P767" s="218" t="s">
        <v>9603</v>
      </c>
      <c r="Q767" s="222">
        <v>5128.4</v>
      </c>
      <c r="R767" s="222">
        <v>-5128.4</v>
      </c>
      <c r="S767" s="222">
        <v>0.0</v>
      </c>
      <c r="U767" s="222">
        <v>0.0</v>
      </c>
      <c r="AB767" t="e">
        <v>#N/A</v>
      </c>
    </row>
    <row r="768">
      <c r="A768" s="218" t="s">
        <v>781</v>
      </c>
      <c r="C768" s="218" t="s">
        <v>11199</v>
      </c>
      <c r="F768" s="457">
        <v>44131.0</v>
      </c>
      <c r="G768" s="218">
        <v>0.0</v>
      </c>
      <c r="H768" s="218">
        <v>401093.0</v>
      </c>
      <c r="I768" s="218" t="s">
        <v>9600</v>
      </c>
      <c r="J768" s="218" t="s">
        <v>9601</v>
      </c>
      <c r="K768" s="218" t="s">
        <v>9398</v>
      </c>
      <c r="L768" s="218">
        <v>15113.0</v>
      </c>
      <c r="M768" s="218">
        <v>168105.0</v>
      </c>
      <c r="N768" s="218">
        <v>1.0E8</v>
      </c>
      <c r="O768" s="218">
        <v>339030.0</v>
      </c>
      <c r="P768" s="218" t="s">
        <v>9603</v>
      </c>
      <c r="Q768" s="222">
        <v>4370.0</v>
      </c>
      <c r="R768" s="222">
        <v>-4370.0</v>
      </c>
      <c r="S768" s="222">
        <v>0.0</v>
      </c>
      <c r="U768" s="218">
        <v>0.0</v>
      </c>
      <c r="AB768" t="e">
        <v>#N/A</v>
      </c>
    </row>
    <row r="769">
      <c r="A769" s="218" t="s">
        <v>781</v>
      </c>
      <c r="C769" s="218" t="s">
        <v>11200</v>
      </c>
      <c r="F769" s="457">
        <v>44131.0</v>
      </c>
      <c r="G769" s="218">
        <v>0.0</v>
      </c>
      <c r="H769" s="218">
        <v>401093.0</v>
      </c>
      <c r="I769" s="218" t="s">
        <v>9621</v>
      </c>
      <c r="J769" s="218" t="s">
        <v>9622</v>
      </c>
      <c r="K769" s="218" t="s">
        <v>9398</v>
      </c>
      <c r="L769" s="218">
        <v>15113.0</v>
      </c>
      <c r="M769" s="218">
        <v>168105.0</v>
      </c>
      <c r="N769" s="218">
        <v>1.0E8</v>
      </c>
      <c r="O769" s="218">
        <v>339039.0</v>
      </c>
      <c r="P769" s="218" t="s">
        <v>9624</v>
      </c>
      <c r="Q769" s="222">
        <v>209.37</v>
      </c>
      <c r="R769" s="222">
        <v>-209.37</v>
      </c>
      <c r="S769" s="222">
        <v>0.0</v>
      </c>
      <c r="U769" s="218">
        <v>0.0</v>
      </c>
      <c r="AB769" t="e">
        <v>#N/A</v>
      </c>
    </row>
    <row r="770">
      <c r="A770" s="218" t="s">
        <v>781</v>
      </c>
      <c r="C770" s="218" t="s">
        <v>11201</v>
      </c>
      <c r="F770" s="457">
        <v>44131.0</v>
      </c>
      <c r="G770" s="218">
        <v>0.0</v>
      </c>
      <c r="H770" s="218">
        <v>401093.0</v>
      </c>
      <c r="I770" s="218" t="s">
        <v>9746</v>
      </c>
      <c r="J770" s="218" t="s">
        <v>9747</v>
      </c>
      <c r="K770" s="218" t="s">
        <v>9398</v>
      </c>
      <c r="L770" s="218">
        <v>15113.0</v>
      </c>
      <c r="M770" s="218">
        <v>168105.0</v>
      </c>
      <c r="N770" s="218">
        <v>1.0E8</v>
      </c>
      <c r="O770" s="218">
        <v>339030.0</v>
      </c>
      <c r="P770" s="218" t="s">
        <v>9749</v>
      </c>
      <c r="Q770" s="222">
        <v>35000.0</v>
      </c>
      <c r="R770" s="222">
        <v>-35000.0</v>
      </c>
      <c r="S770" s="218">
        <v>0.0</v>
      </c>
      <c r="U770" s="218">
        <v>0.0</v>
      </c>
      <c r="AB770" t="e">
        <v>#N/A</v>
      </c>
    </row>
    <row r="771">
      <c r="A771" s="218" t="s">
        <v>781</v>
      </c>
      <c r="C771" s="218" t="s">
        <v>11202</v>
      </c>
      <c r="F771" s="457">
        <v>44131.0</v>
      </c>
      <c r="G771" s="218">
        <v>0.0</v>
      </c>
      <c r="H771" s="218">
        <v>401093.0</v>
      </c>
      <c r="I771" s="218" t="s">
        <v>10285</v>
      </c>
      <c r="J771" s="218" t="s">
        <v>9582</v>
      </c>
      <c r="K771" s="218" t="s">
        <v>9398</v>
      </c>
      <c r="L771" s="218">
        <v>15113.0</v>
      </c>
      <c r="M771" s="218">
        <v>168105.0</v>
      </c>
      <c r="N771" s="218">
        <v>1.0E8</v>
      </c>
      <c r="O771" s="218">
        <v>339039.0</v>
      </c>
      <c r="P771" s="218" t="s">
        <v>10287</v>
      </c>
      <c r="Q771" s="222">
        <v>620.0</v>
      </c>
      <c r="R771" s="222">
        <v>-620.0</v>
      </c>
      <c r="S771" s="218">
        <v>0.0</v>
      </c>
      <c r="U771" s="218">
        <v>0.0</v>
      </c>
      <c r="AB771" t="e">
        <v>#N/A</v>
      </c>
    </row>
    <row r="772">
      <c r="A772" s="218" t="s">
        <v>781</v>
      </c>
      <c r="C772" s="218" t="s">
        <v>11203</v>
      </c>
      <c r="F772" s="457">
        <v>44131.0</v>
      </c>
      <c r="G772" s="218">
        <v>0.0</v>
      </c>
      <c r="H772" s="218">
        <v>401093.0</v>
      </c>
      <c r="I772" s="218" t="s">
        <v>9625</v>
      </c>
      <c r="J772" s="218" t="s">
        <v>9626</v>
      </c>
      <c r="K772" s="218" t="s">
        <v>9398</v>
      </c>
      <c r="L772" s="218">
        <v>15113.0</v>
      </c>
      <c r="M772" s="218">
        <v>168105.0</v>
      </c>
      <c r="N772" s="218">
        <v>1.0E8</v>
      </c>
      <c r="O772" s="218">
        <v>339039.0</v>
      </c>
      <c r="P772" s="218" t="s">
        <v>9628</v>
      </c>
      <c r="Q772" s="222">
        <v>895.93</v>
      </c>
      <c r="R772" s="222">
        <v>-895.93</v>
      </c>
      <c r="S772" s="222">
        <v>0.0</v>
      </c>
      <c r="U772" s="218">
        <v>0.0</v>
      </c>
      <c r="AB772" t="e">
        <v>#N/A</v>
      </c>
    </row>
    <row r="773">
      <c r="A773" s="218" t="s">
        <v>781</v>
      </c>
      <c r="C773" s="218" t="s">
        <v>11204</v>
      </c>
      <c r="F773" s="457">
        <v>44131.0</v>
      </c>
      <c r="G773" s="218">
        <v>0.0</v>
      </c>
      <c r="H773" s="218">
        <v>401093.0</v>
      </c>
      <c r="I773" s="218" t="s">
        <v>9593</v>
      </c>
      <c r="J773" s="218" t="s">
        <v>9594</v>
      </c>
      <c r="K773" s="218" t="s">
        <v>9398</v>
      </c>
      <c r="L773" s="218">
        <v>15113.0</v>
      </c>
      <c r="M773" s="218">
        <v>168105.0</v>
      </c>
      <c r="N773" s="218">
        <v>1.0E8</v>
      </c>
      <c r="O773" s="218">
        <v>339039.0</v>
      </c>
      <c r="P773" s="218" t="s">
        <v>9596</v>
      </c>
      <c r="Q773" s="222">
        <v>813.0</v>
      </c>
      <c r="R773" s="222">
        <v>-813.0</v>
      </c>
      <c r="S773" s="218">
        <v>0.0</v>
      </c>
      <c r="U773" s="218">
        <v>0.0</v>
      </c>
      <c r="AB773" t="e">
        <v>#N/A</v>
      </c>
    </row>
    <row r="774">
      <c r="A774" s="218" t="s">
        <v>781</v>
      </c>
      <c r="C774" s="218" t="s">
        <v>11205</v>
      </c>
      <c r="F774" s="457">
        <v>44131.0</v>
      </c>
      <c r="G774" s="218">
        <v>0.0</v>
      </c>
      <c r="H774" s="218">
        <v>401093.0</v>
      </c>
      <c r="I774" s="218" t="s">
        <v>9570</v>
      </c>
      <c r="J774" s="218" t="s">
        <v>9571</v>
      </c>
      <c r="K774" s="218" t="s">
        <v>9398</v>
      </c>
      <c r="L774" s="218">
        <v>15113.0</v>
      </c>
      <c r="M774" s="218">
        <v>168105.0</v>
      </c>
      <c r="N774" s="218">
        <v>1.0E8</v>
      </c>
      <c r="O774" s="218">
        <v>339039.0</v>
      </c>
      <c r="P774" s="218" t="s">
        <v>9573</v>
      </c>
      <c r="Q774" s="222">
        <v>578.65</v>
      </c>
      <c r="R774" s="222">
        <v>-578.65</v>
      </c>
      <c r="S774" s="222">
        <v>0.0</v>
      </c>
      <c r="U774" s="222">
        <v>0.0</v>
      </c>
      <c r="AB774" t="e">
        <v>#N/A</v>
      </c>
    </row>
    <row r="775">
      <c r="A775" s="218" t="s">
        <v>781</v>
      </c>
      <c r="C775" s="218" t="s">
        <v>11206</v>
      </c>
      <c r="F775" s="457">
        <v>44131.0</v>
      </c>
      <c r="G775" s="218">
        <v>0.0</v>
      </c>
      <c r="H775" s="218">
        <v>401093.0</v>
      </c>
      <c r="I775" s="218" t="s">
        <v>9464</v>
      </c>
      <c r="J775" s="218" t="s">
        <v>9465</v>
      </c>
      <c r="K775" s="218" t="s">
        <v>9398</v>
      </c>
      <c r="L775" s="218">
        <v>15113.0</v>
      </c>
      <c r="M775" s="218">
        <v>168105.0</v>
      </c>
      <c r="N775" s="218">
        <v>1.0E8</v>
      </c>
      <c r="O775" s="218">
        <v>339036.0</v>
      </c>
      <c r="P775" s="218" t="s">
        <v>9467</v>
      </c>
      <c r="Q775" s="222">
        <v>14181.14</v>
      </c>
      <c r="R775" s="222">
        <v>-14181.14</v>
      </c>
      <c r="S775" s="222">
        <v>0.0</v>
      </c>
      <c r="U775" s="222">
        <v>0.0</v>
      </c>
      <c r="AB775" t="e">
        <v>#N/A</v>
      </c>
    </row>
    <row r="776">
      <c r="A776" s="218" t="s">
        <v>781</v>
      </c>
      <c r="C776" s="218" t="s">
        <v>11207</v>
      </c>
      <c r="F776" s="457">
        <v>44131.0</v>
      </c>
      <c r="G776" s="218">
        <v>0.0</v>
      </c>
      <c r="H776" s="218">
        <v>401093.0</v>
      </c>
      <c r="I776" s="218" t="s">
        <v>9581</v>
      </c>
      <c r="J776" s="218" t="s">
        <v>9582</v>
      </c>
      <c r="K776" s="218" t="s">
        <v>9398</v>
      </c>
      <c r="L776" s="218">
        <v>15113.0</v>
      </c>
      <c r="M776" s="218">
        <v>168105.0</v>
      </c>
      <c r="N776" s="218">
        <v>1.0E8</v>
      </c>
      <c r="O776" s="218">
        <v>339039.0</v>
      </c>
      <c r="P776" s="218" t="s">
        <v>9584</v>
      </c>
      <c r="Q776" s="222">
        <v>660.32</v>
      </c>
      <c r="R776" s="222">
        <v>-660.32</v>
      </c>
      <c r="S776" s="222">
        <v>0.0</v>
      </c>
      <c r="U776" s="222">
        <v>0.0</v>
      </c>
      <c r="AB776" t="e">
        <v>#N/A</v>
      </c>
    </row>
    <row r="777">
      <c r="A777" s="218" t="s">
        <v>781</v>
      </c>
      <c r="C777" s="218" t="s">
        <v>11208</v>
      </c>
      <c r="F777" s="456">
        <v>44131.0</v>
      </c>
      <c r="G777" s="218">
        <v>0.0</v>
      </c>
      <c r="H777" s="218">
        <v>401093.0</v>
      </c>
      <c r="I777" s="218" t="s">
        <v>9619</v>
      </c>
      <c r="J777" s="218" t="s">
        <v>9601</v>
      </c>
      <c r="K777" s="218" t="s">
        <v>9398</v>
      </c>
      <c r="L777" s="218">
        <v>15113.0</v>
      </c>
      <c r="M777" s="218">
        <v>168105.0</v>
      </c>
      <c r="N777" s="218">
        <v>1.0E8</v>
      </c>
      <c r="O777" s="218">
        <v>339039.0</v>
      </c>
      <c r="P777" s="218" t="s">
        <v>9618</v>
      </c>
      <c r="Q777" s="222">
        <v>340.0</v>
      </c>
      <c r="R777" s="222">
        <v>-340.0</v>
      </c>
      <c r="S777" s="218">
        <v>0.0</v>
      </c>
      <c r="U777" s="218">
        <v>0.0</v>
      </c>
      <c r="AB777" t="e">
        <v>#N/A</v>
      </c>
    </row>
    <row r="778">
      <c r="A778" s="218" t="s">
        <v>781</v>
      </c>
      <c r="C778" s="218" t="s">
        <v>11209</v>
      </c>
      <c r="F778" s="456">
        <v>44131.0</v>
      </c>
      <c r="G778" s="218">
        <v>0.0</v>
      </c>
      <c r="H778" s="218">
        <v>401093.0</v>
      </c>
      <c r="I778" s="218" t="s">
        <v>9616</v>
      </c>
      <c r="J778" s="218" t="s">
        <v>9601</v>
      </c>
      <c r="K778" s="218" t="s">
        <v>9398</v>
      </c>
      <c r="L778" s="218">
        <v>15113.0</v>
      </c>
      <c r="M778" s="218">
        <v>168105.0</v>
      </c>
      <c r="N778" s="218">
        <v>1.0E8</v>
      </c>
      <c r="O778" s="218">
        <v>339030.0</v>
      </c>
      <c r="P778" s="218" t="s">
        <v>9618</v>
      </c>
      <c r="Q778" s="222">
        <v>500.0</v>
      </c>
      <c r="R778" s="222">
        <v>-500.0</v>
      </c>
      <c r="S778" s="218">
        <v>0.0</v>
      </c>
      <c r="U778" s="218">
        <v>0.0</v>
      </c>
      <c r="AB778" t="e">
        <v>#N/A</v>
      </c>
    </row>
    <row r="779">
      <c r="A779" s="218" t="s">
        <v>781</v>
      </c>
      <c r="C779" s="218" t="s">
        <v>11210</v>
      </c>
      <c r="F779" s="456">
        <v>44131.0</v>
      </c>
      <c r="G779" s="218">
        <v>0.0</v>
      </c>
      <c r="H779" s="218">
        <v>401093.0</v>
      </c>
      <c r="I779" s="218" t="s">
        <v>9559</v>
      </c>
      <c r="J779" s="218" t="s">
        <v>9560</v>
      </c>
      <c r="K779" s="218" t="s">
        <v>9398</v>
      </c>
      <c r="L779" s="218">
        <v>15113.0</v>
      </c>
      <c r="M779" s="218">
        <v>168105.0</v>
      </c>
      <c r="N779" s="218">
        <v>1.0E8</v>
      </c>
      <c r="O779" s="218">
        <v>339039.0</v>
      </c>
      <c r="P779" s="218" t="s">
        <v>9562</v>
      </c>
      <c r="Q779" s="222">
        <v>6790.66</v>
      </c>
      <c r="R779" s="222">
        <v>-6790.66</v>
      </c>
      <c r="S779" s="218">
        <v>0.0</v>
      </c>
      <c r="U779" s="218">
        <v>0.0</v>
      </c>
      <c r="AB779" t="e">
        <v>#N/A</v>
      </c>
    </row>
    <row r="780">
      <c r="A780" s="218" t="s">
        <v>781</v>
      </c>
      <c r="C780" s="218" t="s">
        <v>11211</v>
      </c>
      <c r="F780" s="456">
        <v>44131.0</v>
      </c>
      <c r="G780" s="218">
        <v>0.0</v>
      </c>
      <c r="H780" s="218">
        <v>401093.0</v>
      </c>
      <c r="I780" s="218" t="s">
        <v>9471</v>
      </c>
      <c r="J780" s="218" t="s">
        <v>9472</v>
      </c>
      <c r="K780" s="218" t="s">
        <v>9398</v>
      </c>
      <c r="L780" s="218">
        <v>15113.0</v>
      </c>
      <c r="M780" s="218">
        <v>168105.0</v>
      </c>
      <c r="N780" s="218">
        <v>1.0E8</v>
      </c>
      <c r="O780" s="218">
        <v>339039.0</v>
      </c>
      <c r="P780" s="218" t="s">
        <v>9474</v>
      </c>
      <c r="Q780" s="222">
        <v>10000.0</v>
      </c>
      <c r="R780" s="222">
        <v>-10000.0</v>
      </c>
      <c r="S780" s="218">
        <v>0.0</v>
      </c>
      <c r="U780" s="218">
        <v>0.0</v>
      </c>
      <c r="AB780" t="e">
        <v>#N/A</v>
      </c>
    </row>
    <row r="781">
      <c r="A781" s="218" t="s">
        <v>781</v>
      </c>
      <c r="C781" s="218" t="s">
        <v>11212</v>
      </c>
      <c r="F781" s="456">
        <v>44131.0</v>
      </c>
      <c r="G781" s="218">
        <v>0.0</v>
      </c>
      <c r="H781" s="218">
        <v>401093.0</v>
      </c>
      <c r="I781" s="218" t="s">
        <v>9422</v>
      </c>
      <c r="J781" s="218" t="s">
        <v>9423</v>
      </c>
      <c r="K781" s="218" t="s">
        <v>9398</v>
      </c>
      <c r="L781" s="218">
        <v>15113.0</v>
      </c>
      <c r="M781" s="218">
        <v>168105.0</v>
      </c>
      <c r="N781" s="218">
        <v>1.0E8</v>
      </c>
      <c r="O781" s="218">
        <v>339030.0</v>
      </c>
      <c r="P781" s="218" t="s">
        <v>9425</v>
      </c>
      <c r="Q781" s="222">
        <v>20000.0</v>
      </c>
      <c r="R781" s="222">
        <v>-20000.0</v>
      </c>
      <c r="S781" s="222">
        <v>0.0</v>
      </c>
      <c r="U781" s="222">
        <v>0.0</v>
      </c>
      <c r="AB781" t="e">
        <v>#N/A</v>
      </c>
    </row>
    <row r="782">
      <c r="A782" s="218" t="s">
        <v>781</v>
      </c>
      <c r="C782" s="218" t="s">
        <v>11213</v>
      </c>
      <c r="F782" s="456">
        <v>44131.0</v>
      </c>
      <c r="G782" s="218">
        <v>0.0</v>
      </c>
      <c r="H782" s="218">
        <v>401093.0</v>
      </c>
      <c r="I782" s="218" t="s">
        <v>9563</v>
      </c>
      <c r="J782" s="218" t="s">
        <v>9564</v>
      </c>
      <c r="K782" s="218" t="s">
        <v>9398</v>
      </c>
      <c r="L782" s="218">
        <v>15113.0</v>
      </c>
      <c r="M782" s="218">
        <v>168105.0</v>
      </c>
      <c r="N782" s="218">
        <v>1.0E8</v>
      </c>
      <c r="O782" s="218">
        <v>339039.0</v>
      </c>
      <c r="P782" s="218" t="s">
        <v>9566</v>
      </c>
      <c r="Q782" s="222">
        <v>700.0</v>
      </c>
      <c r="R782" s="222">
        <v>-700.0</v>
      </c>
      <c r="S782" s="222">
        <v>0.0</v>
      </c>
      <c r="U782" s="222">
        <v>0.0</v>
      </c>
      <c r="AB782" t="e">
        <v>#N/A</v>
      </c>
    </row>
    <row r="783">
      <c r="A783" s="218" t="s">
        <v>781</v>
      </c>
      <c r="C783" s="218" t="s">
        <v>11214</v>
      </c>
      <c r="F783" s="456">
        <v>44131.0</v>
      </c>
      <c r="G783" s="218">
        <v>0.0</v>
      </c>
      <c r="H783" s="218">
        <v>401093.0</v>
      </c>
      <c r="I783" s="218" t="s">
        <v>9768</v>
      </c>
      <c r="J783" s="218" t="s">
        <v>9769</v>
      </c>
      <c r="K783" s="218" t="s">
        <v>9398</v>
      </c>
      <c r="L783" s="218">
        <v>15113.0</v>
      </c>
      <c r="M783" s="218">
        <v>168105.0</v>
      </c>
      <c r="N783" s="218">
        <v>1.8115113E8</v>
      </c>
      <c r="O783" s="218">
        <v>339039.0</v>
      </c>
      <c r="P783" s="218" t="s">
        <v>9771</v>
      </c>
      <c r="Q783" s="222">
        <v>23461.68</v>
      </c>
      <c r="R783" s="222">
        <v>-23461.68</v>
      </c>
      <c r="S783" s="218">
        <v>0.0</v>
      </c>
      <c r="U783" s="218">
        <v>0.0</v>
      </c>
      <c r="AB783" t="e">
        <v>#N/A</v>
      </c>
    </row>
    <row r="784">
      <c r="A784" s="218" t="s">
        <v>781</v>
      </c>
      <c r="C784" s="218" t="s">
        <v>11215</v>
      </c>
      <c r="F784" s="456">
        <v>44132.0</v>
      </c>
      <c r="G784" s="218">
        <v>0.0</v>
      </c>
      <c r="H784" s="218">
        <v>401093.0</v>
      </c>
      <c r="I784" s="218" t="s">
        <v>9792</v>
      </c>
      <c r="J784" s="218" t="s">
        <v>9793</v>
      </c>
      <c r="K784" s="218" t="s">
        <v>9398</v>
      </c>
      <c r="L784" s="218">
        <v>15113.0</v>
      </c>
      <c r="M784" s="218">
        <v>168105.0</v>
      </c>
      <c r="N784" s="218">
        <v>1.0E8</v>
      </c>
      <c r="O784" s="218">
        <v>339039.0</v>
      </c>
      <c r="P784" s="218" t="s">
        <v>9795</v>
      </c>
      <c r="Q784" s="222">
        <v>10000.0</v>
      </c>
      <c r="R784" s="222">
        <v>-10000.0</v>
      </c>
      <c r="S784" s="218">
        <v>0.0</v>
      </c>
      <c r="U784" s="218">
        <v>0.0</v>
      </c>
      <c r="AB784" t="e">
        <v>#N/A</v>
      </c>
    </row>
    <row r="785">
      <c r="A785" s="218" t="s">
        <v>781</v>
      </c>
      <c r="C785" s="218" t="s">
        <v>11216</v>
      </c>
      <c r="F785" s="456">
        <v>44132.0</v>
      </c>
      <c r="G785" s="218">
        <v>0.0</v>
      </c>
      <c r="H785" s="218">
        <v>401093.0</v>
      </c>
      <c r="I785" s="218" t="s">
        <v>9557</v>
      </c>
      <c r="J785" s="218" t="s">
        <v>9554</v>
      </c>
      <c r="K785" s="218" t="s">
        <v>9398</v>
      </c>
      <c r="L785" s="218">
        <v>15113.0</v>
      </c>
      <c r="M785" s="218">
        <v>168105.0</v>
      </c>
      <c r="N785" s="218">
        <v>1.0E8</v>
      </c>
      <c r="O785" s="218">
        <v>339039.0</v>
      </c>
      <c r="P785" s="218" t="s">
        <v>9556</v>
      </c>
      <c r="Q785" s="222">
        <v>1099.79</v>
      </c>
      <c r="R785" s="222">
        <v>-1099.79</v>
      </c>
      <c r="S785" s="218">
        <v>0.0</v>
      </c>
      <c r="U785" s="218">
        <v>0.0</v>
      </c>
      <c r="AB785" t="e">
        <v>#N/A</v>
      </c>
    </row>
    <row r="786">
      <c r="A786" s="218" t="s">
        <v>781</v>
      </c>
      <c r="C786" s="218" t="s">
        <v>11217</v>
      </c>
      <c r="F786" s="456">
        <v>44132.0</v>
      </c>
      <c r="G786" s="218">
        <v>0.0</v>
      </c>
      <c r="H786" s="218">
        <v>401093.0</v>
      </c>
      <c r="I786" s="218" t="s">
        <v>9553</v>
      </c>
      <c r="J786" s="218" t="s">
        <v>9554</v>
      </c>
      <c r="K786" s="218" t="s">
        <v>9398</v>
      </c>
      <c r="L786" s="218">
        <v>15113.0</v>
      </c>
      <c r="M786" s="218">
        <v>168105.0</v>
      </c>
      <c r="N786" s="218">
        <v>1.0E8</v>
      </c>
      <c r="O786" s="218">
        <v>339030.0</v>
      </c>
      <c r="P786" s="218" t="s">
        <v>9556</v>
      </c>
      <c r="Q786" s="222">
        <v>3000.0</v>
      </c>
      <c r="R786" s="222">
        <v>-3000.0</v>
      </c>
      <c r="S786" s="222">
        <v>0.0</v>
      </c>
      <c r="U786" s="222">
        <v>0.0</v>
      </c>
      <c r="AB786" t="e">
        <v>#N/A</v>
      </c>
    </row>
    <row r="787">
      <c r="A787" s="218" t="s">
        <v>9331</v>
      </c>
      <c r="C787" s="218" t="s">
        <v>11218</v>
      </c>
      <c r="F787" s="456">
        <v>44132.0</v>
      </c>
      <c r="G787" s="218">
        <v>0.0</v>
      </c>
      <c r="H787" s="218">
        <v>401092.0</v>
      </c>
      <c r="I787" s="218" t="s">
        <v>10754</v>
      </c>
      <c r="J787" s="218" t="s">
        <v>9341</v>
      </c>
      <c r="K787" s="218" t="s">
        <v>11219</v>
      </c>
      <c r="L787" s="218">
        <v>15113.0</v>
      </c>
      <c r="M787" s="218">
        <v>168108.0</v>
      </c>
      <c r="N787" s="218">
        <v>1.0E8</v>
      </c>
      <c r="O787" s="218">
        <v>339147.0</v>
      </c>
      <c r="P787" s="218" t="s">
        <v>9335</v>
      </c>
      <c r="Q787" s="222">
        <v>1230.0</v>
      </c>
      <c r="R787" s="222">
        <v>1230.0</v>
      </c>
      <c r="S787" s="218">
        <v>0.0</v>
      </c>
      <c r="U787" s="218">
        <v>0.0</v>
      </c>
      <c r="X787" s="218">
        <v>1.51132020000064E14</v>
      </c>
      <c r="AB787" t="e">
        <v>#N/A</v>
      </c>
    </row>
    <row r="788">
      <c r="A788" s="218" t="s">
        <v>9331</v>
      </c>
      <c r="C788" s="218" t="s">
        <v>11220</v>
      </c>
      <c r="F788" s="456">
        <v>44133.0</v>
      </c>
      <c r="G788" s="218">
        <v>0.0</v>
      </c>
      <c r="H788" s="218">
        <v>401092.0</v>
      </c>
      <c r="I788" s="218" t="s">
        <v>10754</v>
      </c>
      <c r="J788" s="218" t="s">
        <v>9341</v>
      </c>
      <c r="K788" s="218" t="s">
        <v>9904</v>
      </c>
      <c r="L788" s="218">
        <v>15113.0</v>
      </c>
      <c r="M788" s="218">
        <v>168108.0</v>
      </c>
      <c r="N788" s="218">
        <v>1.0E8</v>
      </c>
      <c r="O788" s="218">
        <v>339147.0</v>
      </c>
      <c r="P788" s="218" t="s">
        <v>9335</v>
      </c>
      <c r="Q788" s="218">
        <v>8.0</v>
      </c>
      <c r="R788" s="218">
        <v>8.0</v>
      </c>
      <c r="S788" s="218">
        <v>0.0</v>
      </c>
      <c r="U788" s="218">
        <v>0.0</v>
      </c>
      <c r="X788" s="218">
        <v>1.51132020000064E14</v>
      </c>
      <c r="AB788" t="e">
        <v>#N/A</v>
      </c>
    </row>
    <row r="789">
      <c r="A789" s="218" t="s">
        <v>9371</v>
      </c>
      <c r="C789" s="218" t="s">
        <v>11221</v>
      </c>
      <c r="F789" s="456">
        <v>44140.0</v>
      </c>
      <c r="G789" s="218">
        <v>0.0</v>
      </c>
      <c r="H789" s="218">
        <v>401092.0</v>
      </c>
      <c r="I789" s="218" t="s">
        <v>9357</v>
      </c>
      <c r="J789" s="218" t="s">
        <v>9333</v>
      </c>
      <c r="K789" s="218" t="s">
        <v>9904</v>
      </c>
      <c r="L789" s="218">
        <v>15113.0</v>
      </c>
      <c r="M789" s="218">
        <v>168100.0</v>
      </c>
      <c r="N789" s="218">
        <v>1.0E8</v>
      </c>
      <c r="O789" s="218">
        <v>339008.0</v>
      </c>
      <c r="P789" s="218" t="s">
        <v>9374</v>
      </c>
      <c r="Q789" s="222">
        <v>240000.0</v>
      </c>
      <c r="R789" s="222">
        <v>240000.0</v>
      </c>
      <c r="S789" s="218">
        <v>0.0</v>
      </c>
      <c r="U789" s="218">
        <v>0.0</v>
      </c>
      <c r="X789" s="218">
        <v>1.51132020000191E14</v>
      </c>
      <c r="AB789" t="e">
        <v>#N/A</v>
      </c>
    </row>
    <row r="790">
      <c r="A790" s="218" t="s">
        <v>10734</v>
      </c>
      <c r="C790" s="218" t="s">
        <v>11222</v>
      </c>
      <c r="F790" s="456">
        <v>44140.0</v>
      </c>
      <c r="G790" s="218">
        <v>1.0</v>
      </c>
      <c r="H790" s="218">
        <v>401091.0</v>
      </c>
      <c r="J790" s="218" t="s">
        <v>11223</v>
      </c>
      <c r="K790" s="218" t="s">
        <v>11224</v>
      </c>
      <c r="L790" s="218">
        <v>15113.0</v>
      </c>
      <c r="M790" s="218">
        <v>168105.0</v>
      </c>
      <c r="N790" s="218">
        <v>1.0E8</v>
      </c>
      <c r="O790" s="218">
        <v>339030.0</v>
      </c>
      <c r="P790" s="218" t="s">
        <v>11225</v>
      </c>
      <c r="Q790" s="222">
        <v>5298.19</v>
      </c>
      <c r="R790" s="222">
        <v>5298.19</v>
      </c>
      <c r="S790" s="218">
        <v>0.0</v>
      </c>
      <c r="U790" s="218">
        <v>0.0</v>
      </c>
      <c r="X790" s="218">
        <v>1.51132020000201E14</v>
      </c>
      <c r="AB790" t="e">
        <v>#N/A</v>
      </c>
    </row>
    <row r="791">
      <c r="A791" s="218" t="s">
        <v>10734</v>
      </c>
      <c r="C791" s="218" t="s">
        <v>11226</v>
      </c>
      <c r="F791" s="456">
        <v>44140.0</v>
      </c>
      <c r="G791" s="218">
        <v>0.0</v>
      </c>
      <c r="H791" s="218">
        <v>401093.0</v>
      </c>
      <c r="I791" s="218" t="s">
        <v>11222</v>
      </c>
      <c r="J791" s="218" t="s">
        <v>11223</v>
      </c>
      <c r="K791" s="218" t="s">
        <v>9398</v>
      </c>
      <c r="L791" s="218">
        <v>15113.0</v>
      </c>
      <c r="M791" s="218">
        <v>168105.0</v>
      </c>
      <c r="N791" s="218">
        <v>1.0E8</v>
      </c>
      <c r="O791" s="218">
        <v>339030.0</v>
      </c>
      <c r="P791" s="218" t="s">
        <v>11225</v>
      </c>
      <c r="Q791" s="222">
        <v>5298.19</v>
      </c>
      <c r="R791" s="222">
        <v>-5298.19</v>
      </c>
      <c r="S791" s="218">
        <v>0.0</v>
      </c>
      <c r="U791" s="218">
        <v>0.0</v>
      </c>
      <c r="AB791" t="e">
        <v>#N/A</v>
      </c>
    </row>
    <row r="792">
      <c r="A792" s="218" t="s">
        <v>10734</v>
      </c>
      <c r="C792" s="218" t="s">
        <v>11227</v>
      </c>
      <c r="F792" s="456">
        <v>44140.0</v>
      </c>
      <c r="G792" s="218">
        <v>1.0</v>
      </c>
      <c r="H792" s="218">
        <v>401091.0</v>
      </c>
      <c r="J792" s="218" t="s">
        <v>11223</v>
      </c>
      <c r="K792" s="218" t="s">
        <v>11228</v>
      </c>
      <c r="L792" s="218">
        <v>15113.0</v>
      </c>
      <c r="M792" s="218">
        <v>168105.0</v>
      </c>
      <c r="N792" s="218">
        <v>1.0E8</v>
      </c>
      <c r="O792" s="218">
        <v>339030.0</v>
      </c>
      <c r="P792" s="218" t="s">
        <v>11225</v>
      </c>
      <c r="Q792" s="222">
        <v>5298.19</v>
      </c>
      <c r="R792" s="222">
        <v>5298.19</v>
      </c>
      <c r="S792" s="222">
        <v>5101.67</v>
      </c>
      <c r="U792" s="222">
        <v>350.09</v>
      </c>
      <c r="X792" s="218">
        <v>1.51132020000201E14</v>
      </c>
      <c r="AB792" t="e">
        <v>#N/A</v>
      </c>
    </row>
    <row r="793">
      <c r="A793" s="218" t="s">
        <v>9430</v>
      </c>
      <c r="C793" s="218" t="s">
        <v>11229</v>
      </c>
      <c r="F793" s="456">
        <v>44144.0</v>
      </c>
      <c r="G793" s="218">
        <v>0.0</v>
      </c>
      <c r="H793" s="218">
        <v>401092.0</v>
      </c>
      <c r="I793" s="218" t="s">
        <v>9740</v>
      </c>
      <c r="J793" s="218" t="s">
        <v>9741</v>
      </c>
      <c r="K793" s="218" t="s">
        <v>9904</v>
      </c>
      <c r="L793" s="218">
        <v>15113.0</v>
      </c>
      <c r="M793" s="218">
        <v>168105.0</v>
      </c>
      <c r="N793" s="218">
        <v>1.0E8</v>
      </c>
      <c r="O793" s="218">
        <v>339039.0</v>
      </c>
      <c r="P793" s="218" t="s">
        <v>9743</v>
      </c>
      <c r="Q793" s="222">
        <v>108.36</v>
      </c>
      <c r="R793" s="222">
        <v>108.36</v>
      </c>
      <c r="S793" s="218">
        <v>0.0</v>
      </c>
      <c r="U793" s="218">
        <v>0.0</v>
      </c>
      <c r="X793" s="218">
        <v>1.51132020000119E14</v>
      </c>
      <c r="AB793" t="e">
        <v>#N/A</v>
      </c>
    </row>
    <row r="794">
      <c r="A794" s="218" t="s">
        <v>781</v>
      </c>
      <c r="C794" s="218" t="s">
        <v>11230</v>
      </c>
      <c r="F794" s="456">
        <v>44144.0</v>
      </c>
      <c r="G794" s="218">
        <v>0.0</v>
      </c>
      <c r="H794" s="218">
        <v>401095.0</v>
      </c>
      <c r="I794" s="218" t="s">
        <v>11231</v>
      </c>
      <c r="J794" s="218" t="s">
        <v>9755</v>
      </c>
      <c r="K794" s="218" t="s">
        <v>11080</v>
      </c>
      <c r="L794" s="218">
        <v>0.0</v>
      </c>
      <c r="M794" s="218">
        <v>0.0</v>
      </c>
      <c r="O794" s="218">
        <v>0.0</v>
      </c>
      <c r="P794" s="218" t="s">
        <v>9757</v>
      </c>
      <c r="Q794" s="222">
        <v>4256.29</v>
      </c>
      <c r="R794" s="222">
        <v>-4256.29</v>
      </c>
      <c r="S794" s="222">
        <v>0.0</v>
      </c>
      <c r="U794" s="218">
        <v>0.0</v>
      </c>
      <c r="AB794" t="e">
        <v>#N/A</v>
      </c>
    </row>
    <row r="795">
      <c r="A795" s="218" t="s">
        <v>781</v>
      </c>
      <c r="C795" s="218" t="s">
        <v>11232</v>
      </c>
      <c r="F795" s="456">
        <v>44144.0</v>
      </c>
      <c r="G795" s="218">
        <v>0.0</v>
      </c>
      <c r="H795" s="218">
        <v>401095.0</v>
      </c>
      <c r="I795" s="218" t="s">
        <v>11233</v>
      </c>
      <c r="J795" s="218" t="s">
        <v>10472</v>
      </c>
      <c r="K795" s="218" t="s">
        <v>11080</v>
      </c>
      <c r="L795" s="218">
        <v>0.0</v>
      </c>
      <c r="M795" s="218">
        <v>0.0</v>
      </c>
      <c r="O795" s="218">
        <v>0.0</v>
      </c>
      <c r="P795" s="218" t="s">
        <v>10474</v>
      </c>
      <c r="Q795" s="222">
        <v>744.21</v>
      </c>
      <c r="R795" s="222">
        <v>-744.21</v>
      </c>
      <c r="S795" s="218">
        <v>0.0</v>
      </c>
      <c r="U795" s="218">
        <v>0.0</v>
      </c>
      <c r="AB795" t="e">
        <v>#N/A</v>
      </c>
    </row>
    <row r="796">
      <c r="A796" s="218" t="s">
        <v>781</v>
      </c>
      <c r="C796" s="218" t="s">
        <v>11234</v>
      </c>
      <c r="F796" s="456">
        <v>44144.0</v>
      </c>
      <c r="G796" s="218">
        <v>0.0</v>
      </c>
      <c r="H796" s="218">
        <v>401095.0</v>
      </c>
      <c r="I796" s="218" t="s">
        <v>11235</v>
      </c>
      <c r="J796" s="218" t="s">
        <v>11236</v>
      </c>
      <c r="K796" s="218" t="s">
        <v>11080</v>
      </c>
      <c r="L796" s="218">
        <v>0.0</v>
      </c>
      <c r="M796" s="218">
        <v>0.0</v>
      </c>
      <c r="O796" s="218">
        <v>0.0</v>
      </c>
      <c r="P796" s="218" t="s">
        <v>11237</v>
      </c>
      <c r="Q796" s="222">
        <v>24.35</v>
      </c>
      <c r="R796" s="222">
        <v>-24.35</v>
      </c>
      <c r="S796" s="222">
        <v>0.0</v>
      </c>
      <c r="U796" s="218">
        <v>0.0</v>
      </c>
      <c r="AB796" t="e">
        <v>#N/A</v>
      </c>
    </row>
    <row r="797">
      <c r="A797" s="218" t="s">
        <v>781</v>
      </c>
      <c r="C797" s="218" t="s">
        <v>11238</v>
      </c>
      <c r="F797" s="456">
        <v>44144.0</v>
      </c>
      <c r="G797" s="218">
        <v>0.0</v>
      </c>
      <c r="H797" s="218">
        <v>401095.0</v>
      </c>
      <c r="I797" s="218" t="s">
        <v>11239</v>
      </c>
      <c r="J797" s="218" t="s">
        <v>9411</v>
      </c>
      <c r="K797" s="218" t="s">
        <v>11080</v>
      </c>
      <c r="L797" s="218">
        <v>0.0</v>
      </c>
      <c r="M797" s="218">
        <v>0.0</v>
      </c>
      <c r="O797" s="218">
        <v>0.0</v>
      </c>
      <c r="P797" s="218" t="s">
        <v>10576</v>
      </c>
      <c r="Q797" s="222">
        <v>18.12</v>
      </c>
      <c r="R797" s="222">
        <v>-18.12</v>
      </c>
      <c r="S797" s="222">
        <v>0.0</v>
      </c>
      <c r="U797" s="218">
        <v>0.0</v>
      </c>
      <c r="AB797" t="e">
        <v>#N/A</v>
      </c>
    </row>
    <row r="798">
      <c r="A798" s="218" t="s">
        <v>9371</v>
      </c>
      <c r="C798" s="218" t="s">
        <v>11240</v>
      </c>
      <c r="F798" s="456">
        <v>44144.0</v>
      </c>
      <c r="G798" s="218">
        <v>0.0</v>
      </c>
      <c r="H798" s="218">
        <v>401092.0</v>
      </c>
      <c r="I798" s="218" t="s">
        <v>9375</v>
      </c>
      <c r="J798" s="218" t="s">
        <v>9333</v>
      </c>
      <c r="K798" s="218" t="s">
        <v>9904</v>
      </c>
      <c r="L798" s="218">
        <v>15113.0</v>
      </c>
      <c r="M798" s="218">
        <v>168105.0</v>
      </c>
      <c r="N798" s="218">
        <v>1.0E8</v>
      </c>
      <c r="O798" s="218">
        <v>339014.0</v>
      </c>
      <c r="P798" s="218" t="s">
        <v>9374</v>
      </c>
      <c r="Q798" s="222">
        <v>18600.3</v>
      </c>
      <c r="R798" s="222">
        <v>18600.3</v>
      </c>
      <c r="S798" s="222">
        <v>0.0</v>
      </c>
      <c r="U798" s="222">
        <v>0.0</v>
      </c>
      <c r="X798" s="218">
        <v>1.51132020000061E14</v>
      </c>
      <c r="AB798" t="e">
        <v>#N/A</v>
      </c>
    </row>
    <row r="799">
      <c r="A799" s="218" t="s">
        <v>9331</v>
      </c>
      <c r="C799" s="218" t="s">
        <v>11241</v>
      </c>
      <c r="F799" s="456">
        <v>44144.0</v>
      </c>
      <c r="G799" s="218">
        <v>0.0</v>
      </c>
      <c r="H799" s="218">
        <v>401093.0</v>
      </c>
      <c r="I799" s="218" t="s">
        <v>9340</v>
      </c>
      <c r="J799" s="218" t="s">
        <v>9341</v>
      </c>
      <c r="K799" s="218" t="s">
        <v>9398</v>
      </c>
      <c r="L799" s="218">
        <v>15113.0</v>
      </c>
      <c r="M799" s="218">
        <v>168098.0</v>
      </c>
      <c r="N799" s="218">
        <v>1.0E8</v>
      </c>
      <c r="O799" s="218">
        <v>319113.0</v>
      </c>
      <c r="P799" s="218" t="s">
        <v>9335</v>
      </c>
      <c r="Q799" s="222">
        <v>33437.8</v>
      </c>
      <c r="R799" s="222">
        <v>-33437.8</v>
      </c>
      <c r="S799" s="222">
        <v>0.0</v>
      </c>
      <c r="U799" s="222">
        <v>0.0</v>
      </c>
      <c r="AB799" t="e">
        <v>#N/A</v>
      </c>
    </row>
    <row r="800">
      <c r="A800" s="218" t="s">
        <v>9331</v>
      </c>
      <c r="C800" s="218" t="s">
        <v>11242</v>
      </c>
      <c r="F800" s="456">
        <v>44144.0</v>
      </c>
      <c r="G800" s="218">
        <v>0.0</v>
      </c>
      <c r="H800" s="218">
        <v>401093.0</v>
      </c>
      <c r="I800" s="218" t="s">
        <v>9332</v>
      </c>
      <c r="J800" s="218" t="s">
        <v>9333</v>
      </c>
      <c r="K800" s="218" t="s">
        <v>9398</v>
      </c>
      <c r="L800" s="218">
        <v>15113.0</v>
      </c>
      <c r="M800" s="218">
        <v>168098.0</v>
      </c>
      <c r="N800" s="218">
        <v>1.0E8</v>
      </c>
      <c r="O800" s="218">
        <v>319011.0</v>
      </c>
      <c r="P800" s="218" t="s">
        <v>9335</v>
      </c>
      <c r="Q800" s="222">
        <v>128577.0</v>
      </c>
      <c r="R800" s="222">
        <v>-128577.0</v>
      </c>
      <c r="S800" s="222">
        <v>0.0</v>
      </c>
      <c r="U800" s="222">
        <v>0.0</v>
      </c>
      <c r="AB800" t="e">
        <v>#N/A</v>
      </c>
    </row>
    <row r="801">
      <c r="A801" s="218" t="s">
        <v>787</v>
      </c>
      <c r="C801" s="218" t="s">
        <v>11243</v>
      </c>
      <c r="F801" s="456">
        <v>44145.0</v>
      </c>
      <c r="G801" s="218">
        <v>1.0</v>
      </c>
      <c r="H801" s="218">
        <v>401091.0</v>
      </c>
      <c r="J801" s="218" t="s">
        <v>11244</v>
      </c>
      <c r="K801" s="218" t="s">
        <v>11245</v>
      </c>
      <c r="L801" s="218">
        <v>15113.0</v>
      </c>
      <c r="M801" s="218">
        <v>168108.0</v>
      </c>
      <c r="N801" s="218">
        <v>1.0E8</v>
      </c>
      <c r="O801" s="218">
        <v>339040.0</v>
      </c>
      <c r="P801" s="218" t="s">
        <v>11246</v>
      </c>
      <c r="Q801" s="222">
        <v>56410.2</v>
      </c>
      <c r="R801" s="222">
        <v>56410.2</v>
      </c>
      <c r="S801" s="222">
        <v>56410.2</v>
      </c>
      <c r="U801" s="222">
        <v>0.0</v>
      </c>
      <c r="X801" s="218">
        <v>1.51132020000257E14</v>
      </c>
      <c r="AB801" t="e">
        <v>#N/A</v>
      </c>
    </row>
    <row r="802">
      <c r="A802" s="218" t="s">
        <v>499</v>
      </c>
      <c r="C802" s="218" t="s">
        <v>11247</v>
      </c>
      <c r="F802" s="456">
        <v>44145.0</v>
      </c>
      <c r="G802" s="218">
        <v>1.0</v>
      </c>
      <c r="H802" s="218">
        <v>401091.0</v>
      </c>
      <c r="J802" s="218" t="s">
        <v>11248</v>
      </c>
      <c r="K802" s="218" t="s">
        <v>11249</v>
      </c>
      <c r="L802" s="218">
        <v>15113.0</v>
      </c>
      <c r="M802" s="218">
        <v>168106.0</v>
      </c>
      <c r="N802" s="218">
        <v>1.0E8</v>
      </c>
      <c r="O802" s="218">
        <v>339039.0</v>
      </c>
      <c r="P802" s="218" t="s">
        <v>11250</v>
      </c>
      <c r="Q802" s="222">
        <v>780.0</v>
      </c>
      <c r="R802" s="222">
        <v>780.0</v>
      </c>
      <c r="S802" s="218">
        <v>780.0</v>
      </c>
      <c r="U802" s="218">
        <v>0.0</v>
      </c>
      <c r="X802" s="218">
        <v>1.51132020000091E14</v>
      </c>
      <c r="AB802" t="e">
        <v>#N/A</v>
      </c>
    </row>
    <row r="803">
      <c r="A803" s="218" t="s">
        <v>324</v>
      </c>
      <c r="C803" s="218" t="s">
        <v>11251</v>
      </c>
      <c r="F803" s="456">
        <v>44146.0</v>
      </c>
      <c r="G803" s="218">
        <v>5.0</v>
      </c>
      <c r="H803" s="218">
        <v>401091.0</v>
      </c>
      <c r="J803" s="218" t="s">
        <v>11252</v>
      </c>
      <c r="K803" s="218" t="s">
        <v>11253</v>
      </c>
      <c r="L803" s="218">
        <v>15113.0</v>
      </c>
      <c r="M803" s="218">
        <v>168105.0</v>
      </c>
      <c r="N803" s="218">
        <v>1.0E8</v>
      </c>
      <c r="O803" s="218">
        <v>339039.0</v>
      </c>
      <c r="P803" s="218" t="s">
        <v>11254</v>
      </c>
      <c r="Q803" s="222">
        <v>136618.64</v>
      </c>
      <c r="R803" s="222">
        <v>136618.64</v>
      </c>
      <c r="S803" s="222">
        <v>136618.64</v>
      </c>
      <c r="U803" s="222">
        <v>78303.78</v>
      </c>
      <c r="X803" s="218">
        <v>1.5113202000026E14</v>
      </c>
      <c r="AB803" t="e">
        <v>#N/A</v>
      </c>
    </row>
    <row r="804">
      <c r="A804" s="218" t="s">
        <v>9371</v>
      </c>
      <c r="C804" s="218" t="s">
        <v>11255</v>
      </c>
      <c r="F804" s="456">
        <v>44146.0</v>
      </c>
      <c r="G804" s="218">
        <v>0.0</v>
      </c>
      <c r="H804" s="218">
        <v>401093.0</v>
      </c>
      <c r="I804" s="218" t="s">
        <v>9377</v>
      </c>
      <c r="J804" s="218" t="s">
        <v>9333</v>
      </c>
      <c r="K804" s="218" t="s">
        <v>9398</v>
      </c>
      <c r="L804" s="218">
        <v>15113.0</v>
      </c>
      <c r="M804" s="218">
        <v>168105.0</v>
      </c>
      <c r="N804" s="218">
        <v>1.0E8</v>
      </c>
      <c r="O804" s="218">
        <v>339093.0</v>
      </c>
      <c r="P804" s="218" t="s">
        <v>9374</v>
      </c>
      <c r="Q804" s="222">
        <v>2150.0</v>
      </c>
      <c r="R804" s="222">
        <v>-2150.0</v>
      </c>
      <c r="S804" s="218">
        <v>0.0</v>
      </c>
      <c r="U804" s="218">
        <v>0.0</v>
      </c>
      <c r="AB804" t="e">
        <v>#N/A</v>
      </c>
    </row>
    <row r="805">
      <c r="A805" s="218" t="s">
        <v>9371</v>
      </c>
      <c r="C805" s="218" t="s">
        <v>11256</v>
      </c>
      <c r="F805" s="456">
        <v>44146.0</v>
      </c>
      <c r="G805" s="218">
        <v>0.0</v>
      </c>
      <c r="H805" s="218">
        <v>401092.0</v>
      </c>
      <c r="I805" s="218" t="s">
        <v>9377</v>
      </c>
      <c r="J805" s="218" t="s">
        <v>9333</v>
      </c>
      <c r="K805" s="218" t="s">
        <v>9904</v>
      </c>
      <c r="L805" s="218">
        <v>15113.0</v>
      </c>
      <c r="M805" s="218">
        <v>168105.0</v>
      </c>
      <c r="N805" s="218">
        <v>1.0E8</v>
      </c>
      <c r="O805" s="218">
        <v>339093.0</v>
      </c>
      <c r="P805" s="218" t="s">
        <v>9374</v>
      </c>
      <c r="Q805" s="222">
        <v>2150.0</v>
      </c>
      <c r="R805" s="222">
        <v>2150.0</v>
      </c>
      <c r="S805" s="222">
        <v>0.0</v>
      </c>
      <c r="U805" s="222">
        <v>0.0</v>
      </c>
      <c r="X805" s="218">
        <v>1.51132020000056E14</v>
      </c>
      <c r="AB805" t="e">
        <v>#N/A</v>
      </c>
    </row>
    <row r="806">
      <c r="A806" s="218" t="s">
        <v>781</v>
      </c>
      <c r="C806" s="218" t="s">
        <v>11257</v>
      </c>
      <c r="F806" s="456">
        <v>44146.0</v>
      </c>
      <c r="G806" s="218">
        <v>0.0</v>
      </c>
      <c r="H806" s="218">
        <v>401093.0</v>
      </c>
      <c r="I806" s="218" t="s">
        <v>10670</v>
      </c>
      <c r="J806" s="218" t="s">
        <v>10630</v>
      </c>
      <c r="K806" s="218" t="s">
        <v>9398</v>
      </c>
      <c r="L806" s="218">
        <v>15113.0</v>
      </c>
      <c r="M806" s="218">
        <v>168105.0</v>
      </c>
      <c r="N806" s="218">
        <v>1.0E8</v>
      </c>
      <c r="O806" s="218">
        <v>339039.0</v>
      </c>
      <c r="P806" s="218" t="s">
        <v>10632</v>
      </c>
      <c r="Q806" s="222">
        <v>79.32</v>
      </c>
      <c r="R806" s="222">
        <v>-79.32</v>
      </c>
      <c r="S806" s="222">
        <v>0.0</v>
      </c>
      <c r="U806" s="222">
        <v>0.0</v>
      </c>
      <c r="AB806" t="e">
        <v>#N/A</v>
      </c>
    </row>
    <row r="807">
      <c r="A807" s="218" t="s">
        <v>9430</v>
      </c>
      <c r="C807" s="218" t="s">
        <v>11258</v>
      </c>
      <c r="F807" s="456">
        <v>44146.0</v>
      </c>
      <c r="G807" s="218">
        <v>0.0</v>
      </c>
      <c r="H807" s="218">
        <v>401092.0</v>
      </c>
      <c r="I807" s="218" t="s">
        <v>9892</v>
      </c>
      <c r="J807" s="218" t="s">
        <v>9893</v>
      </c>
      <c r="K807" s="218" t="s">
        <v>9904</v>
      </c>
      <c r="L807" s="218">
        <v>15113.0</v>
      </c>
      <c r="M807" s="218">
        <v>168105.0</v>
      </c>
      <c r="N807" s="218">
        <v>1.0E8</v>
      </c>
      <c r="O807" s="218">
        <v>339039.0</v>
      </c>
      <c r="P807" s="218" t="s">
        <v>9779</v>
      </c>
      <c r="Q807" s="222">
        <v>206.53</v>
      </c>
      <c r="R807" s="222">
        <v>206.53</v>
      </c>
      <c r="S807" s="222">
        <v>0.0</v>
      </c>
      <c r="U807" s="222">
        <v>0.0</v>
      </c>
      <c r="X807" s="218">
        <v>1.51132020000119E14</v>
      </c>
      <c r="AB807" t="e">
        <v>#N/A</v>
      </c>
    </row>
    <row r="808">
      <c r="A808" s="218" t="s">
        <v>324</v>
      </c>
      <c r="C808" s="218" t="s">
        <v>11259</v>
      </c>
      <c r="F808" s="456">
        <v>44147.0</v>
      </c>
      <c r="G808" s="218">
        <v>1.0</v>
      </c>
      <c r="H808" s="218">
        <v>401091.0</v>
      </c>
      <c r="J808" s="218" t="s">
        <v>11260</v>
      </c>
      <c r="K808" s="218" t="s">
        <v>11261</v>
      </c>
      <c r="L808" s="218">
        <v>15113.0</v>
      </c>
      <c r="M808" s="218">
        <v>168105.0</v>
      </c>
      <c r="N808" s="218">
        <v>1.0E8</v>
      </c>
      <c r="O808" s="218">
        <v>339039.0</v>
      </c>
      <c r="P808" s="218" t="s">
        <v>11262</v>
      </c>
      <c r="Q808" s="222">
        <v>52246.15</v>
      </c>
      <c r="R808" s="222">
        <v>52246.15</v>
      </c>
      <c r="S808" s="222">
        <v>52246.15</v>
      </c>
      <c r="U808" s="222">
        <v>2110.74</v>
      </c>
      <c r="X808" s="218">
        <v>1.51132020000259E14</v>
      </c>
      <c r="AB808" t="e">
        <v>#N/A</v>
      </c>
    </row>
    <row r="809">
      <c r="A809" s="218" t="s">
        <v>781</v>
      </c>
      <c r="C809" s="218" t="s">
        <v>11263</v>
      </c>
      <c r="F809" s="456">
        <v>44147.0</v>
      </c>
      <c r="G809" s="218">
        <v>1.0</v>
      </c>
      <c r="H809" s="218">
        <v>401091.0</v>
      </c>
      <c r="J809" s="218" t="s">
        <v>9697</v>
      </c>
      <c r="K809" s="218" t="s">
        <v>11264</v>
      </c>
      <c r="L809" s="218">
        <v>15113.0</v>
      </c>
      <c r="M809" s="218">
        <v>168105.0</v>
      </c>
      <c r="N809" s="218">
        <v>1.0E8</v>
      </c>
      <c r="O809" s="218">
        <v>339039.0</v>
      </c>
      <c r="P809" s="218" t="s">
        <v>11265</v>
      </c>
      <c r="Q809" s="222">
        <v>706.79</v>
      </c>
      <c r="R809" s="222">
        <v>706.79</v>
      </c>
      <c r="S809" s="218">
        <v>692.94</v>
      </c>
      <c r="U809" s="218">
        <v>0.0</v>
      </c>
      <c r="X809" s="218">
        <v>1.51132020000141E14</v>
      </c>
      <c r="AB809" t="e">
        <v>#N/A</v>
      </c>
    </row>
    <row r="810">
      <c r="A810" s="218" t="s">
        <v>9331</v>
      </c>
      <c r="C810" s="218" t="s">
        <v>11266</v>
      </c>
      <c r="F810" s="456">
        <v>44147.0</v>
      </c>
      <c r="G810" s="218">
        <v>0.0</v>
      </c>
      <c r="H810" s="218">
        <v>401092.0</v>
      </c>
      <c r="I810" s="218" t="s">
        <v>9363</v>
      </c>
      <c r="J810" s="218" t="s">
        <v>9333</v>
      </c>
      <c r="K810" s="218" t="s">
        <v>9904</v>
      </c>
      <c r="L810" s="218">
        <v>15113.0</v>
      </c>
      <c r="M810" s="218">
        <v>168104.0</v>
      </c>
      <c r="N810" s="218">
        <v>1.0E8</v>
      </c>
      <c r="O810" s="218">
        <v>339008.0</v>
      </c>
      <c r="P810" s="218" t="s">
        <v>9335</v>
      </c>
      <c r="Q810" s="222">
        <v>659.25</v>
      </c>
      <c r="R810" s="222">
        <v>659.25</v>
      </c>
      <c r="S810" s="218">
        <v>0.0</v>
      </c>
      <c r="U810" s="218">
        <v>0.0</v>
      </c>
      <c r="X810" s="218">
        <v>1.51132020000192E14</v>
      </c>
      <c r="AB810" t="e">
        <v>#N/A</v>
      </c>
    </row>
    <row r="811">
      <c r="A811" s="218" t="s">
        <v>9331</v>
      </c>
      <c r="C811" s="218" t="s">
        <v>11267</v>
      </c>
      <c r="F811" s="456">
        <v>44147.0</v>
      </c>
      <c r="G811" s="218">
        <v>0.0</v>
      </c>
      <c r="H811" s="218">
        <v>401093.0</v>
      </c>
      <c r="I811" s="218" t="s">
        <v>9336</v>
      </c>
      <c r="J811" s="218" t="s">
        <v>9333</v>
      </c>
      <c r="K811" s="218" t="s">
        <v>9398</v>
      </c>
      <c r="L811" s="218">
        <v>15113.0</v>
      </c>
      <c r="M811" s="218">
        <v>168098.0</v>
      </c>
      <c r="N811" s="218">
        <v>1.0E8</v>
      </c>
      <c r="O811" s="218">
        <v>319016.0</v>
      </c>
      <c r="P811" s="218" t="s">
        <v>9335</v>
      </c>
      <c r="Q811" s="222">
        <v>35975.29</v>
      </c>
      <c r="R811" s="222">
        <v>-35975.29</v>
      </c>
      <c r="S811" s="218">
        <v>0.0</v>
      </c>
      <c r="U811" s="218">
        <v>0.0</v>
      </c>
      <c r="AB811" t="e">
        <v>#N/A</v>
      </c>
    </row>
    <row r="812">
      <c r="A812" s="218" t="s">
        <v>9331</v>
      </c>
      <c r="C812" s="218" t="s">
        <v>11268</v>
      </c>
      <c r="F812" s="456">
        <v>44147.0</v>
      </c>
      <c r="G812" s="218">
        <v>0.0</v>
      </c>
      <c r="H812" s="218">
        <v>401092.0</v>
      </c>
      <c r="I812" s="218" t="s">
        <v>9336</v>
      </c>
      <c r="J812" s="218" t="s">
        <v>9333</v>
      </c>
      <c r="K812" s="218" t="s">
        <v>9904</v>
      </c>
      <c r="L812" s="218">
        <v>15113.0</v>
      </c>
      <c r="M812" s="218">
        <v>168098.0</v>
      </c>
      <c r="N812" s="218">
        <v>1.0E8</v>
      </c>
      <c r="O812" s="218">
        <v>319016.0</v>
      </c>
      <c r="P812" s="218" t="s">
        <v>9335</v>
      </c>
      <c r="Q812" s="222">
        <v>35975.29</v>
      </c>
      <c r="R812" s="222">
        <v>35975.29</v>
      </c>
      <c r="S812" s="222">
        <v>0.0</v>
      </c>
      <c r="U812" s="222">
        <v>0.0</v>
      </c>
      <c r="X812" s="218">
        <v>1.51132020000184E14</v>
      </c>
      <c r="AB812" t="e">
        <v>#N/A</v>
      </c>
    </row>
    <row r="813">
      <c r="A813" s="218" t="s">
        <v>116</v>
      </c>
      <c r="C813" s="218" t="s">
        <v>11269</v>
      </c>
      <c r="F813" s="456">
        <v>44148.0</v>
      </c>
      <c r="G813" s="218">
        <v>0.0</v>
      </c>
      <c r="H813" s="218">
        <v>401092.0</v>
      </c>
      <c r="I813" s="218" t="s">
        <v>10142</v>
      </c>
      <c r="J813" s="218" t="s">
        <v>10143</v>
      </c>
      <c r="K813" s="218" t="s">
        <v>10962</v>
      </c>
      <c r="L813" s="218">
        <v>15113.0</v>
      </c>
      <c r="M813" s="218">
        <v>168107.0</v>
      </c>
      <c r="N813" s="218">
        <v>1.0E8</v>
      </c>
      <c r="O813" s="218">
        <v>339040.0</v>
      </c>
      <c r="P813" s="218" t="s">
        <v>10145</v>
      </c>
      <c r="Q813" s="222">
        <v>34927.28</v>
      </c>
      <c r="R813" s="222">
        <v>34927.28</v>
      </c>
      <c r="S813" s="222">
        <v>0.0</v>
      </c>
      <c r="U813" s="222">
        <v>0.0</v>
      </c>
      <c r="X813" s="218">
        <v>1.51132020000033E14</v>
      </c>
      <c r="AB813" t="e">
        <v>#N/A</v>
      </c>
    </row>
    <row r="814">
      <c r="A814" s="218" t="s">
        <v>9430</v>
      </c>
      <c r="C814" s="218" t="s">
        <v>11270</v>
      </c>
      <c r="F814" s="456">
        <v>44148.0</v>
      </c>
      <c r="G814" s="218">
        <v>1.0</v>
      </c>
      <c r="H814" s="218">
        <v>401091.0</v>
      </c>
      <c r="J814" s="218" t="s">
        <v>10275</v>
      </c>
      <c r="K814" s="218" t="s">
        <v>11271</v>
      </c>
      <c r="L814" s="218">
        <v>15113.0</v>
      </c>
      <c r="M814" s="218">
        <v>168105.0</v>
      </c>
      <c r="N814" s="218">
        <v>1.0E8</v>
      </c>
      <c r="O814" s="218">
        <v>339047.0</v>
      </c>
      <c r="P814" s="218" t="s">
        <v>11272</v>
      </c>
      <c r="Q814" s="222">
        <v>807.78</v>
      </c>
      <c r="R814" s="222">
        <v>807.78</v>
      </c>
      <c r="S814" s="218">
        <v>807.78</v>
      </c>
      <c r="U814" s="218">
        <v>0.0</v>
      </c>
      <c r="X814" s="218">
        <v>1.51132020000073E14</v>
      </c>
      <c r="AB814" t="e">
        <v>#N/A</v>
      </c>
    </row>
    <row r="815">
      <c r="A815" s="218" t="s">
        <v>9430</v>
      </c>
      <c r="C815" s="218" t="s">
        <v>11273</v>
      </c>
      <c r="F815" s="456">
        <v>44148.0</v>
      </c>
      <c r="G815" s="218">
        <v>1.0</v>
      </c>
      <c r="H815" s="218">
        <v>401091.0</v>
      </c>
      <c r="J815" s="218" t="s">
        <v>11274</v>
      </c>
      <c r="K815" s="218" t="s">
        <v>11275</v>
      </c>
      <c r="L815" s="218">
        <v>15113.0</v>
      </c>
      <c r="M815" s="218">
        <v>168105.0</v>
      </c>
      <c r="N815" s="218">
        <v>1.0E8</v>
      </c>
      <c r="O815" s="218">
        <v>339047.0</v>
      </c>
      <c r="P815" s="218" t="s">
        <v>11272</v>
      </c>
      <c r="Q815" s="222">
        <v>213.34</v>
      </c>
      <c r="R815" s="222">
        <v>213.34</v>
      </c>
      <c r="S815" s="218">
        <v>213.34</v>
      </c>
      <c r="U815" s="218">
        <v>0.0</v>
      </c>
      <c r="X815" s="218">
        <v>1.51132020000073E14</v>
      </c>
      <c r="AB815" t="e">
        <v>#N/A</v>
      </c>
    </row>
    <row r="816">
      <c r="A816" s="218" t="s">
        <v>9430</v>
      </c>
      <c r="C816" s="218" t="s">
        <v>11276</v>
      </c>
      <c r="F816" s="456">
        <v>44148.0</v>
      </c>
      <c r="G816" s="218">
        <v>1.0</v>
      </c>
      <c r="H816" s="218">
        <v>401091.0</v>
      </c>
      <c r="J816" s="218" t="s">
        <v>9900</v>
      </c>
      <c r="K816" s="218" t="s">
        <v>11277</v>
      </c>
      <c r="L816" s="218">
        <v>15113.0</v>
      </c>
      <c r="M816" s="218">
        <v>168105.0</v>
      </c>
      <c r="N816" s="218">
        <v>1.0E8</v>
      </c>
      <c r="O816" s="218">
        <v>339047.0</v>
      </c>
      <c r="P816" s="218" t="s">
        <v>11278</v>
      </c>
      <c r="Q816" s="222">
        <v>891.99</v>
      </c>
      <c r="R816" s="222">
        <v>891.99</v>
      </c>
      <c r="S816" s="218">
        <v>891.99</v>
      </c>
      <c r="U816" s="218">
        <v>0.0</v>
      </c>
      <c r="X816" s="218">
        <v>1.51132020000073E14</v>
      </c>
      <c r="AB816" t="e">
        <v>#N/A</v>
      </c>
    </row>
    <row r="817">
      <c r="A817" s="218" t="s">
        <v>9331</v>
      </c>
      <c r="C817" s="218" t="s">
        <v>11279</v>
      </c>
      <c r="F817" s="456">
        <v>44148.0</v>
      </c>
      <c r="G817" s="218">
        <v>0.0</v>
      </c>
      <c r="H817" s="218">
        <v>401092.0</v>
      </c>
      <c r="I817" s="218" t="s">
        <v>9363</v>
      </c>
      <c r="J817" s="218" t="s">
        <v>9333</v>
      </c>
      <c r="K817" s="218" t="s">
        <v>9904</v>
      </c>
      <c r="L817" s="218">
        <v>15113.0</v>
      </c>
      <c r="M817" s="218">
        <v>168104.0</v>
      </c>
      <c r="N817" s="218">
        <v>1.0E8</v>
      </c>
      <c r="O817" s="218">
        <v>339008.0</v>
      </c>
      <c r="P817" s="218" t="s">
        <v>9335</v>
      </c>
      <c r="Q817" s="222">
        <v>27123.03</v>
      </c>
      <c r="R817" s="222">
        <v>27123.03</v>
      </c>
      <c r="S817" s="218">
        <v>0.0</v>
      </c>
      <c r="U817" s="218">
        <v>0.0</v>
      </c>
      <c r="X817" s="218">
        <v>1.51132020000192E14</v>
      </c>
      <c r="AB817" t="e">
        <v>#N/A</v>
      </c>
    </row>
    <row r="818">
      <c r="A818" s="218" t="s">
        <v>781</v>
      </c>
      <c r="C818" s="218" t="s">
        <v>11280</v>
      </c>
      <c r="F818" s="456">
        <v>44151.0</v>
      </c>
      <c r="G818" s="218">
        <v>0.0</v>
      </c>
      <c r="H818" s="218">
        <v>401092.0</v>
      </c>
      <c r="I818" s="218" t="s">
        <v>9754</v>
      </c>
      <c r="J818" s="218" t="s">
        <v>9755</v>
      </c>
      <c r="K818" s="218" t="s">
        <v>9904</v>
      </c>
      <c r="L818" s="218">
        <v>15113.0</v>
      </c>
      <c r="M818" s="218">
        <v>168105.0</v>
      </c>
      <c r="N818" s="218">
        <v>1.0E8</v>
      </c>
      <c r="O818" s="218">
        <v>339030.0</v>
      </c>
      <c r="P818" s="218" t="s">
        <v>9757</v>
      </c>
      <c r="Q818" s="222">
        <v>163.1</v>
      </c>
      <c r="R818" s="222">
        <v>163.1</v>
      </c>
      <c r="S818" s="218">
        <v>0.0</v>
      </c>
      <c r="U818" s="218">
        <v>0.0</v>
      </c>
      <c r="X818" s="218">
        <v>1.51132020000137E14</v>
      </c>
      <c r="AB818" t="e">
        <v>#N/A</v>
      </c>
    </row>
    <row r="819">
      <c r="A819" s="218" t="s">
        <v>787</v>
      </c>
      <c r="C819" s="218" t="s">
        <v>11281</v>
      </c>
      <c r="F819" s="456">
        <v>44151.0</v>
      </c>
      <c r="G819" s="218">
        <v>1.0</v>
      </c>
      <c r="H819" s="218">
        <v>401091.0</v>
      </c>
      <c r="J819" s="218" t="s">
        <v>11282</v>
      </c>
      <c r="K819" s="218" t="s">
        <v>11283</v>
      </c>
      <c r="L819" s="218">
        <v>15113.0</v>
      </c>
      <c r="M819" s="218">
        <v>168108.0</v>
      </c>
      <c r="N819" s="218">
        <v>1.0E8</v>
      </c>
      <c r="O819" s="218">
        <v>339039.0</v>
      </c>
      <c r="P819" s="218" t="s">
        <v>11284</v>
      </c>
      <c r="Q819" s="222">
        <v>1000.0</v>
      </c>
      <c r="R819" s="222">
        <v>1000.0</v>
      </c>
      <c r="S819" s="222">
        <v>1000.0</v>
      </c>
      <c r="U819" s="222">
        <v>0.0</v>
      </c>
      <c r="X819" s="218">
        <v>1.51132020000065E14</v>
      </c>
      <c r="AB819" t="e">
        <v>#N/A</v>
      </c>
    </row>
    <row r="820">
      <c r="A820" s="218" t="s">
        <v>781</v>
      </c>
      <c r="C820" s="218" t="s">
        <v>11285</v>
      </c>
      <c r="F820" s="456">
        <v>44152.0</v>
      </c>
      <c r="G820" s="218">
        <v>0.0</v>
      </c>
      <c r="H820" s="218">
        <v>401092.0</v>
      </c>
      <c r="I820" s="218" t="s">
        <v>9479</v>
      </c>
      <c r="J820" s="218" t="s">
        <v>9476</v>
      </c>
      <c r="K820" s="218" t="s">
        <v>9904</v>
      </c>
      <c r="L820" s="218">
        <v>15113.0</v>
      </c>
      <c r="M820" s="218">
        <v>168105.0</v>
      </c>
      <c r="N820" s="218">
        <v>1.0E8</v>
      </c>
      <c r="O820" s="218">
        <v>339039.0</v>
      </c>
      <c r="P820" s="218" t="s">
        <v>9478</v>
      </c>
      <c r="Q820" s="222">
        <v>700.0</v>
      </c>
      <c r="R820" s="222">
        <v>700.0</v>
      </c>
      <c r="S820" s="218">
        <v>0.0</v>
      </c>
      <c r="U820" s="218">
        <v>0.0</v>
      </c>
      <c r="X820" s="218">
        <v>1.51132020000157E14</v>
      </c>
      <c r="AB820" t="e">
        <v>#N/A</v>
      </c>
    </row>
    <row r="821">
      <c r="A821" s="218" t="s">
        <v>9331</v>
      </c>
      <c r="C821" s="218" t="s">
        <v>11286</v>
      </c>
      <c r="F821" s="456">
        <v>44152.0</v>
      </c>
      <c r="G821" s="218">
        <v>0.0</v>
      </c>
      <c r="H821" s="218">
        <v>401092.0</v>
      </c>
      <c r="I821" s="218" t="s">
        <v>9343</v>
      </c>
      <c r="J821" s="218" t="s">
        <v>9344</v>
      </c>
      <c r="K821" s="218" t="s">
        <v>9904</v>
      </c>
      <c r="L821" s="218">
        <v>15113.0</v>
      </c>
      <c r="M821" s="218">
        <v>168095.0</v>
      </c>
      <c r="N821" s="218">
        <v>1.0E8</v>
      </c>
      <c r="O821" s="218">
        <v>319113.0</v>
      </c>
      <c r="P821" s="218" t="s">
        <v>9335</v>
      </c>
      <c r="Q821" s="222">
        <v>6970193.72</v>
      </c>
      <c r="R821" s="222">
        <v>6970193.72</v>
      </c>
      <c r="S821" s="222">
        <v>0.0</v>
      </c>
      <c r="U821" s="222">
        <v>0.0</v>
      </c>
      <c r="X821" s="218">
        <v>1.51132020000181E14</v>
      </c>
      <c r="AB821" t="e">
        <v>#N/A</v>
      </c>
    </row>
    <row r="822">
      <c r="A822" s="218" t="s">
        <v>10734</v>
      </c>
      <c r="C822" s="218" t="s">
        <v>11287</v>
      </c>
      <c r="F822" s="456">
        <v>44152.0</v>
      </c>
      <c r="G822" s="218">
        <v>0.0</v>
      </c>
      <c r="H822" s="218">
        <v>401093.0</v>
      </c>
      <c r="I822" s="218" t="s">
        <v>10808</v>
      </c>
      <c r="J822" s="218" t="s">
        <v>10809</v>
      </c>
      <c r="K822" s="218" t="s">
        <v>9398</v>
      </c>
      <c r="L822" s="218">
        <v>15113.0</v>
      </c>
      <c r="M822" s="218">
        <v>168105.0</v>
      </c>
      <c r="N822" s="218">
        <v>1.0E8</v>
      </c>
      <c r="O822" s="218">
        <v>339030.0</v>
      </c>
      <c r="P822" s="218" t="s">
        <v>10811</v>
      </c>
      <c r="Q822" s="222">
        <v>335.63</v>
      </c>
      <c r="R822" s="222">
        <v>-335.63</v>
      </c>
      <c r="S822" s="222">
        <v>0.0</v>
      </c>
      <c r="U822" s="222">
        <v>0.0</v>
      </c>
      <c r="AB822" t="e">
        <v>#N/A</v>
      </c>
    </row>
    <row r="823">
      <c r="A823" s="218" t="s">
        <v>9331</v>
      </c>
      <c r="C823" s="218" t="s">
        <v>11288</v>
      </c>
      <c r="F823" s="456">
        <v>44153.0</v>
      </c>
      <c r="G823" s="218">
        <v>0.0</v>
      </c>
      <c r="H823" s="218">
        <v>401093.0</v>
      </c>
      <c r="I823" s="218" t="s">
        <v>9332</v>
      </c>
      <c r="J823" s="218" t="s">
        <v>9333</v>
      </c>
      <c r="K823" s="218" t="s">
        <v>9398</v>
      </c>
      <c r="L823" s="218">
        <v>15113.0</v>
      </c>
      <c r="M823" s="218">
        <v>168098.0</v>
      </c>
      <c r="N823" s="218">
        <v>1.0E8</v>
      </c>
      <c r="O823" s="218">
        <v>319011.0</v>
      </c>
      <c r="P823" s="218" t="s">
        <v>9335</v>
      </c>
      <c r="Q823" s="222">
        <v>800000.0</v>
      </c>
      <c r="R823" s="222">
        <v>-800000.0</v>
      </c>
      <c r="S823" s="218">
        <v>0.0</v>
      </c>
      <c r="U823" s="218">
        <v>0.0</v>
      </c>
      <c r="AB823" t="e">
        <v>#N/A</v>
      </c>
    </row>
    <row r="824">
      <c r="A824" s="218" t="s">
        <v>9331</v>
      </c>
      <c r="C824" s="218" t="s">
        <v>11289</v>
      </c>
      <c r="F824" s="456">
        <v>44153.0</v>
      </c>
      <c r="G824" s="218">
        <v>0.0</v>
      </c>
      <c r="H824" s="218">
        <v>401092.0</v>
      </c>
      <c r="I824" s="218" t="s">
        <v>9332</v>
      </c>
      <c r="J824" s="218" t="s">
        <v>9333</v>
      </c>
      <c r="K824" s="218" t="s">
        <v>9904</v>
      </c>
      <c r="L824" s="218">
        <v>15113.0</v>
      </c>
      <c r="M824" s="218">
        <v>168098.0</v>
      </c>
      <c r="N824" s="218">
        <v>1.0E8</v>
      </c>
      <c r="O824" s="218">
        <v>319011.0</v>
      </c>
      <c r="P824" s="218" t="s">
        <v>9335</v>
      </c>
      <c r="Q824" s="222">
        <v>300000.0</v>
      </c>
      <c r="R824" s="222">
        <v>300000.0</v>
      </c>
      <c r="S824" s="218">
        <v>0.0</v>
      </c>
      <c r="U824" s="218">
        <v>0.0</v>
      </c>
      <c r="X824" s="218">
        <v>1.51132020000185E14</v>
      </c>
      <c r="AB824" t="e">
        <v>#N/A</v>
      </c>
    </row>
    <row r="825">
      <c r="A825" s="218" t="s">
        <v>9331</v>
      </c>
      <c r="C825" s="218" t="s">
        <v>11290</v>
      </c>
      <c r="F825" s="456">
        <v>44153.0</v>
      </c>
      <c r="G825" s="218">
        <v>0.0</v>
      </c>
      <c r="H825" s="218">
        <v>401092.0</v>
      </c>
      <c r="I825" s="218" t="s">
        <v>9332</v>
      </c>
      <c r="J825" s="218" t="s">
        <v>9333</v>
      </c>
      <c r="K825" s="218" t="s">
        <v>9904</v>
      </c>
      <c r="L825" s="218">
        <v>15113.0</v>
      </c>
      <c r="M825" s="218">
        <v>168098.0</v>
      </c>
      <c r="N825" s="218">
        <v>1.0E8</v>
      </c>
      <c r="O825" s="218">
        <v>319011.0</v>
      </c>
      <c r="P825" s="218" t="s">
        <v>9335</v>
      </c>
      <c r="Q825" s="222">
        <v>309191.19</v>
      </c>
      <c r="R825" s="222">
        <v>309191.19</v>
      </c>
      <c r="S825" s="218">
        <v>0.0</v>
      </c>
      <c r="U825" s="218">
        <v>0.0</v>
      </c>
      <c r="X825" s="218">
        <v>1.51132020000185E14</v>
      </c>
      <c r="AB825" t="e">
        <v>#N/A</v>
      </c>
    </row>
    <row r="826">
      <c r="A826" s="218" t="s">
        <v>9331</v>
      </c>
      <c r="C826" s="218" t="s">
        <v>11291</v>
      </c>
      <c r="F826" s="456">
        <v>44153.0</v>
      </c>
      <c r="G826" s="218">
        <v>0.0</v>
      </c>
      <c r="H826" s="218">
        <v>401092.0</v>
      </c>
      <c r="I826" s="218" t="s">
        <v>9353</v>
      </c>
      <c r="J826" s="218" t="s">
        <v>9333</v>
      </c>
      <c r="K826" s="218" t="s">
        <v>9904</v>
      </c>
      <c r="L826" s="218">
        <v>15113.0</v>
      </c>
      <c r="M826" s="218">
        <v>168099.0</v>
      </c>
      <c r="N826" s="218">
        <v>1.69E8</v>
      </c>
      <c r="O826" s="218">
        <v>319001.0</v>
      </c>
      <c r="P826" s="218" t="s">
        <v>9335</v>
      </c>
      <c r="Q826" s="222">
        <v>644152.53</v>
      </c>
      <c r="R826" s="222">
        <v>644152.53</v>
      </c>
      <c r="S826" s="218">
        <v>0.0</v>
      </c>
      <c r="U826" s="218">
        <v>0.0</v>
      </c>
      <c r="X826" s="218">
        <v>1.51132020000179E14</v>
      </c>
      <c r="AB826" t="e">
        <v>#N/A</v>
      </c>
    </row>
    <row r="827">
      <c r="A827" s="218" t="s">
        <v>9371</v>
      </c>
      <c r="C827" s="218" t="s">
        <v>11292</v>
      </c>
      <c r="F827" s="456">
        <v>44153.0</v>
      </c>
      <c r="G827" s="218">
        <v>0.0</v>
      </c>
      <c r="H827" s="218">
        <v>401092.0</v>
      </c>
      <c r="I827" s="218" t="s">
        <v>10820</v>
      </c>
      <c r="J827" s="218" t="s">
        <v>9341</v>
      </c>
      <c r="K827" s="218" t="s">
        <v>9904</v>
      </c>
      <c r="L827" s="218">
        <v>15113.0</v>
      </c>
      <c r="M827" s="218">
        <v>168109.0</v>
      </c>
      <c r="N827" s="218">
        <v>1.0E8</v>
      </c>
      <c r="O827" s="218">
        <v>339147.0</v>
      </c>
      <c r="P827" s="218" t="s">
        <v>9374</v>
      </c>
      <c r="Q827" s="222">
        <v>81.91</v>
      </c>
      <c r="R827" s="222">
        <v>81.91</v>
      </c>
      <c r="S827" s="218">
        <v>0.0</v>
      </c>
      <c r="U827" s="218">
        <v>0.0</v>
      </c>
      <c r="X827" s="218">
        <v>1.51132020000044E14</v>
      </c>
      <c r="AB827" t="e">
        <v>#N/A</v>
      </c>
    </row>
    <row r="828">
      <c r="A828" s="218" t="s">
        <v>9331</v>
      </c>
      <c r="C828" s="218" t="s">
        <v>11293</v>
      </c>
      <c r="F828" s="456">
        <v>44153.0</v>
      </c>
      <c r="G828" s="218">
        <v>0.0</v>
      </c>
      <c r="H828" s="218">
        <v>401093.0</v>
      </c>
      <c r="I828" s="218" t="s">
        <v>9357</v>
      </c>
      <c r="J828" s="218" t="s">
        <v>9333</v>
      </c>
      <c r="K828" s="218" t="s">
        <v>9398</v>
      </c>
      <c r="L828" s="218">
        <v>15113.0</v>
      </c>
      <c r="M828" s="218">
        <v>168100.0</v>
      </c>
      <c r="N828" s="218">
        <v>1.0E8</v>
      </c>
      <c r="O828" s="218">
        <v>339008.0</v>
      </c>
      <c r="P828" s="218" t="s">
        <v>9335</v>
      </c>
      <c r="Q828" s="222">
        <v>48.94</v>
      </c>
      <c r="R828" s="222">
        <v>-48.94</v>
      </c>
      <c r="S828" s="218">
        <v>0.0</v>
      </c>
      <c r="U828" s="218">
        <v>0.0</v>
      </c>
      <c r="AB828" t="e">
        <v>#N/A</v>
      </c>
    </row>
    <row r="829">
      <c r="A829" s="218" t="s">
        <v>9331</v>
      </c>
      <c r="C829" s="218" t="s">
        <v>11294</v>
      </c>
      <c r="F829" s="456">
        <v>44154.0</v>
      </c>
      <c r="G829" s="218">
        <v>1.0</v>
      </c>
      <c r="H829" s="218">
        <v>401091.0</v>
      </c>
      <c r="J829" s="218" t="s">
        <v>9333</v>
      </c>
      <c r="K829" s="218" t="s">
        <v>11295</v>
      </c>
      <c r="L829" s="218">
        <v>15113.0</v>
      </c>
      <c r="M829" s="218">
        <v>168101.0</v>
      </c>
      <c r="N829" s="218">
        <v>1.51E8</v>
      </c>
      <c r="O829" s="218">
        <v>339092.0</v>
      </c>
      <c r="P829" s="218" t="s">
        <v>9335</v>
      </c>
      <c r="Q829" s="222">
        <v>1761.54</v>
      </c>
      <c r="R829" s="222">
        <v>1761.54</v>
      </c>
      <c r="S829" s="222">
        <v>1761.54</v>
      </c>
      <c r="U829" s="218">
        <v>0.0</v>
      </c>
      <c r="X829" s="218">
        <v>1.51132020000173E14</v>
      </c>
      <c r="AB829" t="e">
        <v>#N/A</v>
      </c>
    </row>
    <row r="830">
      <c r="A830" s="218" t="s">
        <v>9331</v>
      </c>
      <c r="C830" s="218" t="s">
        <v>11296</v>
      </c>
      <c r="F830" s="456">
        <v>44154.0</v>
      </c>
      <c r="G830" s="218">
        <v>1.0</v>
      </c>
      <c r="H830" s="218">
        <v>401091.0</v>
      </c>
      <c r="J830" s="218" t="s">
        <v>9333</v>
      </c>
      <c r="K830" s="218" t="s">
        <v>11297</v>
      </c>
      <c r="L830" s="218">
        <v>15113.0</v>
      </c>
      <c r="M830" s="218">
        <v>168100.0</v>
      </c>
      <c r="N830" s="218">
        <v>1.0E8</v>
      </c>
      <c r="O830" s="218">
        <v>339092.0</v>
      </c>
      <c r="P830" s="218" t="s">
        <v>9335</v>
      </c>
      <c r="Q830" s="222">
        <v>48.94</v>
      </c>
      <c r="R830" s="222">
        <v>48.94</v>
      </c>
      <c r="S830" s="218">
        <v>48.94</v>
      </c>
      <c r="U830" s="218">
        <v>0.0</v>
      </c>
      <c r="X830" s="218">
        <v>1.51132020000191E14</v>
      </c>
      <c r="AB830" t="e">
        <v>#N/A</v>
      </c>
    </row>
    <row r="831">
      <c r="A831" s="218" t="s">
        <v>781</v>
      </c>
      <c r="C831" s="218" t="s">
        <v>11298</v>
      </c>
      <c r="F831" s="456">
        <v>44154.0</v>
      </c>
      <c r="G831" s="218">
        <v>1.0</v>
      </c>
      <c r="H831" s="218">
        <v>401091.0</v>
      </c>
      <c r="J831" s="218" t="s">
        <v>11299</v>
      </c>
      <c r="K831" s="218" t="s">
        <v>11300</v>
      </c>
      <c r="L831" s="218">
        <v>15113.0</v>
      </c>
      <c r="M831" s="218">
        <v>168105.0</v>
      </c>
      <c r="N831" s="218">
        <v>1.0E8</v>
      </c>
      <c r="O831" s="218">
        <v>339030.0</v>
      </c>
      <c r="P831" s="218" t="s">
        <v>11301</v>
      </c>
      <c r="Q831" s="222">
        <v>11716.0</v>
      </c>
      <c r="R831" s="222">
        <v>11716.0</v>
      </c>
      <c r="S831" s="222">
        <v>11716.0</v>
      </c>
      <c r="U831" s="222">
        <v>11716.0</v>
      </c>
      <c r="X831" s="218">
        <v>1.51132020000137E14</v>
      </c>
      <c r="AB831" t="e">
        <v>#N/A</v>
      </c>
    </row>
    <row r="832">
      <c r="A832" s="218" t="s">
        <v>9371</v>
      </c>
      <c r="C832" s="218" t="s">
        <v>11302</v>
      </c>
      <c r="F832" s="456">
        <v>44155.0</v>
      </c>
      <c r="G832" s="218">
        <v>1.0</v>
      </c>
      <c r="H832" s="218">
        <v>401091.0</v>
      </c>
      <c r="J832" s="218" t="s">
        <v>9590</v>
      </c>
      <c r="K832" s="218" t="s">
        <v>11303</v>
      </c>
      <c r="L832" s="218">
        <v>71103.0</v>
      </c>
      <c r="M832" s="218">
        <v>90162.0</v>
      </c>
      <c r="N832" s="218">
        <v>1.0E8</v>
      </c>
      <c r="O832" s="218">
        <v>319091.0</v>
      </c>
      <c r="P832" s="218" t="s">
        <v>11304</v>
      </c>
      <c r="Q832" s="222">
        <v>82629.36</v>
      </c>
      <c r="R832" s="222">
        <v>82629.36</v>
      </c>
      <c r="S832" s="222">
        <v>82629.36</v>
      </c>
      <c r="U832" s="218">
        <v>0.0</v>
      </c>
      <c r="X832" s="218">
        <v>1.51132020000204E14</v>
      </c>
      <c r="AB832" t="e">
        <v>#N/A</v>
      </c>
    </row>
    <row r="833">
      <c r="A833" s="218" t="s">
        <v>781</v>
      </c>
      <c r="C833" s="218" t="s">
        <v>11305</v>
      </c>
      <c r="F833" s="456">
        <v>44155.0</v>
      </c>
      <c r="G833" s="218">
        <v>1.0</v>
      </c>
      <c r="H833" s="218">
        <v>401091.0</v>
      </c>
      <c r="J833" s="218" t="s">
        <v>10451</v>
      </c>
      <c r="K833" s="218" t="s">
        <v>11306</v>
      </c>
      <c r="L833" s="218">
        <v>15113.0</v>
      </c>
      <c r="M833" s="218">
        <v>168105.0</v>
      </c>
      <c r="N833" s="218">
        <v>1.0E8</v>
      </c>
      <c r="O833" s="218">
        <v>339039.0</v>
      </c>
      <c r="P833" s="218" t="s">
        <v>11307</v>
      </c>
      <c r="Q833" s="222">
        <v>21100.0</v>
      </c>
      <c r="R833" s="222">
        <v>21100.0</v>
      </c>
      <c r="S833" s="222">
        <v>21100.0</v>
      </c>
      <c r="U833" s="222">
        <v>0.0</v>
      </c>
      <c r="X833" s="218">
        <v>1.51132020000108E14</v>
      </c>
      <c r="AB833" t="e">
        <v>#N/A</v>
      </c>
    </row>
    <row r="834">
      <c r="A834" s="218" t="s">
        <v>9430</v>
      </c>
      <c r="C834" s="218" t="s">
        <v>11308</v>
      </c>
      <c r="F834" s="456">
        <v>44158.0</v>
      </c>
      <c r="G834" s="218">
        <v>1.0</v>
      </c>
      <c r="H834" s="218">
        <v>401091.0</v>
      </c>
      <c r="J834" s="218" t="s">
        <v>11309</v>
      </c>
      <c r="K834" s="218" t="s">
        <v>11310</v>
      </c>
      <c r="L834" s="218">
        <v>15113.0</v>
      </c>
      <c r="M834" s="218">
        <v>168105.0</v>
      </c>
      <c r="N834" s="218">
        <v>1.0E8</v>
      </c>
      <c r="O834" s="218">
        <v>339030.0</v>
      </c>
      <c r="P834" s="218" t="s">
        <v>11311</v>
      </c>
      <c r="Q834" s="222">
        <v>1740.0</v>
      </c>
      <c r="R834" s="222">
        <v>1740.0</v>
      </c>
      <c r="S834" s="222">
        <v>1740.0</v>
      </c>
      <c r="U834" s="222">
        <v>0.0</v>
      </c>
      <c r="X834" s="218">
        <v>1.51132020000081E14</v>
      </c>
      <c r="AB834" t="e">
        <v>#N/A</v>
      </c>
    </row>
    <row r="835">
      <c r="A835" s="218" t="s">
        <v>9430</v>
      </c>
      <c r="C835" s="218" t="s">
        <v>11312</v>
      </c>
      <c r="F835" s="456">
        <v>44159.0</v>
      </c>
      <c r="G835" s="218">
        <v>1.0</v>
      </c>
      <c r="H835" s="218">
        <v>401091.0</v>
      </c>
      <c r="J835" s="218" t="s">
        <v>11313</v>
      </c>
      <c r="K835" s="218" t="s">
        <v>11314</v>
      </c>
      <c r="L835" s="218">
        <v>15113.0</v>
      </c>
      <c r="M835" s="218">
        <v>168105.0</v>
      </c>
      <c r="N835" s="218">
        <v>1.0E8</v>
      </c>
      <c r="O835" s="218">
        <v>339030.0</v>
      </c>
      <c r="P835" s="218" t="s">
        <v>11315</v>
      </c>
      <c r="Q835" s="222">
        <v>3807.0</v>
      </c>
      <c r="R835" s="222">
        <v>3807.0</v>
      </c>
      <c r="S835" s="222">
        <v>3807.0</v>
      </c>
      <c r="U835" s="222">
        <v>0.0</v>
      </c>
      <c r="X835" s="218">
        <v>1.51132020000085E14</v>
      </c>
      <c r="AB835" t="e">
        <v>#N/A</v>
      </c>
    </row>
    <row r="836">
      <c r="A836" s="218" t="s">
        <v>9371</v>
      </c>
      <c r="C836" s="218" t="s">
        <v>11316</v>
      </c>
      <c r="F836" s="456">
        <v>44159.0</v>
      </c>
      <c r="G836" s="218">
        <v>0.0</v>
      </c>
      <c r="H836" s="218">
        <v>401093.0</v>
      </c>
      <c r="I836" s="218" t="s">
        <v>9377</v>
      </c>
      <c r="J836" s="218" t="s">
        <v>9333</v>
      </c>
      <c r="K836" s="218" t="s">
        <v>9398</v>
      </c>
      <c r="L836" s="218">
        <v>15113.0</v>
      </c>
      <c r="M836" s="218">
        <v>168105.0</v>
      </c>
      <c r="N836" s="218">
        <v>1.0E8</v>
      </c>
      <c r="O836" s="218">
        <v>339093.0</v>
      </c>
      <c r="P836" s="218" t="s">
        <v>9374</v>
      </c>
      <c r="Q836" s="222">
        <v>60000.0</v>
      </c>
      <c r="R836" s="222">
        <v>-60000.0</v>
      </c>
      <c r="S836" s="218">
        <v>0.0</v>
      </c>
      <c r="U836" s="218">
        <v>0.0</v>
      </c>
      <c r="AB836" t="e">
        <v>#N/A</v>
      </c>
    </row>
    <row r="837">
      <c r="A837" s="218" t="s">
        <v>9371</v>
      </c>
      <c r="C837" s="218" t="s">
        <v>11317</v>
      </c>
      <c r="F837" s="457">
        <v>44159.0</v>
      </c>
      <c r="G837" s="218">
        <v>0.0</v>
      </c>
      <c r="H837" s="218">
        <v>401092.0</v>
      </c>
      <c r="I837" s="218" t="s">
        <v>9377</v>
      </c>
      <c r="J837" s="218" t="s">
        <v>9333</v>
      </c>
      <c r="K837" s="218" t="s">
        <v>9904</v>
      </c>
      <c r="L837" s="218">
        <v>15113.0</v>
      </c>
      <c r="M837" s="218">
        <v>168105.0</v>
      </c>
      <c r="N837" s="218">
        <v>1.0E8</v>
      </c>
      <c r="O837" s="218">
        <v>339093.0</v>
      </c>
      <c r="P837" s="218" t="s">
        <v>9374</v>
      </c>
      <c r="Q837" s="222">
        <v>60000.0</v>
      </c>
      <c r="R837" s="222">
        <v>60000.0</v>
      </c>
      <c r="S837" s="218">
        <v>0.0</v>
      </c>
      <c r="U837" s="218">
        <v>0.0</v>
      </c>
      <c r="X837" s="218">
        <v>1.51132020000056E14</v>
      </c>
      <c r="AB837" t="e">
        <v>#N/A</v>
      </c>
    </row>
    <row r="838">
      <c r="A838" s="218" t="s">
        <v>781</v>
      </c>
      <c r="C838" s="218" t="s">
        <v>11318</v>
      </c>
      <c r="F838" s="457">
        <v>44159.0</v>
      </c>
      <c r="G838" s="218">
        <v>0.0</v>
      </c>
      <c r="H838" s="218">
        <v>401093.0</v>
      </c>
      <c r="I838" s="218" t="s">
        <v>9912</v>
      </c>
      <c r="J838" s="218" t="s">
        <v>9913</v>
      </c>
      <c r="K838" s="218" t="s">
        <v>9398</v>
      </c>
      <c r="L838" s="218">
        <v>15113.0</v>
      </c>
      <c r="M838" s="218">
        <v>168105.0</v>
      </c>
      <c r="N838" s="218">
        <v>1.0E8</v>
      </c>
      <c r="O838" s="218">
        <v>339039.0</v>
      </c>
      <c r="P838" s="218" t="s">
        <v>9915</v>
      </c>
      <c r="Q838" s="222">
        <v>825.0</v>
      </c>
      <c r="R838" s="222">
        <v>-825.0</v>
      </c>
      <c r="S838" s="222">
        <v>0.0</v>
      </c>
      <c r="U838" s="218">
        <v>0.0</v>
      </c>
      <c r="AB838" t="e">
        <v>#N/A</v>
      </c>
    </row>
    <row r="839">
      <c r="A839" s="218" t="s">
        <v>781</v>
      </c>
      <c r="C839" s="218" t="s">
        <v>11319</v>
      </c>
      <c r="F839" s="457">
        <v>44159.0</v>
      </c>
      <c r="G839" s="218">
        <v>0.0</v>
      </c>
      <c r="H839" s="218">
        <v>401093.0</v>
      </c>
      <c r="I839" s="218" t="s">
        <v>9916</v>
      </c>
      <c r="J839" s="218" t="s">
        <v>9917</v>
      </c>
      <c r="K839" s="218" t="s">
        <v>9398</v>
      </c>
      <c r="L839" s="218">
        <v>15113.0</v>
      </c>
      <c r="M839" s="218">
        <v>168105.0</v>
      </c>
      <c r="N839" s="218">
        <v>1.0E8</v>
      </c>
      <c r="O839" s="218">
        <v>339039.0</v>
      </c>
      <c r="P839" s="218" t="s">
        <v>9915</v>
      </c>
      <c r="Q839" s="222">
        <v>280.6</v>
      </c>
      <c r="R839" s="222">
        <v>-280.6</v>
      </c>
      <c r="S839" s="218">
        <v>0.0</v>
      </c>
      <c r="U839" s="218">
        <v>0.0</v>
      </c>
      <c r="AB839" t="e">
        <v>#N/A</v>
      </c>
    </row>
    <row r="840">
      <c r="A840" s="218" t="s">
        <v>116</v>
      </c>
      <c r="C840" s="218" t="s">
        <v>11320</v>
      </c>
      <c r="F840" s="457">
        <v>44160.0</v>
      </c>
      <c r="G840" s="218">
        <v>1.0</v>
      </c>
      <c r="H840" s="218">
        <v>401091.0</v>
      </c>
      <c r="J840" s="218" t="s">
        <v>10252</v>
      </c>
      <c r="K840" s="218" t="s">
        <v>11321</v>
      </c>
      <c r="L840" s="218">
        <v>15113.0</v>
      </c>
      <c r="M840" s="218">
        <v>168107.0</v>
      </c>
      <c r="N840" s="218">
        <v>1.0E8</v>
      </c>
      <c r="O840" s="218">
        <v>339030.0</v>
      </c>
      <c r="P840" s="218" t="s">
        <v>11322</v>
      </c>
      <c r="Q840" s="222">
        <v>83604.5</v>
      </c>
      <c r="R840" s="222">
        <v>83604.5</v>
      </c>
      <c r="S840" s="222">
        <v>83604.5</v>
      </c>
      <c r="U840" s="222">
        <v>0.0</v>
      </c>
      <c r="X840" s="218">
        <v>1.51132020000003E14</v>
      </c>
      <c r="AB840" t="e">
        <v>#N/A</v>
      </c>
    </row>
    <row r="841">
      <c r="A841" s="218" t="s">
        <v>781</v>
      </c>
      <c r="C841" s="218" t="s">
        <v>11323</v>
      </c>
      <c r="F841" s="457">
        <v>44160.0</v>
      </c>
      <c r="G841" s="218">
        <v>0.0</v>
      </c>
      <c r="H841" s="218">
        <v>401093.0</v>
      </c>
      <c r="I841" s="218" t="s">
        <v>9494</v>
      </c>
      <c r="J841" s="218" t="s">
        <v>9495</v>
      </c>
      <c r="K841" s="218" t="s">
        <v>9398</v>
      </c>
      <c r="L841" s="218">
        <v>15113.0</v>
      </c>
      <c r="M841" s="218">
        <v>168105.0</v>
      </c>
      <c r="N841" s="218">
        <v>1.0E8</v>
      </c>
      <c r="O841" s="218">
        <v>339039.0</v>
      </c>
      <c r="P841" s="218" t="s">
        <v>9497</v>
      </c>
      <c r="Q841" s="222">
        <v>20000.0</v>
      </c>
      <c r="R841" s="222">
        <v>-20000.0</v>
      </c>
      <c r="S841" s="218">
        <v>0.0</v>
      </c>
      <c r="U841" s="218">
        <v>0.0</v>
      </c>
      <c r="AB841" t="e">
        <v>#N/A</v>
      </c>
    </row>
    <row r="842">
      <c r="A842" s="218" t="s">
        <v>781</v>
      </c>
      <c r="C842" s="218" t="s">
        <v>11324</v>
      </c>
      <c r="F842" s="457">
        <v>44160.0</v>
      </c>
      <c r="G842" s="218">
        <v>0.0</v>
      </c>
      <c r="H842" s="218">
        <v>401093.0</v>
      </c>
      <c r="I842" s="218" t="s">
        <v>9542</v>
      </c>
      <c r="J842" s="218" t="s">
        <v>9543</v>
      </c>
      <c r="K842" s="218" t="s">
        <v>9398</v>
      </c>
      <c r="L842" s="218">
        <v>15113.0</v>
      </c>
      <c r="M842" s="218">
        <v>168105.0</v>
      </c>
      <c r="N842" s="218">
        <v>1.0E8</v>
      </c>
      <c r="O842" s="218">
        <v>339039.0</v>
      </c>
      <c r="P842" s="218" t="s">
        <v>9545</v>
      </c>
      <c r="Q842" s="222">
        <v>868.97</v>
      </c>
      <c r="R842" s="222">
        <v>-868.97</v>
      </c>
      <c r="S842" s="222">
        <v>0.0</v>
      </c>
      <c r="U842" s="222">
        <v>0.0</v>
      </c>
      <c r="AB842" t="e">
        <v>#N/A</v>
      </c>
    </row>
    <row r="843">
      <c r="A843" s="218" t="s">
        <v>781</v>
      </c>
      <c r="C843" s="218" t="s">
        <v>11325</v>
      </c>
      <c r="F843" s="457">
        <v>44160.0</v>
      </c>
      <c r="G843" s="218">
        <v>0.0</v>
      </c>
      <c r="H843" s="218">
        <v>401093.0</v>
      </c>
      <c r="I843" s="218" t="s">
        <v>9788</v>
      </c>
      <c r="J843" s="218" t="s">
        <v>9789</v>
      </c>
      <c r="K843" s="218" t="s">
        <v>9398</v>
      </c>
      <c r="L843" s="218">
        <v>15113.0</v>
      </c>
      <c r="M843" s="218">
        <v>168105.0</v>
      </c>
      <c r="N843" s="218">
        <v>1.0E8</v>
      </c>
      <c r="O843" s="218">
        <v>339039.0</v>
      </c>
      <c r="P843" s="218" t="s">
        <v>9791</v>
      </c>
      <c r="Q843" s="222">
        <v>55259.19</v>
      </c>
      <c r="R843" s="222">
        <v>-55259.19</v>
      </c>
      <c r="S843" s="222">
        <v>0.0</v>
      </c>
      <c r="U843" s="218">
        <v>0.0</v>
      </c>
      <c r="AB843" t="e">
        <v>#N/A</v>
      </c>
    </row>
    <row r="844">
      <c r="A844" s="218" t="s">
        <v>781</v>
      </c>
      <c r="C844" s="218" t="s">
        <v>11326</v>
      </c>
      <c r="F844" s="457">
        <v>44160.0</v>
      </c>
      <c r="G844" s="218">
        <v>0.0</v>
      </c>
      <c r="H844" s="218">
        <v>401093.0</v>
      </c>
      <c r="I844" s="218" t="s">
        <v>9567</v>
      </c>
      <c r="J844" s="218" t="s">
        <v>9564</v>
      </c>
      <c r="K844" s="218" t="s">
        <v>9398</v>
      </c>
      <c r="L844" s="218">
        <v>15113.0</v>
      </c>
      <c r="M844" s="218">
        <v>168105.0</v>
      </c>
      <c r="N844" s="218">
        <v>1.0E8</v>
      </c>
      <c r="O844" s="218">
        <v>339039.0</v>
      </c>
      <c r="P844" s="218" t="s">
        <v>9569</v>
      </c>
      <c r="Q844" s="222">
        <v>302.14</v>
      </c>
      <c r="R844" s="222">
        <v>-302.14</v>
      </c>
      <c r="S844" s="222">
        <v>0.0</v>
      </c>
      <c r="U844" s="218">
        <v>0.0</v>
      </c>
      <c r="AB844" t="e">
        <v>#N/A</v>
      </c>
    </row>
    <row r="845">
      <c r="A845" s="218" t="s">
        <v>499</v>
      </c>
      <c r="C845" s="218" t="s">
        <v>11327</v>
      </c>
      <c r="F845" s="457">
        <v>44160.0</v>
      </c>
      <c r="G845" s="218">
        <v>1.0</v>
      </c>
      <c r="H845" s="218">
        <v>401091.0</v>
      </c>
      <c r="J845" s="218" t="s">
        <v>11328</v>
      </c>
      <c r="K845" s="218" t="s">
        <v>11329</v>
      </c>
      <c r="L845" s="218">
        <v>15113.0</v>
      </c>
      <c r="M845" s="218">
        <v>168106.0</v>
      </c>
      <c r="N845" s="218">
        <v>1.0E8</v>
      </c>
      <c r="O845" s="218">
        <v>339039.0</v>
      </c>
      <c r="P845" s="218" t="s">
        <v>11330</v>
      </c>
      <c r="Q845" s="222">
        <v>5905.0</v>
      </c>
      <c r="R845" s="222">
        <v>5905.0</v>
      </c>
      <c r="S845" s="222">
        <v>5905.0</v>
      </c>
      <c r="U845" s="222">
        <v>0.0</v>
      </c>
      <c r="X845" s="218">
        <v>1.5113202000009E14</v>
      </c>
      <c r="AB845" t="e">
        <v>#N/A</v>
      </c>
    </row>
    <row r="846">
      <c r="A846" s="218" t="s">
        <v>781</v>
      </c>
      <c r="C846" s="218" t="s">
        <v>11331</v>
      </c>
      <c r="F846" s="457">
        <v>44161.0</v>
      </c>
      <c r="G846" s="218">
        <v>0.0</v>
      </c>
      <c r="H846" s="218">
        <v>401093.0</v>
      </c>
      <c r="I846" s="218" t="s">
        <v>9414</v>
      </c>
      <c r="J846" s="218" t="s">
        <v>9415</v>
      </c>
      <c r="K846" s="218" t="s">
        <v>9398</v>
      </c>
      <c r="L846" s="218">
        <v>15113.0</v>
      </c>
      <c r="M846" s="218">
        <v>168105.0</v>
      </c>
      <c r="N846" s="218">
        <v>1.0E8</v>
      </c>
      <c r="O846" s="218">
        <v>339030.0</v>
      </c>
      <c r="P846" s="218" t="s">
        <v>9417</v>
      </c>
      <c r="Q846" s="222">
        <v>20000.0</v>
      </c>
      <c r="R846" s="222">
        <v>-20000.0</v>
      </c>
      <c r="S846" s="218">
        <v>0.0</v>
      </c>
      <c r="U846" s="218">
        <v>0.0</v>
      </c>
      <c r="AB846" t="e">
        <v>#N/A</v>
      </c>
    </row>
    <row r="847">
      <c r="A847" s="218" t="s">
        <v>781</v>
      </c>
      <c r="C847" s="218" t="s">
        <v>11332</v>
      </c>
      <c r="F847" s="457">
        <v>44161.0</v>
      </c>
      <c r="G847" s="218">
        <v>0.0</v>
      </c>
      <c r="H847" s="218">
        <v>401093.0</v>
      </c>
      <c r="I847" s="218" t="s">
        <v>9450</v>
      </c>
      <c r="J847" s="218" t="s">
        <v>9419</v>
      </c>
      <c r="K847" s="218" t="s">
        <v>9398</v>
      </c>
      <c r="L847" s="218">
        <v>15113.0</v>
      </c>
      <c r="M847" s="218">
        <v>168105.0</v>
      </c>
      <c r="N847" s="218">
        <v>1.0E8</v>
      </c>
      <c r="O847" s="218">
        <v>339030.0</v>
      </c>
      <c r="P847" s="218" t="s">
        <v>9421</v>
      </c>
      <c r="Q847" s="222">
        <v>3550.0</v>
      </c>
      <c r="R847" s="222">
        <v>-3550.0</v>
      </c>
      <c r="S847" s="222">
        <v>0.0</v>
      </c>
      <c r="U847" s="218">
        <v>0.0</v>
      </c>
      <c r="AB847" t="e">
        <v>#N/A</v>
      </c>
    </row>
    <row r="848">
      <c r="A848" s="218" t="s">
        <v>781</v>
      </c>
      <c r="C848" s="218" t="s">
        <v>11333</v>
      </c>
      <c r="F848" s="457">
        <v>44161.0</v>
      </c>
      <c r="G848" s="218">
        <v>0.0</v>
      </c>
      <c r="H848" s="218">
        <v>401093.0</v>
      </c>
      <c r="I848" s="218" t="s">
        <v>10075</v>
      </c>
      <c r="J848" s="218" t="s">
        <v>9415</v>
      </c>
      <c r="K848" s="218" t="s">
        <v>9398</v>
      </c>
      <c r="L848" s="218">
        <v>15113.0</v>
      </c>
      <c r="M848" s="218">
        <v>168105.0</v>
      </c>
      <c r="N848" s="218">
        <v>1.0E8</v>
      </c>
      <c r="O848" s="218">
        <v>339030.0</v>
      </c>
      <c r="P848" s="218" t="s">
        <v>10077</v>
      </c>
      <c r="Q848" s="222">
        <v>1500.0</v>
      </c>
      <c r="R848" s="222">
        <v>-1500.0</v>
      </c>
      <c r="S848" s="222">
        <v>0.0</v>
      </c>
      <c r="U848" s="218">
        <v>0.0</v>
      </c>
      <c r="AB848" t="e">
        <v>#N/A</v>
      </c>
    </row>
    <row r="849">
      <c r="A849" s="218" t="s">
        <v>116</v>
      </c>
      <c r="C849" s="218" t="s">
        <v>11334</v>
      </c>
      <c r="F849" s="457">
        <v>44161.0</v>
      </c>
      <c r="G849" s="218">
        <v>1.0</v>
      </c>
      <c r="H849" s="218">
        <v>401091.0</v>
      </c>
      <c r="J849" s="218" t="s">
        <v>11335</v>
      </c>
      <c r="K849" s="218" t="s">
        <v>11336</v>
      </c>
      <c r="L849" s="218">
        <v>15113.0</v>
      </c>
      <c r="M849" s="218">
        <v>168105.0</v>
      </c>
      <c r="N849" s="218">
        <v>1.0E8</v>
      </c>
      <c r="O849" s="218">
        <v>339030.0</v>
      </c>
      <c r="P849" s="218" t="s">
        <v>11337</v>
      </c>
      <c r="Q849" s="222">
        <v>28500.0</v>
      </c>
      <c r="R849" s="222">
        <v>28500.0</v>
      </c>
      <c r="S849" s="222">
        <v>0.0</v>
      </c>
      <c r="U849" s="218">
        <v>0.0</v>
      </c>
      <c r="X849" s="218">
        <v>1.51132020000258E14</v>
      </c>
      <c r="AB849" t="e">
        <v>#N/A</v>
      </c>
    </row>
    <row r="850">
      <c r="A850" s="218" t="s">
        <v>116</v>
      </c>
      <c r="C850" s="218" t="s">
        <v>11338</v>
      </c>
      <c r="F850" s="457">
        <v>44161.0</v>
      </c>
      <c r="G850" s="218">
        <v>1.0</v>
      </c>
      <c r="H850" s="218">
        <v>401091.0</v>
      </c>
      <c r="J850" s="218" t="s">
        <v>11339</v>
      </c>
      <c r="K850" s="218" t="s">
        <v>11340</v>
      </c>
      <c r="L850" s="218">
        <v>15113.0</v>
      </c>
      <c r="M850" s="218">
        <v>168105.0</v>
      </c>
      <c r="N850" s="218">
        <v>1.0E8</v>
      </c>
      <c r="O850" s="218">
        <v>339030.0</v>
      </c>
      <c r="P850" s="218" t="s">
        <v>11337</v>
      </c>
      <c r="Q850" s="222">
        <v>13425.6</v>
      </c>
      <c r="R850" s="222">
        <v>13425.6</v>
      </c>
      <c r="S850" s="222">
        <v>0.0</v>
      </c>
      <c r="U850" s="218">
        <v>0.0</v>
      </c>
      <c r="X850" s="218">
        <v>1.51132020000258E14</v>
      </c>
      <c r="AB850" t="e">
        <v>#N/A</v>
      </c>
    </row>
    <row r="851">
      <c r="A851" s="218" t="s">
        <v>116</v>
      </c>
      <c r="C851" s="218" t="s">
        <v>11341</v>
      </c>
      <c r="F851" s="457">
        <v>44162.0</v>
      </c>
      <c r="G851" s="218">
        <v>0.0</v>
      </c>
      <c r="H851" s="218">
        <v>401093.0</v>
      </c>
      <c r="I851" s="218" t="s">
        <v>11334</v>
      </c>
      <c r="J851" s="218" t="s">
        <v>11335</v>
      </c>
      <c r="K851" s="218" t="s">
        <v>9398</v>
      </c>
      <c r="L851" s="218">
        <v>15113.0</v>
      </c>
      <c r="M851" s="218">
        <v>168105.0</v>
      </c>
      <c r="N851" s="218">
        <v>1.0E8</v>
      </c>
      <c r="O851" s="218">
        <v>339030.0</v>
      </c>
      <c r="P851" s="218" t="s">
        <v>11337</v>
      </c>
      <c r="Q851" s="222">
        <v>28500.0</v>
      </c>
      <c r="R851" s="222">
        <v>-28500.0</v>
      </c>
      <c r="S851" s="222">
        <v>0.0</v>
      </c>
      <c r="U851" s="218">
        <v>0.0</v>
      </c>
      <c r="AB851" t="e">
        <v>#N/A</v>
      </c>
    </row>
    <row r="852">
      <c r="A852" s="218" t="s">
        <v>116</v>
      </c>
      <c r="C852" s="218" t="s">
        <v>11342</v>
      </c>
      <c r="F852" s="457">
        <v>44162.0</v>
      </c>
      <c r="G852" s="218">
        <v>0.0</v>
      </c>
      <c r="H852" s="218">
        <v>401093.0</v>
      </c>
      <c r="I852" s="218" t="s">
        <v>11338</v>
      </c>
      <c r="J852" s="218" t="s">
        <v>11339</v>
      </c>
      <c r="K852" s="218" t="s">
        <v>9398</v>
      </c>
      <c r="L852" s="218">
        <v>15113.0</v>
      </c>
      <c r="M852" s="218">
        <v>168105.0</v>
      </c>
      <c r="N852" s="218">
        <v>1.0E8</v>
      </c>
      <c r="O852" s="218">
        <v>339030.0</v>
      </c>
      <c r="P852" s="218" t="s">
        <v>11337</v>
      </c>
      <c r="Q852" s="222">
        <v>13425.6</v>
      </c>
      <c r="R852" s="222">
        <v>-13425.6</v>
      </c>
      <c r="S852" s="218">
        <v>0.0</v>
      </c>
      <c r="U852" s="218">
        <v>0.0</v>
      </c>
      <c r="AB852" t="e">
        <v>#N/A</v>
      </c>
    </row>
    <row r="853">
      <c r="A853" s="218" t="s">
        <v>116</v>
      </c>
      <c r="C853" s="218" t="s">
        <v>11343</v>
      </c>
      <c r="F853" s="457">
        <v>44162.0</v>
      </c>
      <c r="G853" s="218">
        <v>1.0</v>
      </c>
      <c r="H853" s="218">
        <v>401091.0</v>
      </c>
      <c r="J853" s="218" t="s">
        <v>11335</v>
      </c>
      <c r="K853" s="218" t="s">
        <v>11336</v>
      </c>
      <c r="L853" s="218">
        <v>15113.0</v>
      </c>
      <c r="M853" s="218">
        <v>168107.0</v>
      </c>
      <c r="N853" s="218">
        <v>1.0E8</v>
      </c>
      <c r="O853" s="218">
        <v>339030.0</v>
      </c>
      <c r="P853" s="218" t="s">
        <v>11337</v>
      </c>
      <c r="Q853" s="222">
        <v>28500.0</v>
      </c>
      <c r="R853" s="222">
        <v>28500.0</v>
      </c>
      <c r="S853" s="222">
        <v>28500.0</v>
      </c>
      <c r="U853" s="222">
        <v>28500.0</v>
      </c>
      <c r="X853" s="218">
        <v>1.51132020000258E14</v>
      </c>
      <c r="AB853" t="e">
        <v>#N/A</v>
      </c>
    </row>
    <row r="854">
      <c r="A854" s="218" t="s">
        <v>116</v>
      </c>
      <c r="C854" s="218" t="s">
        <v>11344</v>
      </c>
      <c r="F854" s="457">
        <v>44162.0</v>
      </c>
      <c r="G854" s="218">
        <v>1.0</v>
      </c>
      <c r="H854" s="218">
        <v>401091.0</v>
      </c>
      <c r="J854" s="218" t="s">
        <v>11339</v>
      </c>
      <c r="K854" s="218" t="s">
        <v>11340</v>
      </c>
      <c r="L854" s="218">
        <v>15113.0</v>
      </c>
      <c r="M854" s="218">
        <v>168107.0</v>
      </c>
      <c r="N854" s="218">
        <v>1.0E8</v>
      </c>
      <c r="O854" s="218">
        <v>339030.0</v>
      </c>
      <c r="P854" s="218" t="s">
        <v>11337</v>
      </c>
      <c r="Q854" s="222">
        <v>13425.6</v>
      </c>
      <c r="R854" s="222">
        <v>13425.6</v>
      </c>
      <c r="S854" s="222">
        <v>13425.6</v>
      </c>
      <c r="U854" s="222">
        <v>13425.6</v>
      </c>
      <c r="X854" s="218">
        <v>1.51132020000258E14</v>
      </c>
      <c r="AB854" t="e">
        <v>#N/A</v>
      </c>
    </row>
    <row r="855">
      <c r="A855" s="218" t="s">
        <v>781</v>
      </c>
      <c r="C855" s="218" t="s">
        <v>11345</v>
      </c>
      <c r="F855" s="457">
        <v>44162.0</v>
      </c>
      <c r="G855" s="218">
        <v>0.0</v>
      </c>
      <c r="H855" s="218">
        <v>401093.0</v>
      </c>
      <c r="I855" s="218" t="s">
        <v>9597</v>
      </c>
      <c r="J855" s="218" t="s">
        <v>9462</v>
      </c>
      <c r="K855" s="218" t="s">
        <v>9398</v>
      </c>
      <c r="L855" s="218">
        <v>15113.0</v>
      </c>
      <c r="M855" s="218">
        <v>168105.0</v>
      </c>
      <c r="N855" s="218">
        <v>1.0E8</v>
      </c>
      <c r="O855" s="218">
        <v>339040.0</v>
      </c>
      <c r="P855" s="218" t="s">
        <v>9599</v>
      </c>
      <c r="Q855" s="222">
        <v>16872.96</v>
      </c>
      <c r="R855" s="222">
        <v>-16872.96</v>
      </c>
      <c r="S855" s="218">
        <v>0.0</v>
      </c>
      <c r="U855" s="218">
        <v>0.0</v>
      </c>
      <c r="AB855" t="e">
        <v>#N/A</v>
      </c>
    </row>
    <row r="856">
      <c r="A856" s="218" t="s">
        <v>781</v>
      </c>
      <c r="C856" s="218" t="s">
        <v>11346</v>
      </c>
      <c r="F856" s="457">
        <v>44162.0</v>
      </c>
      <c r="G856" s="218">
        <v>0.0</v>
      </c>
      <c r="H856" s="218">
        <v>401093.0</v>
      </c>
      <c r="I856" s="218" t="s">
        <v>9610</v>
      </c>
      <c r="J856" s="218" t="s">
        <v>9462</v>
      </c>
      <c r="K856" s="218" t="s">
        <v>9398</v>
      </c>
      <c r="L856" s="218">
        <v>15113.0</v>
      </c>
      <c r="M856" s="218">
        <v>168105.0</v>
      </c>
      <c r="N856" s="218">
        <v>1.0E8</v>
      </c>
      <c r="O856" s="218">
        <v>339039.0</v>
      </c>
      <c r="P856" s="218" t="s">
        <v>9612</v>
      </c>
      <c r="Q856" s="222">
        <v>14662.88</v>
      </c>
      <c r="R856" s="222">
        <v>-14662.88</v>
      </c>
      <c r="S856" s="218">
        <v>0.0</v>
      </c>
      <c r="U856" s="218">
        <v>0.0</v>
      </c>
      <c r="AB856" t="e">
        <v>#N/A</v>
      </c>
    </row>
    <row r="857">
      <c r="A857" s="218" t="s">
        <v>781</v>
      </c>
      <c r="C857" s="218" t="s">
        <v>11347</v>
      </c>
      <c r="F857" s="457">
        <v>44162.0</v>
      </c>
      <c r="G857" s="218">
        <v>0.0</v>
      </c>
      <c r="H857" s="218">
        <v>401093.0</v>
      </c>
      <c r="I857" s="218" t="s">
        <v>9726</v>
      </c>
      <c r="J857" s="218" t="s">
        <v>9723</v>
      </c>
      <c r="K857" s="218" t="s">
        <v>9398</v>
      </c>
      <c r="L857" s="218">
        <v>15113.0</v>
      </c>
      <c r="M857" s="218">
        <v>168105.0</v>
      </c>
      <c r="N857" s="218">
        <v>1.27E8</v>
      </c>
      <c r="O857" s="218">
        <v>339039.0</v>
      </c>
      <c r="P857" s="218" t="s">
        <v>9725</v>
      </c>
      <c r="Q857" s="222">
        <v>8972.07</v>
      </c>
      <c r="R857" s="222">
        <v>-8972.07</v>
      </c>
      <c r="S857" s="218">
        <v>0.0</v>
      </c>
      <c r="U857" s="218">
        <v>0.0</v>
      </c>
      <c r="AB857" t="e">
        <v>#N/A</v>
      </c>
    </row>
    <row r="858">
      <c r="A858" s="218" t="s">
        <v>781</v>
      </c>
      <c r="C858" s="218" t="s">
        <v>11348</v>
      </c>
      <c r="F858" s="457">
        <v>44162.0</v>
      </c>
      <c r="G858" s="218">
        <v>0.0</v>
      </c>
      <c r="H858" s="218">
        <v>401093.0</v>
      </c>
      <c r="I858" s="218" t="s">
        <v>9722</v>
      </c>
      <c r="J858" s="218" t="s">
        <v>9723</v>
      </c>
      <c r="K858" s="218" t="s">
        <v>9398</v>
      </c>
      <c r="L858" s="218">
        <v>15113.0</v>
      </c>
      <c r="M858" s="218">
        <v>168105.0</v>
      </c>
      <c r="N858" s="218">
        <v>1.0E8</v>
      </c>
      <c r="O858" s="218">
        <v>339030.0</v>
      </c>
      <c r="P858" s="218" t="s">
        <v>9725</v>
      </c>
      <c r="Q858" s="222">
        <v>1000.0</v>
      </c>
      <c r="R858" s="222">
        <v>-1000.0</v>
      </c>
      <c r="S858" s="218">
        <v>0.0</v>
      </c>
      <c r="U858" s="218">
        <v>0.0</v>
      </c>
      <c r="AB858" t="e">
        <v>#N/A</v>
      </c>
    </row>
    <row r="859">
      <c r="A859" s="218" t="s">
        <v>781</v>
      </c>
      <c r="C859" s="218" t="s">
        <v>11349</v>
      </c>
      <c r="F859" s="457">
        <v>44162.0</v>
      </c>
      <c r="G859" s="218">
        <v>0.0</v>
      </c>
      <c r="H859" s="218">
        <v>401093.0</v>
      </c>
      <c r="I859" s="218" t="s">
        <v>9889</v>
      </c>
      <c r="J859" s="218" t="s">
        <v>9890</v>
      </c>
      <c r="K859" s="218" t="s">
        <v>9398</v>
      </c>
      <c r="L859" s="218">
        <v>15113.0</v>
      </c>
      <c r="M859" s="218">
        <v>168105.0</v>
      </c>
      <c r="N859" s="218">
        <v>1.27E8</v>
      </c>
      <c r="O859" s="218">
        <v>339039.0</v>
      </c>
      <c r="P859" s="218" t="s">
        <v>9888</v>
      </c>
      <c r="Q859" s="222">
        <v>1300.0</v>
      </c>
      <c r="R859" s="222">
        <v>-1300.0</v>
      </c>
      <c r="S859" s="218">
        <v>0.0</v>
      </c>
      <c r="U859" s="218">
        <v>0.0</v>
      </c>
      <c r="AB859" t="e">
        <v>#N/A</v>
      </c>
    </row>
    <row r="860">
      <c r="A860" s="218" t="s">
        <v>781</v>
      </c>
      <c r="C860" s="218" t="s">
        <v>11350</v>
      </c>
      <c r="F860" s="457">
        <v>44162.0</v>
      </c>
      <c r="G860" s="218">
        <v>0.0</v>
      </c>
      <c r="H860" s="218">
        <v>401092.0</v>
      </c>
      <c r="I860" s="218" t="s">
        <v>9885</v>
      </c>
      <c r="J860" s="218" t="s">
        <v>9886</v>
      </c>
      <c r="K860" s="218" t="s">
        <v>9904</v>
      </c>
      <c r="L860" s="218">
        <v>15113.0</v>
      </c>
      <c r="M860" s="218">
        <v>168105.0</v>
      </c>
      <c r="N860" s="218">
        <v>1.0E8</v>
      </c>
      <c r="O860" s="218">
        <v>339039.0</v>
      </c>
      <c r="P860" s="218" t="s">
        <v>9888</v>
      </c>
      <c r="Q860" s="222">
        <v>1462.91</v>
      </c>
      <c r="R860" s="222">
        <v>1462.91</v>
      </c>
      <c r="S860" s="222">
        <v>0.0</v>
      </c>
      <c r="U860" s="218">
        <v>0.0</v>
      </c>
      <c r="X860" s="218">
        <v>1.51132020000111E14</v>
      </c>
      <c r="AB860" t="e">
        <v>#N/A</v>
      </c>
    </row>
    <row r="861">
      <c r="A861" s="218" t="s">
        <v>781</v>
      </c>
      <c r="C861" s="218" t="s">
        <v>11351</v>
      </c>
      <c r="F861" s="457">
        <v>44162.0</v>
      </c>
      <c r="G861" s="218">
        <v>0.0</v>
      </c>
      <c r="H861" s="218">
        <v>401093.0</v>
      </c>
      <c r="I861" s="218" t="s">
        <v>10506</v>
      </c>
      <c r="J861" s="218" t="s">
        <v>9582</v>
      </c>
      <c r="K861" s="218" t="s">
        <v>9398</v>
      </c>
      <c r="L861" s="218">
        <v>15113.0</v>
      </c>
      <c r="M861" s="218">
        <v>168105.0</v>
      </c>
      <c r="N861" s="218">
        <v>1.0E8</v>
      </c>
      <c r="O861" s="218">
        <v>339030.0</v>
      </c>
      <c r="P861" s="218" t="s">
        <v>10287</v>
      </c>
      <c r="Q861" s="222">
        <v>371.0</v>
      </c>
      <c r="R861" s="222">
        <v>-371.0</v>
      </c>
      <c r="S861" s="218">
        <v>0.0</v>
      </c>
      <c r="U861" s="218">
        <v>0.0</v>
      </c>
      <c r="AB861" t="e">
        <v>#N/A</v>
      </c>
    </row>
    <row r="862">
      <c r="A862" s="218" t="s">
        <v>781</v>
      </c>
      <c r="C862" s="218" t="s">
        <v>11352</v>
      </c>
      <c r="F862" s="457">
        <v>44162.0</v>
      </c>
      <c r="G862" s="218">
        <v>0.0</v>
      </c>
      <c r="H862" s="218">
        <v>401093.0</v>
      </c>
      <c r="I862" s="218" t="s">
        <v>9817</v>
      </c>
      <c r="J862" s="218" t="s">
        <v>9814</v>
      </c>
      <c r="K862" s="218" t="s">
        <v>9398</v>
      </c>
      <c r="L862" s="218">
        <v>15113.0</v>
      </c>
      <c r="M862" s="218">
        <v>168105.0</v>
      </c>
      <c r="N862" s="218">
        <v>1.27E8</v>
      </c>
      <c r="O862" s="218">
        <v>339039.0</v>
      </c>
      <c r="P862" s="218" t="s">
        <v>9816</v>
      </c>
      <c r="Q862" s="222">
        <v>25000.0</v>
      </c>
      <c r="R862" s="222">
        <v>-25000.0</v>
      </c>
      <c r="S862" s="218">
        <v>0.0</v>
      </c>
      <c r="U862" s="218">
        <v>0.0</v>
      </c>
      <c r="AB862" t="e">
        <v>#N/A</v>
      </c>
    </row>
    <row r="863">
      <c r="A863" s="218" t="s">
        <v>781</v>
      </c>
      <c r="C863" s="218" t="s">
        <v>11353</v>
      </c>
      <c r="F863" s="457">
        <v>44162.0</v>
      </c>
      <c r="G863" s="218">
        <v>0.0</v>
      </c>
      <c r="H863" s="218">
        <v>401093.0</v>
      </c>
      <c r="I863" s="218" t="s">
        <v>9734</v>
      </c>
      <c r="J863" s="218" t="s">
        <v>9735</v>
      </c>
      <c r="K863" s="218" t="s">
        <v>9398</v>
      </c>
      <c r="L863" s="218">
        <v>15113.0</v>
      </c>
      <c r="M863" s="218">
        <v>168105.0</v>
      </c>
      <c r="N863" s="218">
        <v>1.0E8</v>
      </c>
      <c r="O863" s="218">
        <v>339030.0</v>
      </c>
      <c r="P863" s="218" t="s">
        <v>9737</v>
      </c>
      <c r="Q863" s="222">
        <v>4000.0</v>
      </c>
      <c r="R863" s="222">
        <v>-4000.0</v>
      </c>
      <c r="S863" s="222">
        <v>0.0</v>
      </c>
      <c r="U863" s="218">
        <v>0.0</v>
      </c>
      <c r="AB863" t="e">
        <v>#N/A</v>
      </c>
    </row>
    <row r="864">
      <c r="A864" s="218" t="s">
        <v>781</v>
      </c>
      <c r="C864" s="218" t="s">
        <v>11354</v>
      </c>
      <c r="F864" s="457">
        <v>44162.0</v>
      </c>
      <c r="G864" s="218">
        <v>0.0</v>
      </c>
      <c r="H864" s="218">
        <v>401093.0</v>
      </c>
      <c r="I864" s="218" t="s">
        <v>9738</v>
      </c>
      <c r="J864" s="218" t="s">
        <v>9735</v>
      </c>
      <c r="K864" s="218" t="s">
        <v>9398</v>
      </c>
      <c r="L864" s="218">
        <v>15113.0</v>
      </c>
      <c r="M864" s="218">
        <v>168105.0</v>
      </c>
      <c r="N864" s="218">
        <v>1.27E8</v>
      </c>
      <c r="O864" s="218">
        <v>339039.0</v>
      </c>
      <c r="P864" s="218" t="s">
        <v>9737</v>
      </c>
      <c r="Q864" s="222">
        <v>10000.0</v>
      </c>
      <c r="R864" s="222">
        <v>-10000.0</v>
      </c>
      <c r="S864" s="222">
        <v>0.0</v>
      </c>
      <c r="U864" s="218">
        <v>0.0</v>
      </c>
      <c r="AB864" t="e">
        <v>#N/A</v>
      </c>
    </row>
    <row r="865">
      <c r="A865" s="218" t="s">
        <v>11355</v>
      </c>
      <c r="C865" s="218" t="s">
        <v>11356</v>
      </c>
      <c r="F865" s="457">
        <v>44162.0</v>
      </c>
      <c r="G865" s="218">
        <v>1.0</v>
      </c>
      <c r="H865" s="218">
        <v>401091.0</v>
      </c>
      <c r="J865" s="218" t="s">
        <v>9333</v>
      </c>
      <c r="K865" s="218" t="s">
        <v>11357</v>
      </c>
      <c r="L865" s="218">
        <v>15113.0</v>
      </c>
      <c r="M865" s="218">
        <v>168105.0</v>
      </c>
      <c r="N865" s="218">
        <v>1.0E8</v>
      </c>
      <c r="O865" s="218">
        <v>339036.0</v>
      </c>
      <c r="P865" s="218" t="s">
        <v>11358</v>
      </c>
      <c r="Q865" s="222">
        <v>750.0</v>
      </c>
      <c r="R865" s="222">
        <v>750.0</v>
      </c>
      <c r="S865" s="222">
        <v>750.0</v>
      </c>
      <c r="U865" s="218">
        <v>0.0</v>
      </c>
      <c r="X865" s="218">
        <v>1.51132020000266E14</v>
      </c>
      <c r="AB865" t="e">
        <v>#N/A</v>
      </c>
    </row>
    <row r="866">
      <c r="A866" s="218" t="s">
        <v>116</v>
      </c>
      <c r="C866" s="218" t="s">
        <v>11359</v>
      </c>
      <c r="F866" s="457">
        <v>44165.0</v>
      </c>
      <c r="G866" s="218">
        <v>0.0</v>
      </c>
      <c r="H866" s="218">
        <v>401095.0</v>
      </c>
      <c r="I866" s="218" t="s">
        <v>11360</v>
      </c>
      <c r="J866" s="218" t="s">
        <v>9845</v>
      </c>
      <c r="K866" s="218" t="s">
        <v>11080</v>
      </c>
      <c r="L866" s="218">
        <v>0.0</v>
      </c>
      <c r="M866" s="218">
        <v>0.0</v>
      </c>
      <c r="O866" s="218">
        <v>0.0</v>
      </c>
      <c r="P866" s="218" t="s">
        <v>11361</v>
      </c>
      <c r="Q866" s="222">
        <v>38.23</v>
      </c>
      <c r="R866" s="222">
        <v>-38.23</v>
      </c>
      <c r="S866" s="222">
        <v>0.0</v>
      </c>
      <c r="U866" s="218">
        <v>0.0</v>
      </c>
      <c r="AB866" t="e">
        <v>#N/A</v>
      </c>
    </row>
    <row r="867">
      <c r="A867" s="218" t="s">
        <v>116</v>
      </c>
      <c r="C867" s="218" t="s">
        <v>11362</v>
      </c>
      <c r="F867" s="457">
        <v>44165.0</v>
      </c>
      <c r="G867" s="218">
        <v>0.0</v>
      </c>
      <c r="H867" s="218">
        <v>401095.0</v>
      </c>
      <c r="I867" s="218" t="s">
        <v>11363</v>
      </c>
      <c r="J867" s="218" t="s">
        <v>9845</v>
      </c>
      <c r="K867" s="218" t="s">
        <v>9962</v>
      </c>
      <c r="L867" s="218">
        <v>0.0</v>
      </c>
      <c r="M867" s="218">
        <v>0.0</v>
      </c>
      <c r="O867" s="218">
        <v>0.0</v>
      </c>
      <c r="P867" s="218" t="s">
        <v>11361</v>
      </c>
      <c r="Q867" s="222">
        <v>580.23</v>
      </c>
      <c r="R867" s="222">
        <v>-580.23</v>
      </c>
      <c r="S867" s="218">
        <v>0.0</v>
      </c>
      <c r="U867" s="218">
        <v>0.0</v>
      </c>
      <c r="AB867" t="e">
        <v>#N/A</v>
      </c>
    </row>
    <row r="868">
      <c r="A868" s="218" t="s">
        <v>116</v>
      </c>
      <c r="C868" s="218" t="s">
        <v>11364</v>
      </c>
      <c r="F868" s="457">
        <v>44165.0</v>
      </c>
      <c r="G868" s="218">
        <v>0.0</v>
      </c>
      <c r="H868" s="218">
        <v>401095.0</v>
      </c>
      <c r="I868" s="218" t="s">
        <v>11365</v>
      </c>
      <c r="J868" s="218" t="s">
        <v>9984</v>
      </c>
      <c r="K868" s="218" t="s">
        <v>9962</v>
      </c>
      <c r="L868" s="218">
        <v>0.0</v>
      </c>
      <c r="M868" s="218">
        <v>0.0</v>
      </c>
      <c r="O868" s="218">
        <v>0.0</v>
      </c>
      <c r="P868" s="218" t="s">
        <v>11366</v>
      </c>
      <c r="Q868" s="218">
        <v>963.33</v>
      </c>
      <c r="R868" s="218">
        <v>-963.33</v>
      </c>
      <c r="S868" s="218">
        <v>0.0</v>
      </c>
      <c r="U868" s="218">
        <v>0.0</v>
      </c>
      <c r="AB868" t="e">
        <v>#N/A</v>
      </c>
    </row>
    <row r="869">
      <c r="A869" s="218" t="s">
        <v>116</v>
      </c>
      <c r="C869" s="218" t="s">
        <v>11367</v>
      </c>
      <c r="F869" s="457">
        <v>44165.0</v>
      </c>
      <c r="G869" s="218">
        <v>0.0</v>
      </c>
      <c r="H869" s="218">
        <v>401095.0</v>
      </c>
      <c r="I869" s="218" t="s">
        <v>11368</v>
      </c>
      <c r="J869" s="218" t="s">
        <v>11369</v>
      </c>
      <c r="K869" s="218" t="s">
        <v>9962</v>
      </c>
      <c r="L869" s="218">
        <v>0.0</v>
      </c>
      <c r="M869" s="218">
        <v>0.0</v>
      </c>
      <c r="O869" s="218">
        <v>0.0</v>
      </c>
      <c r="P869" s="218" t="s">
        <v>11370</v>
      </c>
      <c r="Q869" s="222">
        <v>7872.08</v>
      </c>
      <c r="R869" s="222">
        <v>-7872.08</v>
      </c>
      <c r="S869" s="218">
        <v>0.0</v>
      </c>
      <c r="U869" s="218">
        <v>0.0</v>
      </c>
      <c r="AB869" t="e">
        <v>#N/A</v>
      </c>
    </row>
    <row r="870">
      <c r="A870" s="218" t="s">
        <v>116</v>
      </c>
      <c r="C870" s="218" t="s">
        <v>11371</v>
      </c>
      <c r="F870" s="457">
        <v>44165.0</v>
      </c>
      <c r="G870" s="218">
        <v>0.0</v>
      </c>
      <c r="H870" s="218">
        <v>401095.0</v>
      </c>
      <c r="I870" s="218" t="s">
        <v>11372</v>
      </c>
      <c r="J870" s="218" t="s">
        <v>11369</v>
      </c>
      <c r="K870" s="218" t="s">
        <v>9962</v>
      </c>
      <c r="L870" s="218">
        <v>0.0</v>
      </c>
      <c r="M870" s="218">
        <v>0.0</v>
      </c>
      <c r="O870" s="218">
        <v>0.0</v>
      </c>
      <c r="P870" s="218" t="s">
        <v>11370</v>
      </c>
      <c r="Q870" s="222">
        <v>103.5</v>
      </c>
      <c r="R870" s="222">
        <v>-103.5</v>
      </c>
      <c r="S870" s="222">
        <v>0.0</v>
      </c>
      <c r="U870" s="218">
        <v>0.0</v>
      </c>
      <c r="AB870" t="e">
        <v>#N/A</v>
      </c>
    </row>
    <row r="871">
      <c r="A871" s="218" t="s">
        <v>116</v>
      </c>
      <c r="C871" s="218" t="s">
        <v>11373</v>
      </c>
      <c r="F871" s="457">
        <v>44165.0</v>
      </c>
      <c r="G871" s="218">
        <v>0.0</v>
      </c>
      <c r="H871" s="218">
        <v>401095.0</v>
      </c>
      <c r="I871" s="218" t="s">
        <v>11374</v>
      </c>
      <c r="J871" s="218" t="s">
        <v>9934</v>
      </c>
      <c r="K871" s="218" t="s">
        <v>9962</v>
      </c>
      <c r="L871" s="218">
        <v>0.0</v>
      </c>
      <c r="M871" s="218">
        <v>0.0</v>
      </c>
      <c r="O871" s="218">
        <v>0.0</v>
      </c>
      <c r="P871" s="218" t="s">
        <v>11375</v>
      </c>
      <c r="Q871" s="222">
        <v>695.0</v>
      </c>
      <c r="R871" s="222">
        <v>-695.0</v>
      </c>
      <c r="S871" s="218">
        <v>0.0</v>
      </c>
      <c r="U871" s="218">
        <v>0.0</v>
      </c>
      <c r="AB871" t="e">
        <v>#N/A</v>
      </c>
    </row>
    <row r="872">
      <c r="A872" s="218" t="s">
        <v>116</v>
      </c>
      <c r="C872" s="218" t="s">
        <v>11376</v>
      </c>
      <c r="F872" s="457">
        <v>44165.0</v>
      </c>
      <c r="G872" s="218">
        <v>0.0</v>
      </c>
      <c r="H872" s="218">
        <v>401095.0</v>
      </c>
      <c r="I872" s="218" t="s">
        <v>11377</v>
      </c>
      <c r="J872" s="218" t="s">
        <v>11378</v>
      </c>
      <c r="K872" s="218" t="s">
        <v>9962</v>
      </c>
      <c r="L872" s="218">
        <v>0.0</v>
      </c>
      <c r="M872" s="218">
        <v>0.0</v>
      </c>
      <c r="O872" s="218">
        <v>0.0</v>
      </c>
      <c r="P872" s="218" t="s">
        <v>11379</v>
      </c>
      <c r="Q872" s="222">
        <v>23889.56</v>
      </c>
      <c r="R872" s="222">
        <v>-23889.56</v>
      </c>
      <c r="S872" s="222">
        <v>0.0</v>
      </c>
      <c r="U872" s="218">
        <v>0.0</v>
      </c>
      <c r="AB872" t="e">
        <v>#N/A</v>
      </c>
    </row>
    <row r="873">
      <c r="A873" s="218" t="s">
        <v>116</v>
      </c>
      <c r="C873" s="218" t="s">
        <v>11380</v>
      </c>
      <c r="F873" s="457">
        <v>44165.0</v>
      </c>
      <c r="G873" s="218">
        <v>0.0</v>
      </c>
      <c r="H873" s="218">
        <v>401095.0</v>
      </c>
      <c r="I873" s="218" t="s">
        <v>11381</v>
      </c>
      <c r="J873" s="218" t="s">
        <v>11378</v>
      </c>
      <c r="K873" s="218" t="s">
        <v>9962</v>
      </c>
      <c r="L873" s="218">
        <v>0.0</v>
      </c>
      <c r="M873" s="218">
        <v>0.0</v>
      </c>
      <c r="O873" s="218">
        <v>0.0</v>
      </c>
      <c r="P873" s="218" t="s">
        <v>11379</v>
      </c>
      <c r="Q873" s="218">
        <v>735.19</v>
      </c>
      <c r="R873" s="218">
        <v>-735.19</v>
      </c>
      <c r="S873" s="218">
        <v>0.0</v>
      </c>
      <c r="U873" s="218">
        <v>0.0</v>
      </c>
      <c r="AB873" t="e">
        <v>#N/A</v>
      </c>
    </row>
    <row r="874">
      <c r="A874" s="218" t="s">
        <v>116</v>
      </c>
      <c r="C874" s="218" t="s">
        <v>11382</v>
      </c>
      <c r="F874" s="457">
        <v>44165.0</v>
      </c>
      <c r="G874" s="218">
        <v>0.0</v>
      </c>
      <c r="H874" s="218">
        <v>401095.0</v>
      </c>
      <c r="I874" s="218" t="s">
        <v>11383</v>
      </c>
      <c r="J874" s="218" t="s">
        <v>11384</v>
      </c>
      <c r="K874" s="218" t="s">
        <v>9962</v>
      </c>
      <c r="L874" s="218">
        <v>0.0</v>
      </c>
      <c r="M874" s="218">
        <v>0.0</v>
      </c>
      <c r="O874" s="218">
        <v>0.0</v>
      </c>
      <c r="P874" s="218" t="s">
        <v>11385</v>
      </c>
      <c r="Q874" s="218">
        <v>249.76</v>
      </c>
      <c r="R874" s="218">
        <v>-249.76</v>
      </c>
      <c r="S874" s="218">
        <v>0.0</v>
      </c>
      <c r="U874" s="218">
        <v>0.0</v>
      </c>
      <c r="AB874" t="e">
        <v>#N/A</v>
      </c>
    </row>
    <row r="875">
      <c r="A875" s="218" t="s">
        <v>9331</v>
      </c>
      <c r="C875" s="218" t="s">
        <v>11386</v>
      </c>
      <c r="F875" s="457">
        <v>44165.0</v>
      </c>
      <c r="G875" s="218">
        <v>0.0</v>
      </c>
      <c r="H875" s="218">
        <v>401093.0</v>
      </c>
      <c r="I875" s="218" t="s">
        <v>9332</v>
      </c>
      <c r="J875" s="218" t="s">
        <v>9333</v>
      </c>
      <c r="K875" s="218" t="s">
        <v>9398</v>
      </c>
      <c r="L875" s="218">
        <v>15113.0</v>
      </c>
      <c r="M875" s="218">
        <v>168098.0</v>
      </c>
      <c r="N875" s="218">
        <v>1.0E8</v>
      </c>
      <c r="O875" s="218">
        <v>319011.0</v>
      </c>
      <c r="P875" s="218" t="s">
        <v>9335</v>
      </c>
      <c r="Q875" s="222">
        <v>2818376.52</v>
      </c>
      <c r="R875" s="222">
        <v>-2818376.52</v>
      </c>
      <c r="S875" s="222">
        <v>0.0</v>
      </c>
      <c r="U875" s="218">
        <v>0.0</v>
      </c>
      <c r="AB875" t="e">
        <v>#N/A</v>
      </c>
    </row>
    <row r="876">
      <c r="A876" s="218" t="s">
        <v>9331</v>
      </c>
      <c r="C876" s="218" t="s">
        <v>11387</v>
      </c>
      <c r="F876" s="457">
        <v>44165.0</v>
      </c>
      <c r="G876" s="218">
        <v>0.0</v>
      </c>
      <c r="H876" s="218">
        <v>401092.0</v>
      </c>
      <c r="I876" s="218" t="s">
        <v>9332</v>
      </c>
      <c r="J876" s="218" t="s">
        <v>9333</v>
      </c>
      <c r="K876" s="218" t="s">
        <v>9904</v>
      </c>
      <c r="L876" s="218">
        <v>15113.0</v>
      </c>
      <c r="M876" s="218">
        <v>168098.0</v>
      </c>
      <c r="N876" s="218">
        <v>1.0E8</v>
      </c>
      <c r="O876" s="218">
        <v>319011.0</v>
      </c>
      <c r="P876" s="218" t="s">
        <v>9335</v>
      </c>
      <c r="Q876" s="222">
        <v>1.335503247E7</v>
      </c>
      <c r="R876" s="222">
        <v>1.335503247E7</v>
      </c>
      <c r="S876" s="222">
        <v>0.0</v>
      </c>
      <c r="U876" s="218">
        <v>0.0</v>
      </c>
      <c r="X876" s="218">
        <v>1.51132020000185E14</v>
      </c>
      <c r="AB876" t="e">
        <v>#N/A</v>
      </c>
    </row>
    <row r="877">
      <c r="A877" s="218" t="s">
        <v>9331</v>
      </c>
      <c r="C877" s="218" t="s">
        <v>11388</v>
      </c>
      <c r="F877" s="457">
        <v>44165.0</v>
      </c>
      <c r="G877" s="218">
        <v>0.0</v>
      </c>
      <c r="H877" s="218">
        <v>401093.0</v>
      </c>
      <c r="I877" s="218" t="s">
        <v>9332</v>
      </c>
      <c r="J877" s="218" t="s">
        <v>9333</v>
      </c>
      <c r="K877" s="218" t="s">
        <v>9398</v>
      </c>
      <c r="L877" s="218">
        <v>15113.0</v>
      </c>
      <c r="M877" s="218">
        <v>168098.0</v>
      </c>
      <c r="N877" s="218">
        <v>1.0E8</v>
      </c>
      <c r="O877" s="218">
        <v>319011.0</v>
      </c>
      <c r="P877" s="218" t="s">
        <v>9335</v>
      </c>
      <c r="Q877" s="222">
        <v>391628.03</v>
      </c>
      <c r="R877" s="222">
        <v>-391628.03</v>
      </c>
      <c r="S877" s="222">
        <v>0.0</v>
      </c>
      <c r="U877" s="218">
        <v>0.0</v>
      </c>
      <c r="AB877" t="e">
        <v>#N/A</v>
      </c>
    </row>
    <row r="878">
      <c r="A878" s="218" t="s">
        <v>9331</v>
      </c>
      <c r="C878" s="218" t="s">
        <v>11389</v>
      </c>
      <c r="F878" s="457">
        <v>44165.0</v>
      </c>
      <c r="G878" s="218">
        <v>0.0</v>
      </c>
      <c r="H878" s="218">
        <v>401092.0</v>
      </c>
      <c r="I878" s="218" t="s">
        <v>9332</v>
      </c>
      <c r="J878" s="218" t="s">
        <v>9333</v>
      </c>
      <c r="K878" s="218" t="s">
        <v>9904</v>
      </c>
      <c r="L878" s="218">
        <v>15113.0</v>
      </c>
      <c r="M878" s="218">
        <v>168098.0</v>
      </c>
      <c r="N878" s="218">
        <v>1.0E8</v>
      </c>
      <c r="O878" s="218">
        <v>319011.0</v>
      </c>
      <c r="P878" s="218" t="s">
        <v>9335</v>
      </c>
      <c r="Q878" s="222">
        <v>391628.03</v>
      </c>
      <c r="R878" s="222">
        <v>391628.03</v>
      </c>
      <c r="S878" s="218">
        <v>0.0</v>
      </c>
      <c r="U878" s="218">
        <v>0.0</v>
      </c>
      <c r="X878" s="218">
        <v>1.51132020000185E14</v>
      </c>
      <c r="AB878" t="e">
        <v>#N/A</v>
      </c>
    </row>
    <row r="879">
      <c r="A879" s="218" t="s">
        <v>9331</v>
      </c>
      <c r="C879" s="218" t="s">
        <v>11390</v>
      </c>
      <c r="F879" s="457">
        <v>44165.0</v>
      </c>
      <c r="G879" s="218">
        <v>0.0</v>
      </c>
      <c r="H879" s="218">
        <v>401093.0</v>
      </c>
      <c r="I879" s="218" t="s">
        <v>9353</v>
      </c>
      <c r="J879" s="218" t="s">
        <v>9333</v>
      </c>
      <c r="K879" s="218" t="s">
        <v>9398</v>
      </c>
      <c r="L879" s="218">
        <v>15113.0</v>
      </c>
      <c r="M879" s="218">
        <v>168099.0</v>
      </c>
      <c r="N879" s="218">
        <v>1.69E8</v>
      </c>
      <c r="O879" s="218">
        <v>319001.0</v>
      </c>
      <c r="P879" s="218" t="s">
        <v>9335</v>
      </c>
      <c r="Q879" s="222">
        <v>1369778.57</v>
      </c>
      <c r="R879" s="222">
        <v>-1369778.57</v>
      </c>
      <c r="S879" s="222">
        <v>0.0</v>
      </c>
      <c r="U879" s="218">
        <v>0.0</v>
      </c>
      <c r="AB879" t="e">
        <v>#N/A</v>
      </c>
    </row>
    <row r="880">
      <c r="A880" s="218" t="s">
        <v>9331</v>
      </c>
      <c r="C880" s="218" t="s">
        <v>11391</v>
      </c>
      <c r="F880" s="457">
        <v>44165.0</v>
      </c>
      <c r="G880" s="218">
        <v>0.0</v>
      </c>
      <c r="H880" s="218">
        <v>401092.0</v>
      </c>
      <c r="I880" s="218" t="s">
        <v>9353</v>
      </c>
      <c r="J880" s="218" t="s">
        <v>9333</v>
      </c>
      <c r="K880" s="218" t="s">
        <v>9904</v>
      </c>
      <c r="L880" s="218">
        <v>15113.0</v>
      </c>
      <c r="M880" s="218">
        <v>168099.0</v>
      </c>
      <c r="N880" s="218">
        <v>1.69E8</v>
      </c>
      <c r="O880" s="218">
        <v>319001.0</v>
      </c>
      <c r="P880" s="218" t="s">
        <v>9335</v>
      </c>
      <c r="Q880" s="222">
        <v>8752854.37</v>
      </c>
      <c r="R880" s="222">
        <v>8752854.37</v>
      </c>
      <c r="S880" s="222">
        <v>0.0</v>
      </c>
      <c r="U880" s="218">
        <v>0.0</v>
      </c>
      <c r="X880" s="218">
        <v>1.51132020000179E14</v>
      </c>
      <c r="AB880" t="e">
        <v>#N/A</v>
      </c>
    </row>
    <row r="881">
      <c r="A881" s="218" t="s">
        <v>9331</v>
      </c>
      <c r="C881" s="218" t="s">
        <v>11392</v>
      </c>
      <c r="F881" s="457">
        <v>44165.0</v>
      </c>
      <c r="G881" s="218">
        <v>0.0</v>
      </c>
      <c r="H881" s="218">
        <v>401093.0</v>
      </c>
      <c r="I881" s="218" t="s">
        <v>9353</v>
      </c>
      <c r="J881" s="218" t="s">
        <v>9333</v>
      </c>
      <c r="K881" s="218" t="s">
        <v>9398</v>
      </c>
      <c r="L881" s="218">
        <v>15113.0</v>
      </c>
      <c r="M881" s="218">
        <v>168099.0</v>
      </c>
      <c r="N881" s="218">
        <v>1.69E8</v>
      </c>
      <c r="O881" s="218">
        <v>319001.0</v>
      </c>
      <c r="P881" s="218" t="s">
        <v>9335</v>
      </c>
      <c r="Q881" s="222">
        <v>823748.02</v>
      </c>
      <c r="R881" s="222">
        <v>-823748.02</v>
      </c>
      <c r="S881" s="218">
        <v>0.0</v>
      </c>
      <c r="U881" s="218">
        <v>0.0</v>
      </c>
      <c r="AB881" t="e">
        <v>#N/A</v>
      </c>
    </row>
    <row r="882">
      <c r="A882" s="218" t="s">
        <v>9331</v>
      </c>
      <c r="C882" s="218" t="s">
        <v>11393</v>
      </c>
      <c r="F882" s="457">
        <v>44165.0</v>
      </c>
      <c r="G882" s="218">
        <v>0.0</v>
      </c>
      <c r="H882" s="218">
        <v>401092.0</v>
      </c>
      <c r="I882" s="218" t="s">
        <v>9354</v>
      </c>
      <c r="J882" s="218" t="s">
        <v>9333</v>
      </c>
      <c r="K882" s="218" t="s">
        <v>9904</v>
      </c>
      <c r="L882" s="218">
        <v>15113.0</v>
      </c>
      <c r="M882" s="218">
        <v>168099.0</v>
      </c>
      <c r="N882" s="218">
        <v>1.69E8</v>
      </c>
      <c r="O882" s="218">
        <v>319003.0</v>
      </c>
      <c r="P882" s="218" t="s">
        <v>9335</v>
      </c>
      <c r="Q882" s="222">
        <v>823748.02</v>
      </c>
      <c r="R882" s="222">
        <v>823748.02</v>
      </c>
      <c r="S882" s="218">
        <v>0.0</v>
      </c>
      <c r="U882" s="218">
        <v>0.0</v>
      </c>
      <c r="X882" s="218">
        <v>1.51132020000188E14</v>
      </c>
      <c r="AB882" t="e">
        <v>#N/A</v>
      </c>
    </row>
    <row r="883">
      <c r="A883" s="218" t="s">
        <v>9331</v>
      </c>
      <c r="C883" s="218" t="s">
        <v>11394</v>
      </c>
      <c r="F883" s="457">
        <v>44165.0</v>
      </c>
      <c r="G883" s="218">
        <v>0.0</v>
      </c>
      <c r="H883" s="218">
        <v>401093.0</v>
      </c>
      <c r="I883" s="218" t="s">
        <v>9332</v>
      </c>
      <c r="J883" s="218" t="s">
        <v>9333</v>
      </c>
      <c r="K883" s="218" t="s">
        <v>9398</v>
      </c>
      <c r="L883" s="218">
        <v>15113.0</v>
      </c>
      <c r="M883" s="218">
        <v>168098.0</v>
      </c>
      <c r="N883" s="218">
        <v>1.0E8</v>
      </c>
      <c r="O883" s="218">
        <v>319011.0</v>
      </c>
      <c r="P883" s="218" t="s">
        <v>9335</v>
      </c>
      <c r="Q883" s="222">
        <v>246838.0</v>
      </c>
      <c r="R883" s="222">
        <v>-246838.0</v>
      </c>
      <c r="S883" s="222">
        <v>0.0</v>
      </c>
      <c r="U883" s="222">
        <v>0.0</v>
      </c>
      <c r="AB883" t="e">
        <v>#N/A</v>
      </c>
    </row>
    <row r="884">
      <c r="A884" s="218" t="s">
        <v>9331</v>
      </c>
      <c r="C884" s="218" t="s">
        <v>11395</v>
      </c>
      <c r="F884" s="457">
        <v>44165.0</v>
      </c>
      <c r="G884" s="218">
        <v>0.0</v>
      </c>
      <c r="H884" s="218">
        <v>401092.0</v>
      </c>
      <c r="I884" s="218" t="s">
        <v>9345</v>
      </c>
      <c r="J884" s="218" t="s">
        <v>9346</v>
      </c>
      <c r="K884" s="218" t="s">
        <v>9904</v>
      </c>
      <c r="L884" s="218">
        <v>15113.0</v>
      </c>
      <c r="M884" s="218">
        <v>168098.0</v>
      </c>
      <c r="N884" s="218">
        <v>1.0E8</v>
      </c>
      <c r="O884" s="218">
        <v>319007.0</v>
      </c>
      <c r="P884" s="218" t="s">
        <v>9335</v>
      </c>
      <c r="Q884" s="222">
        <v>246838.0</v>
      </c>
      <c r="R884" s="222">
        <v>246838.0</v>
      </c>
      <c r="S884" s="218">
        <v>0.0</v>
      </c>
      <c r="U884" s="218">
        <v>0.0</v>
      </c>
      <c r="X884" s="218">
        <v>1.51132020000186E14</v>
      </c>
      <c r="AB884" t="e">
        <v>#N/A</v>
      </c>
    </row>
    <row r="885">
      <c r="A885" s="218" t="s">
        <v>9331</v>
      </c>
      <c r="C885" s="218" t="s">
        <v>11396</v>
      </c>
      <c r="F885" s="457">
        <v>44165.0</v>
      </c>
      <c r="G885" s="218">
        <v>0.0</v>
      </c>
      <c r="H885" s="218">
        <v>401093.0</v>
      </c>
      <c r="I885" s="218" t="s">
        <v>9354</v>
      </c>
      <c r="J885" s="218" t="s">
        <v>9333</v>
      </c>
      <c r="K885" s="218" t="s">
        <v>9398</v>
      </c>
      <c r="L885" s="218">
        <v>15113.0</v>
      </c>
      <c r="M885" s="218">
        <v>168099.0</v>
      </c>
      <c r="N885" s="218">
        <v>1.69E8</v>
      </c>
      <c r="O885" s="218">
        <v>319003.0</v>
      </c>
      <c r="P885" s="218" t="s">
        <v>9335</v>
      </c>
      <c r="Q885" s="222">
        <v>19130.57</v>
      </c>
      <c r="R885" s="222">
        <v>-19130.57</v>
      </c>
      <c r="S885" s="222">
        <v>0.0</v>
      </c>
      <c r="U885" s="218">
        <v>0.0</v>
      </c>
      <c r="AB885" t="e">
        <v>#N/A</v>
      </c>
    </row>
    <row r="886">
      <c r="A886" s="218" t="s">
        <v>9331</v>
      </c>
      <c r="C886" s="218" t="s">
        <v>11397</v>
      </c>
      <c r="F886" s="457">
        <v>44165.0</v>
      </c>
      <c r="G886" s="218">
        <v>0.0</v>
      </c>
      <c r="H886" s="218">
        <v>401092.0</v>
      </c>
      <c r="I886" s="218" t="s">
        <v>9354</v>
      </c>
      <c r="J886" s="218" t="s">
        <v>9333</v>
      </c>
      <c r="K886" s="218" t="s">
        <v>9904</v>
      </c>
      <c r="L886" s="218">
        <v>15113.0</v>
      </c>
      <c r="M886" s="218">
        <v>168099.0</v>
      </c>
      <c r="N886" s="218">
        <v>1.69E8</v>
      </c>
      <c r="O886" s="218">
        <v>319003.0</v>
      </c>
      <c r="P886" s="218" t="s">
        <v>9335</v>
      </c>
      <c r="Q886" s="222">
        <v>19130.57</v>
      </c>
      <c r="R886" s="222">
        <v>19130.57</v>
      </c>
      <c r="S886" s="218">
        <v>0.0</v>
      </c>
      <c r="U886" s="218">
        <v>0.0</v>
      </c>
      <c r="X886" s="218">
        <v>1.51132020000188E14</v>
      </c>
      <c r="AB886" t="e">
        <v>#N/A</v>
      </c>
    </row>
    <row r="887">
      <c r="A887" s="218" t="s">
        <v>9331</v>
      </c>
      <c r="C887" s="218" t="s">
        <v>11398</v>
      </c>
      <c r="F887" s="457">
        <v>44165.0</v>
      </c>
      <c r="G887" s="218">
        <v>0.0</v>
      </c>
      <c r="H887" s="218">
        <v>401093.0</v>
      </c>
      <c r="I887" s="218" t="s">
        <v>9353</v>
      </c>
      <c r="J887" s="218" t="s">
        <v>9333</v>
      </c>
      <c r="K887" s="218" t="s">
        <v>9398</v>
      </c>
      <c r="L887" s="218">
        <v>15113.0</v>
      </c>
      <c r="M887" s="218">
        <v>168099.0</v>
      </c>
      <c r="N887" s="218">
        <v>1.69E8</v>
      </c>
      <c r="O887" s="218">
        <v>319001.0</v>
      </c>
      <c r="P887" s="218" t="s">
        <v>9335</v>
      </c>
      <c r="Q887" s="222">
        <v>4530671.3</v>
      </c>
      <c r="R887" s="222">
        <v>-4530671.3</v>
      </c>
      <c r="S887" s="222">
        <v>0.0</v>
      </c>
      <c r="U887" s="222">
        <v>0.0</v>
      </c>
      <c r="AB887" t="e">
        <v>#N/A</v>
      </c>
    </row>
    <row r="888">
      <c r="A888" s="218" t="s">
        <v>9331</v>
      </c>
      <c r="C888" s="218" t="s">
        <v>11399</v>
      </c>
      <c r="F888" s="457">
        <v>44165.0</v>
      </c>
      <c r="G888" s="218">
        <v>0.0</v>
      </c>
      <c r="H888" s="218">
        <v>401092.0</v>
      </c>
      <c r="I888" s="218" t="s">
        <v>9353</v>
      </c>
      <c r="J888" s="218" t="s">
        <v>9333</v>
      </c>
      <c r="K888" s="218" t="s">
        <v>9904</v>
      </c>
      <c r="L888" s="218">
        <v>15113.0</v>
      </c>
      <c r="M888" s="218">
        <v>168099.0</v>
      </c>
      <c r="N888" s="218">
        <v>1.69E8</v>
      </c>
      <c r="O888" s="218">
        <v>319001.0</v>
      </c>
      <c r="P888" s="218" t="s">
        <v>9335</v>
      </c>
      <c r="Q888" s="222">
        <v>4368479.51</v>
      </c>
      <c r="R888" s="222">
        <v>4368479.51</v>
      </c>
      <c r="S888" s="222">
        <v>0.0</v>
      </c>
      <c r="U888" s="218">
        <v>0.0</v>
      </c>
      <c r="X888" s="218">
        <v>1.51132020000179E14</v>
      </c>
      <c r="AB888" t="e">
        <v>#N/A</v>
      </c>
    </row>
    <row r="889">
      <c r="A889" s="218" t="s">
        <v>9331</v>
      </c>
      <c r="C889" s="218" t="s">
        <v>11400</v>
      </c>
      <c r="F889" s="457">
        <v>44165.0</v>
      </c>
      <c r="G889" s="218">
        <v>0.0</v>
      </c>
      <c r="H889" s="218">
        <v>401092.0</v>
      </c>
      <c r="I889" s="218" t="s">
        <v>9356</v>
      </c>
      <c r="J889" s="218" t="s">
        <v>9333</v>
      </c>
      <c r="K889" s="218" t="s">
        <v>9904</v>
      </c>
      <c r="L889" s="218">
        <v>15113.0</v>
      </c>
      <c r="M889" s="218">
        <v>168099.0</v>
      </c>
      <c r="N889" s="218">
        <v>1.69E8</v>
      </c>
      <c r="O889" s="218">
        <v>319091.0</v>
      </c>
      <c r="P889" s="218" t="s">
        <v>9335</v>
      </c>
      <c r="Q889" s="222">
        <v>162191.79</v>
      </c>
      <c r="R889" s="222">
        <v>162191.79</v>
      </c>
      <c r="S889" s="218">
        <v>0.0</v>
      </c>
      <c r="U889" s="218">
        <v>0.0</v>
      </c>
      <c r="X889" s="218">
        <v>1.51132020000187E14</v>
      </c>
      <c r="AB889" t="e">
        <v>#N/A</v>
      </c>
    </row>
    <row r="890">
      <c r="A890" s="218" t="s">
        <v>116</v>
      </c>
      <c r="C890" s="218" t="s">
        <v>11401</v>
      </c>
      <c r="F890" s="457">
        <v>44165.0</v>
      </c>
      <c r="G890" s="218">
        <v>0.0</v>
      </c>
      <c r="H890" s="218">
        <v>401095.0</v>
      </c>
      <c r="I890" s="218" t="s">
        <v>11402</v>
      </c>
      <c r="J890" s="218" t="s">
        <v>11403</v>
      </c>
      <c r="K890" s="218" t="s">
        <v>9962</v>
      </c>
      <c r="L890" s="218">
        <v>0.0</v>
      </c>
      <c r="M890" s="218">
        <v>0.0</v>
      </c>
      <c r="O890" s="218">
        <v>0.0</v>
      </c>
      <c r="P890" s="218" t="s">
        <v>11404</v>
      </c>
      <c r="Q890" s="222">
        <v>4295.0</v>
      </c>
      <c r="R890" s="222">
        <v>-4295.0</v>
      </c>
      <c r="S890" s="218">
        <v>0.0</v>
      </c>
      <c r="U890" s="218">
        <v>0.0</v>
      </c>
      <c r="AB890" t="e">
        <v>#N/A</v>
      </c>
    </row>
    <row r="891">
      <c r="A891" s="218" t="s">
        <v>9331</v>
      </c>
      <c r="C891" s="218" t="s">
        <v>11405</v>
      </c>
      <c r="F891" s="457">
        <v>44166.0</v>
      </c>
      <c r="G891" s="218">
        <v>0.0</v>
      </c>
      <c r="H891" s="218">
        <v>401093.0</v>
      </c>
      <c r="I891" s="218" t="s">
        <v>9332</v>
      </c>
      <c r="J891" s="218" t="s">
        <v>9333</v>
      </c>
      <c r="K891" s="218" t="s">
        <v>9398</v>
      </c>
      <c r="L891" s="218">
        <v>15113.0</v>
      </c>
      <c r="M891" s="218">
        <v>168098.0</v>
      </c>
      <c r="N891" s="218">
        <v>1.0E8</v>
      </c>
      <c r="O891" s="218">
        <v>319011.0</v>
      </c>
      <c r="P891" s="218" t="s">
        <v>9335</v>
      </c>
      <c r="Q891" s="222">
        <v>1.203661839E7</v>
      </c>
      <c r="R891" s="222">
        <v>-1.203661839E7</v>
      </c>
      <c r="S891" s="218">
        <v>0.0</v>
      </c>
      <c r="U891" s="218">
        <v>0.0</v>
      </c>
      <c r="AB891" t="e">
        <v>#N/A</v>
      </c>
    </row>
    <row r="892">
      <c r="A892" s="218" t="s">
        <v>9331</v>
      </c>
      <c r="C892" s="218" t="s">
        <v>11406</v>
      </c>
      <c r="F892" s="457">
        <v>44166.0</v>
      </c>
      <c r="G892" s="218">
        <v>0.0</v>
      </c>
      <c r="H892" s="218">
        <v>401093.0</v>
      </c>
      <c r="I892" s="218" t="s">
        <v>9353</v>
      </c>
      <c r="J892" s="218" t="s">
        <v>9333</v>
      </c>
      <c r="K892" s="218" t="s">
        <v>9398</v>
      </c>
      <c r="L892" s="218">
        <v>15113.0</v>
      </c>
      <c r="M892" s="218">
        <v>168099.0</v>
      </c>
      <c r="N892" s="218">
        <v>1.69E8</v>
      </c>
      <c r="O892" s="218">
        <v>319001.0</v>
      </c>
      <c r="P892" s="218" t="s">
        <v>9335</v>
      </c>
      <c r="Q892" s="222">
        <v>6502341.0</v>
      </c>
      <c r="R892" s="222">
        <v>-6502341.0</v>
      </c>
      <c r="S892" s="218">
        <v>0.0</v>
      </c>
      <c r="U892" s="218">
        <v>0.0</v>
      </c>
      <c r="AB892" t="e">
        <v>#N/A</v>
      </c>
    </row>
    <row r="893">
      <c r="A893" s="218" t="s">
        <v>9331</v>
      </c>
      <c r="C893" s="218" t="s">
        <v>11407</v>
      </c>
      <c r="F893" s="457">
        <v>44166.0</v>
      </c>
      <c r="G893" s="218">
        <v>0.0</v>
      </c>
      <c r="H893" s="218">
        <v>401093.0</v>
      </c>
      <c r="I893" s="218" t="s">
        <v>9354</v>
      </c>
      <c r="J893" s="218" t="s">
        <v>9333</v>
      </c>
      <c r="K893" s="218" t="s">
        <v>9398</v>
      </c>
      <c r="L893" s="218">
        <v>15113.0</v>
      </c>
      <c r="M893" s="218">
        <v>168099.0</v>
      </c>
      <c r="N893" s="218">
        <v>1.69E8</v>
      </c>
      <c r="O893" s="218">
        <v>319003.0</v>
      </c>
      <c r="P893" s="218" t="s">
        <v>9335</v>
      </c>
      <c r="Q893" s="222">
        <v>290770.21</v>
      </c>
      <c r="R893" s="222">
        <v>-290770.21</v>
      </c>
      <c r="S893" s="218">
        <v>0.0</v>
      </c>
      <c r="U893" s="218">
        <v>0.0</v>
      </c>
      <c r="AB893" t="e">
        <v>#N/A</v>
      </c>
    </row>
    <row r="894">
      <c r="A894" s="218" t="s">
        <v>9331</v>
      </c>
      <c r="C894" s="218" t="s">
        <v>11408</v>
      </c>
      <c r="F894" s="457">
        <v>44166.0</v>
      </c>
      <c r="G894" s="218">
        <v>0.0</v>
      </c>
      <c r="H894" s="218">
        <v>401092.0</v>
      </c>
      <c r="I894" s="218" t="s">
        <v>9332</v>
      </c>
      <c r="J894" s="218" t="s">
        <v>9333</v>
      </c>
      <c r="K894" s="218" t="s">
        <v>9904</v>
      </c>
      <c r="L894" s="218">
        <v>15113.0</v>
      </c>
      <c r="M894" s="218">
        <v>168098.0</v>
      </c>
      <c r="N894" s="218">
        <v>1.0E8</v>
      </c>
      <c r="O894" s="218">
        <v>319011.0</v>
      </c>
      <c r="P894" s="218" t="s">
        <v>9335</v>
      </c>
      <c r="Q894" s="222">
        <v>5034.29</v>
      </c>
      <c r="R894" s="222">
        <v>5034.29</v>
      </c>
      <c r="S894" s="218">
        <v>0.0</v>
      </c>
      <c r="U894" s="218">
        <v>0.0</v>
      </c>
      <c r="X894" s="218">
        <v>1.51132020000185E14</v>
      </c>
      <c r="AB894" t="e">
        <v>#N/A</v>
      </c>
    </row>
    <row r="895">
      <c r="A895" s="218" t="s">
        <v>9331</v>
      </c>
      <c r="C895" s="218" t="s">
        <v>11409</v>
      </c>
      <c r="F895" s="457">
        <v>44166.0</v>
      </c>
      <c r="G895" s="218">
        <v>0.0</v>
      </c>
      <c r="H895" s="218">
        <v>401093.0</v>
      </c>
      <c r="I895" s="218" t="s">
        <v>9332</v>
      </c>
      <c r="J895" s="218" t="s">
        <v>9333</v>
      </c>
      <c r="K895" s="218" t="s">
        <v>9398</v>
      </c>
      <c r="L895" s="218">
        <v>15113.0</v>
      </c>
      <c r="M895" s="218">
        <v>168098.0</v>
      </c>
      <c r="N895" s="218">
        <v>1.0E8</v>
      </c>
      <c r="O895" s="218">
        <v>319011.0</v>
      </c>
      <c r="P895" s="218" t="s">
        <v>9335</v>
      </c>
      <c r="Q895" s="222">
        <v>5034.29</v>
      </c>
      <c r="R895" s="222">
        <v>-5034.29</v>
      </c>
      <c r="S895" s="222">
        <v>0.0</v>
      </c>
      <c r="U895" s="218">
        <v>0.0</v>
      </c>
      <c r="AB895" t="e">
        <v>#N/A</v>
      </c>
    </row>
    <row r="896">
      <c r="A896" s="218" t="s">
        <v>116</v>
      </c>
      <c r="C896" s="218" t="s">
        <v>11410</v>
      </c>
      <c r="F896" s="457">
        <v>44167.0</v>
      </c>
      <c r="G896" s="218">
        <v>0.0</v>
      </c>
      <c r="H896" s="218">
        <v>401093.0</v>
      </c>
      <c r="I896" s="218" t="s">
        <v>10130</v>
      </c>
      <c r="J896" s="218" t="s">
        <v>9658</v>
      </c>
      <c r="K896" s="218" t="s">
        <v>11411</v>
      </c>
      <c r="L896" s="218">
        <v>15113.0</v>
      </c>
      <c r="M896" s="218">
        <v>168107.0</v>
      </c>
      <c r="N896" s="218">
        <v>1.0E8</v>
      </c>
      <c r="O896" s="218">
        <v>339040.0</v>
      </c>
      <c r="P896" s="218" t="s">
        <v>9660</v>
      </c>
      <c r="Q896" s="222">
        <v>2136.25</v>
      </c>
      <c r="R896" s="222">
        <v>-2136.25</v>
      </c>
      <c r="S896" s="222">
        <v>0.0</v>
      </c>
      <c r="U896" s="222">
        <v>0.0</v>
      </c>
      <c r="AB896" t="e">
        <v>#N/A</v>
      </c>
    </row>
    <row r="897">
      <c r="A897" s="218" t="s">
        <v>116</v>
      </c>
      <c r="C897" s="218" t="s">
        <v>11412</v>
      </c>
      <c r="F897" s="457">
        <v>44167.0</v>
      </c>
      <c r="G897" s="218">
        <v>0.0</v>
      </c>
      <c r="H897" s="218">
        <v>401093.0</v>
      </c>
      <c r="I897" s="218" t="s">
        <v>9837</v>
      </c>
      <c r="J897" s="218" t="s">
        <v>9838</v>
      </c>
      <c r="K897" s="218" t="s">
        <v>11413</v>
      </c>
      <c r="L897" s="218">
        <v>15113.0</v>
      </c>
      <c r="M897" s="218">
        <v>168105.0</v>
      </c>
      <c r="N897" s="218">
        <v>1.0E8</v>
      </c>
      <c r="O897" s="218">
        <v>339040.0</v>
      </c>
      <c r="P897" s="218" t="s">
        <v>126</v>
      </c>
      <c r="Q897" s="222">
        <v>6504.58</v>
      </c>
      <c r="R897" s="222">
        <v>-6504.58</v>
      </c>
      <c r="S897" s="218">
        <v>0.0</v>
      </c>
      <c r="U897" s="218">
        <v>0.0</v>
      </c>
      <c r="AB897" t="e">
        <v>#N/A</v>
      </c>
    </row>
    <row r="898">
      <c r="A898" s="218" t="s">
        <v>116</v>
      </c>
      <c r="C898" s="218" t="s">
        <v>11414</v>
      </c>
      <c r="F898" s="457">
        <v>44167.0</v>
      </c>
      <c r="G898" s="218">
        <v>0.0</v>
      </c>
      <c r="H898" s="218">
        <v>401093.0</v>
      </c>
      <c r="I898" s="218" t="s">
        <v>9819</v>
      </c>
      <c r="J898" s="218" t="s">
        <v>9820</v>
      </c>
      <c r="K898" s="218" t="s">
        <v>11415</v>
      </c>
      <c r="L898" s="218">
        <v>15113.0</v>
      </c>
      <c r="M898" s="218">
        <v>168105.0</v>
      </c>
      <c r="N898" s="218">
        <v>1.0E8</v>
      </c>
      <c r="O898" s="218">
        <v>339040.0</v>
      </c>
      <c r="P898" s="218" t="s">
        <v>168</v>
      </c>
      <c r="Q898" s="222">
        <v>526.0</v>
      </c>
      <c r="R898" s="222">
        <v>-526.0</v>
      </c>
      <c r="S898" s="218">
        <v>0.0</v>
      </c>
      <c r="U898" s="218">
        <v>0.0</v>
      </c>
      <c r="AB898" t="e">
        <v>#N/A</v>
      </c>
    </row>
    <row r="899">
      <c r="A899" s="218" t="s">
        <v>116</v>
      </c>
      <c r="C899" s="218" t="s">
        <v>11416</v>
      </c>
      <c r="F899" s="457">
        <v>44167.0</v>
      </c>
      <c r="G899" s="218">
        <v>0.0</v>
      </c>
      <c r="H899" s="218">
        <v>401093.0</v>
      </c>
      <c r="I899" s="218" t="s">
        <v>9840</v>
      </c>
      <c r="J899" s="218" t="s">
        <v>9841</v>
      </c>
      <c r="K899" s="218" t="s">
        <v>11417</v>
      </c>
      <c r="L899" s="218">
        <v>15113.0</v>
      </c>
      <c r="M899" s="218">
        <v>168105.0</v>
      </c>
      <c r="N899" s="218">
        <v>1.0E8</v>
      </c>
      <c r="O899" s="218">
        <v>339040.0</v>
      </c>
      <c r="P899" s="218" t="s">
        <v>9843</v>
      </c>
      <c r="Q899" s="222">
        <v>422.01</v>
      </c>
      <c r="R899" s="222">
        <v>-422.01</v>
      </c>
      <c r="S899" s="218">
        <v>0.0</v>
      </c>
      <c r="U899" s="218">
        <v>0.0</v>
      </c>
      <c r="AB899" t="e">
        <v>#N/A</v>
      </c>
    </row>
    <row r="900">
      <c r="A900" s="218" t="s">
        <v>116</v>
      </c>
      <c r="C900" s="218" t="s">
        <v>11418</v>
      </c>
      <c r="F900" s="457">
        <v>44167.0</v>
      </c>
      <c r="G900" s="218">
        <v>0.0</v>
      </c>
      <c r="H900" s="218">
        <v>401093.0</v>
      </c>
      <c r="I900" s="218" t="s">
        <v>9968</v>
      </c>
      <c r="J900" s="218" t="s">
        <v>9965</v>
      </c>
      <c r="K900" s="218" t="s">
        <v>11419</v>
      </c>
      <c r="L900" s="218">
        <v>15113.0</v>
      </c>
      <c r="M900" s="218">
        <v>168107.0</v>
      </c>
      <c r="N900" s="218">
        <v>1.0E8</v>
      </c>
      <c r="O900" s="218">
        <v>339040.0</v>
      </c>
      <c r="P900" s="218" t="s">
        <v>207</v>
      </c>
      <c r="Q900" s="222">
        <v>132301.41</v>
      </c>
      <c r="R900" s="222">
        <v>-132301.41</v>
      </c>
      <c r="S900" s="218">
        <v>0.0</v>
      </c>
      <c r="U900" s="218">
        <v>0.0</v>
      </c>
      <c r="AB900" t="e">
        <v>#N/A</v>
      </c>
    </row>
    <row r="901">
      <c r="A901" s="218" t="s">
        <v>116</v>
      </c>
      <c r="C901" s="218" t="s">
        <v>11420</v>
      </c>
      <c r="F901" s="457">
        <v>44167.0</v>
      </c>
      <c r="G901" s="218">
        <v>0.0</v>
      </c>
      <c r="H901" s="218">
        <v>401093.0</v>
      </c>
      <c r="I901" s="218" t="s">
        <v>9686</v>
      </c>
      <c r="J901" s="218" t="s">
        <v>9684</v>
      </c>
      <c r="K901" s="218" t="s">
        <v>11421</v>
      </c>
      <c r="L901" s="218">
        <v>15113.0</v>
      </c>
      <c r="M901" s="218">
        <v>168107.0</v>
      </c>
      <c r="N901" s="218">
        <v>1.0E8</v>
      </c>
      <c r="O901" s="218">
        <v>339040.0</v>
      </c>
      <c r="P901" s="218" t="s">
        <v>441</v>
      </c>
      <c r="Q901" s="222">
        <v>16345.29</v>
      </c>
      <c r="R901" s="222">
        <v>-16345.29</v>
      </c>
      <c r="S901" s="218">
        <v>0.0</v>
      </c>
      <c r="U901" s="218">
        <v>0.0</v>
      </c>
      <c r="AB901" t="e">
        <v>#N/A</v>
      </c>
    </row>
    <row r="902">
      <c r="A902" s="218" t="s">
        <v>116</v>
      </c>
      <c r="C902" s="218" t="s">
        <v>11422</v>
      </c>
      <c r="F902" s="457">
        <v>44167.0</v>
      </c>
      <c r="G902" s="218">
        <v>0.0</v>
      </c>
      <c r="H902" s="218">
        <v>401093.0</v>
      </c>
      <c r="I902" s="218" t="s">
        <v>9847</v>
      </c>
      <c r="J902" s="218" t="s">
        <v>9820</v>
      </c>
      <c r="K902" s="218" t="s">
        <v>11423</v>
      </c>
      <c r="L902" s="218">
        <v>15113.0</v>
      </c>
      <c r="M902" s="218">
        <v>168105.0</v>
      </c>
      <c r="N902" s="218">
        <v>1.0E8</v>
      </c>
      <c r="O902" s="218">
        <v>339040.0</v>
      </c>
      <c r="P902" s="218" t="s">
        <v>9849</v>
      </c>
      <c r="Q902" s="222">
        <v>144.45</v>
      </c>
      <c r="R902" s="222">
        <v>-144.45</v>
      </c>
      <c r="S902" s="218">
        <v>0.0</v>
      </c>
      <c r="U902" s="218">
        <v>0.0</v>
      </c>
      <c r="AB902" t="e">
        <v>#N/A</v>
      </c>
    </row>
    <row r="903">
      <c r="A903" s="218" t="s">
        <v>116</v>
      </c>
      <c r="C903" s="218" t="s">
        <v>11424</v>
      </c>
      <c r="F903" s="457">
        <v>44167.0</v>
      </c>
      <c r="G903" s="218">
        <v>0.0</v>
      </c>
      <c r="H903" s="218">
        <v>401093.0</v>
      </c>
      <c r="I903" s="218" t="s">
        <v>9858</v>
      </c>
      <c r="J903" s="218" t="s">
        <v>9462</v>
      </c>
      <c r="K903" s="218" t="s">
        <v>11425</v>
      </c>
      <c r="L903" s="218">
        <v>15113.0</v>
      </c>
      <c r="M903" s="218">
        <v>168105.0</v>
      </c>
      <c r="N903" s="218">
        <v>1.0E8</v>
      </c>
      <c r="O903" s="218">
        <v>339040.0</v>
      </c>
      <c r="P903" s="218" t="s">
        <v>222</v>
      </c>
      <c r="Q903" s="222">
        <v>2074.74</v>
      </c>
      <c r="R903" s="222">
        <v>-2074.74</v>
      </c>
      <c r="S903" s="218">
        <v>0.0</v>
      </c>
      <c r="U903" s="218">
        <v>0.0</v>
      </c>
      <c r="AB903" t="e">
        <v>#N/A</v>
      </c>
    </row>
    <row r="904">
      <c r="A904" s="218" t="s">
        <v>116</v>
      </c>
      <c r="C904" s="218" t="s">
        <v>11426</v>
      </c>
      <c r="F904" s="457">
        <v>44167.0</v>
      </c>
      <c r="G904" s="218">
        <v>0.0</v>
      </c>
      <c r="H904" s="218">
        <v>401093.0</v>
      </c>
      <c r="I904" s="218" t="s">
        <v>9675</v>
      </c>
      <c r="J904" s="218" t="s">
        <v>9676</v>
      </c>
      <c r="K904" s="218" t="s">
        <v>11427</v>
      </c>
      <c r="L904" s="218">
        <v>15113.0</v>
      </c>
      <c r="M904" s="218">
        <v>168107.0</v>
      </c>
      <c r="N904" s="218">
        <v>1.0E8</v>
      </c>
      <c r="O904" s="218">
        <v>339040.0</v>
      </c>
      <c r="P904" s="218" t="s">
        <v>230</v>
      </c>
      <c r="Q904" s="222">
        <v>2308.76</v>
      </c>
      <c r="R904" s="222">
        <v>-2308.76</v>
      </c>
      <c r="S904" s="222">
        <v>0.0</v>
      </c>
      <c r="U904" s="218">
        <v>0.0</v>
      </c>
      <c r="AB904" t="e">
        <v>#N/A</v>
      </c>
    </row>
    <row r="905">
      <c r="A905" s="218" t="s">
        <v>116</v>
      </c>
      <c r="C905" s="218" t="s">
        <v>11428</v>
      </c>
      <c r="F905" s="457">
        <v>44167.0</v>
      </c>
      <c r="G905" s="218">
        <v>0.0</v>
      </c>
      <c r="H905" s="218">
        <v>401093.0</v>
      </c>
      <c r="I905" s="218" t="s">
        <v>9833</v>
      </c>
      <c r="J905" s="218" t="s">
        <v>9834</v>
      </c>
      <c r="K905" s="218" t="s">
        <v>11429</v>
      </c>
      <c r="L905" s="218">
        <v>15113.0</v>
      </c>
      <c r="M905" s="218">
        <v>168105.0</v>
      </c>
      <c r="N905" s="218">
        <v>1.0E8</v>
      </c>
      <c r="O905" s="218">
        <v>339040.0</v>
      </c>
      <c r="P905" s="218" t="s">
        <v>9836</v>
      </c>
      <c r="Q905" s="222">
        <v>242.5</v>
      </c>
      <c r="R905" s="222">
        <v>-242.5</v>
      </c>
      <c r="S905" s="218">
        <v>0.0</v>
      </c>
      <c r="U905" s="218">
        <v>0.0</v>
      </c>
      <c r="AB905" t="e">
        <v>#N/A</v>
      </c>
    </row>
    <row r="906">
      <c r="A906" s="218" t="s">
        <v>116</v>
      </c>
      <c r="C906" s="218" t="s">
        <v>11430</v>
      </c>
      <c r="F906" s="457">
        <v>44167.0</v>
      </c>
      <c r="G906" s="218">
        <v>0.0</v>
      </c>
      <c r="H906" s="218">
        <v>401093.0</v>
      </c>
      <c r="I906" s="218" t="s">
        <v>9844</v>
      </c>
      <c r="J906" s="218" t="s">
        <v>9845</v>
      </c>
      <c r="K906" s="218" t="s">
        <v>11431</v>
      </c>
      <c r="L906" s="218">
        <v>15113.0</v>
      </c>
      <c r="M906" s="218">
        <v>168105.0</v>
      </c>
      <c r="N906" s="218">
        <v>1.0E8</v>
      </c>
      <c r="O906" s="218">
        <v>339040.0</v>
      </c>
      <c r="P906" s="218" t="s">
        <v>254</v>
      </c>
      <c r="Q906" s="222">
        <v>2855.45</v>
      </c>
      <c r="R906" s="222">
        <v>-2855.45</v>
      </c>
      <c r="S906" s="222">
        <v>0.0</v>
      </c>
      <c r="U906" s="222">
        <v>0.0</v>
      </c>
      <c r="AB906" t="e">
        <v>#N/A</v>
      </c>
    </row>
    <row r="907">
      <c r="A907" s="218" t="s">
        <v>116</v>
      </c>
      <c r="C907" s="218" t="s">
        <v>11432</v>
      </c>
      <c r="F907" s="457">
        <v>44167.0</v>
      </c>
      <c r="G907" s="218">
        <v>0.0</v>
      </c>
      <c r="H907" s="218">
        <v>401093.0</v>
      </c>
      <c r="I907" s="218" t="s">
        <v>9822</v>
      </c>
      <c r="J907" s="218" t="s">
        <v>9823</v>
      </c>
      <c r="K907" s="218" t="s">
        <v>11433</v>
      </c>
      <c r="L907" s="218">
        <v>15113.0</v>
      </c>
      <c r="M907" s="218">
        <v>168105.0</v>
      </c>
      <c r="N907" s="218">
        <v>1.0E8</v>
      </c>
      <c r="O907" s="218">
        <v>339040.0</v>
      </c>
      <c r="P907" s="218" t="s">
        <v>235</v>
      </c>
      <c r="Q907" s="222">
        <v>931.08</v>
      </c>
      <c r="R907" s="222">
        <v>-931.08</v>
      </c>
      <c r="S907" s="218">
        <v>0.0</v>
      </c>
      <c r="U907" s="218">
        <v>0.0</v>
      </c>
      <c r="AB907" t="e">
        <v>#N/A</v>
      </c>
    </row>
    <row r="908">
      <c r="A908" s="218" t="s">
        <v>116</v>
      </c>
      <c r="C908" s="218" t="s">
        <v>11434</v>
      </c>
      <c r="F908" s="457">
        <v>44167.0</v>
      </c>
      <c r="G908" s="218">
        <v>0.0</v>
      </c>
      <c r="H908" s="218">
        <v>401093.0</v>
      </c>
      <c r="I908" s="218" t="s">
        <v>9829</v>
      </c>
      <c r="J908" s="218" t="s">
        <v>9830</v>
      </c>
      <c r="K908" s="218" t="s">
        <v>11435</v>
      </c>
      <c r="L908" s="218">
        <v>15113.0</v>
      </c>
      <c r="M908" s="218">
        <v>168105.0</v>
      </c>
      <c r="N908" s="218">
        <v>1.0E8</v>
      </c>
      <c r="O908" s="218">
        <v>339040.0</v>
      </c>
      <c r="P908" s="218" t="s">
        <v>9832</v>
      </c>
      <c r="Q908" s="222">
        <v>7576.77</v>
      </c>
      <c r="R908" s="222">
        <v>-7576.77</v>
      </c>
      <c r="S908" s="218">
        <v>0.0</v>
      </c>
      <c r="U908" s="218">
        <v>0.0</v>
      </c>
      <c r="AB908" t="e">
        <v>#N/A</v>
      </c>
    </row>
    <row r="909">
      <c r="A909" s="218" t="s">
        <v>116</v>
      </c>
      <c r="C909" s="218" t="s">
        <v>11436</v>
      </c>
      <c r="F909" s="457">
        <v>44167.0</v>
      </c>
      <c r="G909" s="218">
        <v>0.0</v>
      </c>
      <c r="H909" s="218">
        <v>401093.0</v>
      </c>
      <c r="I909" s="218" t="s">
        <v>10461</v>
      </c>
      <c r="J909" s="218" t="s">
        <v>9820</v>
      </c>
      <c r="K909" s="218" t="s">
        <v>11437</v>
      </c>
      <c r="L909" s="218">
        <v>15113.0</v>
      </c>
      <c r="M909" s="218">
        <v>168107.0</v>
      </c>
      <c r="N909" s="218">
        <v>1.0E8</v>
      </c>
      <c r="O909" s="218">
        <v>339040.0</v>
      </c>
      <c r="P909" s="218" t="s">
        <v>350</v>
      </c>
      <c r="Q909" s="222">
        <v>850.55</v>
      </c>
      <c r="R909" s="222">
        <v>-850.55</v>
      </c>
      <c r="S909" s="222">
        <v>0.0</v>
      </c>
      <c r="U909" s="222">
        <v>0.0</v>
      </c>
      <c r="AB909" t="e">
        <v>#N/A</v>
      </c>
    </row>
    <row r="910">
      <c r="A910" s="218" t="s">
        <v>116</v>
      </c>
      <c r="C910" s="218" t="s">
        <v>11438</v>
      </c>
      <c r="F910" s="457">
        <v>44167.0</v>
      </c>
      <c r="G910" s="218">
        <v>0.0</v>
      </c>
      <c r="H910" s="218">
        <v>401093.0</v>
      </c>
      <c r="I910" s="218" t="s">
        <v>10215</v>
      </c>
      <c r="J910" s="218" t="s">
        <v>9982</v>
      </c>
      <c r="K910" s="218" t="s">
        <v>11439</v>
      </c>
      <c r="L910" s="218">
        <v>15113.0</v>
      </c>
      <c r="M910" s="218">
        <v>168107.0</v>
      </c>
      <c r="N910" s="218">
        <v>1.0E8</v>
      </c>
      <c r="O910" s="218">
        <v>339040.0</v>
      </c>
      <c r="P910" s="218" t="s">
        <v>185</v>
      </c>
      <c r="Q910" s="222">
        <v>54991.68</v>
      </c>
      <c r="R910" s="222">
        <v>-54991.68</v>
      </c>
      <c r="S910" s="222">
        <v>0.0</v>
      </c>
      <c r="U910" s="218">
        <v>0.0</v>
      </c>
      <c r="AB910" t="e">
        <v>#N/A</v>
      </c>
    </row>
    <row r="911">
      <c r="A911" s="218" t="s">
        <v>116</v>
      </c>
      <c r="C911" s="218" t="s">
        <v>11440</v>
      </c>
      <c r="F911" s="457">
        <v>44167.0</v>
      </c>
      <c r="G911" s="218">
        <v>0.0</v>
      </c>
      <c r="H911" s="218">
        <v>401093.0</v>
      </c>
      <c r="I911" s="218" t="s">
        <v>9854</v>
      </c>
      <c r="J911" s="218" t="s">
        <v>9855</v>
      </c>
      <c r="K911" s="218" t="s">
        <v>11441</v>
      </c>
      <c r="L911" s="218">
        <v>15113.0</v>
      </c>
      <c r="M911" s="218">
        <v>168105.0</v>
      </c>
      <c r="N911" s="218">
        <v>1.0E8</v>
      </c>
      <c r="O911" s="218">
        <v>339040.0</v>
      </c>
      <c r="P911" s="218" t="s">
        <v>9857</v>
      </c>
      <c r="Q911" s="222">
        <v>4129.22</v>
      </c>
      <c r="R911" s="222">
        <v>-4129.22</v>
      </c>
      <c r="S911" s="218">
        <v>0.0</v>
      </c>
      <c r="U911" s="218">
        <v>0.0</v>
      </c>
      <c r="AB911" t="e">
        <v>#N/A</v>
      </c>
    </row>
    <row r="912">
      <c r="A912" s="218" t="s">
        <v>116</v>
      </c>
      <c r="C912" s="218" t="s">
        <v>11442</v>
      </c>
      <c r="F912" s="457">
        <v>44167.0</v>
      </c>
      <c r="G912" s="218">
        <v>0.0</v>
      </c>
      <c r="H912" s="218">
        <v>401093.0</v>
      </c>
      <c r="I912" s="218" t="s">
        <v>10553</v>
      </c>
      <c r="J912" s="218" t="s">
        <v>10554</v>
      </c>
      <c r="K912" s="218" t="s">
        <v>11443</v>
      </c>
      <c r="L912" s="218">
        <v>15113.0</v>
      </c>
      <c r="M912" s="218">
        <v>168105.0</v>
      </c>
      <c r="N912" s="218">
        <v>1.0E8</v>
      </c>
      <c r="O912" s="218">
        <v>339040.0</v>
      </c>
      <c r="P912" s="218" t="s">
        <v>10552</v>
      </c>
      <c r="Q912" s="222">
        <v>100.0</v>
      </c>
      <c r="R912" s="222">
        <v>-100.0</v>
      </c>
      <c r="S912" s="222">
        <v>0.0</v>
      </c>
      <c r="U912" s="218">
        <v>0.0</v>
      </c>
      <c r="AB912" t="e">
        <v>#N/A</v>
      </c>
    </row>
    <row r="913">
      <c r="A913" s="218" t="s">
        <v>116</v>
      </c>
      <c r="C913" s="218" t="s">
        <v>11444</v>
      </c>
      <c r="F913" s="457">
        <v>44167.0</v>
      </c>
      <c r="G913" s="218">
        <v>0.0</v>
      </c>
      <c r="H913" s="218">
        <v>401093.0</v>
      </c>
      <c r="I913" s="218" t="s">
        <v>10780</v>
      </c>
      <c r="J913" s="218" t="s">
        <v>10781</v>
      </c>
      <c r="K913" s="218" t="s">
        <v>11445</v>
      </c>
      <c r="L913" s="218">
        <v>15113.0</v>
      </c>
      <c r="M913" s="218">
        <v>168107.0</v>
      </c>
      <c r="N913" s="218">
        <v>1.0E8</v>
      </c>
      <c r="O913" s="218">
        <v>339040.0</v>
      </c>
      <c r="P913" s="218" t="s">
        <v>10783</v>
      </c>
      <c r="Q913" s="222">
        <v>6650.0</v>
      </c>
      <c r="R913" s="222">
        <v>-6650.0</v>
      </c>
      <c r="S913" s="218">
        <v>0.0</v>
      </c>
      <c r="U913" s="218">
        <v>0.0</v>
      </c>
      <c r="AB913" t="e">
        <v>#N/A</v>
      </c>
    </row>
    <row r="914">
      <c r="A914" s="218" t="s">
        <v>9331</v>
      </c>
      <c r="C914" s="218" t="s">
        <v>11446</v>
      </c>
      <c r="F914" s="457">
        <v>44168.0</v>
      </c>
      <c r="G914" s="218">
        <v>0.0</v>
      </c>
      <c r="H914" s="218">
        <v>401093.0</v>
      </c>
      <c r="I914" s="218" t="s">
        <v>9353</v>
      </c>
      <c r="J914" s="218" t="s">
        <v>9333</v>
      </c>
      <c r="K914" s="218" t="s">
        <v>9398</v>
      </c>
      <c r="L914" s="218">
        <v>15113.0</v>
      </c>
      <c r="M914" s="218">
        <v>168099.0</v>
      </c>
      <c r="N914" s="218">
        <v>1.69E8</v>
      </c>
      <c r="O914" s="218">
        <v>319001.0</v>
      </c>
      <c r="P914" s="218" t="s">
        <v>9335</v>
      </c>
      <c r="Q914" s="222">
        <v>1355.98</v>
      </c>
      <c r="R914" s="222">
        <v>-1355.98</v>
      </c>
      <c r="S914" s="218">
        <v>0.0</v>
      </c>
      <c r="U914" s="218">
        <v>0.0</v>
      </c>
      <c r="AB914" t="e">
        <v>#N/A</v>
      </c>
    </row>
    <row r="915">
      <c r="A915" s="218" t="s">
        <v>116</v>
      </c>
      <c r="C915" s="218" t="s">
        <v>11447</v>
      </c>
      <c r="F915" s="457">
        <v>44168.0</v>
      </c>
      <c r="G915" s="218">
        <v>0.0</v>
      </c>
      <c r="H915" s="218">
        <v>401093.0</v>
      </c>
      <c r="I915" s="218" t="s">
        <v>9850</v>
      </c>
      <c r="J915" s="218" t="s">
        <v>9851</v>
      </c>
      <c r="K915" s="218" t="s">
        <v>11448</v>
      </c>
      <c r="L915" s="218">
        <v>15113.0</v>
      </c>
      <c r="M915" s="218">
        <v>168105.0</v>
      </c>
      <c r="N915" s="218">
        <v>1.0E8</v>
      </c>
      <c r="O915" s="218">
        <v>339040.0</v>
      </c>
      <c r="P915" s="218" t="s">
        <v>9853</v>
      </c>
      <c r="Q915" s="222">
        <v>634.51</v>
      </c>
      <c r="R915" s="222">
        <v>-634.51</v>
      </c>
      <c r="S915" s="218">
        <v>0.0</v>
      </c>
      <c r="U915" s="218">
        <v>0.0</v>
      </c>
      <c r="AB915" t="e">
        <v>#N/A</v>
      </c>
    </row>
    <row r="916">
      <c r="A916" s="218" t="s">
        <v>10734</v>
      </c>
      <c r="C916" s="218" t="s">
        <v>11449</v>
      </c>
      <c r="F916" s="457">
        <v>44168.0</v>
      </c>
      <c r="G916" s="218">
        <v>1.0</v>
      </c>
      <c r="H916" s="218">
        <v>401091.0</v>
      </c>
      <c r="J916" s="218" t="s">
        <v>11450</v>
      </c>
      <c r="K916" s="218" t="s">
        <v>11451</v>
      </c>
      <c r="L916" s="218">
        <v>15113.0</v>
      </c>
      <c r="M916" s="218">
        <v>168105.0</v>
      </c>
      <c r="N916" s="218">
        <v>1.0E8</v>
      </c>
      <c r="O916" s="218">
        <v>339039.0</v>
      </c>
      <c r="P916" s="218" t="s">
        <v>11452</v>
      </c>
      <c r="Q916" s="222">
        <v>2293.0</v>
      </c>
      <c r="R916" s="222">
        <v>2293.0</v>
      </c>
      <c r="S916" s="222">
        <v>2293.0</v>
      </c>
      <c r="U916" s="218">
        <v>0.0</v>
      </c>
      <c r="X916" s="218">
        <v>1.51132020000265E14</v>
      </c>
      <c r="AB916" t="e">
        <v>#N/A</v>
      </c>
    </row>
    <row r="917">
      <c r="A917" s="218" t="s">
        <v>116</v>
      </c>
      <c r="C917" s="218" t="s">
        <v>11453</v>
      </c>
      <c r="F917" s="457">
        <v>44168.0</v>
      </c>
      <c r="G917" s="218">
        <v>1.0</v>
      </c>
      <c r="H917" s="218">
        <v>401091.0</v>
      </c>
      <c r="J917" s="218" t="s">
        <v>11454</v>
      </c>
      <c r="K917" s="218" t="s">
        <v>11455</v>
      </c>
      <c r="L917" s="218">
        <v>15113.0</v>
      </c>
      <c r="M917" s="218">
        <v>168105.0</v>
      </c>
      <c r="N917" s="218">
        <v>1.0E8</v>
      </c>
      <c r="O917" s="218">
        <v>339030.0</v>
      </c>
      <c r="P917" s="218" t="s">
        <v>11456</v>
      </c>
      <c r="Q917" s="222">
        <v>17018.7</v>
      </c>
      <c r="R917" s="222">
        <v>17018.7</v>
      </c>
      <c r="S917" s="222">
        <v>17018.7</v>
      </c>
      <c r="U917" s="222">
        <v>17018.7</v>
      </c>
      <c r="X917" s="218">
        <v>1.51132020000264E14</v>
      </c>
      <c r="AB917" t="e">
        <v>#N/A</v>
      </c>
    </row>
    <row r="918">
      <c r="A918" s="218" t="s">
        <v>116</v>
      </c>
      <c r="C918" s="218" t="s">
        <v>11457</v>
      </c>
      <c r="F918" s="457">
        <v>44168.0</v>
      </c>
      <c r="G918" s="218">
        <v>1.0</v>
      </c>
      <c r="H918" s="218">
        <v>401091.0</v>
      </c>
      <c r="J918" s="218" t="s">
        <v>11458</v>
      </c>
      <c r="K918" s="218" t="s">
        <v>11455</v>
      </c>
      <c r="L918" s="218">
        <v>15113.0</v>
      </c>
      <c r="M918" s="218">
        <v>168105.0</v>
      </c>
      <c r="N918" s="218">
        <v>1.0E8</v>
      </c>
      <c r="O918" s="218">
        <v>339030.0</v>
      </c>
      <c r="P918" s="218" t="s">
        <v>11456</v>
      </c>
      <c r="Q918" s="222">
        <v>3413.1</v>
      </c>
      <c r="R918" s="222">
        <v>3413.1</v>
      </c>
      <c r="S918" s="222">
        <v>3413.1</v>
      </c>
      <c r="U918" s="222">
        <v>3413.1</v>
      </c>
      <c r="X918" s="218">
        <v>1.51132020000264E14</v>
      </c>
      <c r="AB918" t="e">
        <v>#N/A</v>
      </c>
    </row>
    <row r="919">
      <c r="A919" s="218" t="s">
        <v>116</v>
      </c>
      <c r="C919" s="218" t="s">
        <v>11459</v>
      </c>
      <c r="F919" s="457">
        <v>44168.0</v>
      </c>
      <c r="G919" s="218">
        <v>1.0</v>
      </c>
      <c r="H919" s="218">
        <v>401091.0</v>
      </c>
      <c r="J919" s="218" t="s">
        <v>11460</v>
      </c>
      <c r="K919" s="218" t="s">
        <v>11455</v>
      </c>
      <c r="L919" s="218">
        <v>15113.0</v>
      </c>
      <c r="M919" s="218">
        <v>168105.0</v>
      </c>
      <c r="N919" s="218">
        <v>1.0E8</v>
      </c>
      <c r="O919" s="218">
        <v>339030.0</v>
      </c>
      <c r="P919" s="218" t="s">
        <v>11456</v>
      </c>
      <c r="Q919" s="222">
        <v>3807.2</v>
      </c>
      <c r="R919" s="222">
        <v>3807.2</v>
      </c>
      <c r="S919" s="222">
        <v>3807.2</v>
      </c>
      <c r="U919" s="222">
        <v>3807.2</v>
      </c>
      <c r="X919" s="218">
        <v>1.51132020000264E14</v>
      </c>
      <c r="AB919" t="e">
        <v>#N/A</v>
      </c>
    </row>
    <row r="920">
      <c r="A920" s="218" t="s">
        <v>116</v>
      </c>
      <c r="C920" s="218" t="s">
        <v>11461</v>
      </c>
      <c r="F920" s="457">
        <v>44168.0</v>
      </c>
      <c r="G920" s="218">
        <v>1.0</v>
      </c>
      <c r="H920" s="218">
        <v>401091.0</v>
      </c>
      <c r="J920" s="218" t="s">
        <v>11462</v>
      </c>
      <c r="K920" s="218" t="s">
        <v>11463</v>
      </c>
      <c r="L920" s="218">
        <v>15113.0</v>
      </c>
      <c r="M920" s="218">
        <v>168105.0</v>
      </c>
      <c r="N920" s="218">
        <v>1.0E8</v>
      </c>
      <c r="O920" s="218">
        <v>339030.0</v>
      </c>
      <c r="P920" s="218" t="s">
        <v>11456</v>
      </c>
      <c r="Q920" s="222">
        <v>6756.6</v>
      </c>
      <c r="R920" s="222">
        <v>6756.6</v>
      </c>
      <c r="S920" s="222">
        <v>6756.6</v>
      </c>
      <c r="U920" s="222">
        <v>6756.6</v>
      </c>
      <c r="X920" s="218">
        <v>1.51132020000264E14</v>
      </c>
      <c r="AB920" t="e">
        <v>#N/A</v>
      </c>
    </row>
    <row r="921">
      <c r="A921" s="218" t="s">
        <v>116</v>
      </c>
      <c r="C921" s="218" t="s">
        <v>11464</v>
      </c>
      <c r="F921" s="457">
        <v>44168.0</v>
      </c>
      <c r="G921" s="218">
        <v>1.0</v>
      </c>
      <c r="H921" s="218">
        <v>401091.0</v>
      </c>
      <c r="J921" s="218" t="s">
        <v>11165</v>
      </c>
      <c r="K921" s="218" t="s">
        <v>11465</v>
      </c>
      <c r="L921" s="218">
        <v>15113.0</v>
      </c>
      <c r="M921" s="218">
        <v>168105.0</v>
      </c>
      <c r="N921" s="218">
        <v>1.0E8</v>
      </c>
      <c r="O921" s="218">
        <v>339030.0</v>
      </c>
      <c r="P921" s="218" t="s">
        <v>11456</v>
      </c>
      <c r="Q921" s="222">
        <v>4699.8</v>
      </c>
      <c r="R921" s="222">
        <v>4699.8</v>
      </c>
      <c r="S921" s="222">
        <v>4699.8</v>
      </c>
      <c r="U921" s="218">
        <v>0.0</v>
      </c>
      <c r="X921" s="218">
        <v>1.51132020000264E14</v>
      </c>
      <c r="AB921" t="e">
        <v>#N/A</v>
      </c>
    </row>
    <row r="922">
      <c r="A922" s="218" t="s">
        <v>781</v>
      </c>
      <c r="C922" s="218" t="s">
        <v>11466</v>
      </c>
      <c r="F922" s="457">
        <v>44169.0</v>
      </c>
      <c r="G922" s="218">
        <v>0.0</v>
      </c>
      <c r="H922" s="218">
        <v>401092.0</v>
      </c>
      <c r="I922" s="218" t="s">
        <v>9955</v>
      </c>
      <c r="J922" s="218" t="s">
        <v>9956</v>
      </c>
      <c r="K922" s="218" t="s">
        <v>9904</v>
      </c>
      <c r="L922" s="218">
        <v>15113.0</v>
      </c>
      <c r="M922" s="218">
        <v>168105.0</v>
      </c>
      <c r="N922" s="218">
        <v>1.0E8</v>
      </c>
      <c r="O922" s="218">
        <v>339037.0</v>
      </c>
      <c r="P922" s="218" t="s">
        <v>9958</v>
      </c>
      <c r="Q922" s="222">
        <v>304.39</v>
      </c>
      <c r="R922" s="222">
        <v>304.39</v>
      </c>
      <c r="S922" s="222">
        <v>0.0</v>
      </c>
      <c r="U922" s="218">
        <v>0.0</v>
      </c>
      <c r="X922" s="218">
        <v>1.51132020000124E14</v>
      </c>
      <c r="AB922" t="e">
        <v>#N/A</v>
      </c>
    </row>
    <row r="923">
      <c r="A923" s="218" t="s">
        <v>781</v>
      </c>
      <c r="C923" s="218" t="s">
        <v>11467</v>
      </c>
      <c r="F923" s="457">
        <v>44169.0</v>
      </c>
      <c r="G923" s="218">
        <v>0.0</v>
      </c>
      <c r="H923" s="218">
        <v>401092.0</v>
      </c>
      <c r="I923" s="218" t="s">
        <v>9995</v>
      </c>
      <c r="J923" s="218" t="s">
        <v>9996</v>
      </c>
      <c r="K923" s="218" t="s">
        <v>9904</v>
      </c>
      <c r="L923" s="218">
        <v>15113.0</v>
      </c>
      <c r="M923" s="218">
        <v>168105.0</v>
      </c>
      <c r="N923" s="218">
        <v>1.0E8</v>
      </c>
      <c r="O923" s="218">
        <v>339037.0</v>
      </c>
      <c r="P923" s="218" t="s">
        <v>9998</v>
      </c>
      <c r="Q923" s="222">
        <v>12045.91</v>
      </c>
      <c r="R923" s="222">
        <v>12045.91</v>
      </c>
      <c r="S923" s="222">
        <v>0.0</v>
      </c>
      <c r="U923" s="218">
        <v>0.0</v>
      </c>
      <c r="X923" s="218">
        <v>1.51132020000124E14</v>
      </c>
      <c r="AB923" t="e">
        <v>#N/A</v>
      </c>
    </row>
    <row r="924">
      <c r="C924" s="218" t="s">
        <v>11468</v>
      </c>
      <c r="F924" s="457">
        <v>44169.0</v>
      </c>
      <c r="G924" s="218">
        <v>0.0</v>
      </c>
      <c r="H924" s="218">
        <v>401093.0</v>
      </c>
      <c r="I924" s="218" t="s">
        <v>9880</v>
      </c>
      <c r="J924" s="218" t="s">
        <v>9864</v>
      </c>
      <c r="K924" s="218" t="s">
        <v>9398</v>
      </c>
      <c r="L924" s="218">
        <v>15113.0</v>
      </c>
      <c r="M924" s="218">
        <v>168105.0</v>
      </c>
      <c r="N924" s="218">
        <v>1.0E8</v>
      </c>
      <c r="O924" s="218">
        <v>339037.0</v>
      </c>
      <c r="P924" s="218" t="s">
        <v>11469</v>
      </c>
      <c r="Q924" s="222">
        <v>4375.6</v>
      </c>
      <c r="R924" s="222">
        <v>-4375.6</v>
      </c>
      <c r="S924" s="222">
        <v>0.0</v>
      </c>
      <c r="U924" s="218">
        <v>0.0</v>
      </c>
      <c r="AB924" t="e">
        <v>#N/A</v>
      </c>
    </row>
    <row r="925">
      <c r="A925" s="218" t="s">
        <v>343</v>
      </c>
      <c r="C925" s="218" t="s">
        <v>11470</v>
      </c>
      <c r="F925" s="457">
        <v>44169.0</v>
      </c>
      <c r="G925" s="218">
        <v>0.0</v>
      </c>
      <c r="H925" s="218">
        <v>401093.0</v>
      </c>
      <c r="I925" s="218" t="s">
        <v>10056</v>
      </c>
      <c r="J925" s="218" t="s">
        <v>10057</v>
      </c>
      <c r="K925" s="218" t="s">
        <v>9398</v>
      </c>
      <c r="L925" s="218">
        <v>15113.0</v>
      </c>
      <c r="M925" s="218">
        <v>168105.0</v>
      </c>
      <c r="N925" s="218">
        <v>1.0E8</v>
      </c>
      <c r="O925" s="218">
        <v>339039.0</v>
      </c>
      <c r="P925" s="218" t="s">
        <v>10059</v>
      </c>
      <c r="Q925" s="222">
        <v>1054.68</v>
      </c>
      <c r="R925" s="222">
        <v>-1054.68</v>
      </c>
      <c r="S925" s="222">
        <v>0.0</v>
      </c>
      <c r="U925" s="218">
        <v>0.0</v>
      </c>
      <c r="AB925" t="e">
        <v>#N/A</v>
      </c>
    </row>
    <row r="926">
      <c r="C926" s="218" t="s">
        <v>11471</v>
      </c>
      <c r="F926" s="457">
        <v>44169.0</v>
      </c>
      <c r="G926" s="218">
        <v>0.0</v>
      </c>
      <c r="H926" s="218">
        <v>401093.0</v>
      </c>
      <c r="I926" s="218" t="s">
        <v>10221</v>
      </c>
      <c r="J926" s="218" t="s">
        <v>10222</v>
      </c>
      <c r="K926" s="218" t="s">
        <v>9398</v>
      </c>
      <c r="L926" s="218">
        <v>15113.0</v>
      </c>
      <c r="M926" s="218">
        <v>168105.0</v>
      </c>
      <c r="N926" s="218">
        <v>1.0E8</v>
      </c>
      <c r="O926" s="218">
        <v>339037.0</v>
      </c>
      <c r="P926" s="218" t="s">
        <v>11472</v>
      </c>
      <c r="Q926" s="222">
        <v>30725.96</v>
      </c>
      <c r="R926" s="222">
        <v>-30725.96</v>
      </c>
      <c r="S926" s="222">
        <v>0.0</v>
      </c>
      <c r="U926" s="218">
        <v>0.0</v>
      </c>
      <c r="AB926" t="e">
        <v>#N/A</v>
      </c>
    </row>
    <row r="927">
      <c r="C927" s="218" t="s">
        <v>11473</v>
      </c>
      <c r="F927" s="457">
        <v>44169.0</v>
      </c>
      <c r="G927" s="218">
        <v>0.0</v>
      </c>
      <c r="H927" s="218">
        <v>401093.0</v>
      </c>
      <c r="I927" s="218" t="s">
        <v>10228</v>
      </c>
      <c r="J927" s="218" t="s">
        <v>9864</v>
      </c>
      <c r="K927" s="218" t="s">
        <v>9398</v>
      </c>
      <c r="L927" s="218">
        <v>15113.0</v>
      </c>
      <c r="M927" s="218">
        <v>168105.0</v>
      </c>
      <c r="N927" s="218">
        <v>1.0E8</v>
      </c>
      <c r="O927" s="218">
        <v>339037.0</v>
      </c>
      <c r="P927" s="218" t="s">
        <v>11474</v>
      </c>
      <c r="Q927" s="222">
        <v>91200.0</v>
      </c>
      <c r="R927" s="222">
        <v>-91200.0</v>
      </c>
      <c r="S927" s="222">
        <v>0.0</v>
      </c>
      <c r="U927" s="218">
        <v>0.0</v>
      </c>
      <c r="AB927" t="e">
        <v>#N/A</v>
      </c>
    </row>
    <row r="928">
      <c r="A928" s="218" t="s">
        <v>781</v>
      </c>
      <c r="C928" s="218" t="s">
        <v>11475</v>
      </c>
      <c r="F928" s="457">
        <v>44173.0</v>
      </c>
      <c r="G928" s="218">
        <v>0.0</v>
      </c>
      <c r="H928" s="218">
        <v>401093.0</v>
      </c>
      <c r="I928" s="218" t="s">
        <v>9707</v>
      </c>
      <c r="J928" s="218" t="s">
        <v>9403</v>
      </c>
      <c r="K928" s="218" t="s">
        <v>9398</v>
      </c>
      <c r="L928" s="218">
        <v>15113.0</v>
      </c>
      <c r="M928" s="218">
        <v>168105.0</v>
      </c>
      <c r="N928" s="218">
        <v>1.0E8</v>
      </c>
      <c r="O928" s="218">
        <v>339039.0</v>
      </c>
      <c r="P928" s="218" t="s">
        <v>9405</v>
      </c>
      <c r="Q928" s="222">
        <v>7000.0</v>
      </c>
      <c r="R928" s="222">
        <v>-7000.0</v>
      </c>
      <c r="S928" s="222">
        <v>0.0</v>
      </c>
      <c r="U928" s="218">
        <v>0.0</v>
      </c>
      <c r="AB928" t="e">
        <v>#N/A</v>
      </c>
    </row>
    <row r="929">
      <c r="A929" s="218" t="s">
        <v>781</v>
      </c>
      <c r="C929" s="218" t="s">
        <v>11476</v>
      </c>
      <c r="F929" s="457">
        <v>44173.0</v>
      </c>
      <c r="G929" s="218">
        <v>0.0</v>
      </c>
      <c r="H929" s="218">
        <v>401093.0</v>
      </c>
      <c r="I929" s="218" t="s">
        <v>9796</v>
      </c>
      <c r="J929" s="218" t="s">
        <v>9797</v>
      </c>
      <c r="K929" s="218" t="s">
        <v>9398</v>
      </c>
      <c r="L929" s="218">
        <v>15113.0</v>
      </c>
      <c r="M929" s="218">
        <v>168105.0</v>
      </c>
      <c r="N929" s="218">
        <v>1.0E8</v>
      </c>
      <c r="O929" s="218">
        <v>339037.0</v>
      </c>
      <c r="P929" s="218" t="s">
        <v>9799</v>
      </c>
      <c r="Q929" s="222">
        <v>7150.85</v>
      </c>
      <c r="R929" s="222">
        <v>-7150.85</v>
      </c>
      <c r="S929" s="222">
        <v>0.0</v>
      </c>
      <c r="U929" s="218">
        <v>0.0</v>
      </c>
      <c r="AB929" t="e">
        <v>#N/A</v>
      </c>
    </row>
    <row r="930">
      <c r="A930" s="218" t="s">
        <v>116</v>
      </c>
      <c r="C930" s="218" t="s">
        <v>11477</v>
      </c>
      <c r="F930" s="457">
        <v>44173.0</v>
      </c>
      <c r="G930" s="218">
        <v>0.0</v>
      </c>
      <c r="H930" s="218">
        <v>401092.0</v>
      </c>
      <c r="I930" s="218" t="s">
        <v>10780</v>
      </c>
      <c r="J930" s="218" t="s">
        <v>10781</v>
      </c>
      <c r="K930" s="218" t="s">
        <v>11478</v>
      </c>
      <c r="L930" s="218">
        <v>15113.0</v>
      </c>
      <c r="M930" s="218">
        <v>168107.0</v>
      </c>
      <c r="N930" s="218">
        <v>1.0E8</v>
      </c>
      <c r="O930" s="218">
        <v>339040.0</v>
      </c>
      <c r="P930" s="218" t="s">
        <v>10783</v>
      </c>
      <c r="Q930" s="222">
        <v>1330.0</v>
      </c>
      <c r="R930" s="222">
        <v>1330.0</v>
      </c>
      <c r="S930" s="222">
        <v>0.0</v>
      </c>
      <c r="U930" s="218">
        <v>0.0</v>
      </c>
      <c r="X930" s="218">
        <v>1.51132020000249E14</v>
      </c>
      <c r="AB930" t="e">
        <v>#N/A</v>
      </c>
    </row>
    <row r="931">
      <c r="A931" s="218" t="s">
        <v>116</v>
      </c>
      <c r="C931" s="218" t="s">
        <v>11479</v>
      </c>
      <c r="F931" s="457">
        <v>44174.0</v>
      </c>
      <c r="G931" s="218">
        <v>3.0</v>
      </c>
      <c r="H931" s="218">
        <v>401091.0</v>
      </c>
      <c r="J931" s="218" t="s">
        <v>11480</v>
      </c>
      <c r="K931" s="218" t="s">
        <v>11481</v>
      </c>
      <c r="L931" s="218">
        <v>15113.0</v>
      </c>
      <c r="M931" s="218">
        <v>168107.0</v>
      </c>
      <c r="N931" s="218">
        <v>1.0E8</v>
      </c>
      <c r="O931" s="218">
        <v>339040.0</v>
      </c>
      <c r="P931" s="218" t="s">
        <v>11482</v>
      </c>
      <c r="Q931" s="222">
        <v>3610.0</v>
      </c>
      <c r="R931" s="222">
        <v>3610.0</v>
      </c>
      <c r="S931" s="222">
        <v>3610.0</v>
      </c>
      <c r="U931" s="222">
        <v>3610.0</v>
      </c>
      <c r="X931" s="218">
        <v>1.51132020000263E14</v>
      </c>
      <c r="AB931" t="e">
        <v>#N/A</v>
      </c>
    </row>
    <row r="932">
      <c r="A932" s="218" t="s">
        <v>116</v>
      </c>
      <c r="C932" s="218" t="s">
        <v>11483</v>
      </c>
      <c r="F932" s="457">
        <v>44174.0</v>
      </c>
      <c r="G932" s="218">
        <v>0.0</v>
      </c>
      <c r="H932" s="218">
        <v>401093.0</v>
      </c>
      <c r="I932" s="218" t="s">
        <v>10935</v>
      </c>
      <c r="J932" s="218" t="s">
        <v>10936</v>
      </c>
      <c r="K932" s="218" t="s">
        <v>9398</v>
      </c>
      <c r="L932" s="218">
        <v>15113.0</v>
      </c>
      <c r="M932" s="218">
        <v>168105.0</v>
      </c>
      <c r="N932" s="218">
        <v>1.0E8</v>
      </c>
      <c r="O932" s="218">
        <v>339040.0</v>
      </c>
      <c r="P932" s="218" t="s">
        <v>335</v>
      </c>
      <c r="Q932" s="222">
        <v>21405.32</v>
      </c>
      <c r="R932" s="222">
        <v>-21405.32</v>
      </c>
      <c r="S932" s="218">
        <v>0.0</v>
      </c>
      <c r="U932" s="218">
        <v>0.0</v>
      </c>
      <c r="AB932" t="e">
        <v>#N/A</v>
      </c>
    </row>
    <row r="933">
      <c r="A933" s="218" t="s">
        <v>116</v>
      </c>
      <c r="C933" s="218" t="s">
        <v>11484</v>
      </c>
      <c r="F933" s="457">
        <v>44174.0</v>
      </c>
      <c r="G933" s="218">
        <v>1.0</v>
      </c>
      <c r="H933" s="218">
        <v>401091.0</v>
      </c>
      <c r="J933" s="218" t="s">
        <v>11485</v>
      </c>
      <c r="K933" s="218" t="s">
        <v>11486</v>
      </c>
      <c r="L933" s="218">
        <v>15113.0</v>
      </c>
      <c r="M933" s="218">
        <v>168105.0</v>
      </c>
      <c r="N933" s="218">
        <v>1.0E8</v>
      </c>
      <c r="O933" s="218">
        <v>449052.0</v>
      </c>
      <c r="P933" s="218" t="s">
        <v>11487</v>
      </c>
      <c r="Q933" s="222">
        <v>840000.0</v>
      </c>
      <c r="R933" s="222">
        <v>840000.0</v>
      </c>
      <c r="S933" s="222">
        <v>840000.0</v>
      </c>
      <c r="U933" s="222">
        <v>840000.0</v>
      </c>
      <c r="X933" s="218">
        <v>1.51132020000262E14</v>
      </c>
      <c r="AB933" t="e">
        <v>#N/A</v>
      </c>
    </row>
    <row r="934">
      <c r="A934" s="218" t="s">
        <v>9371</v>
      </c>
      <c r="C934" s="218" t="s">
        <v>11488</v>
      </c>
      <c r="F934" s="457">
        <v>44176.0</v>
      </c>
      <c r="G934" s="218">
        <v>0.0</v>
      </c>
      <c r="H934" s="218">
        <v>401093.0</v>
      </c>
      <c r="I934" s="218" t="s">
        <v>9393</v>
      </c>
      <c r="J934" s="218" t="s">
        <v>9333</v>
      </c>
      <c r="K934" s="218" t="s">
        <v>9398</v>
      </c>
      <c r="L934" s="218">
        <v>15113.0</v>
      </c>
      <c r="M934" s="218">
        <v>168109.0</v>
      </c>
      <c r="N934" s="218">
        <v>1.0E8</v>
      </c>
      <c r="O934" s="218">
        <v>339014.0</v>
      </c>
      <c r="P934" s="218" t="s">
        <v>9374</v>
      </c>
      <c r="Q934" s="222">
        <v>1922.53</v>
      </c>
      <c r="R934" s="222">
        <v>-1922.53</v>
      </c>
      <c r="S934" s="218">
        <v>0.0</v>
      </c>
      <c r="U934" s="218">
        <v>0.0</v>
      </c>
      <c r="AB934" t="e">
        <v>#N/A</v>
      </c>
    </row>
    <row r="935">
      <c r="A935" s="218" t="s">
        <v>9371</v>
      </c>
      <c r="C935" s="218" t="s">
        <v>11489</v>
      </c>
      <c r="F935" s="457">
        <v>44176.0</v>
      </c>
      <c r="G935" s="218">
        <v>0.0</v>
      </c>
      <c r="H935" s="218">
        <v>401093.0</v>
      </c>
      <c r="I935" s="218" t="s">
        <v>10054</v>
      </c>
      <c r="J935" s="218" t="s">
        <v>9333</v>
      </c>
      <c r="K935" s="218" t="s">
        <v>9398</v>
      </c>
      <c r="L935" s="218">
        <v>15113.0</v>
      </c>
      <c r="M935" s="218">
        <v>168109.0</v>
      </c>
      <c r="N935" s="218">
        <v>1.0E8</v>
      </c>
      <c r="O935" s="218">
        <v>339036.0</v>
      </c>
      <c r="P935" s="218" t="s">
        <v>9374</v>
      </c>
      <c r="Q935" s="222">
        <v>1735.67</v>
      </c>
      <c r="R935" s="222">
        <v>-1735.67</v>
      </c>
      <c r="S935" s="218">
        <v>0.0</v>
      </c>
      <c r="U935" s="218">
        <v>0.0</v>
      </c>
      <c r="AB935" t="e">
        <v>#N/A</v>
      </c>
    </row>
    <row r="936">
      <c r="A936" s="218" t="s">
        <v>116</v>
      </c>
      <c r="C936" s="218" t="s">
        <v>11490</v>
      </c>
      <c r="F936" s="457">
        <v>44176.0</v>
      </c>
      <c r="G936" s="218">
        <v>1.0</v>
      </c>
      <c r="H936" s="218">
        <v>401091.0</v>
      </c>
      <c r="J936" s="218" t="s">
        <v>11491</v>
      </c>
      <c r="K936" s="218" t="s">
        <v>11492</v>
      </c>
      <c r="L936" s="218">
        <v>15113.0</v>
      </c>
      <c r="M936" s="218">
        <v>168105.0</v>
      </c>
      <c r="N936" s="218">
        <v>1.0E8</v>
      </c>
      <c r="O936" s="218">
        <v>449052.0</v>
      </c>
      <c r="P936" s="218" t="s">
        <v>11493</v>
      </c>
      <c r="Q936" s="222">
        <v>224689.62</v>
      </c>
      <c r="R936" s="222">
        <v>224689.62</v>
      </c>
      <c r="S936" s="222">
        <v>224689.62</v>
      </c>
      <c r="U936" s="222">
        <v>224689.62</v>
      </c>
      <c r="X936" s="218">
        <v>1.51132020000261E14</v>
      </c>
      <c r="AB936" t="e">
        <v>#N/A</v>
      </c>
    </row>
    <row r="937">
      <c r="A937" s="218" t="s">
        <v>116</v>
      </c>
      <c r="C937" s="218" t="s">
        <v>11494</v>
      </c>
      <c r="F937" s="457">
        <v>44176.0</v>
      </c>
      <c r="G937" s="218">
        <v>1.0</v>
      </c>
      <c r="H937" s="218">
        <v>401091.0</v>
      </c>
      <c r="J937" s="218" t="s">
        <v>11495</v>
      </c>
      <c r="K937" s="218" t="s">
        <v>11496</v>
      </c>
      <c r="L937" s="218">
        <v>15113.0</v>
      </c>
      <c r="M937" s="218">
        <v>168105.0</v>
      </c>
      <c r="N937" s="218">
        <v>1.0E8</v>
      </c>
      <c r="O937" s="218">
        <v>449052.0</v>
      </c>
      <c r="P937" s="218" t="s">
        <v>11493</v>
      </c>
      <c r="Q937" s="222">
        <v>119470.0</v>
      </c>
      <c r="R937" s="222">
        <v>119470.0</v>
      </c>
      <c r="S937" s="222">
        <v>119470.0</v>
      </c>
      <c r="U937" s="222">
        <v>119470.0</v>
      </c>
      <c r="X937" s="218">
        <v>1.51132020000261E14</v>
      </c>
      <c r="AB937" t="e">
        <v>#N/A</v>
      </c>
    </row>
    <row r="938">
      <c r="A938" s="218" t="s">
        <v>9331</v>
      </c>
      <c r="C938" s="218" t="s">
        <v>11497</v>
      </c>
      <c r="F938" s="457">
        <v>44176.0</v>
      </c>
      <c r="G938" s="218">
        <v>0.0</v>
      </c>
      <c r="H938" s="218">
        <v>401093.0</v>
      </c>
      <c r="I938" s="218" t="s">
        <v>9338</v>
      </c>
      <c r="J938" s="218" t="s">
        <v>9333</v>
      </c>
      <c r="K938" s="218" t="s">
        <v>9398</v>
      </c>
      <c r="L938" s="218">
        <v>15113.0</v>
      </c>
      <c r="M938" s="218">
        <v>168098.0</v>
      </c>
      <c r="N938" s="218">
        <v>1.0E8</v>
      </c>
      <c r="O938" s="218">
        <v>319091.0</v>
      </c>
      <c r="P938" s="218" t="s">
        <v>9335</v>
      </c>
      <c r="Q938" s="222">
        <v>681.83</v>
      </c>
      <c r="R938" s="222">
        <v>-681.83</v>
      </c>
      <c r="S938" s="222">
        <v>0.0</v>
      </c>
      <c r="U938" s="218">
        <v>0.0</v>
      </c>
      <c r="AB938" t="e">
        <v>#N/A</v>
      </c>
    </row>
    <row r="939">
      <c r="A939" s="218" t="s">
        <v>9331</v>
      </c>
      <c r="C939" s="218" t="s">
        <v>11498</v>
      </c>
      <c r="F939" s="457">
        <v>44176.0</v>
      </c>
      <c r="G939" s="218">
        <v>0.0</v>
      </c>
      <c r="H939" s="218">
        <v>401093.0</v>
      </c>
      <c r="I939" s="218" t="s">
        <v>9332</v>
      </c>
      <c r="J939" s="218" t="s">
        <v>9333</v>
      </c>
      <c r="K939" s="218" t="s">
        <v>9398</v>
      </c>
      <c r="L939" s="218">
        <v>15113.0</v>
      </c>
      <c r="M939" s="218">
        <v>168098.0</v>
      </c>
      <c r="N939" s="218">
        <v>1.0E8</v>
      </c>
      <c r="O939" s="218">
        <v>319011.0</v>
      </c>
      <c r="P939" s="218" t="s">
        <v>9335</v>
      </c>
      <c r="Q939" s="222">
        <v>674499.48</v>
      </c>
      <c r="R939" s="222">
        <v>-674499.48</v>
      </c>
      <c r="S939" s="218">
        <v>0.0</v>
      </c>
      <c r="U939" s="218">
        <v>0.0</v>
      </c>
      <c r="AB939" t="e">
        <v>#N/A</v>
      </c>
    </row>
    <row r="940">
      <c r="A940" s="218" t="s">
        <v>9331</v>
      </c>
      <c r="C940" s="218" t="s">
        <v>11499</v>
      </c>
      <c r="F940" s="457">
        <v>44176.0</v>
      </c>
      <c r="G940" s="218">
        <v>0.0</v>
      </c>
      <c r="H940" s="218">
        <v>401093.0</v>
      </c>
      <c r="I940" s="218" t="s">
        <v>9336</v>
      </c>
      <c r="J940" s="218" t="s">
        <v>9333</v>
      </c>
      <c r="K940" s="218" t="s">
        <v>9398</v>
      </c>
      <c r="L940" s="218">
        <v>15113.0</v>
      </c>
      <c r="M940" s="218">
        <v>168098.0</v>
      </c>
      <c r="N940" s="218">
        <v>1.0E8</v>
      </c>
      <c r="O940" s="218">
        <v>319016.0</v>
      </c>
      <c r="P940" s="218" t="s">
        <v>9335</v>
      </c>
      <c r="Q940" s="222">
        <v>603167.18</v>
      </c>
      <c r="R940" s="222">
        <v>-603167.18</v>
      </c>
      <c r="S940" s="218">
        <v>0.0</v>
      </c>
      <c r="U940" s="218">
        <v>0.0</v>
      </c>
      <c r="AB940" t="e">
        <v>#N/A</v>
      </c>
    </row>
    <row r="941">
      <c r="A941" s="218" t="s">
        <v>9331</v>
      </c>
      <c r="C941" s="218" t="s">
        <v>11500</v>
      </c>
      <c r="F941" s="457">
        <v>44176.0</v>
      </c>
      <c r="G941" s="218">
        <v>0.0</v>
      </c>
      <c r="H941" s="218">
        <v>401092.0</v>
      </c>
      <c r="I941" s="218" t="s">
        <v>9336</v>
      </c>
      <c r="J941" s="218" t="s">
        <v>9333</v>
      </c>
      <c r="K941" s="218" t="s">
        <v>9904</v>
      </c>
      <c r="L941" s="218">
        <v>15113.0</v>
      </c>
      <c r="M941" s="218">
        <v>168098.0</v>
      </c>
      <c r="N941" s="218">
        <v>1.0E8</v>
      </c>
      <c r="O941" s="218">
        <v>319016.0</v>
      </c>
      <c r="P941" s="218" t="s">
        <v>9335</v>
      </c>
      <c r="Q941" s="222">
        <v>245376.31</v>
      </c>
      <c r="R941" s="222">
        <v>245376.31</v>
      </c>
      <c r="S941" s="222">
        <v>0.0</v>
      </c>
      <c r="U941" s="218">
        <v>0.0</v>
      </c>
      <c r="X941" s="218">
        <v>1.51132020000184E14</v>
      </c>
      <c r="AB941" t="e">
        <v>#N/A</v>
      </c>
    </row>
    <row r="942">
      <c r="A942" s="218" t="s">
        <v>9331</v>
      </c>
      <c r="C942" s="218" t="s">
        <v>11501</v>
      </c>
      <c r="F942" s="457">
        <v>44176.0</v>
      </c>
      <c r="G942" s="218">
        <v>0.0</v>
      </c>
      <c r="H942" s="218">
        <v>401092.0</v>
      </c>
      <c r="I942" s="218" t="s">
        <v>9345</v>
      </c>
      <c r="J942" s="218" t="s">
        <v>9346</v>
      </c>
      <c r="K942" s="218" t="s">
        <v>9904</v>
      </c>
      <c r="L942" s="218">
        <v>15113.0</v>
      </c>
      <c r="M942" s="218">
        <v>168098.0</v>
      </c>
      <c r="N942" s="218">
        <v>1.0E8</v>
      </c>
      <c r="O942" s="218">
        <v>319007.0</v>
      </c>
      <c r="P942" s="218" t="s">
        <v>9335</v>
      </c>
      <c r="Q942" s="222">
        <v>3111.43</v>
      </c>
      <c r="R942" s="222">
        <v>3111.43</v>
      </c>
      <c r="S942" s="222">
        <v>0.0</v>
      </c>
      <c r="U942" s="218">
        <v>0.0</v>
      </c>
      <c r="X942" s="218">
        <v>1.51132020000186E14</v>
      </c>
      <c r="AB942" t="e">
        <v>#N/A</v>
      </c>
    </row>
    <row r="943">
      <c r="A943" s="218" t="s">
        <v>9331</v>
      </c>
      <c r="C943" s="218" t="s">
        <v>11502</v>
      </c>
      <c r="F943" s="457">
        <v>44176.0</v>
      </c>
      <c r="G943" s="218">
        <v>3.0</v>
      </c>
      <c r="H943" s="218">
        <v>401091.0</v>
      </c>
      <c r="J943" s="218" t="s">
        <v>9344</v>
      </c>
      <c r="K943" s="218" t="s">
        <v>9342</v>
      </c>
      <c r="L943" s="218">
        <v>15113.0</v>
      </c>
      <c r="M943" s="218">
        <v>168095.0</v>
      </c>
      <c r="N943" s="218">
        <v>3.0E8</v>
      </c>
      <c r="O943" s="218">
        <v>319113.0</v>
      </c>
      <c r="P943" s="218" t="s">
        <v>9335</v>
      </c>
      <c r="Q943" s="222">
        <v>5718944.78</v>
      </c>
      <c r="R943" s="222">
        <v>5718944.78</v>
      </c>
      <c r="S943" s="222">
        <v>5718944.78</v>
      </c>
      <c r="U943" s="218">
        <v>0.0</v>
      </c>
      <c r="X943" s="218">
        <v>1.51132020000181E14</v>
      </c>
      <c r="AB943" t="e">
        <v>#N/A</v>
      </c>
    </row>
    <row r="944">
      <c r="A944" s="218" t="s">
        <v>9331</v>
      </c>
      <c r="C944" s="218" t="s">
        <v>11503</v>
      </c>
      <c r="F944" s="457">
        <v>44176.0</v>
      </c>
      <c r="G944" s="218">
        <v>0.0</v>
      </c>
      <c r="H944" s="218">
        <v>401092.0</v>
      </c>
      <c r="I944" s="218" t="s">
        <v>9332</v>
      </c>
      <c r="J944" s="218" t="s">
        <v>9333</v>
      </c>
      <c r="K944" s="218" t="s">
        <v>9904</v>
      </c>
      <c r="L944" s="218">
        <v>15113.0</v>
      </c>
      <c r="M944" s="218">
        <v>168098.0</v>
      </c>
      <c r="N944" s="218">
        <v>1.0E8</v>
      </c>
      <c r="O944" s="218">
        <v>319011.0</v>
      </c>
      <c r="P944" s="218" t="s">
        <v>9335</v>
      </c>
      <c r="Q944" s="222">
        <v>1.043321842E7</v>
      </c>
      <c r="R944" s="222">
        <v>1.043321842E7</v>
      </c>
      <c r="S944" s="218">
        <v>0.0</v>
      </c>
      <c r="U944" s="218">
        <v>0.0</v>
      </c>
      <c r="X944" s="218">
        <v>1.51132020000185E14</v>
      </c>
      <c r="AB944" t="e">
        <v>#N/A</v>
      </c>
    </row>
    <row r="945">
      <c r="A945" s="218" t="s">
        <v>9331</v>
      </c>
      <c r="C945" s="218" t="s">
        <v>11504</v>
      </c>
      <c r="F945" s="457">
        <v>44179.0</v>
      </c>
      <c r="G945" s="218">
        <v>0.0</v>
      </c>
      <c r="H945" s="218">
        <v>401093.0</v>
      </c>
      <c r="I945" s="218" t="s">
        <v>9353</v>
      </c>
      <c r="J945" s="218" t="s">
        <v>9333</v>
      </c>
      <c r="K945" s="218" t="s">
        <v>9398</v>
      </c>
      <c r="L945" s="218">
        <v>15113.0</v>
      </c>
      <c r="M945" s="218">
        <v>168099.0</v>
      </c>
      <c r="N945" s="218">
        <v>1.69E8</v>
      </c>
      <c r="O945" s="218">
        <v>319001.0</v>
      </c>
      <c r="P945" s="218" t="s">
        <v>9335</v>
      </c>
      <c r="Q945" s="222">
        <v>22500.4</v>
      </c>
      <c r="R945" s="222">
        <v>-22500.4</v>
      </c>
      <c r="S945" s="222">
        <v>0.0</v>
      </c>
      <c r="U945" s="218">
        <v>0.0</v>
      </c>
      <c r="AB945" t="e">
        <v>#N/A</v>
      </c>
    </row>
    <row r="946">
      <c r="A946" s="218" t="s">
        <v>9331</v>
      </c>
      <c r="C946" s="218" t="s">
        <v>11505</v>
      </c>
      <c r="F946" s="457">
        <v>44179.0</v>
      </c>
      <c r="G946" s="218">
        <v>0.0</v>
      </c>
      <c r="H946" s="218">
        <v>401092.0</v>
      </c>
      <c r="I946" s="218" t="s">
        <v>9354</v>
      </c>
      <c r="J946" s="218" t="s">
        <v>9333</v>
      </c>
      <c r="K946" s="218" t="s">
        <v>9904</v>
      </c>
      <c r="L946" s="218">
        <v>15113.0</v>
      </c>
      <c r="M946" s="218">
        <v>168099.0</v>
      </c>
      <c r="N946" s="218">
        <v>1.69E8</v>
      </c>
      <c r="O946" s="218">
        <v>319003.0</v>
      </c>
      <c r="P946" s="218" t="s">
        <v>9335</v>
      </c>
      <c r="Q946" s="222">
        <v>17874.07</v>
      </c>
      <c r="R946" s="222">
        <v>17874.07</v>
      </c>
      <c r="S946" s="218">
        <v>0.0</v>
      </c>
      <c r="U946" s="218">
        <v>0.0</v>
      </c>
      <c r="X946" s="218">
        <v>1.51132020000188E14</v>
      </c>
      <c r="AB946" t="e">
        <v>#N/A</v>
      </c>
    </row>
    <row r="947">
      <c r="A947" s="218" t="s">
        <v>9331</v>
      </c>
      <c r="C947" s="218" t="s">
        <v>11506</v>
      </c>
      <c r="F947" s="457">
        <v>44179.0</v>
      </c>
      <c r="G947" s="218">
        <v>0.0</v>
      </c>
      <c r="H947" s="218">
        <v>401093.0</v>
      </c>
      <c r="I947" s="218" t="s">
        <v>9356</v>
      </c>
      <c r="J947" s="218" t="s">
        <v>9333</v>
      </c>
      <c r="K947" s="218" t="s">
        <v>9398</v>
      </c>
      <c r="L947" s="218">
        <v>15113.0</v>
      </c>
      <c r="M947" s="218">
        <v>168099.0</v>
      </c>
      <c r="N947" s="218">
        <v>1.69E8</v>
      </c>
      <c r="O947" s="218">
        <v>319091.0</v>
      </c>
      <c r="P947" s="218" t="s">
        <v>9335</v>
      </c>
      <c r="Q947" s="222">
        <v>30676.24</v>
      </c>
      <c r="R947" s="222">
        <v>-30676.24</v>
      </c>
      <c r="S947" s="218">
        <v>0.0</v>
      </c>
      <c r="U947" s="218">
        <v>0.0</v>
      </c>
      <c r="AB947" t="e">
        <v>#N/A</v>
      </c>
    </row>
    <row r="948">
      <c r="A948" s="218" t="s">
        <v>9331</v>
      </c>
      <c r="C948" s="218" t="s">
        <v>11507</v>
      </c>
      <c r="F948" s="457">
        <v>44179.0</v>
      </c>
      <c r="G948" s="218">
        <v>0.0</v>
      </c>
      <c r="H948" s="218">
        <v>401092.0</v>
      </c>
      <c r="I948" s="218" t="s">
        <v>9356</v>
      </c>
      <c r="J948" s="218" t="s">
        <v>9333</v>
      </c>
      <c r="K948" s="218" t="s">
        <v>9904</v>
      </c>
      <c r="L948" s="218">
        <v>15113.0</v>
      </c>
      <c r="M948" s="218">
        <v>168099.0</v>
      </c>
      <c r="N948" s="218">
        <v>1.69E8</v>
      </c>
      <c r="O948" s="218">
        <v>319091.0</v>
      </c>
      <c r="P948" s="218" t="s">
        <v>9335</v>
      </c>
      <c r="Q948" s="222">
        <v>6346.9</v>
      </c>
      <c r="R948" s="222">
        <v>6346.9</v>
      </c>
      <c r="S948" s="222">
        <v>0.0</v>
      </c>
      <c r="U948" s="222">
        <v>0.0</v>
      </c>
      <c r="X948" s="218">
        <v>1.51132020000187E14</v>
      </c>
      <c r="AB948" t="e">
        <v>#N/A</v>
      </c>
    </row>
    <row r="949">
      <c r="A949" s="218" t="s">
        <v>9331</v>
      </c>
      <c r="C949" s="218" t="s">
        <v>11508</v>
      </c>
      <c r="F949" s="457">
        <v>44179.0</v>
      </c>
      <c r="G949" s="218">
        <v>0.0</v>
      </c>
      <c r="H949" s="218">
        <v>401092.0</v>
      </c>
      <c r="I949" s="218" t="s">
        <v>9353</v>
      </c>
      <c r="J949" s="218" t="s">
        <v>9333</v>
      </c>
      <c r="K949" s="218" t="s">
        <v>9904</v>
      </c>
      <c r="L949" s="218">
        <v>15113.0</v>
      </c>
      <c r="M949" s="218">
        <v>168099.0</v>
      </c>
      <c r="N949" s="218">
        <v>1.69E8</v>
      </c>
      <c r="O949" s="218">
        <v>319001.0</v>
      </c>
      <c r="P949" s="218" t="s">
        <v>9335</v>
      </c>
      <c r="Q949" s="222">
        <v>6823422.86</v>
      </c>
      <c r="R949" s="222">
        <v>6823422.86</v>
      </c>
      <c r="S949" s="218">
        <v>0.0</v>
      </c>
      <c r="U949" s="218">
        <v>0.0</v>
      </c>
      <c r="X949" s="218">
        <v>1.51132020000179E14</v>
      </c>
      <c r="AB949" t="e">
        <v>#N/A</v>
      </c>
    </row>
    <row r="950">
      <c r="A950" s="218" t="s">
        <v>9331</v>
      </c>
      <c r="C950" s="218" t="s">
        <v>11509</v>
      </c>
      <c r="F950" s="457">
        <v>44179.0</v>
      </c>
      <c r="G950" s="218">
        <v>0.0</v>
      </c>
      <c r="H950" s="218">
        <v>401093.0</v>
      </c>
      <c r="I950" s="218" t="s">
        <v>9353</v>
      </c>
      <c r="J950" s="218" t="s">
        <v>9333</v>
      </c>
      <c r="K950" s="218" t="s">
        <v>9398</v>
      </c>
      <c r="L950" s="218">
        <v>15113.0</v>
      </c>
      <c r="M950" s="218">
        <v>168099.0</v>
      </c>
      <c r="N950" s="218">
        <v>1.69E8</v>
      </c>
      <c r="O950" s="218">
        <v>319001.0</v>
      </c>
      <c r="P950" s="218" t="s">
        <v>9335</v>
      </c>
      <c r="Q950" s="222">
        <v>6813563.66</v>
      </c>
      <c r="R950" s="222">
        <v>-6813563.66</v>
      </c>
      <c r="S950" s="222">
        <v>0.0</v>
      </c>
      <c r="U950" s="222">
        <v>0.0</v>
      </c>
      <c r="AB950" t="e">
        <v>#N/A</v>
      </c>
    </row>
    <row r="951">
      <c r="A951" s="218" t="s">
        <v>9331</v>
      </c>
      <c r="C951" s="218" t="s">
        <v>11510</v>
      </c>
      <c r="F951" s="457">
        <v>44179.0</v>
      </c>
      <c r="G951" s="218">
        <v>0.0</v>
      </c>
      <c r="H951" s="218">
        <v>401092.0</v>
      </c>
      <c r="I951" s="218" t="s">
        <v>9353</v>
      </c>
      <c r="J951" s="218" t="s">
        <v>9333</v>
      </c>
      <c r="K951" s="218" t="s">
        <v>9904</v>
      </c>
      <c r="L951" s="218">
        <v>15113.0</v>
      </c>
      <c r="M951" s="218">
        <v>168099.0</v>
      </c>
      <c r="N951" s="218">
        <v>1.69E8</v>
      </c>
      <c r="O951" s="218">
        <v>319001.0</v>
      </c>
      <c r="P951" s="218" t="s">
        <v>9335</v>
      </c>
      <c r="Q951" s="222">
        <v>6813563.66</v>
      </c>
      <c r="R951" s="222">
        <v>6813563.66</v>
      </c>
      <c r="S951" s="218">
        <v>0.0</v>
      </c>
      <c r="U951" s="218">
        <v>0.0</v>
      </c>
      <c r="X951" s="218">
        <v>1.51132020000179E14</v>
      </c>
      <c r="AB951" t="e">
        <v>#N/A</v>
      </c>
    </row>
    <row r="952">
      <c r="A952" s="218" t="s">
        <v>781</v>
      </c>
      <c r="C952" s="218" t="s">
        <v>11511</v>
      </c>
      <c r="F952" s="457">
        <v>44179.0</v>
      </c>
      <c r="G952" s="218">
        <v>0.0</v>
      </c>
      <c r="H952" s="218">
        <v>401093.0</v>
      </c>
      <c r="I952" s="218" t="s">
        <v>9992</v>
      </c>
      <c r="J952" s="218" t="s">
        <v>9594</v>
      </c>
      <c r="K952" s="218" t="s">
        <v>9398</v>
      </c>
      <c r="L952" s="218">
        <v>15113.0</v>
      </c>
      <c r="M952" s="218">
        <v>168105.0</v>
      </c>
      <c r="N952" s="218">
        <v>1.0E8</v>
      </c>
      <c r="O952" s="218">
        <v>339039.0</v>
      </c>
      <c r="P952" s="218" t="s">
        <v>9994</v>
      </c>
      <c r="Q952" s="222">
        <v>2022.0</v>
      </c>
      <c r="R952" s="222">
        <v>-2022.0</v>
      </c>
      <c r="S952" s="218">
        <v>0.0</v>
      </c>
      <c r="U952" s="218">
        <v>0.0</v>
      </c>
      <c r="AB952" t="e">
        <v>#N/A</v>
      </c>
    </row>
    <row r="953">
      <c r="A953" s="218" t="s">
        <v>9331</v>
      </c>
      <c r="C953" s="218" t="s">
        <v>11512</v>
      </c>
      <c r="F953" s="457">
        <v>44179.0</v>
      </c>
      <c r="G953" s="218">
        <v>3.0</v>
      </c>
      <c r="H953" s="218">
        <v>401091.0</v>
      </c>
      <c r="J953" s="218" t="s">
        <v>9333</v>
      </c>
      <c r="K953" s="218" t="s">
        <v>9349</v>
      </c>
      <c r="L953" s="218">
        <v>15113.0</v>
      </c>
      <c r="M953" s="218">
        <v>168099.0</v>
      </c>
      <c r="N953" s="218">
        <v>1.0E8</v>
      </c>
      <c r="O953" s="218">
        <v>319001.0</v>
      </c>
      <c r="P953" s="218" t="s">
        <v>9335</v>
      </c>
      <c r="Q953" s="222">
        <v>1955397.27</v>
      </c>
      <c r="R953" s="222">
        <v>1955397.27</v>
      </c>
      <c r="S953" s="222">
        <v>1957022.09</v>
      </c>
      <c r="U953" s="218">
        <v>0.0</v>
      </c>
      <c r="X953" s="218">
        <v>1.51132020000178E14</v>
      </c>
      <c r="AB953" t="e">
        <v>#N/A</v>
      </c>
    </row>
    <row r="954">
      <c r="A954" s="218" t="s">
        <v>9331</v>
      </c>
      <c r="C954" s="218" t="s">
        <v>11513</v>
      </c>
      <c r="F954" s="457">
        <v>44179.0</v>
      </c>
      <c r="G954" s="218">
        <v>3.0</v>
      </c>
      <c r="H954" s="218">
        <v>401091.0</v>
      </c>
      <c r="J954" s="218" t="s">
        <v>9333</v>
      </c>
      <c r="K954" s="218" t="s">
        <v>9355</v>
      </c>
      <c r="L954" s="218">
        <v>15113.0</v>
      </c>
      <c r="M954" s="218">
        <v>168099.0</v>
      </c>
      <c r="N954" s="218">
        <v>1.0E8</v>
      </c>
      <c r="O954" s="218">
        <v>319003.0</v>
      </c>
      <c r="P954" s="218" t="s">
        <v>9335</v>
      </c>
      <c r="Q954" s="222">
        <v>2712.3</v>
      </c>
      <c r="R954" s="222">
        <v>2712.3</v>
      </c>
      <c r="S954" s="222">
        <v>2712.3</v>
      </c>
      <c r="U954" s="218">
        <v>0.0</v>
      </c>
      <c r="X954" s="218">
        <v>1.51132020000188E14</v>
      </c>
      <c r="AB954" t="e">
        <v>#N/A</v>
      </c>
    </row>
    <row r="955">
      <c r="A955" s="218" t="s">
        <v>781</v>
      </c>
      <c r="C955" s="218" t="s">
        <v>11514</v>
      </c>
      <c r="F955" s="457">
        <v>44179.0</v>
      </c>
      <c r="G955" s="218">
        <v>0.0</v>
      </c>
      <c r="H955" s="218">
        <v>401093.0</v>
      </c>
      <c r="I955" s="218" t="s">
        <v>11263</v>
      </c>
      <c r="J955" s="218" t="s">
        <v>9697</v>
      </c>
      <c r="K955" s="218" t="s">
        <v>9398</v>
      </c>
      <c r="L955" s="218">
        <v>15113.0</v>
      </c>
      <c r="M955" s="218">
        <v>168105.0</v>
      </c>
      <c r="N955" s="218">
        <v>1.0E8</v>
      </c>
      <c r="O955" s="218">
        <v>339039.0</v>
      </c>
      <c r="P955" s="218" t="s">
        <v>11265</v>
      </c>
      <c r="Q955" s="222">
        <v>13.85</v>
      </c>
      <c r="R955" s="222">
        <v>-13.85</v>
      </c>
      <c r="S955" s="222">
        <v>0.0</v>
      </c>
      <c r="U955" s="222">
        <v>0.0</v>
      </c>
      <c r="AB955" t="e">
        <v>#N/A</v>
      </c>
    </row>
    <row r="956">
      <c r="A956" s="218" t="s">
        <v>116</v>
      </c>
      <c r="C956" s="218" t="s">
        <v>11515</v>
      </c>
      <c r="F956" s="457">
        <v>44179.0</v>
      </c>
      <c r="G956" s="218">
        <v>0.0</v>
      </c>
      <c r="H956" s="218">
        <v>401092.0</v>
      </c>
      <c r="I956" s="218" t="s">
        <v>9968</v>
      </c>
      <c r="J956" s="218" t="s">
        <v>9965</v>
      </c>
      <c r="K956" s="218" t="s">
        <v>11516</v>
      </c>
      <c r="L956" s="218">
        <v>15113.0</v>
      </c>
      <c r="M956" s="218">
        <v>168107.0</v>
      </c>
      <c r="N956" s="218">
        <v>1.0E8</v>
      </c>
      <c r="O956" s="218">
        <v>339040.0</v>
      </c>
      <c r="P956" s="218" t="s">
        <v>207</v>
      </c>
      <c r="Q956" s="222">
        <v>75386.82</v>
      </c>
      <c r="R956" s="222">
        <v>75386.82</v>
      </c>
      <c r="S956" s="218">
        <v>0.0</v>
      </c>
      <c r="U956" s="218">
        <v>0.0</v>
      </c>
      <c r="X956" s="218">
        <v>1.51132020000014E14</v>
      </c>
      <c r="AB956" t="e">
        <v>#N/A</v>
      </c>
    </row>
    <row r="957">
      <c r="A957" s="218" t="s">
        <v>116</v>
      </c>
      <c r="C957" s="218" t="s">
        <v>11517</v>
      </c>
      <c r="F957" s="457">
        <v>44179.0</v>
      </c>
      <c r="G957" s="218">
        <v>1.0</v>
      </c>
      <c r="H957" s="218">
        <v>401091.0</v>
      </c>
      <c r="J957" s="218" t="s">
        <v>11518</v>
      </c>
      <c r="K957" s="218" t="s">
        <v>11519</v>
      </c>
      <c r="L957" s="218">
        <v>15113.0</v>
      </c>
      <c r="M957" s="218">
        <v>168105.0</v>
      </c>
      <c r="N957" s="218">
        <v>1.0E8</v>
      </c>
      <c r="O957" s="218">
        <v>339030.0</v>
      </c>
      <c r="P957" s="218" t="s">
        <v>11520</v>
      </c>
      <c r="Q957" s="222">
        <v>3160.8</v>
      </c>
      <c r="R957" s="222">
        <v>3160.8</v>
      </c>
      <c r="S957" s="222">
        <v>3160.8</v>
      </c>
      <c r="U957" s="218">
        <v>0.0</v>
      </c>
      <c r="X957" s="218">
        <v>1.51132020000258E14</v>
      </c>
      <c r="AB957" t="e">
        <v>#N/A</v>
      </c>
    </row>
    <row r="958">
      <c r="A958" s="218" t="s">
        <v>459</v>
      </c>
      <c r="C958" s="218" t="s">
        <v>11521</v>
      </c>
      <c r="F958" s="457">
        <v>44179.0</v>
      </c>
      <c r="G958" s="218">
        <v>0.0</v>
      </c>
      <c r="H958" s="218">
        <v>401093.0</v>
      </c>
      <c r="I958" s="218" t="s">
        <v>9399</v>
      </c>
      <c r="J958" s="218" t="s">
        <v>9400</v>
      </c>
      <c r="K958" s="218" t="s">
        <v>9398</v>
      </c>
      <c r="L958" s="218">
        <v>15113.0</v>
      </c>
      <c r="M958" s="218">
        <v>168101.0</v>
      </c>
      <c r="N958" s="218">
        <v>1.51E8</v>
      </c>
      <c r="O958" s="218">
        <v>339039.0</v>
      </c>
      <c r="P958" s="218" t="s">
        <v>9374</v>
      </c>
      <c r="Q958" s="222">
        <v>279546.91</v>
      </c>
      <c r="R958" s="222">
        <v>-279546.91</v>
      </c>
      <c r="S958" s="218">
        <v>0.0</v>
      </c>
      <c r="U958" s="218">
        <v>0.0</v>
      </c>
      <c r="AB958" t="e">
        <v>#N/A</v>
      </c>
    </row>
    <row r="959">
      <c r="A959" s="218" t="s">
        <v>9371</v>
      </c>
      <c r="C959" s="218" t="s">
        <v>11522</v>
      </c>
      <c r="F959" s="457">
        <v>44179.0</v>
      </c>
      <c r="G959" s="218">
        <v>0.0</v>
      </c>
      <c r="H959" s="218">
        <v>401092.0</v>
      </c>
      <c r="I959" s="218" t="s">
        <v>9365</v>
      </c>
      <c r="J959" s="218" t="s">
        <v>9333</v>
      </c>
      <c r="K959" s="218" t="s">
        <v>9904</v>
      </c>
      <c r="L959" s="218">
        <v>15113.0</v>
      </c>
      <c r="M959" s="218">
        <v>168101.0</v>
      </c>
      <c r="N959" s="218">
        <v>1.51E8</v>
      </c>
      <c r="O959" s="218">
        <v>339093.0</v>
      </c>
      <c r="P959" s="218" t="s">
        <v>9374</v>
      </c>
      <c r="Q959" s="222">
        <v>279546.91</v>
      </c>
      <c r="R959" s="222">
        <v>279546.91</v>
      </c>
      <c r="S959" s="218">
        <v>0.0</v>
      </c>
      <c r="U959" s="218">
        <v>0.0</v>
      </c>
      <c r="X959" s="218">
        <v>1.51132020000173E14</v>
      </c>
      <c r="AB959" t="e">
        <v>#N/A</v>
      </c>
    </row>
    <row r="960">
      <c r="A960" s="218" t="s">
        <v>9371</v>
      </c>
      <c r="C960" s="218" t="s">
        <v>11523</v>
      </c>
      <c r="F960" s="457">
        <v>44179.0</v>
      </c>
      <c r="G960" s="218">
        <v>0.0</v>
      </c>
      <c r="H960" s="218">
        <v>401093.0</v>
      </c>
      <c r="I960" s="218" t="s">
        <v>9365</v>
      </c>
      <c r="J960" s="218" t="s">
        <v>9333</v>
      </c>
      <c r="K960" s="218" t="s">
        <v>9398</v>
      </c>
      <c r="L960" s="218">
        <v>15113.0</v>
      </c>
      <c r="M960" s="218">
        <v>168101.0</v>
      </c>
      <c r="N960" s="218">
        <v>1.51E8</v>
      </c>
      <c r="O960" s="218">
        <v>339093.0</v>
      </c>
      <c r="P960" s="218" t="s">
        <v>9374</v>
      </c>
      <c r="Q960" s="222">
        <v>279546.91</v>
      </c>
      <c r="R960" s="222">
        <v>-279546.91</v>
      </c>
      <c r="S960" s="218">
        <v>0.0</v>
      </c>
      <c r="U960" s="218">
        <v>0.0</v>
      </c>
      <c r="AB960" t="e">
        <v>#N/A</v>
      </c>
    </row>
    <row r="961">
      <c r="A961" s="218" t="s">
        <v>9371</v>
      </c>
      <c r="C961" s="218" t="s">
        <v>11524</v>
      </c>
      <c r="F961" s="457">
        <v>44179.0</v>
      </c>
      <c r="G961" s="218">
        <v>0.0</v>
      </c>
      <c r="H961" s="218">
        <v>401092.0</v>
      </c>
      <c r="I961" s="218" t="s">
        <v>9365</v>
      </c>
      <c r="J961" s="218" t="s">
        <v>9333</v>
      </c>
      <c r="K961" s="218" t="s">
        <v>9904</v>
      </c>
      <c r="L961" s="218">
        <v>15113.0</v>
      </c>
      <c r="M961" s="218">
        <v>168101.0</v>
      </c>
      <c r="N961" s="218">
        <v>1.51E8</v>
      </c>
      <c r="O961" s="218">
        <v>339093.0</v>
      </c>
      <c r="P961" s="218" t="s">
        <v>9374</v>
      </c>
      <c r="Q961" s="222">
        <v>406033.9</v>
      </c>
      <c r="R961" s="222">
        <v>406033.9</v>
      </c>
      <c r="S961" s="222">
        <v>0.0</v>
      </c>
      <c r="U961" s="218">
        <v>0.0</v>
      </c>
      <c r="X961" s="218">
        <v>1.51132020000173E14</v>
      </c>
      <c r="AB961" t="e">
        <v>#N/A</v>
      </c>
    </row>
    <row r="962">
      <c r="A962" s="218" t="s">
        <v>9371</v>
      </c>
      <c r="C962" s="218" t="s">
        <v>11525</v>
      </c>
      <c r="F962" s="457">
        <v>44179.0</v>
      </c>
      <c r="G962" s="218">
        <v>0.0</v>
      </c>
      <c r="H962" s="218">
        <v>401092.0</v>
      </c>
      <c r="I962" s="218" t="s">
        <v>9363</v>
      </c>
      <c r="J962" s="218" t="s">
        <v>9333</v>
      </c>
      <c r="K962" s="218" t="s">
        <v>9904</v>
      </c>
      <c r="L962" s="218">
        <v>15113.0</v>
      </c>
      <c r="M962" s="218">
        <v>168104.0</v>
      </c>
      <c r="N962" s="218">
        <v>1.0E8</v>
      </c>
      <c r="O962" s="218">
        <v>339008.0</v>
      </c>
      <c r="P962" s="218" t="s">
        <v>9374</v>
      </c>
      <c r="Q962" s="222">
        <v>1608.62</v>
      </c>
      <c r="R962" s="222">
        <v>1608.62</v>
      </c>
      <c r="S962" s="218">
        <v>0.0</v>
      </c>
      <c r="U962" s="218">
        <v>0.0</v>
      </c>
      <c r="X962" s="218">
        <v>1.51132020000192E14</v>
      </c>
      <c r="AB962" t="e">
        <v>#N/A</v>
      </c>
    </row>
    <row r="963">
      <c r="A963" s="218" t="s">
        <v>9371</v>
      </c>
      <c r="C963" s="218" t="s">
        <v>11526</v>
      </c>
      <c r="F963" s="457">
        <v>44179.0</v>
      </c>
      <c r="G963" s="218">
        <v>0.0</v>
      </c>
      <c r="H963" s="218">
        <v>401093.0</v>
      </c>
      <c r="I963" s="218" t="s">
        <v>9359</v>
      </c>
      <c r="J963" s="218" t="s">
        <v>9333</v>
      </c>
      <c r="K963" s="218" t="s">
        <v>9398</v>
      </c>
      <c r="L963" s="218">
        <v>15113.0</v>
      </c>
      <c r="M963" s="218">
        <v>168103.0</v>
      </c>
      <c r="N963" s="218">
        <v>1.0E8</v>
      </c>
      <c r="O963" s="218">
        <v>339046.0</v>
      </c>
      <c r="P963" s="218" t="s">
        <v>9374</v>
      </c>
      <c r="Q963" s="222">
        <v>2500.0</v>
      </c>
      <c r="R963" s="222">
        <v>-2500.0</v>
      </c>
      <c r="S963" s="222">
        <v>0.0</v>
      </c>
      <c r="U963" s="218">
        <v>0.0</v>
      </c>
      <c r="AB963" t="e">
        <v>#N/A</v>
      </c>
    </row>
    <row r="964">
      <c r="A964" s="218" t="s">
        <v>116</v>
      </c>
      <c r="C964" s="218" t="s">
        <v>11527</v>
      </c>
      <c r="F964" s="457">
        <v>44179.0</v>
      </c>
      <c r="G964" s="218">
        <v>0.0</v>
      </c>
      <c r="H964" s="218">
        <v>401092.0</v>
      </c>
      <c r="I964" s="218" t="s">
        <v>9825</v>
      </c>
      <c r="J964" s="218" t="s">
        <v>9826</v>
      </c>
      <c r="K964" s="218" t="s">
        <v>11528</v>
      </c>
      <c r="L964" s="218">
        <v>15113.0</v>
      </c>
      <c r="M964" s="218">
        <v>168105.0</v>
      </c>
      <c r="N964" s="218">
        <v>1.0E8</v>
      </c>
      <c r="O964" s="218">
        <v>339040.0</v>
      </c>
      <c r="P964" s="218" t="s">
        <v>9828</v>
      </c>
      <c r="Q964" s="222">
        <v>6707.19</v>
      </c>
      <c r="R964" s="222">
        <v>6707.19</v>
      </c>
      <c r="S964" s="222">
        <v>0.0</v>
      </c>
      <c r="U964" s="222">
        <v>0.0</v>
      </c>
      <c r="X964" s="218">
        <v>1.51132020000007E14</v>
      </c>
      <c r="AB964" t="e">
        <v>#N/A</v>
      </c>
    </row>
    <row r="965">
      <c r="A965" s="218" t="s">
        <v>9371</v>
      </c>
      <c r="C965" s="218" t="s">
        <v>11529</v>
      </c>
      <c r="F965" s="457">
        <v>44180.0</v>
      </c>
      <c r="G965" s="218">
        <v>0.0</v>
      </c>
      <c r="H965" s="218">
        <v>401092.0</v>
      </c>
      <c r="I965" s="218" t="s">
        <v>9357</v>
      </c>
      <c r="J965" s="218" t="s">
        <v>9333</v>
      </c>
      <c r="K965" s="218" t="s">
        <v>9904</v>
      </c>
      <c r="L965" s="218">
        <v>15113.0</v>
      </c>
      <c r="M965" s="218">
        <v>168100.0</v>
      </c>
      <c r="N965" s="218">
        <v>1.0E8</v>
      </c>
      <c r="O965" s="218">
        <v>339008.0</v>
      </c>
      <c r="P965" s="218" t="s">
        <v>9374</v>
      </c>
      <c r="Q965" s="222">
        <v>2500.0</v>
      </c>
      <c r="R965" s="222">
        <v>2500.0</v>
      </c>
      <c r="S965" s="222">
        <v>0.0</v>
      </c>
      <c r="U965" s="218">
        <v>0.0</v>
      </c>
      <c r="X965" s="218">
        <v>1.51132020000191E14</v>
      </c>
      <c r="AB965" t="e">
        <v>#N/A</v>
      </c>
    </row>
    <row r="966">
      <c r="A966" s="218" t="s">
        <v>9371</v>
      </c>
      <c r="C966" s="218" t="s">
        <v>11530</v>
      </c>
      <c r="F966" s="457">
        <v>44180.0</v>
      </c>
      <c r="G966" s="218">
        <v>0.0</v>
      </c>
      <c r="H966" s="218">
        <v>401093.0</v>
      </c>
      <c r="I966" s="218" t="s">
        <v>9332</v>
      </c>
      <c r="J966" s="218" t="s">
        <v>9333</v>
      </c>
      <c r="K966" s="218" t="s">
        <v>9398</v>
      </c>
      <c r="L966" s="218">
        <v>15113.0</v>
      </c>
      <c r="M966" s="218">
        <v>168098.0</v>
      </c>
      <c r="N966" s="218">
        <v>1.0E8</v>
      </c>
      <c r="O966" s="218">
        <v>319011.0</v>
      </c>
      <c r="P966" s="218" t="s">
        <v>9374</v>
      </c>
      <c r="Q966" s="222">
        <v>136087.31</v>
      </c>
      <c r="R966" s="222">
        <v>-136087.31</v>
      </c>
      <c r="S966" s="222">
        <v>0.0</v>
      </c>
      <c r="U966" s="218">
        <v>0.0</v>
      </c>
      <c r="AB966" t="e">
        <v>#N/A</v>
      </c>
    </row>
    <row r="967">
      <c r="C967" s="218" t="s">
        <v>11531</v>
      </c>
      <c r="F967" s="457">
        <v>44180.0</v>
      </c>
      <c r="G967" s="218">
        <v>0.0</v>
      </c>
      <c r="H967" s="218">
        <v>401092.0</v>
      </c>
      <c r="I967" s="218" t="s">
        <v>11031</v>
      </c>
      <c r="J967" s="218" t="s">
        <v>11025</v>
      </c>
      <c r="K967" s="218" t="s">
        <v>9904</v>
      </c>
      <c r="L967" s="218">
        <v>15113.0</v>
      </c>
      <c r="M967" s="218">
        <v>168105.0</v>
      </c>
      <c r="N967" s="218">
        <v>1.0E8</v>
      </c>
      <c r="O967" s="218">
        <v>339030.0</v>
      </c>
      <c r="P967" s="218" t="s">
        <v>11532</v>
      </c>
      <c r="Q967" s="222">
        <v>993.75</v>
      </c>
      <c r="R967" s="222">
        <v>993.75</v>
      </c>
      <c r="S967" s="222">
        <v>0.0</v>
      </c>
      <c r="U967" s="218">
        <v>0.0</v>
      </c>
      <c r="X967" s="218">
        <v>1.51132020000158E14</v>
      </c>
      <c r="AB967" t="e">
        <v>#N/A</v>
      </c>
    </row>
    <row r="968">
      <c r="A968" s="218" t="s">
        <v>116</v>
      </c>
      <c r="C968" s="218" t="s">
        <v>11533</v>
      </c>
      <c r="F968" s="457">
        <v>44180.0</v>
      </c>
      <c r="G968" s="218">
        <v>0.0</v>
      </c>
      <c r="H968" s="218">
        <v>401092.0</v>
      </c>
      <c r="I968" s="218" t="s">
        <v>9819</v>
      </c>
      <c r="J968" s="218" t="s">
        <v>9820</v>
      </c>
      <c r="K968" s="218" t="s">
        <v>11534</v>
      </c>
      <c r="L968" s="218">
        <v>15113.0</v>
      </c>
      <c r="M968" s="218">
        <v>168105.0</v>
      </c>
      <c r="N968" s="218">
        <v>1.0E8</v>
      </c>
      <c r="O968" s="218">
        <v>339040.0</v>
      </c>
      <c r="P968" s="218" t="s">
        <v>168</v>
      </c>
      <c r="Q968" s="222">
        <v>377.94</v>
      </c>
      <c r="R968" s="222">
        <v>377.94</v>
      </c>
      <c r="S968" s="222">
        <v>0.0</v>
      </c>
      <c r="U968" s="218">
        <v>0.0</v>
      </c>
      <c r="X968" s="218">
        <v>1.51132020000018E14</v>
      </c>
      <c r="AB968" t="e">
        <v>#N/A</v>
      </c>
    </row>
    <row r="969">
      <c r="A969" s="218" t="s">
        <v>499</v>
      </c>
      <c r="C969" s="218" t="s">
        <v>11535</v>
      </c>
      <c r="F969" s="457">
        <v>44180.0</v>
      </c>
      <c r="G969" s="218">
        <v>1.0</v>
      </c>
      <c r="H969" s="218">
        <v>401091.0</v>
      </c>
      <c r="J969" s="218" t="s">
        <v>11536</v>
      </c>
      <c r="K969" s="218" t="s">
        <v>11537</v>
      </c>
      <c r="L969" s="218">
        <v>15113.0</v>
      </c>
      <c r="M969" s="218">
        <v>168106.0</v>
      </c>
      <c r="N969" s="218">
        <v>1.0E8</v>
      </c>
      <c r="O969" s="218">
        <v>339039.0</v>
      </c>
      <c r="P969" s="218" t="s">
        <v>11538</v>
      </c>
      <c r="Q969" s="222">
        <v>178.8</v>
      </c>
      <c r="R969" s="222">
        <v>178.8</v>
      </c>
      <c r="S969" s="218">
        <v>178.8</v>
      </c>
      <c r="U969" s="218">
        <v>178.8</v>
      </c>
      <c r="X969" s="218">
        <v>1.51132020000091E14</v>
      </c>
      <c r="AB969" t="e">
        <v>#N/A</v>
      </c>
    </row>
    <row r="970">
      <c r="A970" s="218" t="s">
        <v>9331</v>
      </c>
      <c r="C970" s="218" t="s">
        <v>11539</v>
      </c>
      <c r="F970" s="457">
        <v>44180.0</v>
      </c>
      <c r="G970" s="218">
        <v>0.0</v>
      </c>
      <c r="H970" s="218">
        <v>401092.0</v>
      </c>
      <c r="I970" s="218" t="s">
        <v>9363</v>
      </c>
      <c r="J970" s="218" t="s">
        <v>9333</v>
      </c>
      <c r="K970" s="218" t="s">
        <v>9904</v>
      </c>
      <c r="L970" s="218">
        <v>15113.0</v>
      </c>
      <c r="M970" s="218">
        <v>168104.0</v>
      </c>
      <c r="N970" s="218">
        <v>1.0E8</v>
      </c>
      <c r="O970" s="218">
        <v>339008.0</v>
      </c>
      <c r="P970" s="218" t="s">
        <v>9335</v>
      </c>
      <c r="Q970" s="222">
        <v>4615.0</v>
      </c>
      <c r="R970" s="222">
        <v>4615.0</v>
      </c>
      <c r="S970" s="218">
        <v>0.0</v>
      </c>
      <c r="U970" s="218">
        <v>0.0</v>
      </c>
      <c r="X970" s="218">
        <v>1.51132020000192E14</v>
      </c>
      <c r="AB970" t="e">
        <v>#N/A</v>
      </c>
    </row>
    <row r="971">
      <c r="A971" s="218" t="s">
        <v>9920</v>
      </c>
      <c r="C971" s="218" t="s">
        <v>11540</v>
      </c>
      <c r="F971" s="457">
        <v>44180.0</v>
      </c>
      <c r="G971" s="218">
        <v>1.0</v>
      </c>
      <c r="H971" s="218">
        <v>401091.0</v>
      </c>
      <c r="J971" s="218" t="s">
        <v>11541</v>
      </c>
      <c r="K971" s="218" t="s">
        <v>11542</v>
      </c>
      <c r="L971" s="218">
        <v>15113.0</v>
      </c>
      <c r="M971" s="218">
        <v>168105.0</v>
      </c>
      <c r="N971" s="218">
        <v>1.0E8</v>
      </c>
      <c r="O971" s="218">
        <v>339039.0</v>
      </c>
      <c r="P971" s="218" t="s">
        <v>11543</v>
      </c>
      <c r="Q971" s="222">
        <v>6888.0</v>
      </c>
      <c r="R971" s="222">
        <v>6888.0</v>
      </c>
      <c r="S971" s="222">
        <v>6888.0</v>
      </c>
      <c r="U971" s="218">
        <v>168.76</v>
      </c>
      <c r="X971" s="218">
        <v>1.51132020000267E14</v>
      </c>
      <c r="AB971" t="e">
        <v>#N/A</v>
      </c>
    </row>
    <row r="972">
      <c r="A972" s="218" t="s">
        <v>116</v>
      </c>
      <c r="C972" s="218" t="s">
        <v>11544</v>
      </c>
      <c r="F972" s="457">
        <v>44180.0</v>
      </c>
      <c r="G972" s="218">
        <v>3.0</v>
      </c>
      <c r="H972" s="218">
        <v>401091.0</v>
      </c>
      <c r="J972" s="218" t="s">
        <v>11545</v>
      </c>
      <c r="K972" s="218" t="s">
        <v>11546</v>
      </c>
      <c r="L972" s="218">
        <v>15113.0</v>
      </c>
      <c r="M972" s="218">
        <v>168107.0</v>
      </c>
      <c r="N972" s="218">
        <v>1.0E8</v>
      </c>
      <c r="O972" s="218">
        <v>339040.0</v>
      </c>
      <c r="P972" s="218" t="s">
        <v>385</v>
      </c>
      <c r="Q972" s="222">
        <v>223.37</v>
      </c>
      <c r="R972" s="222">
        <v>223.37</v>
      </c>
      <c r="S972" s="218">
        <v>223.37</v>
      </c>
      <c r="U972" s="218">
        <v>223.37</v>
      </c>
      <c r="X972" s="218">
        <v>1.51132020000011E14</v>
      </c>
      <c r="AB972" t="e">
        <v>#N/A</v>
      </c>
    </row>
    <row r="973">
      <c r="A973" s="218" t="s">
        <v>9430</v>
      </c>
      <c r="C973" s="218" t="s">
        <v>11547</v>
      </c>
      <c r="F973" s="457">
        <v>44180.0</v>
      </c>
      <c r="G973" s="218">
        <v>0.0</v>
      </c>
      <c r="H973" s="218">
        <v>401093.0</v>
      </c>
      <c r="I973" s="218" t="s">
        <v>9910</v>
      </c>
      <c r="J973" s="218" t="s">
        <v>9907</v>
      </c>
      <c r="K973" s="218" t="s">
        <v>9398</v>
      </c>
      <c r="L973" s="218">
        <v>15113.0</v>
      </c>
      <c r="M973" s="218">
        <v>168105.0</v>
      </c>
      <c r="N973" s="218">
        <v>1.0E8</v>
      </c>
      <c r="O973" s="218">
        <v>339030.0</v>
      </c>
      <c r="P973" s="218" t="s">
        <v>9909</v>
      </c>
      <c r="Q973" s="222">
        <v>3300.0</v>
      </c>
      <c r="R973" s="222">
        <v>-3300.0</v>
      </c>
      <c r="S973" s="218">
        <v>0.0</v>
      </c>
      <c r="U973" s="218">
        <v>0.0</v>
      </c>
      <c r="AB973" t="e">
        <v>#N/A</v>
      </c>
    </row>
    <row r="974">
      <c r="A974" s="218" t="s">
        <v>9430</v>
      </c>
      <c r="C974" s="218" t="s">
        <v>11548</v>
      </c>
      <c r="F974" s="457">
        <v>44180.0</v>
      </c>
      <c r="G974" s="218">
        <v>0.0</v>
      </c>
      <c r="H974" s="218">
        <v>401093.0</v>
      </c>
      <c r="I974" s="218" t="s">
        <v>9906</v>
      </c>
      <c r="J974" s="218" t="s">
        <v>9907</v>
      </c>
      <c r="K974" s="218" t="s">
        <v>9398</v>
      </c>
      <c r="L974" s="218">
        <v>15113.0</v>
      </c>
      <c r="M974" s="218">
        <v>168105.0</v>
      </c>
      <c r="N974" s="218">
        <v>1.0E8</v>
      </c>
      <c r="O974" s="218">
        <v>339039.0</v>
      </c>
      <c r="P974" s="218" t="s">
        <v>9909</v>
      </c>
      <c r="Q974" s="222">
        <v>1950.0</v>
      </c>
      <c r="R974" s="222">
        <v>-1950.0</v>
      </c>
      <c r="S974" s="218">
        <v>0.0</v>
      </c>
      <c r="U974" s="218">
        <v>0.0</v>
      </c>
      <c r="AB974" t="e">
        <v>#N/A</v>
      </c>
    </row>
    <row r="975">
      <c r="A975" s="218" t="s">
        <v>781</v>
      </c>
      <c r="C975" s="218" t="s">
        <v>11549</v>
      </c>
      <c r="F975" s="457">
        <v>44180.0</v>
      </c>
      <c r="G975" s="218">
        <v>0.0</v>
      </c>
      <c r="H975" s="218">
        <v>401093.0</v>
      </c>
      <c r="I975" s="218" t="s">
        <v>9758</v>
      </c>
      <c r="J975" s="218" t="s">
        <v>9755</v>
      </c>
      <c r="K975" s="218" t="s">
        <v>9398</v>
      </c>
      <c r="L975" s="218">
        <v>15113.0</v>
      </c>
      <c r="M975" s="218">
        <v>168105.0</v>
      </c>
      <c r="N975" s="218">
        <v>1.27E8</v>
      </c>
      <c r="O975" s="218">
        <v>339039.0</v>
      </c>
      <c r="P975" s="218" t="s">
        <v>9757</v>
      </c>
      <c r="Q975" s="222">
        <v>24000.0</v>
      </c>
      <c r="R975" s="222">
        <v>-24000.0</v>
      </c>
      <c r="S975" s="222">
        <v>0.0</v>
      </c>
      <c r="U975" s="222">
        <v>0.0</v>
      </c>
      <c r="AB975" t="e">
        <v>#N/A</v>
      </c>
    </row>
    <row r="976">
      <c r="A976" s="218" t="s">
        <v>9920</v>
      </c>
      <c r="C976" s="218" t="s">
        <v>11550</v>
      </c>
      <c r="F976" s="457">
        <v>44180.0</v>
      </c>
      <c r="G976" s="218">
        <v>0.0</v>
      </c>
      <c r="H976" s="218">
        <v>401093.0</v>
      </c>
      <c r="I976" s="218" t="s">
        <v>10454</v>
      </c>
      <c r="J976" s="218" t="s">
        <v>9922</v>
      </c>
      <c r="K976" s="218" t="s">
        <v>9398</v>
      </c>
      <c r="L976" s="218">
        <v>15113.0</v>
      </c>
      <c r="M976" s="218">
        <v>168105.0</v>
      </c>
      <c r="N976" s="218">
        <v>1.0E8</v>
      </c>
      <c r="O976" s="218">
        <v>339030.0</v>
      </c>
      <c r="P976" s="218" t="s">
        <v>9924</v>
      </c>
      <c r="Q976" s="222">
        <v>20270.24</v>
      </c>
      <c r="R976" s="222">
        <v>-20270.24</v>
      </c>
      <c r="S976" s="222">
        <v>0.0</v>
      </c>
      <c r="U976" s="218">
        <v>0.0</v>
      </c>
      <c r="AB976" t="e">
        <v>#N/A</v>
      </c>
    </row>
    <row r="977">
      <c r="A977" s="218" t="s">
        <v>9920</v>
      </c>
      <c r="C977" s="218" t="s">
        <v>11551</v>
      </c>
      <c r="F977" s="457">
        <v>44180.0</v>
      </c>
      <c r="G977" s="218">
        <v>0.0</v>
      </c>
      <c r="H977" s="218">
        <v>401093.0</v>
      </c>
      <c r="I977" s="218" t="s">
        <v>10455</v>
      </c>
      <c r="J977" s="218" t="s">
        <v>9922</v>
      </c>
      <c r="K977" s="218" t="s">
        <v>9398</v>
      </c>
      <c r="L977" s="218">
        <v>15113.0</v>
      </c>
      <c r="M977" s="218">
        <v>168105.0</v>
      </c>
      <c r="N977" s="218">
        <v>1.0E8</v>
      </c>
      <c r="O977" s="218">
        <v>339039.0</v>
      </c>
      <c r="P977" s="218" t="s">
        <v>9924</v>
      </c>
      <c r="Q977" s="222">
        <v>13480.59</v>
      </c>
      <c r="R977" s="222">
        <v>-13480.59</v>
      </c>
      <c r="S977" s="222">
        <v>0.0</v>
      </c>
      <c r="U977" s="218">
        <v>0.0</v>
      </c>
      <c r="AB977" t="e">
        <v>#N/A</v>
      </c>
    </row>
    <row r="978">
      <c r="A978" s="218" t="s">
        <v>9371</v>
      </c>
      <c r="C978" s="218" t="s">
        <v>11552</v>
      </c>
      <c r="F978" s="457">
        <v>44181.0</v>
      </c>
      <c r="G978" s="218">
        <v>0.0</v>
      </c>
      <c r="H978" s="218">
        <v>401093.0</v>
      </c>
      <c r="I978" s="218" t="s">
        <v>9387</v>
      </c>
      <c r="J978" s="218" t="s">
        <v>9333</v>
      </c>
      <c r="K978" s="218" t="s">
        <v>9398</v>
      </c>
      <c r="L978" s="218">
        <v>15113.0</v>
      </c>
      <c r="M978" s="218">
        <v>168105.0</v>
      </c>
      <c r="N978" s="218">
        <v>1.0E8</v>
      </c>
      <c r="O978" s="218">
        <v>339030.0</v>
      </c>
      <c r="P978" s="218" t="s">
        <v>9374</v>
      </c>
      <c r="Q978" s="222">
        <v>22776.63</v>
      </c>
      <c r="R978" s="222">
        <v>-22776.63</v>
      </c>
      <c r="S978" s="222">
        <v>0.0</v>
      </c>
      <c r="U978" s="218">
        <v>0.0</v>
      </c>
      <c r="AB978" t="e">
        <v>#N/A</v>
      </c>
    </row>
    <row r="979">
      <c r="A979" s="218" t="s">
        <v>9371</v>
      </c>
      <c r="C979" s="218" t="s">
        <v>11553</v>
      </c>
      <c r="F979" s="457">
        <v>44181.0</v>
      </c>
      <c r="G979" s="218">
        <v>0.0</v>
      </c>
      <c r="H979" s="218">
        <v>401093.0</v>
      </c>
      <c r="I979" s="218" t="s">
        <v>9389</v>
      </c>
      <c r="J979" s="218" t="s">
        <v>9333</v>
      </c>
      <c r="K979" s="218" t="s">
        <v>9398</v>
      </c>
      <c r="L979" s="218">
        <v>15113.0</v>
      </c>
      <c r="M979" s="218">
        <v>168105.0</v>
      </c>
      <c r="N979" s="218">
        <v>1.0E8</v>
      </c>
      <c r="O979" s="218">
        <v>339036.0</v>
      </c>
      <c r="P979" s="218" t="s">
        <v>9374</v>
      </c>
      <c r="Q979" s="222">
        <v>1000.0</v>
      </c>
      <c r="R979" s="222">
        <v>-1000.0</v>
      </c>
      <c r="S979" s="218">
        <v>0.0</v>
      </c>
      <c r="U979" s="218">
        <v>0.0</v>
      </c>
      <c r="AB979" t="e">
        <v>#N/A</v>
      </c>
    </row>
    <row r="980">
      <c r="A980" s="218" t="s">
        <v>9371</v>
      </c>
      <c r="C980" s="218" t="s">
        <v>11554</v>
      </c>
      <c r="F980" s="457">
        <v>44181.0</v>
      </c>
      <c r="G980" s="218">
        <v>0.0</v>
      </c>
      <c r="H980" s="218">
        <v>401093.0</v>
      </c>
      <c r="I980" s="218" t="s">
        <v>9390</v>
      </c>
      <c r="J980" s="218" t="s">
        <v>9333</v>
      </c>
      <c r="K980" s="218" t="s">
        <v>9398</v>
      </c>
      <c r="L980" s="218">
        <v>15113.0</v>
      </c>
      <c r="M980" s="218">
        <v>168105.0</v>
      </c>
      <c r="N980" s="218">
        <v>1.0E8</v>
      </c>
      <c r="O980" s="218">
        <v>339039.0</v>
      </c>
      <c r="P980" s="218" t="s">
        <v>9374</v>
      </c>
      <c r="Q980" s="222">
        <v>20354.66</v>
      </c>
      <c r="R980" s="222">
        <v>-20354.66</v>
      </c>
      <c r="S980" s="218">
        <v>0.0</v>
      </c>
      <c r="U980" s="218">
        <v>0.0</v>
      </c>
      <c r="AB980" t="e">
        <v>#N/A</v>
      </c>
    </row>
    <row r="981">
      <c r="A981" s="218" t="s">
        <v>9371</v>
      </c>
      <c r="C981" s="218" t="s">
        <v>11555</v>
      </c>
      <c r="F981" s="457">
        <v>44181.0</v>
      </c>
      <c r="G981" s="218">
        <v>0.0</v>
      </c>
      <c r="H981" s="218">
        <v>401093.0</v>
      </c>
      <c r="I981" s="218" t="s">
        <v>9391</v>
      </c>
      <c r="J981" s="218" t="s">
        <v>9341</v>
      </c>
      <c r="K981" s="218" t="s">
        <v>9398</v>
      </c>
      <c r="L981" s="218">
        <v>15113.0</v>
      </c>
      <c r="M981" s="218">
        <v>168105.0</v>
      </c>
      <c r="N981" s="218">
        <v>1.0E8</v>
      </c>
      <c r="O981" s="218">
        <v>339147.0</v>
      </c>
      <c r="P981" s="218" t="s">
        <v>9374</v>
      </c>
      <c r="Q981" s="222">
        <v>200.0</v>
      </c>
      <c r="R981" s="222">
        <v>-200.0</v>
      </c>
      <c r="S981" s="222">
        <v>0.0</v>
      </c>
      <c r="U981" s="218">
        <v>0.0</v>
      </c>
      <c r="AB981" t="e">
        <v>#N/A</v>
      </c>
    </row>
    <row r="982">
      <c r="A982" s="218" t="s">
        <v>10734</v>
      </c>
      <c r="C982" s="218" t="s">
        <v>11556</v>
      </c>
      <c r="F982" s="457">
        <v>44181.0</v>
      </c>
      <c r="G982" s="218">
        <v>0.0</v>
      </c>
      <c r="H982" s="218">
        <v>401093.0</v>
      </c>
      <c r="I982" s="218" t="s">
        <v>10808</v>
      </c>
      <c r="J982" s="218" t="s">
        <v>10809</v>
      </c>
      <c r="K982" s="218" t="s">
        <v>9398</v>
      </c>
      <c r="L982" s="218">
        <v>15113.0</v>
      </c>
      <c r="M982" s="218">
        <v>168105.0</v>
      </c>
      <c r="N982" s="218">
        <v>1.0E8</v>
      </c>
      <c r="O982" s="218">
        <v>339030.0</v>
      </c>
      <c r="P982" s="218" t="s">
        <v>10811</v>
      </c>
      <c r="Q982" s="222">
        <v>319.16</v>
      </c>
      <c r="R982" s="222">
        <v>-319.16</v>
      </c>
      <c r="S982" s="218">
        <v>0.0</v>
      </c>
      <c r="U982" s="218">
        <v>0.0</v>
      </c>
      <c r="AB982" t="e">
        <v>#N/A</v>
      </c>
    </row>
    <row r="983">
      <c r="A983" s="218" t="s">
        <v>781</v>
      </c>
      <c r="C983" s="218" t="s">
        <v>11557</v>
      </c>
      <c r="F983" s="457">
        <v>44181.0</v>
      </c>
      <c r="G983" s="218">
        <v>0.0</v>
      </c>
      <c r="H983" s="218">
        <v>401093.0</v>
      </c>
      <c r="I983" s="218" t="s">
        <v>9792</v>
      </c>
      <c r="J983" s="218" t="s">
        <v>9793</v>
      </c>
      <c r="K983" s="218" t="s">
        <v>9398</v>
      </c>
      <c r="L983" s="218">
        <v>15113.0</v>
      </c>
      <c r="M983" s="218">
        <v>168105.0</v>
      </c>
      <c r="N983" s="218">
        <v>1.0E8</v>
      </c>
      <c r="O983" s="218">
        <v>339039.0</v>
      </c>
      <c r="P983" s="218" t="s">
        <v>9795</v>
      </c>
      <c r="Q983" s="222">
        <v>10000.0</v>
      </c>
      <c r="R983" s="222">
        <v>-10000.0</v>
      </c>
      <c r="S983" s="218">
        <v>0.0</v>
      </c>
      <c r="U983" s="218">
        <v>0.0</v>
      </c>
      <c r="AB983" t="e">
        <v>#N/A</v>
      </c>
    </row>
    <row r="984">
      <c r="A984" s="218" t="s">
        <v>781</v>
      </c>
      <c r="C984" s="218" t="s">
        <v>11558</v>
      </c>
      <c r="F984" s="457">
        <v>44181.0</v>
      </c>
      <c r="G984" s="218">
        <v>0.0</v>
      </c>
      <c r="H984" s="218">
        <v>401093.0</v>
      </c>
      <c r="I984" s="218" t="s">
        <v>9750</v>
      </c>
      <c r="J984" s="218" t="s">
        <v>9751</v>
      </c>
      <c r="K984" s="218" t="s">
        <v>9398</v>
      </c>
      <c r="L984" s="218">
        <v>15113.0</v>
      </c>
      <c r="M984" s="218">
        <v>168105.0</v>
      </c>
      <c r="N984" s="218">
        <v>1.0E8</v>
      </c>
      <c r="O984" s="218">
        <v>339039.0</v>
      </c>
      <c r="P984" s="218" t="s">
        <v>9753</v>
      </c>
      <c r="Q984" s="222">
        <v>45000.0</v>
      </c>
      <c r="R984" s="222">
        <v>-45000.0</v>
      </c>
      <c r="S984" s="222">
        <v>0.0</v>
      </c>
      <c r="U984" s="218">
        <v>0.0</v>
      </c>
      <c r="AB984" t="e">
        <v>#N/A</v>
      </c>
    </row>
    <row r="985">
      <c r="A985" s="218" t="s">
        <v>781</v>
      </c>
      <c r="C985" s="218" t="s">
        <v>11559</v>
      </c>
      <c r="F985" s="457">
        <v>44181.0</v>
      </c>
      <c r="G985" s="218">
        <v>0.0</v>
      </c>
      <c r="H985" s="218">
        <v>401093.0</v>
      </c>
      <c r="I985" s="218" t="s">
        <v>9805</v>
      </c>
      <c r="J985" s="218" t="s">
        <v>9806</v>
      </c>
      <c r="K985" s="218" t="s">
        <v>9398</v>
      </c>
      <c r="L985" s="218">
        <v>15113.0</v>
      </c>
      <c r="M985" s="218">
        <v>168105.0</v>
      </c>
      <c r="N985" s="218">
        <v>1.0E8</v>
      </c>
      <c r="O985" s="218">
        <v>339037.0</v>
      </c>
      <c r="P985" s="218" t="s">
        <v>9808</v>
      </c>
      <c r="Q985" s="222">
        <v>28995.56</v>
      </c>
      <c r="R985" s="222">
        <v>-28995.56</v>
      </c>
      <c r="S985" s="218">
        <v>0.0</v>
      </c>
      <c r="U985" s="218">
        <v>0.0</v>
      </c>
      <c r="AB985" t="e">
        <v>#N/A</v>
      </c>
    </row>
    <row r="986">
      <c r="A986" s="218" t="s">
        <v>9371</v>
      </c>
      <c r="C986" s="218" t="s">
        <v>11560</v>
      </c>
      <c r="F986" s="457">
        <v>44182.0</v>
      </c>
      <c r="G986" s="218">
        <v>1.0</v>
      </c>
      <c r="H986" s="218">
        <v>401091.0</v>
      </c>
      <c r="J986" s="218" t="s">
        <v>9590</v>
      </c>
      <c r="K986" s="218" t="s">
        <v>11561</v>
      </c>
      <c r="L986" s="218">
        <v>71103.0</v>
      </c>
      <c r="M986" s="218">
        <v>90162.0</v>
      </c>
      <c r="N986" s="218">
        <v>1.0E8</v>
      </c>
      <c r="O986" s="218">
        <v>319091.0</v>
      </c>
      <c r="P986" s="218" t="s">
        <v>11562</v>
      </c>
      <c r="Q986" s="222">
        <v>96726.26</v>
      </c>
      <c r="R986" s="222">
        <v>96726.26</v>
      </c>
      <c r="S986" s="222">
        <v>96726.26</v>
      </c>
      <c r="U986" s="218">
        <v>0.0</v>
      </c>
      <c r="X986" s="218">
        <v>1.51132020000204E14</v>
      </c>
      <c r="AB986" t="e">
        <v>#N/A</v>
      </c>
    </row>
    <row r="987">
      <c r="A987" s="218" t="s">
        <v>9371</v>
      </c>
      <c r="C987" s="218" t="s">
        <v>11563</v>
      </c>
      <c r="F987" s="457">
        <v>44183.0</v>
      </c>
      <c r="G987" s="218">
        <v>0.0</v>
      </c>
      <c r="H987" s="218">
        <v>401093.0</v>
      </c>
      <c r="I987" s="218" t="s">
        <v>9372</v>
      </c>
      <c r="J987" s="218" t="s">
        <v>9333</v>
      </c>
      <c r="K987" s="218" t="s">
        <v>11564</v>
      </c>
      <c r="L987" s="218">
        <v>15113.0</v>
      </c>
      <c r="M987" s="218">
        <v>168108.0</v>
      </c>
      <c r="N987" s="218">
        <v>1.0E8</v>
      </c>
      <c r="O987" s="218">
        <v>339036.0</v>
      </c>
      <c r="P987" s="218" t="s">
        <v>9374</v>
      </c>
      <c r="Q987" s="222">
        <v>593.32</v>
      </c>
      <c r="R987" s="222">
        <v>-593.32</v>
      </c>
      <c r="S987" s="218">
        <v>0.0</v>
      </c>
      <c r="U987" s="218">
        <v>0.0</v>
      </c>
      <c r="AB987" t="e">
        <v>#N/A</v>
      </c>
    </row>
    <row r="988">
      <c r="A988" s="218" t="s">
        <v>324</v>
      </c>
      <c r="C988" s="218" t="s">
        <v>11565</v>
      </c>
      <c r="F988" s="457">
        <v>44183.0</v>
      </c>
      <c r="G988" s="218">
        <v>0.0</v>
      </c>
      <c r="H988" s="218">
        <v>401092.0</v>
      </c>
      <c r="I988" s="218" t="s">
        <v>10739</v>
      </c>
      <c r="J988" s="218" t="s">
        <v>10740</v>
      </c>
      <c r="K988" s="218" t="s">
        <v>11566</v>
      </c>
      <c r="L988" s="218">
        <v>15113.0</v>
      </c>
      <c r="M988" s="218">
        <v>168105.0</v>
      </c>
      <c r="N988" s="218">
        <v>1.0E8</v>
      </c>
      <c r="O988" s="218">
        <v>339039.0</v>
      </c>
      <c r="P988" s="218" t="s">
        <v>10742</v>
      </c>
      <c r="Q988" s="222">
        <v>278341.43</v>
      </c>
      <c r="R988" s="222">
        <v>278341.43</v>
      </c>
      <c r="S988" s="218">
        <v>0.0</v>
      </c>
      <c r="U988" s="218">
        <v>0.0</v>
      </c>
      <c r="X988" s="218">
        <v>1.51132020000237E14</v>
      </c>
      <c r="AB988" t="e">
        <v>#N/A</v>
      </c>
    </row>
    <row r="989">
      <c r="A989" s="218" t="s">
        <v>9331</v>
      </c>
      <c r="C989" s="218" t="s">
        <v>11567</v>
      </c>
      <c r="F989" s="457">
        <v>44183.0</v>
      </c>
      <c r="G989" s="218">
        <v>0.0</v>
      </c>
      <c r="H989" s="218">
        <v>401093.0</v>
      </c>
      <c r="I989" s="218" t="s">
        <v>9357</v>
      </c>
      <c r="J989" s="218" t="s">
        <v>9333</v>
      </c>
      <c r="K989" s="218" t="s">
        <v>9398</v>
      </c>
      <c r="L989" s="218">
        <v>15113.0</v>
      </c>
      <c r="M989" s="218">
        <v>168100.0</v>
      </c>
      <c r="N989" s="218">
        <v>1.0E8</v>
      </c>
      <c r="O989" s="218">
        <v>339008.0</v>
      </c>
      <c r="P989" s="218" t="s">
        <v>9335</v>
      </c>
      <c r="Q989" s="222">
        <v>1102.42</v>
      </c>
      <c r="R989" s="222">
        <v>-1102.42</v>
      </c>
      <c r="S989" s="222">
        <v>0.0</v>
      </c>
      <c r="U989" s="218">
        <v>0.0</v>
      </c>
      <c r="AB989" t="e">
        <v>#N/A</v>
      </c>
    </row>
    <row r="990">
      <c r="A990" s="218" t="s">
        <v>9331</v>
      </c>
      <c r="C990" s="218" t="s">
        <v>11568</v>
      </c>
      <c r="F990" s="457">
        <v>44183.0</v>
      </c>
      <c r="G990" s="218">
        <v>0.0</v>
      </c>
      <c r="H990" s="218">
        <v>401093.0</v>
      </c>
      <c r="I990" s="218" t="s">
        <v>9361</v>
      </c>
      <c r="J990" s="218" t="s">
        <v>9333</v>
      </c>
      <c r="K990" s="218" t="s">
        <v>9398</v>
      </c>
      <c r="L990" s="218">
        <v>15113.0</v>
      </c>
      <c r="M990" s="218">
        <v>168102.0</v>
      </c>
      <c r="N990" s="218">
        <v>1.0E8</v>
      </c>
      <c r="O990" s="218">
        <v>339049.0</v>
      </c>
      <c r="P990" s="218" t="s">
        <v>9335</v>
      </c>
      <c r="Q990" s="222">
        <v>52404.7</v>
      </c>
      <c r="R990" s="222">
        <v>-52404.7</v>
      </c>
      <c r="S990" s="222">
        <v>0.0</v>
      </c>
      <c r="U990" s="218">
        <v>0.0</v>
      </c>
      <c r="AB990" t="e">
        <v>#N/A</v>
      </c>
    </row>
    <row r="991">
      <c r="A991" s="218" t="s">
        <v>9331</v>
      </c>
      <c r="C991" s="218" t="s">
        <v>11569</v>
      </c>
      <c r="F991" s="457">
        <v>44183.0</v>
      </c>
      <c r="G991" s="218">
        <v>0.0</v>
      </c>
      <c r="H991" s="218">
        <v>401093.0</v>
      </c>
      <c r="I991" s="218" t="s">
        <v>9377</v>
      </c>
      <c r="J991" s="218" t="s">
        <v>9333</v>
      </c>
      <c r="K991" s="218" t="s">
        <v>9398</v>
      </c>
      <c r="L991" s="218">
        <v>15113.0</v>
      </c>
      <c r="M991" s="218">
        <v>168105.0</v>
      </c>
      <c r="N991" s="218">
        <v>1.0E8</v>
      </c>
      <c r="O991" s="218">
        <v>339093.0</v>
      </c>
      <c r="P991" s="218" t="s">
        <v>9335</v>
      </c>
      <c r="Q991" s="222">
        <v>12247.84</v>
      </c>
      <c r="R991" s="222">
        <v>-12247.84</v>
      </c>
      <c r="S991" s="218">
        <v>0.0</v>
      </c>
      <c r="U991" s="218">
        <v>0.0</v>
      </c>
      <c r="AB991" t="e">
        <v>#N/A</v>
      </c>
    </row>
    <row r="992">
      <c r="A992" s="218" t="s">
        <v>9331</v>
      </c>
      <c r="C992" s="218" t="s">
        <v>11570</v>
      </c>
      <c r="F992" s="457">
        <v>44183.0</v>
      </c>
      <c r="G992" s="218">
        <v>0.0</v>
      </c>
      <c r="H992" s="218">
        <v>401093.0</v>
      </c>
      <c r="I992" s="218" t="s">
        <v>9379</v>
      </c>
      <c r="J992" s="218" t="s">
        <v>9333</v>
      </c>
      <c r="K992" s="218" t="s">
        <v>9398</v>
      </c>
      <c r="L992" s="218">
        <v>15113.0</v>
      </c>
      <c r="M992" s="218">
        <v>168105.0</v>
      </c>
      <c r="N992" s="218">
        <v>1.0E8</v>
      </c>
      <c r="O992" s="218">
        <v>339036.0</v>
      </c>
      <c r="P992" s="218" t="s">
        <v>9335</v>
      </c>
      <c r="Q992" s="222">
        <v>32997.97</v>
      </c>
      <c r="R992" s="222">
        <v>-32997.97</v>
      </c>
      <c r="S992" s="218">
        <v>0.0</v>
      </c>
      <c r="U992" s="218">
        <v>0.0</v>
      </c>
      <c r="AB992" t="e">
        <v>#N/A</v>
      </c>
    </row>
    <row r="993">
      <c r="A993" s="218" t="s">
        <v>9331</v>
      </c>
      <c r="C993" s="218" t="s">
        <v>11571</v>
      </c>
      <c r="F993" s="457">
        <v>44183.0</v>
      </c>
      <c r="G993" s="218">
        <v>0.0</v>
      </c>
      <c r="H993" s="218">
        <v>401093.0</v>
      </c>
      <c r="I993" s="218" t="s">
        <v>9381</v>
      </c>
      <c r="J993" s="218" t="s">
        <v>9333</v>
      </c>
      <c r="K993" s="218" t="s">
        <v>9398</v>
      </c>
      <c r="L993" s="218">
        <v>15113.0</v>
      </c>
      <c r="M993" s="218">
        <v>168105.0</v>
      </c>
      <c r="N993" s="218">
        <v>1.0E8</v>
      </c>
      <c r="O993" s="218">
        <v>339049.0</v>
      </c>
      <c r="P993" s="218" t="s">
        <v>9335</v>
      </c>
      <c r="Q993" s="222">
        <v>32960.0</v>
      </c>
      <c r="R993" s="222">
        <v>-32960.0</v>
      </c>
      <c r="S993" s="222">
        <v>0.0</v>
      </c>
      <c r="U993" s="218">
        <v>0.0</v>
      </c>
      <c r="AB993" t="e">
        <v>#N/A</v>
      </c>
    </row>
    <row r="994">
      <c r="A994" s="218" t="s">
        <v>459</v>
      </c>
      <c r="C994" s="218" t="s">
        <v>11572</v>
      </c>
      <c r="F994" s="457">
        <v>44183.0</v>
      </c>
      <c r="G994" s="218">
        <v>0.0</v>
      </c>
      <c r="H994" s="218">
        <v>401093.0</v>
      </c>
      <c r="I994" s="218" t="s">
        <v>10167</v>
      </c>
      <c r="J994" s="218" t="s">
        <v>10168</v>
      </c>
      <c r="K994" s="218" t="s">
        <v>9398</v>
      </c>
      <c r="L994" s="218">
        <v>15113.0</v>
      </c>
      <c r="M994" s="218">
        <v>168105.0</v>
      </c>
      <c r="N994" s="218">
        <v>1.0E8</v>
      </c>
      <c r="O994" s="218">
        <v>339039.0</v>
      </c>
      <c r="P994" s="218" t="s">
        <v>10170</v>
      </c>
      <c r="Q994" s="222">
        <v>2100.0</v>
      </c>
      <c r="R994" s="222">
        <v>-2100.0</v>
      </c>
      <c r="S994" s="218">
        <v>0.0</v>
      </c>
      <c r="U994" s="218">
        <v>0.0</v>
      </c>
      <c r="AB994" t="e">
        <v>#N/A</v>
      </c>
    </row>
    <row r="995">
      <c r="A995" s="218" t="s">
        <v>459</v>
      </c>
      <c r="C995" s="218" t="s">
        <v>11573</v>
      </c>
      <c r="F995" s="457">
        <v>44183.0</v>
      </c>
      <c r="G995" s="218">
        <v>0.0</v>
      </c>
      <c r="H995" s="218">
        <v>401093.0</v>
      </c>
      <c r="I995" s="218" t="s">
        <v>9399</v>
      </c>
      <c r="J995" s="218" t="s">
        <v>9400</v>
      </c>
      <c r="K995" s="218" t="s">
        <v>9398</v>
      </c>
      <c r="L995" s="218">
        <v>15113.0</v>
      </c>
      <c r="M995" s="218">
        <v>168101.0</v>
      </c>
      <c r="N995" s="218">
        <v>1.51E8</v>
      </c>
      <c r="O995" s="218">
        <v>339039.0</v>
      </c>
      <c r="P995" s="218" t="s">
        <v>9374</v>
      </c>
      <c r="Q995" s="222">
        <v>2000.0</v>
      </c>
      <c r="R995" s="222">
        <v>-2000.0</v>
      </c>
      <c r="S995" s="218">
        <v>0.0</v>
      </c>
      <c r="U995" s="218">
        <v>0.0</v>
      </c>
      <c r="AB995" t="e">
        <v>#N/A</v>
      </c>
    </row>
    <row r="996">
      <c r="A996" s="218" t="s">
        <v>9371</v>
      </c>
      <c r="C996" s="218" t="s">
        <v>11574</v>
      </c>
      <c r="F996" s="457">
        <v>44183.0</v>
      </c>
      <c r="G996" s="218">
        <v>0.0</v>
      </c>
      <c r="H996" s="218">
        <v>401092.0</v>
      </c>
      <c r="I996" s="218" t="s">
        <v>9365</v>
      </c>
      <c r="J996" s="218" t="s">
        <v>9333</v>
      </c>
      <c r="K996" s="218" t="s">
        <v>10619</v>
      </c>
      <c r="L996" s="218">
        <v>15113.0</v>
      </c>
      <c r="M996" s="218">
        <v>168101.0</v>
      </c>
      <c r="N996" s="218">
        <v>1.51E8</v>
      </c>
      <c r="O996" s="218">
        <v>339093.0</v>
      </c>
      <c r="P996" s="218" t="s">
        <v>9374</v>
      </c>
      <c r="Q996" s="222">
        <v>2000.0</v>
      </c>
      <c r="R996" s="222">
        <v>2000.0</v>
      </c>
      <c r="S996" s="222">
        <v>0.0</v>
      </c>
      <c r="U996" s="218">
        <v>0.0</v>
      </c>
      <c r="X996" s="218">
        <v>1.51132020000173E14</v>
      </c>
      <c r="AB996" t="e">
        <v>#N/A</v>
      </c>
    </row>
    <row r="997">
      <c r="A997" s="218" t="s">
        <v>782</v>
      </c>
      <c r="C997" s="218" t="s">
        <v>11575</v>
      </c>
      <c r="F997" s="457">
        <v>44183.0</v>
      </c>
      <c r="G997" s="218">
        <v>0.0</v>
      </c>
      <c r="H997" s="218">
        <v>401093.0</v>
      </c>
      <c r="I997" s="218" t="s">
        <v>9732</v>
      </c>
      <c r="J997" s="218" t="s">
        <v>9729</v>
      </c>
      <c r="K997" s="218" t="s">
        <v>9398</v>
      </c>
      <c r="L997" s="218">
        <v>15113.0</v>
      </c>
      <c r="M997" s="218">
        <v>168105.0</v>
      </c>
      <c r="N997" s="218">
        <v>1.0E8</v>
      </c>
      <c r="O997" s="218">
        <v>339039.0</v>
      </c>
      <c r="P997" s="218" t="s">
        <v>9731</v>
      </c>
      <c r="Q997" s="222">
        <v>0.83</v>
      </c>
      <c r="R997" s="222">
        <v>-0.83</v>
      </c>
      <c r="S997" s="222">
        <v>0.0</v>
      </c>
      <c r="U997" s="218">
        <v>0.0</v>
      </c>
      <c r="AB997" t="e">
        <v>#N/A</v>
      </c>
    </row>
    <row r="998">
      <c r="A998" s="218" t="s">
        <v>782</v>
      </c>
      <c r="C998" s="218" t="s">
        <v>11576</v>
      </c>
      <c r="F998" s="457">
        <v>44183.0</v>
      </c>
      <c r="G998" s="218">
        <v>0.0</v>
      </c>
      <c r="H998" s="218">
        <v>401093.0</v>
      </c>
      <c r="I998" s="218" t="s">
        <v>9728</v>
      </c>
      <c r="J998" s="218" t="s">
        <v>9729</v>
      </c>
      <c r="K998" s="218" t="s">
        <v>9398</v>
      </c>
      <c r="L998" s="218">
        <v>15113.0</v>
      </c>
      <c r="M998" s="218">
        <v>168105.0</v>
      </c>
      <c r="N998" s="218">
        <v>1.0E8</v>
      </c>
      <c r="O998" s="218">
        <v>339033.0</v>
      </c>
      <c r="P998" s="218" t="s">
        <v>9731</v>
      </c>
      <c r="Q998" s="222">
        <v>6763.77</v>
      </c>
      <c r="R998" s="222">
        <v>-6763.77</v>
      </c>
      <c r="S998" s="222">
        <v>0.0</v>
      </c>
      <c r="U998" s="218">
        <v>0.0</v>
      </c>
      <c r="AB998" t="e">
        <v>#N/A</v>
      </c>
    </row>
    <row r="999">
      <c r="A999" s="218" t="s">
        <v>781</v>
      </c>
      <c r="C999" s="218" t="s">
        <v>11577</v>
      </c>
      <c r="F999" s="457">
        <v>44183.0</v>
      </c>
      <c r="G999" s="218">
        <v>0.0</v>
      </c>
      <c r="H999" s="218">
        <v>401093.0</v>
      </c>
      <c r="I999" s="218" t="s">
        <v>9550</v>
      </c>
      <c r="J999" s="218" t="s">
        <v>9543</v>
      </c>
      <c r="K999" s="218" t="s">
        <v>9398</v>
      </c>
      <c r="L999" s="218">
        <v>15113.0</v>
      </c>
      <c r="M999" s="218">
        <v>168105.0</v>
      </c>
      <c r="N999" s="218">
        <v>1.0E8</v>
      </c>
      <c r="O999" s="218">
        <v>339039.0</v>
      </c>
      <c r="P999" s="218" t="s">
        <v>9552</v>
      </c>
      <c r="Q999" s="222">
        <v>3016.0</v>
      </c>
      <c r="R999" s="222">
        <v>-3016.0</v>
      </c>
      <c r="S999" s="222">
        <v>0.0</v>
      </c>
      <c r="U999" s="218">
        <v>0.0</v>
      </c>
      <c r="AB999" t="e">
        <v>#N/A</v>
      </c>
    </row>
    <row r="1000">
      <c r="A1000" s="218" t="s">
        <v>781</v>
      </c>
      <c r="C1000" s="218" t="s">
        <v>11578</v>
      </c>
      <c r="F1000" s="457">
        <v>44183.0</v>
      </c>
      <c r="G1000" s="218">
        <v>0.0</v>
      </c>
      <c r="H1000" s="218">
        <v>401093.0</v>
      </c>
      <c r="I1000" s="218" t="s">
        <v>10488</v>
      </c>
      <c r="J1000" s="218" t="s">
        <v>10489</v>
      </c>
      <c r="K1000" s="218" t="s">
        <v>9398</v>
      </c>
      <c r="L1000" s="218">
        <v>15113.0</v>
      </c>
      <c r="M1000" s="218">
        <v>168105.0</v>
      </c>
      <c r="N1000" s="218">
        <v>1.0E8</v>
      </c>
      <c r="O1000" s="218">
        <v>339039.0</v>
      </c>
      <c r="P1000" s="218" t="s">
        <v>10491</v>
      </c>
      <c r="Q1000" s="222">
        <v>4337.7</v>
      </c>
      <c r="R1000" s="222">
        <v>-4337.7</v>
      </c>
      <c r="S1000" s="222">
        <v>0.0</v>
      </c>
      <c r="U1000" s="218">
        <v>0.0</v>
      </c>
      <c r="AB1000" t="e">
        <v>#N/A</v>
      </c>
    </row>
    <row r="1001">
      <c r="A1001" s="218" t="s">
        <v>781</v>
      </c>
      <c r="C1001" s="218" t="s">
        <v>11579</v>
      </c>
      <c r="F1001" s="457">
        <v>44183.0</v>
      </c>
      <c r="G1001" s="218">
        <v>0.0</v>
      </c>
      <c r="H1001" s="218">
        <v>401092.0</v>
      </c>
      <c r="I1001" s="218" t="s">
        <v>10492</v>
      </c>
      <c r="J1001" s="218" t="s">
        <v>10489</v>
      </c>
      <c r="K1001" s="218" t="s">
        <v>9904</v>
      </c>
      <c r="L1001" s="218">
        <v>15113.0</v>
      </c>
      <c r="M1001" s="218">
        <v>168105.0</v>
      </c>
      <c r="N1001" s="218">
        <v>1.0E8</v>
      </c>
      <c r="O1001" s="218">
        <v>339030.0</v>
      </c>
      <c r="P1001" s="218" t="s">
        <v>10491</v>
      </c>
      <c r="Q1001" s="222">
        <v>700.35</v>
      </c>
      <c r="R1001" s="222">
        <v>700.35</v>
      </c>
      <c r="S1001" s="218">
        <v>0.0</v>
      </c>
      <c r="U1001" s="218">
        <v>0.0</v>
      </c>
      <c r="X1001" s="218">
        <v>1.51132020000132E14</v>
      </c>
      <c r="AB1001" t="e">
        <v>#N/A</v>
      </c>
    </row>
    <row r="1002">
      <c r="A1002" s="218" t="s">
        <v>781</v>
      </c>
      <c r="C1002" s="218" t="s">
        <v>11580</v>
      </c>
      <c r="F1002" s="457">
        <v>44183.0</v>
      </c>
      <c r="G1002" s="218">
        <v>0.0</v>
      </c>
      <c r="H1002" s="218">
        <v>401093.0</v>
      </c>
      <c r="I1002" s="218" t="s">
        <v>9889</v>
      </c>
      <c r="J1002" s="218" t="s">
        <v>9890</v>
      </c>
      <c r="K1002" s="218" t="s">
        <v>9398</v>
      </c>
      <c r="L1002" s="218">
        <v>15113.0</v>
      </c>
      <c r="M1002" s="218">
        <v>168105.0</v>
      </c>
      <c r="N1002" s="218">
        <v>1.27E8</v>
      </c>
      <c r="O1002" s="218">
        <v>339039.0</v>
      </c>
      <c r="P1002" s="218" t="s">
        <v>9888</v>
      </c>
      <c r="Q1002" s="222">
        <v>15.67</v>
      </c>
      <c r="R1002" s="222">
        <v>-15.67</v>
      </c>
      <c r="S1002" s="222">
        <v>0.0</v>
      </c>
      <c r="U1002" s="218">
        <v>0.0</v>
      </c>
      <c r="AB1002" t="e">
        <v>#N/A</v>
      </c>
    </row>
    <row r="1003">
      <c r="A1003" s="218" t="s">
        <v>781</v>
      </c>
      <c r="C1003" s="218" t="s">
        <v>11581</v>
      </c>
      <c r="F1003" s="457">
        <v>44183.0</v>
      </c>
      <c r="G1003" s="218">
        <v>0.0</v>
      </c>
      <c r="H1003" s="218">
        <v>401092.0</v>
      </c>
      <c r="I1003" s="218" t="s">
        <v>9885</v>
      </c>
      <c r="J1003" s="218" t="s">
        <v>9886</v>
      </c>
      <c r="K1003" s="218" t="s">
        <v>9904</v>
      </c>
      <c r="L1003" s="218">
        <v>15113.0</v>
      </c>
      <c r="M1003" s="218">
        <v>168105.0</v>
      </c>
      <c r="N1003" s="218">
        <v>1.0E8</v>
      </c>
      <c r="O1003" s="218">
        <v>339039.0</v>
      </c>
      <c r="P1003" s="218" t="s">
        <v>9888</v>
      </c>
      <c r="Q1003" s="222">
        <v>2902.11</v>
      </c>
      <c r="R1003" s="222">
        <v>2902.11</v>
      </c>
      <c r="S1003" s="222">
        <v>0.0</v>
      </c>
      <c r="U1003" s="218">
        <v>0.0</v>
      </c>
      <c r="X1003" s="218">
        <v>1.51132020000111E14</v>
      </c>
      <c r="AB1003" t="e">
        <v>#N/A</v>
      </c>
    </row>
    <row r="1004">
      <c r="A1004" s="218" t="s">
        <v>781</v>
      </c>
      <c r="C1004" s="218" t="s">
        <v>11582</v>
      </c>
      <c r="F1004" s="457">
        <v>44183.0</v>
      </c>
      <c r="G1004" s="218">
        <v>0.0</v>
      </c>
      <c r="H1004" s="218">
        <v>401093.0</v>
      </c>
      <c r="I1004" s="218" t="s">
        <v>9471</v>
      </c>
      <c r="J1004" s="218" t="s">
        <v>9472</v>
      </c>
      <c r="K1004" s="218" t="s">
        <v>9398</v>
      </c>
      <c r="L1004" s="218">
        <v>15113.0</v>
      </c>
      <c r="M1004" s="218">
        <v>168105.0</v>
      </c>
      <c r="N1004" s="218">
        <v>1.0E8</v>
      </c>
      <c r="O1004" s="218">
        <v>339039.0</v>
      </c>
      <c r="P1004" s="218" t="s">
        <v>9474</v>
      </c>
      <c r="Q1004" s="222">
        <v>5680.25</v>
      </c>
      <c r="R1004" s="222">
        <v>-5680.25</v>
      </c>
      <c r="S1004" s="222">
        <v>0.0</v>
      </c>
      <c r="U1004" s="218">
        <v>0.0</v>
      </c>
      <c r="AB1004" t="e">
        <v>#N/A</v>
      </c>
    </row>
    <row r="1005">
      <c r="C1005" s="218" t="s">
        <v>11583</v>
      </c>
      <c r="F1005" s="457">
        <v>44183.0</v>
      </c>
      <c r="G1005" s="218">
        <v>0.0</v>
      </c>
      <c r="H1005" s="218">
        <v>401092.0</v>
      </c>
      <c r="I1005" s="218" t="s">
        <v>10221</v>
      </c>
      <c r="J1005" s="218" t="s">
        <v>10222</v>
      </c>
      <c r="K1005" s="218" t="s">
        <v>9904</v>
      </c>
      <c r="L1005" s="218">
        <v>15113.0</v>
      </c>
      <c r="M1005" s="218">
        <v>168105.0</v>
      </c>
      <c r="N1005" s="218">
        <v>1.0E8</v>
      </c>
      <c r="O1005" s="218">
        <v>339037.0</v>
      </c>
      <c r="P1005" s="218" t="s">
        <v>11472</v>
      </c>
      <c r="Q1005" s="222">
        <v>99.61</v>
      </c>
      <c r="R1005" s="222">
        <v>99.61</v>
      </c>
      <c r="S1005" s="222">
        <v>0.0</v>
      </c>
      <c r="U1005" s="218">
        <v>0.0</v>
      </c>
      <c r="X1005" s="218">
        <v>1.51132020000123E14</v>
      </c>
      <c r="AB1005" t="e">
        <v>#N/A</v>
      </c>
    </row>
    <row r="1006">
      <c r="A1006" s="218" t="s">
        <v>9430</v>
      </c>
      <c r="C1006" s="218" t="s">
        <v>11584</v>
      </c>
      <c r="F1006" s="457">
        <v>44183.0</v>
      </c>
      <c r="G1006" s="218">
        <v>0.0</v>
      </c>
      <c r="H1006" s="218">
        <v>401093.0</v>
      </c>
      <c r="I1006" s="218" t="s">
        <v>11010</v>
      </c>
      <c r="J1006" s="218" t="s">
        <v>9893</v>
      </c>
      <c r="K1006" s="218" t="s">
        <v>9398</v>
      </c>
      <c r="L1006" s="218">
        <v>15113.0</v>
      </c>
      <c r="M1006" s="218">
        <v>168105.0</v>
      </c>
      <c r="N1006" s="218">
        <v>1.0E8</v>
      </c>
      <c r="O1006" s="218">
        <v>339039.0</v>
      </c>
      <c r="P1006" s="218" t="s">
        <v>11012</v>
      </c>
      <c r="Q1006" s="222">
        <v>17357.63</v>
      </c>
      <c r="R1006" s="222">
        <v>-17357.63</v>
      </c>
      <c r="S1006" s="222">
        <v>0.0</v>
      </c>
      <c r="U1006" s="218">
        <v>0.0</v>
      </c>
      <c r="AB1006" t="e">
        <v>#N/A</v>
      </c>
    </row>
    <row r="1007">
      <c r="A1007" s="218" t="s">
        <v>781</v>
      </c>
      <c r="C1007" s="218" t="s">
        <v>11585</v>
      </c>
      <c r="F1007" s="457">
        <v>44183.0</v>
      </c>
      <c r="G1007" s="218">
        <v>0.0</v>
      </c>
      <c r="H1007" s="218">
        <v>401092.0</v>
      </c>
      <c r="I1007" s="218" t="s">
        <v>9805</v>
      </c>
      <c r="J1007" s="218" t="s">
        <v>9806</v>
      </c>
      <c r="K1007" s="218" t="s">
        <v>9904</v>
      </c>
      <c r="L1007" s="218">
        <v>15113.0</v>
      </c>
      <c r="M1007" s="218">
        <v>168105.0</v>
      </c>
      <c r="N1007" s="218">
        <v>1.0E8</v>
      </c>
      <c r="O1007" s="218">
        <v>339037.0</v>
      </c>
      <c r="P1007" s="218" t="s">
        <v>9808</v>
      </c>
      <c r="Q1007" s="222">
        <v>0.48</v>
      </c>
      <c r="R1007" s="222">
        <v>0.48</v>
      </c>
      <c r="S1007" s="222">
        <v>0.0</v>
      </c>
      <c r="U1007" s="218">
        <v>0.0</v>
      </c>
      <c r="X1007" s="218">
        <v>1.51132020000123E14</v>
      </c>
      <c r="AB1007" t="e">
        <v>#N/A</v>
      </c>
    </row>
    <row r="1008">
      <c r="A1008" s="218" t="s">
        <v>781</v>
      </c>
      <c r="C1008" s="218" t="s">
        <v>11586</v>
      </c>
      <c r="F1008" s="457">
        <v>44183.0</v>
      </c>
      <c r="G1008" s="218">
        <v>0.0</v>
      </c>
      <c r="H1008" s="218">
        <v>401093.0</v>
      </c>
      <c r="I1008" s="218" t="s">
        <v>9422</v>
      </c>
      <c r="J1008" s="218" t="s">
        <v>9423</v>
      </c>
      <c r="K1008" s="218" t="s">
        <v>9398</v>
      </c>
      <c r="L1008" s="218">
        <v>15113.0</v>
      </c>
      <c r="M1008" s="218">
        <v>168105.0</v>
      </c>
      <c r="N1008" s="218">
        <v>1.0E8</v>
      </c>
      <c r="O1008" s="218">
        <v>339030.0</v>
      </c>
      <c r="P1008" s="218" t="s">
        <v>9425</v>
      </c>
      <c r="Q1008" s="222">
        <v>3149.3</v>
      </c>
      <c r="R1008" s="222">
        <v>-3149.3</v>
      </c>
      <c r="S1008" s="222">
        <v>0.0</v>
      </c>
      <c r="U1008" s="218">
        <v>0.0</v>
      </c>
      <c r="AB1008" t="e">
        <v>#N/A</v>
      </c>
    </row>
    <row r="1009">
      <c r="A1009" s="218" t="s">
        <v>781</v>
      </c>
      <c r="C1009" s="218" t="s">
        <v>11587</v>
      </c>
      <c r="F1009" s="457">
        <v>44183.0</v>
      </c>
      <c r="G1009" s="218">
        <v>0.0</v>
      </c>
      <c r="H1009" s="218">
        <v>401093.0</v>
      </c>
      <c r="I1009" s="218" t="s">
        <v>9439</v>
      </c>
      <c r="J1009" s="218" t="s">
        <v>9440</v>
      </c>
      <c r="K1009" s="218" t="s">
        <v>9398</v>
      </c>
      <c r="L1009" s="218">
        <v>15113.0</v>
      </c>
      <c r="M1009" s="218">
        <v>168105.0</v>
      </c>
      <c r="N1009" s="218">
        <v>1.0E8</v>
      </c>
      <c r="O1009" s="218">
        <v>339030.0</v>
      </c>
      <c r="P1009" s="218" t="s">
        <v>9442</v>
      </c>
      <c r="Q1009" s="222">
        <v>1800.0</v>
      </c>
      <c r="R1009" s="222">
        <v>-1800.0</v>
      </c>
      <c r="S1009" s="218">
        <v>0.0</v>
      </c>
      <c r="U1009" s="218">
        <v>0.0</v>
      </c>
      <c r="AB1009" t="e">
        <v>#N/A</v>
      </c>
    </row>
    <row r="1010">
      <c r="A1010" s="218" t="s">
        <v>781</v>
      </c>
      <c r="C1010" s="218" t="s">
        <v>11588</v>
      </c>
      <c r="F1010" s="457">
        <v>44183.0</v>
      </c>
      <c r="G1010" s="218">
        <v>0.0</v>
      </c>
      <c r="H1010" s="218">
        <v>401093.0</v>
      </c>
      <c r="I1010" s="218" t="s">
        <v>9446</v>
      </c>
      <c r="J1010" s="218" t="s">
        <v>9447</v>
      </c>
      <c r="K1010" s="218" t="s">
        <v>9398</v>
      </c>
      <c r="L1010" s="218">
        <v>15113.0</v>
      </c>
      <c r="M1010" s="218">
        <v>168105.0</v>
      </c>
      <c r="N1010" s="218">
        <v>1.0E8</v>
      </c>
      <c r="O1010" s="218">
        <v>339030.0</v>
      </c>
      <c r="P1010" s="218" t="s">
        <v>9442</v>
      </c>
      <c r="Q1010" s="222">
        <v>492.0</v>
      </c>
      <c r="R1010" s="222">
        <v>-492.0</v>
      </c>
      <c r="S1010" s="218">
        <v>0.0</v>
      </c>
      <c r="U1010" s="218">
        <v>0.0</v>
      </c>
      <c r="AB1010" t="e">
        <v>#N/A</v>
      </c>
    </row>
    <row r="1011">
      <c r="A1011" s="218" t="s">
        <v>781</v>
      </c>
      <c r="C1011" s="218" t="s">
        <v>11589</v>
      </c>
      <c r="F1011" s="457">
        <v>44183.0</v>
      </c>
      <c r="G1011" s="218">
        <v>0.0</v>
      </c>
      <c r="H1011" s="218">
        <v>401093.0</v>
      </c>
      <c r="I1011" s="218" t="s">
        <v>9443</v>
      </c>
      <c r="J1011" s="218" t="s">
        <v>9444</v>
      </c>
      <c r="K1011" s="218" t="s">
        <v>9398</v>
      </c>
      <c r="L1011" s="218">
        <v>15113.0</v>
      </c>
      <c r="M1011" s="218">
        <v>168105.0</v>
      </c>
      <c r="N1011" s="218">
        <v>1.0E8</v>
      </c>
      <c r="O1011" s="218">
        <v>339030.0</v>
      </c>
      <c r="P1011" s="218" t="s">
        <v>9442</v>
      </c>
      <c r="Q1011" s="222">
        <v>350.0</v>
      </c>
      <c r="R1011" s="222">
        <v>-350.0</v>
      </c>
      <c r="S1011" s="218">
        <v>0.0</v>
      </c>
      <c r="U1011" s="218">
        <v>0.0</v>
      </c>
      <c r="AB1011" t="e">
        <v>#N/A</v>
      </c>
    </row>
    <row r="1012">
      <c r="A1012" s="218" t="s">
        <v>781</v>
      </c>
      <c r="C1012" s="218" t="s">
        <v>11590</v>
      </c>
      <c r="F1012" s="457">
        <v>44183.0</v>
      </c>
      <c r="G1012" s="218">
        <v>0.0</v>
      </c>
      <c r="H1012" s="218">
        <v>401093.0</v>
      </c>
      <c r="I1012" s="218" t="s">
        <v>9454</v>
      </c>
      <c r="J1012" s="218" t="s">
        <v>9455</v>
      </c>
      <c r="K1012" s="218" t="s">
        <v>9398</v>
      </c>
      <c r="L1012" s="218">
        <v>15113.0</v>
      </c>
      <c r="M1012" s="218">
        <v>168105.0</v>
      </c>
      <c r="N1012" s="218">
        <v>1.0E8</v>
      </c>
      <c r="O1012" s="218">
        <v>339030.0</v>
      </c>
      <c r="P1012" s="218" t="s">
        <v>9442</v>
      </c>
      <c r="Q1012" s="222">
        <v>1135.0</v>
      </c>
      <c r="R1012" s="222">
        <v>-1135.0</v>
      </c>
      <c r="S1012" s="218">
        <v>0.0</v>
      </c>
      <c r="U1012" s="218">
        <v>0.0</v>
      </c>
      <c r="AB1012" t="e">
        <v>#N/A</v>
      </c>
    </row>
    <row r="1013">
      <c r="A1013" s="218" t="s">
        <v>781</v>
      </c>
      <c r="C1013" s="218" t="s">
        <v>11591</v>
      </c>
      <c r="F1013" s="457">
        <v>44183.0</v>
      </c>
      <c r="G1013" s="218">
        <v>0.0</v>
      </c>
      <c r="H1013" s="218">
        <v>401093.0</v>
      </c>
      <c r="I1013" s="218" t="s">
        <v>9414</v>
      </c>
      <c r="J1013" s="218" t="s">
        <v>9415</v>
      </c>
      <c r="K1013" s="218" t="s">
        <v>9398</v>
      </c>
      <c r="L1013" s="218">
        <v>15113.0</v>
      </c>
      <c r="M1013" s="218">
        <v>168105.0</v>
      </c>
      <c r="N1013" s="218">
        <v>1.0E8</v>
      </c>
      <c r="O1013" s="218">
        <v>339030.0</v>
      </c>
      <c r="P1013" s="218" t="s">
        <v>9417</v>
      </c>
      <c r="Q1013" s="222">
        <v>6000.0</v>
      </c>
      <c r="R1013" s="222">
        <v>-6000.0</v>
      </c>
      <c r="S1013" s="218">
        <v>0.0</v>
      </c>
      <c r="U1013" s="218">
        <v>0.0</v>
      </c>
      <c r="AB1013" t="e">
        <v>#N/A</v>
      </c>
    </row>
    <row r="1014">
      <c r="A1014" s="218" t="s">
        <v>781</v>
      </c>
      <c r="C1014" s="218" t="s">
        <v>11592</v>
      </c>
      <c r="F1014" s="457">
        <v>44183.0</v>
      </c>
      <c r="G1014" s="218">
        <v>0.0</v>
      </c>
      <c r="H1014" s="218">
        <v>401093.0</v>
      </c>
      <c r="I1014" s="218" t="s">
        <v>9553</v>
      </c>
      <c r="J1014" s="218" t="s">
        <v>9554</v>
      </c>
      <c r="K1014" s="218" t="s">
        <v>9398</v>
      </c>
      <c r="L1014" s="218">
        <v>15113.0</v>
      </c>
      <c r="M1014" s="218">
        <v>168105.0</v>
      </c>
      <c r="N1014" s="218">
        <v>1.0E8</v>
      </c>
      <c r="O1014" s="218">
        <v>339030.0</v>
      </c>
      <c r="P1014" s="218" t="s">
        <v>9556</v>
      </c>
      <c r="Q1014" s="222">
        <v>707.0</v>
      </c>
      <c r="R1014" s="222">
        <v>-707.0</v>
      </c>
      <c r="S1014" s="218">
        <v>0.0</v>
      </c>
      <c r="U1014" s="218">
        <v>0.0</v>
      </c>
      <c r="AB1014" t="e">
        <v>#N/A</v>
      </c>
    </row>
    <row r="1015">
      <c r="A1015" s="218" t="s">
        <v>781</v>
      </c>
      <c r="C1015" s="218" t="s">
        <v>11593</v>
      </c>
      <c r="F1015" s="457">
        <v>44183.0</v>
      </c>
      <c r="G1015" s="218">
        <v>0.0</v>
      </c>
      <c r="H1015" s="218">
        <v>401093.0</v>
      </c>
      <c r="I1015" s="218" t="s">
        <v>9813</v>
      </c>
      <c r="J1015" s="218" t="s">
        <v>9814</v>
      </c>
      <c r="K1015" s="218" t="s">
        <v>9398</v>
      </c>
      <c r="L1015" s="218">
        <v>15113.0</v>
      </c>
      <c r="M1015" s="218">
        <v>168105.0</v>
      </c>
      <c r="N1015" s="218">
        <v>1.0E8</v>
      </c>
      <c r="O1015" s="218">
        <v>339030.0</v>
      </c>
      <c r="P1015" s="218" t="s">
        <v>9816</v>
      </c>
      <c r="Q1015" s="222">
        <v>5000.0</v>
      </c>
      <c r="R1015" s="222">
        <v>-5000.0</v>
      </c>
      <c r="S1015" s="218">
        <v>0.0</v>
      </c>
      <c r="U1015" s="218">
        <v>0.0</v>
      </c>
      <c r="AB1015" t="e">
        <v>#N/A</v>
      </c>
    </row>
    <row r="1016">
      <c r="A1016" s="218" t="s">
        <v>781</v>
      </c>
      <c r="C1016" s="218" t="s">
        <v>11594</v>
      </c>
      <c r="F1016" s="457">
        <v>44183.0</v>
      </c>
      <c r="G1016" s="218">
        <v>0.0</v>
      </c>
      <c r="H1016" s="218">
        <v>401092.0</v>
      </c>
      <c r="I1016" s="218" t="s">
        <v>9513</v>
      </c>
      <c r="J1016" s="218" t="s">
        <v>9510</v>
      </c>
      <c r="K1016" s="218" t="s">
        <v>9904</v>
      </c>
      <c r="L1016" s="218">
        <v>15113.0</v>
      </c>
      <c r="M1016" s="218">
        <v>168105.0</v>
      </c>
      <c r="N1016" s="218">
        <v>1.0E8</v>
      </c>
      <c r="O1016" s="218">
        <v>339047.0</v>
      </c>
      <c r="P1016" s="218" t="s">
        <v>9512</v>
      </c>
      <c r="Q1016" s="222">
        <v>24.94</v>
      </c>
      <c r="R1016" s="222">
        <v>24.94</v>
      </c>
      <c r="S1016" s="218">
        <v>0.0</v>
      </c>
      <c r="U1016" s="218">
        <v>0.0</v>
      </c>
      <c r="X1016" s="218">
        <v>1.51132020000168E14</v>
      </c>
      <c r="AB1016" t="e">
        <v>#N/A</v>
      </c>
    </row>
    <row r="1017">
      <c r="A1017" s="218" t="s">
        <v>9371</v>
      </c>
      <c r="C1017" s="218" t="s">
        <v>11595</v>
      </c>
      <c r="F1017" s="457">
        <v>44183.0</v>
      </c>
      <c r="G1017" s="218">
        <v>0.0</v>
      </c>
      <c r="H1017" s="218">
        <v>401093.0</v>
      </c>
      <c r="I1017" s="218" t="s">
        <v>10902</v>
      </c>
      <c r="J1017" s="218" t="s">
        <v>10903</v>
      </c>
      <c r="K1017" s="218" t="s">
        <v>9398</v>
      </c>
      <c r="L1017" s="218">
        <v>15113.0</v>
      </c>
      <c r="M1017" s="218">
        <v>168105.0</v>
      </c>
      <c r="N1017" s="218">
        <v>1.0E8</v>
      </c>
      <c r="O1017" s="218">
        <v>339030.0</v>
      </c>
      <c r="P1017" s="218" t="s">
        <v>10905</v>
      </c>
      <c r="Q1017" s="222">
        <v>0.18</v>
      </c>
      <c r="R1017" s="222">
        <v>-0.18</v>
      </c>
      <c r="S1017" s="218">
        <v>0.0</v>
      </c>
      <c r="U1017" s="218">
        <v>0.0</v>
      </c>
      <c r="AB1017" t="e">
        <v>#N/A</v>
      </c>
    </row>
    <row r="1018">
      <c r="A1018" s="218" t="s">
        <v>10734</v>
      </c>
      <c r="C1018" s="218" t="s">
        <v>11596</v>
      </c>
      <c r="F1018" s="457">
        <v>44183.0</v>
      </c>
      <c r="G1018" s="218">
        <v>0.0</v>
      </c>
      <c r="H1018" s="218">
        <v>401093.0</v>
      </c>
      <c r="I1018" s="218" t="s">
        <v>11227</v>
      </c>
      <c r="J1018" s="218" t="s">
        <v>11223</v>
      </c>
      <c r="K1018" s="218" t="s">
        <v>9398</v>
      </c>
      <c r="L1018" s="218">
        <v>15113.0</v>
      </c>
      <c r="M1018" s="218">
        <v>168105.0</v>
      </c>
      <c r="N1018" s="218">
        <v>1.0E8</v>
      </c>
      <c r="O1018" s="218">
        <v>339030.0</v>
      </c>
      <c r="P1018" s="218" t="s">
        <v>11225</v>
      </c>
      <c r="Q1018" s="222">
        <v>196.52</v>
      </c>
      <c r="R1018" s="222">
        <v>-196.52</v>
      </c>
      <c r="S1018" s="218">
        <v>0.0</v>
      </c>
      <c r="U1018" s="218">
        <v>0.0</v>
      </c>
      <c r="AB1018" t="e">
        <v>#N/A</v>
      </c>
    </row>
    <row r="1019">
      <c r="A1019" s="218" t="s">
        <v>781</v>
      </c>
      <c r="C1019" s="218" t="s">
        <v>11597</v>
      </c>
      <c r="F1019" s="457">
        <v>44183.0</v>
      </c>
      <c r="G1019" s="218">
        <v>0.0</v>
      </c>
      <c r="H1019" s="218">
        <v>401093.0</v>
      </c>
      <c r="I1019" s="218" t="s">
        <v>9969</v>
      </c>
      <c r="J1019" s="218" t="s">
        <v>9970</v>
      </c>
      <c r="K1019" s="218" t="s">
        <v>9398</v>
      </c>
      <c r="L1019" s="218">
        <v>15113.0</v>
      </c>
      <c r="M1019" s="218">
        <v>168105.0</v>
      </c>
      <c r="N1019" s="218">
        <v>1.0E8</v>
      </c>
      <c r="O1019" s="218">
        <v>339030.0</v>
      </c>
      <c r="P1019" s="218" t="s">
        <v>9972</v>
      </c>
      <c r="Q1019" s="222">
        <v>816.0</v>
      </c>
      <c r="R1019" s="222">
        <v>-816.0</v>
      </c>
      <c r="S1019" s="218">
        <v>0.0</v>
      </c>
      <c r="U1019" s="218">
        <v>0.0</v>
      </c>
      <c r="AB1019" t="e">
        <v>#N/A</v>
      </c>
    </row>
    <row r="1020">
      <c r="C1020" s="218" t="s">
        <v>11598</v>
      </c>
      <c r="F1020" s="457">
        <v>44183.0</v>
      </c>
      <c r="G1020" s="218">
        <v>0.0</v>
      </c>
      <c r="H1020" s="218">
        <v>401092.0</v>
      </c>
      <c r="I1020" s="218" t="s">
        <v>10228</v>
      </c>
      <c r="J1020" s="218" t="s">
        <v>9864</v>
      </c>
      <c r="K1020" s="218" t="s">
        <v>9904</v>
      </c>
      <c r="L1020" s="218">
        <v>15113.0</v>
      </c>
      <c r="M1020" s="218">
        <v>168105.0</v>
      </c>
      <c r="N1020" s="218">
        <v>1.0E8</v>
      </c>
      <c r="O1020" s="218">
        <v>339037.0</v>
      </c>
      <c r="P1020" s="218" t="s">
        <v>11474</v>
      </c>
      <c r="Q1020" s="222">
        <v>460.0</v>
      </c>
      <c r="R1020" s="222">
        <v>460.0</v>
      </c>
      <c r="S1020" s="218">
        <v>0.0</v>
      </c>
      <c r="U1020" s="218">
        <v>0.0</v>
      </c>
      <c r="X1020" s="218">
        <v>1.51132020000123E14</v>
      </c>
      <c r="AB1020" t="e">
        <v>#N/A</v>
      </c>
    </row>
    <row r="1021">
      <c r="A1021" s="218" t="s">
        <v>781</v>
      </c>
      <c r="C1021" s="218" t="s">
        <v>11599</v>
      </c>
      <c r="F1021" s="457">
        <v>44183.0</v>
      </c>
      <c r="G1021" s="218">
        <v>0.0</v>
      </c>
      <c r="H1021" s="218">
        <v>401092.0</v>
      </c>
      <c r="I1021" s="218" t="s">
        <v>9941</v>
      </c>
      <c r="J1021" s="218" t="s">
        <v>9938</v>
      </c>
      <c r="K1021" s="218" t="s">
        <v>9904</v>
      </c>
      <c r="L1021" s="218">
        <v>15113.0</v>
      </c>
      <c r="M1021" s="218">
        <v>168105.0</v>
      </c>
      <c r="N1021" s="218">
        <v>1.27E8</v>
      </c>
      <c r="O1021" s="218">
        <v>339039.0</v>
      </c>
      <c r="P1021" s="218" t="s">
        <v>9940</v>
      </c>
      <c r="Q1021" s="222">
        <v>96160.43</v>
      </c>
      <c r="R1021" s="222">
        <v>96160.43</v>
      </c>
      <c r="S1021" s="218">
        <v>0.0</v>
      </c>
      <c r="U1021" s="218">
        <v>0.0</v>
      </c>
      <c r="X1021" s="218">
        <v>1.51132020000193E14</v>
      </c>
      <c r="AB1021" t="e">
        <v>#N/A</v>
      </c>
    </row>
    <row r="1022">
      <c r="A1022" s="218" t="s">
        <v>781</v>
      </c>
      <c r="C1022" s="218" t="s">
        <v>11600</v>
      </c>
      <c r="F1022" s="457">
        <v>44183.0</v>
      </c>
      <c r="G1022" s="218">
        <v>0.0</v>
      </c>
      <c r="H1022" s="218">
        <v>401092.0</v>
      </c>
      <c r="I1022" s="218" t="s">
        <v>9943</v>
      </c>
      <c r="J1022" s="218" t="s">
        <v>9938</v>
      </c>
      <c r="K1022" s="218" t="s">
        <v>9904</v>
      </c>
      <c r="L1022" s="218">
        <v>15113.0</v>
      </c>
      <c r="M1022" s="218">
        <v>168105.0</v>
      </c>
      <c r="N1022" s="218">
        <v>1.27E8</v>
      </c>
      <c r="O1022" s="218">
        <v>339030.0</v>
      </c>
      <c r="P1022" s="218" t="s">
        <v>9940</v>
      </c>
      <c r="Q1022" s="222">
        <v>225370.9</v>
      </c>
      <c r="R1022" s="222">
        <v>225370.9</v>
      </c>
      <c r="S1022" s="218">
        <v>0.0</v>
      </c>
      <c r="U1022" s="218">
        <v>0.0</v>
      </c>
      <c r="X1022" s="218">
        <v>1.51132020000197E14</v>
      </c>
      <c r="AB1022" t="e">
        <v>#N/A</v>
      </c>
    </row>
    <row r="1023">
      <c r="A1023" s="218" t="s">
        <v>9331</v>
      </c>
      <c r="C1023" s="218" t="s">
        <v>11601</v>
      </c>
      <c r="F1023" s="457">
        <v>44186.0</v>
      </c>
      <c r="G1023" s="218">
        <v>0.0</v>
      </c>
      <c r="H1023" s="218">
        <v>401093.0</v>
      </c>
      <c r="I1023" s="218" t="s">
        <v>11512</v>
      </c>
      <c r="J1023" s="218" t="s">
        <v>9333</v>
      </c>
      <c r="K1023" s="218" t="s">
        <v>9398</v>
      </c>
      <c r="L1023" s="218">
        <v>15113.0</v>
      </c>
      <c r="M1023" s="218">
        <v>168099.0</v>
      </c>
      <c r="N1023" s="218">
        <v>1.0E8</v>
      </c>
      <c r="O1023" s="218">
        <v>319001.0</v>
      </c>
      <c r="P1023" s="218" t="s">
        <v>9335</v>
      </c>
      <c r="Q1023" s="222">
        <v>2319.62</v>
      </c>
      <c r="R1023" s="222">
        <v>-2319.62</v>
      </c>
      <c r="S1023" s="218">
        <v>0.0</v>
      </c>
      <c r="U1023" s="218">
        <v>0.0</v>
      </c>
      <c r="AB1023" t="e">
        <v>#N/A</v>
      </c>
    </row>
    <row r="1024">
      <c r="A1024" s="218" t="s">
        <v>781</v>
      </c>
      <c r="C1024" s="218" t="s">
        <v>11602</v>
      </c>
      <c r="F1024" s="457">
        <v>44186.0</v>
      </c>
      <c r="G1024" s="218">
        <v>0.0</v>
      </c>
      <c r="H1024" s="218">
        <v>401093.0</v>
      </c>
      <c r="I1024" s="218" t="s">
        <v>9764</v>
      </c>
      <c r="J1024" s="218" t="s">
        <v>9765</v>
      </c>
      <c r="K1024" s="218" t="s">
        <v>9398</v>
      </c>
      <c r="L1024" s="218">
        <v>15113.0</v>
      </c>
      <c r="M1024" s="218">
        <v>168105.0</v>
      </c>
      <c r="N1024" s="218">
        <v>1.8115113E8</v>
      </c>
      <c r="O1024" s="218">
        <v>339039.0</v>
      </c>
      <c r="P1024" s="218" t="s">
        <v>9767</v>
      </c>
      <c r="Q1024" s="222">
        <v>15068.0</v>
      </c>
      <c r="R1024" s="222">
        <v>-15068.0</v>
      </c>
      <c r="S1024" s="218">
        <v>0.0</v>
      </c>
      <c r="U1024" s="218">
        <v>0.0</v>
      </c>
      <c r="AB1024" t="e">
        <v>#N/A</v>
      </c>
    </row>
    <row r="1025">
      <c r="A1025" s="218" t="s">
        <v>9331</v>
      </c>
      <c r="C1025" s="218" t="s">
        <v>11603</v>
      </c>
      <c r="F1025" s="457">
        <v>44186.0</v>
      </c>
      <c r="G1025" s="218">
        <v>0.0</v>
      </c>
      <c r="H1025" s="218">
        <v>401093.0</v>
      </c>
      <c r="I1025" s="218" t="s">
        <v>9385</v>
      </c>
      <c r="J1025" s="218" t="s">
        <v>9341</v>
      </c>
      <c r="K1025" s="218" t="s">
        <v>9398</v>
      </c>
      <c r="L1025" s="218">
        <v>15113.0</v>
      </c>
      <c r="M1025" s="218">
        <v>168097.0</v>
      </c>
      <c r="N1025" s="218">
        <v>1.0E8</v>
      </c>
      <c r="O1025" s="218">
        <v>339147.0</v>
      </c>
      <c r="P1025" s="218" t="s">
        <v>9335</v>
      </c>
      <c r="Q1025" s="222">
        <v>5990.18</v>
      </c>
      <c r="R1025" s="222">
        <v>-5990.18</v>
      </c>
      <c r="S1025" s="218">
        <v>0.0</v>
      </c>
      <c r="U1025" s="218">
        <v>0.0</v>
      </c>
      <c r="AB1025" t="e">
        <v>#N/A</v>
      </c>
    </row>
    <row r="1026">
      <c r="A1026" s="218" t="s">
        <v>9331</v>
      </c>
      <c r="C1026" s="218" t="s">
        <v>11604</v>
      </c>
      <c r="F1026" s="457">
        <v>44186.0</v>
      </c>
      <c r="G1026" s="218">
        <v>0.0</v>
      </c>
      <c r="H1026" s="218">
        <v>401092.0</v>
      </c>
      <c r="I1026" s="218" t="s">
        <v>9383</v>
      </c>
      <c r="J1026" s="218" t="s">
        <v>9333</v>
      </c>
      <c r="K1026" s="218" t="s">
        <v>9904</v>
      </c>
      <c r="L1026" s="218">
        <v>15113.0</v>
      </c>
      <c r="M1026" s="218">
        <v>168097.0</v>
      </c>
      <c r="N1026" s="218">
        <v>1.0E8</v>
      </c>
      <c r="O1026" s="218">
        <v>339036.0</v>
      </c>
      <c r="P1026" s="218" t="s">
        <v>9335</v>
      </c>
      <c r="Q1026" s="222">
        <v>5990.16</v>
      </c>
      <c r="R1026" s="222">
        <v>5990.16</v>
      </c>
      <c r="S1026" s="218">
        <v>0.0</v>
      </c>
      <c r="U1026" s="218">
        <v>0.0</v>
      </c>
      <c r="X1026" s="218">
        <v>1.51132020000063E14</v>
      </c>
      <c r="AB1026" t="e">
        <v>#N/A</v>
      </c>
    </row>
    <row r="1027">
      <c r="A1027" s="218" t="s">
        <v>9331</v>
      </c>
      <c r="C1027" s="218" t="s">
        <v>11605</v>
      </c>
      <c r="F1027" s="457">
        <v>44186.0</v>
      </c>
      <c r="G1027" s="218">
        <v>0.0</v>
      </c>
      <c r="H1027" s="218">
        <v>401093.0</v>
      </c>
      <c r="I1027" s="218" t="s">
        <v>9383</v>
      </c>
      <c r="J1027" s="218" t="s">
        <v>9333</v>
      </c>
      <c r="K1027" s="218" t="s">
        <v>9398</v>
      </c>
      <c r="L1027" s="218">
        <v>15113.0</v>
      </c>
      <c r="M1027" s="218">
        <v>168097.0</v>
      </c>
      <c r="N1027" s="218">
        <v>1.0E8</v>
      </c>
      <c r="O1027" s="218">
        <v>339036.0</v>
      </c>
      <c r="P1027" s="218" t="s">
        <v>9335</v>
      </c>
      <c r="Q1027" s="222">
        <v>481.91</v>
      </c>
      <c r="R1027" s="222">
        <v>-481.91</v>
      </c>
      <c r="S1027" s="218">
        <v>0.0</v>
      </c>
      <c r="U1027" s="218">
        <v>0.0</v>
      </c>
      <c r="AB1027" t="e">
        <v>#N/A</v>
      </c>
    </row>
    <row r="1028">
      <c r="A1028" s="218" t="s">
        <v>9331</v>
      </c>
      <c r="C1028" s="218" t="s">
        <v>11606</v>
      </c>
      <c r="F1028" s="457">
        <v>44186.0</v>
      </c>
      <c r="G1028" s="218">
        <v>0.0</v>
      </c>
      <c r="H1028" s="218">
        <v>401092.0</v>
      </c>
      <c r="I1028" s="218" t="s">
        <v>9385</v>
      </c>
      <c r="J1028" s="218" t="s">
        <v>9341</v>
      </c>
      <c r="K1028" s="218" t="s">
        <v>9904</v>
      </c>
      <c r="L1028" s="218">
        <v>15113.0</v>
      </c>
      <c r="M1028" s="218">
        <v>168097.0</v>
      </c>
      <c r="N1028" s="218">
        <v>1.0E8</v>
      </c>
      <c r="O1028" s="218">
        <v>339147.0</v>
      </c>
      <c r="P1028" s="218" t="s">
        <v>9335</v>
      </c>
      <c r="Q1028" s="222">
        <v>481.93</v>
      </c>
      <c r="R1028" s="222">
        <v>481.93</v>
      </c>
      <c r="S1028" s="218">
        <v>0.0</v>
      </c>
      <c r="U1028" s="218">
        <v>0.0</v>
      </c>
      <c r="X1028" s="218">
        <v>1.51132020000062E14</v>
      </c>
      <c r="AB1028" t="e">
        <v>#N/A</v>
      </c>
    </row>
    <row r="1029">
      <c r="A1029" s="218" t="s">
        <v>9331</v>
      </c>
      <c r="C1029" s="218" t="s">
        <v>11607</v>
      </c>
      <c r="F1029" s="457">
        <v>44186.0</v>
      </c>
      <c r="G1029" s="218">
        <v>0.0</v>
      </c>
      <c r="H1029" s="218">
        <v>401093.0</v>
      </c>
      <c r="I1029" s="218" t="s">
        <v>9359</v>
      </c>
      <c r="J1029" s="218" t="s">
        <v>9333</v>
      </c>
      <c r="K1029" s="218" t="s">
        <v>9398</v>
      </c>
      <c r="L1029" s="218">
        <v>15113.0</v>
      </c>
      <c r="M1029" s="218">
        <v>168103.0</v>
      </c>
      <c r="N1029" s="218">
        <v>1.0E8</v>
      </c>
      <c r="O1029" s="218">
        <v>339046.0</v>
      </c>
      <c r="P1029" s="218" t="s">
        <v>9335</v>
      </c>
      <c r="Q1029" s="222">
        <v>45039.69</v>
      </c>
      <c r="R1029" s="222">
        <v>-45039.69</v>
      </c>
      <c r="S1029" s="218">
        <v>0.0</v>
      </c>
      <c r="U1029" s="218">
        <v>0.0</v>
      </c>
      <c r="AB1029" t="e">
        <v>#N/A</v>
      </c>
    </row>
    <row r="1030">
      <c r="A1030" s="218" t="s">
        <v>781</v>
      </c>
      <c r="C1030" s="218" t="s">
        <v>11608</v>
      </c>
      <c r="F1030" s="457">
        <v>44186.0</v>
      </c>
      <c r="G1030" s="218">
        <v>0.0</v>
      </c>
      <c r="H1030" s="218">
        <v>401092.0</v>
      </c>
      <c r="I1030" s="218" t="s">
        <v>10471</v>
      </c>
      <c r="J1030" s="218" t="s">
        <v>10472</v>
      </c>
      <c r="K1030" s="218" t="s">
        <v>9904</v>
      </c>
      <c r="L1030" s="218">
        <v>15113.0</v>
      </c>
      <c r="M1030" s="218">
        <v>168105.0</v>
      </c>
      <c r="N1030" s="218">
        <v>1.0E8</v>
      </c>
      <c r="O1030" s="218">
        <v>339039.0</v>
      </c>
      <c r="P1030" s="218" t="s">
        <v>10474</v>
      </c>
      <c r="Q1030" s="222">
        <v>4782.84</v>
      </c>
      <c r="R1030" s="222">
        <v>4782.84</v>
      </c>
      <c r="S1030" s="218">
        <v>0.0</v>
      </c>
      <c r="U1030" s="218">
        <v>0.0</v>
      </c>
      <c r="X1030" s="218">
        <v>1.51132020000141E14</v>
      </c>
      <c r="AB1030" t="e">
        <v>#N/A</v>
      </c>
    </row>
    <row r="1031">
      <c r="A1031" s="218" t="s">
        <v>9371</v>
      </c>
      <c r="C1031" s="218" t="s">
        <v>11609</v>
      </c>
      <c r="F1031" s="457">
        <v>44186.0</v>
      </c>
      <c r="G1031" s="218">
        <v>0.0</v>
      </c>
      <c r="H1031" s="218">
        <v>401093.0</v>
      </c>
      <c r="I1031" s="218" t="s">
        <v>9375</v>
      </c>
      <c r="J1031" s="218" t="s">
        <v>9333</v>
      </c>
      <c r="K1031" s="218" t="s">
        <v>9398</v>
      </c>
      <c r="L1031" s="218">
        <v>15113.0</v>
      </c>
      <c r="M1031" s="218">
        <v>168105.0</v>
      </c>
      <c r="N1031" s="218">
        <v>1.0E8</v>
      </c>
      <c r="O1031" s="218">
        <v>339014.0</v>
      </c>
      <c r="P1031" s="218" t="s">
        <v>9374</v>
      </c>
      <c r="Q1031" s="222">
        <v>135219.01</v>
      </c>
      <c r="R1031" s="222">
        <v>-135219.01</v>
      </c>
      <c r="S1031" s="222">
        <v>0.0</v>
      </c>
      <c r="U1031" s="218">
        <v>0.0</v>
      </c>
      <c r="AB1031" t="e">
        <v>#N/A</v>
      </c>
    </row>
    <row r="1032">
      <c r="A1032" s="218" t="s">
        <v>9371</v>
      </c>
      <c r="C1032" s="218" t="s">
        <v>11610</v>
      </c>
      <c r="F1032" s="457">
        <v>44186.0</v>
      </c>
      <c r="G1032" s="218">
        <v>0.0</v>
      </c>
      <c r="H1032" s="218">
        <v>401093.0</v>
      </c>
      <c r="I1032" s="218" t="s">
        <v>9377</v>
      </c>
      <c r="J1032" s="218" t="s">
        <v>9333</v>
      </c>
      <c r="K1032" s="218" t="s">
        <v>9398</v>
      </c>
      <c r="L1032" s="218">
        <v>15113.0</v>
      </c>
      <c r="M1032" s="218">
        <v>168105.0</v>
      </c>
      <c r="N1032" s="218">
        <v>1.0E8</v>
      </c>
      <c r="O1032" s="218">
        <v>339093.0</v>
      </c>
      <c r="P1032" s="218" t="s">
        <v>9374</v>
      </c>
      <c r="Q1032" s="222">
        <v>218031.7</v>
      </c>
      <c r="R1032" s="222">
        <v>-218031.7</v>
      </c>
      <c r="S1032" s="222">
        <v>0.0</v>
      </c>
      <c r="U1032" s="222">
        <v>0.0</v>
      </c>
      <c r="AB1032" t="e">
        <v>#N/A</v>
      </c>
    </row>
    <row r="1033">
      <c r="A1033" s="218" t="s">
        <v>781</v>
      </c>
      <c r="C1033" s="218" t="s">
        <v>11611</v>
      </c>
      <c r="F1033" s="457">
        <v>44186.0</v>
      </c>
      <c r="G1033" s="218">
        <v>0.0</v>
      </c>
      <c r="H1033" s="218">
        <v>401092.0</v>
      </c>
      <c r="I1033" s="218" t="s">
        <v>9800</v>
      </c>
      <c r="J1033" s="218" t="s">
        <v>9697</v>
      </c>
      <c r="K1033" s="218" t="s">
        <v>9904</v>
      </c>
      <c r="L1033" s="218">
        <v>15113.0</v>
      </c>
      <c r="M1033" s="218">
        <v>168105.0</v>
      </c>
      <c r="N1033" s="218">
        <v>1.27E8</v>
      </c>
      <c r="O1033" s="218">
        <v>339039.0</v>
      </c>
      <c r="P1033" s="218" t="s">
        <v>9802</v>
      </c>
      <c r="Q1033" s="222">
        <v>161589.54</v>
      </c>
      <c r="R1033" s="222">
        <v>161589.54</v>
      </c>
      <c r="S1033" s="218">
        <v>0.0</v>
      </c>
      <c r="U1033" s="218">
        <v>0.0</v>
      </c>
      <c r="X1033" s="218">
        <v>1.51132020000141E14</v>
      </c>
      <c r="AB1033" t="e">
        <v>#N/A</v>
      </c>
    </row>
    <row r="1034">
      <c r="A1034" s="218" t="s">
        <v>781</v>
      </c>
      <c r="C1034" s="218" t="s">
        <v>11612</v>
      </c>
      <c r="F1034" s="457">
        <v>44186.0</v>
      </c>
      <c r="G1034" s="218">
        <v>0.0</v>
      </c>
      <c r="H1034" s="218">
        <v>401092.0</v>
      </c>
      <c r="I1034" s="218" t="s">
        <v>10434</v>
      </c>
      <c r="J1034" s="218" t="s">
        <v>9956</v>
      </c>
      <c r="K1034" s="218" t="s">
        <v>9904</v>
      </c>
      <c r="L1034" s="218">
        <v>15113.0</v>
      </c>
      <c r="M1034" s="218">
        <v>168105.0</v>
      </c>
      <c r="N1034" s="218">
        <v>1.0E8</v>
      </c>
      <c r="O1034" s="218">
        <v>339037.0</v>
      </c>
      <c r="P1034" s="218" t="s">
        <v>10436</v>
      </c>
      <c r="Q1034" s="222">
        <v>6809.0</v>
      </c>
      <c r="R1034" s="222">
        <v>6809.0</v>
      </c>
      <c r="S1034" s="218">
        <v>0.0</v>
      </c>
      <c r="U1034" s="218">
        <v>0.0</v>
      </c>
      <c r="X1034" s="218">
        <v>1.51132020000124E14</v>
      </c>
      <c r="AB1034" t="e">
        <v>#N/A</v>
      </c>
    </row>
    <row r="1035">
      <c r="A1035" s="218" t="s">
        <v>9331</v>
      </c>
      <c r="C1035" s="218" t="s">
        <v>11613</v>
      </c>
      <c r="F1035" s="457">
        <v>44188.0</v>
      </c>
      <c r="G1035" s="218">
        <v>0.0</v>
      </c>
      <c r="H1035" s="218">
        <v>401092.0</v>
      </c>
      <c r="I1035" s="218" t="s">
        <v>9332</v>
      </c>
      <c r="J1035" s="218" t="s">
        <v>9333</v>
      </c>
      <c r="K1035" s="218" t="s">
        <v>9904</v>
      </c>
      <c r="L1035" s="218">
        <v>15113.0</v>
      </c>
      <c r="M1035" s="218">
        <v>168098.0</v>
      </c>
      <c r="N1035" s="218">
        <v>1.0E8</v>
      </c>
      <c r="O1035" s="218">
        <v>319011.0</v>
      </c>
      <c r="P1035" s="218" t="s">
        <v>9335</v>
      </c>
      <c r="Q1035" s="222">
        <v>25220.05</v>
      </c>
      <c r="R1035" s="222">
        <v>25220.05</v>
      </c>
      <c r="S1035" s="218">
        <v>0.0</v>
      </c>
      <c r="U1035" s="218">
        <v>0.0</v>
      </c>
      <c r="X1035" s="218">
        <v>1.51132020000185E14</v>
      </c>
      <c r="AB1035" t="e">
        <v>#N/A</v>
      </c>
    </row>
    <row r="1036">
      <c r="A1036" s="218" t="s">
        <v>9331</v>
      </c>
      <c r="C1036" s="218" t="s">
        <v>11614</v>
      </c>
      <c r="F1036" s="457">
        <v>44188.0</v>
      </c>
      <c r="G1036" s="218">
        <v>0.0</v>
      </c>
      <c r="H1036" s="218">
        <v>401092.0</v>
      </c>
      <c r="I1036" s="218" t="s">
        <v>9336</v>
      </c>
      <c r="J1036" s="218" t="s">
        <v>9333</v>
      </c>
      <c r="K1036" s="218" t="s">
        <v>9904</v>
      </c>
      <c r="L1036" s="218">
        <v>15113.0</v>
      </c>
      <c r="M1036" s="218">
        <v>168098.0</v>
      </c>
      <c r="N1036" s="218">
        <v>1.0E8</v>
      </c>
      <c r="O1036" s="218">
        <v>319016.0</v>
      </c>
      <c r="P1036" s="218" t="s">
        <v>9335</v>
      </c>
      <c r="Q1036" s="222">
        <v>257623.13</v>
      </c>
      <c r="R1036" s="222">
        <v>257623.13</v>
      </c>
      <c r="S1036" s="222">
        <v>0.0</v>
      </c>
      <c r="U1036" s="222">
        <v>0.0</v>
      </c>
      <c r="X1036" s="218">
        <v>1.51132020000184E14</v>
      </c>
      <c r="AB1036" t="e">
        <v>#N/A</v>
      </c>
    </row>
    <row r="1037">
      <c r="A1037" s="218" t="s">
        <v>9331</v>
      </c>
      <c r="C1037" s="218" t="s">
        <v>11615</v>
      </c>
      <c r="F1037" s="457">
        <v>44191.0</v>
      </c>
      <c r="G1037" s="218">
        <v>0.0</v>
      </c>
      <c r="H1037" s="218">
        <v>401092.0</v>
      </c>
      <c r="I1037" s="218" t="s">
        <v>9332</v>
      </c>
      <c r="J1037" s="218" t="s">
        <v>9333</v>
      </c>
      <c r="K1037" s="218" t="s">
        <v>9904</v>
      </c>
      <c r="L1037" s="218">
        <v>15113.0</v>
      </c>
      <c r="M1037" s="218">
        <v>168098.0</v>
      </c>
      <c r="N1037" s="218">
        <v>1.0E8</v>
      </c>
      <c r="O1037" s="218">
        <v>319011.0</v>
      </c>
      <c r="P1037" s="218" t="s">
        <v>9335</v>
      </c>
      <c r="Q1037" s="222">
        <v>128596.72</v>
      </c>
      <c r="R1037" s="222">
        <v>128596.72</v>
      </c>
      <c r="S1037" s="222">
        <v>0.0</v>
      </c>
      <c r="U1037" s="222">
        <v>0.0</v>
      </c>
      <c r="X1037" s="218">
        <v>1.51132020000185E14</v>
      </c>
      <c r="AB1037" t="e">
        <v>#N/A</v>
      </c>
    </row>
    <row r="1038">
      <c r="A1038" s="218" t="s">
        <v>9331</v>
      </c>
      <c r="C1038" s="218" t="s">
        <v>11616</v>
      </c>
      <c r="F1038" s="457">
        <v>44191.0</v>
      </c>
      <c r="G1038" s="218">
        <v>0.0</v>
      </c>
      <c r="H1038" s="218">
        <v>401092.0</v>
      </c>
      <c r="I1038" s="218" t="s">
        <v>9336</v>
      </c>
      <c r="J1038" s="218" t="s">
        <v>9333</v>
      </c>
      <c r="K1038" s="218" t="s">
        <v>10619</v>
      </c>
      <c r="L1038" s="218">
        <v>15113.0</v>
      </c>
      <c r="M1038" s="218">
        <v>168098.0</v>
      </c>
      <c r="N1038" s="218">
        <v>1.0E8</v>
      </c>
      <c r="O1038" s="218">
        <v>319016.0</v>
      </c>
      <c r="P1038" s="218" t="s">
        <v>9335</v>
      </c>
      <c r="Q1038" s="222">
        <v>226439.39</v>
      </c>
      <c r="R1038" s="222">
        <v>226439.39</v>
      </c>
      <c r="S1038" s="222">
        <v>0.0</v>
      </c>
      <c r="U1038" s="222">
        <v>0.0</v>
      </c>
      <c r="X1038" s="218">
        <v>1.51132020000184E14</v>
      </c>
      <c r="AB1038" t="e">
        <v>#N/A</v>
      </c>
    </row>
    <row r="1039">
      <c r="A1039" s="218" t="s">
        <v>9331</v>
      </c>
      <c r="C1039" s="218" t="s">
        <v>11617</v>
      </c>
      <c r="F1039" s="457">
        <v>44191.0</v>
      </c>
      <c r="G1039" s="218">
        <v>0.0</v>
      </c>
      <c r="H1039" s="218">
        <v>401092.0</v>
      </c>
      <c r="I1039" s="218" t="s">
        <v>9345</v>
      </c>
      <c r="J1039" s="218" t="s">
        <v>9346</v>
      </c>
      <c r="K1039" s="218" t="s">
        <v>9904</v>
      </c>
      <c r="L1039" s="218">
        <v>15113.0</v>
      </c>
      <c r="M1039" s="218">
        <v>168098.0</v>
      </c>
      <c r="N1039" s="218">
        <v>1.0E8</v>
      </c>
      <c r="O1039" s="218">
        <v>319007.0</v>
      </c>
      <c r="P1039" s="218" t="s">
        <v>9335</v>
      </c>
      <c r="Q1039" s="222">
        <v>780.55</v>
      </c>
      <c r="R1039" s="222">
        <v>780.55</v>
      </c>
      <c r="S1039" s="222">
        <v>0.0</v>
      </c>
      <c r="U1039" s="222">
        <v>0.0</v>
      </c>
      <c r="X1039" s="218">
        <v>1.51132020000186E14</v>
      </c>
      <c r="AB1039" t="e">
        <v>#N/A</v>
      </c>
    </row>
    <row r="1040">
      <c r="A1040" s="218" t="s">
        <v>9331</v>
      </c>
      <c r="C1040" s="218" t="s">
        <v>11618</v>
      </c>
      <c r="F1040" s="457">
        <v>44191.0</v>
      </c>
      <c r="G1040" s="218">
        <v>0.0</v>
      </c>
      <c r="H1040" s="218">
        <v>401092.0</v>
      </c>
      <c r="I1040" s="218" t="s">
        <v>11512</v>
      </c>
      <c r="J1040" s="218" t="s">
        <v>9333</v>
      </c>
      <c r="K1040" s="218" t="s">
        <v>9904</v>
      </c>
      <c r="L1040" s="218">
        <v>15113.0</v>
      </c>
      <c r="M1040" s="218">
        <v>168099.0</v>
      </c>
      <c r="N1040" s="218">
        <v>1.0E8</v>
      </c>
      <c r="O1040" s="218">
        <v>319001.0</v>
      </c>
      <c r="P1040" s="218" t="s">
        <v>9335</v>
      </c>
      <c r="Q1040" s="222">
        <v>3944.44</v>
      </c>
      <c r="R1040" s="222">
        <v>3944.44</v>
      </c>
      <c r="S1040" s="222">
        <v>0.0</v>
      </c>
      <c r="U1040" s="222">
        <v>0.0</v>
      </c>
      <c r="X1040" s="218">
        <v>1.51132020000178E14</v>
      </c>
      <c r="AB1040" t="e">
        <v>#N/A</v>
      </c>
    </row>
    <row r="1041">
      <c r="A1041" s="218" t="s">
        <v>9331</v>
      </c>
      <c r="C1041" s="218" t="s">
        <v>11619</v>
      </c>
      <c r="F1041" s="457">
        <v>44191.0</v>
      </c>
      <c r="G1041" s="218">
        <v>0.0</v>
      </c>
      <c r="H1041" s="218">
        <v>401092.0</v>
      </c>
      <c r="I1041" s="218" t="s">
        <v>9332</v>
      </c>
      <c r="J1041" s="218" t="s">
        <v>9333</v>
      </c>
      <c r="K1041" s="218" t="s">
        <v>9904</v>
      </c>
      <c r="L1041" s="218">
        <v>15113.0</v>
      </c>
      <c r="M1041" s="218">
        <v>168098.0</v>
      </c>
      <c r="N1041" s="218">
        <v>1.0E8</v>
      </c>
      <c r="O1041" s="218">
        <v>319011.0</v>
      </c>
      <c r="P1041" s="218" t="s">
        <v>9335</v>
      </c>
      <c r="Q1041" s="222">
        <v>3462250.0</v>
      </c>
      <c r="R1041" s="222">
        <v>3462250.0</v>
      </c>
      <c r="S1041" s="222">
        <v>0.0</v>
      </c>
      <c r="U1041" s="222">
        <v>0.0</v>
      </c>
      <c r="X1041" s="218">
        <v>1.51132020000185E14</v>
      </c>
      <c r="AB1041" t="e">
        <v>#N/A</v>
      </c>
    </row>
    <row r="1042">
      <c r="A1042" s="218" t="s">
        <v>9331</v>
      </c>
      <c r="C1042" s="218" t="s">
        <v>11620</v>
      </c>
      <c r="F1042" s="457">
        <v>44193.0</v>
      </c>
      <c r="G1042" s="218">
        <v>1.0</v>
      </c>
      <c r="H1042" s="218">
        <v>401091.0</v>
      </c>
      <c r="J1042" s="218" t="s">
        <v>9333</v>
      </c>
      <c r="K1042" s="218" t="s">
        <v>11621</v>
      </c>
      <c r="L1042" s="218">
        <v>15113.0</v>
      </c>
      <c r="M1042" s="218">
        <v>168098.0</v>
      </c>
      <c r="N1042" s="218">
        <v>1.0E8</v>
      </c>
      <c r="O1042" s="218">
        <v>319092.0</v>
      </c>
      <c r="P1042" s="218" t="s">
        <v>9335</v>
      </c>
      <c r="Q1042" s="222">
        <v>475368.17</v>
      </c>
      <c r="R1042" s="222">
        <v>475368.17</v>
      </c>
      <c r="S1042" s="222">
        <v>475368.17</v>
      </c>
      <c r="U1042" s="222">
        <v>0.0</v>
      </c>
      <c r="X1042" s="218">
        <v>1.51132020000268E14</v>
      </c>
      <c r="AB1042" t="e">
        <v>#N/A</v>
      </c>
    </row>
    <row r="1043">
      <c r="A1043" s="218" t="s">
        <v>9331</v>
      </c>
      <c r="C1043" s="218" t="s">
        <v>11622</v>
      </c>
      <c r="F1043" s="457">
        <v>44193.0</v>
      </c>
      <c r="G1043" s="218">
        <v>1.0</v>
      </c>
      <c r="H1043" s="218">
        <v>401091.0</v>
      </c>
      <c r="J1043" s="218" t="s">
        <v>9333</v>
      </c>
      <c r="K1043" s="218" t="s">
        <v>11621</v>
      </c>
      <c r="L1043" s="218">
        <v>15113.0</v>
      </c>
      <c r="M1043" s="218">
        <v>168098.0</v>
      </c>
      <c r="N1043" s="218">
        <v>1.0E8</v>
      </c>
      <c r="O1043" s="218">
        <v>319092.0</v>
      </c>
      <c r="P1043" s="218" t="s">
        <v>9335</v>
      </c>
      <c r="Q1043" s="222">
        <v>244707.67</v>
      </c>
      <c r="R1043" s="222">
        <v>244707.67</v>
      </c>
      <c r="S1043" s="222">
        <v>244707.67</v>
      </c>
      <c r="U1043" s="222">
        <v>0.0</v>
      </c>
      <c r="X1043" s="218">
        <v>1.51132020000268E14</v>
      </c>
      <c r="AB1043" t="e">
        <v>#N/A</v>
      </c>
    </row>
    <row r="1044">
      <c r="A1044" s="218" t="s">
        <v>9331</v>
      </c>
      <c r="C1044" s="218" t="s">
        <v>11623</v>
      </c>
      <c r="F1044" s="457">
        <v>44193.0</v>
      </c>
      <c r="G1044" s="218">
        <v>1.0</v>
      </c>
      <c r="H1044" s="218">
        <v>401091.0</v>
      </c>
      <c r="J1044" s="218" t="s">
        <v>9333</v>
      </c>
      <c r="K1044" s="218" t="s">
        <v>11621</v>
      </c>
      <c r="L1044" s="218">
        <v>15113.0</v>
      </c>
      <c r="M1044" s="218">
        <v>168099.0</v>
      </c>
      <c r="N1044" s="218">
        <v>1.0E8</v>
      </c>
      <c r="O1044" s="218">
        <v>319092.0</v>
      </c>
      <c r="P1044" s="218" t="s">
        <v>9335</v>
      </c>
      <c r="Q1044" s="222">
        <v>1581577.86</v>
      </c>
      <c r="R1044" s="222">
        <v>1581577.86</v>
      </c>
      <c r="S1044" s="222">
        <v>1581577.86</v>
      </c>
      <c r="U1044" s="222">
        <v>0.0</v>
      </c>
      <c r="X1044" s="218">
        <v>1.51132020000206E14</v>
      </c>
      <c r="AB1044" t="e">
        <v>#N/A</v>
      </c>
    </row>
    <row r="1045">
      <c r="A1045" s="218" t="s">
        <v>9331</v>
      </c>
      <c r="C1045" s="218" t="s">
        <v>11624</v>
      </c>
      <c r="F1045" s="457">
        <v>44193.0</v>
      </c>
      <c r="G1045" s="218">
        <v>1.0</v>
      </c>
      <c r="H1045" s="218">
        <v>401091.0</v>
      </c>
      <c r="J1045" s="218" t="s">
        <v>9333</v>
      </c>
      <c r="K1045" s="218" t="s">
        <v>11621</v>
      </c>
      <c r="L1045" s="218">
        <v>15113.0</v>
      </c>
      <c r="M1045" s="218">
        <v>168099.0</v>
      </c>
      <c r="N1045" s="218">
        <v>1.0E8</v>
      </c>
      <c r="O1045" s="218">
        <v>319092.0</v>
      </c>
      <c r="P1045" s="218" t="s">
        <v>9335</v>
      </c>
      <c r="Q1045" s="222">
        <v>63169.64</v>
      </c>
      <c r="R1045" s="222">
        <v>63169.64</v>
      </c>
      <c r="S1045" s="222">
        <v>63169.64</v>
      </c>
      <c r="U1045" s="222">
        <v>0.0</v>
      </c>
      <c r="X1045" s="218">
        <v>1.51132020000206E14</v>
      </c>
      <c r="AB1045" t="e">
        <v>#N/A</v>
      </c>
    </row>
    <row r="1046">
      <c r="A1046" s="218" t="s">
        <v>9331</v>
      </c>
      <c r="C1046" s="218" t="s">
        <v>11625</v>
      </c>
      <c r="F1046" s="457">
        <v>44193.0</v>
      </c>
      <c r="G1046" s="218">
        <v>1.0</v>
      </c>
      <c r="H1046" s="218">
        <v>401091.0</v>
      </c>
      <c r="J1046" s="218" t="s">
        <v>9346</v>
      </c>
      <c r="K1046" s="218" t="s">
        <v>11621</v>
      </c>
      <c r="L1046" s="218">
        <v>15113.0</v>
      </c>
      <c r="M1046" s="218">
        <v>168098.0</v>
      </c>
      <c r="N1046" s="218">
        <v>1.0E8</v>
      </c>
      <c r="O1046" s="218">
        <v>319092.0</v>
      </c>
      <c r="P1046" s="218" t="s">
        <v>9335</v>
      </c>
      <c r="Q1046" s="222">
        <v>659.43</v>
      </c>
      <c r="R1046" s="222">
        <v>659.43</v>
      </c>
      <c r="S1046" s="222">
        <v>659.43</v>
      </c>
      <c r="U1046" s="222">
        <v>0.0</v>
      </c>
      <c r="X1046" s="218">
        <v>1.51132020000268E14</v>
      </c>
      <c r="AB1046" t="e">
        <v>#N/A</v>
      </c>
    </row>
    <row r="1047">
      <c r="A1047" s="218" t="s">
        <v>9331</v>
      </c>
      <c r="C1047" s="218" t="s">
        <v>11626</v>
      </c>
      <c r="F1047" s="457">
        <v>44193.0</v>
      </c>
      <c r="G1047" s="218">
        <v>1.0</v>
      </c>
      <c r="H1047" s="218">
        <v>401091.0</v>
      </c>
      <c r="J1047" s="218" t="s">
        <v>9344</v>
      </c>
      <c r="K1047" s="218" t="s">
        <v>11621</v>
      </c>
      <c r="L1047" s="218">
        <v>15113.0</v>
      </c>
      <c r="M1047" s="218">
        <v>168095.0</v>
      </c>
      <c r="N1047" s="218">
        <v>3.0E8</v>
      </c>
      <c r="O1047" s="218">
        <v>319192.0</v>
      </c>
      <c r="P1047" s="218" t="s">
        <v>9335</v>
      </c>
      <c r="Q1047" s="222">
        <v>1195.44</v>
      </c>
      <c r="R1047" s="222">
        <v>1195.44</v>
      </c>
      <c r="S1047" s="222">
        <v>1195.44</v>
      </c>
      <c r="U1047" s="222">
        <v>0.0</v>
      </c>
      <c r="X1047" s="218">
        <v>1.51132020000181E14</v>
      </c>
      <c r="AB1047" t="e">
        <v>#N/A</v>
      </c>
    </row>
    <row r="1048">
      <c r="A1048" s="218" t="s">
        <v>9331</v>
      </c>
      <c r="C1048" s="218" t="s">
        <v>11627</v>
      </c>
      <c r="F1048" s="457">
        <v>44194.0</v>
      </c>
      <c r="G1048" s="218">
        <v>0.0</v>
      </c>
      <c r="H1048" s="218">
        <v>401093.0</v>
      </c>
      <c r="I1048" s="218" t="s">
        <v>9332</v>
      </c>
      <c r="J1048" s="218" t="s">
        <v>9333</v>
      </c>
      <c r="K1048" s="218" t="s">
        <v>9398</v>
      </c>
      <c r="L1048" s="218">
        <v>15113.0</v>
      </c>
      <c r="M1048" s="218">
        <v>168098.0</v>
      </c>
      <c r="N1048" s="218">
        <v>1.0E8</v>
      </c>
      <c r="O1048" s="218">
        <v>319011.0</v>
      </c>
      <c r="P1048" s="218" t="s">
        <v>9335</v>
      </c>
      <c r="Q1048" s="222">
        <v>3462250.0</v>
      </c>
      <c r="R1048" s="222">
        <v>-3462250.0</v>
      </c>
      <c r="S1048" s="222">
        <v>0.0</v>
      </c>
      <c r="U1048" s="222">
        <v>0.0</v>
      </c>
      <c r="AB1048" t="e">
        <v>#N/A</v>
      </c>
    </row>
    <row r="1049">
      <c r="A1049" s="218" t="s">
        <v>9331</v>
      </c>
      <c r="C1049" s="218" t="s">
        <v>11628</v>
      </c>
      <c r="F1049" s="457">
        <v>44194.0</v>
      </c>
      <c r="G1049" s="218">
        <v>1.0</v>
      </c>
      <c r="H1049" s="218">
        <v>401091.0</v>
      </c>
      <c r="J1049" s="218" t="s">
        <v>9333</v>
      </c>
      <c r="K1049" s="218" t="s">
        <v>9334</v>
      </c>
      <c r="L1049" s="218">
        <v>15113.0</v>
      </c>
      <c r="M1049" s="218">
        <v>168098.0</v>
      </c>
      <c r="N1049" s="218">
        <v>3.0E8</v>
      </c>
      <c r="O1049" s="218">
        <v>319011.0</v>
      </c>
      <c r="P1049" s="218" t="s">
        <v>9335</v>
      </c>
      <c r="Q1049" s="222">
        <v>5616823.72</v>
      </c>
      <c r="R1049" s="222">
        <v>5616823.72</v>
      </c>
      <c r="S1049" s="222">
        <v>7988903.0</v>
      </c>
      <c r="U1049" s="222">
        <v>0.0</v>
      </c>
      <c r="X1049" s="218">
        <v>1.51132020000185E14</v>
      </c>
      <c r="AB1049" t="e">
        <v>#N/A</v>
      </c>
    </row>
    <row r="1050">
      <c r="A1050" s="218" t="s">
        <v>9331</v>
      </c>
      <c r="C1050" s="218" t="s">
        <v>11629</v>
      </c>
      <c r="F1050" s="457">
        <v>44194.0</v>
      </c>
      <c r="G1050" s="218">
        <v>0.0</v>
      </c>
      <c r="H1050" s="218">
        <v>401092.0</v>
      </c>
      <c r="I1050" s="218" t="s">
        <v>9332</v>
      </c>
      <c r="J1050" s="218" t="s">
        <v>9333</v>
      </c>
      <c r="K1050" s="218" t="s">
        <v>9904</v>
      </c>
      <c r="L1050" s="218">
        <v>15113.0</v>
      </c>
      <c r="M1050" s="218">
        <v>168098.0</v>
      </c>
      <c r="N1050" s="218">
        <v>1.0E8</v>
      </c>
      <c r="O1050" s="218">
        <v>319011.0</v>
      </c>
      <c r="P1050" s="218" t="s">
        <v>9335</v>
      </c>
      <c r="Q1050" s="222">
        <v>71.41</v>
      </c>
      <c r="R1050" s="222">
        <v>71.41</v>
      </c>
      <c r="S1050" s="222">
        <v>0.0</v>
      </c>
      <c r="U1050" s="222">
        <v>0.0</v>
      </c>
      <c r="X1050" s="218">
        <v>1.51132020000185E14</v>
      </c>
      <c r="AB1050" t="e">
        <v>#N/A</v>
      </c>
    </row>
    <row r="1051">
      <c r="A1051" s="218" t="s">
        <v>9331</v>
      </c>
      <c r="C1051" s="218" t="s">
        <v>11630</v>
      </c>
      <c r="F1051" s="457">
        <v>44194.0</v>
      </c>
      <c r="G1051" s="218">
        <v>0.0</v>
      </c>
      <c r="H1051" s="218">
        <v>401092.0</v>
      </c>
      <c r="I1051" s="218" t="s">
        <v>11628</v>
      </c>
      <c r="J1051" s="218" t="s">
        <v>9333</v>
      </c>
      <c r="K1051" s="218" t="s">
        <v>9904</v>
      </c>
      <c r="L1051" s="218">
        <v>15113.0</v>
      </c>
      <c r="M1051" s="218">
        <v>168098.0</v>
      </c>
      <c r="N1051" s="218">
        <v>3.0E8</v>
      </c>
      <c r="O1051" s="218">
        <v>319011.0</v>
      </c>
      <c r="P1051" s="218" t="s">
        <v>9335</v>
      </c>
      <c r="Q1051" s="222">
        <v>2372079.28</v>
      </c>
      <c r="R1051" s="222">
        <v>2372079.28</v>
      </c>
      <c r="S1051" s="222">
        <v>0.0</v>
      </c>
      <c r="U1051" s="222">
        <v>0.0</v>
      </c>
      <c r="X1051" s="218">
        <v>1.51132020000185E14</v>
      </c>
      <c r="AB1051" t="e">
        <v>#N/A</v>
      </c>
    </row>
    <row r="1052">
      <c r="A1052" s="218" t="s">
        <v>9331</v>
      </c>
      <c r="C1052" s="218" t="s">
        <v>11631</v>
      </c>
      <c r="F1052" s="457">
        <v>44194.0</v>
      </c>
      <c r="G1052" s="218">
        <v>0.0</v>
      </c>
      <c r="H1052" s="218">
        <v>401092.0</v>
      </c>
      <c r="I1052" s="218" t="s">
        <v>9332</v>
      </c>
      <c r="J1052" s="218" t="s">
        <v>9333</v>
      </c>
      <c r="K1052" s="218" t="s">
        <v>9904</v>
      </c>
      <c r="L1052" s="218">
        <v>15113.0</v>
      </c>
      <c r="M1052" s="218">
        <v>168098.0</v>
      </c>
      <c r="N1052" s="218">
        <v>1.0E8</v>
      </c>
      <c r="O1052" s="218">
        <v>319011.0</v>
      </c>
      <c r="P1052" s="218" t="s">
        <v>9335</v>
      </c>
      <c r="Q1052" s="222">
        <v>2374625.41</v>
      </c>
      <c r="R1052" s="222">
        <v>2374625.41</v>
      </c>
      <c r="S1052" s="222">
        <v>0.0</v>
      </c>
      <c r="U1052" s="222">
        <v>0.0</v>
      </c>
      <c r="X1052" s="218">
        <v>1.51132020000185E14</v>
      </c>
      <c r="AB1052" t="e">
        <v>#N/A</v>
      </c>
    </row>
    <row r="1053">
      <c r="A1053" s="218" t="s">
        <v>9331</v>
      </c>
      <c r="C1053" s="218" t="s">
        <v>11632</v>
      </c>
      <c r="F1053" s="457">
        <v>44194.0</v>
      </c>
      <c r="G1053" s="218">
        <v>0.0</v>
      </c>
      <c r="H1053" s="218">
        <v>401093.0</v>
      </c>
      <c r="I1053" s="218" t="s">
        <v>9343</v>
      </c>
      <c r="J1053" s="218" t="s">
        <v>9344</v>
      </c>
      <c r="K1053" s="218" t="s">
        <v>9398</v>
      </c>
      <c r="L1053" s="218">
        <v>15113.0</v>
      </c>
      <c r="M1053" s="218">
        <v>168095.0</v>
      </c>
      <c r="N1053" s="218">
        <v>1.0E8</v>
      </c>
      <c r="O1053" s="218">
        <v>319113.0</v>
      </c>
      <c r="P1053" s="218" t="s">
        <v>9335</v>
      </c>
      <c r="Q1053" s="222">
        <v>3027666.66</v>
      </c>
      <c r="R1053" s="222">
        <v>-3027666.66</v>
      </c>
      <c r="S1053" s="218">
        <v>0.0</v>
      </c>
      <c r="U1053" s="218">
        <v>0.0</v>
      </c>
      <c r="AB1053" t="e">
        <v>#N/A</v>
      </c>
    </row>
    <row r="1054">
      <c r="A1054" s="218" t="s">
        <v>9331</v>
      </c>
      <c r="C1054" s="218" t="s">
        <v>11633</v>
      </c>
      <c r="F1054" s="457">
        <v>44194.0</v>
      </c>
      <c r="G1054" s="218">
        <v>0.0</v>
      </c>
      <c r="H1054" s="218">
        <v>401092.0</v>
      </c>
      <c r="I1054" s="218" t="s">
        <v>9336</v>
      </c>
      <c r="J1054" s="218" t="s">
        <v>9333</v>
      </c>
      <c r="K1054" s="218" t="s">
        <v>9904</v>
      </c>
      <c r="L1054" s="218">
        <v>15113.0</v>
      </c>
      <c r="M1054" s="218">
        <v>168098.0</v>
      </c>
      <c r="N1054" s="218">
        <v>1.0E8</v>
      </c>
      <c r="O1054" s="218">
        <v>319016.0</v>
      </c>
      <c r="P1054" s="218" t="s">
        <v>9335</v>
      </c>
      <c r="Q1054" s="222">
        <v>38834.55</v>
      </c>
      <c r="R1054" s="222">
        <v>38834.55</v>
      </c>
      <c r="S1054" s="222">
        <v>0.0</v>
      </c>
      <c r="U1054" s="222">
        <v>0.0</v>
      </c>
      <c r="X1054" s="218">
        <v>1.51132020000184E14</v>
      </c>
      <c r="AB1054" t="e">
        <v>#N/A</v>
      </c>
    </row>
    <row r="1055">
      <c r="A1055" s="218" t="s">
        <v>324</v>
      </c>
      <c r="C1055" s="218" t="s">
        <v>11634</v>
      </c>
      <c r="F1055" s="457">
        <v>44196.0</v>
      </c>
      <c r="G1055" s="218">
        <v>0.0</v>
      </c>
      <c r="H1055" s="218">
        <v>401108.0</v>
      </c>
      <c r="I1055" s="218" t="s">
        <v>11635</v>
      </c>
      <c r="J1055" s="218" t="s">
        <v>11636</v>
      </c>
      <c r="K1055" s="218" t="s">
        <v>11637</v>
      </c>
      <c r="L1055" s="218">
        <v>0.0</v>
      </c>
      <c r="M1055" s="218">
        <v>0.0</v>
      </c>
      <c r="O1055" s="218">
        <v>0.0</v>
      </c>
      <c r="P1055" s="218" t="s">
        <v>11638</v>
      </c>
      <c r="Q1055" s="222">
        <v>77374.54</v>
      </c>
      <c r="R1055" s="222">
        <v>-77374.54</v>
      </c>
      <c r="S1055" s="222">
        <v>0.0</v>
      </c>
      <c r="U1055" s="222">
        <v>0.0</v>
      </c>
      <c r="AB1055" t="e">
        <v>#N/A</v>
      </c>
    </row>
    <row r="1056">
      <c r="F1056" s="457"/>
      <c r="Q1056" s="222"/>
      <c r="R1056" s="222"/>
      <c r="S1056" s="222"/>
      <c r="U1056" s="222"/>
      <c r="AB1056" t="e">
        <v>#N/A</v>
      </c>
    </row>
    <row r="1057">
      <c r="F1057" s="457"/>
      <c r="Q1057" s="222"/>
      <c r="R1057" s="222"/>
      <c r="S1057" s="222"/>
      <c r="U1057" s="222"/>
      <c r="AB1057" t="e">
        <v>#N/A</v>
      </c>
    </row>
    <row r="1058">
      <c r="F1058" s="457"/>
      <c r="Q1058" s="222"/>
      <c r="R1058" s="222"/>
      <c r="S1058" s="222"/>
      <c r="U1058" s="222"/>
      <c r="AB1058" t="e">
        <v>#N/A</v>
      </c>
    </row>
    <row r="1059">
      <c r="F1059" s="457"/>
      <c r="Q1059" s="222"/>
      <c r="R1059" s="222"/>
      <c r="S1059" s="222"/>
      <c r="U1059" s="222"/>
      <c r="AB1059" t="e">
        <v>#N/A</v>
      </c>
    </row>
    <row r="1060">
      <c r="F1060" s="457"/>
      <c r="Q1060" s="222"/>
      <c r="R1060" s="222"/>
      <c r="S1060" s="222"/>
      <c r="U1060" s="222"/>
      <c r="AB1060" t="e">
        <v>#N/A</v>
      </c>
    </row>
    <row r="1061">
      <c r="F1061" s="457"/>
      <c r="Q1061" s="222"/>
      <c r="R1061" s="222"/>
      <c r="S1061" s="222"/>
      <c r="U1061" s="222"/>
      <c r="AB1061" t="e">
        <v>#N/A</v>
      </c>
    </row>
    <row r="1062">
      <c r="F1062" s="457"/>
      <c r="Q1062" s="222"/>
      <c r="R1062" s="222"/>
      <c r="S1062" s="222"/>
      <c r="U1062" s="222"/>
      <c r="AB1062" t="e">
        <v>#N/A</v>
      </c>
    </row>
    <row r="1063">
      <c r="F1063" s="457"/>
      <c r="Q1063" s="222"/>
      <c r="R1063" s="222"/>
      <c r="S1063" s="222"/>
      <c r="U1063" s="222"/>
      <c r="AB1063" t="e">
        <v>#N/A</v>
      </c>
    </row>
    <row r="1064">
      <c r="F1064" s="457"/>
      <c r="Q1064" s="222"/>
      <c r="R1064" s="222"/>
      <c r="S1064" s="222"/>
      <c r="U1064" s="222"/>
      <c r="AB1064" t="e">
        <v>#N/A</v>
      </c>
    </row>
    <row r="1065">
      <c r="F1065" s="457"/>
      <c r="Q1065" s="222"/>
      <c r="R1065" s="222"/>
      <c r="S1065" s="222"/>
      <c r="AB1065" t="e">
        <v>#N/A</v>
      </c>
    </row>
    <row r="1066">
      <c r="F1066" s="457"/>
      <c r="Q1066" s="222"/>
      <c r="R1066" s="222"/>
      <c r="S1066" s="222"/>
      <c r="U1066" s="222"/>
      <c r="AB1066" t="e">
        <v>#N/A</v>
      </c>
    </row>
    <row r="1067">
      <c r="F1067" s="457"/>
      <c r="Q1067" s="222"/>
      <c r="R1067" s="222"/>
      <c r="S1067" s="222"/>
      <c r="U1067" s="222"/>
      <c r="AB1067" t="e">
        <v>#N/A</v>
      </c>
    </row>
    <row r="1068">
      <c r="F1068" s="457"/>
      <c r="Q1068" s="222"/>
      <c r="R1068" s="222"/>
      <c r="AB1068" t="e">
        <v>#N/A</v>
      </c>
    </row>
    <row r="1069">
      <c r="F1069" s="457"/>
      <c r="Q1069" s="222"/>
      <c r="R1069" s="222"/>
      <c r="S1069" s="222"/>
      <c r="U1069" s="222"/>
      <c r="AB1069" t="e">
        <v>#N/A</v>
      </c>
    </row>
    <row r="1070">
      <c r="F1070" s="457"/>
      <c r="Q1070" s="222"/>
      <c r="R1070" s="222"/>
      <c r="AB1070" t="e">
        <v>#N/A</v>
      </c>
    </row>
    <row r="1071">
      <c r="F1071" s="457"/>
      <c r="Q1071" s="222"/>
      <c r="R1071" s="222"/>
      <c r="AB1071" t="e">
        <v>#N/A</v>
      </c>
    </row>
    <row r="1072">
      <c r="F1072" s="457"/>
      <c r="Q1072" s="222"/>
      <c r="R1072" s="222"/>
      <c r="S1072" s="222"/>
      <c r="U1072" s="222"/>
      <c r="AB1072" t="e">
        <v>#N/A</v>
      </c>
    </row>
    <row r="1073">
      <c r="F1073" s="457"/>
      <c r="Q1073" s="222"/>
      <c r="R1073" s="222"/>
      <c r="S1073" s="222"/>
      <c r="U1073" s="222"/>
      <c r="AB1073" t="e">
        <v>#N/A</v>
      </c>
    </row>
    <row r="1074">
      <c r="F1074" s="457"/>
      <c r="Q1074" s="222"/>
      <c r="R1074" s="222"/>
      <c r="AB1074" t="e">
        <v>#N/A</v>
      </c>
    </row>
    <row r="1075">
      <c r="F1075" s="457"/>
      <c r="Q1075" s="222"/>
      <c r="R1075" s="222"/>
      <c r="S1075" s="222"/>
      <c r="U1075" s="222"/>
      <c r="AB1075" t="e">
        <v>#N/A</v>
      </c>
    </row>
    <row r="1076">
      <c r="F1076" s="457"/>
      <c r="Q1076" s="222"/>
      <c r="R1076" s="222"/>
      <c r="S1076" s="222"/>
      <c r="U1076" s="222"/>
      <c r="AB1076" t="e">
        <v>#N/A</v>
      </c>
    </row>
    <row r="1077">
      <c r="F1077" s="457"/>
      <c r="Q1077" s="222"/>
      <c r="R1077" s="222"/>
      <c r="AB1077" t="e">
        <v>#N/A</v>
      </c>
    </row>
    <row r="1078">
      <c r="F1078" s="457"/>
      <c r="Q1078" s="222"/>
      <c r="R1078" s="222"/>
      <c r="AB1078" t="e">
        <v>#N/A</v>
      </c>
    </row>
    <row r="1079">
      <c r="F1079" s="457"/>
      <c r="Q1079" s="222"/>
      <c r="R1079" s="222"/>
      <c r="S1079" s="222"/>
      <c r="U1079" s="222"/>
      <c r="AB1079" t="e">
        <v>#N/A</v>
      </c>
    </row>
    <row r="1080">
      <c r="F1080" s="457"/>
      <c r="Q1080" s="222"/>
      <c r="R1080" s="222"/>
      <c r="AB1080" t="e">
        <v>#N/A</v>
      </c>
    </row>
    <row r="1081">
      <c r="F1081" s="457"/>
      <c r="Q1081" s="222"/>
      <c r="R1081" s="222"/>
      <c r="AB1081" t="e">
        <v>#N/A</v>
      </c>
    </row>
    <row r="1082">
      <c r="F1082" s="457"/>
      <c r="Q1082" s="222"/>
      <c r="R1082" s="222"/>
      <c r="AB1082" t="e">
        <v>#N/A</v>
      </c>
    </row>
    <row r="1083">
      <c r="F1083" s="457"/>
      <c r="Q1083" s="222"/>
      <c r="R1083" s="222"/>
      <c r="S1083" s="222"/>
      <c r="U1083" s="222"/>
      <c r="AB1083" t="e">
        <v>#N/A</v>
      </c>
    </row>
    <row r="1084">
      <c r="F1084" s="457"/>
      <c r="Q1084" s="222"/>
      <c r="R1084" s="222"/>
      <c r="AB1084" t="e">
        <v>#N/A</v>
      </c>
    </row>
    <row r="1085">
      <c r="F1085" s="457"/>
      <c r="Q1085" s="222"/>
      <c r="R1085" s="222"/>
      <c r="S1085" s="222"/>
      <c r="U1085" s="222"/>
      <c r="AB1085" t="e">
        <v>#N/A</v>
      </c>
    </row>
    <row r="1086">
      <c r="F1086" s="457"/>
      <c r="Q1086" s="222"/>
      <c r="R1086" s="222"/>
      <c r="S1086" s="222"/>
      <c r="AB1086" t="e">
        <v>#N/A</v>
      </c>
    </row>
    <row r="1087">
      <c r="F1087" s="457"/>
      <c r="Q1087" s="222"/>
      <c r="R1087" s="222"/>
      <c r="AB1087" t="e">
        <v>#N/A</v>
      </c>
    </row>
    <row r="1088">
      <c r="F1088" s="457"/>
      <c r="Q1088" s="222"/>
      <c r="R1088" s="222"/>
      <c r="S1088" s="222"/>
      <c r="U1088" s="222"/>
      <c r="AB1088" t="e">
        <v>#N/A</v>
      </c>
    </row>
    <row r="1089">
      <c r="F1089" s="457"/>
      <c r="Q1089" s="222"/>
      <c r="R1089" s="222"/>
      <c r="S1089" s="222"/>
      <c r="U1089" s="222"/>
      <c r="AB1089" t="e">
        <v>#N/A</v>
      </c>
    </row>
    <row r="1090">
      <c r="F1090" s="457"/>
      <c r="Q1090" s="222"/>
      <c r="R1090" s="222"/>
      <c r="S1090" s="222"/>
      <c r="U1090" s="222"/>
      <c r="AB1090" t="e">
        <v>#N/A</v>
      </c>
    </row>
    <row r="1091">
      <c r="F1091" s="457"/>
      <c r="Q1091" s="222"/>
      <c r="R1091" s="222"/>
      <c r="S1091" s="222"/>
      <c r="AB1091" t="e">
        <v>#N/A</v>
      </c>
    </row>
    <row r="1092">
      <c r="F1092" s="457"/>
      <c r="Q1092" s="222"/>
      <c r="R1092" s="222"/>
      <c r="S1092" s="222"/>
      <c r="U1092" s="222"/>
      <c r="AB1092" t="e">
        <v>#N/A</v>
      </c>
    </row>
    <row r="1093">
      <c r="F1093" s="457"/>
      <c r="Q1093" s="222"/>
      <c r="R1093" s="222"/>
      <c r="S1093" s="222"/>
      <c r="AB1093" t="e">
        <v>#N/A</v>
      </c>
    </row>
    <row r="1094">
      <c r="F1094" s="457"/>
      <c r="Q1094" s="222"/>
      <c r="R1094" s="222"/>
      <c r="S1094" s="222"/>
      <c r="AB1094" t="e">
        <v>#N/A</v>
      </c>
    </row>
    <row r="1095">
      <c r="F1095" s="457"/>
      <c r="Q1095" s="222"/>
      <c r="R1095" s="222"/>
      <c r="S1095" s="222"/>
      <c r="U1095" s="222"/>
      <c r="AB1095" t="e">
        <v>#N/A</v>
      </c>
    </row>
    <row r="1096">
      <c r="F1096" s="457"/>
      <c r="Q1096" s="222"/>
      <c r="R1096" s="222"/>
      <c r="S1096" s="222"/>
      <c r="AB1096" t="e">
        <v>#N/A</v>
      </c>
    </row>
    <row r="1097">
      <c r="F1097" s="457"/>
      <c r="Q1097" s="222"/>
      <c r="R1097" s="222"/>
      <c r="S1097" s="222"/>
      <c r="U1097" s="222"/>
      <c r="AB1097" t="e">
        <v>#N/A</v>
      </c>
    </row>
    <row r="1098">
      <c r="F1098" s="457"/>
      <c r="Q1098" s="222"/>
      <c r="R1098" s="222"/>
      <c r="S1098" s="222"/>
      <c r="U1098" s="222"/>
      <c r="AB1098" t="e">
        <v>#N/A</v>
      </c>
    </row>
    <row r="1099">
      <c r="F1099" s="457"/>
      <c r="Q1099" s="222"/>
      <c r="R1099" s="222"/>
      <c r="S1099" s="222"/>
      <c r="U1099" s="222"/>
      <c r="AB1099" t="e">
        <v>#N/A</v>
      </c>
    </row>
    <row r="1100">
      <c r="F1100" s="457"/>
      <c r="Q1100" s="222"/>
      <c r="R1100" s="222"/>
      <c r="S1100" s="222"/>
      <c r="AB1100" t="e">
        <v>#N/A</v>
      </c>
    </row>
    <row r="1101">
      <c r="F1101" s="457"/>
      <c r="Q1101" s="222"/>
      <c r="R1101" s="222"/>
      <c r="S1101" s="222"/>
      <c r="U1101" s="222"/>
      <c r="AB1101" t="e">
        <v>#N/A</v>
      </c>
    </row>
    <row r="1102">
      <c r="F1102" s="457"/>
      <c r="Q1102" s="222"/>
      <c r="R1102" s="222"/>
      <c r="AB1102" t="e">
        <v>#N/A</v>
      </c>
    </row>
    <row r="1103">
      <c r="F1103" s="457"/>
      <c r="Q1103" s="222"/>
      <c r="R1103" s="222"/>
      <c r="S1103" s="222"/>
      <c r="U1103" s="222"/>
      <c r="AB1103" t="e">
        <v>#N/A</v>
      </c>
    </row>
    <row r="1104">
      <c r="F1104" s="457"/>
      <c r="Q1104" s="222"/>
      <c r="R1104" s="222"/>
      <c r="AB1104" t="e">
        <v>#N/A</v>
      </c>
    </row>
    <row r="1105">
      <c r="F1105" s="457"/>
      <c r="Q1105" s="222"/>
      <c r="R1105" s="222"/>
      <c r="S1105" s="222"/>
      <c r="U1105" s="222"/>
      <c r="AB1105" t="e">
        <v>#N/A</v>
      </c>
    </row>
    <row r="1106">
      <c r="F1106" s="457"/>
      <c r="Q1106" s="222"/>
      <c r="R1106" s="222"/>
      <c r="S1106" s="222"/>
      <c r="U1106" s="222"/>
      <c r="AB1106" t="e">
        <v>#N/A</v>
      </c>
    </row>
    <row r="1107">
      <c r="F1107" s="457"/>
      <c r="Q1107" s="222"/>
      <c r="R1107" s="222"/>
      <c r="S1107" s="222"/>
      <c r="AB1107" t="e">
        <v>#N/A</v>
      </c>
    </row>
    <row r="1108">
      <c r="F1108" s="457"/>
      <c r="Q1108" s="222"/>
      <c r="R1108" s="222"/>
      <c r="AB1108" t="e">
        <v>#N/A</v>
      </c>
    </row>
    <row r="1109">
      <c r="F1109" s="457"/>
      <c r="Q1109" s="222"/>
      <c r="R1109" s="222"/>
      <c r="AB1109" t="e">
        <v>#N/A</v>
      </c>
    </row>
    <row r="1110">
      <c r="F1110" s="457"/>
      <c r="Q1110" s="222"/>
      <c r="R1110" s="222"/>
      <c r="AB1110" t="e">
        <v>#N/A</v>
      </c>
    </row>
    <row r="1111">
      <c r="F1111" s="457"/>
      <c r="Q1111" s="222"/>
      <c r="R1111" s="222"/>
      <c r="S1111" s="222"/>
      <c r="U1111" s="222"/>
      <c r="AB1111" t="e">
        <v>#N/A</v>
      </c>
    </row>
    <row r="1112">
      <c r="F1112" s="457"/>
      <c r="Q1112" s="222"/>
      <c r="R1112" s="222"/>
      <c r="S1112" s="222"/>
      <c r="U1112" s="222"/>
      <c r="AB1112" t="e">
        <v>#N/A</v>
      </c>
    </row>
    <row r="1113">
      <c r="F1113" s="457"/>
      <c r="Q1113" s="222"/>
      <c r="R1113" s="222"/>
      <c r="S1113" s="222"/>
      <c r="U1113" s="222"/>
      <c r="AB1113" t="e">
        <v>#N/A</v>
      </c>
    </row>
    <row r="1114">
      <c r="F1114" s="457"/>
      <c r="Q1114" s="222"/>
      <c r="R1114" s="222"/>
      <c r="S1114" s="222"/>
      <c r="U1114" s="222"/>
      <c r="AB1114" t="e">
        <v>#N/A</v>
      </c>
    </row>
    <row r="1115">
      <c r="F1115" s="457"/>
      <c r="Q1115" s="222"/>
      <c r="R1115" s="222"/>
      <c r="S1115" s="222"/>
      <c r="U1115" s="222"/>
      <c r="AB1115" t="e">
        <v>#N/A</v>
      </c>
    </row>
    <row r="1116">
      <c r="F1116" s="457"/>
      <c r="Q1116" s="222"/>
      <c r="R1116" s="222"/>
      <c r="S1116" s="222"/>
      <c r="U1116" s="222"/>
      <c r="AB1116" t="e">
        <v>#N/A</v>
      </c>
    </row>
    <row r="1117">
      <c r="F1117" s="457"/>
      <c r="Q1117" s="222"/>
      <c r="R1117" s="222"/>
      <c r="S1117" s="222"/>
      <c r="U1117" s="222"/>
      <c r="AB1117" t="e">
        <v>#N/A</v>
      </c>
    </row>
    <row r="1118">
      <c r="F1118" s="457"/>
      <c r="Q1118" s="222"/>
      <c r="R1118" s="222"/>
      <c r="S1118" s="222"/>
      <c r="U1118" s="222"/>
      <c r="AB1118" t="e">
        <v>#N/A</v>
      </c>
    </row>
    <row r="1119">
      <c r="F1119" s="457"/>
      <c r="Q1119" s="222"/>
      <c r="R1119" s="222"/>
      <c r="S1119" s="222"/>
      <c r="U1119" s="222"/>
      <c r="AB1119" t="e">
        <v>#N/A</v>
      </c>
    </row>
    <row r="1120">
      <c r="F1120" s="457"/>
      <c r="Q1120" s="222"/>
      <c r="R1120" s="222"/>
      <c r="AB1120" t="e">
        <v>#N/A</v>
      </c>
    </row>
    <row r="1121">
      <c r="F1121" s="457"/>
      <c r="Q1121" s="222"/>
      <c r="R1121" s="222"/>
      <c r="S1121" s="222"/>
      <c r="AB1121" t="e">
        <v>#N/A</v>
      </c>
    </row>
    <row r="1122">
      <c r="F1122" s="457"/>
      <c r="Q1122" s="222"/>
      <c r="R1122" s="222"/>
      <c r="S1122" s="222"/>
      <c r="AB1122" t="e">
        <v>#N/A</v>
      </c>
    </row>
    <row r="1123">
      <c r="F1123" s="457"/>
      <c r="Q1123" s="222"/>
      <c r="R1123" s="222"/>
      <c r="AB1123" t="e">
        <v>#N/A</v>
      </c>
    </row>
    <row r="1124">
      <c r="F1124" s="457"/>
      <c r="Q1124" s="222"/>
      <c r="R1124" s="222"/>
      <c r="AB1124" t="e">
        <v>#N/A</v>
      </c>
    </row>
    <row r="1125">
      <c r="F1125" s="457"/>
      <c r="Q1125" s="222"/>
      <c r="R1125" s="222"/>
      <c r="S1125" s="222"/>
      <c r="U1125" s="222"/>
      <c r="AB1125" t="e">
        <v>#N/A</v>
      </c>
    </row>
    <row r="1126">
      <c r="F1126" s="457"/>
      <c r="Q1126" s="222"/>
      <c r="R1126" s="222"/>
      <c r="S1126" s="222"/>
      <c r="U1126" s="222"/>
      <c r="AB1126" t="e">
        <v>#N/A</v>
      </c>
    </row>
    <row r="1127">
      <c r="F1127" s="457"/>
      <c r="Q1127" s="222"/>
      <c r="R1127" s="222"/>
      <c r="AB1127" t="e">
        <v>#N/A</v>
      </c>
    </row>
    <row r="1128">
      <c r="F1128" s="457"/>
      <c r="Q1128" s="222"/>
      <c r="R1128" s="222"/>
      <c r="S1128" s="222"/>
      <c r="U1128" s="222"/>
      <c r="AB1128" t="e">
        <v>#N/A</v>
      </c>
    </row>
    <row r="1129">
      <c r="F1129" s="457"/>
      <c r="Q1129" s="222"/>
      <c r="R1129" s="222"/>
      <c r="S1129" s="222"/>
      <c r="U1129" s="222"/>
      <c r="AB1129" t="e">
        <v>#N/A</v>
      </c>
    </row>
    <row r="1130">
      <c r="F1130" s="457"/>
      <c r="Q1130" s="222"/>
      <c r="R1130" s="222"/>
      <c r="S1130" s="222"/>
      <c r="U1130" s="222"/>
      <c r="AB1130" t="e">
        <v>#N/A</v>
      </c>
    </row>
    <row r="1131">
      <c r="F1131" s="457"/>
      <c r="Q1131" s="222"/>
      <c r="R1131" s="222"/>
      <c r="S1131" s="222"/>
      <c r="U1131" s="222"/>
      <c r="AB1131" t="e">
        <v>#N/A</v>
      </c>
    </row>
    <row r="1132">
      <c r="F1132" s="457"/>
      <c r="Q1132" s="222"/>
      <c r="R1132" s="222"/>
      <c r="S1132" s="222"/>
      <c r="U1132" s="222"/>
      <c r="AB1132" t="e">
        <v>#N/A</v>
      </c>
    </row>
    <row r="1133">
      <c r="F1133" s="457"/>
      <c r="Q1133" s="222"/>
      <c r="R1133" s="222"/>
      <c r="S1133" s="222"/>
      <c r="U1133" s="222"/>
      <c r="AB1133" t="e">
        <v>#N/A</v>
      </c>
    </row>
    <row r="1134">
      <c r="F1134" s="457"/>
      <c r="Q1134" s="222"/>
      <c r="R1134" s="222"/>
      <c r="S1134" s="222"/>
      <c r="U1134" s="222"/>
      <c r="AB1134" t="e">
        <v>#N/A</v>
      </c>
    </row>
    <row r="1135">
      <c r="F1135" s="457"/>
      <c r="Q1135" s="222"/>
      <c r="R1135" s="222"/>
      <c r="AB1135" t="e">
        <v>#N/A</v>
      </c>
    </row>
    <row r="1136">
      <c r="F1136" s="457"/>
      <c r="Q1136" s="222"/>
      <c r="R1136" s="222"/>
      <c r="S1136" s="222"/>
      <c r="AB1136" t="e">
        <v>#N/A</v>
      </c>
    </row>
    <row r="1137">
      <c r="F1137" s="457"/>
      <c r="Q1137" s="222"/>
      <c r="R1137" s="222"/>
      <c r="AB1137" t="e">
        <v>#N/A</v>
      </c>
    </row>
    <row r="1138">
      <c r="F1138" s="457"/>
      <c r="Q1138" s="222"/>
      <c r="R1138" s="222"/>
      <c r="S1138" s="222"/>
      <c r="U1138" s="222"/>
      <c r="AB1138" t="e">
        <v>#N/A</v>
      </c>
    </row>
    <row r="1139">
      <c r="F1139" s="457"/>
      <c r="Q1139" s="222"/>
      <c r="R1139" s="222"/>
      <c r="S1139" s="222"/>
      <c r="U1139" s="222"/>
      <c r="AB1139" t="e">
        <v>#N/A</v>
      </c>
    </row>
    <row r="1140">
      <c r="F1140" s="457"/>
      <c r="Q1140" s="222"/>
      <c r="R1140" s="222"/>
      <c r="S1140" s="222"/>
      <c r="U1140" s="222"/>
      <c r="AB1140" t="e">
        <v>#N/A</v>
      </c>
    </row>
    <row r="1141">
      <c r="F1141" s="457"/>
      <c r="Q1141" s="222"/>
      <c r="R1141" s="222"/>
      <c r="S1141" s="222"/>
      <c r="U1141" s="222"/>
      <c r="AB1141" t="e">
        <v>#N/A</v>
      </c>
    </row>
    <row r="1142">
      <c r="F1142" s="457"/>
      <c r="Q1142" s="222"/>
      <c r="R1142" s="222"/>
      <c r="S1142" s="222"/>
      <c r="U1142" s="222"/>
      <c r="AB1142" t="e">
        <v>#N/A</v>
      </c>
    </row>
    <row r="1143">
      <c r="F1143" s="457"/>
      <c r="Q1143" s="222"/>
      <c r="R1143" s="222"/>
      <c r="S1143" s="222"/>
      <c r="U1143" s="222"/>
      <c r="AB1143" t="e">
        <v>#N/A</v>
      </c>
    </row>
    <row r="1144">
      <c r="F1144" s="457"/>
      <c r="Q1144" s="222"/>
      <c r="R1144" s="222"/>
      <c r="S1144" s="222"/>
      <c r="U1144" s="222"/>
      <c r="AB1144" t="e">
        <v>#N/A</v>
      </c>
    </row>
    <row r="1145">
      <c r="F1145" s="457"/>
      <c r="Q1145" s="222"/>
      <c r="R1145" s="222"/>
      <c r="S1145" s="222"/>
      <c r="U1145" s="222"/>
      <c r="AB1145" t="e">
        <v>#N/A</v>
      </c>
    </row>
    <row r="1146">
      <c r="F1146" s="457"/>
      <c r="Q1146" s="222"/>
      <c r="R1146" s="222"/>
      <c r="S1146" s="222"/>
      <c r="U1146" s="222"/>
      <c r="AB1146" t="e">
        <v>#N/A</v>
      </c>
    </row>
    <row r="1147">
      <c r="F1147" s="457"/>
      <c r="Q1147" s="222"/>
      <c r="R1147" s="222"/>
      <c r="AB1147" t="e">
        <v>#N/A</v>
      </c>
    </row>
    <row r="1148">
      <c r="F1148" s="457"/>
      <c r="Q1148" s="222"/>
      <c r="R1148" s="222"/>
      <c r="S1148" s="222"/>
      <c r="U1148" s="222"/>
      <c r="AB1148" t="e">
        <v>#N/A</v>
      </c>
    </row>
    <row r="1149">
      <c r="F1149" s="457"/>
      <c r="Q1149" s="222"/>
      <c r="R1149" s="222"/>
      <c r="AB1149" t="e">
        <v>#N/A</v>
      </c>
    </row>
    <row r="1150">
      <c r="F1150" s="457"/>
      <c r="Q1150" s="222"/>
      <c r="R1150" s="222"/>
      <c r="S1150" s="222"/>
      <c r="U1150" s="222"/>
      <c r="AB1150" t="e">
        <v>#N/A</v>
      </c>
    </row>
    <row r="1151">
      <c r="F1151" s="457"/>
      <c r="Q1151" s="222"/>
      <c r="R1151" s="222"/>
      <c r="S1151" s="222"/>
      <c r="U1151" s="222"/>
      <c r="AB1151" t="e">
        <v>#N/A</v>
      </c>
    </row>
    <row r="1152">
      <c r="F1152" s="457"/>
      <c r="Q1152" s="222"/>
      <c r="R1152" s="222"/>
      <c r="S1152" s="222"/>
      <c r="U1152" s="222"/>
      <c r="AB1152" t="e">
        <v>#N/A</v>
      </c>
    </row>
    <row r="1153">
      <c r="F1153" s="457"/>
      <c r="Q1153" s="222"/>
      <c r="R1153" s="222"/>
      <c r="S1153" s="222"/>
      <c r="U1153" s="222"/>
      <c r="AB1153" t="e">
        <v>#N/A</v>
      </c>
    </row>
    <row r="1154">
      <c r="F1154" s="457"/>
      <c r="Q1154" s="222"/>
      <c r="R1154" s="222"/>
      <c r="S1154" s="222"/>
      <c r="U1154" s="222"/>
      <c r="AB1154" t="e">
        <v>#N/A</v>
      </c>
    </row>
    <row r="1155">
      <c r="F1155" s="457"/>
      <c r="Q1155" s="222"/>
      <c r="R1155" s="222"/>
      <c r="S1155" s="222"/>
      <c r="U1155" s="222"/>
      <c r="AB1155" t="e">
        <v>#N/A</v>
      </c>
    </row>
    <row r="1156">
      <c r="F1156" s="457"/>
      <c r="Q1156" s="222"/>
      <c r="R1156" s="222"/>
      <c r="AB1156" t="e">
        <v>#N/A</v>
      </c>
    </row>
    <row r="1157">
      <c r="F1157" s="457"/>
      <c r="Q1157" s="222"/>
      <c r="R1157" s="222"/>
      <c r="S1157" s="222"/>
      <c r="U1157" s="222"/>
      <c r="AB1157" t="e">
        <v>#N/A</v>
      </c>
    </row>
    <row r="1158">
      <c r="F1158" s="457"/>
      <c r="Q1158" s="222"/>
      <c r="R1158" s="222"/>
      <c r="AB1158" t="e">
        <v>#N/A</v>
      </c>
    </row>
    <row r="1159">
      <c r="F1159" s="457"/>
      <c r="Q1159" s="222"/>
      <c r="R1159" s="222"/>
      <c r="S1159" s="222"/>
      <c r="U1159" s="222"/>
      <c r="AB1159" t="e">
        <v>#N/A</v>
      </c>
    </row>
    <row r="1160">
      <c r="F1160" s="457"/>
      <c r="Q1160" s="222"/>
      <c r="R1160" s="222"/>
      <c r="AB1160" t="e">
        <v>#N/A</v>
      </c>
    </row>
    <row r="1161">
      <c r="F1161" s="457"/>
      <c r="Q1161" s="222"/>
      <c r="R1161" s="222"/>
      <c r="AB1161" t="e">
        <v>#N/A</v>
      </c>
    </row>
    <row r="1162">
      <c r="F1162" s="457"/>
      <c r="Q1162" s="222"/>
      <c r="R1162" s="222"/>
      <c r="S1162" s="222"/>
      <c r="U1162" s="222"/>
      <c r="AB1162" t="e">
        <v>#N/A</v>
      </c>
    </row>
    <row r="1163">
      <c r="F1163" s="457"/>
      <c r="Q1163" s="222"/>
      <c r="R1163" s="222"/>
      <c r="AB1163" t="e">
        <v>#N/A</v>
      </c>
    </row>
    <row r="1164">
      <c r="F1164" s="457"/>
      <c r="Q1164" s="222"/>
      <c r="R1164" s="222"/>
      <c r="S1164" s="222"/>
      <c r="AB1164" t="e">
        <v>#N/A</v>
      </c>
    </row>
    <row r="1165">
      <c r="F1165" s="457"/>
      <c r="Q1165" s="222"/>
      <c r="R1165" s="222"/>
      <c r="S1165" s="222"/>
      <c r="U1165" s="222"/>
      <c r="AB1165" t="e">
        <v>#N/A</v>
      </c>
    </row>
    <row r="1166">
      <c r="F1166" s="457"/>
      <c r="Q1166" s="222"/>
      <c r="R1166" s="222"/>
      <c r="S1166" s="222"/>
      <c r="U1166" s="222"/>
      <c r="AB1166" t="e">
        <v>#N/A</v>
      </c>
    </row>
    <row r="1167">
      <c r="F1167" s="457"/>
      <c r="Q1167" s="222"/>
      <c r="R1167" s="222"/>
      <c r="S1167" s="222"/>
      <c r="U1167" s="222"/>
      <c r="AB1167" t="e">
        <v>#N/A</v>
      </c>
    </row>
    <row r="1168">
      <c r="F1168" s="457"/>
      <c r="Q1168" s="222"/>
      <c r="R1168" s="222"/>
      <c r="S1168" s="222"/>
      <c r="U1168" s="222"/>
      <c r="AB1168" t="e">
        <v>#N/A</v>
      </c>
    </row>
    <row r="1169">
      <c r="F1169" s="457"/>
      <c r="Q1169" s="222"/>
      <c r="R1169" s="222"/>
      <c r="S1169" s="222"/>
      <c r="U1169" s="222"/>
      <c r="AB1169" t="e">
        <v>#N/A</v>
      </c>
    </row>
    <row r="1170">
      <c r="F1170" s="457"/>
      <c r="Q1170" s="222"/>
      <c r="R1170" s="222"/>
      <c r="S1170" s="222"/>
      <c r="U1170" s="222"/>
      <c r="AB1170" t="e">
        <v>#N/A</v>
      </c>
    </row>
    <row r="1171">
      <c r="F1171" s="457"/>
      <c r="Q1171" s="222"/>
      <c r="R1171" s="222"/>
      <c r="S1171" s="222"/>
      <c r="U1171" s="222"/>
      <c r="AB1171" t="e">
        <v>#N/A</v>
      </c>
    </row>
    <row r="1172">
      <c r="F1172" s="457"/>
      <c r="Q1172" s="222"/>
      <c r="R1172" s="222"/>
      <c r="S1172" s="222"/>
      <c r="U1172" s="222"/>
      <c r="AB1172" t="e">
        <v>#N/A</v>
      </c>
    </row>
    <row r="1173">
      <c r="F1173" s="457"/>
      <c r="Q1173" s="222"/>
      <c r="R1173" s="222"/>
      <c r="AB1173" t="e">
        <v>#N/A</v>
      </c>
    </row>
    <row r="1174">
      <c r="F1174" s="457"/>
      <c r="Q1174" s="222"/>
      <c r="R1174" s="222"/>
      <c r="S1174" s="222"/>
      <c r="U1174" s="222"/>
      <c r="AB1174" t="e">
        <v>#N/A</v>
      </c>
    </row>
    <row r="1175">
      <c r="F1175" s="457"/>
      <c r="Q1175" s="222"/>
      <c r="R1175" s="222"/>
      <c r="S1175" s="222"/>
      <c r="U1175" s="222"/>
      <c r="AB1175" t="e">
        <v>#N/A</v>
      </c>
    </row>
    <row r="1176">
      <c r="F1176" s="457"/>
      <c r="Q1176" s="222"/>
      <c r="R1176" s="222"/>
      <c r="S1176" s="222"/>
      <c r="U1176" s="222"/>
      <c r="AB1176" t="e">
        <v>#N/A</v>
      </c>
    </row>
    <row r="1177">
      <c r="F1177" s="457"/>
      <c r="Q1177" s="222"/>
      <c r="R1177" s="222"/>
      <c r="S1177" s="222"/>
      <c r="U1177" s="222"/>
      <c r="AB1177" t="e">
        <v>#N/A</v>
      </c>
    </row>
    <row r="1178">
      <c r="F1178" s="457"/>
      <c r="Q1178" s="222"/>
      <c r="R1178" s="222"/>
      <c r="S1178" s="222"/>
      <c r="U1178" s="222"/>
      <c r="AB1178" t="e">
        <v>#N/A</v>
      </c>
    </row>
    <row r="1179">
      <c r="F1179" s="457"/>
      <c r="Q1179" s="222"/>
      <c r="R1179" s="222"/>
      <c r="S1179" s="222"/>
      <c r="U1179" s="222"/>
      <c r="AB1179" t="e">
        <v>#N/A</v>
      </c>
    </row>
    <row r="1180">
      <c r="F1180" s="457"/>
      <c r="Q1180" s="222"/>
      <c r="R1180" s="222"/>
      <c r="S1180" s="222"/>
      <c r="U1180" s="222"/>
      <c r="AB1180" t="e">
        <v>#N/A</v>
      </c>
    </row>
    <row r="1181">
      <c r="F1181" s="457"/>
      <c r="Q1181" s="222"/>
      <c r="R1181" s="222"/>
      <c r="S1181" s="222"/>
      <c r="U1181" s="222"/>
      <c r="AB1181" t="e">
        <v>#N/A</v>
      </c>
    </row>
    <row r="1182">
      <c r="F1182" s="457"/>
      <c r="Q1182" s="222"/>
      <c r="R1182" s="222"/>
      <c r="S1182" s="222"/>
      <c r="U1182" s="222"/>
      <c r="AB1182" t="e">
        <v>#N/A</v>
      </c>
    </row>
    <row r="1183">
      <c r="F1183" s="457"/>
      <c r="Q1183" s="222"/>
      <c r="R1183" s="222"/>
      <c r="S1183" s="222"/>
      <c r="U1183" s="222"/>
      <c r="AB1183" t="e">
        <v>#N/A</v>
      </c>
    </row>
    <row r="1184">
      <c r="F1184" s="457"/>
      <c r="Q1184" s="222"/>
      <c r="R1184" s="222"/>
      <c r="S1184" s="222"/>
      <c r="U1184" s="222"/>
      <c r="AB1184" t="e">
        <v>#N/A</v>
      </c>
    </row>
    <row r="1185">
      <c r="F1185" s="457"/>
      <c r="Q1185" s="222"/>
      <c r="R1185" s="222"/>
      <c r="S1185" s="222"/>
      <c r="U1185" s="222"/>
      <c r="AB1185" t="e">
        <v>#N/A</v>
      </c>
    </row>
    <row r="1186">
      <c r="F1186" s="457"/>
      <c r="Q1186" s="222"/>
      <c r="R1186" s="222"/>
      <c r="AB1186" t="e">
        <v>#N/A</v>
      </c>
    </row>
    <row r="1187">
      <c r="F1187" s="457"/>
      <c r="Q1187" s="222"/>
      <c r="R1187" s="222"/>
      <c r="S1187" s="222"/>
      <c r="U1187" s="222"/>
      <c r="AB1187" t="e">
        <v>#N/A</v>
      </c>
    </row>
    <row r="1188">
      <c r="F1188" s="457"/>
      <c r="Q1188" s="222"/>
      <c r="R1188" s="222"/>
      <c r="S1188" s="222"/>
      <c r="U1188" s="222"/>
      <c r="AB1188" t="e">
        <v>#N/A</v>
      </c>
    </row>
    <row r="1189">
      <c r="F1189" s="457"/>
      <c r="Q1189" s="222"/>
      <c r="R1189" s="222"/>
      <c r="S1189" s="222"/>
      <c r="U1189" s="222"/>
      <c r="AB1189" t="e">
        <v>#N/A</v>
      </c>
    </row>
    <row r="1190">
      <c r="F1190" s="457"/>
      <c r="Q1190" s="222"/>
      <c r="R1190" s="222"/>
      <c r="S1190" s="222"/>
      <c r="U1190" s="222"/>
      <c r="AB1190" t="e">
        <v>#N/A</v>
      </c>
    </row>
    <row r="1191">
      <c r="F1191" s="457"/>
      <c r="Q1191" s="222"/>
      <c r="R1191" s="222"/>
      <c r="S1191" s="222"/>
      <c r="U1191" s="222"/>
      <c r="AB1191" t="e">
        <v>#N/A</v>
      </c>
    </row>
    <row r="1192">
      <c r="F1192" s="457"/>
      <c r="Q1192" s="222"/>
      <c r="R1192" s="222"/>
      <c r="S1192" s="222"/>
      <c r="U1192" s="222"/>
      <c r="AB1192" t="e">
        <v>#N/A</v>
      </c>
    </row>
    <row r="1193">
      <c r="F1193" s="457"/>
      <c r="Q1193" s="222"/>
      <c r="R1193" s="222"/>
      <c r="S1193" s="222"/>
      <c r="U1193" s="222"/>
      <c r="AB1193" t="e">
        <v>#N/A</v>
      </c>
    </row>
    <row r="1194">
      <c r="F1194" s="457"/>
      <c r="Q1194" s="222"/>
      <c r="R1194" s="222"/>
      <c r="S1194" s="222"/>
      <c r="U1194" s="222"/>
      <c r="AB1194" t="e">
        <v>#N/A</v>
      </c>
    </row>
    <row r="1195">
      <c r="F1195" s="457"/>
      <c r="Q1195" s="222"/>
      <c r="R1195" s="222"/>
      <c r="AB1195" t="e">
        <v>#N/A</v>
      </c>
    </row>
    <row r="1196">
      <c r="F1196" s="457"/>
      <c r="Q1196" s="222"/>
      <c r="R1196" s="222"/>
      <c r="S1196" s="222"/>
      <c r="U1196" s="222"/>
      <c r="AB1196" t="e">
        <v>#N/A</v>
      </c>
    </row>
    <row r="1197">
      <c r="F1197" s="457"/>
      <c r="Q1197" s="222"/>
      <c r="R1197" s="222"/>
      <c r="S1197" s="222"/>
      <c r="U1197" s="222"/>
      <c r="AB1197" t="e">
        <v>#N/A</v>
      </c>
    </row>
    <row r="1198">
      <c r="F1198" s="457"/>
      <c r="Q1198" s="222"/>
      <c r="R1198" s="222"/>
      <c r="S1198" s="222"/>
      <c r="U1198" s="222"/>
      <c r="AB1198" t="e">
        <v>#N/A</v>
      </c>
    </row>
    <row r="1199">
      <c r="F1199" s="457"/>
      <c r="Q1199" s="222"/>
      <c r="R1199" s="222"/>
      <c r="S1199" s="222"/>
      <c r="U1199" s="222"/>
      <c r="AB1199" t="e">
        <v>#N/A</v>
      </c>
    </row>
    <row r="1200">
      <c r="F1200" s="457"/>
      <c r="Q1200" s="222"/>
      <c r="R1200" s="222"/>
      <c r="S1200" s="222"/>
      <c r="U1200" s="222"/>
      <c r="AB1200" t="e">
        <v>#N/A</v>
      </c>
    </row>
    <row r="1201">
      <c r="F1201" s="457"/>
      <c r="Q1201" s="222"/>
      <c r="R1201" s="222"/>
      <c r="S1201" s="222"/>
      <c r="U1201" s="222"/>
      <c r="AB1201" t="e">
        <v>#N/A</v>
      </c>
    </row>
    <row r="1202">
      <c r="F1202" s="457"/>
      <c r="Q1202" s="222"/>
      <c r="R1202" s="222"/>
      <c r="S1202" s="222"/>
      <c r="U1202" s="222"/>
      <c r="AB1202" t="e">
        <v>#N/A</v>
      </c>
    </row>
    <row r="1203">
      <c r="F1203" s="457"/>
      <c r="Q1203" s="222"/>
      <c r="R1203" s="222"/>
      <c r="S1203" s="222"/>
      <c r="U1203" s="222"/>
      <c r="AB1203" t="e">
        <v>#N/A</v>
      </c>
    </row>
    <row r="1204">
      <c r="F1204" s="457"/>
      <c r="Q1204" s="222"/>
      <c r="R1204" s="222"/>
      <c r="S1204" s="222"/>
      <c r="U1204" s="222"/>
      <c r="AB1204" t="e">
        <v>#N/A</v>
      </c>
    </row>
    <row r="1205">
      <c r="F1205" s="457"/>
      <c r="Q1205" s="222"/>
      <c r="R1205" s="222"/>
      <c r="S1205" s="222"/>
      <c r="U1205" s="222"/>
      <c r="AB1205" t="e">
        <v>#N/A</v>
      </c>
    </row>
    <row r="1206">
      <c r="F1206" s="457"/>
      <c r="Q1206" s="222"/>
      <c r="R1206" s="222"/>
      <c r="S1206" s="222"/>
      <c r="U1206" s="222"/>
      <c r="AB1206" t="e">
        <v>#N/A</v>
      </c>
    </row>
    <row r="1207">
      <c r="F1207" s="457"/>
      <c r="Q1207" s="222"/>
      <c r="R1207" s="222"/>
      <c r="S1207" s="222"/>
      <c r="U1207" s="222"/>
      <c r="AB1207" t="e">
        <v>#N/A</v>
      </c>
    </row>
    <row r="1208">
      <c r="F1208" s="457"/>
      <c r="Q1208" s="222"/>
      <c r="R1208" s="222"/>
      <c r="S1208" s="222"/>
      <c r="U1208" s="222"/>
      <c r="AB1208" t="e">
        <v>#N/A</v>
      </c>
    </row>
    <row r="1209">
      <c r="F1209" s="457"/>
      <c r="Q1209" s="222"/>
      <c r="R1209" s="222"/>
      <c r="S1209" s="222"/>
      <c r="U1209" s="222"/>
      <c r="AB1209" t="e">
        <v>#N/A</v>
      </c>
    </row>
    <row r="1210">
      <c r="F1210" s="457"/>
      <c r="Q1210" s="222"/>
      <c r="R1210" s="222"/>
      <c r="S1210" s="222"/>
      <c r="U1210" s="222"/>
      <c r="AB1210" t="e">
        <v>#N/A</v>
      </c>
    </row>
    <row r="1211">
      <c r="F1211" s="457"/>
      <c r="Q1211" s="222"/>
      <c r="R1211" s="222"/>
      <c r="AB1211" t="e">
        <v>#N/A</v>
      </c>
    </row>
    <row r="1212">
      <c r="F1212" s="457"/>
      <c r="Q1212" s="222"/>
      <c r="R1212" s="222"/>
      <c r="S1212" s="222"/>
      <c r="AB1212" t="e">
        <v>#N/A</v>
      </c>
    </row>
    <row r="1213">
      <c r="F1213" s="457"/>
      <c r="Q1213" s="222"/>
      <c r="R1213" s="222"/>
      <c r="S1213" s="222"/>
      <c r="U1213" s="222"/>
      <c r="AB1213" t="e">
        <v>#N/A</v>
      </c>
    </row>
    <row r="1214">
      <c r="F1214" s="457"/>
      <c r="Q1214" s="222"/>
      <c r="R1214" s="222"/>
      <c r="AB1214" t="e">
        <v>#N/A</v>
      </c>
    </row>
    <row r="1215">
      <c r="F1215" s="457"/>
      <c r="Q1215" s="222"/>
      <c r="R1215" s="222"/>
      <c r="S1215" s="222"/>
      <c r="U1215" s="222"/>
      <c r="AB1215" t="e">
        <v>#N/A</v>
      </c>
    </row>
    <row r="1216">
      <c r="F1216" s="457"/>
      <c r="Q1216" s="222"/>
      <c r="R1216" s="222"/>
      <c r="AB1216" t="e">
        <v>#N/A</v>
      </c>
    </row>
    <row r="1217">
      <c r="F1217" s="457"/>
      <c r="Q1217" s="222"/>
      <c r="R1217" s="222"/>
      <c r="S1217" s="222"/>
      <c r="U1217" s="222"/>
      <c r="AB1217" t="e">
        <v>#N/A</v>
      </c>
    </row>
    <row r="1218">
      <c r="F1218" s="457"/>
      <c r="Q1218" s="222"/>
      <c r="R1218" s="222"/>
      <c r="S1218" s="222"/>
      <c r="U1218" s="222"/>
      <c r="AB1218" t="e">
        <v>#N/A</v>
      </c>
    </row>
    <row r="1219">
      <c r="F1219" s="457"/>
      <c r="Q1219" s="222"/>
      <c r="R1219" s="222"/>
      <c r="AB1219" t="e">
        <v>#N/A</v>
      </c>
    </row>
    <row r="1220">
      <c r="F1220" s="457"/>
      <c r="Q1220" s="222"/>
      <c r="R1220" s="222"/>
      <c r="S1220" s="222"/>
      <c r="U1220" s="222"/>
      <c r="AB1220" t="e">
        <v>#N/A</v>
      </c>
    </row>
    <row r="1221">
      <c r="F1221" s="457"/>
      <c r="Q1221" s="222"/>
      <c r="R1221" s="222"/>
      <c r="S1221" s="222"/>
      <c r="U1221" s="222"/>
      <c r="AB1221" t="e">
        <v>#N/A</v>
      </c>
    </row>
    <row r="1222">
      <c r="F1222" s="457"/>
      <c r="Q1222" s="222"/>
      <c r="R1222" s="222"/>
      <c r="S1222" s="222"/>
      <c r="U1222" s="222"/>
      <c r="AB1222" t="e">
        <v>#N/A</v>
      </c>
    </row>
    <row r="1223">
      <c r="F1223" s="457"/>
      <c r="Q1223" s="222"/>
      <c r="R1223" s="222"/>
      <c r="S1223" s="222"/>
      <c r="U1223" s="222"/>
      <c r="AB1223" t="e">
        <v>#N/A</v>
      </c>
    </row>
    <row r="1224">
      <c r="F1224" s="457"/>
      <c r="Q1224" s="222"/>
      <c r="R1224" s="222"/>
      <c r="S1224" s="222"/>
      <c r="U1224" s="222"/>
      <c r="AB1224" t="e">
        <v>#N/A</v>
      </c>
    </row>
    <row r="1225">
      <c r="F1225" s="457"/>
      <c r="Q1225" s="222"/>
      <c r="R1225" s="222"/>
      <c r="AB1225" t="e">
        <v>#N/A</v>
      </c>
    </row>
    <row r="1226">
      <c r="F1226" s="457"/>
      <c r="Q1226" s="222"/>
      <c r="R1226" s="222"/>
      <c r="S1226" s="222"/>
      <c r="AB1226" t="e">
        <v>#N/A</v>
      </c>
    </row>
    <row r="1227">
      <c r="F1227" s="457"/>
      <c r="Q1227" s="222"/>
      <c r="R1227" s="222"/>
      <c r="AB1227" t="e">
        <v>#N/A</v>
      </c>
    </row>
    <row r="1228">
      <c r="F1228" s="457"/>
      <c r="Q1228" s="222"/>
      <c r="R1228" s="222"/>
      <c r="AB1228" t="e">
        <v>#N/A</v>
      </c>
    </row>
    <row r="1229">
      <c r="F1229" s="457"/>
      <c r="Q1229" s="222"/>
      <c r="R1229" s="222"/>
      <c r="AB1229" t="e">
        <v>#N/A</v>
      </c>
    </row>
    <row r="1230">
      <c r="F1230" s="457"/>
      <c r="Q1230" s="222"/>
      <c r="R1230" s="222"/>
      <c r="AB1230" t="e">
        <v>#N/A</v>
      </c>
    </row>
    <row r="1231">
      <c r="F1231" s="457"/>
      <c r="Q1231" s="222"/>
      <c r="R1231" s="222"/>
      <c r="S1231" s="222"/>
      <c r="U1231" s="222"/>
      <c r="AB1231" t="e">
        <v>#N/A</v>
      </c>
    </row>
    <row r="1232">
      <c r="F1232" s="457"/>
      <c r="Q1232" s="222"/>
      <c r="R1232" s="222"/>
      <c r="S1232" s="222"/>
      <c r="U1232" s="222"/>
      <c r="AB1232" t="e">
        <v>#N/A</v>
      </c>
    </row>
    <row r="1233">
      <c r="F1233" s="457"/>
      <c r="Q1233" s="222"/>
      <c r="R1233" s="222"/>
      <c r="AB1233" t="e">
        <v>#N/A</v>
      </c>
    </row>
    <row r="1234">
      <c r="F1234" s="457"/>
      <c r="Q1234" s="222"/>
      <c r="R1234" s="222"/>
      <c r="S1234" s="222"/>
      <c r="U1234" s="222"/>
      <c r="AB1234" t="e">
        <v>#N/A</v>
      </c>
    </row>
    <row r="1235">
      <c r="F1235" s="457"/>
      <c r="Q1235" s="222"/>
      <c r="R1235" s="222"/>
      <c r="AB1235" t="e">
        <v>#N/A</v>
      </c>
    </row>
    <row r="1236">
      <c r="F1236" s="456"/>
      <c r="Q1236" s="222"/>
      <c r="R1236" s="222"/>
      <c r="S1236" s="222"/>
      <c r="U1236" s="222"/>
      <c r="AB1236" t="e">
        <v>#N/A</v>
      </c>
    </row>
    <row r="1237">
      <c r="F1237" s="456"/>
      <c r="Q1237" s="222"/>
      <c r="R1237" s="222"/>
      <c r="S1237" s="222"/>
      <c r="U1237" s="222"/>
      <c r="AB1237" t="e">
        <v>#N/A</v>
      </c>
    </row>
    <row r="1238">
      <c r="F1238" s="456"/>
      <c r="Q1238" s="222"/>
      <c r="R1238" s="222"/>
      <c r="AB1238" t="e">
        <v>#N/A</v>
      </c>
    </row>
    <row r="1239">
      <c r="F1239" s="456"/>
      <c r="Q1239" s="222"/>
      <c r="R1239" s="222"/>
      <c r="AB1239" t="e">
        <v>#N/A</v>
      </c>
    </row>
    <row r="1240">
      <c r="F1240" s="456"/>
      <c r="Q1240" s="222"/>
      <c r="R1240" s="222"/>
      <c r="S1240" s="222"/>
      <c r="U1240" s="222"/>
      <c r="AB1240" t="e">
        <v>#N/A</v>
      </c>
    </row>
    <row r="1241">
      <c r="F1241" s="456"/>
      <c r="Q1241" s="222"/>
      <c r="R1241" s="222"/>
      <c r="S1241" s="222"/>
      <c r="AB1241" t="e">
        <v>#N/A</v>
      </c>
    </row>
    <row r="1242">
      <c r="F1242" s="456"/>
      <c r="Q1242" s="222"/>
      <c r="R1242" s="222"/>
      <c r="S1242" s="222"/>
      <c r="U1242" s="222"/>
      <c r="AB1242" t="e">
        <v>#N/A</v>
      </c>
    </row>
    <row r="1243">
      <c r="F1243" s="456"/>
      <c r="Q1243" s="222"/>
      <c r="R1243" s="222"/>
      <c r="S1243" s="222"/>
      <c r="U1243" s="222"/>
      <c r="AB1243" t="e">
        <v>#N/A</v>
      </c>
    </row>
    <row r="1244">
      <c r="F1244" s="456"/>
      <c r="Q1244" s="222"/>
      <c r="R1244" s="222"/>
      <c r="S1244" s="222"/>
      <c r="AB1244" t="e">
        <v>#N/A</v>
      </c>
    </row>
    <row r="1245">
      <c r="F1245" s="456"/>
      <c r="Q1245" s="222"/>
      <c r="R1245" s="222"/>
      <c r="AB1245" t="e">
        <v>#N/A</v>
      </c>
    </row>
    <row r="1246">
      <c r="F1246" s="456"/>
      <c r="Q1246" s="222"/>
      <c r="R1246" s="222"/>
      <c r="AB1246" t="e">
        <v>#N/A</v>
      </c>
    </row>
    <row r="1247">
      <c r="F1247" s="456"/>
      <c r="Q1247" s="222"/>
      <c r="R1247" s="222"/>
      <c r="S1247" s="222"/>
      <c r="U1247" s="222"/>
      <c r="AB1247" t="e">
        <v>#N/A</v>
      </c>
    </row>
    <row r="1248">
      <c r="F1248" s="456"/>
      <c r="Q1248" s="222"/>
      <c r="R1248" s="222"/>
      <c r="S1248" s="222"/>
      <c r="U1248" s="222"/>
      <c r="AB1248" t="e">
        <v>#N/A</v>
      </c>
    </row>
    <row r="1249">
      <c r="F1249" s="456"/>
      <c r="Q1249" s="222"/>
      <c r="R1249" s="222"/>
      <c r="AB1249" t="e">
        <v>#N/A</v>
      </c>
    </row>
    <row r="1250">
      <c r="F1250" s="456"/>
      <c r="Q1250" s="222"/>
      <c r="R1250" s="222"/>
      <c r="AB1250" t="e">
        <v>#N/A</v>
      </c>
    </row>
    <row r="1251">
      <c r="F1251" s="456"/>
      <c r="Q1251" s="222"/>
      <c r="R1251" s="222"/>
      <c r="AB1251" t="e">
        <v>#N/A</v>
      </c>
    </row>
    <row r="1252">
      <c r="F1252" s="456"/>
      <c r="Q1252" s="222"/>
      <c r="R1252" s="222"/>
      <c r="S1252" s="222"/>
      <c r="U1252" s="222"/>
      <c r="AB1252" t="e">
        <v>#N/A</v>
      </c>
    </row>
    <row r="1253">
      <c r="F1253" s="456"/>
      <c r="Q1253" s="222"/>
      <c r="R1253" s="222"/>
      <c r="AB1253" t="e">
        <v>#N/A</v>
      </c>
    </row>
    <row r="1254">
      <c r="F1254" s="456"/>
      <c r="Q1254" s="222"/>
      <c r="R1254" s="222"/>
      <c r="S1254" s="222"/>
      <c r="U1254" s="222"/>
      <c r="AB1254" t="e">
        <v>#N/A</v>
      </c>
    </row>
    <row r="1255">
      <c r="F1255" s="456"/>
      <c r="Q1255" s="222"/>
      <c r="R1255" s="222"/>
      <c r="S1255" s="222"/>
      <c r="U1255" s="222"/>
      <c r="AB1255" t="e">
        <v>#N/A</v>
      </c>
    </row>
    <row r="1256">
      <c r="F1256" s="456"/>
      <c r="Q1256" s="222"/>
      <c r="R1256" s="222"/>
      <c r="S1256" s="222"/>
      <c r="U1256" s="222"/>
      <c r="AB1256" t="e">
        <v>#N/A</v>
      </c>
    </row>
    <row r="1257">
      <c r="F1257" s="456"/>
      <c r="Q1257" s="222"/>
      <c r="R1257" s="222"/>
      <c r="S1257" s="222"/>
      <c r="AB1257" t="e">
        <v>#N/A</v>
      </c>
    </row>
    <row r="1258">
      <c r="F1258" s="456"/>
      <c r="Q1258" s="222"/>
      <c r="R1258" s="222"/>
      <c r="AB1258" t="e">
        <v>#N/A</v>
      </c>
    </row>
    <row r="1259">
      <c r="F1259" s="456"/>
      <c r="Q1259" s="222"/>
      <c r="R1259" s="222"/>
      <c r="AB1259" t="e">
        <v>#N/A</v>
      </c>
    </row>
    <row r="1260">
      <c r="F1260" s="456"/>
      <c r="Q1260" s="222"/>
      <c r="R1260" s="222"/>
      <c r="S1260" s="222"/>
      <c r="U1260" s="222"/>
      <c r="AB1260" t="e">
        <v>#N/A</v>
      </c>
    </row>
    <row r="1261">
      <c r="F1261" s="456"/>
      <c r="Q1261" s="222"/>
      <c r="R1261" s="222"/>
      <c r="S1261" s="222"/>
      <c r="U1261" s="222"/>
      <c r="AB1261" t="e">
        <v>#N/A</v>
      </c>
    </row>
    <row r="1262">
      <c r="F1262" s="456"/>
      <c r="Q1262" s="222"/>
      <c r="R1262" s="222"/>
      <c r="S1262" s="222"/>
      <c r="U1262" s="222"/>
      <c r="AB1262" t="e">
        <v>#N/A</v>
      </c>
    </row>
    <row r="1263">
      <c r="F1263" s="456"/>
      <c r="Q1263" s="222"/>
      <c r="R1263" s="222"/>
      <c r="S1263" s="222"/>
      <c r="U1263" s="222"/>
      <c r="AB1263" t="e">
        <v>#N/A</v>
      </c>
    </row>
    <row r="1264">
      <c r="F1264" s="456"/>
      <c r="Q1264" s="222"/>
      <c r="R1264" s="222"/>
      <c r="AB1264" t="e">
        <v>#N/A</v>
      </c>
    </row>
    <row r="1265">
      <c r="F1265" s="456"/>
      <c r="Q1265" s="222"/>
      <c r="R1265" s="222"/>
      <c r="AB1265" t="e">
        <v>#N/A</v>
      </c>
    </row>
    <row r="1266">
      <c r="F1266" s="456"/>
      <c r="Q1266" s="222"/>
      <c r="R1266" s="222"/>
      <c r="S1266" s="222"/>
      <c r="AB1266" t="e">
        <v>#N/A</v>
      </c>
    </row>
    <row r="1267">
      <c r="F1267" s="456"/>
      <c r="AB1267" t="e">
        <v>#N/A</v>
      </c>
    </row>
    <row r="1268">
      <c r="F1268" s="456"/>
      <c r="Q1268" s="222"/>
      <c r="R1268" s="222"/>
      <c r="S1268" s="222"/>
      <c r="AB1268" t="e">
        <v>#N/A</v>
      </c>
    </row>
    <row r="1269">
      <c r="F1269" s="456"/>
      <c r="Q1269" s="222"/>
      <c r="R1269" s="222"/>
      <c r="S1269" s="222"/>
      <c r="U1269" s="222"/>
      <c r="AB1269" t="e">
        <v>#N/A</v>
      </c>
    </row>
    <row r="1270">
      <c r="F1270" s="456"/>
      <c r="Q1270" s="222"/>
      <c r="R1270" s="222"/>
      <c r="S1270" s="222"/>
      <c r="AB1270" t="e">
        <v>#N/A</v>
      </c>
    </row>
    <row r="1271">
      <c r="F1271" s="456"/>
      <c r="Q1271" s="222"/>
      <c r="R1271" s="222"/>
      <c r="AB1271" t="e">
        <v>#N/A</v>
      </c>
    </row>
    <row r="1272">
      <c r="F1272" s="456"/>
      <c r="Q1272" s="222"/>
      <c r="R1272" s="222"/>
      <c r="AB1272" t="e">
        <v>#N/A</v>
      </c>
    </row>
    <row r="1273">
      <c r="F1273" s="456"/>
      <c r="Q1273" s="222"/>
      <c r="R1273" s="222"/>
      <c r="AB1273" t="e">
        <v>#N/A</v>
      </c>
    </row>
    <row r="1274">
      <c r="F1274" s="456"/>
      <c r="Q1274" s="222"/>
      <c r="R1274" s="222"/>
      <c r="S1274" s="222"/>
      <c r="AB1274" t="e">
        <v>#N/A</v>
      </c>
    </row>
    <row r="1275">
      <c r="F1275" s="456"/>
      <c r="Q1275" s="222"/>
      <c r="R1275" s="222"/>
      <c r="AB1275" t="e">
        <v>#N/A</v>
      </c>
    </row>
    <row r="1276">
      <c r="F1276" s="456"/>
      <c r="Q1276" s="222"/>
      <c r="R1276" s="222"/>
      <c r="AB1276" t="e">
        <v>#N/A</v>
      </c>
    </row>
    <row r="1277">
      <c r="F1277" s="456"/>
      <c r="Q1277" s="222"/>
      <c r="R1277" s="222"/>
      <c r="S1277" s="222"/>
      <c r="AB1277" t="e">
        <v>#N/A</v>
      </c>
    </row>
    <row r="1278">
      <c r="F1278" s="456"/>
      <c r="Q1278" s="222"/>
      <c r="R1278" s="222"/>
      <c r="S1278" s="222"/>
      <c r="U1278" s="222"/>
      <c r="AB1278" t="e">
        <v>#N/A</v>
      </c>
    </row>
    <row r="1279">
      <c r="F1279" s="456"/>
      <c r="Q1279" s="222"/>
      <c r="R1279" s="222"/>
      <c r="S1279" s="222"/>
      <c r="U1279" s="222"/>
      <c r="AB1279" t="e">
        <v>#N/A</v>
      </c>
    </row>
    <row r="1280">
      <c r="F1280" s="456"/>
      <c r="Q1280" s="222"/>
      <c r="R1280" s="222"/>
      <c r="S1280" s="222"/>
      <c r="U1280" s="222"/>
      <c r="AB1280" t="e">
        <v>#N/A</v>
      </c>
    </row>
    <row r="1281">
      <c r="F1281" s="456"/>
      <c r="Q1281" s="222"/>
      <c r="R1281" s="222"/>
      <c r="AB1281" t="e">
        <v>#N/A</v>
      </c>
    </row>
    <row r="1282">
      <c r="F1282" s="456"/>
      <c r="Q1282" s="222"/>
      <c r="R1282" s="222"/>
      <c r="AB1282" t="e">
        <v>#N/A</v>
      </c>
    </row>
    <row r="1283">
      <c r="F1283" s="456"/>
      <c r="Q1283" s="222"/>
      <c r="R1283" s="222"/>
      <c r="AB1283" t="e">
        <v>#N/A</v>
      </c>
    </row>
    <row r="1284">
      <c r="F1284" s="456"/>
      <c r="Q1284" s="222"/>
      <c r="R1284" s="222"/>
      <c r="AB1284" t="e">
        <v>#N/A</v>
      </c>
    </row>
    <row r="1285">
      <c r="F1285" s="456"/>
      <c r="Q1285" s="222"/>
      <c r="R1285" s="222"/>
      <c r="S1285" s="222"/>
      <c r="U1285" s="222"/>
      <c r="AB1285" t="e">
        <v>#N/A</v>
      </c>
    </row>
    <row r="1286">
      <c r="F1286" s="456"/>
      <c r="Q1286" s="222"/>
      <c r="R1286" s="222"/>
      <c r="S1286" s="222"/>
      <c r="U1286" s="222"/>
      <c r="AB1286" t="e">
        <v>#N/A</v>
      </c>
    </row>
    <row r="1287">
      <c r="F1287" s="456"/>
      <c r="Q1287" s="222"/>
      <c r="R1287" s="222"/>
      <c r="AB1287" t="e">
        <v>#N/A</v>
      </c>
    </row>
    <row r="1288">
      <c r="F1288" s="456"/>
      <c r="Q1288" s="222"/>
      <c r="R1288" s="222"/>
      <c r="S1288" s="222"/>
      <c r="U1288" s="222"/>
      <c r="AB1288" t="e">
        <v>#N/A</v>
      </c>
    </row>
    <row r="1289">
      <c r="F1289" s="456"/>
      <c r="Q1289" s="222"/>
      <c r="R1289" s="222"/>
      <c r="AB1289" t="e">
        <v>#N/A</v>
      </c>
    </row>
    <row r="1290">
      <c r="F1290" s="456"/>
      <c r="Q1290" s="222"/>
      <c r="R1290" s="222"/>
      <c r="S1290" s="222"/>
      <c r="U1290" s="222"/>
      <c r="AB1290" t="e">
        <v>#N/A</v>
      </c>
    </row>
    <row r="1291">
      <c r="F1291" s="456"/>
      <c r="Q1291" s="222"/>
      <c r="R1291" s="222"/>
      <c r="AB1291" t="e">
        <v>#N/A</v>
      </c>
    </row>
    <row r="1292">
      <c r="F1292" s="456"/>
      <c r="Q1292" s="222"/>
      <c r="R1292" s="222"/>
      <c r="AB1292" t="e">
        <v>#N/A</v>
      </c>
    </row>
    <row r="1293">
      <c r="F1293" s="456"/>
      <c r="Q1293" s="222"/>
      <c r="R1293" s="222"/>
      <c r="S1293" s="222"/>
      <c r="AB1293" t="e">
        <v>#N/A</v>
      </c>
    </row>
    <row r="1294">
      <c r="F1294" s="456"/>
      <c r="Q1294" s="222"/>
      <c r="R1294" s="222"/>
      <c r="S1294" s="222"/>
      <c r="U1294" s="222"/>
      <c r="AB1294" t="e">
        <v>#N/A</v>
      </c>
    </row>
    <row r="1295">
      <c r="F1295" s="456"/>
      <c r="Q1295" s="222"/>
      <c r="R1295" s="222"/>
      <c r="S1295" s="222"/>
      <c r="U1295" s="222"/>
      <c r="AB1295" t="e">
        <v>#N/A</v>
      </c>
    </row>
    <row r="1296">
      <c r="F1296" s="456"/>
      <c r="Q1296" s="222"/>
      <c r="R1296" s="222"/>
      <c r="S1296" s="222"/>
      <c r="AB1296" t="e">
        <v>#N/A</v>
      </c>
    </row>
    <row r="1297">
      <c r="F1297" s="456"/>
      <c r="Q1297" s="222"/>
      <c r="R1297" s="222"/>
      <c r="AB1297" t="e">
        <v>#N/A</v>
      </c>
    </row>
    <row r="1298">
      <c r="F1298" s="456"/>
      <c r="Q1298" s="222"/>
      <c r="R1298" s="222"/>
      <c r="AB1298" t="e">
        <v>#N/A</v>
      </c>
    </row>
    <row r="1299">
      <c r="F1299" s="456"/>
      <c r="Q1299" s="222"/>
      <c r="R1299" s="222"/>
      <c r="AB1299" t="e">
        <v>#N/A</v>
      </c>
    </row>
    <row r="1300">
      <c r="F1300" s="456"/>
      <c r="Q1300" s="222"/>
      <c r="R1300" s="222"/>
      <c r="AB1300" t="e">
        <v>#N/A</v>
      </c>
    </row>
    <row r="1301">
      <c r="F1301" s="456"/>
      <c r="Q1301" s="222"/>
      <c r="R1301" s="222"/>
      <c r="AB1301" t="e">
        <v>#N/A</v>
      </c>
    </row>
    <row r="1302">
      <c r="F1302" s="456"/>
      <c r="Q1302" s="222"/>
      <c r="R1302" s="222"/>
      <c r="S1302" s="222"/>
      <c r="U1302" s="222"/>
      <c r="AB1302" t="e">
        <v>#N/A</v>
      </c>
    </row>
    <row r="1303">
      <c r="F1303" s="456"/>
      <c r="Q1303" s="222"/>
      <c r="R1303" s="222"/>
      <c r="AB1303" t="e">
        <v>#N/A</v>
      </c>
    </row>
    <row r="1304">
      <c r="F1304" s="456"/>
      <c r="Q1304" s="222"/>
      <c r="R1304" s="222"/>
      <c r="AB1304" t="e">
        <v>#N/A</v>
      </c>
    </row>
    <row r="1305">
      <c r="F1305" s="456"/>
      <c r="Q1305" s="222"/>
      <c r="R1305" s="222"/>
      <c r="AB1305" t="e">
        <v>#N/A</v>
      </c>
    </row>
    <row r="1306">
      <c r="F1306" s="456"/>
      <c r="Q1306" s="222"/>
      <c r="R1306" s="222"/>
      <c r="AB1306" t="e">
        <v>#N/A</v>
      </c>
    </row>
    <row r="1307">
      <c r="F1307" s="456"/>
      <c r="Q1307" s="222"/>
      <c r="R1307" s="222"/>
      <c r="S1307" s="222"/>
      <c r="U1307" s="222"/>
      <c r="AB1307" t="e">
        <v>#N/A</v>
      </c>
    </row>
    <row r="1308">
      <c r="F1308" s="456"/>
      <c r="Q1308" s="222"/>
      <c r="R1308" s="222"/>
      <c r="S1308" s="222"/>
      <c r="U1308" s="222"/>
      <c r="AB1308" t="e">
        <v>#N/A</v>
      </c>
    </row>
    <row r="1309">
      <c r="F1309" s="456"/>
      <c r="Q1309" s="222"/>
      <c r="R1309" s="222"/>
      <c r="AB1309" t="e">
        <v>#N/A</v>
      </c>
    </row>
    <row r="1310">
      <c r="F1310" s="456"/>
      <c r="Q1310" s="222"/>
      <c r="R1310" s="222"/>
      <c r="AB1310" t="e">
        <v>#N/A</v>
      </c>
    </row>
    <row r="1311">
      <c r="F1311" s="456"/>
      <c r="Q1311" s="222"/>
      <c r="R1311" s="222"/>
      <c r="AB1311" t="e">
        <v>#N/A</v>
      </c>
    </row>
    <row r="1312">
      <c r="F1312" s="456"/>
      <c r="Q1312" s="222"/>
      <c r="R1312" s="222"/>
      <c r="AB1312" t="e">
        <v>#N/A</v>
      </c>
    </row>
    <row r="1313">
      <c r="F1313" s="456"/>
      <c r="AB1313" t="e">
        <v>#N/A</v>
      </c>
    </row>
    <row r="1314">
      <c r="F1314" s="456"/>
      <c r="Q1314" s="222"/>
      <c r="R1314" s="222"/>
      <c r="AB1314" t="e">
        <v>#N/A</v>
      </c>
    </row>
    <row r="1315">
      <c r="F1315" s="456"/>
      <c r="Q1315" s="222"/>
      <c r="R1315" s="222"/>
      <c r="AB1315" t="e">
        <v>#N/A</v>
      </c>
    </row>
    <row r="1316">
      <c r="F1316" s="456"/>
      <c r="Q1316" s="222"/>
      <c r="R1316" s="222"/>
      <c r="AB1316" t="e">
        <v>#N/A</v>
      </c>
    </row>
    <row r="1317">
      <c r="F1317" s="456"/>
      <c r="Q1317" s="222"/>
      <c r="R1317" s="222"/>
      <c r="AB1317" t="e">
        <v>#N/A</v>
      </c>
    </row>
    <row r="1318">
      <c r="F1318" s="456"/>
      <c r="Q1318" s="222"/>
      <c r="R1318" s="222"/>
      <c r="S1318" s="222"/>
      <c r="U1318" s="222"/>
      <c r="AB1318" t="e">
        <v>#N/A</v>
      </c>
    </row>
    <row r="1319">
      <c r="F1319" s="456"/>
      <c r="Q1319" s="222"/>
      <c r="R1319" s="222"/>
      <c r="S1319" s="222"/>
      <c r="U1319" s="222"/>
      <c r="AB1319" t="e">
        <v>#N/A</v>
      </c>
    </row>
    <row r="1320">
      <c r="F1320" s="457"/>
      <c r="Q1320" s="222"/>
      <c r="R1320" s="222"/>
      <c r="AB1320" t="e">
        <v>#N/A</v>
      </c>
    </row>
    <row r="1321">
      <c r="F1321" s="457"/>
      <c r="Q1321" s="222"/>
      <c r="R1321" s="222"/>
      <c r="AB1321" t="e">
        <v>#N/A</v>
      </c>
    </row>
    <row r="1322">
      <c r="F1322" s="457"/>
      <c r="Q1322" s="222"/>
      <c r="R1322" s="222"/>
      <c r="AB1322" t="e">
        <v>#N/A</v>
      </c>
    </row>
    <row r="1323">
      <c r="F1323" s="457"/>
      <c r="Q1323" s="222"/>
      <c r="R1323" s="222"/>
      <c r="AB1323" t="e">
        <v>#N/A</v>
      </c>
    </row>
    <row r="1324">
      <c r="F1324" s="457"/>
      <c r="Q1324" s="222"/>
      <c r="R1324" s="222"/>
      <c r="AB1324" t="e">
        <v>#N/A</v>
      </c>
    </row>
    <row r="1325">
      <c r="F1325" s="457"/>
      <c r="Q1325" s="222"/>
      <c r="R1325" s="222"/>
      <c r="AB1325" t="e">
        <v>#N/A</v>
      </c>
    </row>
    <row r="1326">
      <c r="F1326" s="457"/>
      <c r="Q1326" s="222"/>
      <c r="R1326" s="222"/>
      <c r="AB1326" t="e">
        <v>#N/A</v>
      </c>
    </row>
    <row r="1327">
      <c r="F1327" s="457"/>
      <c r="Q1327" s="222"/>
      <c r="R1327" s="222"/>
      <c r="AB1327" t="e">
        <v>#N/A</v>
      </c>
    </row>
    <row r="1328">
      <c r="F1328" s="457"/>
      <c r="AB1328" t="e">
        <v>#N/A</v>
      </c>
    </row>
    <row r="1329">
      <c r="F1329" s="457"/>
      <c r="Q1329" s="222"/>
      <c r="R1329" s="222"/>
      <c r="S1329" s="222"/>
      <c r="AB1329" t="e">
        <v>#N/A</v>
      </c>
    </row>
    <row r="1330">
      <c r="F1330" s="457"/>
      <c r="Q1330" s="222"/>
      <c r="R1330" s="222"/>
      <c r="S1330" s="222"/>
      <c r="AB1330" t="e">
        <v>#N/A</v>
      </c>
    </row>
    <row r="1331">
      <c r="F1331" s="457"/>
      <c r="Q1331" s="222"/>
      <c r="R1331" s="222"/>
      <c r="AB1331" t="e">
        <v>#N/A</v>
      </c>
    </row>
    <row r="1332">
      <c r="F1332" s="457"/>
      <c r="Q1332" s="222"/>
      <c r="R1332" s="222"/>
      <c r="AB1332" t="e">
        <v>#N/A</v>
      </c>
    </row>
    <row r="1333">
      <c r="F1333" s="457"/>
      <c r="Q1333" s="222"/>
      <c r="R1333" s="222"/>
      <c r="AB1333" t="e">
        <v>#N/A</v>
      </c>
    </row>
    <row r="1334">
      <c r="F1334" s="457"/>
      <c r="Q1334" s="222"/>
      <c r="R1334" s="222"/>
      <c r="AB1334" t="e">
        <v>#N/A</v>
      </c>
    </row>
    <row r="1335">
      <c r="F1335" s="457"/>
      <c r="Q1335" s="222"/>
      <c r="R1335" s="222"/>
      <c r="AB1335" t="e">
        <v>#N/A</v>
      </c>
    </row>
    <row r="1336">
      <c r="F1336" s="457"/>
      <c r="AB1336" t="e">
        <v>#N/A</v>
      </c>
    </row>
    <row r="1337">
      <c r="F1337" s="457"/>
      <c r="Q1337" s="222"/>
      <c r="R1337" s="222"/>
      <c r="AB1337" t="e">
        <v>#N/A</v>
      </c>
    </row>
    <row r="1338">
      <c r="F1338" s="457"/>
      <c r="Q1338" s="222"/>
      <c r="R1338" s="222"/>
      <c r="AB1338" t="e">
        <v>#N/A</v>
      </c>
    </row>
    <row r="1339">
      <c r="F1339" s="457"/>
      <c r="AB1339" t="e">
        <v>#N/A</v>
      </c>
    </row>
    <row r="1340">
      <c r="F1340" s="457"/>
      <c r="Q1340" s="222"/>
      <c r="R1340" s="222"/>
      <c r="AB1340" t="e">
        <v>#N/A</v>
      </c>
    </row>
    <row r="1341">
      <c r="F1341" s="457"/>
      <c r="Q1341" s="222"/>
      <c r="R1341" s="222"/>
      <c r="AB1341" t="e">
        <v>#N/A</v>
      </c>
    </row>
    <row r="1342">
      <c r="F1342" s="457"/>
      <c r="Q1342" s="222"/>
      <c r="R1342" s="222"/>
      <c r="AB1342" t="e">
        <v>#N/A</v>
      </c>
    </row>
    <row r="1343">
      <c r="F1343" s="457"/>
      <c r="Q1343" s="222"/>
      <c r="R1343" s="222"/>
      <c r="AB1343" t="e">
        <v>#N/A</v>
      </c>
    </row>
    <row r="1344">
      <c r="F1344" s="457"/>
      <c r="Q1344" s="222"/>
      <c r="R1344" s="222"/>
      <c r="AB1344" t="e">
        <v>#N/A</v>
      </c>
    </row>
    <row r="1345">
      <c r="F1345" s="457"/>
      <c r="Q1345" s="222"/>
      <c r="R1345" s="222"/>
      <c r="AB1345" t="e">
        <v>#N/A</v>
      </c>
    </row>
    <row r="1346">
      <c r="F1346" s="457"/>
      <c r="Q1346" s="222"/>
      <c r="R1346" s="222"/>
      <c r="AB1346" t="e">
        <v>#N/A</v>
      </c>
    </row>
    <row r="1347">
      <c r="F1347" s="457"/>
      <c r="Q1347" s="222"/>
      <c r="R1347" s="222"/>
      <c r="AB1347" t="e">
        <v>#N/A</v>
      </c>
    </row>
    <row r="1348">
      <c r="F1348" s="457"/>
      <c r="Q1348" s="222"/>
      <c r="R1348" s="222"/>
      <c r="AB1348" t="e">
        <v>#N/A</v>
      </c>
    </row>
    <row r="1349">
      <c r="F1349" s="457"/>
      <c r="Q1349" s="222"/>
      <c r="R1349" s="222"/>
      <c r="AB1349" t="e">
        <v>#N/A</v>
      </c>
    </row>
    <row r="1350">
      <c r="F1350" s="457"/>
      <c r="Q1350" s="222"/>
      <c r="R1350" s="222"/>
      <c r="AB1350" t="e">
        <v>#N/A</v>
      </c>
    </row>
    <row r="1351">
      <c r="F1351" s="457"/>
      <c r="Q1351" s="222"/>
      <c r="R1351" s="222"/>
      <c r="AB1351" t="e">
        <v>#N/A</v>
      </c>
    </row>
    <row r="1352">
      <c r="F1352" s="457"/>
      <c r="Q1352" s="222"/>
      <c r="R1352" s="222"/>
      <c r="AB1352" t="e">
        <v>#N/A</v>
      </c>
    </row>
    <row r="1353">
      <c r="F1353" s="457"/>
      <c r="Q1353" s="222"/>
      <c r="R1353" s="222"/>
      <c r="AB1353" t="e">
        <v>#N/A</v>
      </c>
    </row>
    <row r="1354">
      <c r="F1354" s="457"/>
      <c r="Q1354" s="222"/>
      <c r="R1354" s="222"/>
      <c r="AB1354" t="e">
        <v>#N/A</v>
      </c>
    </row>
    <row r="1355">
      <c r="F1355" s="457"/>
      <c r="AB1355" t="e">
        <v>#N/A</v>
      </c>
    </row>
    <row r="1356">
      <c r="F1356" s="457"/>
      <c r="Q1356" s="222"/>
      <c r="R1356" s="222"/>
      <c r="AB1356" t="e">
        <v>#N/A</v>
      </c>
    </row>
    <row r="1357">
      <c r="F1357" s="457"/>
      <c r="Q1357" s="222"/>
      <c r="R1357" s="222"/>
      <c r="AB1357" t="e">
        <v>#N/A</v>
      </c>
    </row>
    <row r="1358">
      <c r="F1358" s="457"/>
      <c r="Q1358" s="222"/>
      <c r="R1358" s="222"/>
      <c r="AB1358" t="e">
        <v>#N/A</v>
      </c>
    </row>
    <row r="1359">
      <c r="F1359" s="457"/>
      <c r="Q1359" s="222"/>
      <c r="R1359" s="222"/>
      <c r="AB1359" t="e">
        <v>#N/A</v>
      </c>
    </row>
    <row r="1360">
      <c r="F1360" s="457"/>
      <c r="Q1360" s="222"/>
      <c r="R1360" s="222"/>
      <c r="AB1360" t="e">
        <v>#N/A</v>
      </c>
    </row>
    <row r="1361">
      <c r="F1361" s="457"/>
      <c r="AB1361" t="e">
        <v>#N/A</v>
      </c>
    </row>
    <row r="1362">
      <c r="F1362" s="457"/>
      <c r="AB1362" t="e">
        <v>#N/A</v>
      </c>
    </row>
    <row r="1363">
      <c r="F1363" s="457"/>
      <c r="Q1363" s="222"/>
      <c r="R1363" s="222"/>
      <c r="AB1363" t="e">
        <v>#N/A</v>
      </c>
    </row>
    <row r="1364">
      <c r="F1364" s="457"/>
      <c r="Q1364" s="222"/>
      <c r="R1364" s="222"/>
      <c r="AB1364" t="e">
        <v>#N/A</v>
      </c>
    </row>
    <row r="1365">
      <c r="F1365" s="457"/>
      <c r="AB1365" t="e">
        <v>#N/A</v>
      </c>
    </row>
    <row r="1366">
      <c r="F1366" s="457"/>
      <c r="Q1366" s="222"/>
      <c r="R1366" s="222"/>
      <c r="AB1366" t="e">
        <v>#N/A</v>
      </c>
    </row>
    <row r="1367">
      <c r="F1367" s="457"/>
      <c r="Q1367" s="222"/>
      <c r="R1367" s="222"/>
      <c r="AB1367" t="e">
        <v>#N/A</v>
      </c>
    </row>
    <row r="1368">
      <c r="F1368" s="457"/>
      <c r="Q1368" s="222"/>
      <c r="R1368" s="222"/>
      <c r="AB1368" t="e">
        <v>#N/A</v>
      </c>
    </row>
    <row r="1369">
      <c r="F1369" s="457"/>
      <c r="Q1369" s="222"/>
      <c r="R1369" s="222"/>
      <c r="AB1369" t="e">
        <v>#N/A</v>
      </c>
    </row>
    <row r="1370">
      <c r="F1370" s="457"/>
      <c r="Q1370" s="222"/>
      <c r="R1370" s="222"/>
      <c r="AB1370" t="e">
        <v>#N/A</v>
      </c>
    </row>
    <row r="1371">
      <c r="F1371" s="457"/>
      <c r="Q1371" s="222"/>
      <c r="R1371" s="222"/>
      <c r="AB1371" t="e">
        <v>#N/A</v>
      </c>
    </row>
    <row r="1372">
      <c r="F1372" s="457"/>
      <c r="Q1372" s="222"/>
      <c r="R1372" s="222"/>
      <c r="AB1372" t="e">
        <v>#N/A</v>
      </c>
    </row>
    <row r="1373">
      <c r="F1373" s="457"/>
      <c r="Q1373" s="222"/>
      <c r="R1373" s="222"/>
      <c r="AB1373" t="e">
        <v>#N/A</v>
      </c>
    </row>
    <row r="1374">
      <c r="F1374" s="457"/>
      <c r="Q1374" s="222"/>
      <c r="R1374" s="222"/>
      <c r="AB1374" t="e">
        <v>#N/A</v>
      </c>
    </row>
    <row r="1375">
      <c r="F1375" s="457"/>
      <c r="Q1375" s="222"/>
      <c r="R1375" s="222"/>
      <c r="AB1375" t="e">
        <v>#N/A</v>
      </c>
    </row>
    <row r="1376">
      <c r="F1376" s="457"/>
      <c r="Q1376" s="222"/>
      <c r="R1376" s="222"/>
      <c r="S1376" s="222"/>
      <c r="U1376" s="222"/>
      <c r="AB1376" t="e">
        <v>#N/A</v>
      </c>
    </row>
    <row r="1377">
      <c r="F1377" s="457"/>
      <c r="Q1377" s="222"/>
      <c r="R1377" s="222"/>
      <c r="S1377" s="222"/>
      <c r="U1377" s="222"/>
      <c r="AB1377" t="e">
        <v>#N/A</v>
      </c>
    </row>
    <row r="1378">
      <c r="F1378" s="457"/>
      <c r="Q1378" s="222"/>
      <c r="R1378" s="222"/>
      <c r="S1378" s="222"/>
      <c r="U1378" s="222"/>
      <c r="AB1378" t="e">
        <v>#N/A</v>
      </c>
    </row>
    <row r="1379">
      <c r="F1379" s="457"/>
      <c r="Q1379" s="222"/>
      <c r="R1379" s="222"/>
      <c r="S1379" s="222"/>
      <c r="U1379" s="222"/>
      <c r="AB1379" t="e">
        <v>#N/A</v>
      </c>
    </row>
    <row r="1380">
      <c r="F1380" s="457"/>
      <c r="Q1380" s="222"/>
      <c r="R1380" s="222"/>
      <c r="S1380" s="222"/>
      <c r="U1380" s="222"/>
      <c r="AB1380" t="e">
        <v>#N/A</v>
      </c>
    </row>
    <row r="1381">
      <c r="F1381" s="457"/>
      <c r="Q1381" s="222"/>
      <c r="R1381" s="222"/>
      <c r="S1381" s="222"/>
      <c r="U1381" s="222"/>
      <c r="AB1381" t="e">
        <v>#N/A</v>
      </c>
    </row>
    <row r="1382">
      <c r="F1382" s="457"/>
      <c r="Q1382" s="222"/>
      <c r="R1382" s="222"/>
      <c r="S1382" s="222"/>
      <c r="AB1382" t="e">
        <v>#N/A</v>
      </c>
    </row>
    <row r="1383">
      <c r="F1383" s="457"/>
      <c r="Q1383" s="222"/>
      <c r="R1383" s="222"/>
      <c r="S1383" s="222"/>
      <c r="AB1383" t="e">
        <v>#N/A</v>
      </c>
    </row>
    <row r="1384">
      <c r="F1384" s="457"/>
      <c r="Q1384" s="222"/>
      <c r="R1384" s="222"/>
      <c r="S1384" s="222"/>
      <c r="AB1384" t="e">
        <v>#N/A</v>
      </c>
    </row>
    <row r="1385">
      <c r="F1385" s="457"/>
      <c r="Q1385" s="222"/>
      <c r="R1385" s="222"/>
      <c r="S1385" s="222"/>
      <c r="U1385" s="222"/>
      <c r="AB1385" t="e">
        <v>#N/A</v>
      </c>
    </row>
    <row r="1386">
      <c r="F1386" s="457"/>
      <c r="Q1386" s="222"/>
      <c r="R1386" s="222"/>
      <c r="S1386" s="222"/>
      <c r="U1386" s="222"/>
      <c r="AB1386" t="e">
        <v>#N/A</v>
      </c>
    </row>
    <row r="1387">
      <c r="F1387" s="457"/>
      <c r="Q1387" s="222"/>
      <c r="R1387" s="222"/>
      <c r="S1387" s="222"/>
      <c r="U1387" s="222"/>
      <c r="AB1387" t="e">
        <v>#N/A</v>
      </c>
    </row>
    <row r="1388">
      <c r="F1388" s="457"/>
      <c r="Q1388" s="222"/>
      <c r="R1388" s="222"/>
      <c r="S1388" s="222"/>
      <c r="U1388" s="222"/>
      <c r="AB1388" t="e">
        <v>#N/A</v>
      </c>
    </row>
    <row r="1389">
      <c r="F1389" s="457"/>
      <c r="Q1389" s="222"/>
      <c r="R1389" s="222"/>
      <c r="S1389" s="222"/>
      <c r="U1389" s="222"/>
      <c r="AB1389" t="e">
        <v>#N/A</v>
      </c>
    </row>
    <row r="1390">
      <c r="F1390" s="457"/>
      <c r="Q1390" s="222"/>
      <c r="R1390" s="222"/>
      <c r="S1390" s="222"/>
      <c r="U1390" s="222"/>
      <c r="AB1390" t="e">
        <v>#N/A</v>
      </c>
    </row>
    <row r="1391">
      <c r="F1391" s="457"/>
      <c r="Q1391" s="222"/>
      <c r="R1391" s="222"/>
      <c r="S1391" s="222"/>
      <c r="U1391" s="222"/>
      <c r="AB1391" t="e">
        <v>#N/A</v>
      </c>
    </row>
    <row r="1392">
      <c r="F1392" s="457"/>
      <c r="Q1392" s="222"/>
      <c r="R1392" s="222"/>
      <c r="S1392" s="222"/>
      <c r="U1392" s="222"/>
      <c r="AB1392" t="e">
        <v>#N/A</v>
      </c>
    </row>
    <row r="1393">
      <c r="F1393" s="457"/>
      <c r="Q1393" s="222"/>
      <c r="R1393" s="222"/>
      <c r="AB1393" t="e">
        <v>#N/A</v>
      </c>
    </row>
    <row r="1394">
      <c r="F1394" s="457"/>
      <c r="Q1394" s="222"/>
      <c r="R1394" s="222"/>
      <c r="S1394" s="222"/>
      <c r="AB1394" t="e">
        <v>#N/A</v>
      </c>
    </row>
    <row r="1395">
      <c r="F1395" s="457"/>
      <c r="Q1395" s="222"/>
      <c r="R1395" s="222"/>
      <c r="S1395" s="222"/>
      <c r="AB1395" t="e">
        <v>#N/A</v>
      </c>
    </row>
    <row r="1396">
      <c r="F1396" s="457"/>
      <c r="Q1396" s="222"/>
      <c r="R1396" s="222"/>
      <c r="S1396" s="222"/>
      <c r="U1396" s="222"/>
      <c r="AB1396" t="e">
        <v>#N/A</v>
      </c>
    </row>
    <row r="1397">
      <c r="F1397" s="457"/>
      <c r="Q1397" s="222"/>
      <c r="R1397" s="222"/>
      <c r="S1397" s="222"/>
      <c r="U1397" s="222"/>
      <c r="AB1397" t="e">
        <v>#N/A</v>
      </c>
    </row>
    <row r="1398">
      <c r="F1398" s="457"/>
      <c r="Q1398" s="222"/>
      <c r="R1398" s="222"/>
      <c r="S1398" s="222"/>
      <c r="U1398" s="222"/>
      <c r="AB1398" t="e">
        <v>#N/A</v>
      </c>
    </row>
    <row r="1399">
      <c r="F1399" s="457"/>
      <c r="Q1399" s="222"/>
      <c r="R1399" s="222"/>
      <c r="S1399" s="222"/>
      <c r="U1399" s="222"/>
      <c r="AB1399" t="e">
        <v>#N/A</v>
      </c>
    </row>
    <row r="1400">
      <c r="F1400" s="457"/>
      <c r="Q1400" s="222"/>
      <c r="R1400" s="222"/>
      <c r="S1400" s="222"/>
      <c r="U1400" s="222"/>
      <c r="AB1400" t="e">
        <v>#N/A</v>
      </c>
    </row>
    <row r="1401">
      <c r="F1401" s="457"/>
      <c r="Q1401" s="222"/>
      <c r="R1401" s="222"/>
      <c r="S1401" s="222"/>
      <c r="U1401" s="222"/>
      <c r="AB1401" t="e">
        <v>#N/A</v>
      </c>
    </row>
    <row r="1402">
      <c r="F1402" s="457"/>
      <c r="Q1402" s="222"/>
      <c r="R1402" s="222"/>
      <c r="S1402" s="222"/>
      <c r="U1402" s="222"/>
      <c r="AB1402" t="e">
        <v>#N/A</v>
      </c>
    </row>
    <row r="1403">
      <c r="F1403" s="457"/>
      <c r="Q1403" s="222"/>
      <c r="R1403" s="222"/>
      <c r="S1403" s="222"/>
      <c r="U1403" s="222"/>
      <c r="AB1403" t="e">
        <v>#N/A</v>
      </c>
    </row>
    <row r="1404">
      <c r="F1404" s="457"/>
      <c r="Q1404" s="222"/>
      <c r="R1404" s="222"/>
      <c r="S1404" s="222"/>
      <c r="U1404" s="222"/>
      <c r="AB1404" t="e">
        <v>#N/A</v>
      </c>
    </row>
    <row r="1405">
      <c r="F1405" s="457"/>
      <c r="Q1405" s="222"/>
      <c r="R1405" s="222"/>
      <c r="AB1405" t="e">
        <v>#N/A</v>
      </c>
    </row>
    <row r="1406">
      <c r="F1406" s="457"/>
      <c r="Q1406" s="222"/>
      <c r="R1406" s="222"/>
      <c r="S1406" s="222"/>
      <c r="U1406" s="222"/>
      <c r="AB1406" t="e">
        <v>#N/A</v>
      </c>
    </row>
    <row r="1407">
      <c r="F1407" s="457"/>
      <c r="Q1407" s="222"/>
      <c r="R1407" s="222"/>
      <c r="S1407" s="222"/>
      <c r="U1407" s="222"/>
      <c r="AB1407" t="e">
        <v>#N/A</v>
      </c>
    </row>
    <row r="1408">
      <c r="F1408" s="457"/>
      <c r="Q1408" s="222"/>
      <c r="R1408" s="222"/>
      <c r="AB1408" t="e">
        <v>#N/A</v>
      </c>
    </row>
    <row r="1409">
      <c r="F1409" s="457"/>
      <c r="Q1409" s="222"/>
      <c r="R1409" s="222"/>
      <c r="S1409" s="222"/>
      <c r="U1409" s="222"/>
      <c r="AB1409" t="e">
        <v>#N/A</v>
      </c>
    </row>
    <row r="1410">
      <c r="F1410" s="457"/>
      <c r="Q1410" s="222"/>
      <c r="R1410" s="222"/>
      <c r="AB1410" t="e">
        <v>#N/A</v>
      </c>
    </row>
    <row r="1411">
      <c r="F1411" s="457"/>
      <c r="Q1411" s="222"/>
      <c r="R1411" s="222"/>
      <c r="AB1411" t="e">
        <v>#N/A</v>
      </c>
    </row>
    <row r="1412">
      <c r="F1412" s="457"/>
      <c r="Q1412" s="222"/>
      <c r="R1412" s="222"/>
      <c r="S1412" s="222"/>
      <c r="AB1412" t="e">
        <v>#N/A</v>
      </c>
    </row>
    <row r="1413">
      <c r="F1413" s="457"/>
      <c r="Q1413" s="222"/>
      <c r="R1413" s="222"/>
      <c r="S1413" s="222"/>
      <c r="U1413" s="222"/>
      <c r="AB1413" t="e">
        <v>#N/A</v>
      </c>
    </row>
    <row r="1414">
      <c r="F1414" s="457"/>
      <c r="Q1414" s="222"/>
      <c r="R1414" s="222"/>
      <c r="AB1414" t="e">
        <v>#N/A</v>
      </c>
    </row>
    <row r="1415">
      <c r="F1415" s="457"/>
      <c r="Q1415" s="222"/>
      <c r="R1415" s="222"/>
      <c r="S1415" s="222"/>
      <c r="U1415" s="222"/>
      <c r="AB1415" t="e">
        <v>#N/A</v>
      </c>
    </row>
    <row r="1416">
      <c r="F1416" s="457"/>
      <c r="Q1416" s="222"/>
      <c r="R1416" s="222"/>
      <c r="S1416" s="222"/>
      <c r="U1416" s="222"/>
      <c r="AB1416" t="e">
        <v>#N/A</v>
      </c>
    </row>
    <row r="1417">
      <c r="F1417" s="457"/>
      <c r="Q1417" s="222"/>
      <c r="R1417" s="222"/>
      <c r="AB1417" t="e">
        <v>#N/A</v>
      </c>
    </row>
    <row r="1418">
      <c r="F1418" s="457"/>
      <c r="Q1418" s="222"/>
      <c r="R1418" s="222"/>
      <c r="AB1418" t="e">
        <v>#N/A</v>
      </c>
    </row>
    <row r="1419">
      <c r="F1419" s="457"/>
      <c r="Q1419" s="222"/>
      <c r="R1419" s="222"/>
      <c r="S1419" s="222"/>
      <c r="U1419" s="222"/>
      <c r="AB1419" t="e">
        <v>#N/A</v>
      </c>
    </row>
    <row r="1420">
      <c r="F1420" s="457"/>
      <c r="Q1420" s="222"/>
      <c r="R1420" s="222"/>
      <c r="AB1420" t="e">
        <v>#N/A</v>
      </c>
    </row>
    <row r="1421">
      <c r="F1421" s="457"/>
      <c r="Q1421" s="222"/>
      <c r="R1421" s="222"/>
      <c r="AB1421" t="e">
        <v>#N/A</v>
      </c>
    </row>
    <row r="1422">
      <c r="F1422" s="457"/>
      <c r="Q1422" s="222"/>
      <c r="R1422" s="222"/>
      <c r="AB1422" t="e">
        <v>#N/A</v>
      </c>
    </row>
    <row r="1423">
      <c r="F1423" s="457"/>
      <c r="Q1423" s="222"/>
      <c r="R1423" s="222"/>
      <c r="S1423" s="222"/>
      <c r="U1423" s="222"/>
      <c r="AB1423" t="e">
        <v>#N/A</v>
      </c>
    </row>
    <row r="1424">
      <c r="F1424" s="457"/>
      <c r="Q1424" s="222"/>
      <c r="R1424" s="222"/>
      <c r="AB1424" t="e">
        <v>#N/A</v>
      </c>
    </row>
    <row r="1425">
      <c r="F1425" s="457"/>
      <c r="Q1425" s="222"/>
      <c r="R1425" s="222"/>
      <c r="S1425" s="222"/>
      <c r="U1425" s="222"/>
      <c r="AB1425" t="e">
        <v>#N/A</v>
      </c>
    </row>
    <row r="1426">
      <c r="F1426" s="457"/>
      <c r="Q1426" s="222"/>
      <c r="R1426" s="222"/>
      <c r="S1426" s="222"/>
      <c r="AB1426" t="e">
        <v>#N/A</v>
      </c>
    </row>
    <row r="1427">
      <c r="F1427" s="457"/>
      <c r="Q1427" s="222"/>
      <c r="R1427" s="222"/>
      <c r="AB1427" t="e">
        <v>#N/A</v>
      </c>
    </row>
    <row r="1428">
      <c r="F1428" s="457"/>
      <c r="Q1428" s="222"/>
      <c r="R1428" s="222"/>
      <c r="S1428" s="222"/>
      <c r="U1428" s="222"/>
      <c r="AB1428" t="e">
        <v>#N/A</v>
      </c>
    </row>
    <row r="1429">
      <c r="F1429" s="457"/>
      <c r="Q1429" s="222"/>
      <c r="R1429" s="222"/>
      <c r="S1429" s="222"/>
      <c r="U1429" s="222"/>
      <c r="AB1429" t="e">
        <v>#N/A</v>
      </c>
    </row>
    <row r="1430">
      <c r="F1430" s="457"/>
      <c r="Q1430" s="222"/>
      <c r="R1430" s="222"/>
      <c r="S1430" s="222"/>
      <c r="U1430" s="222"/>
      <c r="AB1430" t="e">
        <v>#N/A</v>
      </c>
    </row>
    <row r="1431">
      <c r="F1431" s="457"/>
      <c r="Q1431" s="222"/>
      <c r="R1431" s="222"/>
      <c r="AB1431" t="e">
        <v>#N/A</v>
      </c>
    </row>
    <row r="1432">
      <c r="F1432" s="457"/>
      <c r="Q1432" s="222"/>
      <c r="R1432" s="222"/>
      <c r="S1432" s="222"/>
      <c r="U1432" s="222"/>
      <c r="AB1432" t="e">
        <v>#N/A</v>
      </c>
    </row>
    <row r="1433">
      <c r="F1433" s="457"/>
      <c r="Q1433" s="222"/>
      <c r="R1433" s="222"/>
      <c r="AB1433" t="e">
        <v>#N/A</v>
      </c>
    </row>
    <row r="1434">
      <c r="F1434" s="457"/>
      <c r="Q1434" s="222"/>
      <c r="R1434" s="222"/>
      <c r="S1434" s="222"/>
      <c r="AB1434" t="e">
        <v>#N/A</v>
      </c>
    </row>
    <row r="1435">
      <c r="F1435" s="457"/>
      <c r="Q1435" s="222"/>
      <c r="R1435" s="222"/>
      <c r="S1435" s="222"/>
      <c r="U1435" s="222"/>
      <c r="AB1435" t="e">
        <v>#N/A</v>
      </c>
    </row>
    <row r="1436">
      <c r="F1436" s="457"/>
      <c r="Q1436" s="222"/>
      <c r="R1436" s="222"/>
      <c r="AB1436" t="e">
        <v>#N/A</v>
      </c>
    </row>
    <row r="1437">
      <c r="F1437" s="457"/>
      <c r="Q1437" s="222"/>
      <c r="R1437" s="222"/>
      <c r="S1437" s="222"/>
      <c r="U1437" s="222"/>
      <c r="AB1437" t="e">
        <v>#N/A</v>
      </c>
    </row>
    <row r="1438">
      <c r="F1438" s="457"/>
      <c r="Q1438" s="222"/>
      <c r="R1438" s="222"/>
      <c r="S1438" s="222"/>
      <c r="U1438" s="222"/>
      <c r="AB1438" t="e">
        <v>#N/A</v>
      </c>
    </row>
    <row r="1439">
      <c r="F1439" s="457"/>
      <c r="Q1439" s="222"/>
      <c r="R1439" s="222"/>
      <c r="S1439" s="222"/>
      <c r="AB1439" t="e">
        <v>#N/A</v>
      </c>
    </row>
    <row r="1440">
      <c r="F1440" s="457"/>
      <c r="Q1440" s="222"/>
      <c r="R1440" s="222"/>
      <c r="AB1440" t="e">
        <v>#N/A</v>
      </c>
    </row>
    <row r="1441">
      <c r="F1441" s="457"/>
      <c r="Q1441" s="222"/>
      <c r="R1441" s="222"/>
      <c r="S1441" s="222"/>
      <c r="AB1441" t="e">
        <v>#N/A</v>
      </c>
    </row>
    <row r="1442">
      <c r="F1442" s="457"/>
      <c r="Q1442" s="222"/>
      <c r="R1442" s="222"/>
      <c r="AB1442" t="e">
        <v>#N/A</v>
      </c>
    </row>
    <row r="1443">
      <c r="F1443" s="457"/>
      <c r="Q1443" s="222"/>
      <c r="R1443" s="222"/>
      <c r="S1443" s="222"/>
      <c r="U1443" s="222"/>
      <c r="AB1443" t="e">
        <v>#N/A</v>
      </c>
    </row>
    <row r="1444">
      <c r="F1444" s="457"/>
      <c r="Q1444" s="222"/>
      <c r="R1444" s="222"/>
      <c r="AB1444" t="e">
        <v>#N/A</v>
      </c>
    </row>
    <row r="1445">
      <c r="F1445" s="457"/>
      <c r="Q1445" s="222"/>
      <c r="R1445" s="222"/>
      <c r="S1445" s="222"/>
      <c r="U1445" s="222"/>
      <c r="AB1445" t="e">
        <v>#N/A</v>
      </c>
    </row>
    <row r="1446">
      <c r="F1446" s="457"/>
      <c r="Q1446" s="222"/>
      <c r="R1446" s="222"/>
      <c r="S1446" s="222"/>
      <c r="AB1446" t="e">
        <v>#N/A</v>
      </c>
    </row>
    <row r="1447">
      <c r="F1447" s="457"/>
      <c r="Q1447" s="222"/>
      <c r="R1447" s="222"/>
      <c r="AB1447" t="e">
        <v>#N/A</v>
      </c>
    </row>
    <row r="1448">
      <c r="F1448" s="457"/>
      <c r="Q1448" s="222"/>
      <c r="R1448" s="222"/>
      <c r="AB1448" t="e">
        <v>#N/A</v>
      </c>
    </row>
    <row r="1449">
      <c r="F1449" s="457"/>
      <c r="Q1449" s="222"/>
      <c r="R1449" s="222"/>
      <c r="AB1449" t="e">
        <v>#N/A</v>
      </c>
    </row>
    <row r="1450">
      <c r="F1450" s="457"/>
      <c r="Q1450" s="222"/>
      <c r="R1450" s="222"/>
      <c r="AB1450" t="e">
        <v>#N/A</v>
      </c>
    </row>
    <row r="1451">
      <c r="F1451" s="457"/>
      <c r="Q1451" s="222"/>
      <c r="R1451" s="222"/>
      <c r="S1451" s="222"/>
      <c r="U1451" s="222"/>
      <c r="AB1451" t="e">
        <v>#N/A</v>
      </c>
    </row>
    <row r="1452">
      <c r="F1452" s="457"/>
      <c r="Q1452" s="222"/>
      <c r="R1452" s="222"/>
      <c r="S1452" s="222"/>
      <c r="U1452" s="222"/>
      <c r="AB1452" t="e">
        <v>#N/A</v>
      </c>
    </row>
    <row r="1453">
      <c r="F1453" s="457"/>
      <c r="Q1453" s="222"/>
      <c r="R1453" s="222"/>
      <c r="S1453" s="222"/>
      <c r="U1453" s="222"/>
      <c r="AB1453" t="e">
        <v>#N/A</v>
      </c>
    </row>
    <row r="1454">
      <c r="F1454" s="457"/>
      <c r="Q1454" s="222"/>
      <c r="R1454" s="222"/>
      <c r="S1454" s="222"/>
      <c r="U1454" s="222"/>
      <c r="AB1454" t="e">
        <v>#N/A</v>
      </c>
    </row>
    <row r="1455">
      <c r="F1455" s="457"/>
      <c r="Q1455" s="222"/>
      <c r="R1455" s="222"/>
      <c r="S1455" s="222"/>
      <c r="U1455" s="222"/>
      <c r="AB1455" t="e">
        <v>#N/A</v>
      </c>
    </row>
    <row r="1456">
      <c r="F1456" s="457"/>
      <c r="Q1456" s="222"/>
      <c r="R1456" s="222"/>
      <c r="S1456" s="222"/>
      <c r="U1456" s="222"/>
      <c r="AB1456" t="e">
        <v>#N/A</v>
      </c>
    </row>
    <row r="1457">
      <c r="F1457" s="457"/>
      <c r="Q1457" s="222"/>
      <c r="R1457" s="222"/>
      <c r="S1457" s="222"/>
      <c r="U1457" s="222"/>
      <c r="AB1457" t="e">
        <v>#N/A</v>
      </c>
    </row>
    <row r="1458">
      <c r="F1458" s="457"/>
      <c r="Q1458" s="222"/>
      <c r="R1458" s="222"/>
      <c r="S1458" s="222"/>
      <c r="U1458" s="222"/>
      <c r="AB1458" t="e">
        <v>#N/A</v>
      </c>
    </row>
    <row r="1459">
      <c r="F1459" s="457"/>
      <c r="Q1459" s="222"/>
      <c r="R1459" s="222"/>
      <c r="S1459" s="222"/>
      <c r="U1459" s="222"/>
      <c r="AB1459" t="e">
        <v>#N/A</v>
      </c>
    </row>
    <row r="1460">
      <c r="F1460" s="457"/>
      <c r="Q1460" s="222"/>
      <c r="R1460" s="222"/>
      <c r="AB1460" t="e">
        <v>#N/A</v>
      </c>
    </row>
    <row r="1461">
      <c r="F1461" s="457"/>
      <c r="Q1461" s="222"/>
      <c r="R1461" s="222"/>
      <c r="AB1461" t="e">
        <v>#N/A</v>
      </c>
    </row>
    <row r="1462">
      <c r="F1462" s="457"/>
      <c r="Q1462" s="222"/>
      <c r="R1462" s="222"/>
      <c r="AB1462" t="e">
        <v>#N/A</v>
      </c>
    </row>
    <row r="1463">
      <c r="F1463" s="457"/>
      <c r="Q1463" s="222"/>
      <c r="R1463" s="222"/>
      <c r="AB1463" t="e">
        <v>#N/A</v>
      </c>
    </row>
    <row r="1464">
      <c r="F1464" s="457"/>
      <c r="Q1464" s="222"/>
      <c r="R1464" s="222"/>
      <c r="AB1464" t="e">
        <v>#N/A</v>
      </c>
    </row>
    <row r="1465">
      <c r="F1465" s="457"/>
      <c r="Q1465" s="222"/>
      <c r="R1465" s="222"/>
      <c r="S1465" s="222"/>
      <c r="U1465" s="222"/>
      <c r="AB1465" t="e">
        <v>#N/A</v>
      </c>
    </row>
    <row r="1466">
      <c r="F1466" s="457"/>
      <c r="Q1466" s="222"/>
      <c r="R1466" s="222"/>
      <c r="S1466" s="222"/>
      <c r="U1466" s="222"/>
      <c r="AB1466" t="e">
        <v>#N/A</v>
      </c>
    </row>
    <row r="1467">
      <c r="F1467" s="457"/>
      <c r="Q1467" s="222"/>
      <c r="R1467" s="222"/>
      <c r="AB1467" t="e">
        <v>#N/A</v>
      </c>
    </row>
    <row r="1468">
      <c r="F1468" s="457"/>
      <c r="Q1468" s="222"/>
      <c r="R1468" s="222"/>
      <c r="S1468" s="222"/>
      <c r="AB1468" t="e">
        <v>#N/A</v>
      </c>
    </row>
    <row r="1469">
      <c r="F1469" s="457"/>
      <c r="Q1469" s="222"/>
      <c r="R1469" s="222"/>
      <c r="S1469" s="222"/>
      <c r="U1469" s="222"/>
      <c r="AB1469" t="e">
        <v>#N/A</v>
      </c>
    </row>
    <row r="1470">
      <c r="F1470" s="457"/>
      <c r="Q1470" s="222"/>
      <c r="R1470" s="222"/>
      <c r="S1470" s="222"/>
      <c r="U1470" s="222"/>
      <c r="AB1470" t="e">
        <v>#N/A</v>
      </c>
    </row>
    <row r="1471">
      <c r="F1471" s="457"/>
      <c r="Q1471" s="222"/>
      <c r="R1471" s="222"/>
      <c r="S1471" s="222"/>
      <c r="U1471" s="222"/>
      <c r="AB1471" t="e">
        <v>#N/A</v>
      </c>
    </row>
    <row r="1472">
      <c r="F1472" s="457"/>
      <c r="Q1472" s="222"/>
      <c r="R1472" s="222"/>
      <c r="S1472" s="222"/>
      <c r="U1472" s="222"/>
      <c r="AB1472" t="e">
        <v>#N/A</v>
      </c>
    </row>
    <row r="1473">
      <c r="F1473" s="457"/>
      <c r="Q1473" s="222"/>
      <c r="R1473" s="222"/>
      <c r="S1473" s="222"/>
      <c r="U1473" s="222"/>
      <c r="AB1473" t="e">
        <v>#N/A</v>
      </c>
    </row>
    <row r="1474">
      <c r="F1474" s="457"/>
      <c r="Q1474" s="222"/>
      <c r="R1474" s="222"/>
      <c r="S1474" s="222"/>
      <c r="U1474" s="222"/>
      <c r="AB1474" t="e">
        <v>#N/A</v>
      </c>
    </row>
    <row r="1475">
      <c r="F1475" s="457"/>
      <c r="Q1475" s="222"/>
      <c r="R1475" s="222"/>
      <c r="AB1475" t="e">
        <v>#N/A</v>
      </c>
    </row>
    <row r="1476">
      <c r="F1476" s="457"/>
      <c r="Q1476" s="222"/>
      <c r="R1476" s="222"/>
      <c r="S1476" s="222"/>
      <c r="AB1476" t="e">
        <v>#N/A</v>
      </c>
    </row>
    <row r="1477">
      <c r="F1477" s="457"/>
      <c r="Q1477" s="222"/>
      <c r="R1477" s="222"/>
      <c r="AB1477" t="e">
        <v>#N/A</v>
      </c>
    </row>
    <row r="1478">
      <c r="F1478" s="457"/>
      <c r="Q1478" s="222"/>
      <c r="R1478" s="222"/>
      <c r="S1478" s="222"/>
      <c r="U1478" s="222"/>
      <c r="AB1478" t="e">
        <v>#N/A</v>
      </c>
    </row>
    <row r="1479">
      <c r="F1479" s="457"/>
      <c r="Q1479" s="222"/>
      <c r="R1479" s="222"/>
      <c r="S1479" s="222"/>
      <c r="U1479" s="222"/>
      <c r="AB1479" t="e">
        <v>#N/A</v>
      </c>
    </row>
    <row r="1480">
      <c r="F1480" s="457"/>
      <c r="Q1480" s="222"/>
      <c r="R1480" s="222"/>
      <c r="S1480" s="222"/>
      <c r="U1480" s="222"/>
      <c r="AB1480" t="e">
        <v>#N/A</v>
      </c>
    </row>
    <row r="1481">
      <c r="F1481" s="457"/>
      <c r="Q1481" s="222"/>
      <c r="R1481" s="222"/>
      <c r="S1481" s="222"/>
      <c r="U1481" s="222"/>
      <c r="AB1481" t="e">
        <v>#N/A</v>
      </c>
    </row>
    <row r="1482">
      <c r="F1482" s="457"/>
      <c r="Q1482" s="222"/>
      <c r="R1482" s="222"/>
      <c r="S1482" s="222"/>
      <c r="U1482" s="222"/>
      <c r="AB1482" t="e">
        <v>#N/A</v>
      </c>
    </row>
    <row r="1483">
      <c r="F1483" s="457"/>
      <c r="Q1483" s="222"/>
      <c r="R1483" s="222"/>
      <c r="S1483" s="222"/>
      <c r="U1483" s="222"/>
      <c r="AB1483" t="e">
        <v>#N/A</v>
      </c>
    </row>
    <row r="1484">
      <c r="F1484" s="457"/>
      <c r="Q1484" s="222"/>
      <c r="R1484" s="222"/>
      <c r="S1484" s="222"/>
      <c r="U1484" s="222"/>
      <c r="AB1484" t="e">
        <v>#N/A</v>
      </c>
    </row>
    <row r="1485">
      <c r="F1485" s="457"/>
      <c r="Q1485" s="222"/>
      <c r="R1485" s="222"/>
      <c r="S1485" s="222"/>
      <c r="AB1485" t="e">
        <v>#N/A</v>
      </c>
    </row>
    <row r="1486">
      <c r="F1486" s="457"/>
      <c r="Q1486" s="222"/>
      <c r="R1486" s="222"/>
      <c r="S1486" s="222"/>
      <c r="AB1486" t="e">
        <v>#N/A</v>
      </c>
    </row>
    <row r="1487">
      <c r="F1487" s="457"/>
      <c r="Q1487" s="222"/>
      <c r="R1487" s="222"/>
      <c r="AB1487" t="e">
        <v>#N/A</v>
      </c>
    </row>
    <row r="1488">
      <c r="F1488" s="457"/>
      <c r="Q1488" s="222"/>
      <c r="R1488" s="222"/>
      <c r="S1488" s="222"/>
      <c r="AB1488" t="e">
        <v>#N/A</v>
      </c>
    </row>
    <row r="1489">
      <c r="F1489" s="457"/>
      <c r="Q1489" s="222"/>
      <c r="R1489" s="222"/>
      <c r="AB1489" t="e">
        <v>#N/A</v>
      </c>
    </row>
    <row r="1490">
      <c r="F1490" s="457"/>
      <c r="Q1490" s="222"/>
      <c r="R1490" s="222"/>
      <c r="AB1490" t="e">
        <v>#N/A</v>
      </c>
    </row>
    <row r="1491">
      <c r="F1491" s="457"/>
      <c r="Q1491" s="222"/>
      <c r="R1491" s="222"/>
      <c r="S1491" s="222"/>
      <c r="AB1491" t="e">
        <v>#N/A</v>
      </c>
    </row>
    <row r="1492">
      <c r="F1492" s="457"/>
      <c r="Q1492" s="222"/>
      <c r="R1492" s="222"/>
      <c r="S1492" s="222"/>
      <c r="U1492" s="222"/>
      <c r="AB1492" t="e">
        <v>#N/A</v>
      </c>
    </row>
    <row r="1493">
      <c r="F1493" s="457"/>
      <c r="Q1493" s="222"/>
      <c r="R1493" s="222"/>
      <c r="S1493" s="222"/>
      <c r="U1493" s="222"/>
      <c r="AB1493" t="e">
        <v>#N/A</v>
      </c>
    </row>
    <row r="1494">
      <c r="F1494" s="457"/>
      <c r="Q1494" s="222"/>
      <c r="R1494" s="222"/>
      <c r="S1494" s="222"/>
      <c r="U1494" s="222"/>
      <c r="AB1494" t="e">
        <v>#N/A</v>
      </c>
    </row>
    <row r="1495">
      <c r="F1495" s="457"/>
      <c r="Q1495" s="222"/>
      <c r="R1495" s="222"/>
      <c r="S1495" s="222"/>
      <c r="U1495" s="222"/>
      <c r="AB1495" t="e">
        <v>#N/A</v>
      </c>
    </row>
    <row r="1496">
      <c r="F1496" s="457"/>
      <c r="Q1496" s="222"/>
      <c r="R1496" s="222"/>
      <c r="AB1496" t="e">
        <v>#N/A</v>
      </c>
    </row>
    <row r="1497">
      <c r="F1497" s="457"/>
      <c r="Q1497" s="222"/>
      <c r="R1497" s="222"/>
      <c r="S1497" s="222"/>
      <c r="U1497" s="222"/>
      <c r="AB1497" t="e">
        <v>#N/A</v>
      </c>
    </row>
    <row r="1498">
      <c r="F1498" s="457"/>
      <c r="Q1498" s="222"/>
      <c r="R1498" s="222"/>
      <c r="AB1498" t="e">
        <v>#N/A</v>
      </c>
    </row>
    <row r="1499">
      <c r="F1499" s="457"/>
      <c r="Q1499" s="222"/>
      <c r="R1499" s="222"/>
      <c r="S1499" s="222"/>
      <c r="U1499" s="222"/>
      <c r="AB1499" t="e">
        <v>#N/A</v>
      </c>
    </row>
    <row r="1500">
      <c r="F1500" s="457"/>
      <c r="Q1500" s="222"/>
      <c r="R1500" s="222"/>
      <c r="AB1500" t="e">
        <v>#N/A</v>
      </c>
    </row>
    <row r="1501">
      <c r="F1501" s="457"/>
      <c r="Q1501" s="222"/>
      <c r="R1501" s="222"/>
      <c r="AB1501" t="e">
        <v>#N/A</v>
      </c>
    </row>
    <row r="1502">
      <c r="F1502" s="457"/>
      <c r="Q1502" s="222"/>
      <c r="R1502" s="222"/>
      <c r="S1502" s="222"/>
      <c r="U1502" s="222"/>
      <c r="AB1502" t="e">
        <v>#N/A</v>
      </c>
    </row>
    <row r="1503">
      <c r="F1503" s="457"/>
      <c r="Q1503" s="222"/>
      <c r="R1503" s="222"/>
      <c r="AB1503" t="e">
        <v>#N/A</v>
      </c>
    </row>
    <row r="1504">
      <c r="F1504" s="457"/>
      <c r="Q1504" s="222"/>
      <c r="R1504" s="222"/>
      <c r="S1504" s="222"/>
      <c r="AB1504" t="e">
        <v>#N/A</v>
      </c>
    </row>
    <row r="1505">
      <c r="F1505" s="457"/>
      <c r="Q1505" s="222"/>
      <c r="R1505" s="222"/>
      <c r="S1505" s="222"/>
      <c r="U1505" s="222"/>
      <c r="AB1505" t="e">
        <v>#N/A</v>
      </c>
    </row>
    <row r="1506">
      <c r="F1506" s="457"/>
      <c r="Q1506" s="222"/>
      <c r="R1506" s="222"/>
      <c r="S1506" s="222"/>
      <c r="U1506" s="222"/>
      <c r="AB1506" t="e">
        <v>#N/A</v>
      </c>
    </row>
    <row r="1507">
      <c r="F1507" s="457"/>
      <c r="Q1507" s="222"/>
      <c r="R1507" s="222"/>
      <c r="S1507" s="222"/>
      <c r="AB1507" t="e">
        <v>#N/A</v>
      </c>
    </row>
    <row r="1508">
      <c r="F1508" s="457"/>
      <c r="Q1508" s="222"/>
      <c r="R1508" s="222"/>
      <c r="AB1508" t="e">
        <v>#N/A</v>
      </c>
    </row>
    <row r="1509">
      <c r="F1509" s="457"/>
      <c r="Q1509" s="222"/>
      <c r="R1509" s="222"/>
      <c r="S1509" s="222"/>
      <c r="AB1509" t="e">
        <v>#N/A</v>
      </c>
    </row>
    <row r="1510">
      <c r="F1510" s="457"/>
      <c r="Q1510" s="222"/>
      <c r="R1510" s="222"/>
      <c r="S1510" s="222"/>
      <c r="U1510" s="222"/>
      <c r="AB1510" t="e">
        <v>#N/A</v>
      </c>
    </row>
    <row r="1511">
      <c r="F1511" s="457"/>
      <c r="Q1511" s="222"/>
      <c r="R1511" s="222"/>
      <c r="S1511" s="222"/>
      <c r="U1511" s="222"/>
      <c r="AB1511" t="e">
        <v>#N/A</v>
      </c>
    </row>
    <row r="1512">
      <c r="F1512" s="457"/>
      <c r="Q1512" s="222"/>
      <c r="R1512" s="222"/>
      <c r="S1512" s="222"/>
      <c r="U1512" s="222"/>
      <c r="AB1512" t="e">
        <v>#N/A</v>
      </c>
    </row>
    <row r="1513">
      <c r="F1513" s="457"/>
      <c r="Q1513" s="222"/>
      <c r="R1513" s="222"/>
      <c r="AB1513" t="e">
        <v>#N/A</v>
      </c>
    </row>
    <row r="1514">
      <c r="F1514" s="457"/>
      <c r="Q1514" s="222"/>
      <c r="R1514" s="222"/>
      <c r="S1514" s="222"/>
      <c r="U1514" s="222"/>
      <c r="AB1514" t="e">
        <v>#N/A</v>
      </c>
    </row>
    <row r="1515">
      <c r="F1515" s="457"/>
      <c r="Q1515" s="222"/>
      <c r="R1515" s="222"/>
      <c r="S1515" s="222"/>
      <c r="U1515" s="222"/>
      <c r="AB1515" t="e">
        <v>#N/A</v>
      </c>
    </row>
    <row r="1516">
      <c r="F1516" s="457"/>
      <c r="Q1516" s="222"/>
      <c r="R1516" s="222"/>
      <c r="S1516" s="222"/>
      <c r="U1516" s="222"/>
      <c r="AB1516" t="e">
        <v>#N/A</v>
      </c>
    </row>
    <row r="1517">
      <c r="F1517" s="457"/>
      <c r="Q1517" s="222"/>
      <c r="R1517" s="222"/>
      <c r="S1517" s="222"/>
      <c r="U1517" s="222"/>
      <c r="AB1517" t="e">
        <v>#N/A</v>
      </c>
    </row>
    <row r="1518">
      <c r="F1518" s="457"/>
      <c r="Q1518" s="222"/>
      <c r="R1518" s="222"/>
      <c r="S1518" s="222"/>
      <c r="U1518" s="222"/>
      <c r="AB1518" t="e">
        <v>#N/A</v>
      </c>
    </row>
    <row r="1519">
      <c r="F1519" s="457"/>
      <c r="Q1519" s="222"/>
      <c r="R1519" s="222"/>
      <c r="S1519" s="222"/>
      <c r="U1519" s="222"/>
      <c r="AB1519" t="e">
        <v>#N/A</v>
      </c>
    </row>
    <row r="1520">
      <c r="F1520" s="457"/>
      <c r="Q1520" s="222"/>
      <c r="R1520" s="222"/>
      <c r="S1520" s="222"/>
      <c r="AB1520" t="e">
        <v>#N/A</v>
      </c>
    </row>
    <row r="1521">
      <c r="F1521" s="457"/>
      <c r="Q1521" s="222"/>
      <c r="R1521" s="222"/>
      <c r="S1521" s="222"/>
      <c r="U1521" s="222"/>
      <c r="AB1521" t="e">
        <v>#N/A</v>
      </c>
    </row>
    <row r="1522">
      <c r="F1522" s="457"/>
      <c r="Q1522" s="222"/>
      <c r="R1522" s="222"/>
      <c r="S1522" s="222"/>
      <c r="U1522" s="222"/>
      <c r="AB1522" t="e">
        <v>#N/A</v>
      </c>
    </row>
    <row r="1523">
      <c r="F1523" s="457"/>
      <c r="Q1523" s="222"/>
      <c r="R1523" s="222"/>
      <c r="S1523" s="222"/>
      <c r="U1523" s="222"/>
      <c r="AB1523" t="e">
        <v>#N/A</v>
      </c>
    </row>
    <row r="1524">
      <c r="F1524" s="457"/>
      <c r="Q1524" s="222"/>
      <c r="R1524" s="222"/>
      <c r="S1524" s="222"/>
      <c r="U1524" s="222"/>
      <c r="AB1524" t="e">
        <v>#N/A</v>
      </c>
    </row>
    <row r="1525">
      <c r="F1525" s="457"/>
      <c r="Q1525" s="222"/>
      <c r="R1525" s="222"/>
      <c r="S1525" s="222"/>
      <c r="U1525" s="222"/>
      <c r="AB1525" t="e">
        <v>#N/A</v>
      </c>
    </row>
    <row r="1526">
      <c r="F1526" s="457"/>
      <c r="Q1526" s="222"/>
      <c r="R1526" s="222"/>
      <c r="AB1526" t="e">
        <v>#N/A</v>
      </c>
    </row>
    <row r="1527">
      <c r="F1527" s="457"/>
      <c r="Q1527" s="222"/>
      <c r="R1527" s="222"/>
      <c r="S1527" s="222"/>
      <c r="U1527" s="222"/>
      <c r="AB1527" t="e">
        <v>#N/A</v>
      </c>
    </row>
    <row r="1528">
      <c r="F1528" s="457"/>
      <c r="Q1528" s="222"/>
      <c r="R1528" s="222"/>
      <c r="S1528" s="222"/>
      <c r="U1528" s="222"/>
      <c r="AB1528" t="e">
        <v>#N/A</v>
      </c>
    </row>
    <row r="1529">
      <c r="F1529" s="457"/>
      <c r="Q1529" s="222"/>
      <c r="R1529" s="222"/>
      <c r="S1529" s="222"/>
      <c r="U1529" s="222"/>
      <c r="AB1529" t="e">
        <v>#N/A</v>
      </c>
    </row>
    <row r="1530">
      <c r="F1530" s="457"/>
      <c r="Q1530" s="222"/>
      <c r="R1530" s="222"/>
      <c r="S1530" s="222"/>
      <c r="U1530" s="222"/>
      <c r="AB1530" t="e">
        <v>#N/A</v>
      </c>
    </row>
    <row r="1531">
      <c r="F1531" s="457"/>
      <c r="Q1531" s="222"/>
      <c r="R1531" s="222"/>
      <c r="S1531" s="222"/>
      <c r="U1531" s="222"/>
      <c r="AB1531" t="e">
        <v>#N/A</v>
      </c>
    </row>
    <row r="1532">
      <c r="F1532" s="457"/>
      <c r="Q1532" s="222"/>
      <c r="R1532" s="222"/>
      <c r="S1532" s="222"/>
      <c r="U1532" s="222"/>
      <c r="AB1532" t="e">
        <v>#N/A</v>
      </c>
    </row>
    <row r="1533">
      <c r="F1533" s="457"/>
      <c r="Q1533" s="222"/>
      <c r="R1533" s="222"/>
      <c r="S1533" s="222"/>
      <c r="U1533" s="222"/>
      <c r="AB1533" t="e">
        <v>#N/A</v>
      </c>
    </row>
    <row r="1534">
      <c r="F1534" s="457"/>
      <c r="Q1534" s="222"/>
      <c r="R1534" s="222"/>
      <c r="S1534" s="222"/>
      <c r="U1534" s="222"/>
      <c r="AB1534" t="e">
        <v>#N/A</v>
      </c>
    </row>
    <row r="1535">
      <c r="F1535" s="457"/>
      <c r="Q1535" s="222"/>
      <c r="R1535" s="222"/>
      <c r="AB1535" t="e">
        <v>#N/A</v>
      </c>
    </row>
    <row r="1536">
      <c r="F1536" s="457"/>
      <c r="Q1536" s="222"/>
      <c r="R1536" s="222"/>
      <c r="S1536" s="222"/>
      <c r="U1536" s="222"/>
      <c r="AB1536" t="e">
        <v>#N/A</v>
      </c>
    </row>
    <row r="1537">
      <c r="F1537" s="457"/>
      <c r="Q1537" s="222"/>
      <c r="R1537" s="222"/>
      <c r="S1537" s="222"/>
      <c r="U1537" s="222"/>
      <c r="AB1537" t="e">
        <v>#N/A</v>
      </c>
    </row>
    <row r="1538">
      <c r="F1538" s="457"/>
      <c r="Q1538" s="222"/>
      <c r="R1538" s="222"/>
      <c r="S1538" s="222"/>
      <c r="U1538" s="222"/>
      <c r="AB1538" t="e">
        <v>#N/A</v>
      </c>
    </row>
    <row r="1539">
      <c r="F1539" s="457"/>
      <c r="Q1539" s="222"/>
      <c r="R1539" s="222"/>
      <c r="S1539" s="222"/>
      <c r="U1539" s="222"/>
      <c r="AB1539" t="e">
        <v>#N/A</v>
      </c>
    </row>
    <row r="1540">
      <c r="F1540" s="457"/>
      <c r="Q1540" s="222"/>
      <c r="R1540" s="222"/>
      <c r="S1540" s="222"/>
      <c r="U1540" s="222"/>
      <c r="AB1540" t="e">
        <v>#N/A</v>
      </c>
    </row>
    <row r="1541">
      <c r="F1541" s="457"/>
      <c r="Q1541" s="222"/>
      <c r="R1541" s="222"/>
      <c r="S1541" s="222"/>
      <c r="U1541" s="222"/>
      <c r="AB1541" t="e">
        <v>#N/A</v>
      </c>
    </row>
    <row r="1542">
      <c r="F1542" s="457"/>
      <c r="Q1542" s="222"/>
      <c r="R1542" s="222"/>
      <c r="S1542" s="222"/>
      <c r="U1542" s="222"/>
      <c r="AB1542" t="e">
        <v>#N/A</v>
      </c>
    </row>
    <row r="1543">
      <c r="F1543" s="457"/>
      <c r="Q1543" s="222"/>
      <c r="R1543" s="222"/>
      <c r="S1543" s="222"/>
      <c r="U1543" s="222"/>
      <c r="AB1543" t="e">
        <v>#N/A</v>
      </c>
    </row>
    <row r="1544">
      <c r="F1544" s="457"/>
      <c r="Q1544" s="222"/>
      <c r="R1544" s="222"/>
      <c r="S1544" s="222"/>
      <c r="U1544" s="222"/>
      <c r="AB1544" t="e">
        <v>#N/A</v>
      </c>
    </row>
    <row r="1545">
      <c r="F1545" s="457"/>
      <c r="Q1545" s="222"/>
      <c r="R1545" s="222"/>
      <c r="S1545" s="222"/>
      <c r="U1545" s="222"/>
      <c r="AB1545" t="e">
        <v>#N/A</v>
      </c>
    </row>
    <row r="1546">
      <c r="F1546" s="457"/>
      <c r="Q1546" s="222"/>
      <c r="R1546" s="222"/>
      <c r="S1546" s="222"/>
      <c r="AB1546" t="e">
        <v>#N/A</v>
      </c>
    </row>
    <row r="1547">
      <c r="F1547" s="457"/>
      <c r="Q1547" s="222"/>
      <c r="R1547" s="222"/>
      <c r="S1547" s="222"/>
      <c r="AB1547" t="e">
        <v>#N/A</v>
      </c>
    </row>
    <row r="1548">
      <c r="F1548" s="457"/>
      <c r="Q1548" s="222"/>
      <c r="R1548" s="222"/>
      <c r="S1548" s="222"/>
      <c r="U1548" s="222"/>
      <c r="AB1548" t="e">
        <v>#N/A</v>
      </c>
    </row>
    <row r="1549">
      <c r="F1549" s="457"/>
      <c r="Q1549" s="222"/>
      <c r="R1549" s="222"/>
      <c r="S1549" s="222"/>
      <c r="U1549" s="222"/>
      <c r="AB1549" t="e">
        <v>#N/A</v>
      </c>
    </row>
    <row r="1550">
      <c r="F1550" s="457"/>
      <c r="Q1550" s="222"/>
      <c r="R1550" s="222"/>
      <c r="S1550" s="222"/>
      <c r="U1550" s="222"/>
      <c r="AB1550" t="e">
        <v>#N/A</v>
      </c>
    </row>
    <row r="1551">
      <c r="F1551" s="457"/>
      <c r="Q1551" s="222"/>
      <c r="R1551" s="222"/>
      <c r="AB1551" t="e">
        <v>#N/A</v>
      </c>
    </row>
    <row r="1552">
      <c r="F1552" s="457"/>
      <c r="Q1552" s="222"/>
      <c r="R1552" s="222"/>
      <c r="AB1552" t="e">
        <v>#N/A</v>
      </c>
    </row>
    <row r="1553">
      <c r="F1553" s="457"/>
      <c r="Q1553" s="222"/>
      <c r="R1553" s="222"/>
      <c r="S1553" s="222"/>
      <c r="U1553" s="222"/>
      <c r="AB1553" t="e">
        <v>#N/A</v>
      </c>
    </row>
    <row r="1554">
      <c r="F1554" s="457"/>
      <c r="Q1554" s="222"/>
      <c r="R1554" s="222"/>
      <c r="AB1554" t="e">
        <v>#N/A</v>
      </c>
    </row>
    <row r="1555">
      <c r="F1555" s="457"/>
      <c r="Q1555" s="222"/>
      <c r="R1555" s="222"/>
      <c r="S1555" s="222"/>
      <c r="U1555" s="222"/>
      <c r="AB1555" t="e">
        <v>#N/A</v>
      </c>
    </row>
    <row r="1556">
      <c r="F1556" s="457"/>
      <c r="Q1556" s="222"/>
      <c r="R1556" s="222"/>
      <c r="AB1556" t="e">
        <v>#N/A</v>
      </c>
    </row>
    <row r="1557">
      <c r="F1557" s="457"/>
      <c r="Q1557" s="222"/>
      <c r="R1557" s="222"/>
      <c r="S1557" s="222"/>
      <c r="U1557" s="222"/>
      <c r="AB1557" t="e">
        <v>#N/A</v>
      </c>
    </row>
    <row r="1558">
      <c r="F1558" s="457"/>
      <c r="Q1558" s="222"/>
      <c r="R1558" s="222"/>
      <c r="S1558" s="222"/>
      <c r="U1558" s="222"/>
      <c r="AB1558" t="e">
        <v>#N/A</v>
      </c>
    </row>
    <row r="1559">
      <c r="F1559" s="457"/>
      <c r="Q1559" s="222"/>
      <c r="R1559" s="222"/>
      <c r="AB1559" t="e">
        <v>#N/A</v>
      </c>
    </row>
    <row r="1560">
      <c r="F1560" s="457"/>
      <c r="Q1560" s="222"/>
      <c r="R1560" s="222"/>
      <c r="S1560" s="222"/>
      <c r="AB1560" t="e">
        <v>#N/A</v>
      </c>
    </row>
    <row r="1561">
      <c r="F1561" s="457"/>
      <c r="Q1561" s="222"/>
      <c r="R1561" s="222"/>
      <c r="S1561" s="222"/>
      <c r="U1561" s="222"/>
      <c r="AB1561" t="e">
        <v>#N/A</v>
      </c>
    </row>
    <row r="1562">
      <c r="F1562" s="457"/>
      <c r="Q1562" s="222"/>
      <c r="R1562" s="222"/>
      <c r="S1562" s="222"/>
      <c r="U1562" s="222"/>
      <c r="AB1562" t="e">
        <v>#N/A</v>
      </c>
    </row>
    <row r="1563">
      <c r="F1563" s="457"/>
      <c r="Q1563" s="222"/>
      <c r="R1563" s="222"/>
      <c r="AB1563" t="e">
        <v>#N/A</v>
      </c>
    </row>
    <row r="1564">
      <c r="F1564" s="457"/>
      <c r="Q1564" s="222"/>
      <c r="R1564" s="222"/>
      <c r="S1564" s="222"/>
      <c r="U1564" s="222"/>
      <c r="AB1564" t="e">
        <v>#N/A</v>
      </c>
    </row>
    <row r="1565">
      <c r="F1565" s="457"/>
      <c r="Q1565" s="222"/>
      <c r="R1565" s="222"/>
      <c r="AB1565" t="e">
        <v>#N/A</v>
      </c>
    </row>
    <row r="1566">
      <c r="F1566" s="457"/>
      <c r="Q1566" s="222"/>
      <c r="R1566" s="222"/>
      <c r="S1566" s="222"/>
      <c r="AB1566" t="e">
        <v>#N/A</v>
      </c>
    </row>
    <row r="1567">
      <c r="F1567" s="457"/>
      <c r="Q1567" s="222"/>
      <c r="R1567" s="222"/>
      <c r="AB1567" t="e">
        <v>#N/A</v>
      </c>
    </row>
    <row r="1568">
      <c r="F1568" s="457"/>
      <c r="Q1568" s="222"/>
      <c r="R1568" s="222"/>
      <c r="AB1568" t="e">
        <v>#N/A</v>
      </c>
    </row>
    <row r="1569">
      <c r="F1569" s="457"/>
      <c r="Q1569" s="222"/>
      <c r="R1569" s="222"/>
      <c r="AB1569" t="e">
        <v>#N/A</v>
      </c>
    </row>
    <row r="1570">
      <c r="F1570" s="457"/>
      <c r="Q1570" s="222"/>
      <c r="R1570" s="222"/>
      <c r="AB1570" t="e">
        <v>#N/A</v>
      </c>
    </row>
    <row r="1571">
      <c r="F1571" s="457"/>
      <c r="Q1571" s="222"/>
      <c r="R1571" s="222"/>
      <c r="S1571" s="222"/>
      <c r="U1571" s="222"/>
      <c r="AB1571" t="e">
        <v>#N/A</v>
      </c>
    </row>
    <row r="1572">
      <c r="F1572" s="457"/>
      <c r="Q1572" s="222"/>
      <c r="R1572" s="222"/>
      <c r="S1572" s="222"/>
      <c r="U1572" s="222"/>
      <c r="AB1572" t="e">
        <v>#N/A</v>
      </c>
    </row>
    <row r="1573">
      <c r="F1573" s="457"/>
      <c r="Q1573" s="222"/>
      <c r="R1573" s="222"/>
      <c r="AB1573" t="e">
        <v>#N/A</v>
      </c>
    </row>
    <row r="1574">
      <c r="F1574" s="457"/>
      <c r="Q1574" s="222"/>
      <c r="R1574" s="222"/>
      <c r="S1574" s="222"/>
      <c r="AB1574" t="e">
        <v>#N/A</v>
      </c>
    </row>
    <row r="1575">
      <c r="F1575" s="457"/>
      <c r="Q1575" s="222"/>
      <c r="R1575" s="222"/>
      <c r="AB1575" t="e">
        <v>#N/A</v>
      </c>
    </row>
    <row r="1576">
      <c r="F1576" s="457"/>
      <c r="Q1576" s="222"/>
      <c r="R1576" s="222"/>
      <c r="AB1576" t="e">
        <v>#N/A</v>
      </c>
    </row>
    <row r="1577">
      <c r="F1577" s="457"/>
      <c r="Q1577" s="222"/>
      <c r="R1577" s="222"/>
      <c r="AB1577" t="e">
        <v>#N/A</v>
      </c>
    </row>
    <row r="1578">
      <c r="F1578" s="457"/>
      <c r="Q1578" s="222"/>
      <c r="R1578" s="222"/>
      <c r="AB1578" t="e">
        <v>#N/A</v>
      </c>
    </row>
    <row r="1579">
      <c r="F1579" s="457"/>
      <c r="Q1579" s="222"/>
      <c r="R1579" s="222"/>
      <c r="AB1579" t="e">
        <v>#N/A</v>
      </c>
    </row>
    <row r="1580">
      <c r="F1580" s="457"/>
      <c r="Q1580" s="222"/>
      <c r="R1580" s="222"/>
      <c r="S1580" s="222"/>
      <c r="U1580" s="222"/>
      <c r="AB1580" t="e">
        <v>#N/A</v>
      </c>
    </row>
    <row r="1581">
      <c r="F1581" s="457"/>
      <c r="Q1581" s="222"/>
      <c r="R1581" s="222"/>
      <c r="S1581" s="222"/>
      <c r="AB1581" t="e">
        <v>#N/A</v>
      </c>
    </row>
    <row r="1582">
      <c r="F1582" s="457"/>
      <c r="Q1582" s="222"/>
      <c r="R1582" s="222"/>
      <c r="S1582" s="222"/>
      <c r="AB1582" t="e">
        <v>#N/A</v>
      </c>
    </row>
    <row r="1583">
      <c r="F1583" s="457"/>
      <c r="Q1583" s="222"/>
      <c r="R1583" s="222"/>
      <c r="S1583" s="222"/>
      <c r="AB1583" t="e">
        <v>#N/A</v>
      </c>
    </row>
    <row r="1584">
      <c r="F1584" s="457"/>
      <c r="Q1584" s="222"/>
      <c r="R1584" s="222"/>
      <c r="AB1584" t="e">
        <v>#N/A</v>
      </c>
    </row>
    <row r="1585">
      <c r="F1585" s="457"/>
      <c r="Q1585" s="222"/>
      <c r="R1585" s="222"/>
      <c r="AB1585" t="e">
        <v>#N/A</v>
      </c>
    </row>
    <row r="1586">
      <c r="F1586" s="457"/>
      <c r="Q1586" s="222"/>
      <c r="R1586" s="222"/>
      <c r="AB1586" t="e">
        <v>#N/A</v>
      </c>
    </row>
    <row r="1587">
      <c r="F1587" s="457"/>
      <c r="Q1587" s="222"/>
      <c r="R1587" s="222"/>
      <c r="S1587" s="222"/>
      <c r="AB1587" t="e">
        <v>#N/A</v>
      </c>
    </row>
    <row r="1588">
      <c r="F1588" s="457"/>
      <c r="Q1588" s="222"/>
      <c r="R1588" s="222"/>
      <c r="S1588" s="222"/>
      <c r="U1588" s="222"/>
      <c r="AB1588" t="e">
        <v>#N/A</v>
      </c>
    </row>
    <row r="1589">
      <c r="F1589" s="457"/>
      <c r="Q1589" s="222"/>
      <c r="R1589" s="222"/>
      <c r="AB1589" t="e">
        <v>#N/A</v>
      </c>
    </row>
    <row r="1590">
      <c r="F1590" s="457"/>
      <c r="Q1590" s="222"/>
      <c r="R1590" s="222"/>
      <c r="AB1590" t="e">
        <v>#N/A</v>
      </c>
    </row>
    <row r="1591">
      <c r="F1591" s="457"/>
      <c r="Q1591" s="222"/>
      <c r="R1591" s="222"/>
      <c r="AB1591" t="e">
        <v>#N/A</v>
      </c>
    </row>
    <row r="1592">
      <c r="F1592" s="457"/>
      <c r="Q1592" s="222"/>
      <c r="R1592" s="222"/>
      <c r="S1592" s="222"/>
      <c r="U1592" s="222"/>
      <c r="AB1592" t="e">
        <v>#N/A</v>
      </c>
    </row>
    <row r="1593">
      <c r="F1593" s="457"/>
      <c r="Q1593" s="222"/>
      <c r="R1593" s="222"/>
      <c r="AB1593" t="e">
        <v>#N/A</v>
      </c>
    </row>
    <row r="1594">
      <c r="F1594" s="457"/>
      <c r="Q1594" s="222"/>
      <c r="R1594" s="222"/>
      <c r="S1594" s="222"/>
      <c r="AB1594" t="e">
        <v>#N/A</v>
      </c>
    </row>
    <row r="1595">
      <c r="F1595" s="457"/>
      <c r="Q1595" s="222"/>
      <c r="R1595" s="222"/>
      <c r="S1595" s="222"/>
      <c r="U1595" s="222"/>
      <c r="AB1595" t="e">
        <v>#N/A</v>
      </c>
    </row>
    <row r="1596">
      <c r="F1596" s="457"/>
      <c r="Q1596" s="222"/>
      <c r="R1596" s="222"/>
      <c r="S1596" s="222"/>
      <c r="AB1596" t="e">
        <v>#N/A</v>
      </c>
    </row>
    <row r="1597">
      <c r="F1597" s="457"/>
      <c r="Q1597" s="222"/>
      <c r="R1597" s="222"/>
      <c r="AB1597" t="e">
        <v>#N/A</v>
      </c>
    </row>
    <row r="1598">
      <c r="F1598" s="457"/>
      <c r="Q1598" s="222"/>
      <c r="R1598" s="222"/>
      <c r="AB1598" t="e">
        <v>#N/A</v>
      </c>
    </row>
    <row r="1599">
      <c r="F1599" s="457"/>
      <c r="Q1599" s="222"/>
      <c r="R1599" s="222"/>
      <c r="AB1599" t="e">
        <v>#N/A</v>
      </c>
    </row>
    <row r="1600">
      <c r="F1600" s="457"/>
      <c r="Q1600" s="222"/>
      <c r="R1600" s="222"/>
      <c r="S1600" s="222"/>
      <c r="AB1600" t="e">
        <v>#N/A</v>
      </c>
    </row>
    <row r="1601">
      <c r="F1601" s="457"/>
      <c r="Q1601" s="222"/>
      <c r="R1601" s="222"/>
      <c r="S1601" s="222"/>
      <c r="U1601" s="222"/>
      <c r="AB1601" t="e">
        <v>#N/A</v>
      </c>
    </row>
    <row r="1602">
      <c r="F1602" s="457"/>
      <c r="Q1602" s="222"/>
      <c r="R1602" s="222"/>
      <c r="S1602" s="222"/>
      <c r="U1602" s="222"/>
      <c r="AB1602" t="e">
        <v>#N/A</v>
      </c>
    </row>
    <row r="1603">
      <c r="F1603" s="457"/>
      <c r="Q1603" s="222"/>
      <c r="R1603" s="222"/>
      <c r="S1603" s="222"/>
      <c r="U1603" s="222"/>
      <c r="AB1603" t="e">
        <v>#N/A</v>
      </c>
    </row>
    <row r="1604">
      <c r="F1604" s="457"/>
      <c r="Q1604" s="222"/>
      <c r="R1604" s="222"/>
      <c r="AB1604" t="e">
        <v>#N/A</v>
      </c>
    </row>
    <row r="1605">
      <c r="F1605" s="457"/>
      <c r="Q1605" s="222"/>
      <c r="R1605" s="222"/>
      <c r="AB1605" t="e">
        <v>#N/A</v>
      </c>
    </row>
    <row r="1606">
      <c r="F1606" s="457"/>
      <c r="Q1606" s="222"/>
      <c r="R1606" s="222"/>
      <c r="S1606" s="222"/>
      <c r="AB1606" t="e">
        <v>#N/A</v>
      </c>
    </row>
    <row r="1607">
      <c r="F1607" s="457"/>
      <c r="Q1607" s="222"/>
      <c r="R1607" s="222"/>
      <c r="AB1607" t="e">
        <v>#N/A</v>
      </c>
    </row>
    <row r="1608">
      <c r="F1608" s="457"/>
      <c r="Q1608" s="222"/>
      <c r="R1608" s="222"/>
      <c r="S1608" s="222"/>
      <c r="AB1608" t="e">
        <v>#N/A</v>
      </c>
    </row>
    <row r="1609">
      <c r="F1609" s="457"/>
      <c r="Q1609" s="222"/>
      <c r="R1609" s="222"/>
      <c r="AB1609" t="e">
        <v>#N/A</v>
      </c>
    </row>
    <row r="1610">
      <c r="F1610" s="457"/>
      <c r="Q1610" s="222"/>
      <c r="R1610" s="222"/>
      <c r="S1610" s="222"/>
      <c r="AB1610" t="e">
        <v>#N/A</v>
      </c>
    </row>
    <row r="1611">
      <c r="F1611" s="457"/>
      <c r="Q1611" s="222"/>
      <c r="R1611" s="222"/>
      <c r="AB1611" t="e">
        <v>#N/A</v>
      </c>
    </row>
    <row r="1612">
      <c r="F1612" s="457"/>
      <c r="Q1612" s="222"/>
      <c r="R1612" s="222"/>
      <c r="AB1612" t="e">
        <v>#N/A</v>
      </c>
    </row>
    <row r="1613">
      <c r="F1613" s="457"/>
      <c r="Q1613" s="222"/>
      <c r="R1613" s="222"/>
      <c r="AB1613" t="e">
        <v>#N/A</v>
      </c>
    </row>
    <row r="1614">
      <c r="F1614" s="457"/>
      <c r="Q1614" s="222"/>
      <c r="R1614" s="222"/>
      <c r="S1614" s="222"/>
      <c r="U1614" s="222"/>
      <c r="AB1614" t="e">
        <v>#N/A</v>
      </c>
    </row>
    <row r="1615">
      <c r="F1615" s="457"/>
      <c r="Q1615" s="222"/>
      <c r="R1615" s="222"/>
      <c r="AB1615" t="e">
        <v>#N/A</v>
      </c>
    </row>
    <row r="1616">
      <c r="F1616" s="457"/>
      <c r="Q1616" s="222"/>
      <c r="R1616" s="222"/>
      <c r="AB1616" t="e">
        <v>#N/A</v>
      </c>
    </row>
    <row r="1617">
      <c r="F1617" s="457"/>
      <c r="Q1617" s="222"/>
      <c r="R1617" s="222"/>
      <c r="S1617" s="222"/>
      <c r="AB1617" t="e">
        <v>#N/A</v>
      </c>
    </row>
    <row r="1618">
      <c r="F1618" s="457"/>
      <c r="Q1618" s="222"/>
      <c r="R1618" s="222"/>
      <c r="S1618" s="222"/>
      <c r="U1618" s="222"/>
      <c r="AB1618" t="e">
        <v>#N/A</v>
      </c>
    </row>
    <row r="1619">
      <c r="F1619" s="457"/>
      <c r="Q1619" s="222"/>
      <c r="R1619" s="222"/>
      <c r="S1619" s="222"/>
      <c r="U1619" s="222"/>
      <c r="AB1619" t="e">
        <v>#N/A</v>
      </c>
    </row>
    <row r="1620">
      <c r="F1620" s="457"/>
      <c r="Q1620" s="222"/>
      <c r="R1620" s="222"/>
      <c r="S1620" s="222"/>
      <c r="AB1620" t="e">
        <v>#N/A</v>
      </c>
    </row>
    <row r="1621">
      <c r="F1621" s="457"/>
      <c r="Q1621" s="222"/>
      <c r="R1621" s="222"/>
      <c r="AB1621" t="e">
        <v>#N/A</v>
      </c>
    </row>
    <row r="1622">
      <c r="F1622" s="457"/>
      <c r="Q1622" s="222"/>
      <c r="R1622" s="222"/>
      <c r="AB1622" t="e">
        <v>#N/A</v>
      </c>
    </row>
    <row r="1623">
      <c r="F1623" s="457"/>
      <c r="Q1623" s="222"/>
      <c r="R1623" s="222"/>
      <c r="AB1623" t="e">
        <v>#N/A</v>
      </c>
    </row>
    <row r="1624">
      <c r="F1624" s="457"/>
      <c r="Q1624" s="222"/>
      <c r="R1624" s="222"/>
      <c r="AB1624" t="e">
        <v>#N/A</v>
      </c>
    </row>
    <row r="1625">
      <c r="F1625" s="457"/>
      <c r="Q1625" s="222"/>
      <c r="R1625" s="222"/>
      <c r="S1625" s="222"/>
      <c r="U1625" s="222"/>
      <c r="AB1625" t="e">
        <v>#N/A</v>
      </c>
    </row>
    <row r="1626">
      <c r="F1626" s="457"/>
      <c r="Q1626" s="222"/>
      <c r="R1626" s="222"/>
      <c r="S1626" s="222"/>
      <c r="U1626" s="222"/>
      <c r="AB1626" t="e">
        <v>#N/A</v>
      </c>
    </row>
    <row r="1627">
      <c r="F1627" s="457"/>
      <c r="Q1627" s="222"/>
      <c r="R1627" s="222"/>
      <c r="AB1627" t="e">
        <v>#N/A</v>
      </c>
    </row>
    <row r="1628">
      <c r="F1628" s="457"/>
      <c r="Q1628" s="222"/>
      <c r="R1628" s="222"/>
      <c r="AB1628" t="e">
        <v>#N/A</v>
      </c>
    </row>
    <row r="1629">
      <c r="F1629" s="457"/>
      <c r="Q1629" s="222"/>
      <c r="R1629" s="222"/>
      <c r="AB1629" t="e">
        <v>#N/A</v>
      </c>
    </row>
    <row r="1630">
      <c r="F1630" s="457"/>
      <c r="Q1630" s="222"/>
      <c r="R1630" s="222"/>
      <c r="S1630" s="222"/>
      <c r="AB1630" t="e">
        <v>#N/A</v>
      </c>
    </row>
    <row r="1631">
      <c r="F1631" s="457"/>
      <c r="Q1631" s="222"/>
      <c r="R1631" s="222"/>
      <c r="AB1631" t="e">
        <v>#N/A</v>
      </c>
    </row>
    <row r="1632">
      <c r="F1632" s="457"/>
      <c r="Q1632" s="222"/>
      <c r="R1632" s="222"/>
      <c r="AB1632" t="e">
        <v>#N/A</v>
      </c>
    </row>
    <row r="1633">
      <c r="F1633" s="457"/>
      <c r="Q1633" s="222"/>
      <c r="R1633" s="222"/>
      <c r="S1633" s="222"/>
      <c r="AB1633" t="e">
        <v>#N/A</v>
      </c>
    </row>
    <row r="1634">
      <c r="F1634" s="457"/>
      <c r="Q1634" s="222"/>
      <c r="R1634" s="222"/>
      <c r="S1634" s="222"/>
      <c r="U1634" s="222"/>
      <c r="AB1634" t="e">
        <v>#N/A</v>
      </c>
    </row>
    <row r="1635">
      <c r="F1635" s="457"/>
      <c r="Q1635" s="222"/>
      <c r="R1635" s="222"/>
      <c r="S1635" s="222"/>
      <c r="AB1635" t="e">
        <v>#N/A</v>
      </c>
    </row>
    <row r="1636">
      <c r="F1636" s="457"/>
      <c r="Q1636" s="222"/>
      <c r="R1636" s="222"/>
      <c r="S1636" s="222"/>
      <c r="U1636" s="222"/>
      <c r="AB1636" t="e">
        <v>#N/A</v>
      </c>
    </row>
    <row r="1637">
      <c r="F1637" s="457"/>
      <c r="Q1637" s="222"/>
      <c r="R1637" s="222"/>
      <c r="AB1637" t="e">
        <v>#N/A</v>
      </c>
    </row>
    <row r="1638">
      <c r="F1638" s="457"/>
      <c r="Q1638" s="222"/>
      <c r="R1638" s="222"/>
      <c r="AB1638" t="e">
        <v>#N/A</v>
      </c>
    </row>
    <row r="1639">
      <c r="F1639" s="457"/>
      <c r="Q1639" s="222"/>
      <c r="R1639" s="222"/>
      <c r="AB1639" t="e">
        <v>#N/A</v>
      </c>
    </row>
    <row r="1640">
      <c r="F1640" s="457"/>
      <c r="Q1640" s="222"/>
      <c r="R1640" s="222"/>
      <c r="AB1640" t="e">
        <v>#N/A</v>
      </c>
    </row>
    <row r="1641">
      <c r="F1641" s="457"/>
      <c r="Q1641" s="222"/>
      <c r="R1641" s="222"/>
      <c r="AB1641" t="e">
        <v>#N/A</v>
      </c>
    </row>
    <row r="1642">
      <c r="F1642" s="457"/>
      <c r="Q1642" s="222"/>
      <c r="R1642" s="222"/>
      <c r="S1642" s="222"/>
      <c r="U1642" s="222"/>
      <c r="AB1642" t="e">
        <v>#N/A</v>
      </c>
    </row>
    <row r="1643">
      <c r="F1643" s="457"/>
      <c r="Q1643" s="222"/>
      <c r="R1643" s="222"/>
      <c r="AB1643" t="e">
        <v>#N/A</v>
      </c>
    </row>
    <row r="1644">
      <c r="F1644" s="457"/>
      <c r="Q1644" s="222"/>
      <c r="R1644" s="222"/>
      <c r="AB1644" t="e">
        <v>#N/A</v>
      </c>
    </row>
    <row r="1645">
      <c r="F1645" s="457"/>
      <c r="Q1645" s="222"/>
      <c r="R1645" s="222"/>
      <c r="AB1645" t="e">
        <v>#N/A</v>
      </c>
    </row>
    <row r="1646">
      <c r="F1646" s="457"/>
      <c r="Q1646" s="222"/>
      <c r="R1646" s="222"/>
      <c r="AB1646" t="e">
        <v>#N/A</v>
      </c>
    </row>
    <row r="1647">
      <c r="F1647" s="457"/>
      <c r="Q1647" s="222"/>
      <c r="R1647" s="222"/>
      <c r="S1647" s="222"/>
      <c r="AB1647" t="e">
        <v>#N/A</v>
      </c>
    </row>
    <row r="1648">
      <c r="F1648" s="457"/>
      <c r="Q1648" s="222"/>
      <c r="R1648" s="222"/>
      <c r="S1648" s="222"/>
      <c r="U1648" s="222"/>
      <c r="AB1648" t="e">
        <v>#N/A</v>
      </c>
    </row>
    <row r="1649">
      <c r="F1649" s="457"/>
      <c r="Q1649" s="222"/>
      <c r="R1649" s="222"/>
      <c r="AB1649" t="e">
        <v>#N/A</v>
      </c>
    </row>
    <row r="1650">
      <c r="F1650" s="457"/>
      <c r="Q1650" s="222"/>
      <c r="R1650" s="222"/>
      <c r="AB1650" t="e">
        <v>#N/A</v>
      </c>
    </row>
    <row r="1651">
      <c r="F1651" s="457"/>
      <c r="Q1651" s="222"/>
      <c r="R1651" s="222"/>
      <c r="AB1651" t="e">
        <v>#N/A</v>
      </c>
    </row>
    <row r="1652">
      <c r="F1652" s="457"/>
      <c r="Q1652" s="222"/>
      <c r="R1652" s="222"/>
      <c r="AB1652" t="e">
        <v>#N/A</v>
      </c>
    </row>
    <row r="1653">
      <c r="F1653" s="457"/>
      <c r="Q1653" s="222"/>
      <c r="R1653" s="222"/>
      <c r="AB1653" t="e">
        <v>#N/A</v>
      </c>
    </row>
    <row r="1654">
      <c r="F1654" s="457"/>
      <c r="Q1654" s="222"/>
      <c r="R1654" s="222"/>
      <c r="AB1654" t="e">
        <v>#N/A</v>
      </c>
    </row>
    <row r="1655">
      <c r="F1655" s="457"/>
      <c r="Q1655" s="222"/>
      <c r="R1655" s="222"/>
      <c r="AB1655" t="e">
        <v>#N/A</v>
      </c>
    </row>
    <row r="1656">
      <c r="F1656" s="457"/>
      <c r="Q1656" s="222"/>
      <c r="R1656" s="222"/>
      <c r="AB1656" t="e">
        <v>#N/A</v>
      </c>
    </row>
    <row r="1657">
      <c r="F1657" s="457"/>
      <c r="Q1657" s="222"/>
      <c r="R1657" s="222"/>
      <c r="AB1657" t="e">
        <v>#N/A</v>
      </c>
    </row>
    <row r="1658">
      <c r="F1658" s="457"/>
      <c r="Q1658" s="222"/>
      <c r="R1658" s="222"/>
      <c r="S1658" s="222"/>
      <c r="U1658" s="222"/>
      <c r="AB1658" t="e">
        <v>#N/A</v>
      </c>
    </row>
    <row r="1659">
      <c r="F1659" s="457"/>
      <c r="Q1659" s="222"/>
      <c r="R1659" s="222"/>
      <c r="S1659" s="222"/>
      <c r="AB1659" t="e">
        <v>#N/A</v>
      </c>
    </row>
    <row r="1660">
      <c r="F1660" s="457"/>
      <c r="Q1660" s="222"/>
      <c r="R1660" s="222"/>
      <c r="AB1660" t="e">
        <v>#N/A</v>
      </c>
    </row>
    <row r="1661">
      <c r="F1661" s="457"/>
      <c r="Q1661" s="222"/>
      <c r="R1661" s="222"/>
      <c r="AB1661" t="e">
        <v>#N/A</v>
      </c>
    </row>
    <row r="1662">
      <c r="F1662" s="457"/>
      <c r="Q1662" s="222"/>
      <c r="R1662" s="222"/>
      <c r="AB1662" t="e">
        <v>#N/A</v>
      </c>
    </row>
    <row r="1663">
      <c r="F1663" s="457"/>
      <c r="Q1663" s="222"/>
      <c r="R1663" s="222"/>
      <c r="AB1663" t="e">
        <v>#N/A</v>
      </c>
    </row>
    <row r="1664">
      <c r="F1664" s="457"/>
      <c r="Q1664" s="222"/>
      <c r="R1664" s="222"/>
      <c r="AB1664" t="e">
        <v>#N/A</v>
      </c>
    </row>
    <row r="1665">
      <c r="F1665" s="457"/>
      <c r="Q1665" s="222"/>
      <c r="R1665" s="222"/>
      <c r="AB1665" t="e">
        <v>#N/A</v>
      </c>
    </row>
    <row r="1666">
      <c r="F1666" s="457"/>
      <c r="Q1666" s="222"/>
      <c r="R1666" s="222"/>
      <c r="S1666" s="222"/>
      <c r="U1666" s="222"/>
      <c r="AB1666" t="e">
        <v>#N/A</v>
      </c>
    </row>
    <row r="1667">
      <c r="F1667" s="457"/>
      <c r="Q1667" s="222"/>
      <c r="R1667" s="222"/>
      <c r="AB1667" t="e">
        <v>#N/A</v>
      </c>
    </row>
    <row r="1668">
      <c r="F1668" s="457"/>
      <c r="Q1668" s="222"/>
      <c r="R1668" s="222"/>
      <c r="AB1668" t="e">
        <v>#N/A</v>
      </c>
    </row>
    <row r="1669">
      <c r="F1669" s="457"/>
      <c r="Q1669" s="222"/>
      <c r="R1669" s="222"/>
      <c r="AB1669" t="e">
        <v>#N/A</v>
      </c>
    </row>
    <row r="1670">
      <c r="F1670" s="457"/>
      <c r="Q1670" s="222"/>
      <c r="R1670" s="222"/>
      <c r="AB1670" t="e">
        <v>#N/A</v>
      </c>
    </row>
    <row r="1671">
      <c r="F1671" s="457"/>
      <c r="Q1671" s="222"/>
      <c r="R1671" s="222"/>
      <c r="AB1671" t="e">
        <v>#N/A</v>
      </c>
    </row>
    <row r="1672">
      <c r="F1672" s="457"/>
      <c r="Q1672" s="222"/>
      <c r="R1672" s="222"/>
      <c r="AB1672" t="e">
        <v>#N/A</v>
      </c>
    </row>
    <row r="1673">
      <c r="F1673" s="457"/>
      <c r="Q1673" s="222"/>
      <c r="R1673" s="222"/>
      <c r="AB1673" t="e">
        <v>#N/A</v>
      </c>
    </row>
    <row r="1674">
      <c r="F1674" s="457"/>
      <c r="Q1674" s="222"/>
      <c r="R1674" s="222"/>
      <c r="AB1674" t="e">
        <v>#N/A</v>
      </c>
    </row>
    <row r="1675">
      <c r="F1675" s="457"/>
      <c r="Q1675" s="222"/>
      <c r="R1675" s="222"/>
      <c r="AB1675" t="e">
        <v>#N/A</v>
      </c>
    </row>
    <row r="1676">
      <c r="F1676" s="457"/>
      <c r="Q1676" s="222"/>
      <c r="R1676" s="222"/>
      <c r="AB1676" t="e">
        <v>#N/A</v>
      </c>
    </row>
    <row r="1677">
      <c r="F1677" s="457"/>
      <c r="Q1677" s="222"/>
      <c r="R1677" s="222"/>
      <c r="AB1677" t="e">
        <v>#N/A</v>
      </c>
    </row>
    <row r="1678">
      <c r="F1678" s="457"/>
      <c r="Q1678" s="222"/>
      <c r="R1678" s="222"/>
      <c r="S1678" s="222"/>
      <c r="U1678" s="222"/>
      <c r="AB1678" t="e">
        <v>#N/A</v>
      </c>
    </row>
    <row r="1679">
      <c r="F1679" s="457"/>
      <c r="Q1679" s="222"/>
      <c r="R1679" s="222"/>
      <c r="AB1679" t="e">
        <v>#N/A</v>
      </c>
    </row>
    <row r="1680">
      <c r="F1680" s="457"/>
      <c r="Q1680" s="222"/>
      <c r="R1680" s="222"/>
      <c r="S1680" s="222"/>
      <c r="AB1680" t="e">
        <v>#N/A</v>
      </c>
    </row>
    <row r="1681">
      <c r="F1681" s="457"/>
      <c r="Q1681" s="222"/>
      <c r="R1681" s="222"/>
      <c r="S1681" s="222"/>
      <c r="AB1681" t="e">
        <v>#N/A</v>
      </c>
    </row>
    <row r="1682">
      <c r="F1682" s="457"/>
      <c r="Q1682" s="222"/>
      <c r="R1682" s="222"/>
      <c r="AB1682" t="e">
        <v>#N/A</v>
      </c>
    </row>
    <row r="1683">
      <c r="F1683" s="457"/>
      <c r="Q1683" s="222"/>
      <c r="R1683" s="222"/>
      <c r="AB1683" t="e">
        <v>#N/A</v>
      </c>
    </row>
    <row r="1684">
      <c r="F1684" s="457"/>
      <c r="Q1684" s="222"/>
      <c r="R1684" s="222"/>
      <c r="AB1684" t="e">
        <v>#N/A</v>
      </c>
    </row>
    <row r="1685">
      <c r="F1685" s="457"/>
      <c r="Q1685" s="222"/>
      <c r="R1685" s="222"/>
      <c r="AB1685" t="e">
        <v>#N/A</v>
      </c>
    </row>
    <row r="1686">
      <c r="F1686" s="457"/>
      <c r="Q1686" s="222"/>
      <c r="R1686" s="222"/>
      <c r="AB1686" t="e">
        <v>#N/A</v>
      </c>
    </row>
    <row r="1687">
      <c r="F1687" s="457"/>
      <c r="Q1687" s="222"/>
      <c r="R1687" s="222"/>
      <c r="S1687" s="222"/>
      <c r="AB1687" t="e">
        <v>#N/A</v>
      </c>
    </row>
    <row r="1688">
      <c r="F1688" s="457"/>
      <c r="Q1688" s="222"/>
      <c r="R1688" s="222"/>
      <c r="AB1688" t="e">
        <v>#N/A</v>
      </c>
    </row>
    <row r="1689">
      <c r="F1689" s="457"/>
      <c r="Q1689" s="222"/>
      <c r="R1689" s="222"/>
      <c r="S1689" s="222"/>
      <c r="U1689" s="222"/>
      <c r="AB1689" t="e">
        <v>#N/A</v>
      </c>
    </row>
    <row r="1690">
      <c r="F1690" s="457"/>
      <c r="Q1690" s="222"/>
      <c r="R1690" s="222"/>
      <c r="AB1690" t="e">
        <v>#N/A</v>
      </c>
    </row>
    <row r="1691">
      <c r="F1691" s="457"/>
      <c r="Q1691" s="222"/>
      <c r="R1691" s="222"/>
      <c r="AB1691" t="e">
        <v>#N/A</v>
      </c>
    </row>
    <row r="1692">
      <c r="F1692" s="457"/>
      <c r="Q1692" s="222"/>
      <c r="R1692" s="222"/>
      <c r="AB1692" t="e">
        <v>#N/A</v>
      </c>
    </row>
    <row r="1693">
      <c r="F1693" s="457"/>
      <c r="Q1693" s="222"/>
      <c r="R1693" s="222"/>
      <c r="S1693" s="222"/>
      <c r="AB1693" t="e">
        <v>#N/A</v>
      </c>
    </row>
    <row r="1694">
      <c r="F1694" s="457"/>
      <c r="Q1694" s="222"/>
      <c r="R1694" s="222"/>
      <c r="S1694" s="222"/>
      <c r="U1694" s="222"/>
      <c r="AB1694" t="e">
        <v>#N/A</v>
      </c>
    </row>
    <row r="1695">
      <c r="F1695" s="457"/>
      <c r="Q1695" s="222"/>
      <c r="R1695" s="222"/>
      <c r="AB1695" t="e">
        <v>#N/A</v>
      </c>
    </row>
    <row r="1696">
      <c r="F1696" s="457"/>
      <c r="Q1696" s="222"/>
      <c r="R1696" s="222"/>
      <c r="AB1696" t="e">
        <v>#N/A</v>
      </c>
    </row>
    <row r="1697">
      <c r="F1697" s="457"/>
      <c r="Q1697" s="222"/>
      <c r="R1697" s="222"/>
      <c r="S1697" s="222"/>
      <c r="U1697" s="222"/>
      <c r="AB1697" t="e">
        <v>#N/A</v>
      </c>
    </row>
    <row r="1698">
      <c r="F1698" s="457"/>
      <c r="Q1698" s="222"/>
      <c r="R1698" s="222"/>
      <c r="S1698" s="222"/>
      <c r="AB1698" t="e">
        <v>#N/A</v>
      </c>
    </row>
    <row r="1699">
      <c r="F1699" s="457"/>
      <c r="Q1699" s="222"/>
      <c r="R1699" s="222"/>
      <c r="AB1699" t="e">
        <v>#N/A</v>
      </c>
    </row>
    <row r="1700">
      <c r="F1700" s="457"/>
      <c r="Q1700" s="222"/>
      <c r="R1700" s="222"/>
      <c r="S1700" s="222"/>
      <c r="U1700" s="222"/>
      <c r="AB1700" t="e">
        <v>#N/A</v>
      </c>
    </row>
    <row r="1701">
      <c r="F1701" s="457"/>
      <c r="Q1701" s="222"/>
      <c r="R1701" s="222"/>
      <c r="S1701" s="222"/>
      <c r="AB1701" t="e">
        <v>#N/A</v>
      </c>
    </row>
    <row r="1702">
      <c r="F1702" s="457"/>
      <c r="Q1702" s="222"/>
      <c r="R1702" s="222"/>
      <c r="S1702" s="222"/>
      <c r="AB1702" t="e">
        <v>#N/A</v>
      </c>
    </row>
    <row r="1703">
      <c r="F1703" s="457"/>
      <c r="Q1703" s="222"/>
      <c r="R1703" s="222"/>
      <c r="AB1703" t="e">
        <v>#N/A</v>
      </c>
    </row>
    <row r="1704">
      <c r="F1704" s="457"/>
      <c r="Q1704" s="222"/>
      <c r="R1704" s="222"/>
      <c r="AB1704" t="e">
        <v>#N/A</v>
      </c>
    </row>
    <row r="1705">
      <c r="F1705" s="457"/>
      <c r="Q1705" s="222"/>
      <c r="R1705" s="222"/>
      <c r="S1705" s="222"/>
      <c r="U1705" s="222"/>
      <c r="AB1705" t="e">
        <v>#N/A</v>
      </c>
    </row>
    <row r="1706">
      <c r="F1706" s="457"/>
      <c r="Q1706" s="222"/>
      <c r="R1706" s="222"/>
      <c r="S1706" s="222"/>
      <c r="U1706" s="222"/>
      <c r="AB1706" t="e">
        <v>#N/A</v>
      </c>
    </row>
    <row r="1707">
      <c r="F1707" s="457"/>
      <c r="Q1707" s="222"/>
      <c r="R1707" s="222"/>
      <c r="AB1707" t="e">
        <v>#N/A</v>
      </c>
    </row>
    <row r="1708">
      <c r="F1708" s="457"/>
      <c r="Q1708" s="222"/>
      <c r="R1708" s="222"/>
      <c r="S1708" s="222"/>
      <c r="AB1708" t="e">
        <v>#N/A</v>
      </c>
    </row>
    <row r="1709">
      <c r="F1709" s="457"/>
      <c r="Q1709" s="222"/>
      <c r="R1709" s="222"/>
      <c r="AB1709" t="e">
        <v>#N/A</v>
      </c>
    </row>
    <row r="1710">
      <c r="F1710" s="457"/>
      <c r="Q1710" s="222"/>
      <c r="R1710" s="222"/>
      <c r="AB1710" t="e">
        <v>#N/A</v>
      </c>
    </row>
    <row r="1711">
      <c r="F1711" s="457"/>
      <c r="Q1711" s="222"/>
      <c r="R1711" s="222"/>
      <c r="AB1711" t="e">
        <v>#N/A</v>
      </c>
    </row>
    <row r="1712">
      <c r="F1712" s="457"/>
      <c r="Q1712" s="222"/>
      <c r="R1712" s="222"/>
      <c r="AB1712" t="e">
        <v>#N/A</v>
      </c>
    </row>
    <row r="1713">
      <c r="F1713" s="457"/>
      <c r="Q1713" s="222"/>
      <c r="R1713" s="222"/>
      <c r="AB1713" t="e">
        <v>#N/A</v>
      </c>
    </row>
    <row r="1714">
      <c r="F1714" s="457"/>
      <c r="Q1714" s="222"/>
      <c r="R1714" s="222"/>
      <c r="AB1714" t="e">
        <v>#N/A</v>
      </c>
    </row>
    <row r="1715">
      <c r="F1715" s="457"/>
      <c r="Q1715" s="222"/>
      <c r="R1715" s="222"/>
      <c r="S1715" s="222"/>
      <c r="AB1715" t="e">
        <v>#N/A</v>
      </c>
    </row>
    <row r="1716">
      <c r="F1716" s="457"/>
      <c r="Q1716" s="222"/>
      <c r="R1716" s="222"/>
      <c r="AB1716" t="e">
        <v>#N/A</v>
      </c>
    </row>
    <row r="1717">
      <c r="F1717" s="457"/>
      <c r="Q1717" s="222"/>
      <c r="R1717" s="222"/>
      <c r="S1717" s="222"/>
      <c r="U1717" s="222"/>
      <c r="AB1717" t="e">
        <v>#N/A</v>
      </c>
    </row>
    <row r="1718">
      <c r="F1718" s="457"/>
      <c r="Q1718" s="222"/>
      <c r="R1718" s="222"/>
      <c r="S1718" s="222"/>
      <c r="AB1718" t="e">
        <v>#N/A</v>
      </c>
    </row>
    <row r="1719">
      <c r="F1719" s="457"/>
      <c r="Q1719" s="222"/>
      <c r="R1719" s="222"/>
      <c r="AB1719" t="e">
        <v>#N/A</v>
      </c>
    </row>
    <row r="1720">
      <c r="F1720" s="457"/>
      <c r="Q1720" s="222"/>
      <c r="R1720" s="222"/>
      <c r="S1720" s="222"/>
      <c r="U1720" s="222"/>
      <c r="AB1720" t="e">
        <v>#N/A</v>
      </c>
    </row>
    <row r="1721">
      <c r="F1721" s="457"/>
      <c r="Q1721" s="222"/>
      <c r="R1721" s="222"/>
      <c r="S1721" s="222"/>
      <c r="U1721" s="222"/>
      <c r="AB1721" t="e">
        <v>#N/A</v>
      </c>
    </row>
    <row r="1722">
      <c r="F1722" s="457"/>
      <c r="Q1722" s="222"/>
      <c r="R1722" s="222"/>
      <c r="AB1722" t="e">
        <v>#N/A</v>
      </c>
    </row>
    <row r="1723">
      <c r="F1723" s="457"/>
      <c r="Q1723" s="222"/>
      <c r="R1723" s="222"/>
      <c r="AB1723" t="e">
        <v>#N/A</v>
      </c>
    </row>
    <row r="1724">
      <c r="F1724" s="457"/>
      <c r="Q1724" s="222"/>
      <c r="R1724" s="222"/>
      <c r="AB1724" t="e">
        <v>#N/A</v>
      </c>
    </row>
    <row r="1725">
      <c r="F1725" s="457"/>
      <c r="Q1725" s="222"/>
      <c r="R1725" s="222"/>
      <c r="AB1725" t="e">
        <v>#N/A</v>
      </c>
    </row>
    <row r="1726">
      <c r="F1726" s="457"/>
      <c r="Q1726" s="222"/>
      <c r="R1726" s="222"/>
      <c r="S1726" s="222"/>
      <c r="AB1726" t="e">
        <v>#N/A</v>
      </c>
    </row>
    <row r="1727">
      <c r="F1727" s="457"/>
      <c r="Q1727" s="222"/>
      <c r="R1727" s="222"/>
      <c r="AB1727" t="e">
        <v>#N/A</v>
      </c>
    </row>
    <row r="1728">
      <c r="F1728" s="457"/>
      <c r="Q1728" s="222"/>
      <c r="R1728" s="222"/>
      <c r="S1728" s="222"/>
      <c r="AB1728" t="e">
        <v>#N/A</v>
      </c>
    </row>
    <row r="1729">
      <c r="F1729" s="457"/>
      <c r="Q1729" s="222"/>
      <c r="R1729" s="222"/>
      <c r="S1729" s="222"/>
      <c r="AB1729" t="e">
        <v>#N/A</v>
      </c>
    </row>
    <row r="1730">
      <c r="F1730" s="457"/>
      <c r="Q1730" s="222"/>
      <c r="R1730" s="222"/>
      <c r="AB1730" t="e">
        <v>#N/A</v>
      </c>
    </row>
    <row r="1731">
      <c r="F1731" s="457"/>
      <c r="Q1731" s="222"/>
      <c r="R1731" s="222"/>
      <c r="AB1731" t="e">
        <v>#N/A</v>
      </c>
    </row>
    <row r="1732">
      <c r="F1732" s="457"/>
      <c r="Q1732" s="222"/>
      <c r="R1732" s="222"/>
      <c r="AB1732" t="e">
        <v>#N/A</v>
      </c>
    </row>
    <row r="1733">
      <c r="F1733" s="457"/>
      <c r="Q1733" s="222"/>
      <c r="R1733" s="222"/>
      <c r="AB1733" t="e">
        <v>#N/A</v>
      </c>
    </row>
    <row r="1734">
      <c r="F1734" s="457"/>
      <c r="Q1734" s="222"/>
      <c r="R1734" s="222"/>
      <c r="AB1734" t="e">
        <v>#N/A</v>
      </c>
    </row>
    <row r="1735">
      <c r="F1735" s="457"/>
      <c r="Q1735" s="222"/>
      <c r="R1735" s="222"/>
      <c r="S1735" s="222"/>
      <c r="AB1735" t="e">
        <v>#N/A</v>
      </c>
    </row>
    <row r="1736">
      <c r="F1736" s="457"/>
      <c r="Q1736" s="222"/>
      <c r="R1736" s="222"/>
      <c r="AB1736" t="e">
        <v>#N/A</v>
      </c>
    </row>
    <row r="1737">
      <c r="F1737" s="457"/>
      <c r="Q1737" s="222"/>
      <c r="R1737" s="222"/>
      <c r="AB1737" t="e">
        <v>#N/A</v>
      </c>
    </row>
    <row r="1738">
      <c r="F1738" s="457"/>
      <c r="Q1738" s="222"/>
      <c r="R1738" s="222"/>
      <c r="AB1738" t="e">
        <v>#N/A</v>
      </c>
    </row>
    <row r="1739">
      <c r="F1739" s="457"/>
      <c r="Q1739" s="222"/>
      <c r="R1739" s="222"/>
      <c r="S1739" s="222"/>
      <c r="AB1739" t="e">
        <v>#N/A</v>
      </c>
    </row>
    <row r="1740">
      <c r="F1740" s="457"/>
      <c r="Q1740" s="222"/>
      <c r="R1740" s="222"/>
      <c r="S1740" s="222"/>
      <c r="AB1740" t="e">
        <v>#N/A</v>
      </c>
    </row>
    <row r="1741">
      <c r="F1741" s="457"/>
      <c r="Q1741" s="222"/>
      <c r="R1741" s="222"/>
      <c r="S1741" s="222"/>
      <c r="AB1741" t="e">
        <v>#N/A</v>
      </c>
    </row>
    <row r="1742">
      <c r="F1742" s="457"/>
      <c r="Q1742" s="222"/>
      <c r="R1742" s="222"/>
      <c r="AB1742" t="e">
        <v>#N/A</v>
      </c>
    </row>
    <row r="1743">
      <c r="F1743" s="457"/>
      <c r="Q1743" s="222"/>
      <c r="R1743" s="222"/>
      <c r="AB1743" t="e">
        <v>#N/A</v>
      </c>
    </row>
    <row r="1744">
      <c r="F1744" s="457"/>
      <c r="Q1744" s="222"/>
      <c r="R1744" s="222"/>
      <c r="AB1744" t="e">
        <v>#N/A</v>
      </c>
    </row>
    <row r="1745">
      <c r="F1745" s="457"/>
      <c r="Q1745" s="222"/>
      <c r="R1745" s="222"/>
      <c r="AB1745" t="e">
        <v>#N/A</v>
      </c>
    </row>
    <row r="1746">
      <c r="F1746" s="457"/>
      <c r="Q1746" s="222"/>
      <c r="R1746" s="222"/>
      <c r="AB1746" t="e">
        <v>#N/A</v>
      </c>
    </row>
    <row r="1747">
      <c r="F1747" s="457"/>
      <c r="Q1747" s="222"/>
      <c r="R1747" s="222"/>
      <c r="S1747" s="222"/>
      <c r="AB1747" t="e">
        <v>#N/A</v>
      </c>
    </row>
    <row r="1748">
      <c r="F1748" s="457"/>
      <c r="Q1748" s="222"/>
      <c r="R1748" s="222"/>
      <c r="AB1748" t="e">
        <v>#N/A</v>
      </c>
    </row>
    <row r="1749">
      <c r="F1749" s="457"/>
      <c r="Q1749" s="222"/>
      <c r="R1749" s="222"/>
      <c r="AB1749" t="e">
        <v>#N/A</v>
      </c>
    </row>
    <row r="1750">
      <c r="F1750" s="457"/>
      <c r="Q1750" s="222"/>
      <c r="R1750" s="222"/>
      <c r="S1750" s="222"/>
      <c r="U1750" s="222"/>
      <c r="AB1750" t="e">
        <v>#N/A</v>
      </c>
    </row>
    <row r="1751">
      <c r="F1751" s="457"/>
      <c r="Q1751" s="222"/>
      <c r="R1751" s="222"/>
      <c r="AB1751" t="e">
        <v>#N/A</v>
      </c>
    </row>
    <row r="1752">
      <c r="F1752" s="457"/>
      <c r="Q1752" s="222"/>
      <c r="R1752" s="222"/>
      <c r="AB1752" t="e">
        <v>#N/A</v>
      </c>
    </row>
    <row r="1753">
      <c r="F1753" s="457"/>
      <c r="Q1753" s="222"/>
      <c r="R1753" s="222"/>
      <c r="AB1753" t="e">
        <v>#N/A</v>
      </c>
    </row>
    <row r="1754">
      <c r="F1754" s="457"/>
      <c r="Q1754" s="222"/>
      <c r="R1754" s="222"/>
      <c r="S1754" s="222"/>
      <c r="AB1754" t="e">
        <v>#N/A</v>
      </c>
    </row>
    <row r="1755">
      <c r="F1755" s="457"/>
      <c r="Q1755" s="222"/>
      <c r="R1755" s="222"/>
      <c r="S1755" s="222"/>
      <c r="AB1755" t="e">
        <v>#N/A</v>
      </c>
    </row>
    <row r="1756">
      <c r="F1756" s="457"/>
      <c r="Q1756" s="222"/>
      <c r="R1756" s="222"/>
      <c r="S1756" s="222"/>
      <c r="AB1756" t="e">
        <v>#N/A</v>
      </c>
    </row>
    <row r="1757">
      <c r="F1757" s="457"/>
      <c r="Q1757" s="222"/>
      <c r="R1757" s="222"/>
      <c r="S1757" s="222"/>
      <c r="AB1757" t="e">
        <v>#N/A</v>
      </c>
    </row>
    <row r="1758">
      <c r="F1758" s="457"/>
      <c r="Q1758" s="222"/>
      <c r="R1758" s="222"/>
      <c r="AB1758" t="e">
        <v>#N/A</v>
      </c>
    </row>
    <row r="1759">
      <c r="F1759" s="457"/>
      <c r="Q1759" s="222"/>
      <c r="R1759" s="222"/>
      <c r="S1759" s="222"/>
      <c r="AB1759" t="e">
        <v>#N/A</v>
      </c>
    </row>
    <row r="1760">
      <c r="F1760" s="457"/>
      <c r="Q1760" s="222"/>
      <c r="R1760" s="222"/>
      <c r="AB1760" t="e">
        <v>#N/A</v>
      </c>
    </row>
    <row r="1761">
      <c r="F1761" s="457"/>
      <c r="Q1761" s="222"/>
      <c r="R1761" s="222"/>
      <c r="S1761" s="222"/>
      <c r="AB1761" t="e">
        <v>#N/A</v>
      </c>
    </row>
    <row r="1762">
      <c r="F1762" s="457"/>
      <c r="Q1762" s="222"/>
      <c r="R1762" s="222"/>
      <c r="AB1762" t="e">
        <v>#N/A</v>
      </c>
    </row>
    <row r="1763">
      <c r="F1763" s="457"/>
      <c r="Q1763" s="222"/>
      <c r="R1763" s="222"/>
      <c r="AB1763" t="e">
        <v>#N/A</v>
      </c>
    </row>
    <row r="1764">
      <c r="F1764" s="457"/>
      <c r="Q1764" s="222"/>
      <c r="R1764" s="222"/>
      <c r="AB1764" t="e">
        <v>#N/A</v>
      </c>
    </row>
    <row r="1765">
      <c r="F1765" s="457"/>
      <c r="Q1765" s="222"/>
      <c r="R1765" s="222"/>
      <c r="S1765" s="222"/>
      <c r="AB1765" t="e">
        <v>#N/A</v>
      </c>
    </row>
    <row r="1766">
      <c r="F1766" s="457"/>
      <c r="Q1766" s="222"/>
      <c r="R1766" s="222"/>
      <c r="S1766" s="222"/>
      <c r="AB1766" t="e">
        <v>#N/A</v>
      </c>
    </row>
    <row r="1767">
      <c r="F1767" s="457"/>
      <c r="Q1767" s="222"/>
      <c r="R1767" s="222"/>
      <c r="AB1767" t="e">
        <v>#N/A</v>
      </c>
    </row>
    <row r="1768">
      <c r="F1768" s="457"/>
      <c r="Q1768" s="222"/>
      <c r="R1768" s="222"/>
      <c r="AB1768" t="e">
        <v>#N/A</v>
      </c>
    </row>
    <row r="1769">
      <c r="F1769" s="457"/>
      <c r="Q1769" s="222"/>
      <c r="R1769" s="222"/>
      <c r="AB1769" t="e">
        <v>#N/A</v>
      </c>
    </row>
    <row r="1770">
      <c r="F1770" s="457"/>
      <c r="Q1770" s="222"/>
      <c r="R1770" s="222"/>
      <c r="AB1770" t="e">
        <v>#N/A</v>
      </c>
    </row>
    <row r="1771">
      <c r="F1771" s="457"/>
      <c r="Q1771" s="222"/>
      <c r="R1771" s="222"/>
      <c r="S1771" s="222"/>
      <c r="AB1771" t="e">
        <v>#N/A</v>
      </c>
    </row>
    <row r="1772">
      <c r="F1772" s="457"/>
      <c r="Q1772" s="222"/>
      <c r="R1772" s="222"/>
      <c r="S1772" s="222"/>
      <c r="AB1772" t="e">
        <v>#N/A</v>
      </c>
    </row>
    <row r="1773">
      <c r="F1773" s="457"/>
      <c r="Q1773" s="222"/>
      <c r="R1773" s="222"/>
      <c r="S1773" s="222"/>
      <c r="U1773" s="222"/>
      <c r="AB1773" t="e">
        <v>#N/A</v>
      </c>
    </row>
    <row r="1774">
      <c r="F1774" s="457"/>
      <c r="Q1774" s="222"/>
      <c r="R1774" s="222"/>
      <c r="AB1774" t="e">
        <v>#N/A</v>
      </c>
    </row>
    <row r="1775">
      <c r="F1775" s="457"/>
      <c r="Q1775" s="222"/>
      <c r="R1775" s="222"/>
      <c r="S1775" s="222"/>
      <c r="AB1775" t="e">
        <v>#N/A</v>
      </c>
    </row>
    <row r="1776">
      <c r="F1776" s="457"/>
      <c r="Q1776" s="222"/>
      <c r="R1776" s="222"/>
      <c r="AB1776" t="e">
        <v>#N/A</v>
      </c>
    </row>
    <row r="1777">
      <c r="F1777" s="457"/>
      <c r="Q1777" s="222"/>
      <c r="R1777" s="222"/>
      <c r="S1777" s="222"/>
      <c r="AB1777" t="e">
        <v>#N/A</v>
      </c>
    </row>
    <row r="1778">
      <c r="F1778" s="457"/>
      <c r="Q1778" s="222"/>
      <c r="R1778" s="222"/>
      <c r="S1778" s="222"/>
      <c r="U1778" s="222"/>
      <c r="AB1778" t="e">
        <v>#N/A</v>
      </c>
    </row>
    <row r="1779">
      <c r="F1779" s="457"/>
      <c r="Q1779" s="222"/>
      <c r="R1779" s="222"/>
      <c r="AB1779" t="e">
        <v>#N/A</v>
      </c>
    </row>
    <row r="1780">
      <c r="F1780" s="457"/>
      <c r="Q1780" s="222"/>
      <c r="R1780" s="222"/>
      <c r="AB1780" t="e">
        <v>#N/A</v>
      </c>
    </row>
    <row r="1781">
      <c r="F1781" s="457"/>
      <c r="Q1781" s="222"/>
      <c r="R1781" s="222"/>
      <c r="S1781" s="222"/>
      <c r="AB1781" t="e">
        <v>#N/A</v>
      </c>
    </row>
    <row r="1782">
      <c r="F1782" s="457"/>
      <c r="Q1782" s="222"/>
      <c r="R1782" s="222"/>
      <c r="AB1782" t="e">
        <v>#N/A</v>
      </c>
    </row>
    <row r="1783">
      <c r="F1783" s="457"/>
      <c r="Q1783" s="222"/>
      <c r="R1783" s="222"/>
      <c r="S1783" s="222"/>
      <c r="AB1783" t="e">
        <v>#N/A</v>
      </c>
    </row>
    <row r="1784">
      <c r="F1784" s="457"/>
      <c r="Q1784" s="222"/>
      <c r="R1784" s="222"/>
      <c r="S1784" s="222"/>
      <c r="U1784" s="222"/>
      <c r="AB1784" t="e">
        <v>#N/A</v>
      </c>
    </row>
    <row r="1785">
      <c r="F1785" s="457"/>
      <c r="Q1785" s="222"/>
      <c r="R1785" s="222"/>
      <c r="S1785" s="222"/>
      <c r="U1785" s="222"/>
      <c r="AB1785" t="e">
        <v>#N/A</v>
      </c>
    </row>
    <row r="1786">
      <c r="F1786" s="457"/>
      <c r="Q1786" s="222"/>
      <c r="R1786" s="222"/>
      <c r="AB1786" t="e">
        <v>#N/A</v>
      </c>
    </row>
    <row r="1787">
      <c r="F1787" s="457"/>
      <c r="Q1787" s="222"/>
      <c r="R1787" s="222"/>
      <c r="AB1787" t="e">
        <v>#N/A</v>
      </c>
    </row>
    <row r="1788">
      <c r="F1788" s="457"/>
      <c r="Q1788" s="222"/>
      <c r="R1788" s="222"/>
      <c r="AB1788" t="e">
        <v>#N/A</v>
      </c>
    </row>
    <row r="1789">
      <c r="F1789" s="457"/>
      <c r="Q1789" s="222"/>
      <c r="R1789" s="222"/>
      <c r="AB1789" t="e">
        <v>#N/A</v>
      </c>
    </row>
    <row r="1790">
      <c r="F1790" s="457"/>
      <c r="Q1790" s="222"/>
      <c r="R1790" s="222"/>
      <c r="S1790" s="222"/>
      <c r="U1790" s="222"/>
      <c r="AB1790" t="e">
        <v>#N/A</v>
      </c>
    </row>
    <row r="1791">
      <c r="F1791" s="457"/>
      <c r="Q1791" s="222"/>
      <c r="R1791" s="222"/>
      <c r="AB1791" t="e">
        <v>#N/A</v>
      </c>
    </row>
    <row r="1792">
      <c r="F1792" s="457"/>
      <c r="Q1792" s="222"/>
      <c r="R1792" s="222"/>
      <c r="AB1792" t="e">
        <v>#N/A</v>
      </c>
    </row>
    <row r="1793">
      <c r="F1793" s="457"/>
      <c r="Q1793" s="222"/>
      <c r="R1793" s="222"/>
      <c r="AB1793" t="e">
        <v>#N/A</v>
      </c>
    </row>
    <row r="1794">
      <c r="F1794" s="457"/>
      <c r="Q1794" s="222"/>
      <c r="R1794" s="222"/>
      <c r="S1794" s="222"/>
      <c r="U1794" s="222"/>
      <c r="AB1794" t="e">
        <v>#N/A</v>
      </c>
    </row>
    <row r="1795">
      <c r="F1795" s="457"/>
      <c r="Q1795" s="222"/>
      <c r="R1795" s="222"/>
      <c r="S1795" s="222"/>
      <c r="U1795" s="222"/>
      <c r="AB1795" t="e">
        <v>#N/A</v>
      </c>
    </row>
    <row r="1796">
      <c r="F1796" s="457"/>
      <c r="Q1796" s="222"/>
      <c r="R1796" s="222"/>
      <c r="S1796" s="222"/>
      <c r="AB1796" t="e">
        <v>#N/A</v>
      </c>
    </row>
    <row r="1797">
      <c r="F1797" s="457"/>
      <c r="Q1797" s="222"/>
      <c r="R1797" s="222"/>
      <c r="AB1797" t="e">
        <v>#N/A</v>
      </c>
    </row>
    <row r="1798">
      <c r="F1798" s="457"/>
      <c r="Q1798" s="222"/>
      <c r="R1798" s="222"/>
      <c r="S1798" s="222"/>
      <c r="AB1798" t="e">
        <v>#N/A</v>
      </c>
    </row>
    <row r="1799">
      <c r="F1799" s="457"/>
      <c r="Q1799" s="222"/>
      <c r="R1799" s="222"/>
      <c r="AB1799" t="e">
        <v>#N/A</v>
      </c>
    </row>
    <row r="1800">
      <c r="F1800" s="457"/>
      <c r="Q1800" s="222"/>
      <c r="R1800" s="222"/>
      <c r="AB1800" t="e">
        <v>#N/A</v>
      </c>
    </row>
    <row r="1801">
      <c r="F1801" s="457"/>
      <c r="Q1801" s="222"/>
      <c r="R1801" s="222"/>
      <c r="S1801" s="222"/>
      <c r="U1801" s="222"/>
      <c r="AB1801" t="e">
        <v>#N/A</v>
      </c>
    </row>
    <row r="1802">
      <c r="F1802" s="457"/>
      <c r="Q1802" s="222"/>
      <c r="R1802" s="222"/>
      <c r="S1802" s="222"/>
      <c r="U1802" s="222"/>
      <c r="AB1802" t="e">
        <v>#N/A</v>
      </c>
    </row>
    <row r="1803">
      <c r="F1803" s="457"/>
      <c r="Q1803" s="222"/>
      <c r="R1803" s="222"/>
      <c r="S1803" s="222"/>
      <c r="U1803" s="222"/>
      <c r="AB1803" t="e">
        <v>#N/A</v>
      </c>
    </row>
    <row r="1804">
      <c r="F1804" s="457"/>
      <c r="Q1804" s="222"/>
      <c r="R1804" s="222"/>
      <c r="S1804" s="222"/>
      <c r="U1804" s="222"/>
      <c r="AB1804" t="e">
        <v>#N/A</v>
      </c>
    </row>
    <row r="1805">
      <c r="F1805" s="457"/>
      <c r="Q1805" s="222"/>
      <c r="R1805" s="222"/>
      <c r="S1805" s="222"/>
      <c r="AB1805" t="e">
        <v>#N/A</v>
      </c>
    </row>
    <row r="1806">
      <c r="F1806" s="457"/>
      <c r="Q1806" s="222"/>
      <c r="R1806" s="222"/>
      <c r="AB1806" t="e">
        <v>#N/A</v>
      </c>
    </row>
    <row r="1807">
      <c r="F1807" s="457"/>
      <c r="Q1807" s="222"/>
      <c r="R1807" s="222"/>
      <c r="AB1807" t="e">
        <v>#N/A</v>
      </c>
    </row>
    <row r="1808">
      <c r="F1808" s="457"/>
      <c r="Q1808" s="222"/>
      <c r="R1808" s="222"/>
      <c r="AB1808" t="e">
        <v>#N/A</v>
      </c>
    </row>
    <row r="1809">
      <c r="F1809" s="457"/>
      <c r="Q1809" s="222"/>
      <c r="R1809" s="222"/>
      <c r="AB1809" t="e">
        <v>#N/A</v>
      </c>
    </row>
    <row r="1810">
      <c r="F1810" s="457"/>
      <c r="Q1810" s="222"/>
      <c r="R1810" s="222"/>
      <c r="AB1810" t="e">
        <v>#N/A</v>
      </c>
    </row>
    <row r="1811">
      <c r="F1811" s="457"/>
      <c r="Q1811" s="222"/>
      <c r="R1811" s="222"/>
      <c r="AB1811" t="e">
        <v>#N/A</v>
      </c>
    </row>
    <row r="1812">
      <c r="F1812" s="457"/>
      <c r="Q1812" s="222"/>
      <c r="R1812" s="222"/>
      <c r="AB1812" t="e">
        <v>#N/A</v>
      </c>
    </row>
    <row r="1813">
      <c r="F1813" s="457"/>
      <c r="Q1813" s="222"/>
      <c r="R1813" s="222"/>
      <c r="S1813" s="222"/>
      <c r="AB1813" t="e">
        <v>#N/A</v>
      </c>
    </row>
    <row r="1814">
      <c r="F1814" s="457"/>
      <c r="Q1814" s="222"/>
      <c r="R1814" s="222"/>
      <c r="S1814" s="222"/>
      <c r="AB1814" t="e">
        <v>#N/A</v>
      </c>
    </row>
    <row r="1815">
      <c r="F1815" s="457"/>
      <c r="Q1815" s="222"/>
      <c r="R1815" s="222"/>
      <c r="AB1815" t="e">
        <v>#N/A</v>
      </c>
    </row>
    <row r="1816">
      <c r="F1816" s="457"/>
      <c r="Q1816" s="222"/>
      <c r="R1816" s="222"/>
      <c r="AB1816" t="e">
        <v>#N/A</v>
      </c>
    </row>
    <row r="1817">
      <c r="F1817" s="457"/>
      <c r="Q1817" s="222"/>
      <c r="R1817" s="222"/>
      <c r="S1817" s="222"/>
      <c r="U1817" s="222"/>
      <c r="AB1817" t="e">
        <v>#N/A</v>
      </c>
    </row>
    <row r="1818">
      <c r="F1818" s="457"/>
      <c r="Q1818" s="222"/>
      <c r="R1818" s="222"/>
      <c r="S1818" s="222"/>
      <c r="U1818" s="222"/>
      <c r="AB1818" t="e">
        <v>#N/A</v>
      </c>
    </row>
    <row r="1819">
      <c r="F1819" s="457"/>
      <c r="Q1819" s="222"/>
      <c r="R1819" s="222"/>
      <c r="AB1819" t="e">
        <v>#N/A</v>
      </c>
    </row>
    <row r="1820">
      <c r="F1820" s="457"/>
      <c r="Q1820" s="222"/>
      <c r="R1820" s="222"/>
      <c r="AB1820" t="e">
        <v>#N/A</v>
      </c>
    </row>
    <row r="1821">
      <c r="F1821" s="457"/>
      <c r="Q1821" s="222"/>
      <c r="R1821" s="222"/>
      <c r="AB1821" t="e">
        <v>#N/A</v>
      </c>
    </row>
    <row r="1822">
      <c r="F1822" s="457"/>
      <c r="Q1822" s="222"/>
      <c r="R1822" s="222"/>
      <c r="AB1822" t="e">
        <v>#N/A</v>
      </c>
    </row>
    <row r="1823">
      <c r="F1823" s="457"/>
      <c r="Q1823" s="222"/>
      <c r="R1823" s="222"/>
      <c r="AB1823" t="e">
        <v>#N/A</v>
      </c>
    </row>
    <row r="1824">
      <c r="F1824" s="457"/>
      <c r="Q1824" s="222"/>
      <c r="R1824" s="222"/>
      <c r="AB1824" t="e">
        <v>#N/A</v>
      </c>
    </row>
    <row r="1825">
      <c r="F1825" s="457"/>
      <c r="Q1825" s="222"/>
      <c r="R1825" s="222"/>
      <c r="AB1825" t="e">
        <v>#N/A</v>
      </c>
    </row>
    <row r="1826">
      <c r="F1826" s="457"/>
      <c r="Q1826" s="222"/>
      <c r="R1826" s="222"/>
      <c r="AB1826" t="e">
        <v>#N/A</v>
      </c>
    </row>
    <row r="1827">
      <c r="F1827" s="457"/>
      <c r="Q1827" s="222"/>
      <c r="R1827" s="222"/>
      <c r="AB1827" t="e">
        <v>#N/A</v>
      </c>
    </row>
    <row r="1828">
      <c r="F1828" s="457"/>
      <c r="Q1828" s="222"/>
      <c r="R1828" s="222"/>
      <c r="AB1828" t="e">
        <v>#N/A</v>
      </c>
    </row>
    <row r="1829">
      <c r="F1829" s="457"/>
      <c r="Q1829" s="222"/>
      <c r="R1829" s="222"/>
      <c r="AB1829" t="e">
        <v>#N/A</v>
      </c>
    </row>
    <row r="1830">
      <c r="F1830" s="457"/>
      <c r="Q1830" s="222"/>
      <c r="R1830" s="222"/>
      <c r="AB1830" t="e">
        <v>#N/A</v>
      </c>
    </row>
    <row r="1831">
      <c r="F1831" s="457"/>
      <c r="Q1831" s="222"/>
      <c r="R1831" s="222"/>
      <c r="AB1831" t="e">
        <v>#N/A</v>
      </c>
    </row>
    <row r="1832">
      <c r="F1832" s="457"/>
      <c r="Q1832" s="222"/>
      <c r="R1832" s="222"/>
      <c r="AB1832" t="e">
        <v>#N/A</v>
      </c>
    </row>
    <row r="1833">
      <c r="F1833" s="457"/>
      <c r="Q1833" s="222"/>
      <c r="R1833" s="222"/>
      <c r="AB1833" t="e">
        <v>#N/A</v>
      </c>
    </row>
    <row r="1834">
      <c r="F1834" s="457"/>
      <c r="Q1834" s="222"/>
      <c r="R1834" s="222"/>
      <c r="AB1834" t="e">
        <v>#N/A</v>
      </c>
    </row>
    <row r="1835">
      <c r="F1835" s="457"/>
      <c r="Q1835" s="222"/>
      <c r="R1835" s="222"/>
      <c r="S1835" s="222"/>
      <c r="AB1835" t="e">
        <v>#N/A</v>
      </c>
    </row>
    <row r="1836">
      <c r="F1836" s="457"/>
      <c r="Q1836" s="222"/>
      <c r="R1836" s="222"/>
      <c r="S1836" s="222"/>
      <c r="U1836" s="222"/>
      <c r="AB1836" t="e">
        <v>#N/A</v>
      </c>
    </row>
    <row r="1837">
      <c r="F1837" s="457"/>
      <c r="Q1837" s="222"/>
      <c r="R1837" s="222"/>
      <c r="S1837" s="222"/>
      <c r="AB1837" t="e">
        <v>#N/A</v>
      </c>
    </row>
    <row r="1838">
      <c r="F1838" s="457"/>
      <c r="Q1838" s="222"/>
      <c r="R1838" s="222"/>
      <c r="S1838" s="222"/>
      <c r="U1838" s="222"/>
      <c r="AB1838" t="e">
        <v>#N/A</v>
      </c>
    </row>
    <row r="1839">
      <c r="F1839" s="457"/>
      <c r="Q1839" s="222"/>
      <c r="R1839" s="222"/>
      <c r="S1839" s="222"/>
      <c r="AB1839" t="e">
        <v>#N/A</v>
      </c>
    </row>
    <row r="1840">
      <c r="F1840" s="457"/>
      <c r="Q1840" s="222"/>
      <c r="R1840" s="222"/>
      <c r="AB1840" t="e">
        <v>#N/A</v>
      </c>
    </row>
    <row r="1841">
      <c r="F1841" s="457"/>
      <c r="Q1841" s="222"/>
      <c r="R1841" s="222"/>
      <c r="S1841" s="222"/>
      <c r="U1841" s="222"/>
      <c r="AB1841" t="e">
        <v>#N/A</v>
      </c>
    </row>
    <row r="1842">
      <c r="F1842" s="457"/>
      <c r="Q1842" s="222"/>
      <c r="R1842" s="222"/>
      <c r="S1842" s="222"/>
      <c r="U1842" s="222"/>
      <c r="AB1842" t="e">
        <v>#N/A</v>
      </c>
    </row>
    <row r="1843">
      <c r="F1843" s="457"/>
      <c r="Q1843" s="222"/>
      <c r="R1843" s="222"/>
      <c r="AB1843" t="e">
        <v>#N/A</v>
      </c>
    </row>
    <row r="1844">
      <c r="F1844" s="457"/>
      <c r="Q1844" s="222"/>
      <c r="R1844" s="222"/>
      <c r="S1844" s="222"/>
      <c r="AB1844" t="e">
        <v>#N/A</v>
      </c>
    </row>
    <row r="1845">
      <c r="F1845" s="457"/>
      <c r="Q1845" s="222"/>
      <c r="R1845" s="222"/>
      <c r="S1845" s="222"/>
      <c r="AB1845" t="e">
        <v>#N/A</v>
      </c>
    </row>
    <row r="1846">
      <c r="F1846" s="457"/>
      <c r="Q1846" s="222"/>
      <c r="R1846" s="222"/>
      <c r="S1846" s="222"/>
      <c r="AB1846" t="e">
        <v>#N/A</v>
      </c>
    </row>
    <row r="1847">
      <c r="F1847" s="457"/>
      <c r="Q1847" s="222"/>
      <c r="R1847" s="222"/>
      <c r="AB1847" t="e">
        <v>#N/A</v>
      </c>
    </row>
    <row r="1848">
      <c r="F1848" s="457"/>
      <c r="Q1848" s="222"/>
      <c r="R1848" s="222"/>
      <c r="AB1848" t="e">
        <v>#N/A</v>
      </c>
    </row>
    <row r="1849">
      <c r="F1849" s="457"/>
      <c r="Q1849" s="222"/>
      <c r="R1849" s="222"/>
      <c r="S1849" s="222"/>
      <c r="AB1849" t="e">
        <v>#N/A</v>
      </c>
    </row>
    <row r="1850">
      <c r="F1850" s="457"/>
      <c r="Q1850" s="222"/>
      <c r="R1850" s="222"/>
      <c r="S1850" s="222"/>
      <c r="U1850" s="222"/>
      <c r="AB1850" t="e">
        <v>#N/A</v>
      </c>
    </row>
    <row r="1851">
      <c r="F1851" s="457"/>
      <c r="Q1851" s="222"/>
      <c r="R1851" s="222"/>
      <c r="AB1851" t="e">
        <v>#N/A</v>
      </c>
    </row>
    <row r="1852">
      <c r="F1852" s="457"/>
      <c r="Q1852" s="222"/>
      <c r="R1852" s="222"/>
      <c r="AB1852" t="e">
        <v>#N/A</v>
      </c>
    </row>
    <row r="1853">
      <c r="F1853" s="457"/>
      <c r="Q1853" s="222"/>
      <c r="R1853" s="222"/>
      <c r="AB1853" t="e">
        <v>#N/A</v>
      </c>
    </row>
    <row r="1854">
      <c r="F1854" s="457"/>
      <c r="Q1854" s="222"/>
      <c r="R1854" s="222"/>
      <c r="AB1854" t="e">
        <v>#N/A</v>
      </c>
    </row>
    <row r="1855">
      <c r="F1855" s="457"/>
      <c r="Q1855" s="222"/>
      <c r="R1855" s="222"/>
      <c r="AB1855" t="e">
        <v>#N/A</v>
      </c>
    </row>
    <row r="1856">
      <c r="F1856" s="457"/>
      <c r="Q1856" s="222"/>
      <c r="R1856" s="222"/>
      <c r="AB1856" t="e">
        <v>#N/A</v>
      </c>
    </row>
    <row r="1857">
      <c r="F1857" s="457"/>
      <c r="Q1857" s="222"/>
      <c r="R1857" s="222"/>
      <c r="AB1857" t="e">
        <v>#N/A</v>
      </c>
    </row>
    <row r="1858">
      <c r="F1858" s="457"/>
      <c r="Q1858" s="222"/>
      <c r="R1858" s="222"/>
      <c r="AB1858" t="e">
        <v>#N/A</v>
      </c>
    </row>
    <row r="1859">
      <c r="F1859" s="457"/>
      <c r="Q1859" s="222"/>
      <c r="R1859" s="222"/>
      <c r="S1859" s="222"/>
      <c r="U1859" s="222"/>
      <c r="AB1859" t="e">
        <v>#N/A</v>
      </c>
    </row>
    <row r="1860">
      <c r="F1860" s="457"/>
      <c r="Q1860" s="222"/>
      <c r="R1860" s="222"/>
      <c r="S1860" s="222"/>
      <c r="U1860" s="222"/>
      <c r="AB1860" t="e">
        <v>#N/A</v>
      </c>
    </row>
    <row r="1861">
      <c r="F1861" s="457"/>
      <c r="Q1861" s="222"/>
      <c r="R1861" s="222"/>
      <c r="AB1861" t="e">
        <v>#N/A</v>
      </c>
    </row>
    <row r="1862">
      <c r="F1862" s="457"/>
      <c r="Q1862" s="222"/>
      <c r="R1862" s="222"/>
      <c r="AB1862" t="e">
        <v>#N/A</v>
      </c>
    </row>
    <row r="1863">
      <c r="F1863" s="457"/>
      <c r="Q1863" s="222"/>
      <c r="R1863" s="222"/>
      <c r="AB1863" t="e">
        <v>#N/A</v>
      </c>
    </row>
    <row r="1864">
      <c r="F1864" s="457"/>
      <c r="Q1864" s="222"/>
      <c r="R1864" s="222"/>
      <c r="AB1864" t="e">
        <v>#N/A</v>
      </c>
    </row>
    <row r="1865">
      <c r="F1865" s="457"/>
      <c r="Q1865" s="222"/>
      <c r="R1865" s="222"/>
      <c r="AB1865" t="e">
        <v>#N/A</v>
      </c>
    </row>
    <row r="1866">
      <c r="F1866" s="457"/>
      <c r="Q1866" s="222"/>
      <c r="R1866" s="222"/>
      <c r="AB1866" t="e">
        <v>#N/A</v>
      </c>
    </row>
    <row r="1867">
      <c r="F1867" s="457"/>
      <c r="Q1867" s="222"/>
      <c r="R1867" s="222"/>
      <c r="S1867" s="222"/>
      <c r="AB1867" t="e">
        <v>#N/A</v>
      </c>
    </row>
    <row r="1868">
      <c r="F1868" s="457"/>
      <c r="Q1868" s="222"/>
      <c r="R1868" s="222"/>
      <c r="AB1868" t="e">
        <v>#N/A</v>
      </c>
    </row>
    <row r="1869">
      <c r="F1869" s="457"/>
      <c r="Q1869" s="222"/>
      <c r="R1869" s="222"/>
      <c r="AB1869" t="e">
        <v>#N/A</v>
      </c>
    </row>
    <row r="1870">
      <c r="F1870" s="457"/>
      <c r="Q1870" s="222"/>
      <c r="R1870" s="222"/>
      <c r="AB1870" t="e">
        <v>#N/A</v>
      </c>
    </row>
    <row r="1871">
      <c r="F1871" s="457"/>
      <c r="Q1871" s="222"/>
      <c r="R1871" s="222"/>
      <c r="S1871" s="222"/>
      <c r="AB1871" t="e">
        <v>#N/A</v>
      </c>
    </row>
    <row r="1872">
      <c r="F1872" s="457"/>
      <c r="Q1872" s="222"/>
      <c r="R1872" s="222"/>
      <c r="AB1872" t="e">
        <v>#N/A</v>
      </c>
    </row>
    <row r="1873">
      <c r="F1873" s="457"/>
      <c r="Q1873" s="222"/>
      <c r="R1873" s="222"/>
      <c r="AB1873" t="e">
        <v>#N/A</v>
      </c>
    </row>
    <row r="1874">
      <c r="F1874" s="457"/>
      <c r="Q1874" s="222"/>
      <c r="R1874" s="222"/>
      <c r="S1874" s="222"/>
      <c r="AB1874" t="e">
        <v>#N/A</v>
      </c>
    </row>
    <row r="1875">
      <c r="F1875" s="457"/>
      <c r="Q1875" s="222"/>
      <c r="R1875" s="222"/>
      <c r="AB1875" t="e">
        <v>#N/A</v>
      </c>
    </row>
    <row r="1876">
      <c r="F1876" s="457"/>
      <c r="Q1876" s="222"/>
      <c r="R1876" s="222"/>
      <c r="S1876" s="222"/>
      <c r="AB1876" t="e">
        <v>#N/A</v>
      </c>
    </row>
    <row r="1877">
      <c r="F1877" s="457"/>
      <c r="Q1877" s="222"/>
      <c r="R1877" s="222"/>
      <c r="AB1877" t="e">
        <v>#N/A</v>
      </c>
    </row>
    <row r="1878">
      <c r="F1878" s="457"/>
      <c r="Q1878" s="222"/>
      <c r="R1878" s="222"/>
      <c r="S1878" s="222"/>
      <c r="U1878" s="222"/>
      <c r="AB1878" t="e">
        <v>#N/A</v>
      </c>
    </row>
    <row r="1879">
      <c r="F1879" s="457"/>
      <c r="Q1879" s="222"/>
      <c r="R1879" s="222"/>
      <c r="AB1879" t="e">
        <v>#N/A</v>
      </c>
    </row>
    <row r="1880">
      <c r="F1880" s="457"/>
      <c r="Q1880" s="222"/>
      <c r="R1880" s="222"/>
      <c r="S1880" s="222"/>
      <c r="U1880" s="222"/>
      <c r="AB1880" t="e">
        <v>#N/A</v>
      </c>
    </row>
    <row r="1881">
      <c r="F1881" s="457"/>
      <c r="Q1881" s="222"/>
      <c r="R1881" s="222"/>
      <c r="S1881" s="222"/>
      <c r="U1881" s="222"/>
      <c r="AB1881" t="e">
        <v>#N/A</v>
      </c>
    </row>
    <row r="1882">
      <c r="F1882" s="457"/>
      <c r="Q1882" s="222"/>
      <c r="R1882" s="222"/>
      <c r="S1882" s="222"/>
      <c r="AB1882" t="e">
        <v>#N/A</v>
      </c>
    </row>
    <row r="1883">
      <c r="F1883" s="457"/>
      <c r="Q1883" s="222"/>
      <c r="R1883" s="222"/>
      <c r="AB1883" t="e">
        <v>#N/A</v>
      </c>
    </row>
    <row r="1884">
      <c r="F1884" s="457"/>
      <c r="Q1884" s="222"/>
      <c r="R1884" s="222"/>
      <c r="AB1884" t="e">
        <v>#N/A</v>
      </c>
    </row>
    <row r="1885">
      <c r="F1885" s="457"/>
      <c r="Q1885" s="222"/>
      <c r="R1885" s="222"/>
      <c r="AB1885" t="e">
        <v>#N/A</v>
      </c>
    </row>
    <row r="1886">
      <c r="F1886" s="457"/>
      <c r="Q1886" s="222"/>
      <c r="R1886" s="222"/>
      <c r="AB1886" t="e">
        <v>#N/A</v>
      </c>
    </row>
    <row r="1887">
      <c r="F1887" s="457"/>
      <c r="Q1887" s="222"/>
      <c r="R1887" s="222"/>
      <c r="AB1887" t="e">
        <v>#N/A</v>
      </c>
    </row>
    <row r="1888">
      <c r="F1888" s="457"/>
      <c r="Q1888" s="222"/>
      <c r="R1888" s="222"/>
      <c r="S1888" s="222"/>
      <c r="AB1888" t="e">
        <v>#N/A</v>
      </c>
    </row>
    <row r="1889">
      <c r="F1889" s="457"/>
      <c r="Q1889" s="222"/>
      <c r="R1889" s="222"/>
      <c r="AB1889" t="e">
        <v>#N/A</v>
      </c>
    </row>
    <row r="1890">
      <c r="F1890" s="457"/>
      <c r="Q1890" s="222"/>
      <c r="R1890" s="222"/>
      <c r="AB1890" t="e">
        <v>#N/A</v>
      </c>
    </row>
    <row r="1891">
      <c r="F1891" s="457"/>
      <c r="Q1891" s="222"/>
      <c r="R1891" s="222"/>
      <c r="S1891" s="222"/>
      <c r="U1891" s="222"/>
      <c r="AB1891" t="e">
        <v>#N/A</v>
      </c>
    </row>
    <row r="1892">
      <c r="F1892" s="457"/>
      <c r="Q1892" s="222"/>
      <c r="R1892" s="222"/>
      <c r="AB1892" t="e">
        <v>#N/A</v>
      </c>
    </row>
    <row r="1893">
      <c r="F1893" s="457"/>
      <c r="Q1893" s="222"/>
      <c r="R1893" s="222"/>
      <c r="S1893" s="222"/>
      <c r="U1893" s="222"/>
      <c r="AB1893" t="e">
        <v>#N/A</v>
      </c>
    </row>
    <row r="1894">
      <c r="F1894" s="457"/>
      <c r="Q1894" s="222"/>
      <c r="R1894" s="222"/>
      <c r="S1894" s="222"/>
      <c r="AB1894" t="e">
        <v>#N/A</v>
      </c>
    </row>
    <row r="1895">
      <c r="F1895" s="457"/>
      <c r="Q1895" s="222"/>
      <c r="R1895" s="222"/>
      <c r="S1895" s="222"/>
      <c r="U1895" s="222"/>
      <c r="AB1895" t="e">
        <v>#N/A</v>
      </c>
    </row>
    <row r="1896">
      <c r="F1896" s="457"/>
      <c r="Q1896" s="222"/>
      <c r="R1896" s="222"/>
      <c r="S1896" s="222"/>
      <c r="AB1896" t="e">
        <v>#N/A</v>
      </c>
    </row>
    <row r="1897">
      <c r="F1897" s="457"/>
      <c r="Q1897" s="222"/>
      <c r="R1897" s="222"/>
      <c r="S1897" s="222"/>
      <c r="U1897" s="222"/>
      <c r="AB1897" t="e">
        <v>#N/A</v>
      </c>
    </row>
    <row r="1898">
      <c r="F1898" s="457"/>
      <c r="Q1898" s="222"/>
      <c r="R1898" s="222"/>
      <c r="AB1898" t="e">
        <v>#N/A</v>
      </c>
    </row>
    <row r="1899">
      <c r="F1899" s="457"/>
      <c r="Q1899" s="222"/>
      <c r="R1899" s="222"/>
      <c r="AB1899" t="e">
        <v>#N/A</v>
      </c>
    </row>
    <row r="1900">
      <c r="F1900" s="457"/>
      <c r="Q1900" s="222"/>
      <c r="R1900" s="222"/>
      <c r="AB1900" t="e">
        <v>#N/A</v>
      </c>
    </row>
    <row r="1901">
      <c r="F1901" s="457"/>
      <c r="Q1901" s="222"/>
      <c r="R1901" s="222"/>
      <c r="AB1901" t="e">
        <v>#N/A</v>
      </c>
    </row>
    <row r="1902">
      <c r="F1902" s="457"/>
      <c r="Q1902" s="222"/>
      <c r="R1902" s="222"/>
      <c r="S1902" s="222"/>
      <c r="AB1902" t="e">
        <v>#N/A</v>
      </c>
    </row>
    <row r="1903">
      <c r="F1903" s="457"/>
      <c r="Q1903" s="222"/>
      <c r="R1903" s="222"/>
      <c r="S1903" s="222"/>
      <c r="U1903" s="222"/>
      <c r="AB1903" t="e">
        <v>#N/A</v>
      </c>
    </row>
    <row r="1904">
      <c r="F1904" s="457"/>
      <c r="Q1904" s="222"/>
      <c r="R1904" s="222"/>
      <c r="S1904" s="222"/>
      <c r="U1904" s="222"/>
      <c r="AB1904" t="e">
        <v>#N/A</v>
      </c>
    </row>
    <row r="1905">
      <c r="F1905" s="457"/>
      <c r="Q1905" s="222"/>
      <c r="R1905" s="222"/>
      <c r="AB1905" t="e">
        <v>#N/A</v>
      </c>
    </row>
    <row r="1906">
      <c r="F1906" s="457"/>
      <c r="Q1906" s="222"/>
      <c r="R1906" s="222"/>
      <c r="AB1906" t="e">
        <v>#N/A</v>
      </c>
    </row>
    <row r="1907">
      <c r="F1907" s="457"/>
      <c r="Q1907" s="222"/>
      <c r="R1907" s="222"/>
      <c r="S1907" s="222"/>
      <c r="U1907" s="222"/>
      <c r="AB1907" t="e">
        <v>#N/A</v>
      </c>
    </row>
    <row r="1908">
      <c r="F1908" s="457"/>
      <c r="Q1908" s="222"/>
      <c r="R1908" s="222"/>
      <c r="AB1908" t="e">
        <v>#N/A</v>
      </c>
    </row>
    <row r="1909">
      <c r="F1909" s="457"/>
      <c r="Q1909" s="222"/>
      <c r="R1909" s="222"/>
      <c r="S1909" s="222"/>
      <c r="U1909" s="222"/>
      <c r="AB1909" t="e">
        <v>#N/A</v>
      </c>
    </row>
    <row r="1910">
      <c r="F1910" s="457"/>
      <c r="Q1910" s="222"/>
      <c r="R1910" s="222"/>
      <c r="AB1910" t="e">
        <v>#N/A</v>
      </c>
    </row>
    <row r="1911">
      <c r="F1911" s="457"/>
      <c r="Q1911" s="222"/>
      <c r="R1911" s="222"/>
      <c r="AB1911" t="e">
        <v>#N/A</v>
      </c>
    </row>
    <row r="1912">
      <c r="F1912" s="457"/>
      <c r="Q1912" s="222"/>
      <c r="R1912" s="222"/>
      <c r="AB1912" t="e">
        <v>#N/A</v>
      </c>
    </row>
    <row r="1913">
      <c r="F1913" s="457"/>
      <c r="Q1913" s="222"/>
      <c r="R1913" s="222"/>
      <c r="AB1913" t="e">
        <v>#N/A</v>
      </c>
    </row>
    <row r="1914">
      <c r="F1914" s="457"/>
      <c r="Q1914" s="222"/>
      <c r="R1914" s="222"/>
      <c r="AB1914" t="e">
        <v>#N/A</v>
      </c>
    </row>
    <row r="1915">
      <c r="F1915" s="457"/>
      <c r="Q1915" s="222"/>
      <c r="R1915" s="222"/>
      <c r="AB1915" t="e">
        <v>#N/A</v>
      </c>
    </row>
    <row r="1916">
      <c r="F1916" s="457"/>
      <c r="Q1916" s="222"/>
      <c r="R1916" s="222"/>
      <c r="AB1916" t="e">
        <v>#N/A</v>
      </c>
    </row>
    <row r="1917">
      <c r="F1917" s="457"/>
      <c r="Q1917" s="222"/>
      <c r="R1917" s="222"/>
      <c r="AB1917" t="e">
        <v>#N/A</v>
      </c>
    </row>
    <row r="1918">
      <c r="F1918" s="457"/>
      <c r="Q1918" s="222"/>
      <c r="R1918" s="222"/>
      <c r="S1918" s="222"/>
      <c r="U1918" s="222"/>
      <c r="AB1918" t="e">
        <v>#N/A</v>
      </c>
    </row>
    <row r="1919">
      <c r="F1919" s="457"/>
      <c r="Q1919" s="222"/>
      <c r="R1919" s="222"/>
      <c r="AB1919" t="e">
        <v>#N/A</v>
      </c>
    </row>
    <row r="1920">
      <c r="F1920" s="457"/>
      <c r="Q1920" s="222"/>
      <c r="R1920" s="222"/>
      <c r="AB1920" t="e">
        <v>#N/A</v>
      </c>
    </row>
    <row r="1921">
      <c r="F1921" s="457"/>
      <c r="Q1921" s="222"/>
      <c r="R1921" s="222"/>
      <c r="AB1921" t="e">
        <v>#N/A</v>
      </c>
    </row>
    <row r="1922">
      <c r="F1922" s="457"/>
      <c r="Q1922" s="222"/>
      <c r="R1922" s="222"/>
      <c r="AB1922" t="e">
        <v>#N/A</v>
      </c>
    </row>
    <row r="1923">
      <c r="F1923" s="457"/>
      <c r="Q1923" s="222"/>
      <c r="R1923" s="222"/>
      <c r="AB1923" t="e">
        <v>#N/A</v>
      </c>
    </row>
    <row r="1924">
      <c r="F1924" s="457"/>
      <c r="Q1924" s="222"/>
      <c r="R1924" s="222"/>
      <c r="AB1924" t="e">
        <v>#N/A</v>
      </c>
    </row>
    <row r="1925">
      <c r="F1925" s="457"/>
      <c r="Q1925" s="222"/>
      <c r="R1925" s="222"/>
      <c r="S1925" s="222"/>
      <c r="U1925" s="222"/>
      <c r="AB1925" t="e">
        <v>#N/A</v>
      </c>
    </row>
    <row r="1926">
      <c r="F1926" s="457"/>
      <c r="Q1926" s="222"/>
      <c r="R1926" s="222"/>
      <c r="AB1926" t="e">
        <v>#N/A</v>
      </c>
    </row>
    <row r="1927">
      <c r="F1927" s="457"/>
      <c r="Q1927" s="222"/>
      <c r="R1927" s="222"/>
      <c r="S1927" s="222"/>
      <c r="U1927" s="222"/>
      <c r="AB1927" t="e">
        <v>#N/A</v>
      </c>
    </row>
    <row r="1928">
      <c r="F1928" s="457"/>
      <c r="Q1928" s="222"/>
      <c r="R1928" s="222"/>
      <c r="AB1928" t="e">
        <v>#N/A</v>
      </c>
    </row>
    <row r="1929">
      <c r="F1929" s="457"/>
      <c r="Q1929" s="222"/>
      <c r="R1929" s="222"/>
      <c r="AB1929" t="e">
        <v>#N/A</v>
      </c>
    </row>
    <row r="1930">
      <c r="F1930" s="457"/>
      <c r="Q1930" s="222"/>
      <c r="R1930" s="222"/>
      <c r="AB1930" t="e">
        <v>#N/A</v>
      </c>
    </row>
    <row r="1931">
      <c r="F1931" s="457"/>
      <c r="Q1931" s="222"/>
      <c r="R1931" s="222"/>
      <c r="AB1931" t="e">
        <v>#N/A</v>
      </c>
    </row>
    <row r="1932">
      <c r="F1932" s="457"/>
      <c r="Q1932" s="222"/>
      <c r="R1932" s="222"/>
      <c r="AB1932" t="e">
        <v>#N/A</v>
      </c>
    </row>
    <row r="1933">
      <c r="F1933" s="457"/>
      <c r="Q1933" s="222"/>
      <c r="R1933" s="222"/>
      <c r="S1933" s="222"/>
      <c r="AB1933" t="e">
        <v>#N/A</v>
      </c>
    </row>
    <row r="1934">
      <c r="F1934" s="457"/>
      <c r="Q1934" s="222"/>
      <c r="R1934" s="222"/>
      <c r="S1934" s="222"/>
      <c r="U1934" s="222"/>
      <c r="AB1934" t="e">
        <v>#N/A</v>
      </c>
    </row>
    <row r="1935">
      <c r="F1935" s="457"/>
      <c r="Q1935" s="222"/>
      <c r="R1935" s="222"/>
      <c r="AB1935" t="e">
        <v>#N/A</v>
      </c>
    </row>
    <row r="1936">
      <c r="F1936" s="457"/>
      <c r="Q1936" s="222"/>
      <c r="R1936" s="222"/>
      <c r="S1936" s="222"/>
      <c r="U1936" s="222"/>
      <c r="AB1936" t="e">
        <v>#N/A</v>
      </c>
    </row>
    <row r="1937">
      <c r="F1937" s="457"/>
      <c r="Q1937" s="222"/>
      <c r="R1937" s="222"/>
      <c r="S1937" s="222"/>
      <c r="U1937" s="222"/>
      <c r="AB1937" t="e">
        <v>#N/A</v>
      </c>
    </row>
    <row r="1938">
      <c r="F1938" s="457"/>
      <c r="Q1938" s="222"/>
      <c r="R1938" s="222"/>
      <c r="AB1938" t="e">
        <v>#N/A</v>
      </c>
    </row>
    <row r="1939">
      <c r="F1939" s="457"/>
      <c r="Q1939" s="222"/>
      <c r="R1939" s="222"/>
      <c r="AB1939" t="e">
        <v>#N/A</v>
      </c>
    </row>
    <row r="1940">
      <c r="F1940" s="457"/>
      <c r="Q1940" s="222"/>
      <c r="R1940" s="222"/>
      <c r="AB1940" t="e">
        <v>#N/A</v>
      </c>
    </row>
    <row r="1941">
      <c r="F1941" s="457"/>
      <c r="Q1941" s="222"/>
      <c r="R1941" s="222"/>
      <c r="S1941" s="222"/>
      <c r="AB1941" t="e">
        <v>#N/A</v>
      </c>
    </row>
    <row r="1942">
      <c r="F1942" s="457"/>
      <c r="Q1942" s="222"/>
      <c r="R1942" s="222"/>
      <c r="AB1942" t="e">
        <v>#N/A</v>
      </c>
    </row>
    <row r="1943">
      <c r="F1943" s="457"/>
      <c r="Q1943" s="222"/>
      <c r="R1943" s="222"/>
      <c r="S1943" s="222"/>
      <c r="AB1943" t="e">
        <v>#N/A</v>
      </c>
    </row>
    <row r="1944">
      <c r="F1944" s="457"/>
      <c r="Q1944" s="222"/>
      <c r="R1944" s="222"/>
      <c r="S1944" s="222"/>
      <c r="AB1944" t="e">
        <v>#N/A</v>
      </c>
    </row>
    <row r="1945">
      <c r="F1945" s="457"/>
      <c r="Q1945" s="222"/>
      <c r="R1945" s="222"/>
      <c r="AB1945" t="e">
        <v>#N/A</v>
      </c>
    </row>
    <row r="1946">
      <c r="F1946" s="457"/>
      <c r="Q1946" s="222"/>
      <c r="R1946" s="222"/>
      <c r="AB1946" t="e">
        <v>#N/A</v>
      </c>
    </row>
    <row r="1947">
      <c r="F1947" s="457"/>
      <c r="Q1947" s="222"/>
      <c r="R1947" s="222"/>
      <c r="AB1947" t="e">
        <v>#N/A</v>
      </c>
    </row>
    <row r="1948">
      <c r="F1948" s="457"/>
      <c r="Q1948" s="222"/>
      <c r="R1948" s="222"/>
      <c r="S1948" s="222"/>
      <c r="U1948" s="222"/>
      <c r="AB1948" t="e">
        <v>#N/A</v>
      </c>
    </row>
    <row r="1949">
      <c r="F1949" s="457"/>
      <c r="Q1949" s="222"/>
      <c r="R1949" s="222"/>
      <c r="S1949" s="222"/>
      <c r="U1949" s="222"/>
      <c r="AB1949" t="e">
        <v>#N/A</v>
      </c>
    </row>
    <row r="1950">
      <c r="F1950" s="457"/>
      <c r="Q1950" s="222"/>
      <c r="R1950" s="222"/>
      <c r="S1950" s="222"/>
      <c r="AB1950" t="e">
        <v>#N/A</v>
      </c>
    </row>
    <row r="1951">
      <c r="F1951" s="457"/>
      <c r="Q1951" s="222"/>
      <c r="R1951" s="222"/>
      <c r="AB1951" t="e">
        <v>#N/A</v>
      </c>
    </row>
    <row r="1952">
      <c r="F1952" s="457"/>
      <c r="Q1952" s="222"/>
      <c r="R1952" s="222"/>
      <c r="AB1952" t="e">
        <v>#N/A</v>
      </c>
    </row>
    <row r="1953">
      <c r="F1953" s="457"/>
      <c r="Q1953" s="222"/>
      <c r="R1953" s="222"/>
      <c r="AB1953" t="e">
        <v>#N/A</v>
      </c>
    </row>
    <row r="1954">
      <c r="F1954" s="457"/>
      <c r="Q1954" s="222"/>
      <c r="R1954" s="222"/>
      <c r="S1954" s="222"/>
      <c r="AB1954" t="e">
        <v>#N/A</v>
      </c>
    </row>
    <row r="1955">
      <c r="F1955" s="457"/>
      <c r="Q1955" s="222"/>
      <c r="R1955" s="222"/>
      <c r="S1955" s="222"/>
      <c r="U1955" s="222"/>
      <c r="AB1955" t="e">
        <v>#N/A</v>
      </c>
    </row>
    <row r="1956">
      <c r="F1956" s="457"/>
      <c r="Q1956" s="222"/>
      <c r="R1956" s="222"/>
      <c r="AB1956" t="e">
        <v>#N/A</v>
      </c>
    </row>
    <row r="1957">
      <c r="F1957" s="457"/>
      <c r="Q1957" s="222"/>
      <c r="R1957" s="222"/>
      <c r="S1957" s="222"/>
      <c r="U1957" s="222"/>
      <c r="AB1957" t="e">
        <v>#N/A</v>
      </c>
    </row>
    <row r="1958">
      <c r="F1958" s="457"/>
      <c r="Q1958" s="222"/>
      <c r="R1958" s="222"/>
      <c r="AB1958" t="e">
        <v>#N/A</v>
      </c>
    </row>
    <row r="1959">
      <c r="F1959" s="457"/>
      <c r="Q1959" s="222"/>
      <c r="R1959" s="222"/>
      <c r="S1959" s="222"/>
      <c r="U1959" s="222"/>
      <c r="AB1959" t="e">
        <v>#N/A</v>
      </c>
    </row>
    <row r="1960">
      <c r="F1960" s="457"/>
      <c r="Q1960" s="222"/>
      <c r="R1960" s="222"/>
      <c r="AB1960" t="e">
        <v>#N/A</v>
      </c>
    </row>
    <row r="1961">
      <c r="F1961" s="457"/>
      <c r="Q1961" s="222"/>
      <c r="R1961" s="222"/>
      <c r="AB1961" t="e">
        <v>#N/A</v>
      </c>
    </row>
    <row r="1962">
      <c r="F1962" s="457"/>
      <c r="Q1962" s="222"/>
      <c r="R1962" s="222"/>
      <c r="S1962" s="222"/>
      <c r="AB1962" t="e">
        <v>#N/A</v>
      </c>
    </row>
    <row r="1963">
      <c r="F1963" s="457"/>
      <c r="Q1963" s="222"/>
      <c r="R1963" s="222"/>
      <c r="AB1963" t="e">
        <v>#N/A</v>
      </c>
    </row>
    <row r="1964">
      <c r="F1964" s="457"/>
      <c r="Q1964" s="222"/>
      <c r="R1964" s="222"/>
      <c r="AB1964" t="e">
        <v>#N/A</v>
      </c>
    </row>
    <row r="1965">
      <c r="F1965" s="457"/>
      <c r="Q1965" s="222"/>
      <c r="R1965" s="222"/>
      <c r="S1965" s="222"/>
      <c r="U1965" s="222"/>
      <c r="AB1965" t="e">
        <v>#N/A</v>
      </c>
    </row>
    <row r="1966">
      <c r="F1966" s="457"/>
      <c r="Q1966" s="222"/>
      <c r="R1966" s="222"/>
      <c r="S1966" s="222"/>
      <c r="U1966" s="222"/>
      <c r="AB1966" t="e">
        <v>#N/A</v>
      </c>
    </row>
    <row r="1967">
      <c r="F1967" s="457"/>
      <c r="Q1967" s="222"/>
      <c r="R1967" s="222"/>
      <c r="S1967" s="222"/>
      <c r="AB1967" t="e">
        <v>#N/A</v>
      </c>
    </row>
    <row r="1968">
      <c r="F1968" s="457"/>
      <c r="Q1968" s="222"/>
      <c r="R1968" s="222"/>
      <c r="AB1968" t="e">
        <v>#N/A</v>
      </c>
    </row>
    <row r="1969">
      <c r="F1969" s="457"/>
      <c r="Q1969" s="222"/>
      <c r="R1969" s="222"/>
      <c r="AB1969" t="e">
        <v>#N/A</v>
      </c>
    </row>
    <row r="1970">
      <c r="F1970" s="457"/>
      <c r="Q1970" s="222"/>
      <c r="R1970" s="222"/>
      <c r="AB1970" t="e">
        <v>#N/A</v>
      </c>
    </row>
    <row r="1971">
      <c r="F1971" s="457"/>
      <c r="Q1971" s="222"/>
      <c r="R1971" s="222"/>
      <c r="AB1971" t="e">
        <v>#N/A</v>
      </c>
    </row>
    <row r="1972">
      <c r="F1972" s="457"/>
      <c r="Q1972" s="222"/>
      <c r="R1972" s="222"/>
      <c r="AB1972" t="e">
        <v>#N/A</v>
      </c>
    </row>
    <row r="1973">
      <c r="F1973" s="457"/>
      <c r="Q1973" s="222"/>
      <c r="R1973" s="222"/>
      <c r="AB1973" t="e">
        <v>#N/A</v>
      </c>
    </row>
    <row r="1974">
      <c r="F1974" s="457"/>
      <c r="Q1974" s="222"/>
      <c r="R1974" s="222"/>
      <c r="AB1974" t="e">
        <v>#N/A</v>
      </c>
    </row>
    <row r="1975">
      <c r="F1975" s="457"/>
      <c r="Q1975" s="222"/>
      <c r="R1975" s="222"/>
      <c r="AB1975" t="e">
        <v>#N/A</v>
      </c>
    </row>
    <row r="1976">
      <c r="F1976" s="457"/>
      <c r="Q1976" s="222"/>
      <c r="R1976" s="222"/>
      <c r="AB1976" t="e">
        <v>#N/A</v>
      </c>
    </row>
    <row r="1977">
      <c r="F1977" s="457"/>
      <c r="Q1977" s="222"/>
      <c r="R1977" s="222"/>
      <c r="AB1977" t="e">
        <v>#N/A</v>
      </c>
    </row>
    <row r="1978">
      <c r="F1978" s="457"/>
      <c r="Q1978" s="222"/>
      <c r="R1978" s="222"/>
      <c r="S1978" s="222"/>
      <c r="U1978" s="222"/>
      <c r="AB1978" t="e">
        <v>#N/A</v>
      </c>
    </row>
    <row r="1979">
      <c r="F1979" s="457"/>
      <c r="Q1979" s="222"/>
      <c r="R1979" s="222"/>
      <c r="S1979" s="222"/>
      <c r="U1979" s="222"/>
      <c r="AB1979" t="e">
        <v>#N/A</v>
      </c>
    </row>
    <row r="1980">
      <c r="F1980" s="457"/>
      <c r="Q1980" s="222"/>
      <c r="R1980" s="222"/>
      <c r="AB1980" t="e">
        <v>#N/A</v>
      </c>
    </row>
    <row r="1981">
      <c r="F1981" s="457"/>
      <c r="Q1981" s="222"/>
      <c r="R1981" s="222"/>
      <c r="S1981" s="222"/>
      <c r="U1981" s="222"/>
      <c r="AB1981" t="e">
        <v>#N/A</v>
      </c>
    </row>
    <row r="1982">
      <c r="F1982" s="457"/>
      <c r="Q1982" s="222"/>
      <c r="R1982" s="222"/>
      <c r="AB1982" t="e">
        <v>#N/A</v>
      </c>
    </row>
    <row r="1983">
      <c r="F1983" s="457"/>
      <c r="Q1983" s="222"/>
      <c r="R1983" s="222"/>
      <c r="AB1983" t="e">
        <v>#N/A</v>
      </c>
    </row>
    <row r="1984">
      <c r="F1984" s="457"/>
      <c r="Q1984" s="222"/>
      <c r="R1984" s="222"/>
      <c r="S1984" s="222"/>
      <c r="U1984" s="222"/>
      <c r="AB1984" t="e">
        <v>#N/A</v>
      </c>
    </row>
    <row r="1985">
      <c r="F1985" s="457"/>
      <c r="Q1985" s="222"/>
      <c r="R1985" s="222"/>
      <c r="S1985" s="222"/>
      <c r="U1985" s="222"/>
      <c r="AB1985" t="e">
        <v>#N/A</v>
      </c>
    </row>
    <row r="1986">
      <c r="F1986" s="457"/>
      <c r="Q1986" s="222"/>
      <c r="R1986" s="222"/>
      <c r="AB1986" t="e">
        <v>#N/A</v>
      </c>
    </row>
    <row r="1987">
      <c r="F1987" s="457"/>
      <c r="Q1987" s="222"/>
      <c r="R1987" s="222"/>
      <c r="AB1987" t="e">
        <v>#N/A</v>
      </c>
    </row>
    <row r="1988">
      <c r="F1988" s="457"/>
      <c r="Q1988" s="222"/>
      <c r="R1988" s="222"/>
      <c r="S1988" s="222"/>
      <c r="U1988" s="222"/>
      <c r="AB1988" t="e">
        <v>#N/A</v>
      </c>
    </row>
    <row r="1989">
      <c r="F1989" s="457"/>
      <c r="Q1989" s="222"/>
      <c r="R1989" s="222"/>
      <c r="S1989" s="222"/>
      <c r="U1989" s="222"/>
      <c r="AB1989" t="e">
        <v>#N/A</v>
      </c>
    </row>
    <row r="1990">
      <c r="F1990" s="457"/>
      <c r="Q1990" s="222"/>
      <c r="R1990" s="222"/>
      <c r="S1990" s="222"/>
      <c r="U1990" s="222"/>
      <c r="AB1990" t="e">
        <v>#N/A</v>
      </c>
    </row>
    <row r="1991">
      <c r="F1991" s="457"/>
      <c r="Q1991" s="222"/>
      <c r="R1991" s="222"/>
      <c r="S1991" s="222"/>
      <c r="U1991" s="222"/>
      <c r="AB1991" t="e">
        <v>#N/A</v>
      </c>
    </row>
    <row r="1992">
      <c r="F1992" s="457"/>
      <c r="Q1992" s="222"/>
      <c r="R1992" s="222"/>
      <c r="S1992" s="222"/>
      <c r="U1992" s="222"/>
      <c r="AB1992" t="e">
        <v>#N/A</v>
      </c>
    </row>
    <row r="1993">
      <c r="F1993" s="457"/>
      <c r="Q1993" s="222"/>
      <c r="R1993" s="222"/>
      <c r="S1993" s="222"/>
      <c r="U1993" s="222"/>
      <c r="AB1993" t="e">
        <v>#N/A</v>
      </c>
    </row>
    <row r="1994">
      <c r="F1994" s="457"/>
      <c r="Q1994" s="222"/>
      <c r="R1994" s="222"/>
      <c r="AB1994" t="e">
        <v>#N/A</v>
      </c>
    </row>
    <row r="1995">
      <c r="F1995" s="457"/>
      <c r="Q1995" s="222"/>
      <c r="R1995" s="222"/>
      <c r="S1995" s="222"/>
      <c r="U1995" s="222"/>
      <c r="AB1995" t="e">
        <v>#N/A</v>
      </c>
    </row>
    <row r="1996">
      <c r="F1996" s="457"/>
      <c r="Q1996" s="222"/>
      <c r="R1996" s="222"/>
      <c r="AB1996" t="e">
        <v>#N/A</v>
      </c>
    </row>
    <row r="1997">
      <c r="F1997" s="457"/>
      <c r="Q1997" s="222"/>
      <c r="R1997" s="222"/>
      <c r="AB1997" t="e">
        <v>#N/A</v>
      </c>
    </row>
    <row r="1998">
      <c r="F1998" s="457"/>
      <c r="Q1998" s="222"/>
      <c r="R1998" s="222"/>
      <c r="S1998" s="222"/>
      <c r="U1998" s="222"/>
      <c r="AB1998" t="e">
        <v>#N/A</v>
      </c>
    </row>
    <row r="1999">
      <c r="F1999" s="457"/>
      <c r="Q1999" s="222"/>
      <c r="R1999" s="222"/>
      <c r="S1999" s="222"/>
      <c r="U1999" s="222"/>
      <c r="AB1999" t="e">
        <v>#N/A</v>
      </c>
    </row>
    <row r="2000">
      <c r="F2000" s="457"/>
      <c r="Q2000" s="222"/>
      <c r="R2000" s="222"/>
      <c r="AB2000" t="e">
        <v>#N/A</v>
      </c>
    </row>
    <row r="2001">
      <c r="F2001" s="457"/>
      <c r="Q2001" s="222"/>
      <c r="R2001" s="222"/>
      <c r="AB2001" t="e">
        <v>#N/A</v>
      </c>
    </row>
    <row r="2002">
      <c r="F2002" s="457"/>
      <c r="Q2002" s="222"/>
      <c r="R2002" s="222"/>
      <c r="S2002" s="222"/>
      <c r="U2002" s="222"/>
      <c r="AB2002" t="e">
        <v>#N/A</v>
      </c>
    </row>
    <row r="2003">
      <c r="F2003" s="457"/>
      <c r="Q2003" s="222"/>
      <c r="R2003" s="222"/>
      <c r="AB2003" t="e">
        <v>#N/A</v>
      </c>
    </row>
    <row r="2004">
      <c r="F2004" s="457"/>
      <c r="Q2004" s="222"/>
      <c r="R2004" s="222"/>
      <c r="AB2004" t="e">
        <v>#N/A</v>
      </c>
    </row>
    <row r="2005">
      <c r="F2005" s="457"/>
      <c r="Q2005" s="222"/>
      <c r="R2005" s="222"/>
      <c r="AB2005" t="e">
        <v>#N/A</v>
      </c>
    </row>
    <row r="2006">
      <c r="F2006" s="457"/>
      <c r="Q2006" s="222"/>
      <c r="R2006" s="222"/>
      <c r="AB2006" t="e">
        <v>#N/A</v>
      </c>
    </row>
    <row r="2007">
      <c r="F2007" s="457"/>
      <c r="Q2007" s="222"/>
      <c r="R2007" s="222"/>
      <c r="AB2007" t="e">
        <v>#N/A</v>
      </c>
    </row>
    <row r="2008">
      <c r="F2008" s="457"/>
      <c r="Q2008" s="222"/>
      <c r="R2008" s="222"/>
      <c r="AB2008" t="e">
        <v>#N/A</v>
      </c>
    </row>
    <row r="2009">
      <c r="F2009" s="457"/>
      <c r="Q2009" s="222"/>
      <c r="R2009" s="222"/>
      <c r="S2009" s="222"/>
      <c r="U2009" s="222"/>
      <c r="AB2009" t="e">
        <v>#N/A</v>
      </c>
    </row>
    <row r="2010">
      <c r="F2010" s="457"/>
      <c r="Q2010" s="222"/>
      <c r="R2010" s="222"/>
      <c r="S2010" s="222"/>
      <c r="U2010" s="222"/>
      <c r="AB2010" t="e">
        <v>#N/A</v>
      </c>
    </row>
    <row r="2011">
      <c r="F2011" s="457"/>
      <c r="Q2011" s="222"/>
      <c r="R2011" s="222"/>
      <c r="S2011" s="222"/>
      <c r="AB2011" t="e">
        <v>#N/A</v>
      </c>
    </row>
    <row r="2012">
      <c r="F2012" s="457"/>
      <c r="Q2012" s="222"/>
      <c r="R2012" s="222"/>
      <c r="S2012" s="222"/>
      <c r="AB2012" t="e">
        <v>#N/A</v>
      </c>
    </row>
    <row r="2013">
      <c r="F2013" s="457"/>
      <c r="Q2013" s="222"/>
      <c r="R2013" s="222"/>
      <c r="S2013" s="222"/>
      <c r="AB2013" t="e">
        <v>#N/A</v>
      </c>
    </row>
    <row r="2014">
      <c r="F2014" s="457"/>
      <c r="Q2014" s="222"/>
      <c r="R2014" s="222"/>
      <c r="S2014" s="222"/>
      <c r="AB2014" t="e">
        <v>#N/A</v>
      </c>
    </row>
    <row r="2015">
      <c r="F2015" s="457"/>
      <c r="Q2015" s="222"/>
      <c r="R2015" s="222"/>
      <c r="AB2015" t="e">
        <v>#N/A</v>
      </c>
    </row>
    <row r="2016">
      <c r="F2016" s="457"/>
      <c r="Q2016" s="222"/>
      <c r="R2016" s="222"/>
      <c r="AB2016" t="e">
        <v>#N/A</v>
      </c>
    </row>
    <row r="2017">
      <c r="F2017" s="457"/>
      <c r="Q2017" s="222"/>
      <c r="R2017" s="222"/>
      <c r="AB2017" t="e">
        <v>#N/A</v>
      </c>
    </row>
    <row r="2018">
      <c r="F2018" s="457"/>
      <c r="Q2018" s="222"/>
      <c r="R2018" s="222"/>
      <c r="AB2018" t="e">
        <v>#N/A</v>
      </c>
    </row>
    <row r="2019">
      <c r="F2019" s="457"/>
      <c r="Q2019" s="222"/>
      <c r="R2019" s="222"/>
      <c r="AB2019" t="e">
        <v>#N/A</v>
      </c>
    </row>
    <row r="2020">
      <c r="F2020" s="457"/>
      <c r="Q2020" s="222"/>
      <c r="R2020" s="222"/>
      <c r="S2020" s="222"/>
      <c r="U2020" s="222"/>
      <c r="AB2020" t="e">
        <v>#N/A</v>
      </c>
    </row>
    <row r="2021">
      <c r="F2021" s="457"/>
      <c r="Q2021" s="222"/>
      <c r="R2021" s="222"/>
      <c r="AB2021" t="e">
        <v>#N/A</v>
      </c>
    </row>
    <row r="2022">
      <c r="F2022" s="457"/>
      <c r="Q2022" s="222"/>
      <c r="R2022" s="222"/>
      <c r="AB2022" t="e">
        <v>#N/A</v>
      </c>
    </row>
    <row r="2023">
      <c r="F2023" s="457"/>
      <c r="Q2023" s="222"/>
      <c r="R2023" s="222"/>
      <c r="AB2023" t="e">
        <v>#N/A</v>
      </c>
    </row>
    <row r="2024">
      <c r="F2024" s="457"/>
      <c r="Q2024" s="222"/>
      <c r="R2024" s="222"/>
      <c r="AB2024" t="e">
        <v>#N/A</v>
      </c>
    </row>
    <row r="2025">
      <c r="F2025" s="457"/>
      <c r="Q2025" s="222"/>
      <c r="R2025" s="222"/>
      <c r="AB2025" t="e">
        <v>#N/A</v>
      </c>
    </row>
    <row r="2026">
      <c r="F2026" s="457"/>
      <c r="Q2026" s="222"/>
      <c r="R2026" s="222"/>
      <c r="AB2026" t="e">
        <v>#N/A</v>
      </c>
    </row>
    <row r="2027">
      <c r="F2027" s="457"/>
      <c r="Q2027" s="222"/>
      <c r="R2027" s="222"/>
      <c r="S2027" s="222"/>
      <c r="U2027" s="222"/>
      <c r="AB2027" t="e">
        <v>#N/A</v>
      </c>
    </row>
    <row r="2028">
      <c r="F2028" s="457"/>
      <c r="Q2028" s="222"/>
      <c r="R2028" s="222"/>
      <c r="AB2028" t="e">
        <v>#N/A</v>
      </c>
    </row>
    <row r="2029">
      <c r="F2029" s="457"/>
      <c r="Q2029" s="222"/>
      <c r="R2029" s="222"/>
      <c r="AB2029" t="e">
        <v>#N/A</v>
      </c>
    </row>
    <row r="2030">
      <c r="F2030" s="457"/>
      <c r="Q2030" s="222"/>
      <c r="R2030" s="222"/>
      <c r="AB2030" t="e">
        <v>#N/A</v>
      </c>
    </row>
    <row r="2031">
      <c r="F2031" s="457"/>
      <c r="Q2031" s="222"/>
      <c r="R2031" s="222"/>
      <c r="S2031" s="222"/>
      <c r="U2031" s="222"/>
      <c r="AB2031" t="e">
        <v>#N/A</v>
      </c>
    </row>
    <row r="2032">
      <c r="F2032" s="457"/>
      <c r="Q2032" s="222"/>
      <c r="R2032" s="222"/>
      <c r="AB2032" t="e">
        <v>#N/A</v>
      </c>
    </row>
    <row r="2033">
      <c r="F2033" s="457"/>
      <c r="Q2033" s="222"/>
      <c r="R2033" s="222"/>
      <c r="AB2033" t="e">
        <v>#N/A</v>
      </c>
    </row>
    <row r="2034">
      <c r="F2034" s="457"/>
      <c r="Q2034" s="222"/>
      <c r="R2034" s="222"/>
      <c r="AB2034" t="e">
        <v>#N/A</v>
      </c>
    </row>
    <row r="2035">
      <c r="F2035" s="457"/>
      <c r="Q2035" s="222"/>
      <c r="R2035" s="222"/>
      <c r="AB2035" t="e">
        <v>#N/A</v>
      </c>
    </row>
    <row r="2036">
      <c r="F2036" s="457"/>
      <c r="Q2036" s="222"/>
      <c r="R2036" s="222"/>
      <c r="AB2036" t="e">
        <v>#N/A</v>
      </c>
    </row>
    <row r="2037">
      <c r="F2037" s="457"/>
      <c r="Q2037" s="222"/>
      <c r="R2037" s="222"/>
      <c r="AB2037" t="e">
        <v>#N/A</v>
      </c>
    </row>
    <row r="2038">
      <c r="F2038" s="457"/>
      <c r="Q2038" s="222"/>
      <c r="R2038" s="222"/>
      <c r="S2038" s="222"/>
      <c r="U2038" s="222"/>
      <c r="AB2038" t="e">
        <v>#N/A</v>
      </c>
    </row>
    <row r="2039">
      <c r="F2039" s="457"/>
      <c r="Q2039" s="222"/>
      <c r="R2039" s="222"/>
      <c r="S2039" s="222"/>
      <c r="U2039" s="222"/>
      <c r="AB2039" t="e">
        <v>#N/A</v>
      </c>
    </row>
    <row r="2040">
      <c r="F2040" s="457"/>
      <c r="Q2040" s="222"/>
      <c r="R2040" s="222"/>
      <c r="AB2040" t="e">
        <v>#N/A</v>
      </c>
    </row>
    <row r="2041">
      <c r="F2041" s="457"/>
      <c r="Q2041" s="222"/>
      <c r="R2041" s="222"/>
      <c r="AB2041" t="e">
        <v>#N/A</v>
      </c>
    </row>
    <row r="2042">
      <c r="F2042" s="457"/>
      <c r="Q2042" s="222"/>
      <c r="R2042" s="222"/>
      <c r="S2042" s="222"/>
      <c r="AB2042" t="e">
        <v>#N/A</v>
      </c>
    </row>
    <row r="2043">
      <c r="F2043" s="457"/>
      <c r="Q2043" s="222"/>
      <c r="R2043" s="222"/>
      <c r="S2043" s="222"/>
      <c r="U2043" s="222"/>
      <c r="AB2043" t="e">
        <v>#N/A</v>
      </c>
    </row>
    <row r="2044">
      <c r="F2044" s="457"/>
      <c r="Q2044" s="222"/>
      <c r="R2044" s="222"/>
      <c r="AB2044" t="e">
        <v>#N/A</v>
      </c>
    </row>
    <row r="2045">
      <c r="F2045" s="457"/>
      <c r="Q2045" s="222"/>
      <c r="R2045" s="222"/>
      <c r="S2045" s="222"/>
      <c r="U2045" s="222"/>
      <c r="AB2045" t="e">
        <v>#N/A</v>
      </c>
    </row>
    <row r="2046">
      <c r="F2046" s="457"/>
      <c r="Q2046" s="222"/>
      <c r="R2046" s="222"/>
      <c r="S2046" s="222"/>
      <c r="U2046" s="222"/>
      <c r="AB2046" t="e">
        <v>#N/A</v>
      </c>
    </row>
    <row r="2047">
      <c r="F2047" s="457"/>
      <c r="Q2047" s="222"/>
      <c r="R2047" s="222"/>
      <c r="AB2047" t="e">
        <v>#N/A</v>
      </c>
    </row>
    <row r="2048">
      <c r="F2048" s="457"/>
      <c r="Q2048" s="222"/>
      <c r="R2048" s="222"/>
      <c r="AB2048" t="e">
        <v>#N/A</v>
      </c>
    </row>
    <row r="2049">
      <c r="F2049" s="457"/>
      <c r="Q2049" s="222"/>
      <c r="R2049" s="222"/>
      <c r="AB2049" t="e">
        <v>#N/A</v>
      </c>
    </row>
    <row r="2050">
      <c r="F2050" s="457"/>
      <c r="Q2050" s="222"/>
      <c r="R2050" s="222"/>
      <c r="AB2050" t="e">
        <v>#N/A</v>
      </c>
    </row>
    <row r="2051">
      <c r="F2051" s="457"/>
      <c r="Q2051" s="222"/>
      <c r="R2051" s="222"/>
      <c r="S2051" s="222"/>
      <c r="U2051" s="222"/>
      <c r="AB2051" t="e">
        <v>#N/A</v>
      </c>
    </row>
    <row r="2052">
      <c r="F2052" s="457"/>
      <c r="Q2052" s="222"/>
      <c r="R2052" s="222"/>
      <c r="AB2052" t="e">
        <v>#N/A</v>
      </c>
    </row>
    <row r="2053">
      <c r="F2053" s="457"/>
      <c r="Q2053" s="222"/>
      <c r="R2053" s="222"/>
      <c r="S2053" s="222"/>
      <c r="U2053" s="222"/>
      <c r="AB2053" t="e">
        <v>#N/A</v>
      </c>
    </row>
    <row r="2054">
      <c r="F2054" s="457"/>
      <c r="Q2054" s="222"/>
      <c r="R2054" s="222"/>
      <c r="S2054" s="222"/>
      <c r="U2054" s="222"/>
      <c r="AB2054" t="e">
        <v>#N/A</v>
      </c>
    </row>
    <row r="2055">
      <c r="F2055" s="457"/>
      <c r="Q2055" s="222"/>
      <c r="R2055" s="222"/>
      <c r="AB2055" t="e">
        <v>#N/A</v>
      </c>
    </row>
    <row r="2056">
      <c r="F2056" s="457"/>
      <c r="Q2056" s="222"/>
      <c r="R2056" s="222"/>
      <c r="S2056" s="222"/>
      <c r="AB2056" t="e">
        <v>#N/A</v>
      </c>
    </row>
    <row r="2057">
      <c r="F2057" s="457"/>
      <c r="Q2057" s="222"/>
      <c r="R2057" s="222"/>
      <c r="S2057" s="222"/>
      <c r="U2057" s="222"/>
      <c r="AB2057" t="e">
        <v>#N/A</v>
      </c>
    </row>
    <row r="2058">
      <c r="F2058" s="457"/>
      <c r="Q2058" s="222"/>
      <c r="R2058" s="222"/>
      <c r="AB2058" t="e">
        <v>#N/A</v>
      </c>
    </row>
    <row r="2059">
      <c r="F2059" s="457"/>
      <c r="Q2059" s="222"/>
      <c r="R2059" s="222"/>
      <c r="S2059" s="222"/>
      <c r="U2059" s="222"/>
      <c r="AB2059" t="e">
        <v>#N/A</v>
      </c>
    </row>
    <row r="2060">
      <c r="F2060" s="457"/>
      <c r="Q2060" s="222"/>
      <c r="R2060" s="222"/>
      <c r="S2060" s="222"/>
      <c r="U2060" s="222"/>
      <c r="AB2060" t="e">
        <v>#N/A</v>
      </c>
    </row>
    <row r="2061">
      <c r="F2061" s="457"/>
      <c r="Q2061" s="222"/>
      <c r="R2061" s="222"/>
      <c r="AB2061" t="e">
        <v>#N/A</v>
      </c>
    </row>
    <row r="2062">
      <c r="F2062" s="457"/>
      <c r="Q2062" s="222"/>
      <c r="R2062" s="222"/>
      <c r="AB2062" t="e">
        <v>#N/A</v>
      </c>
    </row>
    <row r="2063">
      <c r="F2063" s="457"/>
      <c r="Q2063" s="222"/>
      <c r="R2063" s="222"/>
      <c r="AB2063" t="e">
        <v>#N/A</v>
      </c>
    </row>
    <row r="2064">
      <c r="F2064" s="457"/>
      <c r="Q2064" s="222"/>
      <c r="R2064" s="222"/>
      <c r="AB2064" t="e">
        <v>#N/A</v>
      </c>
    </row>
    <row r="2065">
      <c r="F2065" s="457"/>
      <c r="Q2065" s="222"/>
      <c r="R2065" s="222"/>
      <c r="AB2065" t="e">
        <v>#N/A</v>
      </c>
    </row>
    <row r="2066">
      <c r="F2066" s="457"/>
      <c r="Q2066" s="222"/>
      <c r="R2066" s="222"/>
      <c r="AB2066" t="e">
        <v>#N/A</v>
      </c>
    </row>
    <row r="2067">
      <c r="F2067" s="457"/>
      <c r="Q2067" s="222"/>
      <c r="R2067" s="222"/>
      <c r="S2067" s="222"/>
      <c r="U2067" s="222"/>
      <c r="AB2067" t="e">
        <v>#N/A</v>
      </c>
    </row>
    <row r="2068">
      <c r="F2068" s="457"/>
      <c r="Q2068" s="222"/>
      <c r="R2068" s="222"/>
      <c r="S2068" s="222"/>
      <c r="U2068" s="222"/>
      <c r="AB2068" t="e">
        <v>#N/A</v>
      </c>
    </row>
    <row r="2069">
      <c r="F2069" s="457"/>
      <c r="Q2069" s="222"/>
      <c r="R2069" s="222"/>
      <c r="S2069" s="222"/>
      <c r="U2069" s="222"/>
      <c r="AB2069" t="e">
        <v>#N/A</v>
      </c>
    </row>
    <row r="2070">
      <c r="F2070" s="457"/>
      <c r="Q2070" s="222"/>
      <c r="R2070" s="222"/>
      <c r="AB2070" t="e">
        <v>#N/A</v>
      </c>
    </row>
    <row r="2071">
      <c r="F2071" s="457"/>
      <c r="Q2071" s="222"/>
      <c r="R2071" s="222"/>
      <c r="AB2071" t="e">
        <v>#N/A</v>
      </c>
    </row>
    <row r="2072">
      <c r="F2072" s="457"/>
      <c r="Q2072" s="222"/>
      <c r="R2072" s="222"/>
      <c r="AB2072" t="e">
        <v>#N/A</v>
      </c>
    </row>
    <row r="2073">
      <c r="F2073" s="457"/>
      <c r="Q2073" s="222"/>
      <c r="R2073" s="222"/>
      <c r="AB2073" t="e">
        <v>#N/A</v>
      </c>
    </row>
    <row r="2074">
      <c r="F2074" s="457"/>
      <c r="Q2074" s="222"/>
      <c r="R2074" s="222"/>
      <c r="AB2074" t="e">
        <v>#N/A</v>
      </c>
    </row>
    <row r="2075">
      <c r="F2075" s="457"/>
      <c r="Q2075" s="222"/>
      <c r="R2075" s="222"/>
      <c r="AB2075" t="e">
        <v>#N/A</v>
      </c>
    </row>
    <row r="2076">
      <c r="F2076" s="457"/>
      <c r="Q2076" s="222"/>
      <c r="R2076" s="222"/>
      <c r="AB2076" t="e">
        <v>#N/A</v>
      </c>
    </row>
    <row r="2077">
      <c r="F2077" s="457"/>
      <c r="Q2077" s="222"/>
      <c r="R2077" s="222"/>
      <c r="AB2077" t="e">
        <v>#N/A</v>
      </c>
    </row>
    <row r="2078">
      <c r="F2078" s="457"/>
      <c r="Q2078" s="222"/>
      <c r="R2078" s="222"/>
      <c r="AB2078" t="e">
        <v>#N/A</v>
      </c>
    </row>
    <row r="2079">
      <c r="F2079" s="457"/>
      <c r="Q2079" s="222"/>
      <c r="R2079" s="222"/>
      <c r="AB2079" t="e">
        <v>#N/A</v>
      </c>
    </row>
    <row r="2080">
      <c r="F2080" s="457"/>
      <c r="Q2080" s="222"/>
      <c r="R2080" s="222"/>
      <c r="AB2080" t="e">
        <v>#N/A</v>
      </c>
    </row>
    <row r="2081">
      <c r="F2081" s="457"/>
      <c r="Q2081" s="222"/>
      <c r="R2081" s="222"/>
      <c r="AB2081" t="e">
        <v>#N/A</v>
      </c>
    </row>
    <row r="2082">
      <c r="F2082" s="457"/>
      <c r="Q2082" s="222"/>
      <c r="R2082" s="222"/>
      <c r="AB2082" t="e">
        <v>#N/A</v>
      </c>
    </row>
    <row r="2083">
      <c r="F2083" s="457"/>
      <c r="Q2083" s="222"/>
      <c r="R2083" s="222"/>
      <c r="S2083" s="222"/>
      <c r="U2083" s="222"/>
      <c r="AB2083" t="e">
        <v>#N/A</v>
      </c>
    </row>
    <row r="2084">
      <c r="F2084" s="457"/>
      <c r="Q2084" s="222"/>
      <c r="R2084" s="222"/>
      <c r="AB2084" t="e">
        <v>#N/A</v>
      </c>
    </row>
    <row r="2085">
      <c r="F2085" s="457"/>
      <c r="Q2085" s="222"/>
      <c r="R2085" s="222"/>
      <c r="AB2085" t="e">
        <v>#N/A</v>
      </c>
    </row>
    <row r="2086">
      <c r="F2086" s="457"/>
      <c r="Q2086" s="222"/>
      <c r="R2086" s="222"/>
      <c r="AB2086" t="e">
        <v>#N/A</v>
      </c>
    </row>
    <row r="2087">
      <c r="F2087" s="457"/>
      <c r="Q2087" s="222"/>
      <c r="R2087" s="222"/>
      <c r="S2087" s="222"/>
      <c r="U2087" s="222"/>
      <c r="AB2087" t="e">
        <v>#N/A</v>
      </c>
    </row>
    <row r="2088">
      <c r="F2088" s="457"/>
      <c r="Q2088" s="222"/>
      <c r="R2088" s="222"/>
      <c r="AB2088" t="e">
        <v>#N/A</v>
      </c>
    </row>
    <row r="2089">
      <c r="F2089" s="457"/>
      <c r="Q2089" s="222"/>
      <c r="R2089" s="222"/>
      <c r="S2089" s="222"/>
      <c r="U2089" s="222"/>
      <c r="AB2089" t="e">
        <v>#N/A</v>
      </c>
    </row>
    <row r="2090">
      <c r="F2090" s="457"/>
      <c r="Q2090" s="222"/>
      <c r="R2090" s="222"/>
      <c r="AB2090" t="e">
        <v>#N/A</v>
      </c>
    </row>
    <row r="2091">
      <c r="F2091" s="457"/>
      <c r="Q2091" s="222"/>
      <c r="R2091" s="222"/>
      <c r="AB2091" t="e">
        <v>#N/A</v>
      </c>
    </row>
    <row r="2092">
      <c r="F2092" s="457"/>
      <c r="Q2092" s="222"/>
      <c r="R2092" s="222"/>
      <c r="S2092" s="222"/>
      <c r="U2092" s="222"/>
      <c r="AB2092" t="e">
        <v>#N/A</v>
      </c>
    </row>
    <row r="2093">
      <c r="F2093" s="457"/>
      <c r="Q2093" s="222"/>
      <c r="R2093" s="222"/>
      <c r="AB2093" t="e">
        <v>#N/A</v>
      </c>
    </row>
    <row r="2094">
      <c r="F2094" s="457"/>
      <c r="Q2094" s="222"/>
      <c r="R2094" s="222"/>
      <c r="S2094" s="222"/>
      <c r="U2094" s="222"/>
      <c r="AB2094" t="e">
        <v>#N/A</v>
      </c>
    </row>
    <row r="2095">
      <c r="F2095" s="457"/>
      <c r="Q2095" s="222"/>
      <c r="R2095" s="222"/>
      <c r="AB2095" t="e">
        <v>#N/A</v>
      </c>
    </row>
    <row r="2096">
      <c r="F2096" s="457"/>
      <c r="Q2096" s="222"/>
      <c r="R2096" s="222"/>
      <c r="AB2096" t="e">
        <v>#N/A</v>
      </c>
    </row>
    <row r="2097">
      <c r="F2097" s="457"/>
      <c r="Q2097" s="222"/>
      <c r="R2097" s="222"/>
      <c r="AB2097" t="e">
        <v>#N/A</v>
      </c>
    </row>
    <row r="2098">
      <c r="F2098" s="457"/>
      <c r="Q2098" s="222"/>
      <c r="R2098" s="222"/>
      <c r="AB2098" t="e">
        <v>#N/A</v>
      </c>
    </row>
    <row r="2099">
      <c r="F2099" s="457"/>
      <c r="Q2099" s="222"/>
      <c r="R2099" s="222"/>
      <c r="AB2099" t="e">
        <v>#N/A</v>
      </c>
    </row>
    <row r="2100">
      <c r="F2100" s="457"/>
      <c r="Q2100" s="222"/>
      <c r="R2100" s="222"/>
      <c r="AB2100" t="e">
        <v>#N/A</v>
      </c>
    </row>
    <row r="2101">
      <c r="F2101" s="457"/>
      <c r="Q2101" s="222"/>
      <c r="R2101" s="222"/>
      <c r="AB2101" t="e">
        <v>#N/A</v>
      </c>
    </row>
    <row r="2102">
      <c r="F2102" s="457"/>
      <c r="Q2102" s="222"/>
      <c r="R2102" s="222"/>
      <c r="AB2102" t="e">
        <v>#N/A</v>
      </c>
    </row>
    <row r="2103">
      <c r="F2103" s="457"/>
      <c r="Q2103" s="222"/>
      <c r="R2103" s="222"/>
      <c r="AB2103" t="e">
        <v>#N/A</v>
      </c>
    </row>
    <row r="2104">
      <c r="F2104" s="457"/>
      <c r="Q2104" s="222"/>
      <c r="R2104" s="222"/>
      <c r="AB2104" t="e">
        <v>#N/A</v>
      </c>
    </row>
    <row r="2105">
      <c r="F2105" s="457"/>
      <c r="Q2105" s="222"/>
      <c r="R2105" s="222"/>
      <c r="AB2105" t="e">
        <v>#N/A</v>
      </c>
    </row>
    <row r="2106">
      <c r="F2106" s="457"/>
      <c r="Q2106" s="222"/>
      <c r="R2106" s="222"/>
      <c r="AB2106" t="e">
        <v>#N/A</v>
      </c>
    </row>
    <row r="2107">
      <c r="F2107" s="457"/>
      <c r="Q2107" s="222"/>
      <c r="R2107" s="222"/>
      <c r="AB2107" t="e">
        <v>#N/A</v>
      </c>
    </row>
    <row r="2108">
      <c r="F2108" s="457"/>
      <c r="Q2108" s="222"/>
      <c r="R2108" s="222"/>
      <c r="AB2108" t="e">
        <v>#N/A</v>
      </c>
    </row>
    <row r="2109">
      <c r="F2109" s="457"/>
      <c r="Q2109" s="222"/>
      <c r="R2109" s="222"/>
      <c r="AB2109" t="e">
        <v>#N/A</v>
      </c>
    </row>
    <row r="2110">
      <c r="F2110" s="457"/>
      <c r="Q2110" s="222"/>
      <c r="R2110" s="222"/>
      <c r="AB2110" t="e">
        <v>#N/A</v>
      </c>
    </row>
    <row r="2111">
      <c r="F2111" s="457"/>
      <c r="Q2111" s="222"/>
      <c r="R2111" s="222"/>
      <c r="AB2111" t="e">
        <v>#N/A</v>
      </c>
    </row>
    <row r="2112">
      <c r="F2112" s="457"/>
      <c r="Q2112" s="222"/>
      <c r="R2112" s="222"/>
      <c r="AB2112" t="e">
        <v>#N/A</v>
      </c>
    </row>
    <row r="2113">
      <c r="F2113" s="457"/>
      <c r="Q2113" s="222"/>
      <c r="R2113" s="222"/>
      <c r="AB2113" t="e">
        <v>#N/A</v>
      </c>
    </row>
    <row r="2114">
      <c r="F2114" s="457"/>
      <c r="Q2114" s="222"/>
      <c r="R2114" s="222"/>
      <c r="AB2114" t="e">
        <v>#N/A</v>
      </c>
    </row>
    <row r="2115">
      <c r="F2115" s="457"/>
      <c r="Q2115" s="222"/>
      <c r="R2115" s="222"/>
      <c r="S2115" s="222"/>
      <c r="U2115" s="222"/>
      <c r="AB2115" t="e">
        <v>#N/A</v>
      </c>
    </row>
    <row r="2116">
      <c r="F2116" s="457"/>
      <c r="Q2116" s="222"/>
      <c r="R2116" s="222"/>
      <c r="AB2116" t="e">
        <v>#N/A</v>
      </c>
    </row>
    <row r="2117">
      <c r="F2117" s="457"/>
      <c r="Q2117" s="222"/>
      <c r="R2117" s="222"/>
      <c r="AB2117" t="e">
        <v>#N/A</v>
      </c>
    </row>
    <row r="2118">
      <c r="F2118" s="457"/>
      <c r="Q2118" s="222"/>
      <c r="R2118" s="222"/>
      <c r="AB2118" t="e">
        <v>#N/A</v>
      </c>
    </row>
    <row r="2119">
      <c r="F2119" s="457"/>
      <c r="Q2119" s="222"/>
      <c r="R2119" s="222"/>
      <c r="AB2119" t="e">
        <v>#N/A</v>
      </c>
    </row>
    <row r="2120">
      <c r="F2120" s="457"/>
      <c r="Q2120" s="222"/>
      <c r="R2120" s="222"/>
      <c r="AB2120" t="e">
        <v>#N/A</v>
      </c>
    </row>
    <row r="2121">
      <c r="F2121" s="457"/>
      <c r="Q2121" s="222"/>
      <c r="R2121" s="222"/>
      <c r="AB2121" t="e">
        <v>#N/A</v>
      </c>
    </row>
    <row r="2122">
      <c r="F2122" s="457"/>
      <c r="Q2122" s="222"/>
      <c r="R2122" s="222"/>
      <c r="AB2122" t="e">
        <v>#N/A</v>
      </c>
    </row>
    <row r="2123">
      <c r="F2123" s="457"/>
      <c r="Q2123" s="222"/>
      <c r="R2123" s="222"/>
      <c r="AB2123" t="e">
        <v>#N/A</v>
      </c>
    </row>
    <row r="2124">
      <c r="F2124" s="457"/>
      <c r="Q2124" s="222"/>
      <c r="R2124" s="222"/>
      <c r="AB2124" t="e">
        <v>#N/A</v>
      </c>
    </row>
    <row r="2125">
      <c r="F2125" s="457"/>
      <c r="Q2125" s="222"/>
      <c r="R2125" s="222"/>
      <c r="AB2125" t="e">
        <v>#N/A</v>
      </c>
    </row>
    <row r="2126">
      <c r="F2126" s="457"/>
      <c r="Q2126" s="222"/>
      <c r="R2126" s="222"/>
      <c r="AB2126" t="e">
        <v>#N/A</v>
      </c>
    </row>
    <row r="2127">
      <c r="F2127" s="457"/>
      <c r="Q2127" s="222"/>
      <c r="R2127" s="222"/>
      <c r="AB2127" t="e">
        <v>#N/A</v>
      </c>
    </row>
    <row r="2128">
      <c r="F2128" s="457"/>
      <c r="Q2128" s="222"/>
      <c r="R2128" s="222"/>
      <c r="AB2128" t="e">
        <v>#N/A</v>
      </c>
    </row>
    <row r="2129">
      <c r="F2129" s="457"/>
      <c r="Q2129" s="222"/>
      <c r="R2129" s="222"/>
      <c r="AB2129" t="e">
        <v>#N/A</v>
      </c>
    </row>
    <row r="2130">
      <c r="F2130" s="457"/>
      <c r="Q2130" s="222"/>
      <c r="R2130" s="222"/>
      <c r="AB2130" t="e">
        <v>#N/A</v>
      </c>
    </row>
    <row r="2131">
      <c r="F2131" s="457"/>
      <c r="Q2131" s="222"/>
      <c r="R2131" s="222"/>
      <c r="AB2131" t="e">
        <v>#N/A</v>
      </c>
    </row>
    <row r="2132">
      <c r="F2132" s="457"/>
      <c r="Q2132" s="222"/>
      <c r="R2132" s="222"/>
      <c r="AB2132" t="e">
        <v>#N/A</v>
      </c>
    </row>
    <row r="2133">
      <c r="F2133" s="457"/>
      <c r="Q2133" s="222"/>
      <c r="R2133" s="222"/>
      <c r="AB2133" t="e">
        <v>#N/A</v>
      </c>
    </row>
    <row r="2134">
      <c r="F2134" s="457"/>
      <c r="Q2134" s="222"/>
      <c r="R2134" s="222"/>
      <c r="AB2134" t="e">
        <v>#N/A</v>
      </c>
    </row>
    <row r="2135">
      <c r="F2135" s="457"/>
      <c r="Q2135" s="222"/>
      <c r="R2135" s="222"/>
      <c r="AB2135" t="e">
        <v>#N/A</v>
      </c>
    </row>
    <row r="2136">
      <c r="F2136" s="457"/>
      <c r="Q2136" s="222"/>
      <c r="R2136" s="222"/>
      <c r="AB2136" t="e">
        <v>#N/A</v>
      </c>
    </row>
    <row r="2137">
      <c r="F2137" s="457"/>
      <c r="Q2137" s="222"/>
      <c r="R2137" s="222"/>
      <c r="S2137" s="222"/>
      <c r="U2137" s="222"/>
      <c r="AB2137" t="e">
        <v>#N/A</v>
      </c>
    </row>
    <row r="2138">
      <c r="F2138" s="457"/>
      <c r="Q2138" s="222"/>
      <c r="R2138" s="222"/>
      <c r="AB2138" t="e">
        <v>#N/A</v>
      </c>
    </row>
    <row r="2139">
      <c r="F2139" s="457"/>
      <c r="Q2139" s="222"/>
      <c r="R2139" s="222"/>
      <c r="AB2139" t="e">
        <v>#N/A</v>
      </c>
    </row>
    <row r="2140">
      <c r="F2140" s="457"/>
      <c r="Q2140" s="222"/>
      <c r="R2140" s="222"/>
      <c r="AB2140" t="e">
        <v>#N/A</v>
      </c>
    </row>
    <row r="2141">
      <c r="F2141" s="457"/>
      <c r="Q2141" s="222"/>
      <c r="R2141" s="222"/>
      <c r="AB2141" t="e">
        <v>#N/A</v>
      </c>
    </row>
    <row r="2142">
      <c r="F2142" s="457"/>
      <c r="Q2142" s="222"/>
      <c r="R2142" s="222"/>
      <c r="AB2142" t="e">
        <v>#N/A</v>
      </c>
    </row>
    <row r="2143">
      <c r="F2143" s="457"/>
      <c r="Q2143" s="222"/>
      <c r="R2143" s="222"/>
      <c r="AB2143" t="e">
        <v>#N/A</v>
      </c>
    </row>
    <row r="2144">
      <c r="F2144" s="457"/>
      <c r="Q2144" s="222"/>
      <c r="R2144" s="222"/>
      <c r="AB2144" t="e">
        <v>#N/A</v>
      </c>
    </row>
    <row r="2145">
      <c r="F2145" s="457"/>
      <c r="Q2145" s="222"/>
      <c r="R2145" s="222"/>
      <c r="AB2145" t="e">
        <v>#N/A</v>
      </c>
    </row>
    <row r="2146">
      <c r="F2146" s="457"/>
      <c r="Q2146" s="222"/>
      <c r="R2146" s="222"/>
      <c r="AB2146" t="e">
        <v>#N/A</v>
      </c>
    </row>
    <row r="2147">
      <c r="F2147" s="457"/>
      <c r="Q2147" s="222"/>
      <c r="R2147" s="222"/>
      <c r="AB2147" t="e">
        <v>#N/A</v>
      </c>
    </row>
    <row r="2148">
      <c r="F2148" s="457"/>
      <c r="Q2148" s="222"/>
      <c r="R2148" s="222"/>
      <c r="AB2148" t="e">
        <v>#N/A</v>
      </c>
    </row>
    <row r="2149">
      <c r="F2149" s="457"/>
      <c r="Q2149" s="222"/>
      <c r="R2149" s="222"/>
      <c r="AB2149" t="e">
        <v>#N/A</v>
      </c>
    </row>
    <row r="2150">
      <c r="F2150" s="457"/>
      <c r="Q2150" s="222"/>
      <c r="R2150" s="222"/>
      <c r="AB2150" t="e">
        <v>#N/A</v>
      </c>
    </row>
    <row r="2151">
      <c r="F2151" s="457"/>
      <c r="Q2151" s="222"/>
      <c r="R2151" s="222"/>
      <c r="AB2151" t="e">
        <v>#N/A</v>
      </c>
    </row>
    <row r="2152">
      <c r="F2152" s="457"/>
      <c r="Q2152" s="222"/>
      <c r="R2152" s="222"/>
      <c r="AB2152" t="e">
        <v>#N/A</v>
      </c>
    </row>
    <row r="2153">
      <c r="F2153" s="457"/>
      <c r="Q2153" s="222"/>
      <c r="R2153" s="222"/>
      <c r="AB2153" t="e">
        <v>#N/A</v>
      </c>
    </row>
    <row r="2154">
      <c r="F2154" s="457"/>
      <c r="Q2154" s="222"/>
      <c r="R2154" s="222"/>
      <c r="AB2154" t="e">
        <v>#N/A</v>
      </c>
    </row>
    <row r="2155">
      <c r="F2155" s="457"/>
      <c r="Q2155" s="222"/>
      <c r="R2155" s="222"/>
      <c r="AB2155" t="e">
        <v>#N/A</v>
      </c>
    </row>
    <row r="2156">
      <c r="F2156" s="457"/>
      <c r="Q2156" s="222"/>
      <c r="R2156" s="222"/>
      <c r="AB2156" t="e">
        <v>#N/A</v>
      </c>
    </row>
    <row r="2157">
      <c r="F2157" s="457"/>
      <c r="Q2157" s="222"/>
      <c r="R2157" s="222"/>
      <c r="AB2157" t="e">
        <v>#N/A</v>
      </c>
    </row>
    <row r="2158">
      <c r="F2158" s="457"/>
      <c r="Q2158" s="222"/>
      <c r="R2158" s="222"/>
      <c r="AB2158" t="e">
        <v>#N/A</v>
      </c>
    </row>
    <row r="2159">
      <c r="F2159" s="457"/>
      <c r="Q2159" s="222"/>
      <c r="R2159" s="222"/>
      <c r="AB2159" t="e">
        <v>#N/A</v>
      </c>
    </row>
    <row r="2160">
      <c r="F2160" s="457"/>
      <c r="Q2160" s="222"/>
      <c r="R2160" s="222"/>
      <c r="AB2160" t="e">
        <v>#N/A</v>
      </c>
    </row>
    <row r="2161">
      <c r="F2161" s="457"/>
      <c r="Q2161" s="222"/>
      <c r="R2161" s="222"/>
      <c r="AB2161" t="e">
        <v>#N/A</v>
      </c>
    </row>
    <row r="2162">
      <c r="A2162" s="218"/>
      <c r="C2162" s="218"/>
      <c r="F2162" s="457"/>
      <c r="G2162" s="218"/>
      <c r="H2162" s="218"/>
      <c r="I2162" s="218"/>
      <c r="J2162" s="218"/>
      <c r="K2162" s="218"/>
      <c r="L2162" s="218"/>
      <c r="M2162" s="218"/>
      <c r="N2162" s="218"/>
      <c r="O2162" s="218"/>
      <c r="P2162" s="218"/>
      <c r="Q2162" s="222"/>
      <c r="R2162" s="222"/>
      <c r="S2162" s="218"/>
      <c r="U2162" s="218"/>
      <c r="X2162" s="218"/>
      <c r="AB2162" t="e">
        <v>#N/A</v>
      </c>
    </row>
    <row r="2163">
      <c r="A2163" s="218"/>
      <c r="C2163" s="218"/>
      <c r="F2163" s="457"/>
      <c r="G2163" s="218"/>
      <c r="H2163" s="218"/>
      <c r="I2163" s="218"/>
      <c r="J2163" s="218"/>
      <c r="K2163" s="218"/>
      <c r="L2163" s="218"/>
      <c r="M2163" s="218"/>
      <c r="N2163" s="218"/>
      <c r="O2163" s="218"/>
      <c r="P2163" s="218"/>
      <c r="Q2163" s="222"/>
      <c r="R2163" s="222"/>
      <c r="S2163" s="218"/>
      <c r="U2163" s="218"/>
      <c r="X2163" s="218"/>
      <c r="AB2163" t="e">
        <v>#N/A</v>
      </c>
    </row>
    <row r="2164">
      <c r="A2164" s="218"/>
      <c r="C2164" s="218"/>
      <c r="F2164" s="457"/>
      <c r="G2164" s="218"/>
      <c r="H2164" s="218"/>
      <c r="I2164" s="218"/>
      <c r="J2164" s="218"/>
      <c r="K2164" s="218"/>
      <c r="L2164" s="218"/>
      <c r="M2164" s="218"/>
      <c r="N2164" s="218"/>
      <c r="O2164" s="218"/>
      <c r="P2164" s="218"/>
      <c r="Q2164" s="222"/>
      <c r="R2164" s="222"/>
      <c r="S2164" s="218"/>
      <c r="U2164" s="218"/>
      <c r="X2164" s="218"/>
      <c r="AB2164" t="e">
        <v>#N/A</v>
      </c>
    </row>
    <row r="2165">
      <c r="A2165" s="218"/>
      <c r="C2165" s="218"/>
      <c r="F2165" s="457"/>
      <c r="G2165" s="218"/>
      <c r="H2165" s="218"/>
      <c r="I2165" s="218"/>
      <c r="J2165" s="218"/>
      <c r="K2165" s="218"/>
      <c r="L2165" s="218"/>
      <c r="M2165" s="218"/>
      <c r="N2165" s="218"/>
      <c r="O2165" s="218"/>
      <c r="P2165" s="218"/>
      <c r="Q2165" s="222"/>
      <c r="R2165" s="222"/>
      <c r="S2165" s="218"/>
      <c r="U2165" s="218"/>
      <c r="X2165" s="218"/>
      <c r="AB2165" t="e">
        <v>#N/A</v>
      </c>
    </row>
    <row r="2166">
      <c r="A2166" s="218"/>
      <c r="C2166" s="218"/>
      <c r="F2166" s="457"/>
      <c r="G2166" s="218"/>
      <c r="H2166" s="218"/>
      <c r="I2166" s="218"/>
      <c r="J2166" s="218"/>
      <c r="K2166" s="218"/>
      <c r="L2166" s="218"/>
      <c r="M2166" s="218"/>
      <c r="N2166" s="218"/>
      <c r="O2166" s="218"/>
      <c r="P2166" s="218"/>
      <c r="Q2166" s="222"/>
      <c r="R2166" s="222"/>
      <c r="S2166" s="218"/>
      <c r="U2166" s="218"/>
      <c r="X2166" s="218"/>
      <c r="AB2166" t="e">
        <v>#N/A</v>
      </c>
    </row>
    <row r="2167">
      <c r="A2167" s="218"/>
      <c r="C2167" s="218"/>
      <c r="F2167" s="457"/>
      <c r="G2167" s="218"/>
      <c r="H2167" s="218"/>
      <c r="I2167" s="218"/>
      <c r="J2167" s="218"/>
      <c r="K2167" s="218"/>
      <c r="L2167" s="218"/>
      <c r="M2167" s="218"/>
      <c r="N2167" s="218"/>
      <c r="O2167" s="218"/>
      <c r="P2167" s="218"/>
      <c r="Q2167" s="222"/>
      <c r="R2167" s="222"/>
      <c r="S2167" s="218"/>
      <c r="U2167" s="218"/>
      <c r="X2167" s="218"/>
      <c r="AB2167" t="e">
        <v>#N/A</v>
      </c>
    </row>
    <row r="2168">
      <c r="A2168" s="218"/>
      <c r="C2168" s="218"/>
      <c r="F2168" s="457"/>
      <c r="G2168" s="218"/>
      <c r="H2168" s="218"/>
      <c r="I2168" s="218"/>
      <c r="J2168" s="218"/>
      <c r="K2168" s="218"/>
      <c r="L2168" s="218"/>
      <c r="M2168" s="218"/>
      <c r="N2168" s="218"/>
      <c r="O2168" s="218"/>
      <c r="P2168" s="218"/>
      <c r="Q2168" s="222"/>
      <c r="R2168" s="222"/>
      <c r="S2168" s="218"/>
      <c r="U2168" s="218"/>
      <c r="X2168" s="218"/>
      <c r="AB2168" t="e">
        <v>#N/A</v>
      </c>
    </row>
    <row r="2169">
      <c r="A2169" s="218"/>
      <c r="C2169" s="218"/>
      <c r="F2169" s="457"/>
      <c r="G2169" s="218"/>
      <c r="H2169" s="218"/>
      <c r="I2169" s="218"/>
      <c r="J2169" s="218"/>
      <c r="K2169" s="218"/>
      <c r="L2169" s="218"/>
      <c r="M2169" s="218"/>
      <c r="N2169" s="218"/>
      <c r="O2169" s="218"/>
      <c r="P2169" s="218"/>
      <c r="Q2169" s="222"/>
      <c r="R2169" s="222"/>
      <c r="S2169" s="218"/>
      <c r="U2169" s="218"/>
      <c r="X2169" s="218"/>
      <c r="AB2169" t="e">
        <v>#N/A</v>
      </c>
    </row>
    <row r="2170">
      <c r="A2170" s="218"/>
      <c r="C2170" s="218"/>
      <c r="F2170" s="457"/>
      <c r="G2170" s="218"/>
      <c r="H2170" s="218"/>
      <c r="I2170" s="218"/>
      <c r="J2170" s="218"/>
      <c r="K2170" s="218"/>
      <c r="L2170" s="218"/>
      <c r="M2170" s="218"/>
      <c r="N2170" s="218"/>
      <c r="O2170" s="218"/>
      <c r="P2170" s="218"/>
      <c r="Q2170" s="222"/>
      <c r="R2170" s="222"/>
      <c r="S2170" s="218"/>
      <c r="U2170" s="218"/>
      <c r="X2170" s="218"/>
      <c r="AB2170" t="e">
        <v>#N/A</v>
      </c>
    </row>
    <row r="2171">
      <c r="A2171" s="218"/>
      <c r="C2171" s="218"/>
      <c r="F2171" s="457"/>
      <c r="G2171" s="218"/>
      <c r="H2171" s="218"/>
      <c r="I2171" s="218"/>
      <c r="J2171" s="218"/>
      <c r="K2171" s="218"/>
      <c r="L2171" s="218"/>
      <c r="M2171" s="218"/>
      <c r="N2171" s="218"/>
      <c r="O2171" s="218"/>
      <c r="P2171" s="218"/>
      <c r="Q2171" s="222"/>
      <c r="R2171" s="222"/>
      <c r="S2171" s="218"/>
      <c r="U2171" s="218"/>
      <c r="X2171" s="218"/>
      <c r="AB2171" t="e">
        <v>#N/A</v>
      </c>
    </row>
    <row r="2172">
      <c r="A2172" s="218"/>
      <c r="C2172" s="218"/>
      <c r="F2172" s="457"/>
      <c r="G2172" s="218"/>
      <c r="H2172" s="218"/>
      <c r="I2172" s="218"/>
      <c r="J2172" s="218"/>
      <c r="K2172" s="218"/>
      <c r="L2172" s="218"/>
      <c r="M2172" s="218"/>
      <c r="N2172" s="218"/>
      <c r="O2172" s="218"/>
      <c r="P2172" s="218"/>
      <c r="Q2172" s="222"/>
      <c r="R2172" s="222"/>
      <c r="S2172" s="218"/>
      <c r="U2172" s="218"/>
      <c r="X2172" s="218"/>
      <c r="AB2172" t="e">
        <v>#N/A</v>
      </c>
    </row>
    <row r="2173">
      <c r="A2173" s="218"/>
      <c r="C2173" s="218"/>
      <c r="F2173" s="457"/>
      <c r="G2173" s="218"/>
      <c r="H2173" s="218"/>
      <c r="I2173" s="218"/>
      <c r="J2173" s="218"/>
      <c r="K2173" s="218"/>
      <c r="L2173" s="218"/>
      <c r="M2173" s="218"/>
      <c r="N2173" s="218"/>
      <c r="O2173" s="218"/>
      <c r="P2173" s="218"/>
      <c r="Q2173" s="222"/>
      <c r="R2173" s="222"/>
      <c r="S2173" s="218"/>
      <c r="U2173" s="218"/>
      <c r="X2173" s="218"/>
      <c r="AB2173" t="e">
        <v>#N/A</v>
      </c>
    </row>
    <row r="2174">
      <c r="A2174" s="218"/>
      <c r="C2174" s="218"/>
      <c r="F2174" s="457"/>
      <c r="G2174" s="218"/>
      <c r="H2174" s="218"/>
      <c r="I2174" s="218"/>
      <c r="J2174" s="218"/>
      <c r="K2174" s="218"/>
      <c r="L2174" s="218"/>
      <c r="M2174" s="218"/>
      <c r="N2174" s="218"/>
      <c r="O2174" s="218"/>
      <c r="P2174" s="218"/>
      <c r="Q2174" s="222"/>
      <c r="R2174" s="222"/>
      <c r="S2174" s="218"/>
      <c r="U2174" s="218"/>
      <c r="X2174" s="218"/>
      <c r="AB2174" t="e">
        <v>#N/A</v>
      </c>
    </row>
    <row r="2175">
      <c r="A2175" s="218"/>
      <c r="C2175" s="218"/>
      <c r="F2175" s="457"/>
      <c r="G2175" s="218"/>
      <c r="H2175" s="218"/>
      <c r="I2175" s="218"/>
      <c r="J2175" s="218"/>
      <c r="K2175" s="218"/>
      <c r="L2175" s="218"/>
      <c r="M2175" s="218"/>
      <c r="N2175" s="218"/>
      <c r="O2175" s="218"/>
      <c r="P2175" s="218"/>
      <c r="Q2175" s="222"/>
      <c r="R2175" s="222"/>
      <c r="S2175" s="218"/>
      <c r="U2175" s="218"/>
      <c r="X2175" s="218"/>
      <c r="AB2175" t="e">
        <v>#N/A</v>
      </c>
    </row>
    <row r="2176">
      <c r="A2176" s="218"/>
      <c r="C2176" s="218"/>
      <c r="F2176" s="457"/>
      <c r="G2176" s="218"/>
      <c r="H2176" s="218"/>
      <c r="I2176" s="218"/>
      <c r="J2176" s="218"/>
      <c r="K2176" s="218"/>
      <c r="L2176" s="218"/>
      <c r="M2176" s="218"/>
      <c r="N2176" s="218"/>
      <c r="O2176" s="218"/>
      <c r="P2176" s="218"/>
      <c r="Q2176" s="222"/>
      <c r="R2176" s="222"/>
      <c r="S2176" s="218"/>
      <c r="U2176" s="218"/>
      <c r="X2176" s="218"/>
      <c r="AB2176" t="e">
        <v>#N/A</v>
      </c>
    </row>
    <row r="2177">
      <c r="A2177" s="218"/>
      <c r="C2177" s="218"/>
      <c r="F2177" s="457"/>
      <c r="G2177" s="218"/>
      <c r="H2177" s="218"/>
      <c r="I2177" s="218"/>
      <c r="J2177" s="218"/>
      <c r="K2177" s="218"/>
      <c r="L2177" s="218"/>
      <c r="M2177" s="218"/>
      <c r="N2177" s="218"/>
      <c r="O2177" s="218"/>
      <c r="P2177" s="218"/>
      <c r="Q2177" s="222"/>
      <c r="R2177" s="222"/>
      <c r="S2177" s="218"/>
      <c r="U2177" s="218"/>
      <c r="X2177" s="218"/>
      <c r="AB2177" t="e">
        <v>#N/A</v>
      </c>
    </row>
    <row r="2178">
      <c r="A2178" s="218"/>
      <c r="C2178" s="218"/>
      <c r="F2178" s="457"/>
      <c r="G2178" s="218"/>
      <c r="H2178" s="218"/>
      <c r="I2178" s="218"/>
      <c r="J2178" s="218"/>
      <c r="K2178" s="218"/>
      <c r="L2178" s="218"/>
      <c r="M2178" s="218"/>
      <c r="N2178" s="218"/>
      <c r="O2178" s="218"/>
      <c r="P2178" s="218"/>
      <c r="Q2178" s="222"/>
      <c r="R2178" s="222"/>
      <c r="S2178" s="218"/>
      <c r="U2178" s="218"/>
      <c r="X2178" s="218"/>
      <c r="AB2178" t="e">
        <v>#N/A</v>
      </c>
    </row>
    <row r="2179">
      <c r="A2179" s="218"/>
      <c r="C2179" s="218"/>
      <c r="F2179" s="457"/>
      <c r="G2179" s="218"/>
      <c r="H2179" s="218"/>
      <c r="I2179" s="218"/>
      <c r="J2179" s="218"/>
      <c r="K2179" s="218"/>
      <c r="L2179" s="218"/>
      <c r="M2179" s="218"/>
      <c r="N2179" s="218"/>
      <c r="O2179" s="218"/>
      <c r="P2179" s="218"/>
      <c r="Q2179" s="222"/>
      <c r="R2179" s="222"/>
      <c r="S2179" s="218"/>
      <c r="U2179" s="218"/>
      <c r="X2179" s="218"/>
      <c r="AB2179" t="e">
        <v>#N/A</v>
      </c>
    </row>
    <row r="2180">
      <c r="A2180" s="218"/>
      <c r="C2180" s="218"/>
      <c r="F2180" s="457"/>
      <c r="G2180" s="218"/>
      <c r="H2180" s="218"/>
      <c r="I2180" s="218"/>
      <c r="J2180" s="218"/>
      <c r="K2180" s="218"/>
      <c r="L2180" s="218"/>
      <c r="M2180" s="218"/>
      <c r="N2180" s="218"/>
      <c r="O2180" s="218"/>
      <c r="P2180" s="218"/>
      <c r="Q2180" s="222"/>
      <c r="R2180" s="222"/>
      <c r="S2180" s="218"/>
      <c r="U2180" s="218"/>
      <c r="X2180" s="218"/>
      <c r="AB2180" t="e">
        <v>#N/A</v>
      </c>
    </row>
    <row r="2181">
      <c r="A2181" s="218"/>
      <c r="C2181" s="218"/>
      <c r="F2181" s="457"/>
      <c r="G2181" s="218"/>
      <c r="H2181" s="218"/>
      <c r="I2181" s="218"/>
      <c r="J2181" s="218"/>
      <c r="K2181" s="218"/>
      <c r="L2181" s="218"/>
      <c r="M2181" s="218"/>
      <c r="N2181" s="218"/>
      <c r="O2181" s="218"/>
      <c r="P2181" s="218"/>
      <c r="Q2181" s="222"/>
      <c r="R2181" s="222"/>
      <c r="S2181" s="218"/>
      <c r="U2181" s="218"/>
      <c r="X2181" s="218"/>
      <c r="AB2181" t="e">
        <v>#N/A</v>
      </c>
    </row>
    <row r="2182">
      <c r="A2182" s="218"/>
      <c r="C2182" s="218"/>
      <c r="F2182" s="457"/>
      <c r="G2182" s="218"/>
      <c r="H2182" s="218"/>
      <c r="I2182" s="218"/>
      <c r="J2182" s="218"/>
      <c r="K2182" s="218"/>
      <c r="L2182" s="218"/>
      <c r="M2182" s="218"/>
      <c r="N2182" s="218"/>
      <c r="O2182" s="218"/>
      <c r="P2182" s="218"/>
      <c r="Q2182" s="222"/>
      <c r="R2182" s="222"/>
      <c r="S2182" s="218"/>
      <c r="U2182" s="218"/>
      <c r="X2182" s="218"/>
      <c r="AB2182" t="e">
        <v>#N/A</v>
      </c>
    </row>
    <row r="2183">
      <c r="A2183" s="218"/>
      <c r="C2183" s="218"/>
      <c r="F2183" s="457"/>
      <c r="G2183" s="218"/>
      <c r="H2183" s="218"/>
      <c r="I2183" s="218"/>
      <c r="J2183" s="218"/>
      <c r="K2183" s="218"/>
      <c r="L2183" s="218"/>
      <c r="M2183" s="218"/>
      <c r="N2183" s="218"/>
      <c r="O2183" s="218"/>
      <c r="P2183" s="218"/>
      <c r="Q2183" s="222"/>
      <c r="R2183" s="222"/>
      <c r="S2183" s="218"/>
      <c r="U2183" s="218"/>
      <c r="X2183" s="218"/>
      <c r="AB2183" t="e">
        <v>#N/A</v>
      </c>
    </row>
    <row r="2184">
      <c r="A2184" s="218"/>
      <c r="C2184" s="218"/>
      <c r="F2184" s="457"/>
      <c r="G2184" s="218"/>
      <c r="H2184" s="218"/>
      <c r="I2184" s="218"/>
      <c r="J2184" s="218"/>
      <c r="K2184" s="218"/>
      <c r="L2184" s="218"/>
      <c r="M2184" s="218"/>
      <c r="N2184" s="218"/>
      <c r="O2184" s="218"/>
      <c r="P2184" s="218"/>
      <c r="Q2184" s="222"/>
      <c r="R2184" s="222"/>
      <c r="S2184" s="218"/>
      <c r="U2184" s="218"/>
      <c r="X2184" s="218"/>
      <c r="AB2184" t="e">
        <v>#N/A</v>
      </c>
    </row>
    <row r="2185">
      <c r="A2185" s="218"/>
      <c r="C2185" s="218"/>
      <c r="F2185" s="457"/>
      <c r="G2185" s="218"/>
      <c r="H2185" s="218"/>
      <c r="I2185" s="218"/>
      <c r="J2185" s="218"/>
      <c r="K2185" s="218"/>
      <c r="L2185" s="218"/>
      <c r="M2185" s="218"/>
      <c r="N2185" s="218"/>
      <c r="O2185" s="218"/>
      <c r="P2185" s="218"/>
      <c r="Q2185" s="222"/>
      <c r="R2185" s="222"/>
      <c r="S2185" s="218"/>
      <c r="U2185" s="218"/>
      <c r="X2185" s="218"/>
      <c r="AB2185" t="e">
        <v>#N/A</v>
      </c>
    </row>
    <row r="2186">
      <c r="A2186" s="218"/>
      <c r="C2186" s="218"/>
      <c r="F2186" s="457"/>
      <c r="G2186" s="218"/>
      <c r="H2186" s="218"/>
      <c r="I2186" s="218"/>
      <c r="J2186" s="218"/>
      <c r="K2186" s="218"/>
      <c r="L2186" s="218"/>
      <c r="M2186" s="218"/>
      <c r="N2186" s="218"/>
      <c r="O2186" s="218"/>
      <c r="P2186" s="218"/>
      <c r="Q2186" s="222"/>
      <c r="R2186" s="222"/>
      <c r="S2186" s="218"/>
      <c r="U2186" s="218"/>
      <c r="X2186" s="218"/>
      <c r="AB2186" t="e">
        <v>#N/A</v>
      </c>
    </row>
    <row r="2187">
      <c r="A2187" s="218"/>
      <c r="C2187" s="218"/>
      <c r="F2187" s="457"/>
      <c r="G2187" s="218"/>
      <c r="H2187" s="218"/>
      <c r="I2187" s="218"/>
      <c r="J2187" s="218"/>
      <c r="K2187" s="218"/>
      <c r="L2187" s="218"/>
      <c r="M2187" s="218"/>
      <c r="N2187" s="218"/>
      <c r="O2187" s="218"/>
      <c r="P2187" s="218"/>
      <c r="Q2187" s="222"/>
      <c r="R2187" s="222"/>
      <c r="S2187" s="218"/>
      <c r="U2187" s="218"/>
      <c r="X2187" s="218"/>
      <c r="AB2187" t="e">
        <v>#N/A</v>
      </c>
    </row>
    <row r="2188">
      <c r="A2188" s="218"/>
      <c r="C2188" s="218"/>
      <c r="F2188" s="457"/>
      <c r="G2188" s="218"/>
      <c r="H2188" s="218"/>
      <c r="I2188" s="218"/>
      <c r="J2188" s="218"/>
      <c r="K2188" s="218"/>
      <c r="L2188" s="218"/>
      <c r="M2188" s="218"/>
      <c r="N2188" s="218"/>
      <c r="O2188" s="218"/>
      <c r="P2188" s="218"/>
      <c r="Q2188" s="222"/>
      <c r="R2188" s="222"/>
      <c r="S2188" s="218"/>
      <c r="U2188" s="218"/>
      <c r="X2188" s="218"/>
      <c r="AB2188" t="e">
        <v>#N/A</v>
      </c>
    </row>
    <row r="2189">
      <c r="A2189" s="218"/>
      <c r="C2189" s="218"/>
      <c r="F2189" s="457"/>
      <c r="G2189" s="218"/>
      <c r="H2189" s="218"/>
      <c r="I2189" s="218"/>
      <c r="J2189" s="218"/>
      <c r="K2189" s="218"/>
      <c r="L2189" s="218"/>
      <c r="M2189" s="218"/>
      <c r="N2189" s="218"/>
      <c r="O2189" s="218"/>
      <c r="P2189" s="218"/>
      <c r="Q2189" s="222"/>
      <c r="R2189" s="222"/>
      <c r="S2189" s="218"/>
      <c r="U2189" s="218"/>
      <c r="X2189" s="218"/>
      <c r="AB2189" t="e">
        <v>#N/A</v>
      </c>
    </row>
    <row r="2190">
      <c r="A2190" s="218"/>
      <c r="C2190" s="218"/>
      <c r="F2190" s="457"/>
      <c r="G2190" s="218"/>
      <c r="H2190" s="218"/>
      <c r="I2190" s="218"/>
      <c r="J2190" s="218"/>
      <c r="K2190" s="218"/>
      <c r="L2190" s="218"/>
      <c r="M2190" s="218"/>
      <c r="N2190" s="218"/>
      <c r="O2190" s="218"/>
      <c r="P2190" s="218"/>
      <c r="Q2190" s="222"/>
      <c r="R2190" s="222"/>
      <c r="S2190" s="218"/>
      <c r="U2190" s="218"/>
      <c r="X2190" s="218"/>
      <c r="AB2190" t="e">
        <v>#N/A</v>
      </c>
    </row>
    <row r="2191">
      <c r="A2191" s="218"/>
      <c r="C2191" s="218"/>
      <c r="F2191" s="457"/>
      <c r="G2191" s="218"/>
      <c r="H2191" s="218"/>
      <c r="I2191" s="218"/>
      <c r="J2191" s="218"/>
      <c r="K2191" s="218"/>
      <c r="L2191" s="218"/>
      <c r="M2191" s="218"/>
      <c r="N2191" s="218"/>
      <c r="O2191" s="218"/>
      <c r="P2191" s="218"/>
      <c r="Q2191" s="222"/>
      <c r="R2191" s="222"/>
      <c r="S2191" s="218"/>
      <c r="U2191" s="218"/>
      <c r="X2191" s="218"/>
      <c r="AB2191" t="e">
        <v>#N/A</v>
      </c>
    </row>
    <row r="2192">
      <c r="A2192" s="218"/>
      <c r="C2192" s="218"/>
      <c r="F2192" s="457"/>
      <c r="G2192" s="218"/>
      <c r="H2192" s="218"/>
      <c r="I2192" s="218"/>
      <c r="J2192" s="218"/>
      <c r="K2192" s="218"/>
      <c r="L2192" s="218"/>
      <c r="M2192" s="218"/>
      <c r="N2192" s="218"/>
      <c r="O2192" s="218"/>
      <c r="P2192" s="218"/>
      <c r="Q2192" s="222"/>
      <c r="R2192" s="222"/>
      <c r="S2192" s="218"/>
      <c r="U2192" s="218"/>
      <c r="X2192" s="218"/>
      <c r="AB2192" t="e">
        <v>#N/A</v>
      </c>
    </row>
    <row r="2193">
      <c r="A2193" s="218"/>
      <c r="C2193" s="218"/>
      <c r="F2193" s="457"/>
      <c r="G2193" s="218"/>
      <c r="H2193" s="218"/>
      <c r="I2193" s="218"/>
      <c r="J2193" s="218"/>
      <c r="K2193" s="218"/>
      <c r="L2193" s="218"/>
      <c r="M2193" s="218"/>
      <c r="N2193" s="218"/>
      <c r="O2193" s="218"/>
      <c r="P2193" s="218"/>
      <c r="Q2193" s="222"/>
      <c r="R2193" s="222"/>
      <c r="S2193" s="218"/>
      <c r="U2193" s="218"/>
      <c r="X2193" s="218"/>
      <c r="AB2193" t="e">
        <v>#N/A</v>
      </c>
    </row>
    <row r="2194">
      <c r="A2194" s="218"/>
      <c r="C2194" s="218"/>
      <c r="F2194" s="457"/>
      <c r="G2194" s="218"/>
      <c r="H2194" s="218"/>
      <c r="I2194" s="218"/>
      <c r="J2194" s="218"/>
      <c r="K2194" s="218"/>
      <c r="L2194" s="218"/>
      <c r="M2194" s="218"/>
      <c r="N2194" s="218"/>
      <c r="O2194" s="218"/>
      <c r="P2194" s="218"/>
      <c r="Q2194" s="222"/>
      <c r="R2194" s="222"/>
      <c r="S2194" s="218"/>
      <c r="U2194" s="218"/>
      <c r="X2194" s="218"/>
      <c r="AB2194" t="e">
        <v>#N/A</v>
      </c>
    </row>
    <row r="2195">
      <c r="A2195" s="218"/>
      <c r="C2195" s="218"/>
      <c r="F2195" s="457"/>
      <c r="G2195" s="218"/>
      <c r="H2195" s="218"/>
      <c r="I2195" s="218"/>
      <c r="J2195" s="218"/>
      <c r="K2195" s="218"/>
      <c r="L2195" s="218"/>
      <c r="M2195" s="218"/>
      <c r="N2195" s="218"/>
      <c r="O2195" s="218"/>
      <c r="P2195" s="218"/>
      <c r="Q2195" s="222"/>
      <c r="R2195" s="222"/>
      <c r="S2195" s="218"/>
      <c r="U2195" s="218"/>
      <c r="X2195" s="218"/>
      <c r="AB2195" t="e">
        <v>#N/A</v>
      </c>
    </row>
    <row r="2196">
      <c r="A2196" s="218"/>
      <c r="C2196" s="218"/>
      <c r="F2196" s="457"/>
      <c r="G2196" s="218"/>
      <c r="H2196" s="218"/>
      <c r="I2196" s="218"/>
      <c r="J2196" s="218"/>
      <c r="K2196" s="218"/>
      <c r="L2196" s="218"/>
      <c r="M2196" s="218"/>
      <c r="N2196" s="218"/>
      <c r="O2196" s="218"/>
      <c r="P2196" s="218"/>
      <c r="Q2196" s="222"/>
      <c r="R2196" s="222"/>
      <c r="S2196" s="218"/>
      <c r="U2196" s="218"/>
      <c r="X2196" s="218"/>
      <c r="AB2196" t="e">
        <v>#N/A</v>
      </c>
    </row>
    <row r="2197">
      <c r="A2197" s="218"/>
      <c r="C2197" s="218"/>
      <c r="F2197" s="457"/>
      <c r="G2197" s="218"/>
      <c r="H2197" s="218"/>
      <c r="I2197" s="218"/>
      <c r="J2197" s="218"/>
      <c r="K2197" s="218"/>
      <c r="L2197" s="218"/>
      <c r="M2197" s="218"/>
      <c r="N2197" s="218"/>
      <c r="O2197" s="218"/>
      <c r="P2197" s="218"/>
      <c r="Q2197" s="222"/>
      <c r="R2197" s="222"/>
      <c r="S2197" s="218"/>
      <c r="U2197" s="218"/>
      <c r="X2197" s="218"/>
      <c r="AB2197" t="e">
        <v>#N/A</v>
      </c>
    </row>
    <row r="2198">
      <c r="A2198" s="218"/>
      <c r="C2198" s="218"/>
      <c r="F2198" s="457"/>
      <c r="G2198" s="218"/>
      <c r="H2198" s="218"/>
      <c r="I2198" s="218"/>
      <c r="J2198" s="218"/>
      <c r="K2198" s="218"/>
      <c r="L2198" s="218"/>
      <c r="M2198" s="218"/>
      <c r="N2198" s="218"/>
      <c r="O2198" s="218"/>
      <c r="P2198" s="218"/>
      <c r="Q2198" s="222"/>
      <c r="R2198" s="222"/>
      <c r="S2198" s="218"/>
      <c r="U2198" s="218"/>
      <c r="X2198" s="218"/>
      <c r="AB2198" t="e">
        <v>#N/A</v>
      </c>
    </row>
    <row r="2199">
      <c r="A2199" s="218"/>
      <c r="C2199" s="218"/>
      <c r="F2199" s="457"/>
      <c r="G2199" s="218"/>
      <c r="H2199" s="218"/>
      <c r="I2199" s="218"/>
      <c r="J2199" s="218"/>
      <c r="K2199" s="218"/>
      <c r="L2199" s="218"/>
      <c r="M2199" s="218"/>
      <c r="N2199" s="218"/>
      <c r="O2199" s="218"/>
      <c r="P2199" s="218"/>
      <c r="Q2199" s="222"/>
      <c r="R2199" s="222"/>
      <c r="S2199" s="218"/>
      <c r="U2199" s="218"/>
      <c r="X2199" s="218"/>
      <c r="AB2199" t="e">
        <v>#N/A</v>
      </c>
    </row>
    <row r="2200">
      <c r="A2200" s="218"/>
      <c r="C2200" s="218"/>
      <c r="F2200" s="457"/>
      <c r="G2200" s="218"/>
      <c r="H2200" s="218"/>
      <c r="I2200" s="218"/>
      <c r="J2200" s="218"/>
      <c r="K2200" s="218"/>
      <c r="L2200" s="218"/>
      <c r="M2200" s="218"/>
      <c r="N2200" s="218"/>
      <c r="O2200" s="218"/>
      <c r="P2200" s="218"/>
      <c r="Q2200" s="222"/>
      <c r="R2200" s="222"/>
      <c r="S2200" s="218"/>
      <c r="U2200" s="218"/>
      <c r="X2200" s="218"/>
      <c r="AB2200" t="e">
        <v>#N/A</v>
      </c>
    </row>
    <row r="2201">
      <c r="A2201" s="218"/>
      <c r="C2201" s="218"/>
      <c r="F2201" s="457"/>
      <c r="G2201" s="218"/>
      <c r="H2201" s="218"/>
      <c r="I2201" s="218"/>
      <c r="J2201" s="218"/>
      <c r="K2201" s="218"/>
      <c r="L2201" s="218"/>
      <c r="M2201" s="218"/>
      <c r="N2201" s="218"/>
      <c r="O2201" s="218"/>
      <c r="P2201" s="218"/>
      <c r="Q2201" s="222"/>
      <c r="R2201" s="222"/>
      <c r="S2201" s="218"/>
      <c r="U2201" s="218"/>
      <c r="X2201" s="218"/>
      <c r="AB2201" t="e">
        <v>#N/A</v>
      </c>
    </row>
    <row r="2202">
      <c r="A2202" s="218"/>
      <c r="C2202" s="218"/>
      <c r="F2202" s="457"/>
      <c r="G2202" s="218"/>
      <c r="H2202" s="218"/>
      <c r="I2202" s="218"/>
      <c r="J2202" s="218"/>
      <c r="K2202" s="218"/>
      <c r="L2202" s="218"/>
      <c r="M2202" s="218"/>
      <c r="N2202" s="218"/>
      <c r="O2202" s="218"/>
      <c r="P2202" s="218"/>
      <c r="Q2202" s="222"/>
      <c r="R2202" s="222"/>
      <c r="S2202" s="218"/>
      <c r="U2202" s="218"/>
      <c r="X2202" s="218"/>
      <c r="AB2202" t="e">
        <v>#N/A</v>
      </c>
    </row>
    <row r="2203">
      <c r="A2203" s="218"/>
      <c r="C2203" s="218"/>
      <c r="F2203" s="457"/>
      <c r="G2203" s="218"/>
      <c r="H2203" s="218"/>
      <c r="I2203" s="218"/>
      <c r="J2203" s="218"/>
      <c r="K2203" s="218"/>
      <c r="L2203" s="218"/>
      <c r="M2203" s="218"/>
      <c r="N2203" s="218"/>
      <c r="O2203" s="218"/>
      <c r="P2203" s="218"/>
      <c r="Q2203" s="222"/>
      <c r="R2203" s="222"/>
      <c r="S2203" s="218"/>
      <c r="U2203" s="218"/>
      <c r="X2203" s="218"/>
      <c r="AB2203" t="e">
        <v>#N/A</v>
      </c>
    </row>
    <row r="2204">
      <c r="A2204" s="218"/>
      <c r="C2204" s="218"/>
      <c r="F2204" s="457"/>
      <c r="G2204" s="218"/>
      <c r="H2204" s="218"/>
      <c r="I2204" s="218"/>
      <c r="J2204" s="218"/>
      <c r="K2204" s="218"/>
      <c r="L2204" s="218"/>
      <c r="M2204" s="218"/>
      <c r="N2204" s="218"/>
      <c r="O2204" s="218"/>
      <c r="P2204" s="218"/>
      <c r="Q2204" s="222"/>
      <c r="R2204" s="222"/>
      <c r="S2204" s="218"/>
      <c r="U2204" s="218"/>
      <c r="X2204" s="218"/>
      <c r="AB2204" t="e">
        <v>#N/A</v>
      </c>
    </row>
    <row r="2205">
      <c r="A2205" s="218"/>
      <c r="C2205" s="218"/>
      <c r="F2205" s="457"/>
      <c r="G2205" s="218"/>
      <c r="H2205" s="218"/>
      <c r="I2205" s="218"/>
      <c r="J2205" s="218"/>
      <c r="K2205" s="218"/>
      <c r="L2205" s="218"/>
      <c r="M2205" s="218"/>
      <c r="N2205" s="218"/>
      <c r="O2205" s="218"/>
      <c r="P2205" s="218"/>
      <c r="Q2205" s="222"/>
      <c r="R2205" s="222"/>
      <c r="S2205" s="218"/>
      <c r="U2205" s="218"/>
      <c r="X2205" s="218"/>
      <c r="AB2205" t="e">
        <v>#N/A</v>
      </c>
    </row>
    <row r="2206">
      <c r="A2206" s="218"/>
      <c r="C2206" s="218"/>
      <c r="F2206" s="457"/>
      <c r="G2206" s="218"/>
      <c r="H2206" s="218"/>
      <c r="I2206" s="218"/>
      <c r="J2206" s="218"/>
      <c r="K2206" s="218"/>
      <c r="L2206" s="218"/>
      <c r="M2206" s="218"/>
      <c r="N2206" s="218"/>
      <c r="O2206" s="218"/>
      <c r="P2206" s="218"/>
      <c r="Q2206" s="222"/>
      <c r="R2206" s="222"/>
      <c r="S2206" s="218"/>
      <c r="U2206" s="218"/>
      <c r="X2206" s="218"/>
      <c r="AB2206" t="e">
        <v>#N/A</v>
      </c>
    </row>
    <row r="2207">
      <c r="A2207" s="218"/>
      <c r="C2207" s="218"/>
      <c r="F2207" s="457"/>
      <c r="G2207" s="218"/>
      <c r="H2207" s="218"/>
      <c r="I2207" s="218"/>
      <c r="J2207" s="218"/>
      <c r="K2207" s="218"/>
      <c r="L2207" s="218"/>
      <c r="M2207" s="218"/>
      <c r="N2207" s="218"/>
      <c r="O2207" s="218"/>
      <c r="P2207" s="218"/>
      <c r="Q2207" s="222"/>
      <c r="R2207" s="222"/>
      <c r="S2207" s="218"/>
      <c r="U2207" s="218"/>
      <c r="X2207" s="218"/>
      <c r="AB2207" t="e">
        <v>#N/A</v>
      </c>
    </row>
    <row r="2208">
      <c r="A2208" s="218"/>
      <c r="C2208" s="218"/>
      <c r="F2208" s="457"/>
      <c r="G2208" s="218"/>
      <c r="H2208" s="218"/>
      <c r="I2208" s="218"/>
      <c r="J2208" s="218"/>
      <c r="K2208" s="218"/>
      <c r="L2208" s="218"/>
      <c r="M2208" s="218"/>
      <c r="N2208" s="218"/>
      <c r="O2208" s="218"/>
      <c r="P2208" s="218"/>
      <c r="Q2208" s="222"/>
      <c r="R2208" s="222"/>
      <c r="S2208" s="218"/>
      <c r="U2208" s="218"/>
      <c r="X2208" s="218"/>
      <c r="AB2208" t="e">
        <v>#N/A</v>
      </c>
    </row>
    <row r="2209">
      <c r="A2209" s="218"/>
      <c r="C2209" s="218"/>
      <c r="F2209" s="457"/>
      <c r="G2209" s="218"/>
      <c r="H2209" s="218"/>
      <c r="I2209" s="218"/>
      <c r="J2209" s="218"/>
      <c r="K2209" s="218"/>
      <c r="L2209" s="218"/>
      <c r="M2209" s="218"/>
      <c r="N2209" s="218"/>
      <c r="O2209" s="218"/>
      <c r="P2209" s="218"/>
      <c r="Q2209" s="222"/>
      <c r="R2209" s="222"/>
      <c r="S2209" s="218"/>
      <c r="U2209" s="218"/>
      <c r="X2209" s="218"/>
      <c r="AB2209" t="e">
        <v>#N/A</v>
      </c>
    </row>
    <row r="2210">
      <c r="A2210" s="218"/>
      <c r="C2210" s="218"/>
      <c r="F2210" s="457"/>
      <c r="G2210" s="218"/>
      <c r="H2210" s="218"/>
      <c r="I2210" s="218"/>
      <c r="J2210" s="218"/>
      <c r="K2210" s="218"/>
      <c r="L2210" s="218"/>
      <c r="M2210" s="218"/>
      <c r="N2210" s="218"/>
      <c r="O2210" s="218"/>
      <c r="P2210" s="218"/>
      <c r="Q2210" s="222"/>
      <c r="R2210" s="222"/>
      <c r="S2210" s="218"/>
      <c r="U2210" s="218"/>
      <c r="X2210" s="218"/>
      <c r="AB2210" t="e">
        <v>#N/A</v>
      </c>
    </row>
    <row r="2211">
      <c r="A2211" s="218"/>
      <c r="C2211" s="218"/>
      <c r="F2211" s="457"/>
      <c r="G2211" s="218"/>
      <c r="H2211" s="218"/>
      <c r="I2211" s="218"/>
      <c r="J2211" s="218"/>
      <c r="K2211" s="218"/>
      <c r="L2211" s="218"/>
      <c r="M2211" s="218"/>
      <c r="N2211" s="218"/>
      <c r="O2211" s="218"/>
      <c r="P2211" s="218"/>
      <c r="Q2211" s="222"/>
      <c r="R2211" s="222"/>
      <c r="S2211" s="218"/>
      <c r="U2211" s="218"/>
      <c r="X2211" s="218"/>
      <c r="AB2211" t="e">
        <v>#N/A</v>
      </c>
    </row>
    <row r="2212">
      <c r="A2212" s="218"/>
      <c r="C2212" s="218"/>
      <c r="F2212" s="457"/>
      <c r="G2212" s="218"/>
      <c r="H2212" s="218"/>
      <c r="I2212" s="218"/>
      <c r="J2212" s="218"/>
      <c r="K2212" s="218"/>
      <c r="L2212" s="218"/>
      <c r="M2212" s="218"/>
      <c r="N2212" s="218"/>
      <c r="O2212" s="218"/>
      <c r="P2212" s="218"/>
      <c r="Q2212" s="222"/>
      <c r="R2212" s="222"/>
      <c r="S2212" s="218"/>
      <c r="U2212" s="218"/>
      <c r="X2212" s="218"/>
      <c r="AB2212" t="e">
        <v>#N/A</v>
      </c>
    </row>
    <row r="2213">
      <c r="A2213" s="218"/>
      <c r="C2213" s="218"/>
      <c r="F2213" s="457"/>
      <c r="G2213" s="218"/>
      <c r="H2213" s="218"/>
      <c r="I2213" s="218"/>
      <c r="J2213" s="218"/>
      <c r="K2213" s="218"/>
      <c r="L2213" s="218"/>
      <c r="M2213" s="218"/>
      <c r="N2213" s="218"/>
      <c r="O2213" s="218"/>
      <c r="P2213" s="218"/>
      <c r="Q2213" s="222"/>
      <c r="R2213" s="222"/>
      <c r="S2213" s="218"/>
      <c r="U2213" s="218"/>
      <c r="X2213" s="218"/>
      <c r="AB2213" t="e">
        <v>#N/A</v>
      </c>
    </row>
    <row r="2214">
      <c r="A2214" s="218"/>
      <c r="C2214" s="218"/>
      <c r="F2214" s="457"/>
      <c r="G2214" s="218"/>
      <c r="H2214" s="218"/>
      <c r="I2214" s="218"/>
      <c r="J2214" s="218"/>
      <c r="K2214" s="218"/>
      <c r="L2214" s="218"/>
      <c r="M2214" s="218"/>
      <c r="N2214" s="218"/>
      <c r="O2214" s="218"/>
      <c r="P2214" s="218"/>
      <c r="Q2214" s="222"/>
      <c r="R2214" s="222"/>
      <c r="S2214" s="218"/>
      <c r="U2214" s="218"/>
      <c r="X2214" s="218"/>
      <c r="AB2214" t="e">
        <v>#N/A</v>
      </c>
    </row>
    <row r="2215">
      <c r="A2215" s="218"/>
      <c r="C2215" s="218"/>
      <c r="F2215" s="457"/>
      <c r="G2215" s="218"/>
      <c r="H2215" s="218"/>
      <c r="I2215" s="218"/>
      <c r="J2215" s="218"/>
      <c r="K2215" s="218"/>
      <c r="L2215" s="218"/>
      <c r="M2215" s="218"/>
      <c r="N2215" s="218"/>
      <c r="O2215" s="218"/>
      <c r="P2215" s="218"/>
      <c r="Q2215" s="222"/>
      <c r="R2215" s="222"/>
      <c r="S2215" s="218"/>
      <c r="U2215" s="218"/>
      <c r="X2215" s="218"/>
      <c r="AB2215" t="e">
        <v>#N/A</v>
      </c>
    </row>
    <row r="2216">
      <c r="A2216" s="218"/>
      <c r="C2216" s="218"/>
      <c r="F2216" s="457"/>
      <c r="G2216" s="218"/>
      <c r="H2216" s="218"/>
      <c r="I2216" s="218"/>
      <c r="J2216" s="218"/>
      <c r="K2216" s="218"/>
      <c r="L2216" s="218"/>
      <c r="M2216" s="218"/>
      <c r="N2216" s="218"/>
      <c r="O2216" s="218"/>
      <c r="P2216" s="218"/>
      <c r="Q2216" s="222"/>
      <c r="R2216" s="222"/>
      <c r="S2216" s="218"/>
      <c r="U2216" s="218"/>
      <c r="X2216" s="218"/>
      <c r="AB2216" t="e">
        <v>#N/A</v>
      </c>
    </row>
    <row r="2217">
      <c r="A2217" s="218"/>
      <c r="C2217" s="218"/>
      <c r="F2217" s="457"/>
      <c r="G2217" s="218"/>
      <c r="H2217" s="218"/>
      <c r="I2217" s="218"/>
      <c r="J2217" s="218"/>
      <c r="K2217" s="218"/>
      <c r="L2217" s="218"/>
      <c r="M2217" s="218"/>
      <c r="N2217" s="218"/>
      <c r="O2217" s="218"/>
      <c r="P2217" s="218"/>
      <c r="Q2217" s="222"/>
      <c r="R2217" s="222"/>
      <c r="S2217" s="218"/>
      <c r="U2217" s="218"/>
      <c r="X2217" s="218"/>
      <c r="AB2217" t="e">
        <v>#N/A</v>
      </c>
    </row>
    <row r="2218">
      <c r="A2218" s="218"/>
      <c r="C2218" s="218"/>
      <c r="F2218" s="457"/>
      <c r="G2218" s="218"/>
      <c r="H2218" s="218"/>
      <c r="I2218" s="218"/>
      <c r="J2218" s="218"/>
      <c r="K2218" s="218"/>
      <c r="L2218" s="218"/>
      <c r="M2218" s="218"/>
      <c r="N2218" s="218"/>
      <c r="O2218" s="218"/>
      <c r="P2218" s="218"/>
      <c r="Q2218" s="222"/>
      <c r="R2218" s="222"/>
      <c r="S2218" s="218"/>
      <c r="U2218" s="218"/>
      <c r="X2218" s="218"/>
      <c r="AB2218" t="e">
        <v>#N/A</v>
      </c>
    </row>
    <row r="2219">
      <c r="A2219" s="218"/>
      <c r="C2219" s="218"/>
      <c r="F2219" s="457"/>
      <c r="G2219" s="218"/>
      <c r="H2219" s="218"/>
      <c r="I2219" s="218"/>
      <c r="J2219" s="218"/>
      <c r="K2219" s="218"/>
      <c r="L2219" s="218"/>
      <c r="M2219" s="218"/>
      <c r="N2219" s="218"/>
      <c r="O2219" s="218"/>
      <c r="P2219" s="218"/>
      <c r="Q2219" s="222"/>
      <c r="R2219" s="222"/>
      <c r="S2219" s="218"/>
      <c r="U2219" s="218"/>
      <c r="X2219" s="218"/>
      <c r="AB2219" t="e">
        <v>#N/A</v>
      </c>
    </row>
    <row r="2220">
      <c r="A2220" s="218"/>
      <c r="C2220" s="218"/>
      <c r="F2220" s="457"/>
      <c r="G2220" s="218"/>
      <c r="H2220" s="218"/>
      <c r="I2220" s="218"/>
      <c r="J2220" s="218"/>
      <c r="K2220" s="218"/>
      <c r="L2220" s="218"/>
      <c r="M2220" s="218"/>
      <c r="N2220" s="218"/>
      <c r="O2220" s="218"/>
      <c r="P2220" s="218"/>
      <c r="Q2220" s="222"/>
      <c r="R2220" s="222"/>
      <c r="S2220" s="218"/>
      <c r="U2220" s="218"/>
      <c r="X2220" s="218"/>
      <c r="AB2220" t="e">
        <v>#N/A</v>
      </c>
    </row>
    <row r="2221">
      <c r="A2221" s="218"/>
      <c r="C2221" s="218"/>
      <c r="F2221" s="457"/>
      <c r="G2221" s="218"/>
      <c r="H2221" s="218"/>
      <c r="I2221" s="218"/>
      <c r="J2221" s="218"/>
      <c r="K2221" s="218"/>
      <c r="L2221" s="218"/>
      <c r="M2221" s="218"/>
      <c r="N2221" s="218"/>
      <c r="O2221" s="218"/>
      <c r="P2221" s="218"/>
      <c r="Q2221" s="222"/>
      <c r="R2221" s="222"/>
      <c r="S2221" s="218"/>
      <c r="U2221" s="218"/>
      <c r="X2221" s="218"/>
      <c r="AB2221" t="e">
        <v>#N/A</v>
      </c>
    </row>
    <row r="2222">
      <c r="A2222" s="218"/>
      <c r="C2222" s="218"/>
      <c r="F2222" s="457"/>
      <c r="G2222" s="218"/>
      <c r="H2222" s="218"/>
      <c r="I2222" s="218"/>
      <c r="J2222" s="218"/>
      <c r="K2222" s="218"/>
      <c r="L2222" s="218"/>
      <c r="M2222" s="218"/>
      <c r="N2222" s="218"/>
      <c r="O2222" s="218"/>
      <c r="P2222" s="218"/>
      <c r="Q2222" s="222"/>
      <c r="R2222" s="222"/>
      <c r="S2222" s="218"/>
      <c r="U2222" s="218"/>
      <c r="X2222" s="218"/>
      <c r="AB2222" t="e">
        <v>#N/A</v>
      </c>
    </row>
    <row r="2223">
      <c r="A2223" s="218"/>
      <c r="C2223" s="218"/>
      <c r="F2223" s="457"/>
      <c r="G2223" s="218"/>
      <c r="H2223" s="218"/>
      <c r="I2223" s="218"/>
      <c r="J2223" s="218"/>
      <c r="K2223" s="218"/>
      <c r="L2223" s="218"/>
      <c r="M2223" s="218"/>
      <c r="N2223" s="218"/>
      <c r="O2223" s="218"/>
      <c r="P2223" s="218"/>
      <c r="Q2223" s="222"/>
      <c r="R2223" s="222"/>
      <c r="S2223" s="218"/>
      <c r="U2223" s="218"/>
      <c r="X2223" s="218"/>
      <c r="AB2223" t="e">
        <v>#N/A</v>
      </c>
    </row>
    <row r="2224">
      <c r="A2224" s="218"/>
      <c r="C2224" s="218"/>
      <c r="F2224" s="457"/>
      <c r="G2224" s="218"/>
      <c r="H2224" s="218"/>
      <c r="I2224" s="218"/>
      <c r="J2224" s="218"/>
      <c r="K2224" s="218"/>
      <c r="L2224" s="218"/>
      <c r="M2224" s="218"/>
      <c r="N2224" s="218"/>
      <c r="O2224" s="218"/>
      <c r="P2224" s="218"/>
      <c r="Q2224" s="222"/>
      <c r="R2224" s="222"/>
      <c r="S2224" s="218"/>
      <c r="U2224" s="218"/>
      <c r="X2224" s="218"/>
      <c r="AB2224" t="e">
        <v>#N/A</v>
      </c>
    </row>
    <row r="2225">
      <c r="A2225" s="218"/>
      <c r="C2225" s="218"/>
      <c r="F2225" s="457"/>
      <c r="G2225" s="218"/>
      <c r="H2225" s="218"/>
      <c r="I2225" s="218"/>
      <c r="J2225" s="218"/>
      <c r="K2225" s="218"/>
      <c r="L2225" s="218"/>
      <c r="M2225" s="218"/>
      <c r="N2225" s="218"/>
      <c r="O2225" s="218"/>
      <c r="P2225" s="218"/>
      <c r="Q2225" s="222"/>
      <c r="R2225" s="222"/>
      <c r="S2225" s="218"/>
      <c r="U2225" s="218"/>
      <c r="X2225" s="218"/>
      <c r="AB2225" t="e">
        <v>#N/A</v>
      </c>
    </row>
    <row r="2226">
      <c r="A2226" s="218"/>
      <c r="C2226" s="218"/>
      <c r="F2226" s="457"/>
      <c r="G2226" s="218"/>
      <c r="H2226" s="218"/>
      <c r="I2226" s="218"/>
      <c r="J2226" s="218"/>
      <c r="K2226" s="218"/>
      <c r="L2226" s="218"/>
      <c r="M2226" s="218"/>
      <c r="N2226" s="218"/>
      <c r="O2226" s="218"/>
      <c r="P2226" s="218"/>
      <c r="Q2226" s="222"/>
      <c r="R2226" s="222"/>
      <c r="S2226" s="218"/>
      <c r="U2226" s="218"/>
      <c r="X2226" s="218"/>
      <c r="AB2226" t="e">
        <v>#N/A</v>
      </c>
    </row>
    <row r="2227">
      <c r="A2227" s="218"/>
      <c r="C2227" s="218"/>
      <c r="F2227" s="457"/>
      <c r="G2227" s="218"/>
      <c r="H2227" s="218"/>
      <c r="I2227" s="218"/>
      <c r="J2227" s="218"/>
      <c r="K2227" s="218"/>
      <c r="L2227" s="218"/>
      <c r="M2227" s="218"/>
      <c r="N2227" s="218"/>
      <c r="O2227" s="218"/>
      <c r="P2227" s="218"/>
      <c r="Q2227" s="222"/>
      <c r="R2227" s="222"/>
      <c r="S2227" s="218"/>
      <c r="U2227" s="218"/>
      <c r="X2227" s="218"/>
      <c r="AB2227" t="e">
        <v>#N/A</v>
      </c>
    </row>
    <row r="2228">
      <c r="A2228" s="218"/>
      <c r="C2228" s="218"/>
      <c r="F2228" s="457"/>
      <c r="G2228" s="218"/>
      <c r="H2228" s="218"/>
      <c r="I2228" s="218"/>
      <c r="J2228" s="218"/>
      <c r="K2228" s="218"/>
      <c r="L2228" s="218"/>
      <c r="M2228" s="218"/>
      <c r="N2228" s="218"/>
      <c r="O2228" s="218"/>
      <c r="P2228" s="218"/>
      <c r="Q2228" s="222"/>
      <c r="R2228" s="222"/>
      <c r="S2228" s="218"/>
      <c r="U2228" s="218"/>
      <c r="X2228" s="218"/>
      <c r="AB2228" t="e">
        <v>#N/A</v>
      </c>
    </row>
    <row r="2229">
      <c r="A2229" s="218"/>
      <c r="C2229" s="218"/>
      <c r="F2229" s="457"/>
      <c r="G2229" s="218"/>
      <c r="H2229" s="218"/>
      <c r="I2229" s="218"/>
      <c r="J2229" s="218"/>
      <c r="K2229" s="218"/>
      <c r="L2229" s="218"/>
      <c r="M2229" s="218"/>
      <c r="N2229" s="218"/>
      <c r="O2229" s="218"/>
      <c r="P2229" s="218"/>
      <c r="Q2229" s="222"/>
      <c r="R2229" s="222"/>
      <c r="S2229" s="218"/>
      <c r="U2229" s="218"/>
      <c r="X2229" s="218"/>
      <c r="AB2229" t="e">
        <v>#N/A</v>
      </c>
    </row>
    <row r="2230">
      <c r="A2230" s="218"/>
      <c r="C2230" s="218"/>
      <c r="F2230" s="457"/>
      <c r="G2230" s="218"/>
      <c r="H2230" s="218"/>
      <c r="I2230" s="218"/>
      <c r="J2230" s="218"/>
      <c r="K2230" s="218"/>
      <c r="L2230" s="218"/>
      <c r="M2230" s="218"/>
      <c r="N2230" s="218"/>
      <c r="O2230" s="218"/>
      <c r="P2230" s="218"/>
      <c r="Q2230" s="222"/>
      <c r="R2230" s="222"/>
      <c r="S2230" s="218"/>
      <c r="U2230" s="218"/>
      <c r="X2230" s="218"/>
      <c r="AB2230" t="e">
        <v>#N/A</v>
      </c>
    </row>
    <row r="2231">
      <c r="A2231" s="218"/>
      <c r="C2231" s="218"/>
      <c r="F2231" s="457"/>
      <c r="G2231" s="218"/>
      <c r="H2231" s="218"/>
      <c r="I2231" s="218"/>
      <c r="J2231" s="218"/>
      <c r="K2231" s="218"/>
      <c r="L2231" s="218"/>
      <c r="M2231" s="218"/>
      <c r="N2231" s="218"/>
      <c r="O2231" s="218"/>
      <c r="P2231" s="218"/>
      <c r="Q2231" s="222"/>
      <c r="R2231" s="222"/>
      <c r="S2231" s="218"/>
      <c r="U2231" s="218"/>
      <c r="X2231" s="218"/>
      <c r="AB2231" t="e">
        <v>#N/A</v>
      </c>
    </row>
    <row r="2232">
      <c r="A2232" s="218"/>
      <c r="C2232" s="218"/>
      <c r="F2232" s="457"/>
      <c r="G2232" s="218"/>
      <c r="H2232" s="218"/>
      <c r="I2232" s="218"/>
      <c r="J2232" s="218"/>
      <c r="K2232" s="218"/>
      <c r="L2232" s="218"/>
      <c r="M2232" s="218"/>
      <c r="N2232" s="218"/>
      <c r="O2232" s="218"/>
      <c r="P2232" s="218"/>
      <c r="Q2232" s="222"/>
      <c r="R2232" s="222"/>
      <c r="S2232" s="218"/>
      <c r="U2232" s="218"/>
      <c r="X2232" s="218"/>
      <c r="AB2232" t="e">
        <v>#N/A</v>
      </c>
    </row>
    <row r="2233">
      <c r="A2233" s="218"/>
      <c r="C2233" s="218"/>
      <c r="F2233" s="457"/>
      <c r="G2233" s="218"/>
      <c r="H2233" s="218"/>
      <c r="I2233" s="218"/>
      <c r="J2233" s="218"/>
      <c r="K2233" s="218"/>
      <c r="L2233" s="218"/>
      <c r="M2233" s="218"/>
      <c r="N2233" s="218"/>
      <c r="O2233" s="218"/>
      <c r="P2233" s="218"/>
      <c r="Q2233" s="222"/>
      <c r="R2233" s="222"/>
      <c r="S2233" s="218"/>
      <c r="U2233" s="218"/>
      <c r="X2233" s="218"/>
      <c r="AB2233" t="e">
        <v>#N/A</v>
      </c>
    </row>
    <row r="2234">
      <c r="A2234" s="218"/>
      <c r="C2234" s="218"/>
      <c r="F2234" s="457"/>
      <c r="G2234" s="218"/>
      <c r="H2234" s="218"/>
      <c r="I2234" s="218"/>
      <c r="J2234" s="218"/>
      <c r="K2234" s="218"/>
      <c r="L2234" s="218"/>
      <c r="M2234" s="218"/>
      <c r="N2234" s="218"/>
      <c r="O2234" s="218"/>
      <c r="P2234" s="218"/>
      <c r="Q2234" s="222"/>
      <c r="R2234" s="222"/>
      <c r="S2234" s="218"/>
      <c r="U2234" s="218"/>
      <c r="X2234" s="218"/>
      <c r="AB2234" t="e">
        <v>#N/A</v>
      </c>
    </row>
    <row r="2235">
      <c r="A2235" s="218"/>
      <c r="C2235" s="218"/>
      <c r="F2235" s="457"/>
      <c r="G2235" s="218"/>
      <c r="H2235" s="218"/>
      <c r="I2235" s="218"/>
      <c r="J2235" s="218"/>
      <c r="K2235" s="218"/>
      <c r="L2235" s="218"/>
      <c r="M2235" s="218"/>
      <c r="N2235" s="218"/>
      <c r="O2235" s="218"/>
      <c r="P2235" s="218"/>
      <c r="Q2235" s="222"/>
      <c r="R2235" s="222"/>
      <c r="S2235" s="218"/>
      <c r="U2235" s="218"/>
      <c r="X2235" s="218"/>
      <c r="AB2235" t="e">
        <v>#N/A</v>
      </c>
    </row>
    <row r="2236">
      <c r="A2236" s="218"/>
      <c r="C2236" s="218"/>
      <c r="F2236" s="457"/>
      <c r="G2236" s="218"/>
      <c r="H2236" s="218"/>
      <c r="I2236" s="218"/>
      <c r="J2236" s="218"/>
      <c r="K2236" s="218"/>
      <c r="L2236" s="218"/>
      <c r="M2236" s="218"/>
      <c r="N2236" s="218"/>
      <c r="O2236" s="218"/>
      <c r="P2236" s="218"/>
      <c r="Q2236" s="222"/>
      <c r="R2236" s="222"/>
      <c r="S2236" s="218"/>
      <c r="U2236" s="218"/>
      <c r="X2236" s="218"/>
      <c r="AB2236" t="e">
        <v>#N/A</v>
      </c>
    </row>
    <row r="2237">
      <c r="A2237" s="218"/>
      <c r="C2237" s="218"/>
      <c r="F2237" s="457"/>
      <c r="G2237" s="218"/>
      <c r="H2237" s="218"/>
      <c r="I2237" s="218"/>
      <c r="J2237" s="218"/>
      <c r="K2237" s="218"/>
      <c r="L2237" s="218"/>
      <c r="M2237" s="218"/>
      <c r="N2237" s="218"/>
      <c r="O2237" s="218"/>
      <c r="P2237" s="218"/>
      <c r="Q2237" s="222"/>
      <c r="R2237" s="222"/>
      <c r="S2237" s="218"/>
      <c r="U2237" s="218"/>
      <c r="X2237" s="218"/>
      <c r="AB2237" t="e">
        <v>#N/A</v>
      </c>
    </row>
    <row r="2238">
      <c r="A2238" s="218"/>
      <c r="C2238" s="218"/>
      <c r="F2238" s="457"/>
      <c r="G2238" s="218"/>
      <c r="H2238" s="218"/>
      <c r="I2238" s="218"/>
      <c r="J2238" s="218"/>
      <c r="K2238" s="218"/>
      <c r="L2238" s="218"/>
      <c r="M2238" s="218"/>
      <c r="N2238" s="218"/>
      <c r="O2238" s="218"/>
      <c r="P2238" s="218"/>
      <c r="Q2238" s="222"/>
      <c r="R2238" s="222"/>
      <c r="S2238" s="218"/>
      <c r="U2238" s="218"/>
      <c r="X2238" s="218"/>
      <c r="AB2238" t="e">
        <v>#N/A</v>
      </c>
    </row>
    <row r="2239">
      <c r="A2239" s="218"/>
      <c r="C2239" s="218"/>
      <c r="F2239" s="457"/>
      <c r="G2239" s="218"/>
      <c r="H2239" s="218"/>
      <c r="I2239" s="218"/>
      <c r="J2239" s="218"/>
      <c r="K2239" s="218"/>
      <c r="L2239" s="218"/>
      <c r="M2239" s="218"/>
      <c r="N2239" s="218"/>
      <c r="O2239" s="218"/>
      <c r="P2239" s="218"/>
      <c r="Q2239" s="222"/>
      <c r="R2239" s="222"/>
      <c r="S2239" s="218"/>
      <c r="U2239" s="218"/>
      <c r="X2239" s="218"/>
      <c r="AB2239" t="e">
        <v>#N/A</v>
      </c>
    </row>
    <row r="2240">
      <c r="A2240" s="218"/>
      <c r="C2240" s="218"/>
      <c r="F2240" s="457"/>
      <c r="G2240" s="218"/>
      <c r="H2240" s="218"/>
      <c r="I2240" s="218"/>
      <c r="J2240" s="218"/>
      <c r="K2240" s="218"/>
      <c r="L2240" s="218"/>
      <c r="M2240" s="218"/>
      <c r="N2240" s="218"/>
      <c r="O2240" s="218"/>
      <c r="P2240" s="218"/>
      <c r="Q2240" s="222"/>
      <c r="R2240" s="222"/>
      <c r="S2240" s="218"/>
      <c r="U2240" s="218"/>
      <c r="X2240" s="218"/>
      <c r="AB2240" t="e">
        <v>#N/A</v>
      </c>
    </row>
    <row r="2241">
      <c r="A2241" s="218"/>
      <c r="C2241" s="218"/>
      <c r="F2241" s="457"/>
      <c r="G2241" s="218"/>
      <c r="H2241" s="218"/>
      <c r="I2241" s="218"/>
      <c r="J2241" s="218"/>
      <c r="K2241" s="218"/>
      <c r="L2241" s="218"/>
      <c r="M2241" s="218"/>
      <c r="N2241" s="218"/>
      <c r="O2241" s="218"/>
      <c r="P2241" s="218"/>
      <c r="Q2241" s="222"/>
      <c r="R2241" s="222"/>
      <c r="S2241" s="218"/>
      <c r="U2241" s="218"/>
      <c r="X2241" s="218"/>
      <c r="AB2241" t="e">
        <v>#N/A</v>
      </c>
    </row>
    <row r="2242">
      <c r="A2242" s="218"/>
      <c r="C2242" s="218"/>
      <c r="F2242" s="457"/>
      <c r="G2242" s="218"/>
      <c r="H2242" s="218"/>
      <c r="I2242" s="218"/>
      <c r="J2242" s="218"/>
      <c r="K2242" s="218"/>
      <c r="L2242" s="218"/>
      <c r="M2242" s="218"/>
      <c r="N2242" s="218"/>
      <c r="O2242" s="218"/>
      <c r="P2242" s="218"/>
      <c r="Q2242" s="222"/>
      <c r="R2242" s="222"/>
      <c r="S2242" s="218"/>
      <c r="U2242" s="218"/>
      <c r="X2242" s="218"/>
      <c r="AB2242" t="e">
        <v>#N/A</v>
      </c>
    </row>
    <row r="2243">
      <c r="A2243" s="218"/>
      <c r="C2243" s="218"/>
      <c r="F2243" s="457"/>
      <c r="G2243" s="218"/>
      <c r="H2243" s="218"/>
      <c r="I2243" s="218"/>
      <c r="J2243" s="218"/>
      <c r="K2243" s="218"/>
      <c r="L2243" s="218"/>
      <c r="M2243" s="218"/>
      <c r="N2243" s="218"/>
      <c r="O2243" s="218"/>
      <c r="P2243" s="218"/>
      <c r="Q2243" s="222"/>
      <c r="R2243" s="222"/>
      <c r="S2243" s="218"/>
      <c r="U2243" s="218"/>
      <c r="X2243" s="218"/>
      <c r="AB2243" t="e">
        <v>#N/A</v>
      </c>
    </row>
    <row r="2244">
      <c r="A2244" s="218"/>
      <c r="C2244" s="218"/>
      <c r="F2244" s="457"/>
      <c r="G2244" s="218"/>
      <c r="H2244" s="218"/>
      <c r="I2244" s="218"/>
      <c r="J2244" s="218"/>
      <c r="K2244" s="218"/>
      <c r="L2244" s="218"/>
      <c r="M2244" s="218"/>
      <c r="N2244" s="218"/>
      <c r="O2244" s="218"/>
      <c r="P2244" s="218"/>
      <c r="Q2244" s="222"/>
      <c r="R2244" s="222"/>
      <c r="S2244" s="218"/>
      <c r="U2244" s="218"/>
      <c r="X2244" s="218"/>
      <c r="AB2244" t="e">
        <v>#N/A</v>
      </c>
    </row>
    <row r="2245">
      <c r="A2245" s="218"/>
      <c r="C2245" s="218"/>
      <c r="F2245" s="457"/>
      <c r="G2245" s="218"/>
      <c r="H2245" s="218"/>
      <c r="I2245" s="218"/>
      <c r="J2245" s="218"/>
      <c r="K2245" s="218"/>
      <c r="L2245" s="218"/>
      <c r="M2245" s="218"/>
      <c r="N2245" s="218"/>
      <c r="O2245" s="218"/>
      <c r="P2245" s="218"/>
      <c r="Q2245" s="222"/>
      <c r="R2245" s="222"/>
      <c r="S2245" s="218"/>
      <c r="U2245" s="218"/>
      <c r="X2245" s="218"/>
      <c r="AB2245" t="e">
        <v>#N/A</v>
      </c>
    </row>
    <row r="2246">
      <c r="A2246" s="218"/>
      <c r="C2246" s="218"/>
      <c r="F2246" s="457"/>
      <c r="G2246" s="218"/>
      <c r="H2246" s="218"/>
      <c r="I2246" s="218"/>
      <c r="J2246" s="218"/>
      <c r="K2246" s="218"/>
      <c r="L2246" s="218"/>
      <c r="M2246" s="218"/>
      <c r="N2246" s="218"/>
      <c r="O2246" s="218"/>
      <c r="P2246" s="218"/>
      <c r="Q2246" s="222"/>
      <c r="R2246" s="222"/>
      <c r="S2246" s="218"/>
      <c r="U2246" s="218"/>
      <c r="X2246" s="218"/>
      <c r="AB2246" t="e">
        <v>#N/A</v>
      </c>
    </row>
    <row r="2247">
      <c r="A2247" s="218"/>
      <c r="C2247" s="218"/>
      <c r="F2247" s="457"/>
      <c r="G2247" s="218"/>
      <c r="H2247" s="218"/>
      <c r="I2247" s="218"/>
      <c r="J2247" s="218"/>
      <c r="K2247" s="218"/>
      <c r="L2247" s="218"/>
      <c r="M2247" s="218"/>
      <c r="N2247" s="218"/>
      <c r="O2247" s="218"/>
      <c r="P2247" s="218"/>
      <c r="Q2247" s="222"/>
      <c r="R2247" s="222"/>
      <c r="S2247" s="218"/>
      <c r="U2247" s="218"/>
      <c r="X2247" s="218"/>
      <c r="AB2247" t="e">
        <v>#N/A</v>
      </c>
    </row>
    <row r="2248">
      <c r="A2248" s="218"/>
      <c r="C2248" s="218"/>
      <c r="F2248" s="457"/>
      <c r="G2248" s="218"/>
      <c r="H2248" s="218"/>
      <c r="I2248" s="218"/>
      <c r="J2248" s="218"/>
      <c r="K2248" s="218"/>
      <c r="L2248" s="218"/>
      <c r="M2248" s="218"/>
      <c r="N2248" s="218"/>
      <c r="O2248" s="218"/>
      <c r="P2248" s="218"/>
      <c r="Q2248" s="222"/>
      <c r="R2248" s="222"/>
      <c r="S2248" s="218"/>
      <c r="U2248" s="218"/>
      <c r="X2248" s="218"/>
      <c r="AB2248" t="e">
        <v>#N/A</v>
      </c>
    </row>
    <row r="2249">
      <c r="A2249" s="218"/>
      <c r="C2249" s="218"/>
      <c r="F2249" s="457"/>
      <c r="G2249" s="218"/>
      <c r="H2249" s="218"/>
      <c r="I2249" s="218"/>
      <c r="J2249" s="218"/>
      <c r="K2249" s="218"/>
      <c r="L2249" s="218"/>
      <c r="M2249" s="218"/>
      <c r="N2249" s="218"/>
      <c r="O2249" s="218"/>
      <c r="P2249" s="218"/>
      <c r="Q2249" s="222"/>
      <c r="R2249" s="222"/>
      <c r="S2249" s="218"/>
      <c r="U2249" s="218"/>
      <c r="X2249" s="218"/>
      <c r="AB2249" t="e">
        <v>#N/A</v>
      </c>
    </row>
    <row r="2250">
      <c r="A2250" s="218"/>
      <c r="C2250" s="218"/>
      <c r="F2250" s="457"/>
      <c r="G2250" s="218"/>
      <c r="H2250" s="218"/>
      <c r="I2250" s="218"/>
      <c r="J2250" s="218"/>
      <c r="K2250" s="218"/>
      <c r="L2250" s="218"/>
      <c r="M2250" s="218"/>
      <c r="N2250" s="218"/>
      <c r="O2250" s="218"/>
      <c r="P2250" s="218"/>
      <c r="Q2250" s="222"/>
      <c r="R2250" s="222"/>
      <c r="S2250" s="218"/>
      <c r="U2250" s="218"/>
      <c r="X2250" s="218"/>
      <c r="AB2250" t="e">
        <v>#N/A</v>
      </c>
    </row>
    <row r="2251">
      <c r="A2251" s="218"/>
      <c r="C2251" s="218"/>
      <c r="F2251" s="457"/>
      <c r="G2251" s="218"/>
      <c r="H2251" s="218"/>
      <c r="I2251" s="218"/>
      <c r="J2251" s="218"/>
      <c r="K2251" s="218"/>
      <c r="L2251" s="218"/>
      <c r="M2251" s="218"/>
      <c r="N2251" s="218"/>
      <c r="O2251" s="218"/>
      <c r="P2251" s="218"/>
      <c r="Q2251" s="222"/>
      <c r="R2251" s="222"/>
      <c r="S2251" s="218"/>
      <c r="U2251" s="218"/>
      <c r="X2251" s="218"/>
      <c r="AB2251" t="e">
        <v>#N/A</v>
      </c>
    </row>
    <row r="2252">
      <c r="A2252" s="218"/>
      <c r="C2252" s="218"/>
      <c r="F2252" s="457"/>
      <c r="G2252" s="218"/>
      <c r="H2252" s="218"/>
      <c r="I2252" s="218"/>
      <c r="J2252" s="218"/>
      <c r="K2252" s="218"/>
      <c r="L2252" s="218"/>
      <c r="M2252" s="218"/>
      <c r="N2252" s="218"/>
      <c r="O2252" s="218"/>
      <c r="P2252" s="218"/>
      <c r="Q2252" s="222"/>
      <c r="R2252" s="222"/>
      <c r="S2252" s="218"/>
      <c r="U2252" s="218"/>
      <c r="X2252" s="218"/>
      <c r="AB2252" t="e">
        <v>#N/A</v>
      </c>
    </row>
    <row r="2253">
      <c r="A2253" s="218"/>
      <c r="C2253" s="218"/>
      <c r="F2253" s="457"/>
      <c r="G2253" s="218"/>
      <c r="H2253" s="218"/>
      <c r="I2253" s="218"/>
      <c r="J2253" s="218"/>
      <c r="K2253" s="218"/>
      <c r="L2253" s="218"/>
      <c r="M2253" s="218"/>
      <c r="N2253" s="218"/>
      <c r="O2253" s="218"/>
      <c r="P2253" s="218"/>
      <c r="Q2253" s="222"/>
      <c r="R2253" s="222"/>
      <c r="S2253" s="218"/>
      <c r="U2253" s="218"/>
      <c r="X2253" s="218"/>
      <c r="AB2253" t="e">
        <v>#N/A</v>
      </c>
    </row>
    <row r="2254">
      <c r="A2254" s="218"/>
      <c r="C2254" s="218"/>
      <c r="F2254" s="457"/>
      <c r="G2254" s="218"/>
      <c r="H2254" s="218"/>
      <c r="I2254" s="218"/>
      <c r="J2254" s="218"/>
      <c r="K2254" s="218"/>
      <c r="L2254" s="218"/>
      <c r="M2254" s="218"/>
      <c r="N2254" s="218"/>
      <c r="O2254" s="218"/>
      <c r="P2254" s="218"/>
      <c r="Q2254" s="222"/>
      <c r="R2254" s="222"/>
      <c r="S2254" s="218"/>
      <c r="U2254" s="218"/>
      <c r="X2254" s="218"/>
      <c r="AB2254" t="e">
        <v>#N/A</v>
      </c>
    </row>
    <row r="2255">
      <c r="A2255" s="218"/>
      <c r="C2255" s="218"/>
      <c r="F2255" s="457"/>
      <c r="G2255" s="218"/>
      <c r="H2255" s="218"/>
      <c r="I2255" s="218"/>
      <c r="J2255" s="218"/>
      <c r="K2255" s="218"/>
      <c r="L2255" s="218"/>
      <c r="M2255" s="218"/>
      <c r="N2255" s="218"/>
      <c r="O2255" s="218"/>
      <c r="P2255" s="218"/>
      <c r="Q2255" s="222"/>
      <c r="R2255" s="222"/>
      <c r="S2255" s="218"/>
      <c r="U2255" s="218"/>
      <c r="X2255" s="218"/>
      <c r="AB2255" t="e">
        <v>#N/A</v>
      </c>
    </row>
    <row r="2256">
      <c r="A2256" s="218"/>
      <c r="C2256" s="218"/>
      <c r="F2256" s="457"/>
      <c r="G2256" s="218"/>
      <c r="H2256" s="218"/>
      <c r="I2256" s="218"/>
      <c r="J2256" s="218"/>
      <c r="K2256" s="218"/>
      <c r="L2256" s="218"/>
      <c r="M2256" s="218"/>
      <c r="N2256" s="218"/>
      <c r="O2256" s="218"/>
      <c r="P2256" s="218"/>
      <c r="Q2256" s="222"/>
      <c r="R2256" s="222"/>
      <c r="S2256" s="218"/>
      <c r="U2256" s="218"/>
      <c r="X2256" s="218"/>
      <c r="AB2256" t="e">
        <v>#N/A</v>
      </c>
    </row>
    <row r="2257">
      <c r="A2257" s="218"/>
      <c r="C2257" s="218"/>
      <c r="F2257" s="457"/>
      <c r="G2257" s="218"/>
      <c r="H2257" s="218"/>
      <c r="I2257" s="218"/>
      <c r="J2257" s="218"/>
      <c r="K2257" s="218"/>
      <c r="L2257" s="218"/>
      <c r="M2257" s="218"/>
      <c r="N2257" s="218"/>
      <c r="O2257" s="218"/>
      <c r="P2257" s="218"/>
      <c r="Q2257" s="222"/>
      <c r="R2257" s="222"/>
      <c r="S2257" s="218"/>
      <c r="U2257" s="218"/>
      <c r="X2257" s="218"/>
      <c r="AB2257" t="e">
        <v>#N/A</v>
      </c>
    </row>
    <row r="2258">
      <c r="A2258" s="218"/>
      <c r="C2258" s="218"/>
      <c r="F2258" s="457"/>
      <c r="G2258" s="218"/>
      <c r="H2258" s="218"/>
      <c r="I2258" s="218"/>
      <c r="J2258" s="218"/>
      <c r="K2258" s="218"/>
      <c r="L2258" s="218"/>
      <c r="M2258" s="218"/>
      <c r="N2258" s="218"/>
      <c r="O2258" s="218"/>
      <c r="P2258" s="218"/>
      <c r="Q2258" s="222"/>
      <c r="R2258" s="222"/>
      <c r="S2258" s="218"/>
      <c r="U2258" s="218"/>
      <c r="X2258" s="218"/>
      <c r="AB2258" t="e">
        <v>#N/A</v>
      </c>
    </row>
    <row r="2259">
      <c r="A2259" s="218"/>
      <c r="C2259" s="218"/>
      <c r="F2259" s="457"/>
      <c r="G2259" s="218"/>
      <c r="H2259" s="218"/>
      <c r="I2259" s="218"/>
      <c r="J2259" s="218"/>
      <c r="K2259" s="218"/>
      <c r="L2259" s="218"/>
      <c r="M2259" s="218"/>
      <c r="N2259" s="218"/>
      <c r="O2259" s="218"/>
      <c r="P2259" s="218"/>
      <c r="Q2259" s="222"/>
      <c r="R2259" s="222"/>
      <c r="S2259" s="218"/>
      <c r="U2259" s="218"/>
      <c r="X2259" s="218"/>
      <c r="AB2259" t="e">
        <v>#N/A</v>
      </c>
    </row>
    <row r="2260">
      <c r="A2260" s="218"/>
      <c r="C2260" s="218"/>
      <c r="F2260" s="457"/>
      <c r="G2260" s="218"/>
      <c r="H2260" s="218"/>
      <c r="I2260" s="218"/>
      <c r="J2260" s="218"/>
      <c r="K2260" s="218"/>
      <c r="L2260" s="218"/>
      <c r="M2260" s="218"/>
      <c r="N2260" s="218"/>
      <c r="O2260" s="218"/>
      <c r="P2260" s="218"/>
      <c r="Q2260" s="222"/>
      <c r="R2260" s="222"/>
      <c r="S2260" s="218"/>
      <c r="U2260" s="218"/>
      <c r="X2260" s="218"/>
      <c r="AB2260" t="e">
        <v>#N/A</v>
      </c>
    </row>
    <row r="2261">
      <c r="A2261" s="218"/>
      <c r="C2261" s="218"/>
      <c r="F2261" s="457"/>
      <c r="G2261" s="218"/>
      <c r="H2261" s="218"/>
      <c r="I2261" s="218"/>
      <c r="J2261" s="218"/>
      <c r="K2261" s="218"/>
      <c r="L2261" s="218"/>
      <c r="M2261" s="218"/>
      <c r="N2261" s="218"/>
      <c r="O2261" s="218"/>
      <c r="P2261" s="218"/>
      <c r="Q2261" s="222"/>
      <c r="R2261" s="222"/>
      <c r="S2261" s="218"/>
      <c r="U2261" s="218"/>
      <c r="X2261" s="218"/>
      <c r="AB2261" t="e">
        <v>#N/A</v>
      </c>
    </row>
    <row r="2262">
      <c r="A2262" s="218"/>
      <c r="C2262" s="218"/>
      <c r="F2262" s="457"/>
      <c r="G2262" s="218"/>
      <c r="H2262" s="218"/>
      <c r="I2262" s="218"/>
      <c r="J2262" s="218"/>
      <c r="K2262" s="218"/>
      <c r="L2262" s="218"/>
      <c r="M2262" s="218"/>
      <c r="N2262" s="218"/>
      <c r="O2262" s="218"/>
      <c r="P2262" s="218"/>
      <c r="Q2262" s="222"/>
      <c r="R2262" s="222"/>
      <c r="S2262" s="218"/>
      <c r="U2262" s="218"/>
      <c r="X2262" s="218"/>
      <c r="AB2262" t="e">
        <v>#N/A</v>
      </c>
    </row>
    <row r="2263">
      <c r="A2263" s="218"/>
      <c r="C2263" s="218"/>
      <c r="F2263" s="457"/>
      <c r="G2263" s="218"/>
      <c r="H2263" s="218"/>
      <c r="I2263" s="218"/>
      <c r="J2263" s="218"/>
      <c r="K2263" s="218"/>
      <c r="L2263" s="218"/>
      <c r="M2263" s="218"/>
      <c r="N2263" s="218"/>
      <c r="O2263" s="218"/>
      <c r="P2263" s="218"/>
      <c r="Q2263" s="222"/>
      <c r="R2263" s="222"/>
      <c r="S2263" s="218"/>
      <c r="U2263" s="218"/>
      <c r="X2263" s="218"/>
      <c r="AB2263" t="e">
        <v>#N/A</v>
      </c>
    </row>
    <row r="2264">
      <c r="A2264" s="218"/>
      <c r="C2264" s="218"/>
      <c r="F2264" s="457"/>
      <c r="G2264" s="218"/>
      <c r="H2264" s="218"/>
      <c r="I2264" s="218"/>
      <c r="J2264" s="218"/>
      <c r="K2264" s="218"/>
      <c r="L2264" s="218"/>
      <c r="M2264" s="218"/>
      <c r="N2264" s="218"/>
      <c r="O2264" s="218"/>
      <c r="P2264" s="218"/>
      <c r="Q2264" s="222"/>
      <c r="R2264" s="222"/>
      <c r="S2264" s="218"/>
      <c r="U2264" s="218"/>
      <c r="X2264" s="218"/>
      <c r="AB2264" t="e">
        <v>#N/A</v>
      </c>
    </row>
    <row r="2265">
      <c r="A2265" s="218"/>
      <c r="C2265" s="218"/>
      <c r="F2265" s="457"/>
      <c r="G2265" s="218"/>
      <c r="H2265" s="218"/>
      <c r="I2265" s="218"/>
      <c r="J2265" s="218"/>
      <c r="K2265" s="218"/>
      <c r="L2265" s="218"/>
      <c r="M2265" s="218"/>
      <c r="N2265" s="218"/>
      <c r="O2265" s="218"/>
      <c r="P2265" s="218"/>
      <c r="Q2265" s="222"/>
      <c r="R2265" s="222"/>
      <c r="S2265" s="218"/>
      <c r="U2265" s="218"/>
      <c r="X2265" s="218"/>
      <c r="AB2265" t="e">
        <v>#N/A</v>
      </c>
    </row>
    <row r="2266">
      <c r="A2266" s="218"/>
      <c r="C2266" s="218"/>
      <c r="F2266" s="457"/>
      <c r="G2266" s="218"/>
      <c r="H2266" s="218"/>
      <c r="I2266" s="218"/>
      <c r="J2266" s="218"/>
      <c r="K2266" s="218"/>
      <c r="L2266" s="218"/>
      <c r="M2266" s="218"/>
      <c r="N2266" s="218"/>
      <c r="O2266" s="218"/>
      <c r="P2266" s="218"/>
      <c r="Q2266" s="222"/>
      <c r="R2266" s="222"/>
      <c r="S2266" s="218"/>
      <c r="U2266" s="218"/>
      <c r="X2266" s="218"/>
      <c r="AB2266" t="e">
        <v>#N/A</v>
      </c>
    </row>
    <row r="2267">
      <c r="A2267" s="218"/>
      <c r="C2267" s="218"/>
      <c r="F2267" s="457"/>
      <c r="G2267" s="218"/>
      <c r="H2267" s="218"/>
      <c r="I2267" s="218"/>
      <c r="J2267" s="218"/>
      <c r="K2267" s="218"/>
      <c r="L2267" s="218"/>
      <c r="M2267" s="218"/>
      <c r="N2267" s="218"/>
      <c r="O2267" s="218"/>
      <c r="P2267" s="218"/>
      <c r="Q2267" s="222"/>
      <c r="R2267" s="222"/>
      <c r="S2267" s="218"/>
      <c r="U2267" s="218"/>
      <c r="X2267" s="218"/>
      <c r="AB2267" t="e">
        <v>#N/A</v>
      </c>
    </row>
    <row r="2268">
      <c r="A2268" s="218"/>
      <c r="C2268" s="218"/>
      <c r="F2268" s="457"/>
      <c r="G2268" s="218"/>
      <c r="H2268" s="218"/>
      <c r="I2268" s="218"/>
      <c r="J2268" s="218"/>
      <c r="K2268" s="218"/>
      <c r="L2268" s="218"/>
      <c r="M2268" s="218"/>
      <c r="N2268" s="218"/>
      <c r="O2268" s="218"/>
      <c r="P2268" s="218"/>
      <c r="Q2268" s="222"/>
      <c r="R2268" s="222"/>
      <c r="S2268" s="218"/>
      <c r="U2268" s="218"/>
      <c r="X2268" s="218"/>
      <c r="AB2268" t="e">
        <v>#N/A</v>
      </c>
    </row>
    <row r="2269">
      <c r="A2269" s="218"/>
      <c r="C2269" s="218"/>
      <c r="F2269" s="457"/>
      <c r="G2269" s="218"/>
      <c r="H2269" s="218"/>
      <c r="I2269" s="218"/>
      <c r="J2269" s="218"/>
      <c r="K2269" s="218"/>
      <c r="L2269" s="218"/>
      <c r="M2269" s="218"/>
      <c r="N2269" s="218"/>
      <c r="O2269" s="218"/>
      <c r="P2269" s="218"/>
      <c r="Q2269" s="222"/>
      <c r="R2269" s="222"/>
      <c r="S2269" s="218"/>
      <c r="U2269" s="218"/>
      <c r="X2269" s="218"/>
      <c r="AB2269" t="e">
        <v>#N/A</v>
      </c>
    </row>
    <row r="2270">
      <c r="A2270" s="218"/>
      <c r="C2270" s="218"/>
      <c r="F2270" s="457"/>
      <c r="G2270" s="218"/>
      <c r="H2270" s="218"/>
      <c r="I2270" s="218"/>
      <c r="J2270" s="218"/>
      <c r="K2270" s="218"/>
      <c r="L2270" s="218"/>
      <c r="M2270" s="218"/>
      <c r="N2270" s="218"/>
      <c r="O2270" s="218"/>
      <c r="P2270" s="218"/>
      <c r="Q2270" s="222"/>
      <c r="R2270" s="222"/>
      <c r="S2270" s="218"/>
      <c r="U2270" s="218"/>
      <c r="X2270" s="218"/>
      <c r="AB2270" t="e">
        <v>#N/A</v>
      </c>
    </row>
    <row r="2271">
      <c r="A2271" s="218"/>
      <c r="C2271" s="218"/>
      <c r="F2271" s="457"/>
      <c r="G2271" s="218"/>
      <c r="H2271" s="218"/>
      <c r="I2271" s="218"/>
      <c r="J2271" s="218"/>
      <c r="K2271" s="218"/>
      <c r="L2271" s="218"/>
      <c r="M2271" s="218"/>
      <c r="N2271" s="218"/>
      <c r="O2271" s="218"/>
      <c r="P2271" s="218"/>
      <c r="Q2271" s="222"/>
      <c r="R2271" s="222"/>
      <c r="S2271" s="218"/>
      <c r="U2271" s="218"/>
      <c r="X2271" s="218"/>
      <c r="AB2271" t="e">
        <v>#N/A</v>
      </c>
    </row>
    <row r="2272">
      <c r="A2272" s="218"/>
      <c r="C2272" s="218"/>
      <c r="F2272" s="457"/>
      <c r="G2272" s="218"/>
      <c r="H2272" s="218"/>
      <c r="I2272" s="218"/>
      <c r="J2272" s="218"/>
      <c r="K2272" s="218"/>
      <c r="L2272" s="218"/>
      <c r="M2272" s="218"/>
      <c r="N2272" s="218"/>
      <c r="O2272" s="218"/>
      <c r="P2272" s="218"/>
      <c r="Q2272" s="222"/>
      <c r="R2272" s="222"/>
      <c r="S2272" s="218"/>
      <c r="U2272" s="218"/>
      <c r="X2272" s="218"/>
      <c r="AB2272" t="e">
        <v>#N/A</v>
      </c>
    </row>
    <row r="2273">
      <c r="A2273" s="218"/>
      <c r="C2273" s="218"/>
      <c r="F2273" s="457"/>
      <c r="G2273" s="218"/>
      <c r="H2273" s="218"/>
      <c r="I2273" s="218"/>
      <c r="J2273" s="218"/>
      <c r="K2273" s="218"/>
      <c r="L2273" s="218"/>
      <c r="M2273" s="218"/>
      <c r="N2273" s="218"/>
      <c r="O2273" s="218"/>
      <c r="P2273" s="218"/>
      <c r="Q2273" s="222"/>
      <c r="R2273" s="222"/>
      <c r="S2273" s="218"/>
      <c r="U2273" s="218"/>
      <c r="X2273" s="218"/>
      <c r="AB2273" t="e">
        <v>#N/A</v>
      </c>
    </row>
    <row r="2274">
      <c r="A2274" s="218"/>
      <c r="C2274" s="218"/>
      <c r="F2274" s="457"/>
      <c r="G2274" s="218"/>
      <c r="H2274" s="218"/>
      <c r="I2274" s="218"/>
      <c r="J2274" s="218"/>
      <c r="K2274" s="218"/>
      <c r="L2274" s="218"/>
      <c r="M2274" s="218"/>
      <c r="N2274" s="218"/>
      <c r="O2274" s="218"/>
      <c r="P2274" s="218"/>
      <c r="Q2274" s="222"/>
      <c r="R2274" s="222"/>
      <c r="S2274" s="218"/>
      <c r="U2274" s="218"/>
      <c r="X2274" s="218"/>
      <c r="AB2274" t="e">
        <v>#N/A</v>
      </c>
    </row>
    <row r="2275">
      <c r="A2275" s="218"/>
      <c r="C2275" s="218"/>
      <c r="F2275" s="457"/>
      <c r="G2275" s="218"/>
      <c r="H2275" s="218"/>
      <c r="I2275" s="218"/>
      <c r="J2275" s="218"/>
      <c r="K2275" s="218"/>
      <c r="L2275" s="218"/>
      <c r="M2275" s="218"/>
      <c r="N2275" s="218"/>
      <c r="O2275" s="218"/>
      <c r="P2275" s="218"/>
      <c r="Q2275" s="222"/>
      <c r="R2275" s="222"/>
      <c r="S2275" s="218"/>
      <c r="U2275" s="218"/>
      <c r="X2275" s="218"/>
      <c r="AB2275" t="e">
        <v>#N/A</v>
      </c>
    </row>
    <row r="2276">
      <c r="A2276" s="218"/>
      <c r="C2276" s="218"/>
      <c r="F2276" s="457"/>
      <c r="G2276" s="218"/>
      <c r="H2276" s="218"/>
      <c r="I2276" s="218"/>
      <c r="J2276" s="218"/>
      <c r="K2276" s="218"/>
      <c r="L2276" s="218"/>
      <c r="M2276" s="218"/>
      <c r="N2276" s="218"/>
      <c r="O2276" s="218"/>
      <c r="P2276" s="218"/>
      <c r="Q2276" s="222"/>
      <c r="R2276" s="222"/>
      <c r="S2276" s="218"/>
      <c r="U2276" s="218"/>
      <c r="X2276" s="218"/>
      <c r="AB2276" t="e">
        <v>#N/A</v>
      </c>
    </row>
    <row r="2277">
      <c r="A2277" s="218"/>
      <c r="C2277" s="218"/>
      <c r="F2277" s="457"/>
      <c r="G2277" s="218"/>
      <c r="H2277" s="218"/>
      <c r="I2277" s="218"/>
      <c r="J2277" s="218"/>
      <c r="K2277" s="218"/>
      <c r="L2277" s="218"/>
      <c r="M2277" s="218"/>
      <c r="N2277" s="218"/>
      <c r="O2277" s="218"/>
      <c r="P2277" s="218"/>
      <c r="Q2277" s="222"/>
      <c r="R2277" s="222"/>
      <c r="S2277" s="218"/>
      <c r="U2277" s="218"/>
      <c r="X2277" s="218"/>
      <c r="AB2277" t="e">
        <v>#N/A</v>
      </c>
    </row>
    <row r="2278">
      <c r="A2278" s="218"/>
      <c r="C2278" s="218"/>
      <c r="F2278" s="457"/>
      <c r="G2278" s="218"/>
      <c r="H2278" s="218"/>
      <c r="I2278" s="218"/>
      <c r="J2278" s="218"/>
      <c r="K2278" s="218"/>
      <c r="L2278" s="218"/>
      <c r="M2278" s="218"/>
      <c r="N2278" s="218"/>
      <c r="O2278" s="218"/>
      <c r="P2278" s="218"/>
      <c r="Q2278" s="222"/>
      <c r="R2278" s="222"/>
      <c r="S2278" s="218"/>
      <c r="U2278" s="218"/>
      <c r="X2278" s="218"/>
      <c r="AB2278" t="e">
        <v>#N/A</v>
      </c>
    </row>
    <row r="2279">
      <c r="A2279" s="218"/>
      <c r="C2279" s="218"/>
      <c r="F2279" s="457"/>
      <c r="G2279" s="218"/>
      <c r="H2279" s="218"/>
      <c r="I2279" s="218"/>
      <c r="J2279" s="218"/>
      <c r="K2279" s="218"/>
      <c r="L2279" s="218"/>
      <c r="M2279" s="218"/>
      <c r="N2279" s="218"/>
      <c r="O2279" s="218"/>
      <c r="P2279" s="218"/>
      <c r="Q2279" s="222"/>
      <c r="R2279" s="222"/>
      <c r="S2279" s="218"/>
      <c r="U2279" s="218"/>
      <c r="X2279" s="218"/>
      <c r="AB2279" t="e">
        <v>#N/A</v>
      </c>
    </row>
    <row r="2280">
      <c r="A2280" s="218"/>
      <c r="C2280" s="218"/>
      <c r="F2280" s="457"/>
      <c r="G2280" s="218"/>
      <c r="H2280" s="218"/>
      <c r="I2280" s="218"/>
      <c r="J2280" s="218"/>
      <c r="K2280" s="218"/>
      <c r="L2280" s="218"/>
      <c r="M2280" s="218"/>
      <c r="N2280" s="218"/>
      <c r="O2280" s="218"/>
      <c r="P2280" s="218"/>
      <c r="Q2280" s="222"/>
      <c r="R2280" s="222"/>
      <c r="S2280" s="218"/>
      <c r="U2280" s="218"/>
      <c r="X2280" s="218"/>
      <c r="AB2280" t="e">
        <v>#N/A</v>
      </c>
    </row>
    <row r="2281">
      <c r="A2281" s="218"/>
      <c r="C2281" s="218"/>
      <c r="F2281" s="457"/>
      <c r="G2281" s="218"/>
      <c r="H2281" s="218"/>
      <c r="I2281" s="218"/>
      <c r="J2281" s="218"/>
      <c r="K2281" s="218"/>
      <c r="L2281" s="218"/>
      <c r="M2281" s="218"/>
      <c r="N2281" s="218"/>
      <c r="O2281" s="218"/>
      <c r="P2281" s="218"/>
      <c r="Q2281" s="222"/>
      <c r="R2281" s="222"/>
      <c r="S2281" s="218"/>
      <c r="U2281" s="218"/>
      <c r="X2281" s="218"/>
      <c r="AB2281" t="e">
        <v>#N/A</v>
      </c>
    </row>
    <row r="2282">
      <c r="A2282" s="218"/>
      <c r="C2282" s="218"/>
      <c r="F2282" s="457"/>
      <c r="G2282" s="218"/>
      <c r="H2282" s="218"/>
      <c r="I2282" s="218"/>
      <c r="J2282" s="218"/>
      <c r="K2282" s="218"/>
      <c r="L2282" s="218"/>
      <c r="M2282" s="218"/>
      <c r="N2282" s="218"/>
      <c r="O2282" s="218"/>
      <c r="P2282" s="218"/>
      <c r="Q2282" s="222"/>
      <c r="R2282" s="222"/>
      <c r="S2282" s="218"/>
      <c r="U2282" s="218"/>
      <c r="X2282" s="218"/>
      <c r="AB2282" t="e">
        <v>#N/A</v>
      </c>
    </row>
    <row r="2283">
      <c r="A2283" s="218"/>
      <c r="C2283" s="218"/>
      <c r="F2283" s="457"/>
      <c r="G2283" s="218"/>
      <c r="H2283" s="218"/>
      <c r="I2283" s="218"/>
      <c r="J2283" s="218"/>
      <c r="K2283" s="218"/>
      <c r="L2283" s="218"/>
      <c r="M2283" s="218"/>
      <c r="N2283" s="218"/>
      <c r="O2283" s="218"/>
      <c r="P2283" s="218"/>
      <c r="Q2283" s="222"/>
      <c r="R2283" s="222"/>
      <c r="S2283" s="218"/>
      <c r="U2283" s="218"/>
      <c r="X2283" s="218"/>
      <c r="AB2283" t="e">
        <v>#N/A</v>
      </c>
    </row>
    <row r="2284">
      <c r="A2284" s="218"/>
      <c r="C2284" s="218"/>
      <c r="F2284" s="457"/>
      <c r="G2284" s="218"/>
      <c r="H2284" s="218"/>
      <c r="I2284" s="218"/>
      <c r="J2284" s="218"/>
      <c r="K2284" s="218"/>
      <c r="L2284" s="218"/>
      <c r="M2284" s="218"/>
      <c r="N2284" s="218"/>
      <c r="O2284" s="218"/>
      <c r="P2284" s="218"/>
      <c r="Q2284" s="222"/>
      <c r="R2284" s="222"/>
      <c r="S2284" s="218"/>
      <c r="U2284" s="218"/>
      <c r="X2284" s="218"/>
      <c r="AB2284" t="e">
        <v>#N/A</v>
      </c>
    </row>
    <row r="2285">
      <c r="A2285" s="218"/>
      <c r="C2285" s="218"/>
      <c r="F2285" s="457"/>
      <c r="G2285" s="218"/>
      <c r="H2285" s="218"/>
      <c r="I2285" s="218"/>
      <c r="J2285" s="218"/>
      <c r="K2285" s="218"/>
      <c r="L2285" s="218"/>
      <c r="M2285" s="218"/>
      <c r="N2285" s="218"/>
      <c r="O2285" s="218"/>
      <c r="P2285" s="218"/>
      <c r="Q2285" s="222"/>
      <c r="R2285" s="222"/>
      <c r="S2285" s="218"/>
      <c r="U2285" s="218"/>
      <c r="X2285" s="218"/>
      <c r="AB2285" t="e">
        <v>#N/A</v>
      </c>
    </row>
    <row r="2286">
      <c r="A2286" s="218"/>
      <c r="C2286" s="218"/>
      <c r="F2286" s="457"/>
      <c r="G2286" s="218"/>
      <c r="H2286" s="218"/>
      <c r="I2286" s="218"/>
      <c r="J2286" s="218"/>
      <c r="K2286" s="218"/>
      <c r="L2286" s="218"/>
      <c r="M2286" s="218"/>
      <c r="N2286" s="218"/>
      <c r="O2286" s="218"/>
      <c r="P2286" s="218"/>
      <c r="Q2286" s="222"/>
      <c r="R2286" s="222"/>
      <c r="S2286" s="218"/>
      <c r="U2286" s="218"/>
      <c r="X2286" s="218"/>
      <c r="AB2286" t="e">
        <v>#N/A</v>
      </c>
    </row>
    <row r="2287">
      <c r="A2287" s="218"/>
      <c r="C2287" s="218"/>
      <c r="F2287" s="457"/>
      <c r="G2287" s="218"/>
      <c r="H2287" s="218"/>
      <c r="I2287" s="218"/>
      <c r="J2287" s="218"/>
      <c r="K2287" s="218"/>
      <c r="L2287" s="218"/>
      <c r="M2287" s="218"/>
      <c r="N2287" s="218"/>
      <c r="O2287" s="218"/>
      <c r="P2287" s="218"/>
      <c r="Q2287" s="222"/>
      <c r="R2287" s="222"/>
      <c r="S2287" s="218"/>
      <c r="U2287" s="218"/>
      <c r="X2287" s="218"/>
      <c r="AB2287" t="e">
        <v>#N/A</v>
      </c>
    </row>
    <row r="2288">
      <c r="A2288" s="218"/>
      <c r="C2288" s="218"/>
      <c r="F2288" s="457"/>
      <c r="G2288" s="218"/>
      <c r="H2288" s="218"/>
      <c r="I2288" s="218"/>
      <c r="J2288" s="218"/>
      <c r="K2288" s="218"/>
      <c r="L2288" s="218"/>
      <c r="M2288" s="218"/>
      <c r="N2288" s="218"/>
      <c r="O2288" s="218"/>
      <c r="P2288" s="218"/>
      <c r="Q2288" s="222"/>
      <c r="R2288" s="222"/>
      <c r="S2288" s="218"/>
      <c r="U2288" s="218"/>
      <c r="X2288" s="218"/>
      <c r="AB2288" t="e">
        <v>#N/A</v>
      </c>
    </row>
    <row r="2289">
      <c r="A2289" s="218"/>
      <c r="C2289" s="218"/>
      <c r="F2289" s="457"/>
      <c r="G2289" s="218"/>
      <c r="H2289" s="218"/>
      <c r="I2289" s="218"/>
      <c r="J2289" s="218"/>
      <c r="K2289" s="218"/>
      <c r="L2289" s="218"/>
      <c r="M2289" s="218"/>
      <c r="N2289" s="218"/>
      <c r="O2289" s="218"/>
      <c r="P2289" s="218"/>
      <c r="Q2289" s="222"/>
      <c r="R2289" s="222"/>
      <c r="S2289" s="218"/>
      <c r="U2289" s="218"/>
      <c r="X2289" s="218"/>
      <c r="AB2289" t="e">
        <v>#N/A</v>
      </c>
    </row>
    <row r="2290">
      <c r="A2290" s="218"/>
      <c r="C2290" s="218"/>
      <c r="F2290" s="457"/>
      <c r="G2290" s="218"/>
      <c r="H2290" s="218"/>
      <c r="I2290" s="218"/>
      <c r="J2290" s="218"/>
      <c r="K2290" s="218"/>
      <c r="L2290" s="218"/>
      <c r="M2290" s="218"/>
      <c r="N2290" s="218"/>
      <c r="O2290" s="218"/>
      <c r="P2290" s="218"/>
      <c r="Q2290" s="222"/>
      <c r="R2290" s="222"/>
      <c r="S2290" s="218"/>
      <c r="U2290" s="218"/>
      <c r="X2290" s="218"/>
      <c r="AB2290" t="e">
        <v>#N/A</v>
      </c>
    </row>
    <row r="2291">
      <c r="A2291" s="218"/>
      <c r="C2291" s="218"/>
      <c r="F2291" s="457"/>
      <c r="G2291" s="218"/>
      <c r="H2291" s="218"/>
      <c r="I2291" s="218"/>
      <c r="J2291" s="218"/>
      <c r="K2291" s="218"/>
      <c r="L2291" s="218"/>
      <c r="M2291" s="218"/>
      <c r="N2291" s="218"/>
      <c r="O2291" s="218"/>
      <c r="P2291" s="218"/>
      <c r="Q2291" s="222"/>
      <c r="R2291" s="222"/>
      <c r="S2291" s="218"/>
      <c r="U2291" s="218"/>
      <c r="X2291" s="218"/>
      <c r="AB2291" t="e">
        <v>#N/A</v>
      </c>
    </row>
    <row r="2292">
      <c r="A2292" s="218"/>
      <c r="C2292" s="218"/>
      <c r="F2292" s="457"/>
      <c r="G2292" s="218"/>
      <c r="H2292" s="218"/>
      <c r="I2292" s="218"/>
      <c r="J2292" s="218"/>
      <c r="K2292" s="218"/>
      <c r="L2292" s="218"/>
      <c r="M2292" s="218"/>
      <c r="N2292" s="218"/>
      <c r="O2292" s="218"/>
      <c r="P2292" s="218"/>
      <c r="Q2292" s="222"/>
      <c r="R2292" s="222"/>
      <c r="S2292" s="218"/>
      <c r="U2292" s="218"/>
      <c r="X2292" s="218"/>
      <c r="AB2292" t="e">
        <v>#N/A</v>
      </c>
    </row>
    <row r="2293">
      <c r="A2293" s="218"/>
      <c r="C2293" s="218"/>
      <c r="F2293" s="457"/>
      <c r="G2293" s="218"/>
      <c r="H2293" s="218"/>
      <c r="I2293" s="218"/>
      <c r="J2293" s="218"/>
      <c r="K2293" s="218"/>
      <c r="L2293" s="218"/>
      <c r="M2293" s="218"/>
      <c r="N2293" s="218"/>
      <c r="O2293" s="218"/>
      <c r="P2293" s="218"/>
      <c r="Q2293" s="222"/>
      <c r="R2293" s="222"/>
      <c r="S2293" s="218"/>
      <c r="U2293" s="218"/>
      <c r="X2293" s="218"/>
      <c r="AB2293" t="e">
        <v>#N/A</v>
      </c>
    </row>
    <row r="2294">
      <c r="A2294" s="218"/>
      <c r="C2294" s="218"/>
      <c r="F2294" s="457"/>
      <c r="G2294" s="218"/>
      <c r="H2294" s="218"/>
      <c r="I2294" s="218"/>
      <c r="J2294" s="218"/>
      <c r="K2294" s="218"/>
      <c r="L2294" s="218"/>
      <c r="M2294" s="218"/>
      <c r="N2294" s="218"/>
      <c r="O2294" s="218"/>
      <c r="P2294" s="218"/>
      <c r="Q2294" s="222"/>
      <c r="R2294" s="222"/>
      <c r="S2294" s="218"/>
      <c r="U2294" s="218"/>
      <c r="X2294" s="218"/>
      <c r="AB2294" t="e">
        <v>#N/A</v>
      </c>
    </row>
    <row r="2295">
      <c r="A2295" s="218"/>
      <c r="C2295" s="218"/>
      <c r="F2295" s="457"/>
      <c r="G2295" s="218"/>
      <c r="H2295" s="218"/>
      <c r="I2295" s="218"/>
      <c r="J2295" s="218"/>
      <c r="K2295" s="218"/>
      <c r="L2295" s="218"/>
      <c r="M2295" s="218"/>
      <c r="N2295" s="218"/>
      <c r="O2295" s="218"/>
      <c r="P2295" s="218"/>
      <c r="Q2295" s="222"/>
      <c r="R2295" s="222"/>
      <c r="S2295" s="218"/>
      <c r="U2295" s="218"/>
      <c r="X2295" s="218"/>
      <c r="AB2295" t="e">
        <v>#N/A</v>
      </c>
    </row>
    <row r="2296">
      <c r="A2296" s="218"/>
      <c r="C2296" s="218"/>
      <c r="F2296" s="457"/>
      <c r="G2296" s="218"/>
      <c r="H2296" s="218"/>
      <c r="I2296" s="218"/>
      <c r="J2296" s="218"/>
      <c r="K2296" s="218"/>
      <c r="L2296" s="218"/>
      <c r="M2296" s="218"/>
      <c r="N2296" s="218"/>
      <c r="O2296" s="218"/>
      <c r="P2296" s="218"/>
      <c r="Q2296" s="222"/>
      <c r="R2296" s="222"/>
      <c r="S2296" s="218"/>
      <c r="U2296" s="218"/>
      <c r="X2296" s="218"/>
      <c r="AB2296" t="e">
        <v>#N/A</v>
      </c>
    </row>
    <row r="2297">
      <c r="A2297" s="218"/>
      <c r="C2297" s="218"/>
      <c r="F2297" s="457"/>
      <c r="G2297" s="218"/>
      <c r="H2297" s="218"/>
      <c r="I2297" s="218"/>
      <c r="J2297" s="218"/>
      <c r="K2297" s="218"/>
      <c r="L2297" s="218"/>
      <c r="M2297" s="218"/>
      <c r="N2297" s="218"/>
      <c r="O2297" s="218"/>
      <c r="P2297" s="218"/>
      <c r="Q2297" s="222"/>
      <c r="R2297" s="222"/>
      <c r="S2297" s="218"/>
      <c r="U2297" s="218"/>
      <c r="X2297" s="218"/>
      <c r="AB2297" t="e">
        <v>#N/A</v>
      </c>
    </row>
    <row r="2298">
      <c r="A2298" s="218"/>
      <c r="C2298" s="218"/>
      <c r="F2298" s="457"/>
      <c r="G2298" s="218"/>
      <c r="H2298" s="218"/>
      <c r="I2298" s="218"/>
      <c r="J2298" s="218"/>
      <c r="K2298" s="218"/>
      <c r="L2298" s="218"/>
      <c r="M2298" s="218"/>
      <c r="N2298" s="218"/>
      <c r="O2298" s="218"/>
      <c r="P2298" s="218"/>
      <c r="Q2298" s="222"/>
      <c r="R2298" s="222"/>
      <c r="S2298" s="218"/>
      <c r="U2298" s="218"/>
      <c r="X2298" s="218"/>
      <c r="AB2298" t="e">
        <v>#N/A</v>
      </c>
    </row>
    <row r="2299">
      <c r="A2299" s="218"/>
      <c r="C2299" s="218"/>
      <c r="F2299" s="457"/>
      <c r="G2299" s="218"/>
      <c r="H2299" s="218"/>
      <c r="I2299" s="218"/>
      <c r="J2299" s="218"/>
      <c r="K2299" s="218"/>
      <c r="L2299" s="218"/>
      <c r="M2299" s="218"/>
      <c r="N2299" s="218"/>
      <c r="O2299" s="218"/>
      <c r="P2299" s="218"/>
      <c r="Q2299" s="222"/>
      <c r="R2299" s="222"/>
      <c r="S2299" s="218"/>
      <c r="U2299" s="218"/>
      <c r="X2299" s="218"/>
      <c r="AB2299" t="e">
        <v>#N/A</v>
      </c>
    </row>
    <row r="2300">
      <c r="A2300" s="218"/>
      <c r="C2300" s="218"/>
      <c r="F2300" s="457"/>
      <c r="G2300" s="218"/>
      <c r="H2300" s="218"/>
      <c r="I2300" s="218"/>
      <c r="J2300" s="218"/>
      <c r="K2300" s="218"/>
      <c r="L2300" s="218"/>
      <c r="M2300" s="218"/>
      <c r="N2300" s="218"/>
      <c r="O2300" s="218"/>
      <c r="P2300" s="218"/>
      <c r="Q2300" s="222"/>
      <c r="R2300" s="222"/>
      <c r="S2300" s="218"/>
      <c r="U2300" s="218"/>
      <c r="X2300" s="218"/>
      <c r="AB2300" t="e">
        <v>#N/A</v>
      </c>
    </row>
    <row r="2301">
      <c r="A2301" s="218"/>
      <c r="C2301" s="218"/>
      <c r="F2301" s="457"/>
      <c r="G2301" s="218"/>
      <c r="H2301" s="218"/>
      <c r="I2301" s="218"/>
      <c r="J2301" s="218"/>
      <c r="K2301" s="218"/>
      <c r="L2301" s="218"/>
      <c r="M2301" s="218"/>
      <c r="N2301" s="218"/>
      <c r="O2301" s="218"/>
      <c r="P2301" s="218"/>
      <c r="Q2301" s="222"/>
      <c r="R2301" s="222"/>
      <c r="S2301" s="218"/>
      <c r="U2301" s="218"/>
      <c r="X2301" s="218"/>
      <c r="AB2301" t="e">
        <v>#N/A</v>
      </c>
    </row>
    <row r="2302">
      <c r="A2302" s="218"/>
      <c r="C2302" s="218"/>
      <c r="F2302" s="457"/>
      <c r="G2302" s="218"/>
      <c r="H2302" s="218"/>
      <c r="I2302" s="218"/>
      <c r="J2302" s="218"/>
      <c r="K2302" s="218"/>
      <c r="L2302" s="218"/>
      <c r="M2302" s="218"/>
      <c r="N2302" s="218"/>
      <c r="O2302" s="218"/>
      <c r="P2302" s="218"/>
      <c r="Q2302" s="222"/>
      <c r="R2302" s="222"/>
      <c r="S2302" s="218"/>
      <c r="U2302" s="218"/>
      <c r="X2302" s="218"/>
      <c r="AB2302" t="e">
        <v>#N/A</v>
      </c>
    </row>
    <row r="2303">
      <c r="A2303" s="218"/>
      <c r="C2303" s="218"/>
      <c r="F2303" s="457"/>
      <c r="G2303" s="218"/>
      <c r="H2303" s="218"/>
      <c r="I2303" s="218"/>
      <c r="J2303" s="218"/>
      <c r="K2303" s="218"/>
      <c r="L2303" s="218"/>
      <c r="M2303" s="218"/>
      <c r="N2303" s="218"/>
      <c r="O2303" s="218"/>
      <c r="P2303" s="218"/>
      <c r="Q2303" s="222"/>
      <c r="R2303" s="222"/>
      <c r="S2303" s="218"/>
      <c r="U2303" s="218"/>
      <c r="X2303" s="218"/>
      <c r="AB2303" t="e">
        <v>#N/A</v>
      </c>
    </row>
    <row r="2304">
      <c r="A2304" s="218"/>
      <c r="C2304" s="218"/>
      <c r="F2304" s="457"/>
      <c r="G2304" s="218"/>
      <c r="H2304" s="218"/>
      <c r="I2304" s="218"/>
      <c r="J2304" s="218"/>
      <c r="K2304" s="218"/>
      <c r="L2304" s="218"/>
      <c r="M2304" s="218"/>
      <c r="N2304" s="218"/>
      <c r="O2304" s="218"/>
      <c r="P2304" s="218"/>
      <c r="Q2304" s="222"/>
      <c r="R2304" s="222"/>
      <c r="S2304" s="218"/>
      <c r="U2304" s="218"/>
      <c r="X2304" s="218"/>
      <c r="AB2304" t="e">
        <v>#N/A</v>
      </c>
    </row>
    <row r="2305">
      <c r="A2305" s="218"/>
      <c r="C2305" s="218"/>
      <c r="F2305" s="457"/>
      <c r="G2305" s="218"/>
      <c r="H2305" s="218"/>
      <c r="I2305" s="218"/>
      <c r="J2305" s="218"/>
      <c r="K2305" s="218"/>
      <c r="L2305" s="218"/>
      <c r="M2305" s="218"/>
      <c r="N2305" s="218"/>
      <c r="O2305" s="218"/>
      <c r="P2305" s="218"/>
      <c r="Q2305" s="222"/>
      <c r="R2305" s="222"/>
      <c r="S2305" s="218"/>
      <c r="U2305" s="218"/>
      <c r="X2305" s="218"/>
      <c r="AB2305" t="e">
        <v>#N/A</v>
      </c>
    </row>
    <row r="2306">
      <c r="A2306" s="218"/>
      <c r="C2306" s="218"/>
      <c r="F2306" s="457"/>
      <c r="G2306" s="218"/>
      <c r="H2306" s="218"/>
      <c r="I2306" s="218"/>
      <c r="J2306" s="218"/>
      <c r="K2306" s="218"/>
      <c r="L2306" s="218"/>
      <c r="M2306" s="218"/>
      <c r="N2306" s="218"/>
      <c r="O2306" s="218"/>
      <c r="P2306" s="218"/>
      <c r="Q2306" s="222"/>
      <c r="R2306" s="222"/>
      <c r="S2306" s="218"/>
      <c r="U2306" s="218"/>
      <c r="X2306" s="218"/>
      <c r="AB2306" t="e">
        <v>#N/A</v>
      </c>
    </row>
    <row r="2307">
      <c r="A2307" s="218"/>
      <c r="C2307" s="218"/>
      <c r="F2307" s="457"/>
      <c r="G2307" s="218"/>
      <c r="H2307" s="218"/>
      <c r="I2307" s="218"/>
      <c r="J2307" s="218"/>
      <c r="K2307" s="218"/>
      <c r="L2307" s="218"/>
      <c r="M2307" s="218"/>
      <c r="N2307" s="218"/>
      <c r="O2307" s="218"/>
      <c r="P2307" s="218"/>
      <c r="Q2307" s="222"/>
      <c r="R2307" s="222"/>
      <c r="S2307" s="218"/>
      <c r="U2307" s="218"/>
      <c r="X2307" s="218"/>
      <c r="AB2307" t="e">
        <v>#N/A</v>
      </c>
    </row>
    <row r="2308">
      <c r="A2308" s="218"/>
      <c r="C2308" s="218"/>
      <c r="F2308" s="457"/>
      <c r="G2308" s="218"/>
      <c r="H2308" s="218"/>
      <c r="I2308" s="218"/>
      <c r="J2308" s="218"/>
      <c r="K2308" s="218"/>
      <c r="L2308" s="218"/>
      <c r="M2308" s="218"/>
      <c r="N2308" s="218"/>
      <c r="O2308" s="218"/>
      <c r="P2308" s="218"/>
      <c r="Q2308" s="222"/>
      <c r="R2308" s="222"/>
      <c r="S2308" s="218"/>
      <c r="U2308" s="218"/>
      <c r="X2308" s="218"/>
      <c r="AB2308" t="e">
        <v>#N/A</v>
      </c>
    </row>
    <row r="2309">
      <c r="A2309" s="218"/>
      <c r="C2309" s="218"/>
      <c r="F2309" s="457"/>
      <c r="G2309" s="218"/>
      <c r="H2309" s="218"/>
      <c r="I2309" s="218"/>
      <c r="J2309" s="218"/>
      <c r="K2309" s="218"/>
      <c r="L2309" s="218"/>
      <c r="M2309" s="218"/>
      <c r="N2309" s="218"/>
      <c r="O2309" s="218"/>
      <c r="P2309" s="218"/>
      <c r="Q2309" s="222"/>
      <c r="R2309" s="222"/>
      <c r="S2309" s="218"/>
      <c r="U2309" s="218"/>
      <c r="X2309" s="218"/>
      <c r="AB2309" t="e">
        <v>#N/A</v>
      </c>
    </row>
    <row r="2310">
      <c r="A2310" s="218"/>
      <c r="C2310" s="218"/>
      <c r="F2310" s="457"/>
      <c r="G2310" s="218"/>
      <c r="H2310" s="218"/>
      <c r="I2310" s="218"/>
      <c r="J2310" s="218"/>
      <c r="K2310" s="218"/>
      <c r="L2310" s="218"/>
      <c r="M2310" s="218"/>
      <c r="N2310" s="218"/>
      <c r="O2310" s="218"/>
      <c r="P2310" s="218"/>
      <c r="Q2310" s="222"/>
      <c r="R2310" s="222"/>
      <c r="S2310" s="218"/>
      <c r="U2310" s="218"/>
      <c r="X2310" s="218"/>
      <c r="AB2310" t="e">
        <v>#N/A</v>
      </c>
    </row>
    <row r="2311">
      <c r="A2311" s="218"/>
      <c r="C2311" s="218"/>
      <c r="F2311" s="457"/>
      <c r="G2311" s="218"/>
      <c r="H2311" s="218"/>
      <c r="I2311" s="218"/>
      <c r="J2311" s="218"/>
      <c r="K2311" s="218"/>
      <c r="L2311" s="218"/>
      <c r="M2311" s="218"/>
      <c r="N2311" s="218"/>
      <c r="O2311" s="218"/>
      <c r="P2311" s="218"/>
      <c r="Q2311" s="222"/>
      <c r="R2311" s="222"/>
      <c r="S2311" s="218"/>
      <c r="U2311" s="218"/>
      <c r="X2311" s="218"/>
      <c r="AB2311" t="e">
        <v>#N/A</v>
      </c>
    </row>
    <row r="2312">
      <c r="A2312" s="218"/>
      <c r="C2312" s="218"/>
      <c r="F2312" s="457"/>
      <c r="G2312" s="218"/>
      <c r="H2312" s="218"/>
      <c r="I2312" s="218"/>
      <c r="J2312" s="218"/>
      <c r="K2312" s="218"/>
      <c r="L2312" s="218"/>
      <c r="M2312" s="218"/>
      <c r="N2312" s="218"/>
      <c r="O2312" s="218"/>
      <c r="P2312" s="218"/>
      <c r="Q2312" s="222"/>
      <c r="R2312" s="222"/>
      <c r="S2312" s="218"/>
      <c r="U2312" s="218"/>
      <c r="X2312" s="218"/>
      <c r="AB2312" t="e">
        <v>#N/A</v>
      </c>
    </row>
    <row r="2313">
      <c r="A2313" s="218"/>
      <c r="C2313" s="218"/>
      <c r="F2313" s="457"/>
      <c r="G2313" s="218"/>
      <c r="H2313" s="218"/>
      <c r="I2313" s="218"/>
      <c r="J2313" s="218"/>
      <c r="K2313" s="218"/>
      <c r="L2313" s="218"/>
      <c r="M2313" s="218"/>
      <c r="N2313" s="218"/>
      <c r="O2313" s="218"/>
      <c r="P2313" s="218"/>
      <c r="Q2313" s="222"/>
      <c r="R2313" s="222"/>
      <c r="S2313" s="218"/>
      <c r="U2313" s="218"/>
      <c r="X2313" s="218"/>
      <c r="AB2313" t="e">
        <v>#N/A</v>
      </c>
    </row>
    <row r="2314">
      <c r="A2314" s="218"/>
      <c r="C2314" s="218"/>
      <c r="F2314" s="457"/>
      <c r="G2314" s="218"/>
      <c r="H2314" s="218"/>
      <c r="I2314" s="218"/>
      <c r="J2314" s="218"/>
      <c r="K2314" s="218"/>
      <c r="L2314" s="218"/>
      <c r="M2314" s="218"/>
      <c r="N2314" s="218"/>
      <c r="O2314" s="218"/>
      <c r="P2314" s="218"/>
      <c r="Q2314" s="222"/>
      <c r="R2314" s="222"/>
      <c r="S2314" s="218"/>
      <c r="U2314" s="218"/>
      <c r="X2314" s="218"/>
      <c r="AB2314" t="e">
        <v>#N/A</v>
      </c>
    </row>
    <row r="2315">
      <c r="A2315" s="218"/>
      <c r="C2315" s="218"/>
      <c r="F2315" s="457"/>
      <c r="G2315" s="218"/>
      <c r="H2315" s="218"/>
      <c r="I2315" s="218"/>
      <c r="J2315" s="218"/>
      <c r="K2315" s="218"/>
      <c r="L2315" s="218"/>
      <c r="M2315" s="218"/>
      <c r="N2315" s="218"/>
      <c r="O2315" s="218"/>
      <c r="P2315" s="218"/>
      <c r="Q2315" s="222"/>
      <c r="R2315" s="222"/>
      <c r="S2315" s="218"/>
      <c r="U2315" s="218"/>
      <c r="X2315" s="218"/>
      <c r="AB2315" t="e">
        <v>#N/A</v>
      </c>
    </row>
    <row r="2316">
      <c r="A2316" s="218"/>
      <c r="C2316" s="218"/>
      <c r="F2316" s="457"/>
      <c r="G2316" s="218"/>
      <c r="H2316" s="218"/>
      <c r="I2316" s="218"/>
      <c r="J2316" s="218"/>
      <c r="K2316" s="218"/>
      <c r="L2316" s="218"/>
      <c r="M2316" s="218"/>
      <c r="N2316" s="218"/>
      <c r="O2316" s="218"/>
      <c r="P2316" s="218"/>
      <c r="Q2316" s="222"/>
      <c r="R2316" s="222"/>
      <c r="S2316" s="218"/>
      <c r="U2316" s="218"/>
      <c r="X2316" s="218"/>
      <c r="AB2316" t="e">
        <v>#N/A</v>
      </c>
    </row>
    <row r="2317">
      <c r="A2317" s="218"/>
      <c r="C2317" s="218"/>
      <c r="F2317" s="457"/>
      <c r="G2317" s="218"/>
      <c r="H2317" s="218"/>
      <c r="I2317" s="218"/>
      <c r="J2317" s="218"/>
      <c r="K2317" s="218"/>
      <c r="L2317" s="218"/>
      <c r="M2317" s="218"/>
      <c r="N2317" s="218"/>
      <c r="O2317" s="218"/>
      <c r="P2317" s="218"/>
      <c r="Q2317" s="222"/>
      <c r="R2317" s="222"/>
      <c r="S2317" s="218"/>
      <c r="U2317" s="218"/>
      <c r="X2317" s="218"/>
      <c r="AB2317" t="e">
        <v>#N/A</v>
      </c>
    </row>
    <row r="2318">
      <c r="A2318" s="218"/>
      <c r="C2318" s="218"/>
      <c r="F2318" s="457"/>
      <c r="G2318" s="218"/>
      <c r="H2318" s="218"/>
      <c r="I2318" s="218"/>
      <c r="J2318" s="218"/>
      <c r="K2318" s="218"/>
      <c r="L2318" s="218"/>
      <c r="M2318" s="218"/>
      <c r="N2318" s="218"/>
      <c r="O2318" s="218"/>
      <c r="P2318" s="218"/>
      <c r="Q2318" s="222"/>
      <c r="R2318" s="222"/>
      <c r="S2318" s="218"/>
      <c r="U2318" s="218"/>
      <c r="X2318" s="218"/>
      <c r="AB2318" t="e">
        <v>#N/A</v>
      </c>
    </row>
    <row r="2319">
      <c r="A2319" s="218"/>
      <c r="C2319" s="218"/>
      <c r="F2319" s="457"/>
      <c r="G2319" s="218"/>
      <c r="H2319" s="218"/>
      <c r="I2319" s="218"/>
      <c r="J2319" s="218"/>
      <c r="K2319" s="218"/>
      <c r="L2319" s="218"/>
      <c r="M2319" s="218"/>
      <c r="N2319" s="218"/>
      <c r="O2319" s="218"/>
      <c r="P2319" s="218"/>
      <c r="Q2319" s="222"/>
      <c r="R2319" s="222"/>
      <c r="S2319" s="218"/>
      <c r="U2319" s="218"/>
      <c r="X2319" s="218"/>
      <c r="AB2319" t="e">
        <v>#N/A</v>
      </c>
    </row>
    <row r="2320">
      <c r="A2320" s="218"/>
      <c r="C2320" s="218"/>
      <c r="F2320" s="457"/>
      <c r="G2320" s="218"/>
      <c r="H2320" s="218"/>
      <c r="I2320" s="218"/>
      <c r="J2320" s="218"/>
      <c r="K2320" s="218"/>
      <c r="L2320" s="218"/>
      <c r="M2320" s="218"/>
      <c r="N2320" s="218"/>
      <c r="O2320" s="218"/>
      <c r="P2320" s="218"/>
      <c r="Q2320" s="222"/>
      <c r="R2320" s="222"/>
      <c r="S2320" s="218"/>
      <c r="U2320" s="218"/>
      <c r="X2320" s="218"/>
      <c r="AB2320" t="e">
        <v>#N/A</v>
      </c>
    </row>
    <row r="2321">
      <c r="A2321" s="218"/>
      <c r="C2321" s="218"/>
      <c r="F2321" s="457"/>
      <c r="G2321" s="218"/>
      <c r="H2321" s="218"/>
      <c r="I2321" s="218"/>
      <c r="J2321" s="218"/>
      <c r="K2321" s="218"/>
      <c r="L2321" s="218"/>
      <c r="M2321" s="218"/>
      <c r="N2321" s="218"/>
      <c r="O2321" s="218"/>
      <c r="P2321" s="218"/>
      <c r="Q2321" s="222"/>
      <c r="R2321" s="222"/>
      <c r="S2321" s="218"/>
      <c r="U2321" s="218"/>
      <c r="X2321" s="218"/>
      <c r="AB2321" t="e">
        <v>#N/A</v>
      </c>
    </row>
    <row r="2322">
      <c r="A2322" s="218"/>
      <c r="C2322" s="218"/>
      <c r="F2322" s="457"/>
      <c r="G2322" s="218"/>
      <c r="H2322" s="218"/>
      <c r="I2322" s="218"/>
      <c r="J2322" s="218"/>
      <c r="K2322" s="218"/>
      <c r="L2322" s="218"/>
      <c r="M2322" s="218"/>
      <c r="N2322" s="218"/>
      <c r="O2322" s="218"/>
      <c r="P2322" s="218"/>
      <c r="Q2322" s="222"/>
      <c r="R2322" s="222"/>
      <c r="S2322" s="218"/>
      <c r="U2322" s="218"/>
      <c r="X2322" s="218"/>
      <c r="AB2322" t="e">
        <v>#N/A</v>
      </c>
    </row>
    <row r="2323">
      <c r="A2323" s="218"/>
      <c r="C2323" s="218"/>
      <c r="F2323" s="457"/>
      <c r="G2323" s="218"/>
      <c r="H2323" s="218"/>
      <c r="I2323" s="218"/>
      <c r="J2323" s="218"/>
      <c r="K2323" s="218"/>
      <c r="L2323" s="218"/>
      <c r="M2323" s="218"/>
      <c r="N2323" s="218"/>
      <c r="O2323" s="218"/>
      <c r="P2323" s="218"/>
      <c r="Q2323" s="222"/>
      <c r="R2323" s="222"/>
      <c r="S2323" s="218"/>
      <c r="U2323" s="218"/>
      <c r="X2323" s="218"/>
      <c r="AB2323" t="e">
        <v>#N/A</v>
      </c>
    </row>
    <row r="2324">
      <c r="A2324" s="218"/>
      <c r="C2324" s="218"/>
      <c r="F2324" s="457"/>
      <c r="G2324" s="218"/>
      <c r="H2324" s="218"/>
      <c r="I2324" s="218"/>
      <c r="J2324" s="218"/>
      <c r="K2324" s="218"/>
      <c r="L2324" s="218"/>
      <c r="M2324" s="218"/>
      <c r="N2324" s="218"/>
      <c r="O2324" s="218"/>
      <c r="P2324" s="218"/>
      <c r="Q2324" s="222"/>
      <c r="R2324" s="222"/>
      <c r="S2324" s="218"/>
      <c r="U2324" s="218"/>
      <c r="X2324" s="218"/>
      <c r="AB2324" t="e">
        <v>#N/A</v>
      </c>
    </row>
    <row r="2325">
      <c r="A2325" s="218"/>
      <c r="C2325" s="218"/>
      <c r="F2325" s="457"/>
      <c r="G2325" s="218"/>
      <c r="H2325" s="218"/>
      <c r="I2325" s="218"/>
      <c r="J2325" s="218"/>
      <c r="K2325" s="218"/>
      <c r="L2325" s="218"/>
      <c r="M2325" s="218"/>
      <c r="N2325" s="218"/>
      <c r="O2325" s="218"/>
      <c r="P2325" s="218"/>
      <c r="Q2325" s="222"/>
      <c r="R2325" s="222"/>
      <c r="S2325" s="218"/>
      <c r="U2325" s="218"/>
      <c r="X2325" s="218"/>
      <c r="AB2325" t="e">
        <v>#N/A</v>
      </c>
    </row>
    <row r="2326">
      <c r="A2326" s="218"/>
      <c r="C2326" s="218"/>
      <c r="F2326" s="457"/>
      <c r="G2326" s="218"/>
      <c r="H2326" s="218"/>
      <c r="I2326" s="218"/>
      <c r="J2326" s="218"/>
      <c r="K2326" s="218"/>
      <c r="L2326" s="218"/>
      <c r="M2326" s="218"/>
      <c r="N2326" s="218"/>
      <c r="O2326" s="218"/>
      <c r="P2326" s="218"/>
      <c r="Q2326" s="222"/>
      <c r="R2326" s="222"/>
      <c r="S2326" s="218"/>
      <c r="U2326" s="218"/>
      <c r="X2326" s="218"/>
      <c r="AB2326" t="e">
        <v>#N/A</v>
      </c>
    </row>
    <row r="2327">
      <c r="A2327" s="218"/>
      <c r="C2327" s="218"/>
      <c r="F2327" s="457"/>
      <c r="G2327" s="218"/>
      <c r="H2327" s="218"/>
      <c r="I2327" s="218"/>
      <c r="J2327" s="218"/>
      <c r="K2327" s="218"/>
      <c r="L2327" s="218"/>
      <c r="M2327" s="218"/>
      <c r="N2327" s="218"/>
      <c r="O2327" s="218"/>
      <c r="P2327" s="218"/>
      <c r="Q2327" s="222"/>
      <c r="R2327" s="222"/>
      <c r="S2327" s="218"/>
      <c r="U2327" s="218"/>
      <c r="X2327" s="218"/>
      <c r="AB2327" t="e">
        <v>#N/A</v>
      </c>
    </row>
    <row r="2328">
      <c r="A2328" s="218"/>
      <c r="C2328" s="218"/>
      <c r="F2328" s="457"/>
      <c r="G2328" s="218"/>
      <c r="H2328" s="218"/>
      <c r="I2328" s="218"/>
      <c r="J2328" s="218"/>
      <c r="K2328" s="218"/>
      <c r="L2328" s="218"/>
      <c r="M2328" s="218"/>
      <c r="N2328" s="218"/>
      <c r="O2328" s="218"/>
      <c r="P2328" s="218"/>
      <c r="Q2328" s="222"/>
      <c r="R2328" s="222"/>
      <c r="S2328" s="218"/>
      <c r="U2328" s="218"/>
      <c r="X2328" s="218"/>
      <c r="AB2328" t="e">
        <v>#N/A</v>
      </c>
    </row>
    <row r="2329">
      <c r="A2329" s="218"/>
      <c r="C2329" s="218"/>
      <c r="F2329" s="457"/>
      <c r="G2329" s="218"/>
      <c r="H2329" s="218"/>
      <c r="I2329" s="218"/>
      <c r="J2329" s="218"/>
      <c r="K2329" s="218"/>
      <c r="L2329" s="218"/>
      <c r="M2329" s="218"/>
      <c r="N2329" s="218"/>
      <c r="O2329" s="218"/>
      <c r="P2329" s="218"/>
      <c r="Q2329" s="222"/>
      <c r="R2329" s="222"/>
      <c r="S2329" s="218"/>
      <c r="U2329" s="218"/>
      <c r="X2329" s="218"/>
      <c r="AB2329" t="e">
        <v>#N/A</v>
      </c>
    </row>
    <row r="2330">
      <c r="A2330" s="218"/>
      <c r="C2330" s="218"/>
      <c r="F2330" s="457"/>
      <c r="G2330" s="218"/>
      <c r="H2330" s="218"/>
      <c r="I2330" s="218"/>
      <c r="J2330" s="218"/>
      <c r="K2330" s="218"/>
      <c r="L2330" s="218"/>
      <c r="M2330" s="218"/>
      <c r="N2330" s="218"/>
      <c r="O2330" s="218"/>
      <c r="P2330" s="218"/>
      <c r="Q2330" s="222"/>
      <c r="R2330" s="222"/>
      <c r="S2330" s="218"/>
      <c r="U2330" s="218"/>
      <c r="X2330" s="218"/>
      <c r="AB2330" t="e">
        <v>#N/A</v>
      </c>
    </row>
    <row r="2331">
      <c r="A2331" s="218"/>
      <c r="C2331" s="218"/>
      <c r="F2331" s="457"/>
      <c r="G2331" s="218"/>
      <c r="H2331" s="218"/>
      <c r="I2331" s="218"/>
      <c r="J2331" s="218"/>
      <c r="K2331" s="218"/>
      <c r="L2331" s="218"/>
      <c r="M2331" s="218"/>
      <c r="N2331" s="218"/>
      <c r="O2331" s="218"/>
      <c r="P2331" s="218"/>
      <c r="Q2331" s="222"/>
      <c r="R2331" s="222"/>
      <c r="S2331" s="218"/>
      <c r="U2331" s="218"/>
      <c r="X2331" s="218"/>
      <c r="AB2331" t="e">
        <v>#N/A</v>
      </c>
    </row>
    <row r="2332">
      <c r="A2332" s="218"/>
      <c r="C2332" s="218"/>
      <c r="F2332" s="457"/>
      <c r="G2332" s="218"/>
      <c r="H2332" s="218"/>
      <c r="I2332" s="218"/>
      <c r="J2332" s="218"/>
      <c r="K2332" s="218"/>
      <c r="L2332" s="218"/>
      <c r="M2332" s="218"/>
      <c r="N2332" s="218"/>
      <c r="O2332" s="218"/>
      <c r="P2332" s="218"/>
      <c r="Q2332" s="222"/>
      <c r="R2332" s="222"/>
      <c r="S2332" s="218"/>
      <c r="U2332" s="218"/>
      <c r="X2332" s="218"/>
      <c r="AB2332" t="e">
        <v>#N/A</v>
      </c>
    </row>
    <row r="2333">
      <c r="A2333" s="218"/>
      <c r="C2333" s="218"/>
      <c r="F2333" s="457"/>
      <c r="G2333" s="218"/>
      <c r="H2333" s="218"/>
      <c r="I2333" s="218"/>
      <c r="J2333" s="218"/>
      <c r="K2333" s="218"/>
      <c r="L2333" s="218"/>
      <c r="M2333" s="218"/>
      <c r="N2333" s="218"/>
      <c r="O2333" s="218"/>
      <c r="P2333" s="218"/>
      <c r="Q2333" s="222"/>
      <c r="R2333" s="222"/>
      <c r="S2333" s="218"/>
      <c r="U2333" s="218"/>
      <c r="X2333" s="218"/>
      <c r="AB2333" t="e">
        <v>#N/A</v>
      </c>
    </row>
    <row r="2334">
      <c r="A2334" s="218"/>
      <c r="C2334" s="218"/>
      <c r="F2334" s="457"/>
      <c r="G2334" s="218"/>
      <c r="H2334" s="218"/>
      <c r="I2334" s="218"/>
      <c r="J2334" s="218"/>
      <c r="K2334" s="218"/>
      <c r="L2334" s="218"/>
      <c r="M2334" s="218"/>
      <c r="N2334" s="218"/>
      <c r="O2334" s="218"/>
      <c r="P2334" s="218"/>
      <c r="Q2334" s="222"/>
      <c r="R2334" s="222"/>
      <c r="S2334" s="218"/>
      <c r="U2334" s="218"/>
      <c r="X2334" s="218"/>
      <c r="AB2334" t="e">
        <v>#N/A</v>
      </c>
    </row>
    <row r="2335">
      <c r="A2335" s="218"/>
      <c r="C2335" s="218"/>
      <c r="F2335" s="457"/>
      <c r="G2335" s="218"/>
      <c r="H2335" s="218"/>
      <c r="I2335" s="218"/>
      <c r="J2335" s="218"/>
      <c r="K2335" s="218"/>
      <c r="L2335" s="218"/>
      <c r="M2335" s="218"/>
      <c r="N2335" s="218"/>
      <c r="O2335" s="218"/>
      <c r="P2335" s="218"/>
      <c r="Q2335" s="222"/>
      <c r="R2335" s="222"/>
      <c r="S2335" s="218"/>
      <c r="U2335" s="218"/>
      <c r="X2335" s="218"/>
      <c r="AB2335" t="e">
        <v>#N/A</v>
      </c>
    </row>
    <row r="2336">
      <c r="A2336" s="218"/>
      <c r="C2336" s="218"/>
      <c r="F2336" s="457"/>
      <c r="G2336" s="218"/>
      <c r="H2336" s="218"/>
      <c r="I2336" s="218"/>
      <c r="J2336" s="218"/>
      <c r="K2336" s="218"/>
      <c r="L2336" s="218"/>
      <c r="M2336" s="218"/>
      <c r="N2336" s="218"/>
      <c r="O2336" s="218"/>
      <c r="P2336" s="218"/>
      <c r="Q2336" s="222"/>
      <c r="R2336" s="222"/>
      <c r="S2336" s="218"/>
      <c r="U2336" s="218"/>
      <c r="X2336" s="218"/>
      <c r="AB2336" t="e">
        <v>#N/A</v>
      </c>
    </row>
    <row r="2337">
      <c r="A2337" s="218"/>
      <c r="C2337" s="218"/>
      <c r="F2337" s="457"/>
      <c r="G2337" s="218"/>
      <c r="H2337" s="218"/>
      <c r="I2337" s="218"/>
      <c r="J2337" s="218"/>
      <c r="K2337" s="218"/>
      <c r="L2337" s="218"/>
      <c r="M2337" s="218"/>
      <c r="N2337" s="218"/>
      <c r="O2337" s="218"/>
      <c r="P2337" s="218"/>
      <c r="Q2337" s="222"/>
      <c r="R2337" s="222"/>
      <c r="S2337" s="218"/>
      <c r="U2337" s="218"/>
      <c r="X2337" s="218"/>
      <c r="AB2337" t="e">
        <v>#N/A</v>
      </c>
    </row>
    <row r="2338">
      <c r="A2338" s="218"/>
      <c r="C2338" s="218"/>
      <c r="F2338" s="457"/>
      <c r="G2338" s="218"/>
      <c r="H2338" s="218"/>
      <c r="I2338" s="218"/>
      <c r="J2338" s="218"/>
      <c r="K2338" s="218"/>
      <c r="L2338" s="218"/>
      <c r="M2338" s="218"/>
      <c r="N2338" s="218"/>
      <c r="O2338" s="218"/>
      <c r="P2338" s="218"/>
      <c r="Q2338" s="222"/>
      <c r="R2338" s="222"/>
      <c r="S2338" s="218"/>
      <c r="U2338" s="218"/>
      <c r="X2338" s="218"/>
      <c r="AB2338" t="e">
        <v>#N/A</v>
      </c>
    </row>
    <row r="2339">
      <c r="A2339" s="218"/>
      <c r="C2339" s="218"/>
      <c r="F2339" s="457"/>
      <c r="G2339" s="218"/>
      <c r="H2339" s="218"/>
      <c r="I2339" s="218"/>
      <c r="J2339" s="218"/>
      <c r="K2339" s="218"/>
      <c r="L2339" s="218"/>
      <c r="M2339" s="218"/>
      <c r="N2339" s="218"/>
      <c r="O2339" s="218"/>
      <c r="P2339" s="218"/>
      <c r="Q2339" s="222"/>
      <c r="R2339" s="222"/>
      <c r="S2339" s="218"/>
      <c r="U2339" s="218"/>
      <c r="X2339" s="218"/>
      <c r="AB2339" t="e">
        <v>#N/A</v>
      </c>
    </row>
    <row r="2340">
      <c r="A2340" s="218"/>
      <c r="C2340" s="218"/>
      <c r="F2340" s="457"/>
      <c r="G2340" s="218"/>
      <c r="H2340" s="218"/>
      <c r="I2340" s="218"/>
      <c r="J2340" s="218"/>
      <c r="K2340" s="218"/>
      <c r="L2340" s="218"/>
      <c r="M2340" s="218"/>
      <c r="N2340" s="218"/>
      <c r="O2340" s="218"/>
      <c r="P2340" s="218"/>
      <c r="Q2340" s="222"/>
      <c r="R2340" s="222"/>
      <c r="S2340" s="218"/>
      <c r="U2340" s="218"/>
      <c r="X2340" s="218"/>
      <c r="AB2340" t="e">
        <v>#N/A</v>
      </c>
    </row>
    <row r="2341">
      <c r="A2341" s="218"/>
      <c r="C2341" s="218"/>
      <c r="F2341" s="457"/>
      <c r="G2341" s="218"/>
      <c r="H2341" s="218"/>
      <c r="I2341" s="218"/>
      <c r="J2341" s="218"/>
      <c r="K2341" s="218"/>
      <c r="L2341" s="218"/>
      <c r="M2341" s="218"/>
      <c r="N2341" s="218"/>
      <c r="O2341" s="218"/>
      <c r="P2341" s="218"/>
      <c r="Q2341" s="222"/>
      <c r="R2341" s="222"/>
      <c r="S2341" s="218"/>
      <c r="U2341" s="218"/>
      <c r="X2341" s="218"/>
      <c r="AB2341" t="e">
        <v>#N/A</v>
      </c>
    </row>
    <row r="2342">
      <c r="A2342" s="218"/>
      <c r="C2342" s="218"/>
      <c r="F2342" s="457"/>
      <c r="G2342" s="218"/>
      <c r="H2342" s="218"/>
      <c r="I2342" s="218"/>
      <c r="J2342" s="218"/>
      <c r="K2342" s="218"/>
      <c r="L2342" s="218"/>
      <c r="M2342" s="218"/>
      <c r="N2342" s="218"/>
      <c r="O2342" s="218"/>
      <c r="P2342" s="218"/>
      <c r="Q2342" s="222"/>
      <c r="R2342" s="222"/>
      <c r="S2342" s="218"/>
      <c r="U2342" s="218"/>
      <c r="X2342" s="218"/>
      <c r="AB2342" t="e">
        <v>#N/A</v>
      </c>
    </row>
    <row r="2343">
      <c r="A2343" s="218"/>
      <c r="C2343" s="218"/>
      <c r="F2343" s="457"/>
      <c r="G2343" s="218"/>
      <c r="H2343" s="218"/>
      <c r="I2343" s="218"/>
      <c r="J2343" s="218"/>
      <c r="K2343" s="218"/>
      <c r="L2343" s="218"/>
      <c r="M2343" s="218"/>
      <c r="N2343" s="218"/>
      <c r="O2343" s="218"/>
      <c r="P2343" s="218"/>
      <c r="Q2343" s="222"/>
      <c r="R2343" s="222"/>
      <c r="S2343" s="218"/>
      <c r="U2343" s="218"/>
      <c r="X2343" s="218"/>
      <c r="AB2343" t="e">
        <v>#N/A</v>
      </c>
    </row>
    <row r="2344">
      <c r="A2344" s="218"/>
      <c r="C2344" s="218"/>
      <c r="F2344" s="457"/>
      <c r="G2344" s="218"/>
      <c r="H2344" s="218"/>
      <c r="I2344" s="218"/>
      <c r="J2344" s="218"/>
      <c r="K2344" s="218"/>
      <c r="L2344" s="218"/>
      <c r="M2344" s="218"/>
      <c r="N2344" s="218"/>
      <c r="O2344" s="218"/>
      <c r="P2344" s="218"/>
      <c r="Q2344" s="222"/>
      <c r="R2344" s="222"/>
      <c r="S2344" s="218"/>
      <c r="U2344" s="218"/>
      <c r="X2344" s="218"/>
      <c r="AB2344" t="e">
        <v>#N/A</v>
      </c>
    </row>
    <row r="2345">
      <c r="A2345" s="218"/>
      <c r="C2345" s="218"/>
      <c r="F2345" s="457"/>
      <c r="G2345" s="218"/>
      <c r="H2345" s="218"/>
      <c r="I2345" s="218"/>
      <c r="J2345" s="218"/>
      <c r="K2345" s="218"/>
      <c r="L2345" s="218"/>
      <c r="M2345" s="218"/>
      <c r="N2345" s="218"/>
      <c r="O2345" s="218"/>
      <c r="P2345" s="218"/>
      <c r="Q2345" s="222"/>
      <c r="R2345" s="222"/>
      <c r="S2345" s="218"/>
      <c r="U2345" s="218"/>
      <c r="X2345" s="218"/>
      <c r="AB2345" t="e">
        <v>#N/A</v>
      </c>
    </row>
    <row r="2346">
      <c r="A2346" s="218"/>
      <c r="C2346" s="218"/>
      <c r="F2346" s="457"/>
      <c r="G2346" s="218"/>
      <c r="H2346" s="218"/>
      <c r="I2346" s="218"/>
      <c r="J2346" s="218"/>
      <c r="K2346" s="218"/>
      <c r="L2346" s="218"/>
      <c r="M2346" s="218"/>
      <c r="N2346" s="218"/>
      <c r="O2346" s="218"/>
      <c r="P2346" s="218"/>
      <c r="Q2346" s="222"/>
      <c r="R2346" s="222"/>
      <c r="S2346" s="218"/>
      <c r="U2346" s="218"/>
      <c r="X2346" s="218"/>
      <c r="AB2346" t="e">
        <v>#N/A</v>
      </c>
    </row>
    <row r="2347">
      <c r="A2347" s="218"/>
      <c r="C2347" s="218"/>
      <c r="F2347" s="457"/>
      <c r="G2347" s="218"/>
      <c r="H2347" s="218"/>
      <c r="I2347" s="218"/>
      <c r="J2347" s="218"/>
      <c r="K2347" s="218"/>
      <c r="L2347" s="218"/>
      <c r="M2347" s="218"/>
      <c r="N2347" s="218"/>
      <c r="O2347" s="218"/>
      <c r="P2347" s="218"/>
      <c r="Q2347" s="222"/>
      <c r="R2347" s="222"/>
      <c r="S2347" s="218"/>
      <c r="U2347" s="218"/>
      <c r="X2347" s="218"/>
      <c r="AB2347" t="e">
        <v>#N/A</v>
      </c>
    </row>
    <row r="2348">
      <c r="A2348" s="218"/>
      <c r="C2348" s="218"/>
      <c r="F2348" s="457"/>
      <c r="G2348" s="218"/>
      <c r="H2348" s="218"/>
      <c r="I2348" s="218"/>
      <c r="J2348" s="218"/>
      <c r="K2348" s="218"/>
      <c r="L2348" s="218"/>
      <c r="M2348" s="218"/>
      <c r="N2348" s="218"/>
      <c r="O2348" s="218"/>
      <c r="P2348" s="218"/>
      <c r="Q2348" s="222"/>
      <c r="R2348" s="222"/>
      <c r="S2348" s="218"/>
      <c r="U2348" s="218"/>
      <c r="X2348" s="218"/>
      <c r="AB2348" t="e">
        <v>#N/A</v>
      </c>
    </row>
    <row r="2349">
      <c r="A2349" s="218"/>
      <c r="C2349" s="218"/>
      <c r="F2349" s="457"/>
      <c r="G2349" s="218"/>
      <c r="H2349" s="218"/>
      <c r="I2349" s="218"/>
      <c r="J2349" s="218"/>
      <c r="K2349" s="218"/>
      <c r="L2349" s="218"/>
      <c r="M2349" s="218"/>
      <c r="N2349" s="218"/>
      <c r="O2349" s="218"/>
      <c r="P2349" s="218"/>
      <c r="Q2349" s="222"/>
      <c r="R2349" s="222"/>
      <c r="S2349" s="218"/>
      <c r="U2349" s="218"/>
      <c r="X2349" s="218"/>
      <c r="AB2349" t="e">
        <v>#N/A</v>
      </c>
    </row>
    <row r="2350">
      <c r="A2350" s="218"/>
      <c r="C2350" s="218"/>
      <c r="F2350" s="457"/>
      <c r="G2350" s="218"/>
      <c r="H2350" s="218"/>
      <c r="I2350" s="218"/>
      <c r="J2350" s="218"/>
      <c r="K2350" s="218"/>
      <c r="L2350" s="218"/>
      <c r="M2350" s="218"/>
      <c r="N2350" s="218"/>
      <c r="O2350" s="218"/>
      <c r="P2350" s="218"/>
      <c r="Q2350" s="222"/>
      <c r="R2350" s="222"/>
      <c r="S2350" s="218"/>
      <c r="U2350" s="218"/>
      <c r="X2350" s="218"/>
      <c r="AB2350" t="e">
        <v>#N/A</v>
      </c>
    </row>
    <row r="2351">
      <c r="A2351" s="218"/>
      <c r="C2351" s="218"/>
      <c r="F2351" s="457"/>
      <c r="G2351" s="218"/>
      <c r="H2351" s="218"/>
      <c r="I2351" s="218"/>
      <c r="J2351" s="218"/>
      <c r="K2351" s="218"/>
      <c r="L2351" s="218"/>
      <c r="M2351" s="218"/>
      <c r="N2351" s="218"/>
      <c r="O2351" s="218"/>
      <c r="P2351" s="218"/>
      <c r="Q2351" s="222"/>
      <c r="R2351" s="222"/>
      <c r="S2351" s="218"/>
      <c r="U2351" s="218"/>
      <c r="X2351" s="218"/>
      <c r="AB2351" t="e">
        <v>#N/A</v>
      </c>
    </row>
    <row r="2352">
      <c r="A2352" s="218"/>
      <c r="C2352" s="218"/>
      <c r="F2352" s="457"/>
      <c r="G2352" s="218"/>
      <c r="H2352" s="218"/>
      <c r="I2352" s="218"/>
      <c r="J2352" s="218"/>
      <c r="K2352" s="218"/>
      <c r="L2352" s="218"/>
      <c r="M2352" s="218"/>
      <c r="N2352" s="218"/>
      <c r="O2352" s="218"/>
      <c r="P2352" s="218"/>
      <c r="Q2352" s="222"/>
      <c r="R2352" s="222"/>
      <c r="S2352" s="218"/>
      <c r="U2352" s="218"/>
      <c r="X2352" s="218"/>
      <c r="AB2352" t="e">
        <v>#N/A</v>
      </c>
    </row>
    <row r="2353">
      <c r="A2353" s="218"/>
      <c r="C2353" s="218"/>
      <c r="F2353" s="457"/>
      <c r="G2353" s="218"/>
      <c r="H2353" s="218"/>
      <c r="I2353" s="218"/>
      <c r="J2353" s="218"/>
      <c r="K2353" s="218"/>
      <c r="L2353" s="218"/>
      <c r="M2353" s="218"/>
      <c r="N2353" s="218"/>
      <c r="O2353" s="218"/>
      <c r="P2353" s="218"/>
      <c r="Q2353" s="222"/>
      <c r="R2353" s="222"/>
      <c r="S2353" s="218"/>
      <c r="U2353" s="218"/>
      <c r="X2353" s="218"/>
      <c r="AB2353" t="e">
        <v>#N/A</v>
      </c>
    </row>
    <row r="2354">
      <c r="A2354" s="218"/>
      <c r="C2354" s="218"/>
      <c r="F2354" s="457"/>
      <c r="G2354" s="218"/>
      <c r="H2354" s="218"/>
      <c r="I2354" s="218"/>
      <c r="J2354" s="218"/>
      <c r="K2354" s="218"/>
      <c r="L2354" s="218"/>
      <c r="M2354" s="218"/>
      <c r="N2354" s="218"/>
      <c r="O2354" s="218"/>
      <c r="P2354" s="218"/>
      <c r="Q2354" s="222"/>
      <c r="R2354" s="222"/>
      <c r="S2354" s="218"/>
      <c r="U2354" s="218"/>
      <c r="X2354" s="218"/>
      <c r="AB2354" t="e">
        <v>#N/A</v>
      </c>
    </row>
    <row r="2355">
      <c r="A2355" s="218"/>
      <c r="C2355" s="218"/>
      <c r="F2355" s="457"/>
      <c r="G2355" s="218"/>
      <c r="H2355" s="218"/>
      <c r="I2355" s="218"/>
      <c r="J2355" s="218"/>
      <c r="K2355" s="218"/>
      <c r="L2355" s="218"/>
      <c r="M2355" s="218"/>
      <c r="N2355" s="218"/>
      <c r="O2355" s="218"/>
      <c r="P2355" s="218"/>
      <c r="Q2355" s="222"/>
      <c r="R2355" s="222"/>
      <c r="S2355" s="218"/>
      <c r="U2355" s="218"/>
      <c r="X2355" s="218"/>
      <c r="AB2355" t="e">
        <v>#N/A</v>
      </c>
    </row>
    <row r="2356">
      <c r="A2356" s="218"/>
      <c r="C2356" s="218"/>
      <c r="F2356" s="457"/>
      <c r="G2356" s="218"/>
      <c r="H2356" s="218"/>
      <c r="I2356" s="218"/>
      <c r="J2356" s="218"/>
      <c r="K2356" s="218"/>
      <c r="L2356" s="218"/>
      <c r="M2356" s="218"/>
      <c r="N2356" s="218"/>
      <c r="O2356" s="218"/>
      <c r="P2356" s="218"/>
      <c r="Q2356" s="222"/>
      <c r="R2356" s="222"/>
      <c r="S2356" s="218"/>
      <c r="U2356" s="218"/>
      <c r="X2356" s="218"/>
      <c r="AB2356" t="e">
        <v>#N/A</v>
      </c>
    </row>
    <row r="2357">
      <c r="A2357" s="218"/>
      <c r="C2357" s="218"/>
      <c r="F2357" s="457"/>
      <c r="G2357" s="218"/>
      <c r="H2357" s="218"/>
      <c r="I2357" s="218"/>
      <c r="J2357" s="218"/>
      <c r="K2357" s="218"/>
      <c r="L2357" s="218"/>
      <c r="M2357" s="218"/>
      <c r="N2357" s="218"/>
      <c r="O2357" s="218"/>
      <c r="P2357" s="218"/>
      <c r="Q2357" s="222"/>
      <c r="R2357" s="222"/>
      <c r="S2357" s="218"/>
      <c r="U2357" s="218"/>
      <c r="X2357" s="218"/>
      <c r="AB2357" t="e">
        <v>#N/A</v>
      </c>
    </row>
    <row r="2358">
      <c r="A2358" s="218"/>
      <c r="C2358" s="218"/>
      <c r="F2358" s="457"/>
      <c r="G2358" s="218"/>
      <c r="H2358" s="218"/>
      <c r="I2358" s="218"/>
      <c r="J2358" s="218"/>
      <c r="K2358" s="218"/>
      <c r="L2358" s="218"/>
      <c r="M2358" s="218"/>
      <c r="N2358" s="218"/>
      <c r="O2358" s="218"/>
      <c r="P2358" s="218"/>
      <c r="Q2358" s="222"/>
      <c r="R2358" s="222"/>
      <c r="S2358" s="218"/>
      <c r="U2358" s="218"/>
      <c r="X2358" s="218"/>
      <c r="AB2358" t="e">
        <v>#N/A</v>
      </c>
    </row>
    <row r="2359">
      <c r="A2359" s="218"/>
      <c r="C2359" s="218"/>
      <c r="F2359" s="457"/>
      <c r="G2359" s="218"/>
      <c r="H2359" s="218"/>
      <c r="I2359" s="218"/>
      <c r="J2359" s="218"/>
      <c r="K2359" s="218"/>
      <c r="L2359" s="218"/>
      <c r="M2359" s="218"/>
      <c r="N2359" s="218"/>
      <c r="O2359" s="218"/>
      <c r="P2359" s="218"/>
      <c r="Q2359" s="222"/>
      <c r="R2359" s="222"/>
      <c r="S2359" s="218"/>
      <c r="U2359" s="218"/>
      <c r="X2359" s="218"/>
      <c r="AB2359" t="e">
        <v>#N/A</v>
      </c>
    </row>
    <row r="2360">
      <c r="A2360" s="218"/>
      <c r="C2360" s="218"/>
      <c r="F2360" s="457"/>
      <c r="G2360" s="218"/>
      <c r="H2360" s="218"/>
      <c r="I2360" s="218"/>
      <c r="J2360" s="218"/>
      <c r="K2360" s="218"/>
      <c r="L2360" s="218"/>
      <c r="M2360" s="218"/>
      <c r="N2360" s="218"/>
      <c r="O2360" s="218"/>
      <c r="P2360" s="218"/>
      <c r="Q2360" s="222"/>
      <c r="R2360" s="222"/>
      <c r="S2360" s="218"/>
      <c r="U2360" s="218"/>
      <c r="X2360" s="218"/>
      <c r="AB2360" t="e">
        <v>#N/A</v>
      </c>
    </row>
    <row r="2361">
      <c r="A2361" s="218"/>
      <c r="C2361" s="218"/>
      <c r="F2361" s="457"/>
      <c r="G2361" s="218"/>
      <c r="H2361" s="218"/>
      <c r="I2361" s="218"/>
      <c r="J2361" s="218"/>
      <c r="K2361" s="218"/>
      <c r="L2361" s="218"/>
      <c r="M2361" s="218"/>
      <c r="N2361" s="218"/>
      <c r="O2361" s="218"/>
      <c r="P2361" s="218"/>
      <c r="Q2361" s="222"/>
      <c r="R2361" s="222"/>
      <c r="S2361" s="218"/>
      <c r="U2361" s="218"/>
      <c r="X2361" s="218"/>
      <c r="AB2361" t="e">
        <v>#N/A</v>
      </c>
    </row>
    <row r="2362">
      <c r="A2362" s="218"/>
      <c r="C2362" s="218"/>
      <c r="F2362" s="457"/>
      <c r="G2362" s="218"/>
      <c r="H2362" s="218"/>
      <c r="I2362" s="218"/>
      <c r="J2362" s="218"/>
      <c r="K2362" s="218"/>
      <c r="L2362" s="218"/>
      <c r="M2362" s="218"/>
      <c r="N2362" s="218"/>
      <c r="O2362" s="218"/>
      <c r="P2362" s="218"/>
      <c r="Q2362" s="222"/>
      <c r="R2362" s="222"/>
      <c r="S2362" s="218"/>
      <c r="U2362" s="218"/>
      <c r="X2362" s="218"/>
      <c r="AB2362" t="e">
        <v>#N/A</v>
      </c>
    </row>
    <row r="2363">
      <c r="A2363" s="218"/>
      <c r="C2363" s="218"/>
      <c r="F2363" s="457"/>
      <c r="G2363" s="218"/>
      <c r="H2363" s="218"/>
      <c r="I2363" s="218"/>
      <c r="J2363" s="218"/>
      <c r="K2363" s="218"/>
      <c r="L2363" s="218"/>
      <c r="M2363" s="218"/>
      <c r="N2363" s="218"/>
      <c r="O2363" s="218"/>
      <c r="P2363" s="218"/>
      <c r="Q2363" s="222"/>
      <c r="R2363" s="222"/>
      <c r="S2363" s="218"/>
      <c r="U2363" s="218"/>
      <c r="X2363" s="218"/>
      <c r="AB2363" t="e">
        <v>#N/A</v>
      </c>
    </row>
    <row r="2364">
      <c r="A2364" s="218"/>
      <c r="C2364" s="218"/>
      <c r="F2364" s="457"/>
      <c r="G2364" s="218"/>
      <c r="H2364" s="218"/>
      <c r="I2364" s="218"/>
      <c r="J2364" s="218"/>
      <c r="K2364" s="218"/>
      <c r="L2364" s="218"/>
      <c r="M2364" s="218"/>
      <c r="N2364" s="218"/>
      <c r="O2364" s="218"/>
      <c r="P2364" s="218"/>
      <c r="Q2364" s="222"/>
      <c r="R2364" s="222"/>
      <c r="S2364" s="218"/>
      <c r="U2364" s="218"/>
      <c r="X2364" s="218"/>
      <c r="AB2364" t="e">
        <v>#N/A</v>
      </c>
    </row>
    <row r="2365">
      <c r="A2365" s="218"/>
      <c r="C2365" s="218"/>
      <c r="F2365" s="457"/>
      <c r="G2365" s="218"/>
      <c r="H2365" s="218"/>
      <c r="I2365" s="218"/>
      <c r="J2365" s="218"/>
      <c r="K2365" s="218"/>
      <c r="L2365" s="218"/>
      <c r="M2365" s="218"/>
      <c r="N2365" s="218"/>
      <c r="O2365" s="218"/>
      <c r="P2365" s="218"/>
      <c r="Q2365" s="222"/>
      <c r="R2365" s="222"/>
      <c r="S2365" s="218"/>
      <c r="U2365" s="218"/>
      <c r="X2365" s="218"/>
      <c r="AB2365" t="e">
        <v>#N/A</v>
      </c>
    </row>
    <row r="2366">
      <c r="A2366" s="218"/>
      <c r="C2366" s="218"/>
      <c r="F2366" s="457"/>
      <c r="G2366" s="218"/>
      <c r="H2366" s="218"/>
      <c r="I2366" s="218"/>
      <c r="J2366" s="218"/>
      <c r="K2366" s="218"/>
      <c r="L2366" s="218"/>
      <c r="M2366" s="218"/>
      <c r="N2366" s="218"/>
      <c r="O2366" s="218"/>
      <c r="P2366" s="218"/>
      <c r="Q2366" s="222"/>
      <c r="R2366" s="222"/>
      <c r="S2366" s="218"/>
      <c r="U2366" s="218"/>
      <c r="X2366" s="218"/>
      <c r="AB2366" t="e">
        <v>#N/A</v>
      </c>
    </row>
    <row r="2367">
      <c r="A2367" s="218"/>
      <c r="C2367" s="218"/>
      <c r="F2367" s="457"/>
      <c r="G2367" s="218"/>
      <c r="H2367" s="218"/>
      <c r="I2367" s="218"/>
      <c r="J2367" s="218"/>
      <c r="K2367" s="218"/>
      <c r="L2367" s="218"/>
      <c r="M2367" s="218"/>
      <c r="N2367" s="218"/>
      <c r="O2367" s="218"/>
      <c r="P2367" s="218"/>
      <c r="Q2367" s="222"/>
      <c r="R2367" s="222"/>
      <c r="S2367" s="218"/>
      <c r="U2367" s="218"/>
      <c r="X2367" s="218"/>
      <c r="AB2367" t="e">
        <v>#N/A</v>
      </c>
    </row>
    <row r="2368">
      <c r="A2368" s="218"/>
      <c r="C2368" s="218"/>
      <c r="F2368" s="457"/>
      <c r="G2368" s="218"/>
      <c r="H2368" s="218"/>
      <c r="I2368" s="218"/>
      <c r="J2368" s="218"/>
      <c r="K2368" s="218"/>
      <c r="L2368" s="218"/>
      <c r="M2368" s="218"/>
      <c r="N2368" s="218"/>
      <c r="O2368" s="218"/>
      <c r="P2368" s="218"/>
      <c r="Q2368" s="222"/>
      <c r="R2368" s="222"/>
      <c r="S2368" s="218"/>
      <c r="U2368" s="218"/>
      <c r="X2368" s="218"/>
      <c r="AB2368" t="e">
        <v>#N/A</v>
      </c>
    </row>
    <row r="2369">
      <c r="A2369" s="218"/>
      <c r="C2369" s="218"/>
      <c r="F2369" s="457"/>
      <c r="G2369" s="218"/>
      <c r="H2369" s="218"/>
      <c r="I2369" s="218"/>
      <c r="J2369" s="218"/>
      <c r="K2369" s="218"/>
      <c r="L2369" s="218"/>
      <c r="M2369" s="218"/>
      <c r="N2369" s="218"/>
      <c r="O2369" s="218"/>
      <c r="P2369" s="218"/>
      <c r="Q2369" s="222"/>
      <c r="R2369" s="222"/>
      <c r="S2369" s="218"/>
      <c r="U2369" s="218"/>
      <c r="X2369" s="218"/>
      <c r="AB2369" t="e">
        <v>#N/A</v>
      </c>
    </row>
    <row r="2370">
      <c r="A2370" s="218"/>
      <c r="C2370" s="218"/>
      <c r="F2370" s="457"/>
      <c r="G2370" s="218"/>
      <c r="H2370" s="218"/>
      <c r="I2370" s="218"/>
      <c r="J2370" s="218"/>
      <c r="K2370" s="218"/>
      <c r="L2370" s="218"/>
      <c r="M2370" s="218"/>
      <c r="N2370" s="218"/>
      <c r="O2370" s="218"/>
      <c r="P2370" s="218"/>
      <c r="Q2370" s="222"/>
      <c r="R2370" s="222"/>
      <c r="S2370" s="218"/>
      <c r="U2370" s="218"/>
      <c r="X2370" s="218"/>
      <c r="AB2370" t="e">
        <v>#N/A</v>
      </c>
    </row>
    <row r="2371">
      <c r="A2371" s="218"/>
      <c r="C2371" s="218"/>
      <c r="F2371" s="457"/>
      <c r="G2371" s="218"/>
      <c r="H2371" s="218"/>
      <c r="I2371" s="218"/>
      <c r="J2371" s="218"/>
      <c r="K2371" s="218"/>
      <c r="L2371" s="218"/>
      <c r="M2371" s="218"/>
      <c r="N2371" s="218"/>
      <c r="O2371" s="218"/>
      <c r="P2371" s="218"/>
      <c r="Q2371" s="222"/>
      <c r="R2371" s="222"/>
      <c r="S2371" s="218"/>
      <c r="U2371" s="218"/>
      <c r="X2371" s="218"/>
      <c r="AB2371" t="e">
        <v>#N/A</v>
      </c>
    </row>
    <row r="2372">
      <c r="A2372" s="218"/>
      <c r="C2372" s="218"/>
      <c r="F2372" s="457"/>
      <c r="G2372" s="218"/>
      <c r="H2372" s="218"/>
      <c r="I2372" s="218"/>
      <c r="J2372" s="218"/>
      <c r="K2372" s="218"/>
      <c r="L2372" s="218"/>
      <c r="M2372" s="218"/>
      <c r="N2372" s="218"/>
      <c r="O2372" s="218"/>
      <c r="P2372" s="218"/>
      <c r="Q2372" s="222"/>
      <c r="R2372" s="222"/>
      <c r="S2372" s="218"/>
      <c r="U2372" s="218"/>
      <c r="X2372" s="218"/>
      <c r="AB2372" t="e">
        <v>#N/A</v>
      </c>
    </row>
    <row r="2373">
      <c r="A2373" s="218"/>
      <c r="C2373" s="218"/>
      <c r="F2373" s="457"/>
      <c r="G2373" s="218"/>
      <c r="H2373" s="218"/>
      <c r="I2373" s="218"/>
      <c r="J2373" s="218"/>
      <c r="K2373" s="218"/>
      <c r="L2373" s="218"/>
      <c r="M2373" s="218"/>
      <c r="N2373" s="218"/>
      <c r="O2373" s="218"/>
      <c r="P2373" s="218"/>
      <c r="Q2373" s="222"/>
      <c r="R2373" s="222"/>
      <c r="S2373" s="218"/>
      <c r="U2373" s="218"/>
      <c r="X2373" s="218"/>
      <c r="AB2373" t="e">
        <v>#N/A</v>
      </c>
    </row>
    <row r="2374">
      <c r="A2374" s="218"/>
      <c r="C2374" s="218"/>
      <c r="F2374" s="457"/>
      <c r="G2374" s="218"/>
      <c r="H2374" s="218"/>
      <c r="I2374" s="218"/>
      <c r="J2374" s="218"/>
      <c r="K2374" s="218"/>
      <c r="L2374" s="218"/>
      <c r="M2374" s="218"/>
      <c r="N2374" s="218"/>
      <c r="O2374" s="218"/>
      <c r="P2374" s="218"/>
      <c r="Q2374" s="222"/>
      <c r="R2374" s="222"/>
      <c r="S2374" s="218"/>
      <c r="U2374" s="218"/>
      <c r="X2374" s="218"/>
      <c r="AB2374" t="e">
        <v>#N/A</v>
      </c>
    </row>
    <row r="2375">
      <c r="A2375" s="218"/>
      <c r="C2375" s="218"/>
      <c r="F2375" s="457"/>
      <c r="G2375" s="218"/>
      <c r="H2375" s="218"/>
      <c r="I2375" s="218"/>
      <c r="J2375" s="218"/>
      <c r="K2375" s="218"/>
      <c r="L2375" s="218"/>
      <c r="M2375" s="218"/>
      <c r="N2375" s="218"/>
      <c r="O2375" s="218"/>
      <c r="P2375" s="218"/>
      <c r="Q2375" s="222"/>
      <c r="R2375" s="222"/>
      <c r="S2375" s="218"/>
      <c r="U2375" s="218"/>
      <c r="X2375" s="218"/>
      <c r="AB2375" t="e">
        <v>#N/A</v>
      </c>
    </row>
    <row r="2376">
      <c r="A2376" s="218"/>
      <c r="C2376" s="218"/>
      <c r="F2376" s="457"/>
      <c r="G2376" s="218"/>
      <c r="H2376" s="218"/>
      <c r="I2376" s="218"/>
      <c r="J2376" s="218"/>
      <c r="K2376" s="218"/>
      <c r="L2376" s="218"/>
      <c r="M2376" s="218"/>
      <c r="N2376" s="218"/>
      <c r="O2376" s="218"/>
      <c r="P2376" s="218"/>
      <c r="Q2376" s="222"/>
      <c r="R2376" s="222"/>
      <c r="S2376" s="218"/>
      <c r="U2376" s="218"/>
      <c r="X2376" s="218"/>
      <c r="AB2376" t="e">
        <v>#N/A</v>
      </c>
    </row>
    <row r="2377">
      <c r="A2377" s="218"/>
      <c r="C2377" s="218"/>
      <c r="F2377" s="457"/>
      <c r="G2377" s="218"/>
      <c r="H2377" s="218"/>
      <c r="I2377" s="218"/>
      <c r="J2377" s="218"/>
      <c r="K2377" s="218"/>
      <c r="L2377" s="218"/>
      <c r="M2377" s="218"/>
      <c r="N2377" s="218"/>
      <c r="O2377" s="218"/>
      <c r="P2377" s="218"/>
      <c r="Q2377" s="222"/>
      <c r="R2377" s="222"/>
      <c r="S2377" s="218"/>
      <c r="U2377" s="218"/>
      <c r="X2377" s="218"/>
      <c r="AB2377" t="e">
        <v>#N/A</v>
      </c>
    </row>
    <row r="2378">
      <c r="A2378" s="218"/>
      <c r="C2378" s="218"/>
      <c r="F2378" s="457"/>
      <c r="G2378" s="218"/>
      <c r="H2378" s="218"/>
      <c r="I2378" s="218"/>
      <c r="J2378" s="218"/>
      <c r="K2378" s="218"/>
      <c r="L2378" s="218"/>
      <c r="M2378" s="218"/>
      <c r="N2378" s="218"/>
      <c r="O2378" s="218"/>
      <c r="P2378" s="218"/>
      <c r="Q2378" s="222"/>
      <c r="R2378" s="222"/>
      <c r="S2378" s="218"/>
      <c r="U2378" s="218"/>
      <c r="X2378" s="218"/>
      <c r="AB2378" t="e">
        <v>#N/A</v>
      </c>
    </row>
    <row r="2379">
      <c r="A2379" s="218"/>
      <c r="C2379" s="218"/>
      <c r="F2379" s="457"/>
      <c r="G2379" s="218"/>
      <c r="H2379" s="218"/>
      <c r="I2379" s="218"/>
      <c r="J2379" s="218"/>
      <c r="K2379" s="218"/>
      <c r="L2379" s="218"/>
      <c r="M2379" s="218"/>
      <c r="N2379" s="218"/>
      <c r="O2379" s="218"/>
      <c r="P2379" s="218"/>
      <c r="Q2379" s="222"/>
      <c r="R2379" s="222"/>
      <c r="S2379" s="218"/>
      <c r="U2379" s="218"/>
      <c r="X2379" s="218"/>
      <c r="AB2379" t="e">
        <v>#N/A</v>
      </c>
    </row>
    <row r="2380">
      <c r="A2380" s="218"/>
      <c r="C2380" s="218"/>
      <c r="F2380" s="457"/>
      <c r="G2380" s="218"/>
      <c r="H2380" s="218"/>
      <c r="I2380" s="218"/>
      <c r="J2380" s="218"/>
      <c r="K2380" s="218"/>
      <c r="L2380" s="218"/>
      <c r="M2380" s="218"/>
      <c r="N2380" s="218"/>
      <c r="O2380" s="218"/>
      <c r="P2380" s="218"/>
      <c r="Q2380" s="222"/>
      <c r="R2380" s="222"/>
      <c r="S2380" s="218"/>
      <c r="U2380" s="218"/>
      <c r="X2380" s="218"/>
      <c r="AB2380" t="e">
        <v>#N/A</v>
      </c>
    </row>
    <row r="2381">
      <c r="A2381" s="218"/>
      <c r="C2381" s="218"/>
      <c r="F2381" s="457"/>
      <c r="G2381" s="218"/>
      <c r="H2381" s="218"/>
      <c r="I2381" s="218"/>
      <c r="J2381" s="218"/>
      <c r="K2381" s="218"/>
      <c r="L2381" s="218"/>
      <c r="M2381" s="218"/>
      <c r="N2381" s="218"/>
      <c r="O2381" s="218"/>
      <c r="P2381" s="218"/>
      <c r="Q2381" s="222"/>
      <c r="R2381" s="222"/>
      <c r="S2381" s="218"/>
      <c r="U2381" s="218"/>
      <c r="X2381" s="218"/>
      <c r="AB2381" t="e">
        <v>#N/A</v>
      </c>
    </row>
    <row r="2382">
      <c r="A2382" s="218"/>
      <c r="C2382" s="218"/>
      <c r="F2382" s="457"/>
      <c r="G2382" s="218"/>
      <c r="H2382" s="218"/>
      <c r="I2382" s="218"/>
      <c r="J2382" s="218"/>
      <c r="K2382" s="218"/>
      <c r="L2382" s="218"/>
      <c r="M2382" s="218"/>
      <c r="N2382" s="218"/>
      <c r="O2382" s="218"/>
      <c r="P2382" s="218"/>
      <c r="Q2382" s="222"/>
      <c r="R2382" s="222"/>
      <c r="S2382" s="218"/>
      <c r="U2382" s="218"/>
      <c r="X2382" s="218"/>
      <c r="AB2382" t="e">
        <v>#N/A</v>
      </c>
    </row>
    <row r="2383">
      <c r="A2383" s="218"/>
      <c r="C2383" s="218"/>
      <c r="F2383" s="457"/>
      <c r="G2383" s="218"/>
      <c r="H2383" s="218"/>
      <c r="I2383" s="218"/>
      <c r="J2383" s="218"/>
      <c r="K2383" s="218"/>
      <c r="L2383" s="218"/>
      <c r="M2383" s="218"/>
      <c r="N2383" s="218"/>
      <c r="O2383" s="218"/>
      <c r="P2383" s="218"/>
      <c r="Q2383" s="222"/>
      <c r="R2383" s="222"/>
      <c r="S2383" s="218"/>
      <c r="U2383" s="218"/>
      <c r="X2383" s="218"/>
      <c r="AB2383" t="e">
        <v>#N/A</v>
      </c>
    </row>
    <row r="2384">
      <c r="A2384" s="218"/>
      <c r="C2384" s="218"/>
      <c r="F2384" s="457"/>
      <c r="G2384" s="218"/>
      <c r="H2384" s="218"/>
      <c r="I2384" s="218"/>
      <c r="J2384" s="218"/>
      <c r="K2384" s="218"/>
      <c r="L2384" s="218"/>
      <c r="M2384" s="218"/>
      <c r="N2384" s="218"/>
      <c r="O2384" s="218"/>
      <c r="P2384" s="218"/>
      <c r="Q2384" s="222"/>
      <c r="R2384" s="222"/>
      <c r="S2384" s="218"/>
      <c r="U2384" s="218"/>
      <c r="X2384" s="218"/>
      <c r="AB2384" t="e">
        <v>#N/A</v>
      </c>
    </row>
    <row r="2385">
      <c r="A2385" s="218"/>
      <c r="C2385" s="218"/>
      <c r="F2385" s="457"/>
      <c r="G2385" s="218"/>
      <c r="H2385" s="218"/>
      <c r="I2385" s="218"/>
      <c r="J2385" s="218"/>
      <c r="K2385" s="218"/>
      <c r="L2385" s="218"/>
      <c r="M2385" s="218"/>
      <c r="N2385" s="218"/>
      <c r="O2385" s="218"/>
      <c r="P2385" s="218"/>
      <c r="Q2385" s="222"/>
      <c r="R2385" s="222"/>
      <c r="S2385" s="218"/>
      <c r="U2385" s="218"/>
      <c r="X2385" s="218"/>
      <c r="AB2385" t="e">
        <v>#N/A</v>
      </c>
    </row>
    <row r="2386">
      <c r="A2386" s="218"/>
      <c r="C2386" s="218"/>
      <c r="F2386" s="457"/>
      <c r="G2386" s="218"/>
      <c r="H2386" s="218"/>
      <c r="I2386" s="218"/>
      <c r="J2386" s="218"/>
      <c r="K2386" s="218"/>
      <c r="L2386" s="218"/>
      <c r="M2386" s="218"/>
      <c r="N2386" s="218"/>
      <c r="O2386" s="218"/>
      <c r="P2386" s="218"/>
      <c r="Q2386" s="222"/>
      <c r="R2386" s="222"/>
      <c r="S2386" s="218"/>
      <c r="U2386" s="218"/>
      <c r="X2386" s="218"/>
      <c r="AB2386" t="e">
        <v>#N/A</v>
      </c>
    </row>
    <row r="2387">
      <c r="A2387" s="218"/>
      <c r="C2387" s="218"/>
      <c r="F2387" s="457"/>
      <c r="G2387" s="218"/>
      <c r="H2387" s="218"/>
      <c r="I2387" s="218"/>
      <c r="J2387" s="218"/>
      <c r="K2387" s="218"/>
      <c r="L2387" s="218"/>
      <c r="M2387" s="218"/>
      <c r="N2387" s="218"/>
      <c r="O2387" s="218"/>
      <c r="P2387" s="218"/>
      <c r="Q2387" s="222"/>
      <c r="R2387" s="222"/>
      <c r="S2387" s="218"/>
      <c r="U2387" s="218"/>
      <c r="X2387" s="218"/>
      <c r="AB2387" t="e">
        <v>#N/A</v>
      </c>
    </row>
    <row r="2388">
      <c r="A2388" s="218"/>
      <c r="C2388" s="218"/>
      <c r="F2388" s="457"/>
      <c r="G2388" s="218"/>
      <c r="H2388" s="218"/>
      <c r="I2388" s="218"/>
      <c r="J2388" s="218"/>
      <c r="K2388" s="218"/>
      <c r="L2388" s="218"/>
      <c r="M2388" s="218"/>
      <c r="N2388" s="218"/>
      <c r="O2388" s="218"/>
      <c r="P2388" s="218"/>
      <c r="Q2388" s="222"/>
      <c r="R2388" s="222"/>
      <c r="S2388" s="218"/>
      <c r="U2388" s="218"/>
      <c r="X2388" s="218"/>
      <c r="AB2388" t="e">
        <v>#N/A</v>
      </c>
    </row>
    <row r="2389">
      <c r="A2389" s="218"/>
      <c r="C2389" s="218"/>
      <c r="F2389" s="457"/>
      <c r="G2389" s="218"/>
      <c r="H2389" s="218"/>
      <c r="I2389" s="218"/>
      <c r="J2389" s="218"/>
      <c r="K2389" s="218"/>
      <c r="L2389" s="218"/>
      <c r="M2389" s="218"/>
      <c r="N2389" s="218"/>
      <c r="O2389" s="218"/>
      <c r="P2389" s="218"/>
      <c r="Q2389" s="222"/>
      <c r="R2389" s="222"/>
      <c r="S2389" s="218"/>
      <c r="U2389" s="218"/>
      <c r="X2389" s="218"/>
      <c r="AB2389" t="e">
        <v>#N/A</v>
      </c>
    </row>
    <row r="2390">
      <c r="A2390" s="218"/>
      <c r="C2390" s="218"/>
      <c r="F2390" s="457"/>
      <c r="G2390" s="218"/>
      <c r="H2390" s="218"/>
      <c r="I2390" s="218"/>
      <c r="J2390" s="218"/>
      <c r="K2390" s="218"/>
      <c r="L2390" s="218"/>
      <c r="M2390" s="218"/>
      <c r="N2390" s="218"/>
      <c r="O2390" s="218"/>
      <c r="P2390" s="218"/>
      <c r="Q2390" s="222"/>
      <c r="R2390" s="222"/>
      <c r="S2390" s="218"/>
      <c r="U2390" s="218"/>
      <c r="X2390" s="218"/>
      <c r="AB2390" t="e">
        <v>#N/A</v>
      </c>
    </row>
    <row r="2391">
      <c r="A2391" s="218"/>
      <c r="C2391" s="218"/>
      <c r="F2391" s="457"/>
      <c r="G2391" s="218"/>
      <c r="H2391" s="218"/>
      <c r="I2391" s="218"/>
      <c r="J2391" s="218"/>
      <c r="K2391" s="218"/>
      <c r="L2391" s="218"/>
      <c r="M2391" s="218"/>
      <c r="N2391" s="218"/>
      <c r="O2391" s="218"/>
      <c r="P2391" s="218"/>
      <c r="Q2391" s="222"/>
      <c r="R2391" s="222"/>
      <c r="S2391" s="218"/>
      <c r="U2391" s="218"/>
      <c r="X2391" s="218"/>
      <c r="AB2391" t="e">
        <v>#N/A</v>
      </c>
    </row>
    <row r="2392">
      <c r="A2392" s="218"/>
      <c r="C2392" s="218"/>
      <c r="F2392" s="457"/>
      <c r="G2392" s="218"/>
      <c r="H2392" s="218"/>
      <c r="I2392" s="218"/>
      <c r="J2392" s="218"/>
      <c r="K2392" s="218"/>
      <c r="L2392" s="218"/>
      <c r="M2392" s="218"/>
      <c r="N2392" s="218"/>
      <c r="O2392" s="218"/>
      <c r="P2392" s="218"/>
      <c r="Q2392" s="222"/>
      <c r="R2392" s="222"/>
      <c r="S2392" s="218"/>
      <c r="U2392" s="218"/>
      <c r="X2392" s="218"/>
      <c r="AB2392" t="e">
        <v>#N/A</v>
      </c>
    </row>
    <row r="2393">
      <c r="A2393" s="218"/>
      <c r="C2393" s="218"/>
      <c r="F2393" s="457"/>
      <c r="G2393" s="218"/>
      <c r="H2393" s="218"/>
      <c r="I2393" s="218"/>
      <c r="J2393" s="218"/>
      <c r="K2393" s="218"/>
      <c r="L2393" s="218"/>
      <c r="M2393" s="218"/>
      <c r="N2393" s="218"/>
      <c r="O2393" s="218"/>
      <c r="P2393" s="218"/>
      <c r="Q2393" s="222"/>
      <c r="R2393" s="222"/>
      <c r="S2393" s="218"/>
      <c r="U2393" s="218"/>
      <c r="X2393" s="218"/>
      <c r="AB2393" t="e">
        <v>#N/A</v>
      </c>
    </row>
    <row r="2394">
      <c r="A2394" s="218"/>
      <c r="C2394" s="218"/>
      <c r="F2394" s="457"/>
      <c r="G2394" s="218"/>
      <c r="H2394" s="218"/>
      <c r="I2394" s="218"/>
      <c r="J2394" s="218"/>
      <c r="K2394" s="218"/>
      <c r="L2394" s="218"/>
      <c r="M2394" s="218"/>
      <c r="N2394" s="218"/>
      <c r="O2394" s="218"/>
      <c r="P2394" s="218"/>
      <c r="Q2394" s="222"/>
      <c r="R2394" s="222"/>
      <c r="S2394" s="218"/>
      <c r="U2394" s="218"/>
      <c r="X2394" s="218"/>
      <c r="AB2394" t="e">
        <v>#N/A</v>
      </c>
    </row>
    <row r="2395">
      <c r="A2395" s="218"/>
      <c r="C2395" s="218"/>
      <c r="F2395" s="457"/>
      <c r="G2395" s="218"/>
      <c r="H2395" s="218"/>
      <c r="I2395" s="218"/>
      <c r="J2395" s="218"/>
      <c r="K2395" s="218"/>
      <c r="L2395" s="218"/>
      <c r="M2395" s="218"/>
      <c r="N2395" s="218"/>
      <c r="O2395" s="218"/>
      <c r="P2395" s="218"/>
      <c r="Q2395" s="222"/>
      <c r="R2395" s="222"/>
      <c r="S2395" s="218"/>
      <c r="U2395" s="218"/>
      <c r="X2395" s="218"/>
      <c r="AB2395" t="e">
        <v>#N/A</v>
      </c>
    </row>
    <row r="2396">
      <c r="A2396" s="218"/>
      <c r="C2396" s="218"/>
      <c r="F2396" s="457"/>
      <c r="G2396" s="218"/>
      <c r="H2396" s="218"/>
      <c r="I2396" s="218"/>
      <c r="J2396" s="218"/>
      <c r="K2396" s="218"/>
      <c r="L2396" s="218"/>
      <c r="M2396" s="218"/>
      <c r="N2396" s="218"/>
      <c r="O2396" s="218"/>
      <c r="P2396" s="218"/>
      <c r="Q2396" s="222"/>
      <c r="R2396" s="222"/>
      <c r="S2396" s="218"/>
      <c r="U2396" s="218"/>
      <c r="X2396" s="218"/>
      <c r="AB2396" t="e">
        <v>#N/A</v>
      </c>
    </row>
    <row r="2397">
      <c r="A2397" s="218"/>
      <c r="C2397" s="218"/>
      <c r="F2397" s="457"/>
      <c r="G2397" s="218"/>
      <c r="H2397" s="218"/>
      <c r="I2397" s="218"/>
      <c r="J2397" s="218"/>
      <c r="K2397" s="218"/>
      <c r="L2397" s="218"/>
      <c r="M2397" s="218"/>
      <c r="N2397" s="218"/>
      <c r="O2397" s="218"/>
      <c r="P2397" s="218"/>
      <c r="Q2397" s="222"/>
      <c r="R2397" s="222"/>
      <c r="S2397" s="218"/>
      <c r="U2397" s="218"/>
      <c r="X2397" s="218"/>
      <c r="AB2397" t="e">
        <v>#N/A</v>
      </c>
    </row>
    <row r="2398">
      <c r="A2398" s="218"/>
      <c r="C2398" s="218"/>
      <c r="F2398" s="457"/>
      <c r="G2398" s="218"/>
      <c r="H2398" s="218"/>
      <c r="I2398" s="218"/>
      <c r="J2398" s="218"/>
      <c r="K2398" s="218"/>
      <c r="L2398" s="218"/>
      <c r="M2398" s="218"/>
      <c r="N2398" s="218"/>
      <c r="O2398" s="218"/>
      <c r="P2398" s="218"/>
      <c r="Q2398" s="222"/>
      <c r="R2398" s="222"/>
      <c r="S2398" s="218"/>
      <c r="U2398" s="218"/>
      <c r="X2398" s="218"/>
      <c r="AB2398" t="e">
        <v>#N/A</v>
      </c>
    </row>
    <row r="2399">
      <c r="A2399" s="218"/>
      <c r="C2399" s="218"/>
      <c r="F2399" s="457"/>
      <c r="G2399" s="218"/>
      <c r="H2399" s="218"/>
      <c r="I2399" s="218"/>
      <c r="J2399" s="218"/>
      <c r="K2399" s="218"/>
      <c r="L2399" s="218"/>
      <c r="M2399" s="218"/>
      <c r="N2399" s="218"/>
      <c r="O2399" s="218"/>
      <c r="P2399" s="218"/>
      <c r="Q2399" s="222"/>
      <c r="R2399" s="222"/>
      <c r="S2399" s="218"/>
      <c r="U2399" s="218"/>
      <c r="X2399" s="218"/>
      <c r="AB2399" t="e">
        <v>#N/A</v>
      </c>
    </row>
    <row r="2400">
      <c r="A2400" s="218"/>
      <c r="C2400" s="218"/>
      <c r="F2400" s="457"/>
      <c r="G2400" s="218"/>
      <c r="H2400" s="218"/>
      <c r="I2400" s="218"/>
      <c r="J2400" s="218"/>
      <c r="K2400" s="218"/>
      <c r="L2400" s="218"/>
      <c r="M2400" s="218"/>
      <c r="N2400" s="218"/>
      <c r="O2400" s="218"/>
      <c r="P2400" s="218"/>
      <c r="Q2400" s="222"/>
      <c r="R2400" s="222"/>
      <c r="S2400" s="218"/>
      <c r="U2400" s="218"/>
      <c r="X2400" s="218"/>
      <c r="AB2400" t="e">
        <v>#N/A</v>
      </c>
    </row>
    <row r="2401">
      <c r="A2401" s="218"/>
      <c r="C2401" s="218"/>
      <c r="F2401" s="457"/>
      <c r="G2401" s="218"/>
      <c r="H2401" s="218"/>
      <c r="I2401" s="218"/>
      <c r="J2401" s="218"/>
      <c r="K2401" s="218"/>
      <c r="L2401" s="218"/>
      <c r="M2401" s="218"/>
      <c r="N2401" s="218"/>
      <c r="O2401" s="218"/>
      <c r="P2401" s="218"/>
      <c r="Q2401" s="222"/>
      <c r="R2401" s="222"/>
      <c r="S2401" s="218"/>
      <c r="U2401" s="218"/>
      <c r="X2401" s="218"/>
      <c r="AB2401" t="e">
        <v>#N/A</v>
      </c>
    </row>
    <row r="2402">
      <c r="A2402" s="218"/>
      <c r="C2402" s="218"/>
      <c r="F2402" s="457"/>
      <c r="G2402" s="218"/>
      <c r="H2402" s="218"/>
      <c r="I2402" s="218"/>
      <c r="J2402" s="218"/>
      <c r="K2402" s="218"/>
      <c r="L2402" s="218"/>
      <c r="M2402" s="218"/>
      <c r="N2402" s="218"/>
      <c r="O2402" s="218"/>
      <c r="P2402" s="218"/>
      <c r="Q2402" s="222"/>
      <c r="R2402" s="222"/>
      <c r="S2402" s="218"/>
      <c r="U2402" s="218"/>
      <c r="X2402" s="218"/>
      <c r="AB2402" t="e">
        <v>#N/A</v>
      </c>
    </row>
    <row r="2403">
      <c r="A2403" s="218"/>
      <c r="C2403" s="218"/>
      <c r="F2403" s="457"/>
      <c r="G2403" s="218"/>
      <c r="H2403" s="218"/>
      <c r="I2403" s="218"/>
      <c r="J2403" s="218"/>
      <c r="K2403" s="218"/>
      <c r="L2403" s="218"/>
      <c r="M2403" s="218"/>
      <c r="N2403" s="218"/>
      <c r="O2403" s="218"/>
      <c r="P2403" s="218"/>
      <c r="Q2403" s="222"/>
      <c r="R2403" s="222"/>
      <c r="S2403" s="218"/>
      <c r="U2403" s="218"/>
      <c r="X2403" s="218"/>
      <c r="AB2403" t="e">
        <v>#N/A</v>
      </c>
    </row>
    <row r="2404">
      <c r="A2404" s="218"/>
      <c r="C2404" s="218"/>
      <c r="F2404" s="457"/>
      <c r="G2404" s="218"/>
      <c r="H2404" s="218"/>
      <c r="I2404" s="218"/>
      <c r="J2404" s="218"/>
      <c r="K2404" s="218"/>
      <c r="L2404" s="218"/>
      <c r="M2404" s="218"/>
      <c r="N2404" s="218"/>
      <c r="O2404" s="218"/>
      <c r="P2404" s="218"/>
      <c r="Q2404" s="222"/>
      <c r="R2404" s="222"/>
      <c r="S2404" s="218"/>
      <c r="U2404" s="218"/>
      <c r="X2404" s="218"/>
      <c r="AB2404" t="e">
        <v>#N/A</v>
      </c>
    </row>
    <row r="2405">
      <c r="A2405" s="218"/>
      <c r="C2405" s="218"/>
      <c r="F2405" s="457"/>
      <c r="G2405" s="218"/>
      <c r="H2405" s="218"/>
      <c r="I2405" s="218"/>
      <c r="J2405" s="218"/>
      <c r="K2405" s="218"/>
      <c r="L2405" s="218"/>
      <c r="M2405" s="218"/>
      <c r="N2405" s="218"/>
      <c r="O2405" s="218"/>
      <c r="P2405" s="218"/>
      <c r="Q2405" s="222"/>
      <c r="R2405" s="222"/>
      <c r="S2405" s="218"/>
      <c r="U2405" s="218"/>
      <c r="X2405" s="218"/>
      <c r="AB2405" t="e">
        <v>#N/A</v>
      </c>
    </row>
    <row r="2406">
      <c r="A2406" s="218"/>
      <c r="C2406" s="218"/>
      <c r="F2406" s="457"/>
      <c r="G2406" s="218"/>
      <c r="H2406" s="218"/>
      <c r="I2406" s="218"/>
      <c r="J2406" s="218"/>
      <c r="K2406" s="218"/>
      <c r="L2406" s="218"/>
      <c r="M2406" s="218"/>
      <c r="N2406" s="218"/>
      <c r="O2406" s="218"/>
      <c r="P2406" s="218"/>
      <c r="Q2406" s="222"/>
      <c r="R2406" s="222"/>
      <c r="S2406" s="218"/>
      <c r="U2406" s="218"/>
      <c r="X2406" s="218"/>
      <c r="AB2406" t="e">
        <v>#N/A</v>
      </c>
    </row>
    <row r="2407">
      <c r="A2407" s="218"/>
      <c r="C2407" s="218"/>
      <c r="F2407" s="457"/>
      <c r="G2407" s="218"/>
      <c r="H2407" s="218"/>
      <c r="I2407" s="218"/>
      <c r="J2407" s="218"/>
      <c r="K2407" s="218"/>
      <c r="L2407" s="218"/>
      <c r="M2407" s="218"/>
      <c r="N2407" s="218"/>
      <c r="O2407" s="218"/>
      <c r="P2407" s="218"/>
      <c r="Q2407" s="222"/>
      <c r="R2407" s="222"/>
      <c r="S2407" s="218"/>
      <c r="U2407" s="218"/>
      <c r="X2407" s="218"/>
      <c r="AB2407" t="e">
        <v>#N/A</v>
      </c>
    </row>
    <row r="2408">
      <c r="A2408" s="218"/>
      <c r="C2408" s="218"/>
      <c r="F2408" s="457"/>
      <c r="G2408" s="218"/>
      <c r="H2408" s="218"/>
      <c r="I2408" s="218"/>
      <c r="J2408" s="218"/>
      <c r="K2408" s="218"/>
      <c r="L2408" s="218"/>
      <c r="M2408" s="218"/>
      <c r="N2408" s="218"/>
      <c r="O2408" s="218"/>
      <c r="P2408" s="218"/>
      <c r="Q2408" s="222"/>
      <c r="R2408" s="222"/>
      <c r="S2408" s="218"/>
      <c r="U2408" s="218"/>
      <c r="X2408" s="218"/>
      <c r="AB2408" t="e">
        <v>#N/A</v>
      </c>
    </row>
    <row r="2409">
      <c r="A2409" s="218"/>
      <c r="C2409" s="218"/>
      <c r="F2409" s="457"/>
      <c r="G2409" s="218"/>
      <c r="H2409" s="218"/>
      <c r="I2409" s="218"/>
      <c r="J2409" s="218"/>
      <c r="K2409" s="218"/>
      <c r="L2409" s="218"/>
      <c r="M2409" s="218"/>
      <c r="N2409" s="218"/>
      <c r="O2409" s="218"/>
      <c r="P2409" s="218"/>
      <c r="Q2409" s="222"/>
      <c r="R2409" s="222"/>
      <c r="S2409" s="218"/>
      <c r="U2409" s="218"/>
      <c r="X2409" s="218"/>
      <c r="AB2409" t="e">
        <v>#N/A</v>
      </c>
    </row>
    <row r="2410">
      <c r="A2410" s="218"/>
      <c r="C2410" s="218"/>
      <c r="F2410" s="457"/>
      <c r="G2410" s="218"/>
      <c r="H2410" s="218"/>
      <c r="I2410" s="218"/>
      <c r="J2410" s="218"/>
      <c r="K2410" s="218"/>
      <c r="L2410" s="218"/>
      <c r="M2410" s="218"/>
      <c r="N2410" s="218"/>
      <c r="O2410" s="218"/>
      <c r="P2410" s="218"/>
      <c r="Q2410" s="222"/>
      <c r="R2410" s="222"/>
      <c r="S2410" s="218"/>
      <c r="U2410" s="218"/>
      <c r="X2410" s="218"/>
      <c r="AB2410" t="e">
        <v>#N/A</v>
      </c>
    </row>
    <row r="2411">
      <c r="A2411" s="218"/>
      <c r="C2411" s="218"/>
      <c r="F2411" s="457"/>
      <c r="G2411" s="218"/>
      <c r="H2411" s="218"/>
      <c r="I2411" s="218"/>
      <c r="J2411" s="218"/>
      <c r="K2411" s="218"/>
      <c r="L2411" s="218"/>
      <c r="M2411" s="218"/>
      <c r="N2411" s="218"/>
      <c r="O2411" s="218"/>
      <c r="P2411" s="218"/>
      <c r="Q2411" s="222"/>
      <c r="R2411" s="222"/>
      <c r="S2411" s="218"/>
      <c r="U2411" s="218"/>
      <c r="X2411" s="218"/>
      <c r="AB2411" t="e">
        <v>#N/A</v>
      </c>
    </row>
    <row r="2412">
      <c r="A2412" s="218"/>
      <c r="C2412" s="218"/>
      <c r="F2412" s="457"/>
      <c r="G2412" s="218"/>
      <c r="H2412" s="218"/>
      <c r="I2412" s="218"/>
      <c r="J2412" s="218"/>
      <c r="K2412" s="218"/>
      <c r="L2412" s="218"/>
      <c r="M2412" s="218"/>
      <c r="N2412" s="218"/>
      <c r="O2412" s="218"/>
      <c r="P2412" s="218"/>
      <c r="Q2412" s="222"/>
      <c r="R2412" s="222"/>
      <c r="S2412" s="218"/>
      <c r="U2412" s="218"/>
      <c r="X2412" s="218"/>
      <c r="AB2412" t="e">
        <v>#N/A</v>
      </c>
    </row>
    <row r="2413">
      <c r="A2413" s="218"/>
      <c r="C2413" s="218"/>
      <c r="F2413" s="457"/>
      <c r="G2413" s="218"/>
      <c r="H2413" s="218"/>
      <c r="I2413" s="218"/>
      <c r="J2413" s="218"/>
      <c r="K2413" s="218"/>
      <c r="L2413" s="218"/>
      <c r="M2413" s="218"/>
      <c r="N2413" s="218"/>
      <c r="O2413" s="218"/>
      <c r="P2413" s="218"/>
      <c r="Q2413" s="222"/>
      <c r="R2413" s="222"/>
      <c r="S2413" s="218"/>
      <c r="U2413" s="218"/>
      <c r="X2413" s="218"/>
      <c r="AB2413" t="e">
        <v>#N/A</v>
      </c>
    </row>
    <row r="2414">
      <c r="A2414" s="218"/>
      <c r="C2414" s="218"/>
      <c r="F2414" s="457"/>
      <c r="G2414" s="218"/>
      <c r="H2414" s="218"/>
      <c r="I2414" s="218"/>
      <c r="J2414" s="218"/>
      <c r="K2414" s="218"/>
      <c r="L2414" s="218"/>
      <c r="M2414" s="218"/>
      <c r="N2414" s="218"/>
      <c r="O2414" s="218"/>
      <c r="P2414" s="218"/>
      <c r="Q2414" s="222"/>
      <c r="R2414" s="222"/>
      <c r="S2414" s="218"/>
      <c r="U2414" s="218"/>
      <c r="X2414" s="218"/>
      <c r="AB2414" t="e">
        <v>#N/A</v>
      </c>
    </row>
    <row r="2415">
      <c r="A2415" s="218"/>
      <c r="C2415" s="218"/>
      <c r="F2415" s="457"/>
      <c r="G2415" s="218"/>
      <c r="H2415" s="218"/>
      <c r="I2415" s="218"/>
      <c r="J2415" s="218"/>
      <c r="K2415" s="218"/>
      <c r="L2415" s="218"/>
      <c r="M2415" s="218"/>
      <c r="N2415" s="218"/>
      <c r="O2415" s="218"/>
      <c r="P2415" s="218"/>
      <c r="Q2415" s="222"/>
      <c r="R2415" s="222"/>
      <c r="S2415" s="218"/>
      <c r="U2415" s="218"/>
      <c r="X2415" s="218"/>
      <c r="AB2415" t="e">
        <v>#N/A</v>
      </c>
    </row>
    <row r="2416">
      <c r="A2416" s="218"/>
      <c r="C2416" s="218"/>
      <c r="F2416" s="457"/>
      <c r="G2416" s="218"/>
      <c r="H2416" s="218"/>
      <c r="I2416" s="218"/>
      <c r="J2416" s="218"/>
      <c r="K2416" s="218"/>
      <c r="L2416" s="218"/>
      <c r="M2416" s="218"/>
      <c r="N2416" s="218"/>
      <c r="O2416" s="218"/>
      <c r="P2416" s="218"/>
      <c r="Q2416" s="222"/>
      <c r="R2416" s="222"/>
      <c r="S2416" s="218"/>
      <c r="U2416" s="218"/>
      <c r="X2416" s="218"/>
      <c r="AB2416" t="e">
        <v>#N/A</v>
      </c>
    </row>
    <row r="2417">
      <c r="A2417" s="218"/>
      <c r="C2417" s="218"/>
      <c r="F2417" s="457"/>
      <c r="G2417" s="218"/>
      <c r="H2417" s="218"/>
      <c r="I2417" s="218"/>
      <c r="J2417" s="218"/>
      <c r="K2417" s="218"/>
      <c r="L2417" s="218"/>
      <c r="M2417" s="218"/>
      <c r="N2417" s="218"/>
      <c r="O2417" s="218"/>
      <c r="P2417" s="218"/>
      <c r="Q2417" s="222"/>
      <c r="R2417" s="222"/>
      <c r="S2417" s="218"/>
      <c r="U2417" s="218"/>
      <c r="X2417" s="218"/>
      <c r="AB2417" t="e">
        <v>#N/A</v>
      </c>
    </row>
    <row r="2418">
      <c r="A2418" s="218"/>
      <c r="C2418" s="218"/>
      <c r="F2418" s="457"/>
      <c r="G2418" s="218"/>
      <c r="H2418" s="218"/>
      <c r="I2418" s="218"/>
      <c r="J2418" s="218"/>
      <c r="K2418" s="218"/>
      <c r="L2418" s="218"/>
      <c r="M2418" s="218"/>
      <c r="N2418" s="218"/>
      <c r="O2418" s="218"/>
      <c r="P2418" s="218"/>
      <c r="Q2418" s="222"/>
      <c r="R2418" s="222"/>
      <c r="S2418" s="218"/>
      <c r="U2418" s="218"/>
      <c r="X2418" s="218"/>
      <c r="AB2418" t="e">
        <v>#N/A</v>
      </c>
    </row>
    <row r="2419">
      <c r="A2419" s="218"/>
      <c r="C2419" s="218"/>
      <c r="F2419" s="457"/>
      <c r="G2419" s="218"/>
      <c r="H2419" s="218"/>
      <c r="I2419" s="218"/>
      <c r="J2419" s="218"/>
      <c r="K2419" s="218"/>
      <c r="L2419" s="218"/>
      <c r="M2419" s="218"/>
      <c r="N2419" s="218"/>
      <c r="O2419" s="218"/>
      <c r="P2419" s="218"/>
      <c r="Q2419" s="222"/>
      <c r="R2419" s="222"/>
      <c r="S2419" s="218"/>
      <c r="U2419" s="218"/>
      <c r="X2419" s="218"/>
      <c r="AB2419" t="e">
        <v>#N/A</v>
      </c>
    </row>
    <row r="2420">
      <c r="A2420" s="218"/>
      <c r="C2420" s="218"/>
      <c r="F2420" s="457"/>
      <c r="G2420" s="218"/>
      <c r="H2420" s="218"/>
      <c r="I2420" s="218"/>
      <c r="J2420" s="218"/>
      <c r="K2420" s="218"/>
      <c r="L2420" s="218"/>
      <c r="M2420" s="218"/>
      <c r="N2420" s="218"/>
      <c r="O2420" s="218"/>
      <c r="P2420" s="218"/>
      <c r="Q2420" s="222"/>
      <c r="R2420" s="222"/>
      <c r="S2420" s="218"/>
      <c r="U2420" s="218"/>
      <c r="X2420" s="218"/>
      <c r="AB2420" t="e">
        <v>#N/A</v>
      </c>
    </row>
    <row r="2421">
      <c r="A2421" s="218"/>
      <c r="C2421" s="218"/>
      <c r="F2421" s="457"/>
      <c r="G2421" s="218"/>
      <c r="H2421" s="218"/>
      <c r="I2421" s="218"/>
      <c r="J2421" s="218"/>
      <c r="K2421" s="218"/>
      <c r="L2421" s="218"/>
      <c r="M2421" s="218"/>
      <c r="N2421" s="218"/>
      <c r="O2421" s="218"/>
      <c r="P2421" s="218"/>
      <c r="Q2421" s="222"/>
      <c r="R2421" s="222"/>
      <c r="S2421" s="218"/>
      <c r="U2421" s="218"/>
      <c r="X2421" s="218"/>
      <c r="AB2421" t="e">
        <v>#N/A</v>
      </c>
    </row>
    <row r="2422">
      <c r="A2422" s="218"/>
      <c r="C2422" s="218"/>
      <c r="F2422" s="457"/>
      <c r="G2422" s="218"/>
      <c r="H2422" s="218"/>
      <c r="I2422" s="218"/>
      <c r="J2422" s="218"/>
      <c r="K2422" s="218"/>
      <c r="L2422" s="218"/>
      <c r="M2422" s="218"/>
      <c r="N2422" s="218"/>
      <c r="O2422" s="218"/>
      <c r="P2422" s="218"/>
      <c r="Q2422" s="222"/>
      <c r="R2422" s="222"/>
      <c r="S2422" s="218"/>
      <c r="U2422" s="218"/>
      <c r="X2422" s="218"/>
      <c r="AB2422" t="e">
        <v>#N/A</v>
      </c>
    </row>
    <row r="2423">
      <c r="A2423" s="218"/>
      <c r="C2423" s="218"/>
      <c r="F2423" s="457"/>
      <c r="G2423" s="218"/>
      <c r="H2423" s="218"/>
      <c r="I2423" s="218"/>
      <c r="J2423" s="218"/>
      <c r="K2423" s="218"/>
      <c r="L2423" s="218"/>
      <c r="M2423" s="218"/>
      <c r="N2423" s="218"/>
      <c r="O2423" s="218"/>
      <c r="P2423" s="218"/>
      <c r="Q2423" s="222"/>
      <c r="R2423" s="222"/>
      <c r="S2423" s="218"/>
      <c r="U2423" s="218"/>
      <c r="X2423" s="218"/>
      <c r="AB2423" t="e">
        <v>#N/A</v>
      </c>
    </row>
    <row r="2424">
      <c r="A2424" s="218"/>
      <c r="C2424" s="218"/>
      <c r="F2424" s="457"/>
      <c r="G2424" s="218"/>
      <c r="H2424" s="218"/>
      <c r="I2424" s="218"/>
      <c r="J2424" s="218"/>
      <c r="K2424" s="218"/>
      <c r="L2424" s="218"/>
      <c r="M2424" s="218"/>
      <c r="N2424" s="218"/>
      <c r="O2424" s="218"/>
      <c r="P2424" s="218"/>
      <c r="Q2424" s="222"/>
      <c r="R2424" s="222"/>
      <c r="S2424" s="218"/>
      <c r="U2424" s="218"/>
      <c r="X2424" s="218"/>
      <c r="AB2424" t="e">
        <v>#N/A</v>
      </c>
    </row>
    <row r="2425">
      <c r="A2425" s="218"/>
      <c r="C2425" s="218"/>
      <c r="F2425" s="457"/>
      <c r="G2425" s="218"/>
      <c r="H2425" s="218"/>
      <c r="I2425" s="218"/>
      <c r="J2425" s="218"/>
      <c r="K2425" s="218"/>
      <c r="L2425" s="218"/>
      <c r="M2425" s="218"/>
      <c r="N2425" s="218"/>
      <c r="O2425" s="218"/>
      <c r="P2425" s="218"/>
      <c r="Q2425" s="222"/>
      <c r="R2425" s="222"/>
      <c r="S2425" s="218"/>
      <c r="U2425" s="218"/>
      <c r="X2425" s="218"/>
      <c r="AB2425" t="e">
        <v>#N/A</v>
      </c>
    </row>
    <row r="2426">
      <c r="A2426" s="218"/>
      <c r="C2426" s="218"/>
      <c r="F2426" s="457"/>
      <c r="G2426" s="218"/>
      <c r="H2426" s="218"/>
      <c r="I2426" s="218"/>
      <c r="J2426" s="218"/>
      <c r="K2426" s="218"/>
      <c r="L2426" s="218"/>
      <c r="M2426" s="218"/>
      <c r="N2426" s="218"/>
      <c r="O2426" s="218"/>
      <c r="P2426" s="218"/>
      <c r="Q2426" s="222"/>
      <c r="R2426" s="222"/>
      <c r="S2426" s="218"/>
      <c r="U2426" s="218"/>
      <c r="X2426" s="218"/>
      <c r="AB2426" t="e">
        <v>#N/A</v>
      </c>
    </row>
    <row r="2427">
      <c r="A2427" s="218"/>
      <c r="C2427" s="218"/>
      <c r="F2427" s="457"/>
      <c r="G2427" s="218"/>
      <c r="H2427" s="218"/>
      <c r="I2427" s="218"/>
      <c r="J2427" s="218"/>
      <c r="K2427" s="218"/>
      <c r="L2427" s="218"/>
      <c r="M2427" s="218"/>
      <c r="N2427" s="218"/>
      <c r="O2427" s="218"/>
      <c r="P2427" s="218"/>
      <c r="Q2427" s="222"/>
      <c r="R2427" s="222"/>
      <c r="S2427" s="218"/>
      <c r="U2427" s="218"/>
      <c r="X2427" s="218"/>
      <c r="AB2427" t="e">
        <v>#N/A</v>
      </c>
    </row>
    <row r="2428">
      <c r="A2428" s="218"/>
      <c r="C2428" s="218"/>
      <c r="F2428" s="457"/>
      <c r="G2428" s="218"/>
      <c r="H2428" s="218"/>
      <c r="I2428" s="218"/>
      <c r="J2428" s="218"/>
      <c r="K2428" s="218"/>
      <c r="L2428" s="218"/>
      <c r="M2428" s="218"/>
      <c r="N2428" s="218"/>
      <c r="O2428" s="218"/>
      <c r="P2428" s="218"/>
      <c r="Q2428" s="222"/>
      <c r="R2428" s="222"/>
      <c r="S2428" s="218"/>
      <c r="U2428" s="218"/>
      <c r="X2428" s="218"/>
      <c r="AB2428" t="e">
        <v>#N/A</v>
      </c>
    </row>
    <row r="2429">
      <c r="A2429" s="218"/>
      <c r="C2429" s="218"/>
      <c r="F2429" s="457"/>
      <c r="G2429" s="218"/>
      <c r="H2429" s="218"/>
      <c r="I2429" s="218"/>
      <c r="J2429" s="218"/>
      <c r="K2429" s="218"/>
      <c r="L2429" s="218"/>
      <c r="M2429" s="218"/>
      <c r="N2429" s="218"/>
      <c r="O2429" s="218"/>
      <c r="P2429" s="218"/>
      <c r="Q2429" s="222"/>
      <c r="R2429" s="222"/>
      <c r="S2429" s="218"/>
      <c r="U2429" s="218"/>
      <c r="X2429" s="218"/>
      <c r="AB2429" t="e">
        <v>#N/A</v>
      </c>
    </row>
    <row r="2430">
      <c r="A2430" s="218"/>
      <c r="C2430" s="218"/>
      <c r="F2430" s="457"/>
      <c r="G2430" s="218"/>
      <c r="H2430" s="218"/>
      <c r="I2430" s="218"/>
      <c r="J2430" s="218"/>
      <c r="K2430" s="218"/>
      <c r="L2430" s="218"/>
      <c r="M2430" s="218"/>
      <c r="N2430" s="218"/>
      <c r="O2430" s="218"/>
      <c r="P2430" s="218"/>
      <c r="Q2430" s="222"/>
      <c r="R2430" s="222"/>
      <c r="S2430" s="218"/>
      <c r="U2430" s="218"/>
      <c r="X2430" s="218"/>
      <c r="AB2430" t="e">
        <v>#N/A</v>
      </c>
    </row>
    <row r="2431">
      <c r="A2431" s="218"/>
      <c r="C2431" s="218"/>
      <c r="F2431" s="457"/>
      <c r="G2431" s="218"/>
      <c r="H2431" s="218"/>
      <c r="I2431" s="218"/>
      <c r="J2431" s="218"/>
      <c r="K2431" s="218"/>
      <c r="L2431" s="218"/>
      <c r="M2431" s="218"/>
      <c r="N2431" s="218"/>
      <c r="O2431" s="218"/>
      <c r="P2431" s="218"/>
      <c r="Q2431" s="222"/>
      <c r="R2431" s="222"/>
      <c r="S2431" s="218"/>
      <c r="U2431" s="218"/>
      <c r="X2431" s="218"/>
      <c r="AB2431" t="e">
        <v>#N/A</v>
      </c>
    </row>
    <row r="2432">
      <c r="A2432" s="218"/>
      <c r="C2432" s="218"/>
      <c r="F2432" s="457"/>
      <c r="G2432" s="218"/>
      <c r="H2432" s="218"/>
      <c r="I2432" s="218"/>
      <c r="J2432" s="218"/>
      <c r="K2432" s="218"/>
      <c r="L2432" s="218"/>
      <c r="M2432" s="218"/>
      <c r="N2432" s="218"/>
      <c r="O2432" s="218"/>
      <c r="P2432" s="218"/>
      <c r="Q2432" s="222"/>
      <c r="R2432" s="222"/>
      <c r="S2432" s="218"/>
      <c r="U2432" s="218"/>
      <c r="X2432" s="218"/>
      <c r="AB2432" t="e">
        <v>#N/A</v>
      </c>
    </row>
    <row r="2433">
      <c r="A2433" s="218"/>
      <c r="C2433" s="218"/>
      <c r="F2433" s="457"/>
      <c r="G2433" s="218"/>
      <c r="H2433" s="218"/>
      <c r="I2433" s="218"/>
      <c r="J2433" s="218"/>
      <c r="K2433" s="218"/>
      <c r="L2433" s="218"/>
      <c r="M2433" s="218"/>
      <c r="N2433" s="218"/>
      <c r="O2433" s="218"/>
      <c r="P2433" s="218"/>
      <c r="Q2433" s="222"/>
      <c r="R2433" s="222"/>
      <c r="S2433" s="218"/>
      <c r="U2433" s="218"/>
      <c r="X2433" s="218"/>
      <c r="AB2433" t="e">
        <v>#N/A</v>
      </c>
    </row>
    <row r="2434">
      <c r="A2434" s="218"/>
      <c r="C2434" s="218"/>
      <c r="F2434" s="457"/>
      <c r="G2434" s="218"/>
      <c r="H2434" s="218"/>
      <c r="I2434" s="218"/>
      <c r="J2434" s="218"/>
      <c r="K2434" s="218"/>
      <c r="L2434" s="218"/>
      <c r="M2434" s="218"/>
      <c r="N2434" s="218"/>
      <c r="O2434" s="218"/>
      <c r="P2434" s="218"/>
      <c r="Q2434" s="222"/>
      <c r="R2434" s="222"/>
      <c r="S2434" s="218"/>
      <c r="U2434" s="218"/>
      <c r="X2434" s="218"/>
      <c r="AB2434" t="e">
        <v>#N/A</v>
      </c>
    </row>
    <row r="2435">
      <c r="A2435" s="218"/>
      <c r="C2435" s="218"/>
      <c r="F2435" s="457"/>
      <c r="G2435" s="218"/>
      <c r="H2435" s="218"/>
      <c r="I2435" s="218"/>
      <c r="J2435" s="218"/>
      <c r="K2435" s="218"/>
      <c r="L2435" s="218"/>
      <c r="M2435" s="218"/>
      <c r="N2435" s="218"/>
      <c r="O2435" s="218"/>
      <c r="P2435" s="218"/>
      <c r="Q2435" s="222"/>
      <c r="R2435" s="222"/>
      <c r="S2435" s="218"/>
      <c r="U2435" s="218"/>
      <c r="X2435" s="218"/>
      <c r="AB2435" t="e">
        <v>#N/A</v>
      </c>
    </row>
    <row r="2436">
      <c r="A2436" s="218"/>
      <c r="C2436" s="218"/>
      <c r="F2436" s="457"/>
      <c r="G2436" s="218"/>
      <c r="H2436" s="218"/>
      <c r="I2436" s="218"/>
      <c r="J2436" s="218"/>
      <c r="K2436" s="218"/>
      <c r="L2436" s="218"/>
      <c r="M2436" s="218"/>
      <c r="N2436" s="218"/>
      <c r="O2436" s="218"/>
      <c r="P2436" s="218"/>
      <c r="Q2436" s="222"/>
      <c r="R2436" s="222"/>
      <c r="S2436" s="218"/>
      <c r="U2436" s="218"/>
      <c r="X2436" s="218"/>
      <c r="AB2436" t="e">
        <v>#N/A</v>
      </c>
    </row>
    <row r="2437">
      <c r="A2437" s="218"/>
      <c r="C2437" s="218"/>
      <c r="F2437" s="457"/>
      <c r="G2437" s="218"/>
      <c r="H2437" s="218"/>
      <c r="I2437" s="218"/>
      <c r="J2437" s="218"/>
      <c r="K2437" s="218"/>
      <c r="L2437" s="218"/>
      <c r="M2437" s="218"/>
      <c r="N2437" s="218"/>
      <c r="O2437" s="218"/>
      <c r="P2437" s="218"/>
      <c r="Q2437" s="222"/>
      <c r="R2437" s="222"/>
      <c r="S2437" s="218"/>
      <c r="U2437" s="218"/>
      <c r="X2437" s="218"/>
      <c r="AB2437" t="e">
        <v>#N/A</v>
      </c>
    </row>
    <row r="2438">
      <c r="A2438" s="218"/>
      <c r="C2438" s="218"/>
      <c r="F2438" s="457"/>
      <c r="G2438" s="218"/>
      <c r="H2438" s="218"/>
      <c r="I2438" s="218"/>
      <c r="J2438" s="218"/>
      <c r="K2438" s="218"/>
      <c r="L2438" s="218"/>
      <c r="M2438" s="218"/>
      <c r="N2438" s="218"/>
      <c r="O2438" s="218"/>
      <c r="P2438" s="218"/>
      <c r="Q2438" s="222"/>
      <c r="R2438" s="222"/>
      <c r="S2438" s="218"/>
      <c r="U2438" s="218"/>
      <c r="X2438" s="218"/>
      <c r="AB2438" t="e">
        <v>#N/A</v>
      </c>
    </row>
    <row r="2439">
      <c r="A2439" s="218"/>
      <c r="C2439" s="218"/>
      <c r="F2439" s="457"/>
      <c r="G2439" s="218"/>
      <c r="H2439" s="218"/>
      <c r="I2439" s="218"/>
      <c r="J2439" s="218"/>
      <c r="K2439" s="218"/>
      <c r="L2439" s="218"/>
      <c r="M2439" s="218"/>
      <c r="N2439" s="218"/>
      <c r="O2439" s="218"/>
      <c r="P2439" s="218"/>
      <c r="Q2439" s="222"/>
      <c r="R2439" s="222"/>
      <c r="S2439" s="218"/>
      <c r="U2439" s="218"/>
      <c r="X2439" s="218"/>
      <c r="AB2439" t="e">
        <v>#N/A</v>
      </c>
    </row>
    <row r="2440">
      <c r="A2440" s="218"/>
      <c r="C2440" s="218"/>
      <c r="F2440" s="457"/>
      <c r="G2440" s="218"/>
      <c r="H2440" s="218"/>
      <c r="I2440" s="218"/>
      <c r="J2440" s="218"/>
      <c r="K2440" s="218"/>
      <c r="L2440" s="218"/>
      <c r="M2440" s="218"/>
      <c r="N2440" s="218"/>
      <c r="O2440" s="218"/>
      <c r="P2440" s="218"/>
      <c r="Q2440" s="222"/>
      <c r="R2440" s="222"/>
      <c r="S2440" s="218"/>
      <c r="U2440" s="218"/>
      <c r="X2440" s="218"/>
      <c r="AB2440" t="e">
        <v>#N/A</v>
      </c>
    </row>
    <row r="2441">
      <c r="A2441" s="218"/>
      <c r="C2441" s="218"/>
      <c r="F2441" s="457"/>
      <c r="G2441" s="218"/>
      <c r="H2441" s="218"/>
      <c r="I2441" s="218"/>
      <c r="J2441" s="218"/>
      <c r="K2441" s="218"/>
      <c r="L2441" s="218"/>
      <c r="M2441" s="218"/>
      <c r="N2441" s="218"/>
      <c r="O2441" s="218"/>
      <c r="P2441" s="218"/>
      <c r="Q2441" s="222"/>
      <c r="R2441" s="222"/>
      <c r="S2441" s="218"/>
      <c r="U2441" s="218"/>
      <c r="X2441" s="218"/>
      <c r="AB2441" t="e">
        <v>#N/A</v>
      </c>
    </row>
    <row r="2442">
      <c r="A2442" s="218"/>
      <c r="C2442" s="218"/>
      <c r="F2442" s="457"/>
      <c r="G2442" s="218"/>
      <c r="H2442" s="218"/>
      <c r="I2442" s="218"/>
      <c r="J2442" s="218"/>
      <c r="K2442" s="218"/>
      <c r="L2442" s="218"/>
      <c r="M2442" s="218"/>
      <c r="N2442" s="218"/>
      <c r="O2442" s="218"/>
      <c r="P2442" s="218"/>
      <c r="Q2442" s="222"/>
      <c r="R2442" s="222"/>
      <c r="S2442" s="218"/>
      <c r="U2442" s="218"/>
      <c r="X2442" s="218"/>
      <c r="AB2442" t="e">
        <v>#N/A</v>
      </c>
    </row>
    <row r="2443">
      <c r="A2443" s="218"/>
      <c r="C2443" s="218"/>
      <c r="F2443" s="457"/>
      <c r="G2443" s="218"/>
      <c r="H2443" s="218"/>
      <c r="I2443" s="218"/>
      <c r="J2443" s="218"/>
      <c r="K2443" s="218"/>
      <c r="L2443" s="218"/>
      <c r="M2443" s="218"/>
      <c r="N2443" s="218"/>
      <c r="O2443" s="218"/>
      <c r="P2443" s="218"/>
      <c r="Q2443" s="222"/>
      <c r="R2443" s="222"/>
      <c r="S2443" s="218"/>
      <c r="U2443" s="218"/>
      <c r="X2443" s="218"/>
      <c r="AB2443" t="e">
        <v>#N/A</v>
      </c>
    </row>
    <row r="2444">
      <c r="A2444" s="218"/>
      <c r="C2444" s="218"/>
      <c r="F2444" s="457"/>
      <c r="G2444" s="218"/>
      <c r="H2444" s="218"/>
      <c r="I2444" s="218"/>
      <c r="J2444" s="218"/>
      <c r="K2444" s="218"/>
      <c r="L2444" s="218"/>
      <c r="M2444" s="218"/>
      <c r="N2444" s="218"/>
      <c r="O2444" s="218"/>
      <c r="P2444" s="218"/>
      <c r="Q2444" s="222"/>
      <c r="R2444" s="222"/>
      <c r="S2444" s="218"/>
      <c r="U2444" s="218"/>
      <c r="X2444" s="218"/>
      <c r="AB2444" t="e">
        <v>#N/A</v>
      </c>
    </row>
    <row r="2445">
      <c r="A2445" s="218"/>
      <c r="C2445" s="218"/>
      <c r="F2445" s="457"/>
      <c r="G2445" s="218"/>
      <c r="H2445" s="218"/>
      <c r="I2445" s="218"/>
      <c r="J2445" s="218"/>
      <c r="K2445" s="218"/>
      <c r="L2445" s="218"/>
      <c r="M2445" s="218"/>
      <c r="N2445" s="218"/>
      <c r="O2445" s="218"/>
      <c r="P2445" s="218"/>
      <c r="Q2445" s="222"/>
      <c r="R2445" s="222"/>
      <c r="S2445" s="218"/>
      <c r="U2445" s="218"/>
      <c r="X2445" s="218"/>
      <c r="AB2445" t="e">
        <v>#N/A</v>
      </c>
    </row>
    <row r="2446">
      <c r="A2446" s="218"/>
      <c r="C2446" s="218"/>
      <c r="F2446" s="457"/>
      <c r="G2446" s="218"/>
      <c r="H2446" s="218"/>
      <c r="I2446" s="218"/>
      <c r="J2446" s="218"/>
      <c r="K2446" s="218"/>
      <c r="L2446" s="218"/>
      <c r="M2446" s="218"/>
      <c r="N2446" s="218"/>
      <c r="O2446" s="218"/>
      <c r="P2446" s="218"/>
      <c r="Q2446" s="222"/>
      <c r="R2446" s="222"/>
      <c r="S2446" s="218"/>
      <c r="U2446" s="218"/>
      <c r="X2446" s="218"/>
      <c r="AB2446" t="e">
        <v>#N/A</v>
      </c>
    </row>
    <row r="2447">
      <c r="A2447" s="218"/>
      <c r="C2447" s="218"/>
      <c r="F2447" s="457"/>
      <c r="G2447" s="218"/>
      <c r="H2447" s="218"/>
      <c r="I2447" s="218"/>
      <c r="J2447" s="218"/>
      <c r="K2447" s="218"/>
      <c r="L2447" s="218"/>
      <c r="M2447" s="218"/>
      <c r="N2447" s="218"/>
      <c r="O2447" s="218"/>
      <c r="P2447" s="218"/>
      <c r="Q2447" s="222"/>
      <c r="R2447" s="222"/>
      <c r="S2447" s="218"/>
      <c r="U2447" s="218"/>
      <c r="X2447" s="218"/>
      <c r="AB2447" t="e">
        <v>#N/A</v>
      </c>
    </row>
    <row r="2448">
      <c r="A2448" s="218"/>
      <c r="C2448" s="218"/>
      <c r="F2448" s="457"/>
      <c r="G2448" s="218"/>
      <c r="H2448" s="218"/>
      <c r="I2448" s="218"/>
      <c r="J2448" s="218"/>
      <c r="K2448" s="218"/>
      <c r="L2448" s="218"/>
      <c r="M2448" s="218"/>
      <c r="N2448" s="218"/>
      <c r="O2448" s="218"/>
      <c r="P2448" s="218"/>
      <c r="Q2448" s="222"/>
      <c r="R2448" s="222"/>
      <c r="S2448" s="218"/>
      <c r="U2448" s="218"/>
      <c r="X2448" s="218"/>
      <c r="AB2448" t="e">
        <v>#N/A</v>
      </c>
    </row>
    <row r="2449">
      <c r="A2449" s="218"/>
      <c r="C2449" s="218"/>
      <c r="F2449" s="457"/>
      <c r="G2449" s="218"/>
      <c r="H2449" s="218"/>
      <c r="I2449" s="218"/>
      <c r="J2449" s="218"/>
      <c r="K2449" s="218"/>
      <c r="L2449" s="218"/>
      <c r="M2449" s="218"/>
      <c r="N2449" s="218"/>
      <c r="O2449" s="218"/>
      <c r="P2449" s="218"/>
      <c r="Q2449" s="222"/>
      <c r="R2449" s="222"/>
      <c r="S2449" s="218"/>
      <c r="U2449" s="218"/>
      <c r="X2449" s="218"/>
      <c r="AB2449" t="e">
        <v>#N/A</v>
      </c>
    </row>
    <row r="2450">
      <c r="A2450" s="218"/>
      <c r="C2450" s="218"/>
      <c r="F2450" s="457"/>
      <c r="G2450" s="218"/>
      <c r="H2450" s="218"/>
      <c r="I2450" s="218"/>
      <c r="J2450" s="218"/>
      <c r="K2450" s="218"/>
      <c r="L2450" s="218"/>
      <c r="M2450" s="218"/>
      <c r="N2450" s="218"/>
      <c r="O2450" s="218"/>
      <c r="P2450" s="218"/>
      <c r="Q2450" s="222"/>
      <c r="R2450" s="222"/>
      <c r="S2450" s="218"/>
      <c r="U2450" s="218"/>
      <c r="X2450" s="218"/>
      <c r="AB2450" t="e">
        <v>#N/A</v>
      </c>
    </row>
    <row r="2451">
      <c r="A2451" s="218"/>
      <c r="C2451" s="218"/>
      <c r="F2451" s="457"/>
      <c r="G2451" s="218"/>
      <c r="H2451" s="218"/>
      <c r="I2451" s="218"/>
      <c r="J2451" s="218"/>
      <c r="K2451" s="218"/>
      <c r="L2451" s="218"/>
      <c r="M2451" s="218"/>
      <c r="N2451" s="218"/>
      <c r="O2451" s="218"/>
      <c r="P2451" s="218"/>
      <c r="Q2451" s="222"/>
      <c r="R2451" s="222"/>
      <c r="S2451" s="218"/>
      <c r="U2451" s="218"/>
      <c r="X2451" s="218"/>
      <c r="AB2451" t="e">
        <v>#N/A</v>
      </c>
    </row>
    <row r="2452">
      <c r="A2452" s="218"/>
      <c r="C2452" s="218"/>
      <c r="F2452" s="457"/>
      <c r="G2452" s="218"/>
      <c r="H2452" s="218"/>
      <c r="I2452" s="218"/>
      <c r="J2452" s="218"/>
      <c r="K2452" s="218"/>
      <c r="L2452" s="218"/>
      <c r="M2452" s="218"/>
      <c r="N2452" s="218"/>
      <c r="O2452" s="218"/>
      <c r="P2452" s="218"/>
      <c r="Q2452" s="222"/>
      <c r="R2452" s="222"/>
      <c r="S2452" s="218"/>
      <c r="U2452" s="218"/>
      <c r="X2452" s="218"/>
      <c r="AB2452" t="e">
        <v>#N/A</v>
      </c>
    </row>
    <row r="2453">
      <c r="A2453" s="218"/>
      <c r="C2453" s="218"/>
      <c r="F2453" s="457"/>
      <c r="G2453" s="218"/>
      <c r="H2453" s="218"/>
      <c r="I2453" s="218"/>
      <c r="J2453" s="218"/>
      <c r="K2453" s="218"/>
      <c r="L2453" s="218"/>
      <c r="M2453" s="218"/>
      <c r="N2453" s="218"/>
      <c r="O2453" s="218"/>
      <c r="P2453" s="218"/>
      <c r="Q2453" s="222"/>
      <c r="R2453" s="222"/>
      <c r="S2453" s="218"/>
      <c r="U2453" s="218"/>
      <c r="X2453" s="218"/>
      <c r="AB2453" t="e">
        <v>#N/A</v>
      </c>
    </row>
    <row r="2454">
      <c r="A2454" s="218"/>
      <c r="C2454" s="218"/>
      <c r="F2454" s="457"/>
      <c r="G2454" s="218"/>
      <c r="H2454" s="218"/>
      <c r="I2454" s="218"/>
      <c r="J2454" s="218"/>
      <c r="K2454" s="218"/>
      <c r="L2454" s="218"/>
      <c r="M2454" s="218"/>
      <c r="N2454" s="218"/>
      <c r="O2454" s="218"/>
      <c r="P2454" s="218"/>
      <c r="Q2454" s="222"/>
      <c r="R2454" s="222"/>
      <c r="S2454" s="218"/>
      <c r="U2454" s="218"/>
      <c r="X2454" s="218"/>
      <c r="AB2454" t="e">
        <v>#N/A</v>
      </c>
    </row>
    <row r="2455">
      <c r="A2455" s="218"/>
      <c r="C2455" s="218"/>
      <c r="F2455" s="457"/>
      <c r="G2455" s="218"/>
      <c r="H2455" s="218"/>
      <c r="I2455" s="218"/>
      <c r="J2455" s="218"/>
      <c r="K2455" s="218"/>
      <c r="L2455" s="218"/>
      <c r="M2455" s="218"/>
      <c r="N2455" s="218"/>
      <c r="O2455" s="218"/>
      <c r="P2455" s="218"/>
      <c r="Q2455" s="222"/>
      <c r="R2455" s="222"/>
      <c r="S2455" s="218"/>
      <c r="U2455" s="218"/>
      <c r="X2455" s="218"/>
      <c r="AB2455" t="e">
        <v>#N/A</v>
      </c>
    </row>
    <row r="2456">
      <c r="A2456" s="218"/>
      <c r="C2456" s="218"/>
      <c r="F2456" s="457"/>
      <c r="G2456" s="218"/>
      <c r="H2456" s="218"/>
      <c r="I2456" s="218"/>
      <c r="J2456" s="218"/>
      <c r="K2456" s="218"/>
      <c r="L2456" s="218"/>
      <c r="M2456" s="218"/>
      <c r="N2456" s="218"/>
      <c r="O2456" s="218"/>
      <c r="P2456" s="218"/>
      <c r="Q2456" s="222"/>
      <c r="R2456" s="222"/>
      <c r="S2456" s="218"/>
      <c r="U2456" s="218"/>
      <c r="X2456" s="218"/>
      <c r="AB2456" t="e">
        <v>#N/A</v>
      </c>
    </row>
    <row r="2457">
      <c r="A2457" s="218"/>
      <c r="C2457" s="218"/>
      <c r="F2457" s="457"/>
      <c r="G2457" s="218"/>
      <c r="H2457" s="218"/>
      <c r="I2457" s="218"/>
      <c r="J2457" s="218"/>
      <c r="K2457" s="218"/>
      <c r="L2457" s="218"/>
      <c r="M2457" s="218"/>
      <c r="N2457" s="218"/>
      <c r="O2457" s="218"/>
      <c r="P2457" s="218"/>
      <c r="Q2457" s="222"/>
      <c r="R2457" s="222"/>
      <c r="S2457" s="218"/>
      <c r="U2457" s="218"/>
      <c r="X2457" s="218"/>
      <c r="AB2457" t="e">
        <v>#N/A</v>
      </c>
    </row>
    <row r="2458">
      <c r="A2458" s="218"/>
      <c r="C2458" s="218"/>
      <c r="F2458" s="457"/>
      <c r="G2458" s="218"/>
      <c r="H2458" s="218"/>
      <c r="I2458" s="218"/>
      <c r="J2458" s="218"/>
      <c r="K2458" s="218"/>
      <c r="L2458" s="218"/>
      <c r="M2458" s="218"/>
      <c r="N2458" s="218"/>
      <c r="O2458" s="218"/>
      <c r="P2458" s="218"/>
      <c r="Q2458" s="222"/>
      <c r="R2458" s="222"/>
      <c r="S2458" s="218"/>
      <c r="U2458" s="218"/>
      <c r="X2458" s="218"/>
      <c r="AB2458" t="e">
        <v>#N/A</v>
      </c>
    </row>
    <row r="2459">
      <c r="A2459" s="218"/>
      <c r="C2459" s="218"/>
      <c r="F2459" s="457"/>
      <c r="G2459" s="218"/>
      <c r="H2459" s="218"/>
      <c r="I2459" s="218"/>
      <c r="J2459" s="218"/>
      <c r="K2459" s="218"/>
      <c r="L2459" s="218"/>
      <c r="M2459" s="218"/>
      <c r="N2459" s="218"/>
      <c r="O2459" s="218"/>
      <c r="P2459" s="218"/>
      <c r="Q2459" s="222"/>
      <c r="R2459" s="222"/>
      <c r="S2459" s="218"/>
      <c r="U2459" s="218"/>
      <c r="X2459" s="218"/>
      <c r="AB2459" t="e">
        <v>#N/A</v>
      </c>
    </row>
    <row r="2460">
      <c r="A2460" s="218"/>
      <c r="C2460" s="218"/>
      <c r="F2460" s="457"/>
      <c r="G2460" s="218"/>
      <c r="H2460" s="218"/>
      <c r="I2460" s="218"/>
      <c r="J2460" s="218"/>
      <c r="K2460" s="218"/>
      <c r="L2460" s="218"/>
      <c r="M2460" s="218"/>
      <c r="N2460" s="218"/>
      <c r="O2460" s="218"/>
      <c r="P2460" s="218"/>
      <c r="Q2460" s="222"/>
      <c r="R2460" s="222"/>
      <c r="S2460" s="218"/>
      <c r="U2460" s="218"/>
      <c r="X2460" s="218"/>
      <c r="AB2460" t="e">
        <v>#N/A</v>
      </c>
    </row>
    <row r="2461">
      <c r="A2461" s="218"/>
      <c r="C2461" s="218"/>
      <c r="F2461" s="457"/>
      <c r="G2461" s="218"/>
      <c r="H2461" s="218"/>
      <c r="I2461" s="218"/>
      <c r="J2461" s="218"/>
      <c r="K2461" s="218"/>
      <c r="L2461" s="218"/>
      <c r="M2461" s="218"/>
      <c r="N2461" s="218"/>
      <c r="O2461" s="218"/>
      <c r="P2461" s="218"/>
      <c r="Q2461" s="222"/>
      <c r="R2461" s="222"/>
      <c r="S2461" s="218"/>
      <c r="U2461" s="218"/>
      <c r="X2461" s="218"/>
      <c r="AB2461" t="e">
        <v>#N/A</v>
      </c>
    </row>
    <row r="2462">
      <c r="A2462" s="218"/>
      <c r="C2462" s="218"/>
      <c r="F2462" s="457"/>
      <c r="G2462" s="218"/>
      <c r="H2462" s="218"/>
      <c r="I2462" s="218"/>
      <c r="J2462" s="218"/>
      <c r="K2462" s="218"/>
      <c r="L2462" s="218"/>
      <c r="M2462" s="218"/>
      <c r="N2462" s="218"/>
      <c r="O2462" s="218"/>
      <c r="P2462" s="218"/>
      <c r="Q2462" s="222"/>
      <c r="R2462" s="222"/>
      <c r="S2462" s="218"/>
      <c r="U2462" s="218"/>
      <c r="X2462" s="218"/>
      <c r="AB2462" t="e">
        <v>#N/A</v>
      </c>
    </row>
    <row r="2463">
      <c r="A2463" s="218"/>
      <c r="C2463" s="218"/>
      <c r="F2463" s="457"/>
      <c r="G2463" s="218"/>
      <c r="H2463" s="218"/>
      <c r="I2463" s="218"/>
      <c r="J2463" s="218"/>
      <c r="K2463" s="218"/>
      <c r="L2463" s="218"/>
      <c r="M2463" s="218"/>
      <c r="N2463" s="218"/>
      <c r="O2463" s="218"/>
      <c r="P2463" s="218"/>
      <c r="Q2463" s="222"/>
      <c r="R2463" s="222"/>
      <c r="S2463" s="218"/>
      <c r="U2463" s="218"/>
      <c r="X2463" s="218"/>
      <c r="AB2463" t="e">
        <v>#N/A</v>
      </c>
    </row>
    <row r="2464">
      <c r="A2464" s="218"/>
      <c r="C2464" s="218"/>
      <c r="F2464" s="457"/>
      <c r="G2464" s="218"/>
      <c r="H2464" s="218"/>
      <c r="I2464" s="218"/>
      <c r="J2464" s="218"/>
      <c r="K2464" s="218"/>
      <c r="L2464" s="218"/>
      <c r="M2464" s="218"/>
      <c r="N2464" s="218"/>
      <c r="O2464" s="218"/>
      <c r="P2464" s="218"/>
      <c r="Q2464" s="222"/>
      <c r="R2464" s="222"/>
      <c r="S2464" s="218"/>
      <c r="U2464" s="218"/>
      <c r="X2464" s="218"/>
      <c r="AB2464" t="e">
        <v>#N/A</v>
      </c>
    </row>
    <row r="2465">
      <c r="A2465" s="218"/>
      <c r="C2465" s="218"/>
      <c r="F2465" s="457"/>
      <c r="G2465" s="218"/>
      <c r="H2465" s="218"/>
      <c r="I2465" s="218"/>
      <c r="J2465" s="218"/>
      <c r="K2465" s="218"/>
      <c r="L2465" s="218"/>
      <c r="M2465" s="218"/>
      <c r="N2465" s="218"/>
      <c r="O2465" s="218"/>
      <c r="P2465" s="218"/>
      <c r="Q2465" s="222"/>
      <c r="R2465" s="222"/>
      <c r="S2465" s="218"/>
      <c r="U2465" s="218"/>
      <c r="X2465" s="218"/>
      <c r="AB2465" t="e">
        <v>#N/A</v>
      </c>
    </row>
    <row r="2466">
      <c r="A2466" s="218"/>
      <c r="C2466" s="218"/>
      <c r="F2466" s="457"/>
      <c r="G2466" s="218"/>
      <c r="H2466" s="218"/>
      <c r="I2466" s="218"/>
      <c r="J2466" s="218"/>
      <c r="K2466" s="218"/>
      <c r="L2466" s="218"/>
      <c r="M2466" s="218"/>
      <c r="N2466" s="218"/>
      <c r="O2466" s="218"/>
      <c r="P2466" s="218"/>
      <c r="Q2466" s="222"/>
      <c r="R2466" s="222"/>
      <c r="S2466" s="218"/>
      <c r="U2466" s="218"/>
      <c r="X2466" s="218"/>
      <c r="AB2466" t="e">
        <v>#N/A</v>
      </c>
    </row>
    <row r="2467">
      <c r="A2467" s="218"/>
      <c r="C2467" s="218"/>
      <c r="F2467" s="457"/>
      <c r="G2467" s="218"/>
      <c r="H2467" s="218"/>
      <c r="I2467" s="218"/>
      <c r="J2467" s="218"/>
      <c r="K2467" s="218"/>
      <c r="L2467" s="218"/>
      <c r="M2467" s="218"/>
      <c r="N2467" s="218"/>
      <c r="O2467" s="218"/>
      <c r="P2467" s="218"/>
      <c r="Q2467" s="222"/>
      <c r="R2467" s="222"/>
      <c r="S2467" s="218"/>
      <c r="U2467" s="218"/>
      <c r="X2467" s="218"/>
      <c r="AB2467" t="e">
        <v>#N/A</v>
      </c>
    </row>
    <row r="2468">
      <c r="A2468" s="218"/>
      <c r="C2468" s="218"/>
      <c r="F2468" s="457"/>
      <c r="G2468" s="218"/>
      <c r="H2468" s="218"/>
      <c r="I2468" s="218"/>
      <c r="J2468" s="218"/>
      <c r="K2468" s="218"/>
      <c r="L2468" s="218"/>
      <c r="M2468" s="218"/>
      <c r="N2468" s="218"/>
      <c r="O2468" s="218"/>
      <c r="P2468" s="218"/>
      <c r="Q2468" s="222"/>
      <c r="R2468" s="222"/>
      <c r="S2468" s="218"/>
      <c r="U2468" s="218"/>
      <c r="X2468" s="218"/>
      <c r="AB2468" t="e">
        <v>#N/A</v>
      </c>
    </row>
    <row r="2469">
      <c r="A2469" s="218"/>
      <c r="C2469" s="218"/>
      <c r="F2469" s="457"/>
      <c r="G2469" s="218"/>
      <c r="H2469" s="218"/>
      <c r="I2469" s="218"/>
      <c r="J2469" s="218"/>
      <c r="K2469" s="218"/>
      <c r="L2469" s="218"/>
      <c r="M2469" s="218"/>
      <c r="N2469" s="218"/>
      <c r="O2469" s="218"/>
      <c r="P2469" s="218"/>
      <c r="Q2469" s="222"/>
      <c r="R2469" s="222"/>
      <c r="S2469" s="218"/>
      <c r="U2469" s="218"/>
      <c r="X2469" s="218"/>
      <c r="AB2469" t="e">
        <v>#N/A</v>
      </c>
    </row>
    <row r="2470">
      <c r="A2470" s="218"/>
      <c r="C2470" s="218"/>
      <c r="F2470" s="457"/>
      <c r="G2470" s="218"/>
      <c r="H2470" s="218"/>
      <c r="I2470" s="218"/>
      <c r="J2470" s="218"/>
      <c r="K2470" s="218"/>
      <c r="L2470" s="218"/>
      <c r="M2470" s="218"/>
      <c r="N2470" s="218"/>
      <c r="O2470" s="218"/>
      <c r="P2470" s="218"/>
      <c r="Q2470" s="222"/>
      <c r="R2470" s="222"/>
      <c r="S2470" s="218"/>
      <c r="U2470" s="218"/>
      <c r="X2470" s="218"/>
      <c r="AB2470" t="e">
        <v>#N/A</v>
      </c>
    </row>
    <row r="2471">
      <c r="A2471" s="218"/>
      <c r="C2471" s="218"/>
      <c r="F2471" s="457"/>
      <c r="G2471" s="218"/>
      <c r="H2471" s="218"/>
      <c r="I2471" s="218"/>
      <c r="J2471" s="218"/>
      <c r="K2471" s="218"/>
      <c r="L2471" s="218"/>
      <c r="M2471" s="218"/>
      <c r="N2471" s="218"/>
      <c r="O2471" s="218"/>
      <c r="P2471" s="218"/>
      <c r="Q2471" s="222"/>
      <c r="R2471" s="222"/>
      <c r="S2471" s="218"/>
      <c r="U2471" s="218"/>
      <c r="X2471" s="218"/>
      <c r="AB2471" t="e">
        <v>#N/A</v>
      </c>
    </row>
    <row r="2472">
      <c r="A2472" s="218"/>
      <c r="C2472" s="218"/>
      <c r="F2472" s="457"/>
      <c r="G2472" s="218"/>
      <c r="H2472" s="218"/>
      <c r="I2472" s="218"/>
      <c r="J2472" s="218"/>
      <c r="K2472" s="218"/>
      <c r="L2472" s="218"/>
      <c r="M2472" s="218"/>
      <c r="N2472" s="218"/>
      <c r="O2472" s="218"/>
      <c r="P2472" s="218"/>
      <c r="Q2472" s="222"/>
      <c r="R2472" s="222"/>
      <c r="S2472" s="218"/>
      <c r="U2472" s="218"/>
      <c r="X2472" s="218"/>
      <c r="AB2472" t="e">
        <v>#N/A</v>
      </c>
    </row>
    <row r="2473">
      <c r="A2473" s="218"/>
      <c r="C2473" s="218"/>
      <c r="F2473" s="457"/>
      <c r="G2473" s="218"/>
      <c r="H2473" s="218"/>
      <c r="I2473" s="218"/>
      <c r="J2473" s="218"/>
      <c r="K2473" s="218"/>
      <c r="L2473" s="218"/>
      <c r="M2473" s="218"/>
      <c r="N2473" s="218"/>
      <c r="O2473" s="218"/>
      <c r="P2473" s="218"/>
      <c r="Q2473" s="222"/>
      <c r="R2473" s="222"/>
      <c r="S2473" s="218"/>
      <c r="U2473" s="218"/>
      <c r="X2473" s="218"/>
      <c r="AB2473" t="e">
        <v>#N/A</v>
      </c>
    </row>
    <row r="2474">
      <c r="A2474" s="218"/>
      <c r="C2474" s="218"/>
      <c r="F2474" s="457"/>
      <c r="G2474" s="218"/>
      <c r="H2474" s="218"/>
      <c r="I2474" s="218"/>
      <c r="J2474" s="218"/>
      <c r="K2474" s="218"/>
      <c r="L2474" s="218"/>
      <c r="M2474" s="218"/>
      <c r="N2474" s="218"/>
      <c r="O2474" s="218"/>
      <c r="P2474" s="218"/>
      <c r="Q2474" s="222"/>
      <c r="R2474" s="222"/>
      <c r="S2474" s="218"/>
      <c r="U2474" s="218"/>
      <c r="X2474" s="218"/>
      <c r="AB2474" t="e">
        <v>#N/A</v>
      </c>
    </row>
    <row r="2475">
      <c r="A2475" s="218"/>
      <c r="C2475" s="218"/>
      <c r="F2475" s="457"/>
      <c r="G2475" s="218"/>
      <c r="H2475" s="218"/>
      <c r="I2475" s="218"/>
      <c r="J2475" s="218"/>
      <c r="K2475" s="218"/>
      <c r="L2475" s="218"/>
      <c r="M2475" s="218"/>
      <c r="N2475" s="218"/>
      <c r="O2475" s="218"/>
      <c r="P2475" s="218"/>
      <c r="Q2475" s="222"/>
      <c r="R2475" s="222"/>
      <c r="S2475" s="218"/>
      <c r="U2475" s="218"/>
      <c r="X2475" s="218"/>
      <c r="AB2475" t="e">
        <v>#N/A</v>
      </c>
    </row>
    <row r="2476">
      <c r="A2476" s="218"/>
      <c r="C2476" s="218"/>
      <c r="F2476" s="457"/>
      <c r="G2476" s="218"/>
      <c r="H2476" s="218"/>
      <c r="I2476" s="218"/>
      <c r="J2476" s="218"/>
      <c r="K2476" s="218"/>
      <c r="L2476" s="218"/>
      <c r="M2476" s="218"/>
      <c r="N2476" s="218"/>
      <c r="O2476" s="218"/>
      <c r="P2476" s="218"/>
      <c r="Q2476" s="222"/>
      <c r="R2476" s="222"/>
      <c r="S2476" s="218"/>
      <c r="U2476" s="218"/>
      <c r="X2476" s="218"/>
      <c r="AB2476" t="e">
        <v>#N/A</v>
      </c>
    </row>
    <row r="2477">
      <c r="A2477" s="218"/>
      <c r="C2477" s="218"/>
      <c r="F2477" s="457"/>
      <c r="G2477" s="218"/>
      <c r="H2477" s="218"/>
      <c r="I2477" s="218"/>
      <c r="J2477" s="218"/>
      <c r="K2477" s="218"/>
      <c r="L2477" s="218"/>
      <c r="M2477" s="218"/>
      <c r="N2477" s="218"/>
      <c r="O2477" s="218"/>
      <c r="P2477" s="218"/>
      <c r="Q2477" s="222"/>
      <c r="R2477" s="222"/>
      <c r="S2477" s="218"/>
      <c r="U2477" s="218"/>
      <c r="X2477" s="218"/>
      <c r="AB2477" t="e">
        <v>#N/A</v>
      </c>
    </row>
    <row r="2478">
      <c r="A2478" s="218"/>
      <c r="C2478" s="218"/>
      <c r="F2478" s="457"/>
      <c r="G2478" s="218"/>
      <c r="H2478" s="218"/>
      <c r="I2478" s="218"/>
      <c r="J2478" s="218"/>
      <c r="K2478" s="218"/>
      <c r="L2478" s="218"/>
      <c r="M2478" s="218"/>
      <c r="N2478" s="218"/>
      <c r="O2478" s="218"/>
      <c r="P2478" s="218"/>
      <c r="Q2478" s="222"/>
      <c r="R2478" s="222"/>
      <c r="S2478" s="218"/>
      <c r="U2478" s="218"/>
      <c r="X2478" s="218"/>
      <c r="AB2478" t="e">
        <v>#N/A</v>
      </c>
    </row>
    <row r="2479">
      <c r="A2479" s="218"/>
      <c r="C2479" s="218"/>
      <c r="F2479" s="457"/>
      <c r="G2479" s="218"/>
      <c r="H2479" s="218"/>
      <c r="I2479" s="218"/>
      <c r="J2479" s="218"/>
      <c r="K2479" s="218"/>
      <c r="L2479" s="218"/>
      <c r="M2479" s="218"/>
      <c r="N2479" s="218"/>
      <c r="O2479" s="218"/>
      <c r="P2479" s="218"/>
      <c r="Q2479" s="222"/>
      <c r="R2479" s="222"/>
      <c r="S2479" s="218"/>
      <c r="U2479" s="218"/>
      <c r="X2479" s="218"/>
      <c r="AB2479" t="e">
        <v>#N/A</v>
      </c>
    </row>
    <row r="2480">
      <c r="A2480" s="218"/>
      <c r="C2480" s="218"/>
      <c r="F2480" s="457"/>
      <c r="G2480" s="218"/>
      <c r="H2480" s="218"/>
      <c r="I2480" s="218"/>
      <c r="J2480" s="218"/>
      <c r="K2480" s="218"/>
      <c r="L2480" s="218"/>
      <c r="M2480" s="218"/>
      <c r="N2480" s="218"/>
      <c r="O2480" s="218"/>
      <c r="P2480" s="218"/>
      <c r="Q2480" s="222"/>
      <c r="R2480" s="222"/>
      <c r="S2480" s="218"/>
      <c r="U2480" s="218"/>
      <c r="X2480" s="218"/>
      <c r="AB2480" t="e">
        <v>#N/A</v>
      </c>
    </row>
    <row r="2481">
      <c r="A2481" s="218"/>
      <c r="C2481" s="218"/>
      <c r="F2481" s="457"/>
      <c r="G2481" s="218"/>
      <c r="H2481" s="218"/>
      <c r="I2481" s="218"/>
      <c r="J2481" s="218"/>
      <c r="K2481" s="218"/>
      <c r="L2481" s="218"/>
      <c r="M2481" s="218"/>
      <c r="N2481" s="218"/>
      <c r="O2481" s="218"/>
      <c r="P2481" s="218"/>
      <c r="Q2481" s="222"/>
      <c r="R2481" s="222"/>
      <c r="S2481" s="218"/>
      <c r="U2481" s="218"/>
      <c r="X2481" s="218"/>
      <c r="AB2481" t="e">
        <v>#N/A</v>
      </c>
    </row>
    <row r="2482">
      <c r="A2482" s="218"/>
      <c r="C2482" s="218"/>
      <c r="F2482" s="457"/>
      <c r="G2482" s="218"/>
      <c r="H2482" s="218"/>
      <c r="I2482" s="218"/>
      <c r="J2482" s="218"/>
      <c r="K2482" s="218"/>
      <c r="L2482" s="218"/>
      <c r="M2482" s="218"/>
      <c r="N2482" s="218"/>
      <c r="O2482" s="218"/>
      <c r="P2482" s="218"/>
      <c r="Q2482" s="222"/>
      <c r="R2482" s="222"/>
      <c r="S2482" s="218"/>
      <c r="U2482" s="218"/>
      <c r="X2482" s="218"/>
      <c r="AB2482" t="e">
        <v>#N/A</v>
      </c>
    </row>
    <row r="2483">
      <c r="A2483" s="218"/>
      <c r="C2483" s="218"/>
      <c r="F2483" s="457"/>
      <c r="G2483" s="218"/>
      <c r="H2483" s="218"/>
      <c r="I2483" s="218"/>
      <c r="J2483" s="218"/>
      <c r="K2483" s="218"/>
      <c r="L2483" s="218"/>
      <c r="M2483" s="218"/>
      <c r="N2483" s="218"/>
      <c r="O2483" s="218"/>
      <c r="P2483" s="218"/>
      <c r="Q2483" s="222"/>
      <c r="R2483" s="222"/>
      <c r="S2483" s="218"/>
      <c r="U2483" s="218"/>
      <c r="X2483" s="218"/>
      <c r="AB2483" t="e">
        <v>#N/A</v>
      </c>
    </row>
    <row r="2484">
      <c r="A2484" s="218"/>
      <c r="C2484" s="218"/>
      <c r="F2484" s="457"/>
      <c r="G2484" s="218"/>
      <c r="H2484" s="218"/>
      <c r="I2484" s="218"/>
      <c r="J2484" s="218"/>
      <c r="K2484" s="218"/>
      <c r="L2484" s="218"/>
      <c r="M2484" s="218"/>
      <c r="N2484" s="218"/>
      <c r="O2484" s="218"/>
      <c r="P2484" s="218"/>
      <c r="Q2484" s="222"/>
      <c r="R2484" s="222"/>
      <c r="S2484" s="218"/>
      <c r="U2484" s="218"/>
      <c r="X2484" s="218"/>
      <c r="AB2484" t="e">
        <v>#N/A</v>
      </c>
    </row>
    <row r="2485">
      <c r="A2485" s="218"/>
      <c r="C2485" s="218"/>
      <c r="F2485" s="457"/>
      <c r="G2485" s="218"/>
      <c r="H2485" s="218"/>
      <c r="I2485" s="218"/>
      <c r="J2485" s="218"/>
      <c r="K2485" s="218"/>
      <c r="L2485" s="218"/>
      <c r="M2485" s="218"/>
      <c r="N2485" s="218"/>
      <c r="O2485" s="218"/>
      <c r="P2485" s="218"/>
      <c r="Q2485" s="222"/>
      <c r="R2485" s="222"/>
      <c r="S2485" s="218"/>
      <c r="U2485" s="218"/>
      <c r="X2485" s="218"/>
      <c r="AB2485" t="e">
        <v>#N/A</v>
      </c>
    </row>
    <row r="2486">
      <c r="A2486" s="218"/>
      <c r="C2486" s="218"/>
      <c r="F2486" s="457"/>
      <c r="G2486" s="218"/>
      <c r="H2486" s="218"/>
      <c r="I2486" s="218"/>
      <c r="J2486" s="218"/>
      <c r="K2486" s="218"/>
      <c r="L2486" s="218"/>
      <c r="M2486" s="218"/>
      <c r="N2486" s="218"/>
      <c r="O2486" s="218"/>
      <c r="P2486" s="218"/>
      <c r="Q2486" s="222"/>
      <c r="R2486" s="222"/>
      <c r="S2486" s="218"/>
      <c r="U2486" s="218"/>
      <c r="X2486" s="218"/>
      <c r="AB2486" t="e">
        <v>#N/A</v>
      </c>
    </row>
    <row r="2487">
      <c r="A2487" s="218"/>
      <c r="C2487" s="218"/>
      <c r="F2487" s="457"/>
      <c r="G2487" s="218"/>
      <c r="H2487" s="218"/>
      <c r="I2487" s="218"/>
      <c r="J2487" s="218"/>
      <c r="K2487" s="218"/>
      <c r="L2487" s="218"/>
      <c r="M2487" s="218"/>
      <c r="N2487" s="218"/>
      <c r="O2487" s="218"/>
      <c r="P2487" s="218"/>
      <c r="Q2487" s="222"/>
      <c r="R2487" s="222"/>
      <c r="S2487" s="218"/>
      <c r="U2487" s="218"/>
      <c r="X2487" s="218"/>
      <c r="AB2487" t="e">
        <v>#N/A</v>
      </c>
    </row>
    <row r="2488">
      <c r="A2488" s="218"/>
      <c r="C2488" s="218"/>
      <c r="F2488" s="457"/>
      <c r="G2488" s="218"/>
      <c r="H2488" s="218"/>
      <c r="I2488" s="218"/>
      <c r="J2488" s="218"/>
      <c r="K2488" s="218"/>
      <c r="L2488" s="218"/>
      <c r="M2488" s="218"/>
      <c r="N2488" s="218"/>
      <c r="O2488" s="218"/>
      <c r="P2488" s="218"/>
      <c r="Q2488" s="222"/>
      <c r="R2488" s="222"/>
      <c r="S2488" s="218"/>
      <c r="U2488" s="218"/>
      <c r="X2488" s="218"/>
      <c r="AB2488" t="e">
        <v>#N/A</v>
      </c>
    </row>
    <row r="2489">
      <c r="A2489" s="218"/>
      <c r="C2489" s="218"/>
      <c r="F2489" s="457"/>
      <c r="G2489" s="218"/>
      <c r="H2489" s="218"/>
      <c r="I2489" s="218"/>
      <c r="J2489" s="218"/>
      <c r="K2489" s="218"/>
      <c r="L2489" s="218"/>
      <c r="M2489" s="218"/>
      <c r="N2489" s="218"/>
      <c r="O2489" s="218"/>
      <c r="P2489" s="218"/>
      <c r="Q2489" s="222"/>
      <c r="R2489" s="222"/>
      <c r="S2489" s="218"/>
      <c r="U2489" s="218"/>
      <c r="X2489" s="218"/>
      <c r="AB2489" t="e">
        <v>#N/A</v>
      </c>
    </row>
    <row r="2490">
      <c r="A2490" s="218"/>
      <c r="C2490" s="218"/>
      <c r="F2490" s="457"/>
      <c r="G2490" s="218"/>
      <c r="H2490" s="218"/>
      <c r="I2490" s="218"/>
      <c r="J2490" s="218"/>
      <c r="K2490" s="218"/>
      <c r="L2490" s="218"/>
      <c r="M2490" s="218"/>
      <c r="N2490" s="218"/>
      <c r="O2490" s="218"/>
      <c r="P2490" s="218"/>
      <c r="Q2490" s="222"/>
      <c r="R2490" s="222"/>
      <c r="S2490" s="218"/>
      <c r="U2490" s="218"/>
      <c r="X2490" s="218"/>
      <c r="AB2490" t="e">
        <v>#N/A</v>
      </c>
    </row>
    <row r="2491">
      <c r="A2491" s="218"/>
      <c r="C2491" s="218"/>
      <c r="F2491" s="457"/>
      <c r="G2491" s="218"/>
      <c r="H2491" s="218"/>
      <c r="I2491" s="218"/>
      <c r="J2491" s="218"/>
      <c r="K2491" s="218"/>
      <c r="L2491" s="218"/>
      <c r="M2491" s="218"/>
      <c r="N2491" s="218"/>
      <c r="O2491" s="218"/>
      <c r="P2491" s="218"/>
      <c r="Q2491" s="222"/>
      <c r="R2491" s="222"/>
      <c r="S2491" s="218"/>
      <c r="U2491" s="218"/>
      <c r="X2491" s="218"/>
      <c r="AB2491" t="e">
        <v>#N/A</v>
      </c>
    </row>
    <row r="2492">
      <c r="A2492" s="218"/>
      <c r="C2492" s="218"/>
      <c r="F2492" s="457"/>
      <c r="G2492" s="218"/>
      <c r="H2492" s="218"/>
      <c r="I2492" s="218"/>
      <c r="J2492" s="218"/>
      <c r="K2492" s="218"/>
      <c r="L2492" s="218"/>
      <c r="M2492" s="218"/>
      <c r="N2492" s="218"/>
      <c r="O2492" s="218"/>
      <c r="P2492" s="218"/>
      <c r="Q2492" s="222"/>
      <c r="R2492" s="222"/>
      <c r="S2492" s="218"/>
      <c r="U2492" s="218"/>
      <c r="X2492" s="218"/>
      <c r="AB2492" t="e">
        <v>#N/A</v>
      </c>
    </row>
    <row r="2493">
      <c r="A2493" s="218"/>
      <c r="C2493" s="218"/>
      <c r="F2493" s="457"/>
      <c r="G2493" s="218"/>
      <c r="H2493" s="218"/>
      <c r="I2493" s="218"/>
      <c r="J2493" s="218"/>
      <c r="K2493" s="218"/>
      <c r="L2493" s="218"/>
      <c r="M2493" s="218"/>
      <c r="N2493" s="218"/>
      <c r="O2493" s="218"/>
      <c r="P2493" s="218"/>
      <c r="Q2493" s="222"/>
      <c r="R2493" s="222"/>
      <c r="S2493" s="218"/>
      <c r="U2493" s="218"/>
      <c r="X2493" s="218"/>
      <c r="AB2493" t="e">
        <v>#N/A</v>
      </c>
    </row>
    <row r="2494">
      <c r="A2494" s="218"/>
      <c r="C2494" s="218"/>
      <c r="F2494" s="457"/>
      <c r="G2494" s="218"/>
      <c r="H2494" s="218"/>
      <c r="I2494" s="218"/>
      <c r="J2494" s="218"/>
      <c r="K2494" s="218"/>
      <c r="L2494" s="218"/>
      <c r="M2494" s="218"/>
      <c r="N2494" s="218"/>
      <c r="O2494" s="218"/>
      <c r="P2494" s="218"/>
      <c r="Q2494" s="222"/>
      <c r="R2494" s="222"/>
      <c r="S2494" s="218"/>
      <c r="U2494" s="218"/>
      <c r="X2494" s="218"/>
      <c r="AB2494" t="e">
        <v>#N/A</v>
      </c>
    </row>
    <row r="2495">
      <c r="A2495" s="218"/>
      <c r="C2495" s="218"/>
      <c r="F2495" s="457"/>
      <c r="G2495" s="218"/>
      <c r="H2495" s="218"/>
      <c r="I2495" s="218"/>
      <c r="J2495" s="218"/>
      <c r="K2495" s="218"/>
      <c r="L2495" s="218"/>
      <c r="M2495" s="218"/>
      <c r="N2495" s="218"/>
      <c r="O2495" s="218"/>
      <c r="P2495" s="218"/>
      <c r="Q2495" s="222"/>
      <c r="R2495" s="222"/>
      <c r="S2495" s="218"/>
      <c r="U2495" s="218"/>
      <c r="X2495" s="218"/>
      <c r="AB2495" t="e">
        <v>#N/A</v>
      </c>
    </row>
    <row r="2496">
      <c r="A2496" s="218"/>
      <c r="C2496" s="218"/>
      <c r="F2496" s="457"/>
      <c r="G2496" s="218"/>
      <c r="H2496" s="218"/>
      <c r="I2496" s="218"/>
      <c r="J2496" s="218"/>
      <c r="K2496" s="218"/>
      <c r="L2496" s="218"/>
      <c r="M2496" s="218"/>
      <c r="N2496" s="218"/>
      <c r="O2496" s="218"/>
      <c r="P2496" s="218"/>
      <c r="Q2496" s="222"/>
      <c r="R2496" s="222"/>
      <c r="S2496" s="218"/>
      <c r="U2496" s="218"/>
      <c r="X2496" s="218"/>
      <c r="AB2496" t="e">
        <v>#N/A</v>
      </c>
    </row>
    <row r="2497">
      <c r="A2497" s="218"/>
      <c r="C2497" s="218"/>
      <c r="F2497" s="457"/>
      <c r="G2497" s="218"/>
      <c r="H2497" s="218"/>
      <c r="I2497" s="218"/>
      <c r="J2497" s="218"/>
      <c r="K2497" s="218"/>
      <c r="L2497" s="218"/>
      <c r="M2497" s="218"/>
      <c r="N2497" s="218"/>
      <c r="O2497" s="218"/>
      <c r="P2497" s="218"/>
      <c r="Q2497" s="222"/>
      <c r="R2497" s="222"/>
      <c r="S2497" s="218"/>
      <c r="U2497" s="218"/>
      <c r="X2497" s="218"/>
      <c r="AB2497" t="e">
        <v>#N/A</v>
      </c>
    </row>
    <row r="2498">
      <c r="A2498" s="218"/>
      <c r="C2498" s="218"/>
      <c r="F2498" s="457"/>
      <c r="G2498" s="218"/>
      <c r="H2498" s="218"/>
      <c r="I2498" s="218"/>
      <c r="J2498" s="218"/>
      <c r="K2498" s="218"/>
      <c r="L2498" s="218"/>
      <c r="M2498" s="218"/>
      <c r="N2498" s="218"/>
      <c r="O2498" s="218"/>
      <c r="P2498" s="218"/>
      <c r="Q2498" s="222"/>
      <c r="R2498" s="222"/>
      <c r="S2498" s="218"/>
      <c r="U2498" s="218"/>
      <c r="X2498" s="218"/>
      <c r="AB2498" t="e">
        <v>#N/A</v>
      </c>
    </row>
    <row r="2499">
      <c r="A2499" s="218"/>
      <c r="C2499" s="218"/>
      <c r="F2499" s="457"/>
      <c r="G2499" s="218"/>
      <c r="H2499" s="218"/>
      <c r="I2499" s="218"/>
      <c r="J2499" s="218"/>
      <c r="K2499" s="218"/>
      <c r="L2499" s="218"/>
      <c r="M2499" s="218"/>
      <c r="N2499" s="218"/>
      <c r="O2499" s="218"/>
      <c r="P2499" s="218"/>
      <c r="Q2499" s="222"/>
      <c r="R2499" s="222"/>
      <c r="S2499" s="218"/>
      <c r="U2499" s="218"/>
      <c r="X2499" s="218"/>
      <c r="AB2499" t="e">
        <v>#N/A</v>
      </c>
    </row>
    <row r="2500">
      <c r="A2500" s="218"/>
      <c r="C2500" s="218"/>
      <c r="F2500" s="457"/>
      <c r="G2500" s="218"/>
      <c r="H2500" s="218"/>
      <c r="I2500" s="218"/>
      <c r="J2500" s="218"/>
      <c r="K2500" s="218"/>
      <c r="L2500" s="218"/>
      <c r="M2500" s="218"/>
      <c r="N2500" s="218"/>
      <c r="O2500" s="218"/>
      <c r="P2500" s="218"/>
      <c r="Q2500" s="222"/>
      <c r="R2500" s="222"/>
      <c r="S2500" s="218"/>
      <c r="U2500" s="218"/>
      <c r="X2500" s="218"/>
      <c r="AB2500" t="e">
        <v>#N/A</v>
      </c>
    </row>
    <row r="2501">
      <c r="A2501" s="218"/>
      <c r="C2501" s="218"/>
      <c r="F2501" s="457"/>
      <c r="G2501" s="218"/>
      <c r="H2501" s="218"/>
      <c r="I2501" s="218"/>
      <c r="J2501" s="218"/>
      <c r="K2501" s="218"/>
      <c r="L2501" s="218"/>
      <c r="M2501" s="218"/>
      <c r="N2501" s="218"/>
      <c r="O2501" s="218"/>
      <c r="P2501" s="218"/>
      <c r="Q2501" s="222"/>
      <c r="R2501" s="222"/>
      <c r="S2501" s="218"/>
      <c r="U2501" s="218"/>
      <c r="X2501" s="218"/>
      <c r="AB2501" t="e">
        <v>#N/A</v>
      </c>
    </row>
    <row r="2502">
      <c r="A2502" s="218"/>
      <c r="C2502" s="218"/>
      <c r="F2502" s="457"/>
      <c r="G2502" s="218"/>
      <c r="H2502" s="218"/>
      <c r="I2502" s="218"/>
      <c r="J2502" s="218"/>
      <c r="K2502" s="218"/>
      <c r="L2502" s="218"/>
      <c r="M2502" s="218"/>
      <c r="N2502" s="218"/>
      <c r="O2502" s="218"/>
      <c r="P2502" s="218"/>
      <c r="Q2502" s="222"/>
      <c r="R2502" s="222"/>
      <c r="S2502" s="218"/>
      <c r="U2502" s="218"/>
      <c r="X2502" s="218"/>
      <c r="AB2502" t="e">
        <v>#N/A</v>
      </c>
    </row>
    <row r="2503">
      <c r="A2503" s="218"/>
      <c r="C2503" s="218"/>
      <c r="F2503" s="457"/>
      <c r="G2503" s="218"/>
      <c r="H2503" s="218"/>
      <c r="I2503" s="218"/>
      <c r="J2503" s="218"/>
      <c r="K2503" s="218"/>
      <c r="L2503" s="218"/>
      <c r="M2503" s="218"/>
      <c r="N2503" s="218"/>
      <c r="O2503" s="218"/>
      <c r="P2503" s="218"/>
      <c r="Q2503" s="222"/>
      <c r="R2503" s="222"/>
      <c r="S2503" s="218"/>
      <c r="U2503" s="218"/>
      <c r="X2503" s="218"/>
      <c r="AB2503" t="e">
        <v>#N/A</v>
      </c>
    </row>
    <row r="2504">
      <c r="A2504" s="218"/>
      <c r="C2504" s="218"/>
      <c r="F2504" s="457"/>
      <c r="G2504" s="218"/>
      <c r="H2504" s="218"/>
      <c r="I2504" s="218"/>
      <c r="J2504" s="218"/>
      <c r="K2504" s="218"/>
      <c r="L2504" s="218"/>
      <c r="M2504" s="218"/>
      <c r="N2504" s="218"/>
      <c r="O2504" s="218"/>
      <c r="P2504" s="218"/>
      <c r="Q2504" s="222"/>
      <c r="R2504" s="222"/>
      <c r="S2504" s="218"/>
      <c r="U2504" s="218"/>
      <c r="X2504" s="218"/>
      <c r="AB2504" t="e">
        <v>#N/A</v>
      </c>
    </row>
    <row r="2505">
      <c r="A2505" s="218"/>
      <c r="C2505" s="218"/>
      <c r="F2505" s="457"/>
      <c r="G2505" s="218"/>
      <c r="H2505" s="218"/>
      <c r="I2505" s="218"/>
      <c r="J2505" s="218"/>
      <c r="K2505" s="218"/>
      <c r="L2505" s="218"/>
      <c r="M2505" s="218"/>
      <c r="N2505" s="218"/>
      <c r="O2505" s="218"/>
      <c r="P2505" s="218"/>
      <c r="Q2505" s="222"/>
      <c r="R2505" s="222"/>
      <c r="S2505" s="218"/>
      <c r="U2505" s="218"/>
      <c r="X2505" s="218"/>
      <c r="AB2505" t="e">
        <v>#N/A</v>
      </c>
    </row>
    <row r="2506">
      <c r="A2506" s="218"/>
      <c r="C2506" s="218"/>
      <c r="F2506" s="457"/>
      <c r="G2506" s="218"/>
      <c r="H2506" s="218"/>
      <c r="I2506" s="218"/>
      <c r="J2506" s="218"/>
      <c r="K2506" s="218"/>
      <c r="L2506" s="218"/>
      <c r="M2506" s="218"/>
      <c r="N2506" s="218"/>
      <c r="O2506" s="218"/>
      <c r="P2506" s="218"/>
      <c r="Q2506" s="222"/>
      <c r="R2506" s="222"/>
      <c r="S2506" s="218"/>
      <c r="U2506" s="218"/>
      <c r="X2506" s="218"/>
      <c r="AB2506" t="e">
        <v>#N/A</v>
      </c>
    </row>
    <row r="2507">
      <c r="A2507" s="218"/>
      <c r="C2507" s="218"/>
      <c r="F2507" s="457"/>
      <c r="G2507" s="218"/>
      <c r="H2507" s="218"/>
      <c r="I2507" s="218"/>
      <c r="J2507" s="218"/>
      <c r="K2507" s="218"/>
      <c r="L2507" s="218"/>
      <c r="M2507" s="218"/>
      <c r="N2507" s="218"/>
      <c r="O2507" s="218"/>
      <c r="P2507" s="218"/>
      <c r="Q2507" s="222"/>
      <c r="R2507" s="222"/>
      <c r="S2507" s="218"/>
      <c r="U2507" s="218"/>
      <c r="X2507" s="218"/>
      <c r="AB2507" t="e">
        <v>#N/A</v>
      </c>
    </row>
    <row r="2508">
      <c r="A2508" s="218"/>
      <c r="C2508" s="218"/>
      <c r="F2508" s="457"/>
      <c r="G2508" s="218"/>
      <c r="H2508" s="218"/>
      <c r="I2508" s="218"/>
      <c r="J2508" s="218"/>
      <c r="K2508" s="218"/>
      <c r="L2508" s="218"/>
      <c r="M2508" s="218"/>
      <c r="N2508" s="218"/>
      <c r="O2508" s="218"/>
      <c r="P2508" s="218"/>
      <c r="Q2508" s="222"/>
      <c r="R2508" s="222"/>
      <c r="S2508" s="218"/>
      <c r="U2508" s="218"/>
      <c r="X2508" s="218"/>
      <c r="AB2508" t="e">
        <v>#N/A</v>
      </c>
    </row>
    <row r="2509">
      <c r="A2509" s="218"/>
      <c r="C2509" s="218"/>
      <c r="F2509" s="457"/>
      <c r="G2509" s="218"/>
      <c r="H2509" s="218"/>
      <c r="I2509" s="218"/>
      <c r="J2509" s="218"/>
      <c r="K2509" s="218"/>
      <c r="L2509" s="218"/>
      <c r="M2509" s="218"/>
      <c r="N2509" s="218"/>
      <c r="O2509" s="218"/>
      <c r="P2509" s="218"/>
      <c r="Q2509" s="222"/>
      <c r="R2509" s="222"/>
      <c r="S2509" s="218"/>
      <c r="U2509" s="218"/>
      <c r="X2509" s="218"/>
      <c r="AB2509" t="e">
        <v>#N/A</v>
      </c>
    </row>
    <row r="2510">
      <c r="A2510" s="218"/>
      <c r="C2510" s="218"/>
      <c r="F2510" s="457"/>
      <c r="G2510" s="218"/>
      <c r="H2510" s="218"/>
      <c r="I2510" s="218"/>
      <c r="J2510" s="218"/>
      <c r="K2510" s="218"/>
      <c r="L2510" s="218"/>
      <c r="M2510" s="218"/>
      <c r="N2510" s="218"/>
      <c r="O2510" s="218"/>
      <c r="P2510" s="218"/>
      <c r="Q2510" s="222"/>
      <c r="R2510" s="222"/>
      <c r="S2510" s="218"/>
      <c r="U2510" s="218"/>
      <c r="X2510" s="218"/>
      <c r="AB2510" t="e">
        <v>#N/A</v>
      </c>
    </row>
    <row r="2511">
      <c r="A2511" s="218"/>
      <c r="C2511" s="218"/>
      <c r="F2511" s="457"/>
      <c r="G2511" s="218"/>
      <c r="H2511" s="218"/>
      <c r="I2511" s="218"/>
      <c r="J2511" s="218"/>
      <c r="K2511" s="218"/>
      <c r="L2511" s="218"/>
      <c r="M2511" s="218"/>
      <c r="N2511" s="218"/>
      <c r="O2511" s="218"/>
      <c r="P2511" s="218"/>
      <c r="Q2511" s="222"/>
      <c r="R2511" s="222"/>
      <c r="S2511" s="218"/>
      <c r="U2511" s="218"/>
      <c r="X2511" s="218"/>
      <c r="AB2511" t="e">
        <v>#N/A</v>
      </c>
    </row>
    <row r="2512">
      <c r="A2512" s="218"/>
      <c r="C2512" s="218"/>
      <c r="F2512" s="457"/>
      <c r="G2512" s="218"/>
      <c r="H2512" s="218"/>
      <c r="I2512" s="218"/>
      <c r="J2512" s="218"/>
      <c r="K2512" s="218"/>
      <c r="L2512" s="218"/>
      <c r="M2512" s="218"/>
      <c r="N2512" s="218"/>
      <c r="O2512" s="218"/>
      <c r="P2512" s="218"/>
      <c r="Q2512" s="222"/>
      <c r="R2512" s="222"/>
      <c r="S2512" s="218"/>
      <c r="U2512" s="218"/>
      <c r="X2512" s="218"/>
      <c r="AB2512" t="e">
        <v>#N/A</v>
      </c>
    </row>
    <row r="2513">
      <c r="A2513" s="218"/>
      <c r="C2513" s="218"/>
      <c r="F2513" s="457"/>
      <c r="G2513" s="218"/>
      <c r="H2513" s="218"/>
      <c r="I2513" s="218"/>
      <c r="J2513" s="218"/>
      <c r="K2513" s="218"/>
      <c r="L2513" s="218"/>
      <c r="M2513" s="218"/>
      <c r="N2513" s="218"/>
      <c r="O2513" s="218"/>
      <c r="P2513" s="218"/>
      <c r="Q2513" s="222"/>
      <c r="R2513" s="222"/>
      <c r="S2513" s="218"/>
      <c r="U2513" s="218"/>
      <c r="X2513" s="218"/>
      <c r="AB2513" t="e">
        <v>#N/A</v>
      </c>
    </row>
    <row r="2514">
      <c r="A2514" s="218"/>
      <c r="C2514" s="218"/>
      <c r="F2514" s="457"/>
      <c r="G2514" s="218"/>
      <c r="H2514" s="218"/>
      <c r="I2514" s="218"/>
      <c r="J2514" s="218"/>
      <c r="K2514" s="218"/>
      <c r="L2514" s="218"/>
      <c r="M2514" s="218"/>
      <c r="N2514" s="218"/>
      <c r="O2514" s="218"/>
      <c r="P2514" s="218"/>
      <c r="Q2514" s="222"/>
      <c r="R2514" s="222"/>
      <c r="S2514" s="218"/>
      <c r="U2514" s="218"/>
      <c r="X2514" s="218"/>
      <c r="AB2514" t="e">
        <v>#N/A</v>
      </c>
    </row>
    <row r="2515">
      <c r="A2515" s="218"/>
      <c r="C2515" s="218"/>
      <c r="F2515" s="457"/>
      <c r="G2515" s="218"/>
      <c r="H2515" s="218"/>
      <c r="I2515" s="218"/>
      <c r="J2515" s="218"/>
      <c r="K2515" s="218"/>
      <c r="L2515" s="218"/>
      <c r="M2515" s="218"/>
      <c r="N2515" s="218"/>
      <c r="O2515" s="218"/>
      <c r="P2515" s="218"/>
      <c r="Q2515" s="222"/>
      <c r="R2515" s="222"/>
      <c r="S2515" s="218"/>
      <c r="U2515" s="218"/>
      <c r="X2515" s="218"/>
      <c r="AB2515" t="e">
        <v>#N/A</v>
      </c>
    </row>
    <row r="2516">
      <c r="A2516" s="218"/>
      <c r="C2516" s="218"/>
      <c r="F2516" s="457"/>
      <c r="G2516" s="218"/>
      <c r="H2516" s="218"/>
      <c r="I2516" s="218"/>
      <c r="J2516" s="218"/>
      <c r="K2516" s="218"/>
      <c r="L2516" s="218"/>
      <c r="M2516" s="218"/>
      <c r="N2516" s="218"/>
      <c r="O2516" s="218"/>
      <c r="P2516" s="218"/>
      <c r="Q2516" s="222"/>
      <c r="R2516" s="222"/>
      <c r="S2516" s="218"/>
      <c r="U2516" s="218"/>
      <c r="X2516" s="218"/>
      <c r="AB2516" t="e">
        <v>#N/A</v>
      </c>
    </row>
    <row r="2517">
      <c r="A2517" s="218"/>
      <c r="C2517" s="218"/>
      <c r="F2517" s="457"/>
      <c r="G2517" s="218"/>
      <c r="H2517" s="218"/>
      <c r="I2517" s="218"/>
      <c r="J2517" s="218"/>
      <c r="K2517" s="218"/>
      <c r="L2517" s="218"/>
      <c r="M2517" s="218"/>
      <c r="N2517" s="218"/>
      <c r="O2517" s="218"/>
      <c r="P2517" s="218"/>
      <c r="Q2517" s="222"/>
      <c r="R2517" s="222"/>
      <c r="S2517" s="218"/>
      <c r="U2517" s="218"/>
      <c r="X2517" s="218"/>
      <c r="AB2517" t="e">
        <v>#N/A</v>
      </c>
    </row>
    <row r="2518">
      <c r="A2518" s="218"/>
      <c r="C2518" s="218"/>
      <c r="F2518" s="457"/>
      <c r="G2518" s="218"/>
      <c r="H2518" s="218"/>
      <c r="I2518" s="218"/>
      <c r="J2518" s="218"/>
      <c r="K2518" s="218"/>
      <c r="L2518" s="218"/>
      <c r="M2518" s="218"/>
      <c r="N2518" s="218"/>
      <c r="O2518" s="218"/>
      <c r="P2518" s="218"/>
      <c r="Q2518" s="222"/>
      <c r="R2518" s="222"/>
      <c r="S2518" s="218"/>
      <c r="U2518" s="218"/>
      <c r="X2518" s="218"/>
      <c r="AB2518" t="e">
        <v>#N/A</v>
      </c>
    </row>
    <row r="2519">
      <c r="A2519" s="218"/>
      <c r="C2519" s="218"/>
      <c r="F2519" s="457"/>
      <c r="G2519" s="218"/>
      <c r="H2519" s="218"/>
      <c r="I2519" s="218"/>
      <c r="J2519" s="218"/>
      <c r="K2519" s="218"/>
      <c r="L2519" s="218"/>
      <c r="M2519" s="218"/>
      <c r="N2519" s="218"/>
      <c r="O2519" s="218"/>
      <c r="P2519" s="218"/>
      <c r="Q2519" s="222"/>
      <c r="R2519" s="222"/>
      <c r="S2519" s="218"/>
      <c r="U2519" s="218"/>
      <c r="X2519" s="218"/>
      <c r="AB2519" t="e">
        <v>#N/A</v>
      </c>
    </row>
    <row r="2520">
      <c r="A2520" s="218"/>
      <c r="C2520" s="218"/>
      <c r="F2520" s="457"/>
      <c r="G2520" s="218"/>
      <c r="H2520" s="218"/>
      <c r="I2520" s="218"/>
      <c r="J2520" s="218"/>
      <c r="K2520" s="218"/>
      <c r="L2520" s="218"/>
      <c r="M2520" s="218"/>
      <c r="N2520" s="218"/>
      <c r="O2520" s="218"/>
      <c r="P2520" s="218"/>
      <c r="Q2520" s="222"/>
      <c r="R2520" s="222"/>
      <c r="S2520" s="218"/>
      <c r="U2520" s="218"/>
      <c r="X2520" s="218"/>
      <c r="AB2520" t="e">
        <v>#N/A</v>
      </c>
    </row>
    <row r="2521">
      <c r="A2521" s="218"/>
      <c r="C2521" s="218"/>
      <c r="F2521" s="457"/>
      <c r="G2521" s="218"/>
      <c r="H2521" s="218"/>
      <c r="I2521" s="218"/>
      <c r="J2521" s="218"/>
      <c r="K2521" s="218"/>
      <c r="L2521" s="218"/>
      <c r="M2521" s="218"/>
      <c r="N2521" s="218"/>
      <c r="O2521" s="218"/>
      <c r="P2521" s="218"/>
      <c r="Q2521" s="222"/>
      <c r="R2521" s="222"/>
      <c r="S2521" s="218"/>
      <c r="U2521" s="218"/>
      <c r="X2521" s="218"/>
      <c r="AB2521" t="e">
        <v>#N/A</v>
      </c>
    </row>
    <row r="2522">
      <c r="A2522" s="218"/>
      <c r="C2522" s="218"/>
      <c r="F2522" s="457"/>
      <c r="G2522" s="218"/>
      <c r="H2522" s="218"/>
      <c r="I2522" s="218"/>
      <c r="J2522" s="218"/>
      <c r="K2522" s="218"/>
      <c r="L2522" s="218"/>
      <c r="M2522" s="218"/>
      <c r="N2522" s="218"/>
      <c r="O2522" s="218"/>
      <c r="P2522" s="218"/>
      <c r="Q2522" s="222"/>
      <c r="R2522" s="222"/>
      <c r="S2522" s="218"/>
      <c r="U2522" s="218"/>
      <c r="X2522" s="218"/>
      <c r="AB2522" t="e">
        <v>#N/A</v>
      </c>
    </row>
    <row r="2523">
      <c r="A2523" s="218"/>
      <c r="C2523" s="218"/>
      <c r="F2523" s="457"/>
      <c r="G2523" s="218"/>
      <c r="H2523" s="218"/>
      <c r="I2523" s="218"/>
      <c r="J2523" s="218"/>
      <c r="K2523" s="218"/>
      <c r="L2523" s="218"/>
      <c r="M2523" s="218"/>
      <c r="N2523" s="218"/>
      <c r="O2523" s="218"/>
      <c r="P2523" s="218"/>
      <c r="Q2523" s="222"/>
      <c r="R2523" s="222"/>
      <c r="S2523" s="218"/>
      <c r="U2523" s="218"/>
      <c r="X2523" s="218"/>
      <c r="AB2523" t="e">
        <v>#N/A</v>
      </c>
    </row>
    <row r="2524">
      <c r="A2524" s="218"/>
      <c r="C2524" s="218"/>
      <c r="F2524" s="457"/>
      <c r="G2524" s="218"/>
      <c r="H2524" s="218"/>
      <c r="I2524" s="218"/>
      <c r="J2524" s="218"/>
      <c r="K2524" s="218"/>
      <c r="L2524" s="218"/>
      <c r="M2524" s="218"/>
      <c r="N2524" s="218"/>
      <c r="O2524" s="218"/>
      <c r="P2524" s="218"/>
      <c r="Q2524" s="222"/>
      <c r="R2524" s="222"/>
      <c r="S2524" s="218"/>
      <c r="U2524" s="218"/>
      <c r="X2524" s="218"/>
      <c r="AB2524" t="e">
        <v>#N/A</v>
      </c>
    </row>
    <row r="2525">
      <c r="A2525" s="218"/>
      <c r="C2525" s="218"/>
      <c r="F2525" s="457"/>
      <c r="G2525" s="218"/>
      <c r="H2525" s="218"/>
      <c r="I2525" s="218"/>
      <c r="J2525" s="218"/>
      <c r="K2525" s="218"/>
      <c r="L2525" s="218"/>
      <c r="M2525" s="218"/>
      <c r="N2525" s="218"/>
      <c r="O2525" s="218"/>
      <c r="P2525" s="218"/>
      <c r="Q2525" s="222"/>
      <c r="R2525" s="222"/>
      <c r="S2525" s="218"/>
      <c r="U2525" s="218"/>
      <c r="X2525" s="218"/>
      <c r="AB2525" t="e">
        <v>#N/A</v>
      </c>
    </row>
    <row r="2526">
      <c r="A2526" s="218"/>
      <c r="C2526" s="218"/>
      <c r="F2526" s="457"/>
      <c r="G2526" s="218"/>
      <c r="H2526" s="218"/>
      <c r="I2526" s="218"/>
      <c r="J2526" s="218"/>
      <c r="K2526" s="218"/>
      <c r="L2526" s="218"/>
      <c r="M2526" s="218"/>
      <c r="N2526" s="218"/>
      <c r="O2526" s="218"/>
      <c r="P2526" s="218"/>
      <c r="Q2526" s="222"/>
      <c r="R2526" s="222"/>
      <c r="S2526" s="218"/>
      <c r="U2526" s="218"/>
      <c r="X2526" s="218"/>
      <c r="AB2526" t="e">
        <v>#N/A</v>
      </c>
    </row>
    <row r="2527">
      <c r="A2527" s="218"/>
      <c r="C2527" s="218"/>
      <c r="F2527" s="457"/>
      <c r="G2527" s="218"/>
      <c r="H2527" s="218"/>
      <c r="I2527" s="218"/>
      <c r="J2527" s="218"/>
      <c r="K2527" s="218"/>
      <c r="L2527" s="218"/>
      <c r="M2527" s="218"/>
      <c r="N2527" s="218"/>
      <c r="O2527" s="218"/>
      <c r="P2527" s="218"/>
      <c r="Q2527" s="222"/>
      <c r="R2527" s="222"/>
      <c r="S2527" s="218"/>
      <c r="U2527" s="218"/>
      <c r="X2527" s="218"/>
      <c r="AB2527" t="e">
        <v>#N/A</v>
      </c>
    </row>
    <row r="2528">
      <c r="A2528" s="218"/>
      <c r="C2528" s="218"/>
      <c r="F2528" s="457"/>
      <c r="G2528" s="218"/>
      <c r="H2528" s="218"/>
      <c r="I2528" s="218"/>
      <c r="J2528" s="218"/>
      <c r="K2528" s="218"/>
      <c r="L2528" s="218"/>
      <c r="M2528" s="218"/>
      <c r="N2528" s="218"/>
      <c r="O2528" s="218"/>
      <c r="P2528" s="218"/>
      <c r="Q2528" s="222"/>
      <c r="R2528" s="222"/>
      <c r="S2528" s="218"/>
      <c r="U2528" s="218"/>
      <c r="X2528" s="218"/>
      <c r="AB2528" t="e">
        <v>#N/A</v>
      </c>
    </row>
    <row r="2529">
      <c r="A2529" s="218"/>
      <c r="C2529" s="218"/>
      <c r="F2529" s="457"/>
      <c r="G2529" s="218"/>
      <c r="H2529" s="218"/>
      <c r="I2529" s="218"/>
      <c r="J2529" s="218"/>
      <c r="K2529" s="218"/>
      <c r="L2529" s="218"/>
      <c r="M2529" s="218"/>
      <c r="N2529" s="218"/>
      <c r="O2529" s="218"/>
      <c r="P2529" s="218"/>
      <c r="Q2529" s="222"/>
      <c r="R2529" s="222"/>
      <c r="S2529" s="218"/>
      <c r="U2529" s="218"/>
      <c r="X2529" s="218"/>
      <c r="AB2529" t="e">
        <v>#N/A</v>
      </c>
    </row>
    <row r="2530">
      <c r="A2530" s="218"/>
      <c r="C2530" s="218"/>
      <c r="F2530" s="457"/>
      <c r="G2530" s="218"/>
      <c r="H2530" s="218"/>
      <c r="I2530" s="218"/>
      <c r="J2530" s="218"/>
      <c r="K2530" s="218"/>
      <c r="L2530" s="218"/>
      <c r="M2530" s="218"/>
      <c r="N2530" s="218"/>
      <c r="O2530" s="218"/>
      <c r="P2530" s="218"/>
      <c r="Q2530" s="222"/>
      <c r="R2530" s="222"/>
      <c r="S2530" s="218"/>
      <c r="U2530" s="218"/>
      <c r="X2530" s="218"/>
      <c r="AB2530" t="e">
        <v>#N/A</v>
      </c>
    </row>
    <row r="2531">
      <c r="A2531" s="218"/>
      <c r="C2531" s="218"/>
      <c r="F2531" s="457"/>
      <c r="G2531" s="218"/>
      <c r="H2531" s="218"/>
      <c r="I2531" s="218"/>
      <c r="J2531" s="218"/>
      <c r="K2531" s="218"/>
      <c r="L2531" s="218"/>
      <c r="M2531" s="218"/>
      <c r="N2531" s="218"/>
      <c r="O2531" s="218"/>
      <c r="P2531" s="218"/>
      <c r="Q2531" s="222"/>
      <c r="R2531" s="222"/>
      <c r="S2531" s="218"/>
      <c r="U2531" s="218"/>
      <c r="X2531" s="218"/>
      <c r="AB2531" t="e">
        <v>#N/A</v>
      </c>
    </row>
    <row r="2532">
      <c r="A2532" s="218"/>
      <c r="C2532" s="218"/>
      <c r="F2532" s="457"/>
      <c r="G2532" s="218"/>
      <c r="H2532" s="218"/>
      <c r="I2532" s="218"/>
      <c r="J2532" s="218"/>
      <c r="K2532" s="218"/>
      <c r="L2532" s="218"/>
      <c r="M2532" s="218"/>
      <c r="N2532" s="218"/>
      <c r="O2532" s="218"/>
      <c r="P2532" s="218"/>
      <c r="Q2532" s="222"/>
      <c r="R2532" s="222"/>
      <c r="S2532" s="218"/>
      <c r="U2532" s="218"/>
      <c r="X2532" s="218"/>
      <c r="AB2532" t="e">
        <v>#N/A</v>
      </c>
    </row>
    <row r="2533">
      <c r="A2533" s="218"/>
      <c r="C2533" s="218"/>
      <c r="F2533" s="457"/>
      <c r="G2533" s="218"/>
      <c r="H2533" s="218"/>
      <c r="I2533" s="218"/>
      <c r="J2533" s="218"/>
      <c r="K2533" s="218"/>
      <c r="L2533" s="218"/>
      <c r="M2533" s="218"/>
      <c r="N2533" s="218"/>
      <c r="O2533" s="218"/>
      <c r="P2533" s="218"/>
      <c r="Q2533" s="222"/>
      <c r="R2533" s="222"/>
      <c r="S2533" s="218"/>
      <c r="U2533" s="218"/>
      <c r="X2533" s="218"/>
      <c r="AB2533" t="e">
        <v>#N/A</v>
      </c>
    </row>
    <row r="2534">
      <c r="A2534" s="218"/>
      <c r="C2534" s="218"/>
      <c r="F2534" s="457"/>
      <c r="G2534" s="218"/>
      <c r="H2534" s="218"/>
      <c r="I2534" s="218"/>
      <c r="J2534" s="218"/>
      <c r="K2534" s="218"/>
      <c r="L2534" s="218"/>
      <c r="M2534" s="218"/>
      <c r="N2534" s="218"/>
      <c r="O2534" s="218"/>
      <c r="P2534" s="218"/>
      <c r="Q2534" s="222"/>
      <c r="R2534" s="222"/>
      <c r="S2534" s="218"/>
      <c r="U2534" s="218"/>
      <c r="X2534" s="218"/>
      <c r="AB2534" t="e">
        <v>#N/A</v>
      </c>
    </row>
    <row r="2535">
      <c r="A2535" s="218"/>
      <c r="C2535" s="218"/>
      <c r="F2535" s="457"/>
      <c r="G2535" s="218"/>
      <c r="H2535" s="218"/>
      <c r="I2535" s="218"/>
      <c r="J2535" s="218"/>
      <c r="K2535" s="218"/>
      <c r="L2535" s="218"/>
      <c r="M2535" s="218"/>
      <c r="N2535" s="218"/>
      <c r="O2535" s="218"/>
      <c r="P2535" s="218"/>
      <c r="Q2535" s="222"/>
      <c r="R2535" s="222"/>
      <c r="S2535" s="218"/>
      <c r="U2535" s="218"/>
      <c r="X2535" s="218"/>
      <c r="AB2535" t="e">
        <v>#N/A</v>
      </c>
    </row>
    <row r="2536">
      <c r="A2536" s="218"/>
      <c r="C2536" s="218"/>
      <c r="F2536" s="457"/>
      <c r="G2536" s="218"/>
      <c r="H2536" s="218"/>
      <c r="I2536" s="218"/>
      <c r="J2536" s="218"/>
      <c r="K2536" s="218"/>
      <c r="L2536" s="218"/>
      <c r="M2536" s="218"/>
      <c r="N2536" s="218"/>
      <c r="O2536" s="218"/>
      <c r="P2536" s="218"/>
      <c r="Q2536" s="222"/>
      <c r="R2536" s="222"/>
      <c r="S2536" s="218"/>
      <c r="U2536" s="218"/>
      <c r="X2536" s="218"/>
      <c r="AB2536" t="e">
        <v>#N/A</v>
      </c>
    </row>
    <row r="2537">
      <c r="A2537" s="218"/>
      <c r="C2537" s="218"/>
      <c r="F2537" s="457"/>
      <c r="G2537" s="218"/>
      <c r="H2537" s="218"/>
      <c r="I2537" s="218"/>
      <c r="J2537" s="218"/>
      <c r="K2537" s="218"/>
      <c r="L2537" s="218"/>
      <c r="M2537" s="218"/>
      <c r="N2537" s="218"/>
      <c r="O2537" s="218"/>
      <c r="P2537" s="218"/>
      <c r="Q2537" s="222"/>
      <c r="R2537" s="222"/>
      <c r="S2537" s="218"/>
      <c r="U2537" s="218"/>
      <c r="X2537" s="218"/>
      <c r="AB2537" t="e">
        <v>#N/A</v>
      </c>
    </row>
    <row r="2538">
      <c r="A2538" s="218"/>
      <c r="C2538" s="218"/>
      <c r="F2538" s="457"/>
      <c r="G2538" s="218"/>
      <c r="H2538" s="218"/>
      <c r="I2538" s="218"/>
      <c r="J2538" s="218"/>
      <c r="K2538" s="218"/>
      <c r="L2538" s="218"/>
      <c r="M2538" s="218"/>
      <c r="N2538" s="218"/>
      <c r="O2538" s="218"/>
      <c r="P2538" s="218"/>
      <c r="Q2538" s="222"/>
      <c r="R2538" s="222"/>
      <c r="S2538" s="218"/>
      <c r="U2538" s="218"/>
      <c r="X2538" s="218"/>
      <c r="AB2538" t="e">
        <v>#N/A</v>
      </c>
    </row>
    <row r="2539">
      <c r="A2539" s="218"/>
      <c r="C2539" s="218"/>
      <c r="F2539" s="457"/>
      <c r="G2539" s="218"/>
      <c r="H2539" s="218"/>
      <c r="I2539" s="218"/>
      <c r="J2539" s="218"/>
      <c r="K2539" s="218"/>
      <c r="L2539" s="218"/>
      <c r="M2539" s="218"/>
      <c r="N2539" s="218"/>
      <c r="O2539" s="218"/>
      <c r="P2539" s="218"/>
      <c r="Q2539" s="222"/>
      <c r="R2539" s="222"/>
      <c r="S2539" s="218"/>
      <c r="U2539" s="218"/>
      <c r="X2539" s="218"/>
      <c r="AB2539" t="e">
        <v>#N/A</v>
      </c>
    </row>
    <row r="2540">
      <c r="A2540" s="218"/>
      <c r="C2540" s="218"/>
      <c r="F2540" s="457"/>
      <c r="G2540" s="218"/>
      <c r="H2540" s="218"/>
      <c r="I2540" s="218"/>
      <c r="J2540" s="218"/>
      <c r="K2540" s="218"/>
      <c r="L2540" s="218"/>
      <c r="M2540" s="218"/>
      <c r="N2540" s="218"/>
      <c r="O2540" s="218"/>
      <c r="P2540" s="218"/>
      <c r="Q2540" s="222"/>
      <c r="R2540" s="222"/>
      <c r="S2540" s="218"/>
      <c r="U2540" s="218"/>
      <c r="X2540" s="218"/>
      <c r="AB2540" t="e">
        <v>#N/A</v>
      </c>
    </row>
    <row r="2541">
      <c r="A2541" s="218"/>
      <c r="C2541" s="218"/>
      <c r="F2541" s="457"/>
      <c r="G2541" s="218"/>
      <c r="H2541" s="218"/>
      <c r="I2541" s="218"/>
      <c r="J2541" s="218"/>
      <c r="K2541" s="218"/>
      <c r="L2541" s="218"/>
      <c r="M2541" s="218"/>
      <c r="N2541" s="218"/>
      <c r="O2541" s="218"/>
      <c r="P2541" s="218"/>
      <c r="Q2541" s="222"/>
      <c r="R2541" s="222"/>
      <c r="S2541" s="218"/>
      <c r="U2541" s="218"/>
      <c r="X2541" s="218"/>
      <c r="AB2541" t="e">
        <v>#N/A</v>
      </c>
    </row>
    <row r="2542">
      <c r="A2542" s="218"/>
      <c r="C2542" s="218"/>
      <c r="F2542" s="457"/>
      <c r="G2542" s="218"/>
      <c r="H2542" s="218"/>
      <c r="I2542" s="218"/>
      <c r="J2542" s="218"/>
      <c r="K2542" s="218"/>
      <c r="L2542" s="218"/>
      <c r="M2542" s="218"/>
      <c r="N2542" s="218"/>
      <c r="O2542" s="218"/>
      <c r="P2542" s="218"/>
      <c r="Q2542" s="222"/>
      <c r="R2542" s="222"/>
      <c r="S2542" s="218"/>
      <c r="U2542" s="218"/>
      <c r="X2542" s="218"/>
      <c r="AB2542" t="e">
        <v>#N/A</v>
      </c>
    </row>
    <row r="2543">
      <c r="A2543" s="218"/>
      <c r="C2543" s="218"/>
      <c r="F2543" s="457"/>
      <c r="G2543" s="218"/>
      <c r="H2543" s="218"/>
      <c r="I2543" s="218"/>
      <c r="J2543" s="218"/>
      <c r="K2543" s="218"/>
      <c r="L2543" s="218"/>
      <c r="M2543" s="218"/>
      <c r="N2543" s="218"/>
      <c r="O2543" s="218"/>
      <c r="P2543" s="218"/>
      <c r="Q2543" s="222"/>
      <c r="R2543" s="222"/>
      <c r="S2543" s="218"/>
      <c r="U2543" s="218"/>
      <c r="X2543" s="218"/>
      <c r="AB2543" t="e">
        <v>#N/A</v>
      </c>
    </row>
    <row r="2544">
      <c r="A2544" s="218"/>
      <c r="C2544" s="218"/>
      <c r="F2544" s="457"/>
      <c r="G2544" s="218"/>
      <c r="H2544" s="218"/>
      <c r="I2544" s="218"/>
      <c r="J2544" s="218"/>
      <c r="K2544" s="218"/>
      <c r="L2544" s="218"/>
      <c r="M2544" s="218"/>
      <c r="N2544" s="218"/>
      <c r="O2544" s="218"/>
      <c r="P2544" s="218"/>
      <c r="Q2544" s="222"/>
      <c r="R2544" s="222"/>
      <c r="S2544" s="218"/>
      <c r="U2544" s="218"/>
      <c r="X2544" s="218"/>
      <c r="AB2544" t="e">
        <v>#N/A</v>
      </c>
    </row>
    <row r="2545">
      <c r="A2545" s="218"/>
      <c r="C2545" s="218"/>
      <c r="F2545" s="457"/>
      <c r="G2545" s="218"/>
      <c r="H2545" s="218"/>
      <c r="I2545" s="218"/>
      <c r="J2545" s="218"/>
      <c r="K2545" s="218"/>
      <c r="L2545" s="218"/>
      <c r="M2545" s="218"/>
      <c r="N2545" s="218"/>
      <c r="O2545" s="218"/>
      <c r="P2545" s="218"/>
      <c r="Q2545" s="222"/>
      <c r="R2545" s="222"/>
      <c r="S2545" s="218"/>
      <c r="U2545" s="218"/>
      <c r="X2545" s="218"/>
      <c r="AB2545" t="e">
        <v>#N/A</v>
      </c>
    </row>
    <row r="2546">
      <c r="A2546" s="218"/>
      <c r="C2546" s="218"/>
      <c r="F2546" s="457"/>
      <c r="G2546" s="218"/>
      <c r="H2546" s="218"/>
      <c r="I2546" s="218"/>
      <c r="J2546" s="218"/>
      <c r="K2546" s="218"/>
      <c r="L2546" s="218"/>
      <c r="M2546" s="218"/>
      <c r="N2546" s="218"/>
      <c r="O2546" s="218"/>
      <c r="P2546" s="218"/>
      <c r="Q2546" s="222"/>
      <c r="R2546" s="222"/>
      <c r="S2546" s="218"/>
      <c r="U2546" s="218"/>
      <c r="X2546" s="218"/>
      <c r="AB2546" t="e">
        <v>#N/A</v>
      </c>
    </row>
    <row r="2547">
      <c r="A2547" s="218"/>
      <c r="C2547" s="218"/>
      <c r="F2547" s="457"/>
      <c r="G2547" s="218"/>
      <c r="H2547" s="218"/>
      <c r="I2547" s="218"/>
      <c r="J2547" s="218"/>
      <c r="K2547" s="218"/>
      <c r="L2547" s="218"/>
      <c r="M2547" s="218"/>
      <c r="N2547" s="218"/>
      <c r="O2547" s="218"/>
      <c r="P2547" s="218"/>
      <c r="Q2547" s="222"/>
      <c r="R2547" s="222"/>
      <c r="S2547" s="218"/>
      <c r="U2547" s="218"/>
      <c r="X2547" s="218"/>
      <c r="AB2547" t="e">
        <v>#N/A</v>
      </c>
    </row>
    <row r="2548">
      <c r="A2548" s="218"/>
      <c r="C2548" s="218"/>
      <c r="F2548" s="457"/>
      <c r="G2548" s="218"/>
      <c r="H2548" s="218"/>
      <c r="I2548" s="218"/>
      <c r="J2548" s="218"/>
      <c r="K2548" s="218"/>
      <c r="L2548" s="218"/>
      <c r="M2548" s="218"/>
      <c r="N2548" s="218"/>
      <c r="O2548" s="218"/>
      <c r="P2548" s="218"/>
      <c r="Q2548" s="222"/>
      <c r="R2548" s="222"/>
      <c r="S2548" s="218"/>
      <c r="U2548" s="218"/>
      <c r="X2548" s="218"/>
      <c r="AB2548" t="e">
        <v>#N/A</v>
      </c>
    </row>
    <row r="2549">
      <c r="A2549" s="218"/>
      <c r="C2549" s="218"/>
      <c r="F2549" s="457"/>
      <c r="G2549" s="218"/>
      <c r="H2549" s="218"/>
      <c r="I2549" s="218"/>
      <c r="J2549" s="218"/>
      <c r="K2549" s="218"/>
      <c r="L2549" s="218"/>
      <c r="M2549" s="218"/>
      <c r="N2549" s="218"/>
      <c r="O2549" s="218"/>
      <c r="P2549" s="218"/>
      <c r="Q2549" s="222"/>
      <c r="R2549" s="222"/>
      <c r="S2549" s="218"/>
      <c r="U2549" s="218"/>
      <c r="X2549" s="218"/>
      <c r="AB2549" t="e">
        <v>#N/A</v>
      </c>
    </row>
    <row r="2550">
      <c r="A2550" s="218"/>
      <c r="C2550" s="218"/>
      <c r="F2550" s="457"/>
      <c r="G2550" s="218"/>
      <c r="H2550" s="218"/>
      <c r="I2550" s="218"/>
      <c r="J2550" s="218"/>
      <c r="K2550" s="218"/>
      <c r="L2550" s="218"/>
      <c r="M2550" s="218"/>
      <c r="N2550" s="218"/>
      <c r="O2550" s="218"/>
      <c r="P2550" s="218"/>
      <c r="Q2550" s="222"/>
      <c r="R2550" s="222"/>
      <c r="S2550" s="218"/>
      <c r="U2550" s="218"/>
      <c r="X2550" s="218"/>
      <c r="AB2550" t="e">
        <v>#N/A</v>
      </c>
    </row>
    <row r="2551">
      <c r="A2551" s="218"/>
      <c r="C2551" s="218"/>
      <c r="F2551" s="457"/>
      <c r="G2551" s="218"/>
      <c r="H2551" s="218"/>
      <c r="I2551" s="218"/>
      <c r="J2551" s="218"/>
      <c r="K2551" s="218"/>
      <c r="L2551" s="218"/>
      <c r="M2551" s="218"/>
      <c r="N2551" s="218"/>
      <c r="O2551" s="218"/>
      <c r="P2551" s="218"/>
      <c r="Q2551" s="222"/>
      <c r="R2551" s="222"/>
      <c r="S2551" s="218"/>
      <c r="U2551" s="218"/>
      <c r="X2551" s="218"/>
      <c r="AB2551" t="e">
        <v>#N/A</v>
      </c>
    </row>
    <row r="2552">
      <c r="A2552" s="218"/>
      <c r="C2552" s="218"/>
      <c r="F2552" s="457"/>
      <c r="G2552" s="218"/>
      <c r="H2552" s="218"/>
      <c r="I2552" s="218"/>
      <c r="J2552" s="218"/>
      <c r="K2552" s="218"/>
      <c r="L2552" s="218"/>
      <c r="M2552" s="218"/>
      <c r="N2552" s="218"/>
      <c r="O2552" s="218"/>
      <c r="P2552" s="218"/>
      <c r="Q2552" s="222"/>
      <c r="R2552" s="222"/>
      <c r="S2552" s="218"/>
      <c r="U2552" s="218"/>
      <c r="X2552" s="218"/>
      <c r="AB2552" t="e">
        <v>#N/A</v>
      </c>
    </row>
    <row r="2553">
      <c r="A2553" s="218"/>
      <c r="C2553" s="218"/>
      <c r="F2553" s="457"/>
      <c r="G2553" s="218"/>
      <c r="H2553" s="218"/>
      <c r="I2553" s="218"/>
      <c r="J2553" s="218"/>
      <c r="K2553" s="218"/>
      <c r="L2553" s="218"/>
      <c r="M2553" s="218"/>
      <c r="N2553" s="218"/>
      <c r="O2553" s="218"/>
      <c r="P2553" s="218"/>
      <c r="Q2553" s="222"/>
      <c r="R2553" s="222"/>
      <c r="S2553" s="218"/>
      <c r="U2553" s="218"/>
      <c r="X2553" s="218"/>
      <c r="AB2553" t="e">
        <v>#N/A</v>
      </c>
    </row>
    <row r="2554">
      <c r="A2554" s="218"/>
      <c r="C2554" s="218"/>
      <c r="F2554" s="457"/>
      <c r="G2554" s="218"/>
      <c r="H2554" s="218"/>
      <c r="I2554" s="218"/>
      <c r="J2554" s="218"/>
      <c r="K2554" s="218"/>
      <c r="L2554" s="218"/>
      <c r="M2554" s="218"/>
      <c r="N2554" s="218"/>
      <c r="O2554" s="218"/>
      <c r="P2554" s="218"/>
      <c r="Q2554" s="222"/>
      <c r="R2554" s="222"/>
      <c r="S2554" s="218"/>
      <c r="U2554" s="218"/>
      <c r="X2554" s="218"/>
      <c r="AB2554" t="e">
        <v>#N/A</v>
      </c>
    </row>
    <row r="2555">
      <c r="A2555" s="218"/>
      <c r="C2555" s="218"/>
      <c r="F2555" s="457"/>
      <c r="G2555" s="218"/>
      <c r="H2555" s="218"/>
      <c r="I2555" s="218"/>
      <c r="J2555" s="218"/>
      <c r="K2555" s="218"/>
      <c r="L2555" s="218"/>
      <c r="M2555" s="218"/>
      <c r="N2555" s="218"/>
      <c r="O2555" s="218"/>
      <c r="P2555" s="218"/>
      <c r="Q2555" s="222"/>
      <c r="R2555" s="222"/>
      <c r="S2555" s="218"/>
      <c r="U2555" s="218"/>
      <c r="X2555" s="218"/>
      <c r="AB2555" t="e">
        <v>#N/A</v>
      </c>
    </row>
    <row r="2556">
      <c r="A2556" s="218"/>
      <c r="C2556" s="218"/>
      <c r="F2556" s="457"/>
      <c r="G2556" s="218"/>
      <c r="H2556" s="218"/>
      <c r="I2556" s="218"/>
      <c r="J2556" s="218"/>
      <c r="K2556" s="218"/>
      <c r="L2556" s="218"/>
      <c r="M2556" s="218"/>
      <c r="N2556" s="218"/>
      <c r="O2556" s="218"/>
      <c r="P2556" s="218"/>
      <c r="Q2556" s="222"/>
      <c r="R2556" s="222"/>
      <c r="S2556" s="218"/>
      <c r="U2556" s="218"/>
      <c r="X2556" s="218"/>
      <c r="AB2556" t="e">
        <v>#N/A</v>
      </c>
    </row>
    <row r="2557">
      <c r="A2557" s="218"/>
      <c r="C2557" s="218"/>
      <c r="F2557" s="457"/>
      <c r="G2557" s="218"/>
      <c r="H2557" s="218"/>
      <c r="I2557" s="218"/>
      <c r="J2557" s="218"/>
      <c r="K2557" s="218"/>
      <c r="L2557" s="218"/>
      <c r="M2557" s="218"/>
      <c r="N2557" s="218"/>
      <c r="O2557" s="218"/>
      <c r="P2557" s="218"/>
      <c r="Q2557" s="222"/>
      <c r="R2557" s="222"/>
      <c r="S2557" s="218"/>
      <c r="U2557" s="218"/>
      <c r="X2557" s="218"/>
      <c r="AB2557" t="e">
        <v>#N/A</v>
      </c>
    </row>
    <row r="2558">
      <c r="A2558" s="218"/>
      <c r="C2558" s="218"/>
      <c r="F2558" s="457"/>
      <c r="G2558" s="218"/>
      <c r="H2558" s="218"/>
      <c r="I2558" s="218"/>
      <c r="J2558" s="218"/>
      <c r="K2558" s="218"/>
      <c r="L2558" s="218"/>
      <c r="M2558" s="218"/>
      <c r="N2558" s="218"/>
      <c r="O2558" s="218"/>
      <c r="P2558" s="218"/>
      <c r="Q2558" s="222"/>
      <c r="R2558" s="222"/>
      <c r="S2558" s="218"/>
      <c r="U2558" s="218"/>
      <c r="X2558" s="218"/>
      <c r="AB2558" t="e">
        <v>#N/A</v>
      </c>
    </row>
    <row r="2559">
      <c r="A2559" s="218"/>
      <c r="C2559" s="218"/>
      <c r="F2559" s="457"/>
      <c r="G2559" s="218"/>
      <c r="H2559" s="218"/>
      <c r="I2559" s="218"/>
      <c r="J2559" s="218"/>
      <c r="K2559" s="218"/>
      <c r="L2559" s="218"/>
      <c r="M2559" s="218"/>
      <c r="N2559" s="218"/>
      <c r="O2559" s="218"/>
      <c r="P2559" s="218"/>
      <c r="Q2559" s="222"/>
      <c r="R2559" s="222"/>
      <c r="S2559" s="218"/>
      <c r="U2559" s="218"/>
      <c r="X2559" s="218"/>
      <c r="AB2559" t="e">
        <v>#N/A</v>
      </c>
    </row>
    <row r="2560">
      <c r="A2560" s="218"/>
      <c r="C2560" s="218"/>
      <c r="F2560" s="457"/>
      <c r="G2560" s="218"/>
      <c r="H2560" s="218"/>
      <c r="I2560" s="218"/>
      <c r="J2560" s="218"/>
      <c r="K2560" s="218"/>
      <c r="L2560" s="218"/>
      <c r="M2560" s="218"/>
      <c r="N2560" s="218"/>
      <c r="O2560" s="218"/>
      <c r="P2560" s="218"/>
      <c r="Q2560" s="222"/>
      <c r="R2560" s="222"/>
      <c r="S2560" s="218"/>
      <c r="U2560" s="218"/>
      <c r="X2560" s="218"/>
      <c r="AB2560" t="e">
        <v>#N/A</v>
      </c>
    </row>
    <row r="2561">
      <c r="A2561" s="218"/>
      <c r="C2561" s="218"/>
      <c r="F2561" s="457"/>
      <c r="G2561" s="218"/>
      <c r="H2561" s="218"/>
      <c r="I2561" s="218"/>
      <c r="J2561" s="218"/>
      <c r="K2561" s="218"/>
      <c r="L2561" s="218"/>
      <c r="M2561" s="218"/>
      <c r="N2561" s="218"/>
      <c r="O2561" s="218"/>
      <c r="P2561" s="218"/>
      <c r="Q2561" s="222"/>
      <c r="R2561" s="222"/>
      <c r="S2561" s="218"/>
      <c r="U2561" s="218"/>
      <c r="X2561" s="218"/>
      <c r="AB2561" t="e">
        <v>#N/A</v>
      </c>
    </row>
    <row r="2562">
      <c r="A2562" s="218"/>
      <c r="C2562" s="218"/>
      <c r="F2562" s="457"/>
      <c r="G2562" s="218"/>
      <c r="H2562" s="218"/>
      <c r="I2562" s="218"/>
      <c r="J2562" s="218"/>
      <c r="K2562" s="218"/>
      <c r="L2562" s="218"/>
      <c r="M2562" s="218"/>
      <c r="N2562" s="218"/>
      <c r="O2562" s="218"/>
      <c r="P2562" s="218"/>
      <c r="Q2562" s="222"/>
      <c r="R2562" s="222"/>
      <c r="S2562" s="218"/>
      <c r="U2562" s="218"/>
      <c r="X2562" s="218"/>
      <c r="AB2562" t="e">
        <v>#N/A</v>
      </c>
    </row>
    <row r="2563">
      <c r="A2563" s="218"/>
      <c r="C2563" s="218"/>
      <c r="F2563" s="457"/>
      <c r="G2563" s="218"/>
      <c r="H2563" s="218"/>
      <c r="I2563" s="218"/>
      <c r="J2563" s="218"/>
      <c r="K2563" s="218"/>
      <c r="L2563" s="218"/>
      <c r="M2563" s="218"/>
      <c r="N2563" s="218"/>
      <c r="O2563" s="218"/>
      <c r="P2563" s="218"/>
      <c r="Q2563" s="222"/>
      <c r="R2563" s="222"/>
      <c r="S2563" s="218"/>
      <c r="U2563" s="218"/>
      <c r="X2563" s="218"/>
      <c r="AB2563" t="e">
        <v>#N/A</v>
      </c>
    </row>
    <row r="2564">
      <c r="A2564" s="218"/>
      <c r="C2564" s="218"/>
      <c r="F2564" s="457"/>
      <c r="G2564" s="218"/>
      <c r="H2564" s="218"/>
      <c r="I2564" s="218"/>
      <c r="J2564" s="218"/>
      <c r="K2564" s="218"/>
      <c r="L2564" s="218"/>
      <c r="M2564" s="218"/>
      <c r="N2564" s="218"/>
      <c r="O2564" s="218"/>
      <c r="P2564" s="218"/>
      <c r="Q2564" s="222"/>
      <c r="R2564" s="222"/>
      <c r="S2564" s="218"/>
      <c r="U2564" s="218"/>
      <c r="X2564" s="218"/>
      <c r="AB2564" t="e">
        <v>#N/A</v>
      </c>
    </row>
    <row r="2565">
      <c r="A2565" s="218"/>
      <c r="C2565" s="218"/>
      <c r="F2565" s="457"/>
      <c r="G2565" s="218"/>
      <c r="H2565" s="218"/>
      <c r="I2565" s="218"/>
      <c r="J2565" s="218"/>
      <c r="K2565" s="218"/>
      <c r="L2565" s="218"/>
      <c r="M2565" s="218"/>
      <c r="N2565" s="218"/>
      <c r="O2565" s="218"/>
      <c r="P2565" s="218"/>
      <c r="Q2565" s="222"/>
      <c r="R2565" s="222"/>
      <c r="S2565" s="218"/>
      <c r="U2565" s="218"/>
      <c r="X2565" s="218"/>
      <c r="AB2565" t="e">
        <v>#N/A</v>
      </c>
    </row>
    <row r="2566">
      <c r="A2566" s="218"/>
      <c r="C2566" s="218"/>
      <c r="F2566" s="457"/>
      <c r="G2566" s="218"/>
      <c r="H2566" s="218"/>
      <c r="I2566" s="218"/>
      <c r="J2566" s="218"/>
      <c r="K2566" s="218"/>
      <c r="L2566" s="218"/>
      <c r="M2566" s="218"/>
      <c r="N2566" s="218"/>
      <c r="O2566" s="218"/>
      <c r="P2566" s="218"/>
      <c r="Q2566" s="222"/>
      <c r="R2566" s="222"/>
      <c r="S2566" s="218"/>
      <c r="U2566" s="218"/>
      <c r="X2566" s="218"/>
      <c r="AB2566" t="e">
        <v>#N/A</v>
      </c>
    </row>
    <row r="2567">
      <c r="A2567" s="218"/>
      <c r="C2567" s="218"/>
      <c r="F2567" s="457"/>
      <c r="G2567" s="218"/>
      <c r="H2567" s="218"/>
      <c r="I2567" s="218"/>
      <c r="J2567" s="218"/>
      <c r="K2567" s="218"/>
      <c r="L2567" s="218"/>
      <c r="M2567" s="218"/>
      <c r="N2567" s="218"/>
      <c r="O2567" s="218"/>
      <c r="P2567" s="218"/>
      <c r="Q2567" s="222"/>
      <c r="R2567" s="222"/>
      <c r="S2567" s="218"/>
      <c r="U2567" s="218"/>
      <c r="X2567" s="218"/>
      <c r="AB2567" t="e">
        <v>#N/A</v>
      </c>
    </row>
    <row r="2568">
      <c r="A2568" s="218"/>
      <c r="C2568" s="218"/>
      <c r="F2568" s="457"/>
      <c r="G2568" s="218"/>
      <c r="H2568" s="218"/>
      <c r="I2568" s="218"/>
      <c r="J2568" s="218"/>
      <c r="K2568" s="218"/>
      <c r="L2568" s="218"/>
      <c r="M2568" s="218"/>
      <c r="N2568" s="218"/>
      <c r="O2568" s="218"/>
      <c r="P2568" s="218"/>
      <c r="Q2568" s="222"/>
      <c r="R2568" s="222"/>
      <c r="S2568" s="218"/>
      <c r="U2568" s="218"/>
      <c r="X2568" s="218"/>
      <c r="AB2568" t="e">
        <v>#N/A</v>
      </c>
    </row>
    <row r="2569">
      <c r="A2569" s="218"/>
      <c r="C2569" s="218"/>
      <c r="F2569" s="457"/>
      <c r="G2569" s="218"/>
      <c r="H2569" s="218"/>
      <c r="I2569" s="218"/>
      <c r="J2569" s="218"/>
      <c r="K2569" s="218"/>
      <c r="L2569" s="218"/>
      <c r="M2569" s="218"/>
      <c r="N2569" s="218"/>
      <c r="O2569" s="218"/>
      <c r="P2569" s="218"/>
      <c r="Q2569" s="222"/>
      <c r="R2569" s="222"/>
      <c r="S2569" s="218"/>
      <c r="U2569" s="218"/>
      <c r="X2569" s="218"/>
      <c r="AB2569" t="e">
        <v>#N/A</v>
      </c>
    </row>
    <row r="2570">
      <c r="A2570" s="218"/>
      <c r="C2570" s="218"/>
      <c r="F2570" s="457"/>
      <c r="G2570" s="218"/>
      <c r="H2570" s="218"/>
      <c r="I2570" s="218"/>
      <c r="J2570" s="218"/>
      <c r="K2570" s="218"/>
      <c r="L2570" s="218"/>
      <c r="M2570" s="218"/>
      <c r="N2570" s="218"/>
      <c r="O2570" s="218"/>
      <c r="P2570" s="218"/>
      <c r="Q2570" s="222"/>
      <c r="R2570" s="222"/>
      <c r="S2570" s="218"/>
      <c r="U2570" s="218"/>
      <c r="X2570" s="218"/>
      <c r="AB2570" t="e">
        <v>#N/A</v>
      </c>
    </row>
    <row r="2571">
      <c r="A2571" s="218"/>
      <c r="C2571" s="218"/>
      <c r="F2571" s="457"/>
      <c r="G2571" s="218"/>
      <c r="H2571" s="218"/>
      <c r="I2571" s="218"/>
      <c r="J2571" s="218"/>
      <c r="K2571" s="218"/>
      <c r="L2571" s="218"/>
      <c r="M2571" s="218"/>
      <c r="N2571" s="218"/>
      <c r="O2571" s="218"/>
      <c r="P2571" s="218"/>
      <c r="Q2571" s="222"/>
      <c r="R2571" s="222"/>
      <c r="S2571" s="218"/>
      <c r="U2571" s="218"/>
      <c r="X2571" s="218"/>
      <c r="AB2571" t="e">
        <v>#N/A</v>
      </c>
    </row>
    <row r="2572">
      <c r="A2572" s="218"/>
      <c r="C2572" s="218"/>
      <c r="F2572" s="457"/>
      <c r="G2572" s="218"/>
      <c r="H2572" s="218"/>
      <c r="I2572" s="218"/>
      <c r="J2572" s="218"/>
      <c r="K2572" s="218"/>
      <c r="L2572" s="218"/>
      <c r="M2572" s="218"/>
      <c r="N2572" s="218"/>
      <c r="O2572" s="218"/>
      <c r="P2572" s="218"/>
      <c r="Q2572" s="222"/>
      <c r="R2572" s="222"/>
      <c r="S2572" s="218"/>
      <c r="U2572" s="218"/>
      <c r="X2572" s="218"/>
      <c r="AB2572" t="e">
        <v>#N/A</v>
      </c>
    </row>
    <row r="2573">
      <c r="A2573" s="218"/>
      <c r="C2573" s="218"/>
      <c r="F2573" s="457"/>
      <c r="G2573" s="218"/>
      <c r="H2573" s="218"/>
      <c r="I2573" s="218"/>
      <c r="J2573" s="218"/>
      <c r="K2573" s="218"/>
      <c r="L2573" s="218"/>
      <c r="M2573" s="218"/>
      <c r="N2573" s="218"/>
      <c r="O2573" s="218"/>
      <c r="P2573" s="218"/>
      <c r="Q2573" s="222"/>
      <c r="R2573" s="222"/>
      <c r="S2573" s="218"/>
      <c r="U2573" s="218"/>
      <c r="X2573" s="218"/>
      <c r="AB2573" t="e">
        <v>#N/A</v>
      </c>
    </row>
    <row r="2574">
      <c r="A2574" s="218"/>
      <c r="C2574" s="218"/>
      <c r="F2574" s="457"/>
      <c r="G2574" s="218"/>
      <c r="H2574" s="218"/>
      <c r="I2574" s="218"/>
      <c r="J2574" s="218"/>
      <c r="K2574" s="218"/>
      <c r="L2574" s="218"/>
      <c r="M2574" s="218"/>
      <c r="N2574" s="218"/>
      <c r="O2574" s="218"/>
      <c r="P2574" s="218"/>
      <c r="Q2574" s="222"/>
      <c r="R2574" s="222"/>
      <c r="S2574" s="218"/>
      <c r="U2574" s="218"/>
      <c r="X2574" s="218"/>
      <c r="AB2574" t="e">
        <v>#N/A</v>
      </c>
    </row>
    <row r="2575">
      <c r="A2575" s="218"/>
      <c r="C2575" s="218"/>
      <c r="F2575" s="457"/>
      <c r="G2575" s="218"/>
      <c r="H2575" s="218"/>
      <c r="I2575" s="218"/>
      <c r="J2575" s="218"/>
      <c r="K2575" s="218"/>
      <c r="L2575" s="218"/>
      <c r="M2575" s="218"/>
      <c r="N2575" s="218"/>
      <c r="O2575" s="218"/>
      <c r="P2575" s="218"/>
      <c r="Q2575" s="222"/>
      <c r="R2575" s="222"/>
      <c r="S2575" s="218"/>
      <c r="U2575" s="218"/>
      <c r="X2575" s="218"/>
      <c r="AB2575" t="e">
        <v>#N/A</v>
      </c>
    </row>
    <row r="2576">
      <c r="A2576" s="218"/>
      <c r="C2576" s="218"/>
      <c r="F2576" s="457"/>
      <c r="G2576" s="218"/>
      <c r="H2576" s="218"/>
      <c r="I2576" s="218"/>
      <c r="J2576" s="218"/>
      <c r="K2576" s="218"/>
      <c r="L2576" s="218"/>
      <c r="M2576" s="218"/>
      <c r="N2576" s="218"/>
      <c r="O2576" s="218"/>
      <c r="P2576" s="218"/>
      <c r="Q2576" s="222"/>
      <c r="R2576" s="222"/>
      <c r="S2576" s="218"/>
      <c r="U2576" s="218"/>
      <c r="X2576" s="218"/>
      <c r="AB2576" t="e">
        <v>#N/A</v>
      </c>
    </row>
    <row r="2577">
      <c r="A2577" s="218"/>
      <c r="C2577" s="218"/>
      <c r="F2577" s="457"/>
      <c r="G2577" s="218"/>
      <c r="H2577" s="218"/>
      <c r="I2577" s="218"/>
      <c r="J2577" s="218"/>
      <c r="K2577" s="218"/>
      <c r="L2577" s="218"/>
      <c r="M2577" s="218"/>
      <c r="N2577" s="218"/>
      <c r="O2577" s="218"/>
      <c r="P2577" s="218"/>
      <c r="Q2577" s="222"/>
      <c r="R2577" s="222"/>
      <c r="S2577" s="218"/>
      <c r="U2577" s="218"/>
      <c r="X2577" s="218"/>
      <c r="AB2577" t="e">
        <v>#N/A</v>
      </c>
    </row>
    <row r="2578">
      <c r="A2578" s="218"/>
      <c r="C2578" s="218"/>
      <c r="F2578" s="457"/>
      <c r="G2578" s="218"/>
      <c r="H2578" s="218"/>
      <c r="I2578" s="218"/>
      <c r="J2578" s="218"/>
      <c r="K2578" s="218"/>
      <c r="L2578" s="218"/>
      <c r="M2578" s="218"/>
      <c r="N2578" s="218"/>
      <c r="O2578" s="218"/>
      <c r="P2578" s="218"/>
      <c r="Q2578" s="222"/>
      <c r="R2578" s="222"/>
      <c r="S2578" s="218"/>
      <c r="U2578" s="218"/>
      <c r="X2578" s="218"/>
      <c r="AB2578" t="e">
        <v>#N/A</v>
      </c>
    </row>
    <row r="2579">
      <c r="A2579" s="218"/>
      <c r="C2579" s="218"/>
      <c r="F2579" s="457"/>
      <c r="G2579" s="218"/>
      <c r="H2579" s="218"/>
      <c r="I2579" s="218"/>
      <c r="J2579" s="218"/>
      <c r="K2579" s="218"/>
      <c r="L2579" s="218"/>
      <c r="M2579" s="218"/>
      <c r="N2579" s="218"/>
      <c r="O2579" s="218"/>
      <c r="P2579" s="218"/>
      <c r="Q2579" s="222"/>
      <c r="R2579" s="222"/>
      <c r="S2579" s="218"/>
      <c r="U2579" s="218"/>
      <c r="X2579" s="218"/>
      <c r="AB2579" t="e">
        <v>#N/A</v>
      </c>
    </row>
    <row r="2580">
      <c r="A2580" s="218"/>
      <c r="C2580" s="218"/>
      <c r="F2580" s="457"/>
      <c r="G2580" s="218"/>
      <c r="H2580" s="218"/>
      <c r="I2580" s="218"/>
      <c r="J2580" s="218"/>
      <c r="K2580" s="218"/>
      <c r="L2580" s="218"/>
      <c r="M2580" s="218"/>
      <c r="N2580" s="218"/>
      <c r="O2580" s="218"/>
      <c r="P2580" s="218"/>
      <c r="Q2580" s="222"/>
      <c r="R2580" s="222"/>
      <c r="S2580" s="218"/>
      <c r="U2580" s="218"/>
      <c r="X2580" s="218"/>
      <c r="AB2580" t="e">
        <v>#N/A</v>
      </c>
    </row>
    <row r="2581">
      <c r="A2581" s="218"/>
      <c r="C2581" s="218"/>
      <c r="F2581" s="457"/>
      <c r="G2581" s="218"/>
      <c r="H2581" s="218"/>
      <c r="I2581" s="218"/>
      <c r="J2581" s="218"/>
      <c r="K2581" s="218"/>
      <c r="L2581" s="218"/>
      <c r="M2581" s="218"/>
      <c r="N2581" s="218"/>
      <c r="O2581" s="218"/>
      <c r="P2581" s="218"/>
      <c r="Q2581" s="222"/>
      <c r="R2581" s="222"/>
      <c r="S2581" s="218"/>
      <c r="U2581" s="218"/>
      <c r="X2581" s="218"/>
      <c r="AB2581" t="e">
        <v>#N/A</v>
      </c>
    </row>
    <row r="2582">
      <c r="A2582" s="218"/>
      <c r="C2582" s="218"/>
      <c r="F2582" s="457"/>
      <c r="G2582" s="218"/>
      <c r="H2582" s="218"/>
      <c r="I2582" s="218"/>
      <c r="J2582" s="218"/>
      <c r="K2582" s="218"/>
      <c r="L2582" s="218"/>
      <c r="M2582" s="218"/>
      <c r="N2582" s="218"/>
      <c r="O2582" s="218"/>
      <c r="P2582" s="218"/>
      <c r="Q2582" s="222"/>
      <c r="R2582" s="222"/>
      <c r="S2582" s="218"/>
      <c r="U2582" s="218"/>
      <c r="X2582" s="218"/>
      <c r="AB2582" t="e">
        <v>#N/A</v>
      </c>
    </row>
    <row r="2583">
      <c r="A2583" s="218"/>
      <c r="C2583" s="218"/>
      <c r="F2583" s="457"/>
      <c r="G2583" s="218"/>
      <c r="H2583" s="218"/>
      <c r="I2583" s="218"/>
      <c r="J2583" s="218"/>
      <c r="K2583" s="218"/>
      <c r="L2583" s="218"/>
      <c r="M2583" s="218"/>
      <c r="N2583" s="218"/>
      <c r="O2583" s="218"/>
      <c r="P2583" s="218"/>
      <c r="Q2583" s="222"/>
      <c r="R2583" s="222"/>
      <c r="S2583" s="218"/>
      <c r="U2583" s="218"/>
      <c r="X2583" s="218"/>
      <c r="AB2583" t="e">
        <v>#N/A</v>
      </c>
    </row>
    <row r="2584">
      <c r="A2584" s="218"/>
      <c r="C2584" s="218"/>
      <c r="F2584" s="457"/>
      <c r="G2584" s="218"/>
      <c r="H2584" s="218"/>
      <c r="I2584" s="218"/>
      <c r="J2584" s="218"/>
      <c r="K2584" s="218"/>
      <c r="L2584" s="218"/>
      <c r="M2584" s="218"/>
      <c r="N2584" s="218"/>
      <c r="O2584" s="218"/>
      <c r="P2584" s="218"/>
      <c r="Q2584" s="222"/>
      <c r="R2584" s="222"/>
      <c r="S2584" s="218"/>
      <c r="U2584" s="218"/>
      <c r="X2584" s="218"/>
      <c r="AB2584" t="e">
        <v>#N/A</v>
      </c>
    </row>
    <row r="2585">
      <c r="A2585" s="218"/>
      <c r="C2585" s="218"/>
      <c r="F2585" s="457"/>
      <c r="G2585" s="218"/>
      <c r="H2585" s="218"/>
      <c r="I2585" s="218"/>
      <c r="J2585" s="218"/>
      <c r="K2585" s="218"/>
      <c r="L2585" s="218"/>
      <c r="M2585" s="218"/>
      <c r="N2585" s="218"/>
      <c r="O2585" s="218"/>
      <c r="P2585" s="218"/>
      <c r="Q2585" s="222"/>
      <c r="R2585" s="222"/>
      <c r="S2585" s="218"/>
      <c r="U2585" s="218"/>
      <c r="X2585" s="218"/>
      <c r="AB2585" t="e">
        <v>#N/A</v>
      </c>
    </row>
    <row r="2586">
      <c r="A2586" s="218"/>
      <c r="C2586" s="218"/>
      <c r="F2586" s="457"/>
      <c r="G2586" s="218"/>
      <c r="H2586" s="218"/>
      <c r="I2586" s="218"/>
      <c r="J2586" s="218"/>
      <c r="K2586" s="218"/>
      <c r="L2586" s="218"/>
      <c r="M2586" s="218"/>
      <c r="N2586" s="218"/>
      <c r="O2586" s="218"/>
      <c r="P2586" s="218"/>
      <c r="Q2586" s="222"/>
      <c r="R2586" s="222"/>
      <c r="S2586" s="218"/>
      <c r="U2586" s="218"/>
      <c r="X2586" s="218"/>
      <c r="AB2586" t="e">
        <v>#N/A</v>
      </c>
    </row>
    <row r="2587">
      <c r="A2587" s="218"/>
      <c r="C2587" s="218"/>
      <c r="F2587" s="457"/>
      <c r="G2587" s="218"/>
      <c r="H2587" s="218"/>
      <c r="I2587" s="218"/>
      <c r="J2587" s="218"/>
      <c r="K2587" s="218"/>
      <c r="L2587" s="218"/>
      <c r="M2587" s="218"/>
      <c r="N2587" s="218"/>
      <c r="O2587" s="218"/>
      <c r="P2587" s="218"/>
      <c r="Q2587" s="222"/>
      <c r="R2587" s="222"/>
      <c r="S2587" s="218"/>
      <c r="U2587" s="218"/>
      <c r="X2587" s="218"/>
      <c r="AB2587" t="e">
        <v>#N/A</v>
      </c>
    </row>
    <row r="2588">
      <c r="A2588" s="218"/>
      <c r="C2588" s="218"/>
      <c r="F2588" s="457"/>
      <c r="G2588" s="218"/>
      <c r="H2588" s="218"/>
      <c r="I2588" s="218"/>
      <c r="J2588" s="218"/>
      <c r="K2588" s="218"/>
      <c r="L2588" s="218"/>
      <c r="M2588" s="218"/>
      <c r="N2588" s="218"/>
      <c r="O2588" s="218"/>
      <c r="P2588" s="218"/>
      <c r="Q2588" s="222"/>
      <c r="R2588" s="222"/>
      <c r="S2588" s="218"/>
      <c r="U2588" s="218"/>
      <c r="X2588" s="218"/>
      <c r="AB2588" t="e">
        <v>#N/A</v>
      </c>
    </row>
    <row r="2589">
      <c r="A2589" s="218"/>
      <c r="C2589" s="218"/>
      <c r="F2589" s="457"/>
      <c r="G2589" s="218"/>
      <c r="H2589" s="218"/>
      <c r="I2589" s="218"/>
      <c r="J2589" s="218"/>
      <c r="K2589" s="218"/>
      <c r="L2589" s="218"/>
      <c r="M2589" s="218"/>
      <c r="N2589" s="218"/>
      <c r="O2589" s="218"/>
      <c r="P2589" s="218"/>
      <c r="Q2589" s="222"/>
      <c r="R2589" s="222"/>
      <c r="S2589" s="218"/>
      <c r="U2589" s="218"/>
      <c r="X2589" s="218"/>
      <c r="AB2589" t="e">
        <v>#N/A</v>
      </c>
    </row>
    <row r="2590">
      <c r="A2590" s="218"/>
      <c r="C2590" s="218"/>
      <c r="F2590" s="457"/>
      <c r="G2590" s="218"/>
      <c r="H2590" s="218"/>
      <c r="I2590" s="218"/>
      <c r="J2590" s="218"/>
      <c r="K2590" s="218"/>
      <c r="L2590" s="218"/>
      <c r="M2590" s="218"/>
      <c r="N2590" s="218"/>
      <c r="O2590" s="218"/>
      <c r="P2590" s="218"/>
      <c r="Q2590" s="222"/>
      <c r="R2590" s="222"/>
      <c r="S2590" s="218"/>
      <c r="U2590" s="218"/>
      <c r="X2590" s="218"/>
      <c r="AB2590" t="e">
        <v>#N/A</v>
      </c>
    </row>
    <row r="2591">
      <c r="A2591" s="218"/>
      <c r="C2591" s="218"/>
      <c r="F2591" s="457"/>
      <c r="G2591" s="218"/>
      <c r="H2591" s="218"/>
      <c r="I2591" s="218"/>
      <c r="J2591" s="218"/>
      <c r="K2591" s="218"/>
      <c r="L2591" s="218"/>
      <c r="M2591" s="218"/>
      <c r="N2591" s="218"/>
      <c r="O2591" s="218"/>
      <c r="P2591" s="218"/>
      <c r="Q2591" s="222"/>
      <c r="R2591" s="222"/>
      <c r="S2591" s="218"/>
      <c r="U2591" s="218"/>
      <c r="X2591" s="218"/>
      <c r="AB2591" t="e">
        <v>#N/A</v>
      </c>
    </row>
    <row r="2592">
      <c r="A2592" s="218"/>
      <c r="C2592" s="218"/>
      <c r="F2592" s="457"/>
      <c r="G2592" s="218"/>
      <c r="H2592" s="218"/>
      <c r="I2592" s="218"/>
      <c r="J2592" s="218"/>
      <c r="K2592" s="218"/>
      <c r="L2592" s="218"/>
      <c r="M2592" s="218"/>
      <c r="N2592" s="218"/>
      <c r="O2592" s="218"/>
      <c r="P2592" s="218"/>
      <c r="Q2592" s="222"/>
      <c r="R2592" s="222"/>
      <c r="S2592" s="218"/>
      <c r="U2592" s="218"/>
      <c r="X2592" s="218"/>
      <c r="AB2592" t="e">
        <v>#N/A</v>
      </c>
    </row>
    <row r="2593">
      <c r="A2593" s="218"/>
      <c r="C2593" s="218"/>
      <c r="F2593" s="457"/>
      <c r="G2593" s="218"/>
      <c r="H2593" s="218"/>
      <c r="I2593" s="218"/>
      <c r="J2593" s="218"/>
      <c r="K2593" s="218"/>
      <c r="L2593" s="218"/>
      <c r="M2593" s="218"/>
      <c r="N2593" s="218"/>
      <c r="O2593" s="218"/>
      <c r="P2593" s="218"/>
      <c r="Q2593" s="222"/>
      <c r="R2593" s="222"/>
      <c r="S2593" s="218"/>
      <c r="U2593" s="218"/>
      <c r="X2593" s="218"/>
      <c r="AB2593" t="e">
        <v>#N/A</v>
      </c>
    </row>
    <row r="2594">
      <c r="A2594" s="218"/>
      <c r="C2594" s="218"/>
      <c r="F2594" s="457"/>
      <c r="G2594" s="218"/>
      <c r="H2594" s="218"/>
      <c r="I2594" s="218"/>
      <c r="J2594" s="218"/>
      <c r="K2594" s="218"/>
      <c r="L2594" s="218"/>
      <c r="M2594" s="218"/>
      <c r="N2594" s="218"/>
      <c r="O2594" s="218"/>
      <c r="P2594" s="218"/>
      <c r="Q2594" s="222"/>
      <c r="R2594" s="222"/>
      <c r="S2594" s="218"/>
      <c r="U2594" s="218"/>
      <c r="X2594" s="218"/>
      <c r="AB2594" t="e">
        <v>#N/A</v>
      </c>
    </row>
    <row r="2595">
      <c r="A2595" s="218"/>
      <c r="C2595" s="218"/>
      <c r="F2595" s="457"/>
      <c r="G2595" s="218"/>
      <c r="H2595" s="218"/>
      <c r="I2595" s="218"/>
      <c r="J2595" s="218"/>
      <c r="K2595" s="218"/>
      <c r="L2595" s="218"/>
      <c r="M2595" s="218"/>
      <c r="N2595" s="218"/>
      <c r="O2595" s="218"/>
      <c r="P2595" s="218"/>
      <c r="Q2595" s="222"/>
      <c r="R2595" s="222"/>
      <c r="S2595" s="218"/>
      <c r="U2595" s="218"/>
      <c r="X2595" s="218"/>
      <c r="AB2595" t="e">
        <v>#N/A</v>
      </c>
    </row>
    <row r="2596">
      <c r="A2596" s="218"/>
      <c r="C2596" s="218"/>
      <c r="F2596" s="457"/>
      <c r="G2596" s="218"/>
      <c r="H2596" s="218"/>
      <c r="I2596" s="218"/>
      <c r="J2596" s="218"/>
      <c r="K2596" s="218"/>
      <c r="L2596" s="218"/>
      <c r="M2596" s="218"/>
      <c r="N2596" s="218"/>
      <c r="O2596" s="218"/>
      <c r="P2596" s="218"/>
      <c r="Q2596" s="222"/>
      <c r="R2596" s="222"/>
      <c r="S2596" s="218"/>
      <c r="U2596" s="218"/>
      <c r="X2596" s="218"/>
      <c r="AB2596" t="e">
        <v>#N/A</v>
      </c>
    </row>
    <row r="2597">
      <c r="A2597" s="218"/>
      <c r="C2597" s="218"/>
      <c r="F2597" s="457"/>
      <c r="G2597" s="218"/>
      <c r="H2597" s="218"/>
      <c r="I2597" s="218"/>
      <c r="J2597" s="218"/>
      <c r="K2597" s="218"/>
      <c r="L2597" s="218"/>
      <c r="M2597" s="218"/>
      <c r="N2597" s="218"/>
      <c r="O2597" s="218"/>
      <c r="P2597" s="218"/>
      <c r="Q2597" s="222"/>
      <c r="R2597" s="222"/>
      <c r="S2597" s="218"/>
      <c r="U2597" s="218"/>
      <c r="X2597" s="218"/>
      <c r="AB2597" t="e">
        <v>#N/A</v>
      </c>
    </row>
    <row r="2598">
      <c r="A2598" s="218"/>
      <c r="C2598" s="218"/>
      <c r="F2598" s="457"/>
      <c r="G2598" s="218"/>
      <c r="H2598" s="218"/>
      <c r="I2598" s="218"/>
      <c r="J2598" s="218"/>
      <c r="K2598" s="218"/>
      <c r="L2598" s="218"/>
      <c r="M2598" s="218"/>
      <c r="N2598" s="218"/>
      <c r="O2598" s="218"/>
      <c r="P2598" s="218"/>
      <c r="Q2598" s="222"/>
      <c r="R2598" s="222"/>
      <c r="S2598" s="218"/>
      <c r="U2598" s="218"/>
      <c r="X2598" s="218"/>
      <c r="AB2598" t="e">
        <v>#N/A</v>
      </c>
    </row>
    <row r="2599">
      <c r="A2599" s="218"/>
      <c r="C2599" s="218"/>
      <c r="F2599" s="457"/>
      <c r="G2599" s="218"/>
      <c r="H2599" s="218"/>
      <c r="I2599" s="218"/>
      <c r="J2599" s="218"/>
      <c r="K2599" s="218"/>
      <c r="L2599" s="218"/>
      <c r="M2599" s="218"/>
      <c r="N2599" s="218"/>
      <c r="O2599" s="218"/>
      <c r="P2599" s="218"/>
      <c r="Q2599" s="222"/>
      <c r="R2599" s="222"/>
      <c r="S2599" s="218"/>
      <c r="U2599" s="218"/>
      <c r="X2599" s="218"/>
      <c r="AB2599" t="e">
        <v>#N/A</v>
      </c>
    </row>
    <row r="2600">
      <c r="A2600" s="218"/>
      <c r="C2600" s="218"/>
      <c r="F2600" s="457"/>
      <c r="G2600" s="218"/>
      <c r="H2600" s="218"/>
      <c r="I2600" s="218"/>
      <c r="J2600" s="218"/>
      <c r="K2600" s="218"/>
      <c r="L2600" s="218"/>
      <c r="M2600" s="218"/>
      <c r="N2600" s="218"/>
      <c r="O2600" s="218"/>
      <c r="P2600" s="218"/>
      <c r="Q2600" s="222"/>
      <c r="R2600" s="222"/>
      <c r="S2600" s="218"/>
      <c r="U2600" s="218"/>
      <c r="X2600" s="218"/>
      <c r="AB2600" t="e">
        <v>#N/A</v>
      </c>
    </row>
    <row r="2601">
      <c r="A2601" s="218"/>
      <c r="C2601" s="218"/>
      <c r="F2601" s="457"/>
      <c r="G2601" s="218"/>
      <c r="H2601" s="218"/>
      <c r="I2601" s="218"/>
      <c r="J2601" s="218"/>
      <c r="K2601" s="218"/>
      <c r="L2601" s="218"/>
      <c r="M2601" s="218"/>
      <c r="N2601" s="218"/>
      <c r="O2601" s="218"/>
      <c r="P2601" s="218"/>
      <c r="Q2601" s="222"/>
      <c r="R2601" s="222"/>
      <c r="S2601" s="218"/>
      <c r="U2601" s="218"/>
      <c r="X2601" s="218"/>
      <c r="AB2601" t="e">
        <v>#N/A</v>
      </c>
    </row>
    <row r="2602">
      <c r="A2602" s="218"/>
      <c r="C2602" s="218"/>
      <c r="F2602" s="457"/>
      <c r="G2602" s="218"/>
      <c r="H2602" s="218"/>
      <c r="I2602" s="218"/>
      <c r="J2602" s="218"/>
      <c r="K2602" s="218"/>
      <c r="L2602" s="218"/>
      <c r="M2602" s="218"/>
      <c r="N2602" s="218"/>
      <c r="O2602" s="218"/>
      <c r="P2602" s="218"/>
      <c r="Q2602" s="222"/>
      <c r="R2602" s="222"/>
      <c r="S2602" s="218"/>
      <c r="U2602" s="218"/>
      <c r="X2602" s="218"/>
      <c r="AB2602" t="e">
        <v>#N/A</v>
      </c>
    </row>
    <row r="2603">
      <c r="A2603" s="218"/>
      <c r="C2603" s="218"/>
      <c r="F2603" s="457"/>
      <c r="G2603" s="218"/>
      <c r="H2603" s="218"/>
      <c r="I2603" s="218"/>
      <c r="J2603" s="218"/>
      <c r="K2603" s="218"/>
      <c r="L2603" s="218"/>
      <c r="M2603" s="218"/>
      <c r="N2603" s="218"/>
      <c r="O2603" s="218"/>
      <c r="P2603" s="218"/>
      <c r="Q2603" s="222"/>
      <c r="R2603" s="222"/>
      <c r="S2603" s="218"/>
      <c r="U2603" s="218"/>
      <c r="X2603" s="218"/>
      <c r="AB2603" t="e">
        <v>#N/A</v>
      </c>
    </row>
    <row r="2604">
      <c r="A2604" s="218"/>
      <c r="C2604" s="218"/>
      <c r="F2604" s="457"/>
      <c r="G2604" s="218"/>
      <c r="H2604" s="218"/>
      <c r="I2604" s="218"/>
      <c r="J2604" s="218"/>
      <c r="K2604" s="218"/>
      <c r="L2604" s="218"/>
      <c r="M2604" s="218"/>
      <c r="N2604" s="218"/>
      <c r="O2604" s="218"/>
      <c r="P2604" s="218"/>
      <c r="Q2604" s="222"/>
      <c r="R2604" s="222"/>
      <c r="S2604" s="218"/>
      <c r="U2604" s="218"/>
      <c r="X2604" s="218"/>
      <c r="AB2604" t="e">
        <v>#N/A</v>
      </c>
    </row>
    <row r="2605">
      <c r="A2605" s="218"/>
      <c r="C2605" s="218"/>
      <c r="F2605" s="457"/>
      <c r="G2605" s="218"/>
      <c r="H2605" s="218"/>
      <c r="I2605" s="218"/>
      <c r="J2605" s="218"/>
      <c r="K2605" s="218"/>
      <c r="L2605" s="218"/>
      <c r="M2605" s="218"/>
      <c r="N2605" s="218"/>
      <c r="O2605" s="218"/>
      <c r="P2605" s="218"/>
      <c r="Q2605" s="222"/>
      <c r="R2605" s="222"/>
      <c r="S2605" s="218"/>
      <c r="U2605" s="218"/>
      <c r="X2605" s="218"/>
      <c r="AB2605" t="e">
        <v>#N/A</v>
      </c>
    </row>
    <row r="2606">
      <c r="A2606" s="218"/>
      <c r="C2606" s="218"/>
      <c r="F2606" s="457"/>
      <c r="G2606" s="218"/>
      <c r="H2606" s="218"/>
      <c r="I2606" s="218"/>
      <c r="J2606" s="218"/>
      <c r="K2606" s="218"/>
      <c r="L2606" s="218"/>
      <c r="M2606" s="218"/>
      <c r="N2606" s="218"/>
      <c r="O2606" s="218"/>
      <c r="P2606" s="218"/>
      <c r="Q2606" s="222"/>
      <c r="R2606" s="222"/>
      <c r="S2606" s="218"/>
      <c r="U2606" s="218"/>
      <c r="X2606" s="218"/>
      <c r="AB2606" t="e">
        <v>#N/A</v>
      </c>
    </row>
    <row r="2607">
      <c r="A2607" s="218"/>
      <c r="C2607" s="218"/>
      <c r="F2607" s="457"/>
      <c r="G2607" s="218"/>
      <c r="H2607" s="218"/>
      <c r="I2607" s="218"/>
      <c r="J2607" s="218"/>
      <c r="K2607" s="218"/>
      <c r="L2607" s="218"/>
      <c r="M2607" s="218"/>
      <c r="N2607" s="218"/>
      <c r="O2607" s="218"/>
      <c r="P2607" s="218"/>
      <c r="Q2607" s="222"/>
      <c r="R2607" s="222"/>
      <c r="S2607" s="218"/>
      <c r="U2607" s="218"/>
      <c r="X2607" s="218"/>
      <c r="AB2607" t="e">
        <v>#N/A</v>
      </c>
    </row>
    <row r="2608">
      <c r="A2608" s="218"/>
      <c r="C2608" s="218"/>
      <c r="F2608" s="457"/>
      <c r="G2608" s="218"/>
      <c r="H2608" s="218"/>
      <c r="I2608" s="218"/>
      <c r="J2608" s="218"/>
      <c r="K2608" s="218"/>
      <c r="L2608" s="218"/>
      <c r="M2608" s="218"/>
      <c r="N2608" s="218"/>
      <c r="O2608" s="218"/>
      <c r="P2608" s="218"/>
      <c r="Q2608" s="222"/>
      <c r="R2608" s="222"/>
      <c r="S2608" s="218"/>
      <c r="U2608" s="218"/>
      <c r="X2608" s="218"/>
      <c r="AB2608" t="e">
        <v>#N/A</v>
      </c>
    </row>
    <row r="2609">
      <c r="A2609" s="218"/>
      <c r="C2609" s="218"/>
      <c r="F2609" s="457"/>
      <c r="G2609" s="218"/>
      <c r="H2609" s="218"/>
      <c r="I2609" s="218"/>
      <c r="J2609" s="218"/>
      <c r="K2609" s="218"/>
      <c r="L2609" s="218"/>
      <c r="M2609" s="218"/>
      <c r="N2609" s="218"/>
      <c r="O2609" s="218"/>
      <c r="P2609" s="218"/>
      <c r="Q2609" s="222"/>
      <c r="R2609" s="222"/>
      <c r="S2609" s="218"/>
      <c r="U2609" s="218"/>
      <c r="X2609" s="218"/>
      <c r="AB2609" t="e">
        <v>#N/A</v>
      </c>
    </row>
    <row r="2610">
      <c r="A2610" s="218"/>
      <c r="C2610" s="218"/>
      <c r="F2610" s="457"/>
      <c r="G2610" s="218"/>
      <c r="H2610" s="218"/>
      <c r="I2610" s="218"/>
      <c r="J2610" s="218"/>
      <c r="K2610" s="218"/>
      <c r="L2610" s="218"/>
      <c r="M2610" s="218"/>
      <c r="N2610" s="218"/>
      <c r="O2610" s="218"/>
      <c r="P2610" s="218"/>
      <c r="Q2610" s="222"/>
      <c r="R2610" s="222"/>
      <c r="S2610" s="218"/>
      <c r="U2610" s="218"/>
      <c r="X2610" s="218"/>
      <c r="AB2610" t="e">
        <v>#N/A</v>
      </c>
    </row>
    <row r="2611">
      <c r="A2611" s="218"/>
      <c r="C2611" s="218"/>
      <c r="F2611" s="457"/>
      <c r="G2611" s="218"/>
      <c r="H2611" s="218"/>
      <c r="I2611" s="218"/>
      <c r="J2611" s="218"/>
      <c r="K2611" s="218"/>
      <c r="L2611" s="218"/>
      <c r="M2611" s="218"/>
      <c r="N2611" s="218"/>
      <c r="O2611" s="218"/>
      <c r="P2611" s="218"/>
      <c r="Q2611" s="222"/>
      <c r="R2611" s="222"/>
      <c r="S2611" s="218"/>
      <c r="U2611" s="218"/>
      <c r="X2611" s="218"/>
      <c r="AB2611" t="e">
        <v>#N/A</v>
      </c>
    </row>
    <row r="2612">
      <c r="A2612" s="218"/>
      <c r="C2612" s="218"/>
      <c r="F2612" s="457"/>
      <c r="G2612" s="218"/>
      <c r="H2612" s="218"/>
      <c r="I2612" s="218"/>
      <c r="J2612" s="218"/>
      <c r="K2612" s="218"/>
      <c r="L2612" s="218"/>
      <c r="M2612" s="218"/>
      <c r="N2612" s="218"/>
      <c r="O2612" s="218"/>
      <c r="P2612" s="218"/>
      <c r="Q2612" s="222"/>
      <c r="R2612" s="222"/>
      <c r="S2612" s="218"/>
      <c r="U2612" s="218"/>
      <c r="X2612" s="218"/>
      <c r="AB2612" t="e">
        <v>#N/A</v>
      </c>
    </row>
    <row r="2613">
      <c r="A2613" s="218"/>
      <c r="C2613" s="218"/>
      <c r="F2613" s="457"/>
      <c r="G2613" s="218"/>
      <c r="H2613" s="218"/>
      <c r="I2613" s="218"/>
      <c r="J2613" s="218"/>
      <c r="K2613" s="218"/>
      <c r="L2613" s="218"/>
      <c r="M2613" s="218"/>
      <c r="N2613" s="218"/>
      <c r="O2613" s="218"/>
      <c r="P2613" s="218"/>
      <c r="Q2613" s="222"/>
      <c r="R2613" s="222"/>
      <c r="S2613" s="218"/>
      <c r="U2613" s="218"/>
      <c r="X2613" s="218"/>
      <c r="AB2613" t="e">
        <v>#N/A</v>
      </c>
    </row>
    <row r="2614">
      <c r="A2614" s="218"/>
      <c r="C2614" s="218"/>
      <c r="F2614" s="457"/>
      <c r="G2614" s="218"/>
      <c r="H2614" s="218"/>
      <c r="I2614" s="218"/>
      <c r="J2614" s="218"/>
      <c r="K2614" s="218"/>
      <c r="L2614" s="218"/>
      <c r="M2614" s="218"/>
      <c r="N2614" s="218"/>
      <c r="O2614" s="218"/>
      <c r="P2614" s="218"/>
      <c r="Q2614" s="222"/>
      <c r="R2614" s="222"/>
      <c r="S2614" s="218"/>
      <c r="U2614" s="218"/>
      <c r="X2614" s="218"/>
      <c r="AB2614" t="e">
        <v>#N/A</v>
      </c>
    </row>
    <row r="2615">
      <c r="A2615" s="218"/>
      <c r="C2615" s="218"/>
      <c r="F2615" s="457"/>
      <c r="G2615" s="218"/>
      <c r="H2615" s="218"/>
      <c r="I2615" s="218"/>
      <c r="J2615" s="218"/>
      <c r="K2615" s="218"/>
      <c r="L2615" s="218"/>
      <c r="M2615" s="218"/>
      <c r="N2615" s="218"/>
      <c r="O2615" s="218"/>
      <c r="P2615" s="218"/>
      <c r="Q2615" s="222"/>
      <c r="R2615" s="222"/>
      <c r="S2615" s="218"/>
      <c r="U2615" s="218"/>
      <c r="X2615" s="218"/>
      <c r="AB2615" t="e">
        <v>#N/A</v>
      </c>
    </row>
    <row r="2616">
      <c r="A2616" s="218"/>
      <c r="C2616" s="218"/>
      <c r="F2616" s="457"/>
      <c r="G2616" s="218"/>
      <c r="H2616" s="218"/>
      <c r="I2616" s="218"/>
      <c r="J2616" s="218"/>
      <c r="K2616" s="218"/>
      <c r="L2616" s="218"/>
      <c r="M2616" s="218"/>
      <c r="N2616" s="218"/>
      <c r="O2616" s="218"/>
      <c r="P2616" s="218"/>
      <c r="Q2616" s="222"/>
      <c r="R2616" s="222"/>
      <c r="S2616" s="218"/>
      <c r="U2616" s="218"/>
      <c r="X2616" s="218"/>
      <c r="AB2616" t="e">
        <v>#N/A</v>
      </c>
    </row>
    <row r="2617">
      <c r="A2617" s="218"/>
      <c r="C2617" s="218"/>
      <c r="F2617" s="457"/>
      <c r="G2617" s="218"/>
      <c r="H2617" s="218"/>
      <c r="I2617" s="218"/>
      <c r="J2617" s="218"/>
      <c r="K2617" s="218"/>
      <c r="L2617" s="218"/>
      <c r="M2617" s="218"/>
      <c r="N2617" s="218"/>
      <c r="O2617" s="218"/>
      <c r="P2617" s="218"/>
      <c r="Q2617" s="222"/>
      <c r="R2617" s="222"/>
      <c r="S2617" s="218"/>
      <c r="U2617" s="218"/>
      <c r="X2617" s="218"/>
      <c r="AB2617" t="e">
        <v>#N/A</v>
      </c>
    </row>
    <row r="2618">
      <c r="A2618" s="218"/>
      <c r="C2618" s="218"/>
      <c r="F2618" s="457"/>
      <c r="G2618" s="218"/>
      <c r="H2618" s="218"/>
      <c r="I2618" s="218"/>
      <c r="J2618" s="218"/>
      <c r="K2618" s="218"/>
      <c r="L2618" s="218"/>
      <c r="M2618" s="218"/>
      <c r="N2618" s="218"/>
      <c r="O2618" s="218"/>
      <c r="P2618" s="218"/>
      <c r="Q2618" s="222"/>
      <c r="R2618" s="222"/>
      <c r="S2618" s="218"/>
      <c r="U2618" s="218"/>
      <c r="X2618" s="218"/>
      <c r="AB2618" t="e">
        <v>#N/A</v>
      </c>
    </row>
    <row r="2619">
      <c r="A2619" s="218"/>
      <c r="C2619" s="218"/>
      <c r="F2619" s="457"/>
      <c r="G2619" s="218"/>
      <c r="H2619" s="218"/>
      <c r="I2619" s="218"/>
      <c r="J2619" s="218"/>
      <c r="K2619" s="218"/>
      <c r="L2619" s="218"/>
      <c r="M2619" s="218"/>
      <c r="N2619" s="218"/>
      <c r="O2619" s="218"/>
      <c r="P2619" s="218"/>
      <c r="Q2619" s="222"/>
      <c r="R2619" s="222"/>
      <c r="S2619" s="218"/>
      <c r="U2619" s="218"/>
      <c r="X2619" s="218"/>
      <c r="AB2619" t="e">
        <v>#N/A</v>
      </c>
    </row>
    <row r="2620">
      <c r="A2620" s="218"/>
      <c r="C2620" s="218"/>
      <c r="F2620" s="457"/>
      <c r="G2620" s="218"/>
      <c r="H2620" s="218"/>
      <c r="I2620" s="218"/>
      <c r="J2620" s="218"/>
      <c r="K2620" s="218"/>
      <c r="L2620" s="218"/>
      <c r="M2620" s="218"/>
      <c r="N2620" s="218"/>
      <c r="O2620" s="218"/>
      <c r="P2620" s="218"/>
      <c r="Q2620" s="222"/>
      <c r="R2620" s="222"/>
      <c r="S2620" s="218"/>
      <c r="U2620" s="218"/>
      <c r="X2620" s="218"/>
      <c r="AB2620" t="e">
        <v>#N/A</v>
      </c>
    </row>
    <row r="2621">
      <c r="A2621" s="218"/>
      <c r="C2621" s="218"/>
      <c r="F2621" s="457"/>
      <c r="G2621" s="218"/>
      <c r="H2621" s="218"/>
      <c r="I2621" s="218"/>
      <c r="J2621" s="218"/>
      <c r="K2621" s="218"/>
      <c r="L2621" s="218"/>
      <c r="M2621" s="218"/>
      <c r="N2621" s="218"/>
      <c r="O2621" s="218"/>
      <c r="P2621" s="218"/>
      <c r="Q2621" s="222"/>
      <c r="R2621" s="222"/>
      <c r="S2621" s="218"/>
      <c r="U2621" s="218"/>
      <c r="X2621" s="218"/>
      <c r="AB2621" t="e">
        <v>#N/A</v>
      </c>
    </row>
    <row r="2622">
      <c r="A2622" s="218"/>
      <c r="C2622" s="218"/>
      <c r="F2622" s="457"/>
      <c r="G2622" s="218"/>
      <c r="H2622" s="218"/>
      <c r="I2622" s="218"/>
      <c r="J2622" s="218"/>
      <c r="K2622" s="218"/>
      <c r="L2622" s="218"/>
      <c r="M2622" s="218"/>
      <c r="N2622" s="218"/>
      <c r="O2622" s="218"/>
      <c r="P2622" s="218"/>
      <c r="Q2622" s="222"/>
      <c r="R2622" s="222"/>
      <c r="S2622" s="218"/>
      <c r="U2622" s="218"/>
      <c r="X2622" s="218"/>
      <c r="AB2622" t="e">
        <v>#N/A</v>
      </c>
    </row>
    <row r="2623">
      <c r="A2623" s="218"/>
      <c r="C2623" s="218"/>
      <c r="F2623" s="457"/>
      <c r="G2623" s="218"/>
      <c r="H2623" s="218"/>
      <c r="I2623" s="218"/>
      <c r="J2623" s="218"/>
      <c r="K2623" s="218"/>
      <c r="L2623" s="218"/>
      <c r="M2623" s="218"/>
      <c r="N2623" s="218"/>
      <c r="O2623" s="218"/>
      <c r="P2623" s="218"/>
      <c r="Q2623" s="222"/>
      <c r="R2623" s="222"/>
      <c r="S2623" s="218"/>
      <c r="U2623" s="218"/>
      <c r="X2623" s="218"/>
      <c r="AB2623" t="e">
        <v>#N/A</v>
      </c>
    </row>
    <row r="2624">
      <c r="A2624" s="218"/>
      <c r="C2624" s="218"/>
      <c r="F2624" s="457"/>
      <c r="G2624" s="218"/>
      <c r="H2624" s="218"/>
      <c r="I2624" s="218"/>
      <c r="J2624" s="218"/>
      <c r="K2624" s="218"/>
      <c r="L2624" s="218"/>
      <c r="M2624" s="218"/>
      <c r="N2624" s="218"/>
      <c r="O2624" s="218"/>
      <c r="P2624" s="218"/>
      <c r="Q2624" s="222"/>
      <c r="R2624" s="222"/>
      <c r="S2624" s="218"/>
      <c r="U2624" s="218"/>
      <c r="X2624" s="218"/>
      <c r="AB2624" t="e">
        <v>#N/A</v>
      </c>
    </row>
    <row r="2625">
      <c r="A2625" s="218"/>
      <c r="C2625" s="218"/>
      <c r="F2625" s="457"/>
      <c r="G2625" s="218"/>
      <c r="H2625" s="218"/>
      <c r="I2625" s="218"/>
      <c r="J2625" s="218"/>
      <c r="K2625" s="218"/>
      <c r="L2625" s="218"/>
      <c r="M2625" s="218"/>
      <c r="N2625" s="218"/>
      <c r="O2625" s="218"/>
      <c r="P2625" s="218"/>
      <c r="Q2625" s="222"/>
      <c r="R2625" s="222"/>
      <c r="S2625" s="218"/>
      <c r="U2625" s="218"/>
      <c r="X2625" s="218"/>
      <c r="AB2625" t="e">
        <v>#N/A</v>
      </c>
    </row>
    <row r="2626">
      <c r="A2626" s="218"/>
      <c r="C2626" s="218"/>
      <c r="F2626" s="457"/>
      <c r="G2626" s="218"/>
      <c r="H2626" s="218"/>
      <c r="I2626" s="218"/>
      <c r="J2626" s="218"/>
      <c r="K2626" s="218"/>
      <c r="L2626" s="218"/>
      <c r="M2626" s="218"/>
      <c r="N2626" s="218"/>
      <c r="O2626" s="218"/>
      <c r="P2626" s="218"/>
      <c r="Q2626" s="222"/>
      <c r="R2626" s="222"/>
      <c r="S2626" s="218"/>
      <c r="U2626" s="218"/>
      <c r="X2626" s="218"/>
      <c r="AB2626" t="e">
        <v>#N/A</v>
      </c>
    </row>
    <row r="2627">
      <c r="A2627" s="218"/>
      <c r="C2627" s="218"/>
      <c r="F2627" s="457"/>
      <c r="G2627" s="218"/>
      <c r="H2627" s="218"/>
      <c r="I2627" s="218"/>
      <c r="J2627" s="218"/>
      <c r="K2627" s="218"/>
      <c r="L2627" s="218"/>
      <c r="M2627" s="218"/>
      <c r="N2627" s="218"/>
      <c r="O2627" s="218"/>
      <c r="P2627" s="218"/>
      <c r="Q2627" s="222"/>
      <c r="R2627" s="222"/>
      <c r="S2627" s="218"/>
      <c r="U2627" s="218"/>
      <c r="X2627" s="218"/>
      <c r="AB2627" t="e">
        <v>#N/A</v>
      </c>
    </row>
    <row r="2628">
      <c r="A2628" s="218"/>
      <c r="C2628" s="218"/>
      <c r="F2628" s="457"/>
      <c r="G2628" s="218"/>
      <c r="H2628" s="218"/>
      <c r="I2628" s="218"/>
      <c r="J2628" s="218"/>
      <c r="K2628" s="218"/>
      <c r="L2628" s="218"/>
      <c r="M2628" s="218"/>
      <c r="N2628" s="218"/>
      <c r="O2628" s="218"/>
      <c r="P2628" s="218"/>
      <c r="Q2628" s="222"/>
      <c r="R2628" s="222"/>
      <c r="S2628" s="218"/>
      <c r="U2628" s="218"/>
      <c r="X2628" s="218"/>
      <c r="AB2628" t="e">
        <v>#N/A</v>
      </c>
    </row>
    <row r="2629">
      <c r="A2629" s="218"/>
      <c r="C2629" s="218"/>
      <c r="F2629" s="457"/>
      <c r="G2629" s="218"/>
      <c r="H2629" s="218"/>
      <c r="I2629" s="218"/>
      <c r="J2629" s="218"/>
      <c r="K2629" s="218"/>
      <c r="L2629" s="218"/>
      <c r="M2629" s="218"/>
      <c r="N2629" s="218"/>
      <c r="O2629" s="218"/>
      <c r="P2629" s="218"/>
      <c r="Q2629" s="222"/>
      <c r="R2629" s="222"/>
      <c r="S2629" s="218"/>
      <c r="U2629" s="218"/>
      <c r="X2629" s="218"/>
      <c r="AB2629" t="e">
        <v>#N/A</v>
      </c>
    </row>
    <row r="2630">
      <c r="A2630" s="218"/>
      <c r="C2630" s="218"/>
      <c r="F2630" s="457"/>
      <c r="G2630" s="218"/>
      <c r="H2630" s="218"/>
      <c r="I2630" s="218"/>
      <c r="J2630" s="218"/>
      <c r="K2630" s="218"/>
      <c r="L2630" s="218"/>
      <c r="M2630" s="218"/>
      <c r="N2630" s="218"/>
      <c r="O2630" s="218"/>
      <c r="P2630" s="218"/>
      <c r="Q2630" s="222"/>
      <c r="R2630" s="222"/>
      <c r="S2630" s="218"/>
      <c r="U2630" s="218"/>
      <c r="X2630" s="218"/>
      <c r="AB2630" t="e">
        <v>#N/A</v>
      </c>
    </row>
    <row r="2631">
      <c r="A2631" s="218"/>
      <c r="C2631" s="218"/>
      <c r="F2631" s="457"/>
      <c r="G2631" s="218"/>
      <c r="H2631" s="218"/>
      <c r="I2631" s="218"/>
      <c r="J2631" s="218"/>
      <c r="K2631" s="218"/>
      <c r="L2631" s="218"/>
      <c r="M2631" s="218"/>
      <c r="N2631" s="218"/>
      <c r="O2631" s="218"/>
      <c r="P2631" s="218"/>
      <c r="Q2631" s="222"/>
      <c r="R2631" s="222"/>
      <c r="S2631" s="218"/>
      <c r="U2631" s="218"/>
      <c r="X2631" s="218"/>
      <c r="AB2631" t="e">
        <v>#N/A</v>
      </c>
    </row>
    <row r="2632">
      <c r="A2632" s="218"/>
      <c r="C2632" s="218"/>
      <c r="F2632" s="457"/>
      <c r="G2632" s="218"/>
      <c r="H2632" s="218"/>
      <c r="I2632" s="218"/>
      <c r="J2632" s="218"/>
      <c r="K2632" s="218"/>
      <c r="L2632" s="218"/>
      <c r="M2632" s="218"/>
      <c r="N2632" s="218"/>
      <c r="O2632" s="218"/>
      <c r="P2632" s="218"/>
      <c r="Q2632" s="222"/>
      <c r="R2632" s="222"/>
      <c r="S2632" s="218"/>
      <c r="U2632" s="218"/>
      <c r="X2632" s="218"/>
      <c r="AB2632" t="e">
        <v>#N/A</v>
      </c>
    </row>
    <row r="2633">
      <c r="A2633" s="218"/>
      <c r="C2633" s="218"/>
      <c r="F2633" s="457"/>
      <c r="G2633" s="218"/>
      <c r="H2633" s="218"/>
      <c r="I2633" s="218"/>
      <c r="J2633" s="218"/>
      <c r="K2633" s="218"/>
      <c r="L2633" s="218"/>
      <c r="M2633" s="218"/>
      <c r="N2633" s="218"/>
      <c r="O2633" s="218"/>
      <c r="P2633" s="218"/>
      <c r="Q2633" s="222"/>
      <c r="R2633" s="222"/>
      <c r="S2633" s="218"/>
      <c r="U2633" s="218"/>
      <c r="X2633" s="218"/>
      <c r="AB2633" t="e">
        <v>#N/A</v>
      </c>
    </row>
    <row r="2634">
      <c r="A2634" s="218"/>
      <c r="C2634" s="218"/>
      <c r="F2634" s="457"/>
      <c r="G2634" s="218"/>
      <c r="H2634" s="218"/>
      <c r="I2634" s="218"/>
      <c r="J2634" s="218"/>
      <c r="K2634" s="218"/>
      <c r="L2634" s="218"/>
      <c r="M2634" s="218"/>
      <c r="N2634" s="218"/>
      <c r="O2634" s="218"/>
      <c r="P2634" s="218"/>
      <c r="Q2634" s="222"/>
      <c r="R2634" s="222"/>
      <c r="S2634" s="218"/>
      <c r="U2634" s="218"/>
      <c r="X2634" s="218"/>
      <c r="AB2634" t="e">
        <v>#N/A</v>
      </c>
    </row>
    <row r="2635">
      <c r="A2635" s="218"/>
      <c r="C2635" s="218"/>
      <c r="F2635" s="457"/>
      <c r="G2635" s="218"/>
      <c r="H2635" s="218"/>
      <c r="I2635" s="218"/>
      <c r="J2635" s="218"/>
      <c r="K2635" s="218"/>
      <c r="L2635" s="218"/>
      <c r="M2635" s="218"/>
      <c r="N2635" s="218"/>
      <c r="O2635" s="218"/>
      <c r="P2635" s="218"/>
      <c r="Q2635" s="222"/>
      <c r="R2635" s="222"/>
      <c r="S2635" s="218"/>
      <c r="U2635" s="218"/>
      <c r="X2635" s="218"/>
      <c r="AB2635" t="e">
        <v>#N/A</v>
      </c>
    </row>
    <row r="2636">
      <c r="A2636" s="218"/>
      <c r="C2636" s="218"/>
      <c r="F2636" s="457"/>
      <c r="G2636" s="218"/>
      <c r="H2636" s="218"/>
      <c r="I2636" s="218"/>
      <c r="J2636" s="218"/>
      <c r="K2636" s="218"/>
      <c r="L2636" s="218"/>
      <c r="M2636" s="218"/>
      <c r="N2636" s="218"/>
      <c r="O2636" s="218"/>
      <c r="P2636" s="218"/>
      <c r="Q2636" s="222"/>
      <c r="R2636" s="222"/>
      <c r="S2636" s="218"/>
      <c r="U2636" s="218"/>
      <c r="X2636" s="218"/>
      <c r="AB2636" t="e">
        <v>#N/A</v>
      </c>
    </row>
    <row r="2637">
      <c r="A2637" s="218"/>
      <c r="C2637" s="218"/>
      <c r="F2637" s="457"/>
      <c r="G2637" s="218"/>
      <c r="H2637" s="218"/>
      <c r="I2637" s="218"/>
      <c r="J2637" s="218"/>
      <c r="K2637" s="218"/>
      <c r="L2637" s="218"/>
      <c r="M2637" s="218"/>
      <c r="N2637" s="218"/>
      <c r="O2637" s="218"/>
      <c r="P2637" s="218"/>
      <c r="Q2637" s="222"/>
      <c r="R2637" s="222"/>
      <c r="S2637" s="218"/>
      <c r="U2637" s="218"/>
      <c r="X2637" s="218"/>
      <c r="AB2637" t="e">
        <v>#N/A</v>
      </c>
    </row>
    <row r="2638">
      <c r="A2638" s="218"/>
      <c r="C2638" s="218"/>
      <c r="F2638" s="457"/>
      <c r="G2638" s="218"/>
      <c r="H2638" s="218"/>
      <c r="I2638" s="218"/>
      <c r="J2638" s="218"/>
      <c r="K2638" s="218"/>
      <c r="L2638" s="218"/>
      <c r="M2638" s="218"/>
      <c r="N2638" s="218"/>
      <c r="O2638" s="218"/>
      <c r="P2638" s="218"/>
      <c r="Q2638" s="222"/>
      <c r="R2638" s="222"/>
      <c r="S2638" s="218"/>
      <c r="U2638" s="218"/>
      <c r="X2638" s="218"/>
      <c r="AB2638" t="e">
        <v>#N/A</v>
      </c>
    </row>
    <row r="2639">
      <c r="A2639" s="218"/>
      <c r="C2639" s="218"/>
      <c r="F2639" s="457"/>
      <c r="G2639" s="218"/>
      <c r="H2639" s="218"/>
      <c r="I2639" s="218"/>
      <c r="J2639" s="218"/>
      <c r="K2639" s="218"/>
      <c r="L2639" s="218"/>
      <c r="M2639" s="218"/>
      <c r="N2639" s="218"/>
      <c r="O2639" s="218"/>
      <c r="P2639" s="218"/>
      <c r="Q2639" s="222"/>
      <c r="R2639" s="222"/>
      <c r="S2639" s="218"/>
      <c r="U2639" s="218"/>
      <c r="X2639" s="218"/>
      <c r="AB2639" t="e">
        <v>#N/A</v>
      </c>
    </row>
    <row r="2640">
      <c r="A2640" s="218"/>
      <c r="C2640" s="218"/>
      <c r="F2640" s="457"/>
      <c r="G2640" s="218"/>
      <c r="H2640" s="218"/>
      <c r="I2640" s="218"/>
      <c r="J2640" s="218"/>
      <c r="K2640" s="218"/>
      <c r="L2640" s="218"/>
      <c r="M2640" s="218"/>
      <c r="N2640" s="218"/>
      <c r="O2640" s="218"/>
      <c r="P2640" s="218"/>
      <c r="Q2640" s="222"/>
      <c r="R2640" s="222"/>
      <c r="S2640" s="218"/>
      <c r="U2640" s="218"/>
      <c r="X2640" s="218"/>
      <c r="AB2640" t="e">
        <v>#N/A</v>
      </c>
    </row>
    <row r="2641">
      <c r="A2641" s="218"/>
      <c r="C2641" s="218"/>
      <c r="F2641" s="457"/>
      <c r="G2641" s="218"/>
      <c r="H2641" s="218"/>
      <c r="I2641" s="218"/>
      <c r="J2641" s="218"/>
      <c r="K2641" s="218"/>
      <c r="L2641" s="218"/>
      <c r="M2641" s="218"/>
      <c r="N2641" s="218"/>
      <c r="O2641" s="218"/>
      <c r="P2641" s="218"/>
      <c r="Q2641" s="222"/>
      <c r="R2641" s="222"/>
      <c r="S2641" s="218"/>
      <c r="U2641" s="218"/>
      <c r="X2641" s="218"/>
      <c r="AB2641" t="e">
        <v>#N/A</v>
      </c>
    </row>
    <row r="2642">
      <c r="A2642" s="218"/>
      <c r="C2642" s="218"/>
      <c r="F2642" s="457"/>
      <c r="G2642" s="218"/>
      <c r="H2642" s="218"/>
      <c r="I2642" s="218"/>
      <c r="J2642" s="218"/>
      <c r="K2642" s="218"/>
      <c r="L2642" s="218"/>
      <c r="M2642" s="218"/>
      <c r="N2642" s="218"/>
      <c r="O2642" s="218"/>
      <c r="P2642" s="218"/>
      <c r="Q2642" s="222"/>
      <c r="R2642" s="222"/>
      <c r="S2642" s="218"/>
      <c r="U2642" s="218"/>
      <c r="X2642" s="218"/>
      <c r="AB2642" t="e">
        <v>#N/A</v>
      </c>
    </row>
    <row r="2643">
      <c r="A2643" s="218"/>
      <c r="C2643" s="218"/>
      <c r="F2643" s="457"/>
      <c r="G2643" s="218"/>
      <c r="H2643" s="218"/>
      <c r="I2643" s="218"/>
      <c r="J2643" s="218"/>
      <c r="K2643" s="218"/>
      <c r="L2643" s="218"/>
      <c r="M2643" s="218"/>
      <c r="N2643" s="218"/>
      <c r="O2643" s="218"/>
      <c r="P2643" s="218"/>
      <c r="Q2643" s="222"/>
      <c r="R2643" s="222"/>
      <c r="S2643" s="218"/>
      <c r="U2643" s="218"/>
      <c r="X2643" s="218"/>
      <c r="AB2643" t="e">
        <v>#N/A</v>
      </c>
    </row>
    <row r="2644">
      <c r="A2644" s="218"/>
      <c r="C2644" s="218"/>
      <c r="F2644" s="457"/>
      <c r="G2644" s="218"/>
      <c r="H2644" s="218"/>
      <c r="I2644" s="218"/>
      <c r="J2644" s="218"/>
      <c r="K2644" s="218"/>
      <c r="L2644" s="218"/>
      <c r="M2644" s="218"/>
      <c r="N2644" s="218"/>
      <c r="O2644" s="218"/>
      <c r="P2644" s="218"/>
      <c r="Q2644" s="222"/>
      <c r="R2644" s="222"/>
      <c r="S2644" s="218"/>
      <c r="U2644" s="218"/>
      <c r="X2644" s="218"/>
      <c r="AB2644" t="e">
        <v>#N/A</v>
      </c>
    </row>
    <row r="2645">
      <c r="A2645" s="218"/>
      <c r="C2645" s="218"/>
      <c r="F2645" s="457"/>
      <c r="G2645" s="218"/>
      <c r="H2645" s="218"/>
      <c r="I2645" s="218"/>
      <c r="J2645" s="218"/>
      <c r="K2645" s="218"/>
      <c r="L2645" s="218"/>
      <c r="M2645" s="218"/>
      <c r="N2645" s="218"/>
      <c r="O2645" s="218"/>
      <c r="P2645" s="218"/>
      <c r="Q2645" s="222"/>
      <c r="R2645" s="222"/>
      <c r="S2645" s="218"/>
      <c r="U2645" s="218"/>
      <c r="X2645" s="218"/>
      <c r="AB2645" t="e">
        <v>#N/A</v>
      </c>
    </row>
    <row r="2646">
      <c r="A2646" s="218"/>
      <c r="C2646" s="218"/>
      <c r="F2646" s="457"/>
      <c r="G2646" s="218"/>
      <c r="H2646" s="218"/>
      <c r="I2646" s="218"/>
      <c r="J2646" s="218"/>
      <c r="K2646" s="218"/>
      <c r="L2646" s="218"/>
      <c r="M2646" s="218"/>
      <c r="N2646" s="218"/>
      <c r="O2646" s="218"/>
      <c r="P2646" s="218"/>
      <c r="Q2646" s="222"/>
      <c r="R2646" s="222"/>
      <c r="S2646" s="218"/>
      <c r="U2646" s="218"/>
      <c r="X2646" s="218"/>
      <c r="AB2646" t="e">
        <v>#N/A</v>
      </c>
    </row>
    <row r="2647">
      <c r="A2647" s="218"/>
      <c r="C2647" s="218"/>
      <c r="F2647" s="457"/>
      <c r="G2647" s="218"/>
      <c r="H2647" s="218"/>
      <c r="I2647" s="218"/>
      <c r="J2647" s="218"/>
      <c r="K2647" s="218"/>
      <c r="L2647" s="218"/>
      <c r="M2647" s="218"/>
      <c r="N2647" s="218"/>
      <c r="O2647" s="218"/>
      <c r="P2647" s="218"/>
      <c r="Q2647" s="222"/>
      <c r="R2647" s="222"/>
      <c r="S2647" s="218"/>
      <c r="U2647" s="218"/>
      <c r="X2647" s="218"/>
      <c r="AB2647" t="e">
        <v>#N/A</v>
      </c>
    </row>
    <row r="2648">
      <c r="A2648" s="218"/>
      <c r="C2648" s="218"/>
      <c r="F2648" s="457"/>
      <c r="G2648" s="218"/>
      <c r="H2648" s="218"/>
      <c r="I2648" s="218"/>
      <c r="J2648" s="218"/>
      <c r="K2648" s="218"/>
      <c r="L2648" s="218"/>
      <c r="M2648" s="218"/>
      <c r="N2648" s="218"/>
      <c r="O2648" s="218"/>
      <c r="P2648" s="218"/>
      <c r="Q2648" s="222"/>
      <c r="R2648" s="222"/>
      <c r="S2648" s="218"/>
      <c r="U2648" s="218"/>
      <c r="X2648" s="218"/>
      <c r="AB2648" t="e">
        <v>#N/A</v>
      </c>
    </row>
    <row r="2649">
      <c r="A2649" s="218"/>
      <c r="C2649" s="218"/>
      <c r="F2649" s="457"/>
      <c r="G2649" s="218"/>
      <c r="H2649" s="218"/>
      <c r="I2649" s="218"/>
      <c r="J2649" s="218"/>
      <c r="K2649" s="218"/>
      <c r="L2649" s="218"/>
      <c r="M2649" s="218"/>
      <c r="N2649" s="218"/>
      <c r="O2649" s="218"/>
      <c r="P2649" s="218"/>
      <c r="Q2649" s="222"/>
      <c r="R2649" s="222"/>
      <c r="S2649" s="218"/>
      <c r="U2649" s="218"/>
      <c r="X2649" s="218"/>
      <c r="AB2649" t="e">
        <v>#N/A</v>
      </c>
    </row>
    <row r="2650">
      <c r="A2650" s="218"/>
      <c r="C2650" s="218"/>
      <c r="F2650" s="457"/>
      <c r="G2650" s="218"/>
      <c r="H2650" s="218"/>
      <c r="I2650" s="218"/>
      <c r="J2650" s="218"/>
      <c r="K2650" s="218"/>
      <c r="L2650" s="218"/>
      <c r="M2650" s="218"/>
      <c r="N2650" s="218"/>
      <c r="O2650" s="218"/>
      <c r="P2650" s="218"/>
      <c r="Q2650" s="222"/>
      <c r="R2650" s="222"/>
      <c r="S2650" s="218"/>
      <c r="U2650" s="218"/>
      <c r="X2650" s="218"/>
      <c r="AB2650" t="e">
        <v>#N/A</v>
      </c>
    </row>
    <row r="2651">
      <c r="A2651" s="218"/>
      <c r="C2651" s="218"/>
      <c r="F2651" s="457"/>
      <c r="G2651" s="218"/>
      <c r="H2651" s="218"/>
      <c r="I2651" s="218"/>
      <c r="J2651" s="218"/>
      <c r="K2651" s="218"/>
      <c r="L2651" s="218"/>
      <c r="M2651" s="218"/>
      <c r="N2651" s="218"/>
      <c r="O2651" s="218"/>
      <c r="P2651" s="218"/>
      <c r="Q2651" s="222"/>
      <c r="R2651" s="222"/>
      <c r="S2651" s="218"/>
      <c r="U2651" s="218"/>
      <c r="X2651" s="218"/>
      <c r="AB2651" t="e">
        <v>#N/A</v>
      </c>
    </row>
    <row r="2652">
      <c r="A2652" s="218"/>
      <c r="C2652" s="218"/>
      <c r="F2652" s="457"/>
      <c r="G2652" s="218"/>
      <c r="H2652" s="218"/>
      <c r="I2652" s="218"/>
      <c r="J2652" s="218"/>
      <c r="K2652" s="218"/>
      <c r="L2652" s="218"/>
      <c r="M2652" s="218"/>
      <c r="N2652" s="218"/>
      <c r="O2652" s="218"/>
      <c r="P2652" s="218"/>
      <c r="Q2652" s="222"/>
      <c r="R2652" s="222"/>
      <c r="S2652" s="218"/>
      <c r="U2652" s="218"/>
      <c r="X2652" s="218"/>
      <c r="AB2652" t="e">
        <v>#N/A</v>
      </c>
    </row>
    <row r="2653">
      <c r="A2653" s="218"/>
      <c r="C2653" s="218"/>
      <c r="F2653" s="457"/>
      <c r="G2653" s="218"/>
      <c r="H2653" s="218"/>
      <c r="I2653" s="218"/>
      <c r="J2653" s="218"/>
      <c r="K2653" s="218"/>
      <c r="L2653" s="218"/>
      <c r="M2653" s="218"/>
      <c r="N2653" s="218"/>
      <c r="O2653" s="218"/>
      <c r="P2653" s="218"/>
      <c r="Q2653" s="222"/>
      <c r="R2653" s="222"/>
      <c r="S2653" s="218"/>
      <c r="U2653" s="218"/>
      <c r="X2653" s="218"/>
      <c r="AB2653" t="e">
        <v>#N/A</v>
      </c>
    </row>
    <row r="2654">
      <c r="A2654" s="218"/>
      <c r="C2654" s="218"/>
      <c r="F2654" s="457"/>
      <c r="G2654" s="218"/>
      <c r="H2654" s="218"/>
      <c r="I2654" s="218"/>
      <c r="J2654" s="218"/>
      <c r="K2654" s="218"/>
      <c r="L2654" s="218"/>
      <c r="M2654" s="218"/>
      <c r="N2654" s="218"/>
      <c r="O2654" s="218"/>
      <c r="P2654" s="218"/>
      <c r="Q2654" s="222"/>
      <c r="R2654" s="222"/>
      <c r="S2654" s="218"/>
      <c r="U2654" s="218"/>
      <c r="X2654" s="218"/>
      <c r="AB2654" t="e">
        <v>#N/A</v>
      </c>
    </row>
    <row r="2655">
      <c r="A2655" s="218"/>
      <c r="C2655" s="218"/>
      <c r="F2655" s="457"/>
      <c r="G2655" s="218"/>
      <c r="H2655" s="218"/>
      <c r="I2655" s="218"/>
      <c r="J2655" s="218"/>
      <c r="K2655" s="218"/>
      <c r="L2655" s="218"/>
      <c r="M2655" s="218"/>
      <c r="N2655" s="218"/>
      <c r="O2655" s="218"/>
      <c r="P2655" s="218"/>
      <c r="Q2655" s="222"/>
      <c r="R2655" s="222"/>
      <c r="S2655" s="218"/>
      <c r="U2655" s="218"/>
      <c r="X2655" s="218"/>
      <c r="AB2655" t="e">
        <v>#N/A</v>
      </c>
    </row>
    <row r="2656">
      <c r="A2656" s="218"/>
      <c r="C2656" s="218"/>
      <c r="F2656" s="457"/>
      <c r="G2656" s="218"/>
      <c r="H2656" s="218"/>
      <c r="I2656" s="218"/>
      <c r="J2656" s="218"/>
      <c r="K2656" s="218"/>
      <c r="L2656" s="218"/>
      <c r="M2656" s="218"/>
      <c r="N2656" s="218"/>
      <c r="O2656" s="218"/>
      <c r="P2656" s="218"/>
      <c r="Q2656" s="222"/>
      <c r="R2656" s="222"/>
      <c r="S2656" s="218"/>
      <c r="U2656" s="218"/>
      <c r="X2656" s="218"/>
      <c r="AB2656" t="e">
        <v>#N/A</v>
      </c>
    </row>
    <row r="2657">
      <c r="A2657" s="218"/>
      <c r="C2657" s="218"/>
      <c r="F2657" s="457"/>
      <c r="G2657" s="218"/>
      <c r="H2657" s="218"/>
      <c r="I2657" s="218"/>
      <c r="J2657" s="218"/>
      <c r="K2657" s="218"/>
      <c r="L2657" s="218"/>
      <c r="M2657" s="218"/>
      <c r="N2657" s="218"/>
      <c r="O2657" s="218"/>
      <c r="P2657" s="218"/>
      <c r="Q2657" s="222"/>
      <c r="R2657" s="222"/>
      <c r="S2657" s="218"/>
      <c r="U2657" s="218"/>
      <c r="X2657" s="218"/>
      <c r="AB2657" t="e">
        <v>#N/A</v>
      </c>
    </row>
    <row r="2658">
      <c r="A2658" s="218"/>
      <c r="C2658" s="218"/>
      <c r="F2658" s="457"/>
      <c r="G2658" s="218"/>
      <c r="H2658" s="218"/>
      <c r="I2658" s="218"/>
      <c r="J2658" s="218"/>
      <c r="K2658" s="218"/>
      <c r="L2658" s="218"/>
      <c r="M2658" s="218"/>
      <c r="N2658" s="218"/>
      <c r="O2658" s="218"/>
      <c r="P2658" s="218"/>
      <c r="Q2658" s="222"/>
      <c r="R2658" s="222"/>
      <c r="S2658" s="218"/>
      <c r="U2658" s="218"/>
      <c r="X2658" s="218"/>
      <c r="AB2658" t="e">
        <v>#N/A</v>
      </c>
    </row>
    <row r="2659">
      <c r="A2659" s="218"/>
      <c r="C2659" s="218"/>
      <c r="F2659" s="457"/>
      <c r="G2659" s="218"/>
      <c r="H2659" s="218"/>
      <c r="I2659" s="218"/>
      <c r="J2659" s="218"/>
      <c r="K2659" s="218"/>
      <c r="L2659" s="218"/>
      <c r="M2659" s="218"/>
      <c r="N2659" s="218"/>
      <c r="O2659" s="218"/>
      <c r="P2659" s="218"/>
      <c r="Q2659" s="222"/>
      <c r="R2659" s="222"/>
      <c r="S2659" s="218"/>
      <c r="U2659" s="218"/>
      <c r="X2659" s="218"/>
      <c r="AB2659" t="e">
        <v>#N/A</v>
      </c>
    </row>
    <row r="2660">
      <c r="A2660" s="218"/>
      <c r="C2660" s="218"/>
      <c r="F2660" s="457"/>
      <c r="G2660" s="218"/>
      <c r="H2660" s="218"/>
      <c r="I2660" s="218"/>
      <c r="J2660" s="218"/>
      <c r="K2660" s="218"/>
      <c r="L2660" s="218"/>
      <c r="M2660" s="218"/>
      <c r="N2660" s="218"/>
      <c r="O2660" s="218"/>
      <c r="P2660" s="218"/>
      <c r="Q2660" s="222"/>
      <c r="R2660" s="222"/>
      <c r="S2660" s="218"/>
      <c r="U2660" s="218"/>
      <c r="X2660" s="218"/>
      <c r="AB2660" t="e">
        <v>#N/A</v>
      </c>
    </row>
    <row r="2661">
      <c r="A2661" s="218"/>
      <c r="C2661" s="218"/>
      <c r="F2661" s="457"/>
      <c r="G2661" s="218"/>
      <c r="H2661" s="218"/>
      <c r="I2661" s="218"/>
      <c r="J2661" s="218"/>
      <c r="K2661" s="218"/>
      <c r="L2661" s="218"/>
      <c r="M2661" s="218"/>
      <c r="N2661" s="218"/>
      <c r="O2661" s="218"/>
      <c r="P2661" s="218"/>
      <c r="Q2661" s="222"/>
      <c r="R2661" s="222"/>
      <c r="S2661" s="218"/>
      <c r="U2661" s="218"/>
      <c r="X2661" s="218"/>
      <c r="AB2661" t="e">
        <v>#N/A</v>
      </c>
    </row>
    <row r="2662">
      <c r="A2662" s="218"/>
      <c r="C2662" s="218"/>
      <c r="F2662" s="457"/>
      <c r="G2662" s="218"/>
      <c r="H2662" s="218"/>
      <c r="I2662" s="218"/>
      <c r="J2662" s="218"/>
      <c r="K2662" s="218"/>
      <c r="L2662" s="218"/>
      <c r="M2662" s="218"/>
      <c r="N2662" s="218"/>
      <c r="O2662" s="218"/>
      <c r="P2662" s="218"/>
      <c r="Q2662" s="222"/>
      <c r="R2662" s="222"/>
      <c r="S2662" s="218"/>
      <c r="U2662" s="218"/>
      <c r="X2662" s="218"/>
      <c r="AB2662" t="e">
        <v>#N/A</v>
      </c>
    </row>
    <row r="2663">
      <c r="A2663" s="218"/>
      <c r="C2663" s="218"/>
      <c r="F2663" s="457"/>
      <c r="G2663" s="218"/>
      <c r="H2663" s="218"/>
      <c r="I2663" s="218"/>
      <c r="J2663" s="218"/>
      <c r="K2663" s="218"/>
      <c r="L2663" s="218"/>
      <c r="M2663" s="218"/>
      <c r="N2663" s="218"/>
      <c r="O2663" s="218"/>
      <c r="P2663" s="218"/>
      <c r="Q2663" s="222"/>
      <c r="R2663" s="222"/>
      <c r="S2663" s="218"/>
      <c r="U2663" s="218"/>
      <c r="X2663" s="218"/>
      <c r="AB2663" t="e">
        <v>#N/A</v>
      </c>
    </row>
    <row r="2664">
      <c r="A2664" s="218"/>
      <c r="C2664" s="218"/>
      <c r="F2664" s="457"/>
      <c r="G2664" s="218"/>
      <c r="H2664" s="218"/>
      <c r="I2664" s="218"/>
      <c r="J2664" s="218"/>
      <c r="K2664" s="218"/>
      <c r="L2664" s="218"/>
      <c r="M2664" s="218"/>
      <c r="N2664" s="218"/>
      <c r="O2664" s="218"/>
      <c r="P2664" s="218"/>
      <c r="Q2664" s="222"/>
      <c r="R2664" s="222"/>
      <c r="S2664" s="218"/>
      <c r="U2664" s="218"/>
      <c r="X2664" s="218"/>
      <c r="AB2664" t="e">
        <v>#N/A</v>
      </c>
    </row>
    <row r="2665">
      <c r="A2665" s="218"/>
      <c r="C2665" s="218"/>
      <c r="F2665" s="457"/>
      <c r="G2665" s="218"/>
      <c r="H2665" s="218"/>
      <c r="I2665" s="218"/>
      <c r="J2665" s="218"/>
      <c r="K2665" s="218"/>
      <c r="L2665" s="218"/>
      <c r="M2665" s="218"/>
      <c r="N2665" s="218"/>
      <c r="O2665" s="218"/>
      <c r="P2665" s="218"/>
      <c r="Q2665" s="222"/>
      <c r="R2665" s="222"/>
      <c r="S2665" s="218"/>
      <c r="U2665" s="218"/>
      <c r="X2665" s="218"/>
      <c r="AB2665" t="e">
        <v>#N/A</v>
      </c>
    </row>
    <row r="2666">
      <c r="A2666" s="218"/>
      <c r="C2666" s="218"/>
      <c r="F2666" s="457"/>
      <c r="G2666" s="218"/>
      <c r="H2666" s="218"/>
      <c r="I2666" s="218"/>
      <c r="J2666" s="218"/>
      <c r="K2666" s="218"/>
      <c r="L2666" s="218"/>
      <c r="M2666" s="218"/>
      <c r="N2666" s="218"/>
      <c r="O2666" s="218"/>
      <c r="P2666" s="218"/>
      <c r="Q2666" s="222"/>
      <c r="R2666" s="222"/>
      <c r="S2666" s="218"/>
      <c r="U2666" s="218"/>
      <c r="X2666" s="218"/>
      <c r="AB2666" t="e">
        <v>#N/A</v>
      </c>
    </row>
    <row r="2667">
      <c r="A2667" s="218"/>
      <c r="C2667" s="218"/>
      <c r="F2667" s="457"/>
      <c r="G2667" s="218"/>
      <c r="H2667" s="218"/>
      <c r="I2667" s="218"/>
      <c r="J2667" s="218"/>
      <c r="K2667" s="218"/>
      <c r="L2667" s="218"/>
      <c r="M2667" s="218"/>
      <c r="N2667" s="218"/>
      <c r="O2667" s="218"/>
      <c r="P2667" s="218"/>
      <c r="Q2667" s="222"/>
      <c r="R2667" s="222"/>
      <c r="S2667" s="218"/>
      <c r="U2667" s="218"/>
      <c r="X2667" s="218"/>
      <c r="AB2667" t="e">
        <v>#N/A</v>
      </c>
    </row>
    <row r="2668">
      <c r="A2668" s="218"/>
      <c r="C2668" s="218"/>
      <c r="F2668" s="457"/>
      <c r="G2668" s="218"/>
      <c r="H2668" s="218"/>
      <c r="I2668" s="218"/>
      <c r="J2668" s="218"/>
      <c r="K2668" s="218"/>
      <c r="L2668" s="218"/>
      <c r="M2668" s="218"/>
      <c r="N2668" s="218"/>
      <c r="O2668" s="218"/>
      <c r="P2668" s="218"/>
      <c r="Q2668" s="222"/>
      <c r="R2668" s="222"/>
      <c r="S2668" s="218"/>
      <c r="U2668" s="218"/>
      <c r="X2668" s="218"/>
      <c r="AB2668" t="e">
        <v>#N/A</v>
      </c>
    </row>
    <row r="2669">
      <c r="A2669" s="218"/>
      <c r="C2669" s="218"/>
      <c r="F2669" s="457"/>
      <c r="G2669" s="218"/>
      <c r="H2669" s="218"/>
      <c r="I2669" s="218"/>
      <c r="J2669" s="218"/>
      <c r="K2669" s="218"/>
      <c r="L2669" s="218"/>
      <c r="M2669" s="218"/>
      <c r="N2669" s="218"/>
      <c r="O2669" s="218"/>
      <c r="P2669" s="218"/>
      <c r="Q2669" s="222"/>
      <c r="R2669" s="222"/>
      <c r="S2669" s="218"/>
      <c r="U2669" s="218"/>
      <c r="X2669" s="218"/>
      <c r="AB2669" t="e">
        <v>#N/A</v>
      </c>
    </row>
    <row r="2670">
      <c r="A2670" s="218"/>
      <c r="C2670" s="218"/>
      <c r="F2670" s="457"/>
      <c r="G2670" s="218"/>
      <c r="H2670" s="218"/>
      <c r="I2670" s="218"/>
      <c r="J2670" s="218"/>
      <c r="K2670" s="218"/>
      <c r="L2670" s="218"/>
      <c r="M2670" s="218"/>
      <c r="N2670" s="218"/>
      <c r="O2670" s="218"/>
      <c r="P2670" s="218"/>
      <c r="Q2670" s="222"/>
      <c r="R2670" s="222"/>
      <c r="S2670" s="218"/>
      <c r="U2670" s="218"/>
      <c r="X2670" s="218"/>
      <c r="AB2670" t="e">
        <v>#N/A</v>
      </c>
    </row>
    <row r="2671">
      <c r="A2671" s="218"/>
      <c r="C2671" s="218"/>
      <c r="F2671" s="457"/>
      <c r="G2671" s="218"/>
      <c r="H2671" s="218"/>
      <c r="I2671" s="218"/>
      <c r="J2671" s="218"/>
      <c r="K2671" s="218"/>
      <c r="L2671" s="218"/>
      <c r="M2671" s="218"/>
      <c r="N2671" s="218"/>
      <c r="O2671" s="218"/>
      <c r="P2671" s="218"/>
      <c r="Q2671" s="222"/>
      <c r="R2671" s="222"/>
      <c r="S2671" s="218"/>
      <c r="U2671" s="218"/>
      <c r="X2671" s="218"/>
      <c r="AB2671" t="e">
        <v>#N/A</v>
      </c>
    </row>
    <row r="2672">
      <c r="A2672" s="218"/>
      <c r="C2672" s="218"/>
      <c r="F2672" s="457"/>
      <c r="G2672" s="218"/>
      <c r="H2672" s="218"/>
      <c r="I2672" s="218"/>
      <c r="J2672" s="218"/>
      <c r="K2672" s="218"/>
      <c r="L2672" s="218"/>
      <c r="M2672" s="218"/>
      <c r="N2672" s="218"/>
      <c r="O2672" s="218"/>
      <c r="P2672" s="218"/>
      <c r="Q2672" s="222"/>
      <c r="R2672" s="222"/>
      <c r="S2672" s="218"/>
      <c r="U2672" s="218"/>
      <c r="X2672" s="218"/>
      <c r="AB2672" t="e">
        <v>#N/A</v>
      </c>
    </row>
    <row r="2673">
      <c r="A2673" s="218"/>
      <c r="C2673" s="218"/>
      <c r="F2673" s="457"/>
      <c r="G2673" s="218"/>
      <c r="H2673" s="218"/>
      <c r="I2673" s="218"/>
      <c r="J2673" s="218"/>
      <c r="K2673" s="218"/>
      <c r="L2673" s="218"/>
      <c r="M2673" s="218"/>
      <c r="N2673" s="218"/>
      <c r="O2673" s="218"/>
      <c r="P2673" s="218"/>
      <c r="Q2673" s="222"/>
      <c r="R2673" s="222"/>
      <c r="S2673" s="218"/>
      <c r="U2673" s="218"/>
      <c r="X2673" s="218"/>
      <c r="AB2673" t="e">
        <v>#N/A</v>
      </c>
    </row>
    <row r="2674">
      <c r="A2674" s="218"/>
      <c r="C2674" s="218"/>
      <c r="F2674" s="457"/>
      <c r="G2674" s="218"/>
      <c r="H2674" s="218"/>
      <c r="I2674" s="218"/>
      <c r="J2674" s="218"/>
      <c r="K2674" s="218"/>
      <c r="L2674" s="218"/>
      <c r="M2674" s="218"/>
      <c r="N2674" s="218"/>
      <c r="O2674" s="218"/>
      <c r="P2674" s="218"/>
      <c r="Q2674" s="222"/>
      <c r="R2674" s="222"/>
      <c r="S2674" s="218"/>
      <c r="U2674" s="218"/>
      <c r="X2674" s="218"/>
      <c r="AB2674" t="e">
        <v>#N/A</v>
      </c>
    </row>
    <row r="2675">
      <c r="A2675" s="218"/>
      <c r="C2675" s="218"/>
      <c r="F2675" s="457"/>
      <c r="G2675" s="218"/>
      <c r="H2675" s="218"/>
      <c r="I2675" s="218"/>
      <c r="J2675" s="218"/>
      <c r="K2675" s="218"/>
      <c r="L2675" s="218"/>
      <c r="M2675" s="218"/>
      <c r="N2675" s="218"/>
      <c r="O2675" s="218"/>
      <c r="P2675" s="218"/>
      <c r="Q2675" s="222"/>
      <c r="R2675" s="222"/>
      <c r="S2675" s="218"/>
      <c r="U2675" s="218"/>
      <c r="X2675" s="218"/>
      <c r="AB2675" t="e">
        <v>#N/A</v>
      </c>
    </row>
    <row r="2676">
      <c r="A2676" s="218"/>
      <c r="C2676" s="218"/>
      <c r="F2676" s="457"/>
      <c r="G2676" s="218"/>
      <c r="H2676" s="218"/>
      <c r="I2676" s="218"/>
      <c r="J2676" s="218"/>
      <c r="K2676" s="218"/>
      <c r="L2676" s="218"/>
      <c r="M2676" s="218"/>
      <c r="N2676" s="218"/>
      <c r="O2676" s="218"/>
      <c r="P2676" s="218"/>
      <c r="Q2676" s="222"/>
      <c r="R2676" s="222"/>
      <c r="S2676" s="218"/>
      <c r="U2676" s="218"/>
      <c r="X2676" s="218"/>
      <c r="AB2676" t="e">
        <v>#N/A</v>
      </c>
    </row>
    <row r="2677">
      <c r="A2677" s="218"/>
      <c r="C2677" s="218"/>
      <c r="F2677" s="457"/>
      <c r="G2677" s="218"/>
      <c r="H2677" s="218"/>
      <c r="I2677" s="218"/>
      <c r="J2677" s="218"/>
      <c r="K2677" s="218"/>
      <c r="L2677" s="218"/>
      <c r="M2677" s="218"/>
      <c r="N2677" s="218"/>
      <c r="O2677" s="218"/>
      <c r="P2677" s="218"/>
      <c r="Q2677" s="222"/>
      <c r="R2677" s="222"/>
      <c r="S2677" s="218"/>
      <c r="U2677" s="218"/>
      <c r="X2677" s="218"/>
      <c r="AB2677" t="e">
        <v>#N/A</v>
      </c>
    </row>
    <row r="2678">
      <c r="A2678" s="218"/>
      <c r="C2678" s="218"/>
      <c r="F2678" s="457"/>
      <c r="G2678" s="218"/>
      <c r="H2678" s="218"/>
      <c r="I2678" s="218"/>
      <c r="J2678" s="218"/>
      <c r="K2678" s="218"/>
      <c r="L2678" s="218"/>
      <c r="M2678" s="218"/>
      <c r="N2678" s="218"/>
      <c r="O2678" s="218"/>
      <c r="P2678" s="218"/>
      <c r="Q2678" s="222"/>
      <c r="R2678" s="222"/>
      <c r="S2678" s="218"/>
      <c r="U2678" s="218"/>
      <c r="X2678" s="218"/>
      <c r="AB2678" t="e">
        <v>#N/A</v>
      </c>
    </row>
    <row r="2679">
      <c r="A2679" s="218"/>
      <c r="C2679" s="218"/>
      <c r="F2679" s="457"/>
      <c r="G2679" s="218"/>
      <c r="H2679" s="218"/>
      <c r="I2679" s="218"/>
      <c r="J2679" s="218"/>
      <c r="K2679" s="218"/>
      <c r="L2679" s="218"/>
      <c r="M2679" s="218"/>
      <c r="N2679" s="218"/>
      <c r="O2679" s="218"/>
      <c r="P2679" s="218"/>
      <c r="Q2679" s="222"/>
      <c r="R2679" s="222"/>
      <c r="S2679" s="218"/>
      <c r="U2679" s="218"/>
      <c r="X2679" s="218"/>
      <c r="AB2679" t="e">
        <v>#N/A</v>
      </c>
    </row>
    <row r="2680">
      <c r="A2680" s="218"/>
      <c r="C2680" s="218"/>
      <c r="F2680" s="457"/>
      <c r="G2680" s="218"/>
      <c r="H2680" s="218"/>
      <c r="I2680" s="218"/>
      <c r="J2680" s="218"/>
      <c r="K2680" s="218"/>
      <c r="L2680" s="218"/>
      <c r="M2680" s="218"/>
      <c r="N2680" s="218"/>
      <c r="O2680" s="218"/>
      <c r="P2680" s="218"/>
      <c r="Q2680" s="222"/>
      <c r="R2680" s="222"/>
      <c r="S2680" s="218"/>
      <c r="U2680" s="218"/>
      <c r="X2680" s="218"/>
      <c r="AB2680" t="e">
        <v>#N/A</v>
      </c>
    </row>
    <row r="2681">
      <c r="A2681" s="218"/>
      <c r="C2681" s="218"/>
      <c r="F2681" s="457"/>
      <c r="G2681" s="218"/>
      <c r="H2681" s="218"/>
      <c r="I2681" s="218"/>
      <c r="J2681" s="218"/>
      <c r="K2681" s="218"/>
      <c r="L2681" s="218"/>
      <c r="M2681" s="218"/>
      <c r="N2681" s="218"/>
      <c r="O2681" s="218"/>
      <c r="P2681" s="218"/>
      <c r="Q2681" s="222"/>
      <c r="R2681" s="222"/>
      <c r="S2681" s="218"/>
      <c r="U2681" s="218"/>
      <c r="X2681" s="218"/>
      <c r="AB2681" t="e">
        <v>#N/A</v>
      </c>
    </row>
    <row r="2682">
      <c r="A2682" s="218"/>
      <c r="C2682" s="218"/>
      <c r="F2682" s="457"/>
      <c r="G2682" s="218"/>
      <c r="H2682" s="218"/>
      <c r="I2682" s="218"/>
      <c r="J2682" s="218"/>
      <c r="K2682" s="218"/>
      <c r="L2682" s="218"/>
      <c r="M2682" s="218"/>
      <c r="N2682" s="218"/>
      <c r="O2682" s="218"/>
      <c r="P2682" s="218"/>
      <c r="Q2682" s="222"/>
      <c r="R2682" s="222"/>
      <c r="S2682" s="218"/>
      <c r="U2682" s="218"/>
      <c r="X2682" s="218"/>
      <c r="AB2682" t="e">
        <v>#N/A</v>
      </c>
    </row>
    <row r="2683">
      <c r="A2683" s="218"/>
      <c r="C2683" s="218"/>
      <c r="F2683" s="457"/>
      <c r="G2683" s="218"/>
      <c r="H2683" s="218"/>
      <c r="I2683" s="218"/>
      <c r="J2683" s="218"/>
      <c r="K2683" s="218"/>
      <c r="L2683" s="218"/>
      <c r="M2683" s="218"/>
      <c r="N2683" s="218"/>
      <c r="O2683" s="218"/>
      <c r="P2683" s="218"/>
      <c r="Q2683" s="222"/>
      <c r="R2683" s="222"/>
      <c r="S2683" s="218"/>
      <c r="U2683" s="218"/>
      <c r="X2683" s="218"/>
      <c r="AB2683" t="e">
        <v>#N/A</v>
      </c>
    </row>
    <row r="2684">
      <c r="A2684" s="218"/>
      <c r="C2684" s="218"/>
      <c r="F2684" s="457"/>
      <c r="G2684" s="218"/>
      <c r="H2684" s="218"/>
      <c r="I2684" s="218"/>
      <c r="J2684" s="218"/>
      <c r="K2684" s="218"/>
      <c r="L2684" s="218"/>
      <c r="M2684" s="218"/>
      <c r="N2684" s="218"/>
      <c r="O2684" s="218"/>
      <c r="P2684" s="218"/>
      <c r="Q2684" s="222"/>
      <c r="R2684" s="222"/>
      <c r="S2684" s="218"/>
      <c r="U2684" s="218"/>
      <c r="X2684" s="218"/>
      <c r="AB2684" t="e">
        <v>#N/A</v>
      </c>
    </row>
    <row r="2685">
      <c r="A2685" s="218"/>
      <c r="C2685" s="218"/>
      <c r="F2685" s="457"/>
      <c r="G2685" s="218"/>
      <c r="H2685" s="218"/>
      <c r="I2685" s="218"/>
      <c r="J2685" s="218"/>
      <c r="K2685" s="218"/>
      <c r="L2685" s="218"/>
      <c r="M2685" s="218"/>
      <c r="N2685" s="218"/>
      <c r="O2685" s="218"/>
      <c r="P2685" s="218"/>
      <c r="Q2685" s="222"/>
      <c r="R2685" s="222"/>
      <c r="S2685" s="218"/>
      <c r="U2685" s="218"/>
      <c r="X2685" s="218"/>
      <c r="AB2685" t="e">
        <v>#N/A</v>
      </c>
    </row>
    <row r="2686">
      <c r="A2686" s="218"/>
      <c r="C2686" s="218"/>
      <c r="F2686" s="457"/>
      <c r="G2686" s="218"/>
      <c r="H2686" s="218"/>
      <c r="I2686" s="218"/>
      <c r="J2686" s="218"/>
      <c r="K2686" s="218"/>
      <c r="L2686" s="218"/>
      <c r="M2686" s="218"/>
      <c r="N2686" s="218"/>
      <c r="O2686" s="218"/>
      <c r="P2686" s="218"/>
      <c r="Q2686" s="222"/>
      <c r="R2686" s="222"/>
      <c r="S2686" s="218"/>
      <c r="U2686" s="218"/>
      <c r="X2686" s="218"/>
      <c r="AB2686" t="e">
        <v>#N/A</v>
      </c>
    </row>
    <row r="2687">
      <c r="A2687" s="218"/>
      <c r="C2687" s="218"/>
      <c r="F2687" s="457"/>
      <c r="G2687" s="218"/>
      <c r="H2687" s="218"/>
      <c r="I2687" s="218"/>
      <c r="J2687" s="218"/>
      <c r="K2687" s="218"/>
      <c r="L2687" s="218"/>
      <c r="M2687" s="218"/>
      <c r="N2687" s="218"/>
      <c r="O2687" s="218"/>
      <c r="P2687" s="218"/>
      <c r="Q2687" s="222"/>
      <c r="R2687" s="222"/>
      <c r="S2687" s="218"/>
      <c r="U2687" s="218"/>
      <c r="X2687" s="218"/>
      <c r="AB2687" t="e">
        <v>#N/A</v>
      </c>
    </row>
    <row r="2688">
      <c r="A2688" s="218"/>
      <c r="C2688" s="218"/>
      <c r="F2688" s="457"/>
      <c r="G2688" s="218"/>
      <c r="H2688" s="218"/>
      <c r="I2688" s="218"/>
      <c r="J2688" s="218"/>
      <c r="K2688" s="218"/>
      <c r="L2688" s="218"/>
      <c r="M2688" s="218"/>
      <c r="N2688" s="218"/>
      <c r="O2688" s="218"/>
      <c r="P2688" s="218"/>
      <c r="Q2688" s="222"/>
      <c r="R2688" s="222"/>
      <c r="S2688" s="218"/>
      <c r="U2688" s="218"/>
      <c r="X2688" s="218"/>
      <c r="AB2688" t="e">
        <v>#N/A</v>
      </c>
    </row>
    <row r="2689">
      <c r="A2689" s="218"/>
      <c r="C2689" s="218"/>
      <c r="F2689" s="457"/>
      <c r="G2689" s="218"/>
      <c r="H2689" s="218"/>
      <c r="I2689" s="218"/>
      <c r="J2689" s="218"/>
      <c r="K2689" s="218"/>
      <c r="L2689" s="218"/>
      <c r="M2689" s="218"/>
      <c r="N2689" s="218"/>
      <c r="O2689" s="218"/>
      <c r="P2689" s="218"/>
      <c r="Q2689" s="222"/>
      <c r="R2689" s="222"/>
      <c r="S2689" s="218"/>
      <c r="U2689" s="218"/>
      <c r="X2689" s="218"/>
      <c r="AB2689" t="e">
        <v>#N/A</v>
      </c>
    </row>
    <row r="2690">
      <c r="A2690" s="218"/>
      <c r="C2690" s="218"/>
      <c r="F2690" s="457"/>
      <c r="G2690" s="218"/>
      <c r="H2690" s="218"/>
      <c r="I2690" s="218"/>
      <c r="J2690" s="218"/>
      <c r="K2690" s="218"/>
      <c r="L2690" s="218"/>
      <c r="M2690" s="218"/>
      <c r="N2690" s="218"/>
      <c r="O2690" s="218"/>
      <c r="P2690" s="218"/>
      <c r="Q2690" s="222"/>
      <c r="R2690" s="222"/>
      <c r="S2690" s="218"/>
      <c r="U2690" s="218"/>
      <c r="X2690" s="218"/>
      <c r="AB2690" t="e">
        <v>#N/A</v>
      </c>
    </row>
    <row r="2691">
      <c r="A2691" s="218"/>
      <c r="C2691" s="218"/>
      <c r="F2691" s="457"/>
      <c r="G2691" s="218"/>
      <c r="H2691" s="218"/>
      <c r="I2691" s="218"/>
      <c r="J2691" s="218"/>
      <c r="K2691" s="218"/>
      <c r="L2691" s="218"/>
      <c r="M2691" s="218"/>
      <c r="N2691" s="218"/>
      <c r="O2691" s="218"/>
      <c r="P2691" s="218"/>
      <c r="Q2691" s="222"/>
      <c r="R2691" s="222"/>
      <c r="S2691" s="218"/>
      <c r="U2691" s="218"/>
      <c r="X2691" s="218"/>
      <c r="AB2691" t="e">
        <v>#N/A</v>
      </c>
    </row>
    <row r="2692">
      <c r="A2692" s="218"/>
      <c r="C2692" s="218"/>
      <c r="F2692" s="457"/>
      <c r="G2692" s="218"/>
      <c r="H2692" s="218"/>
      <c r="I2692" s="218"/>
      <c r="J2692" s="218"/>
      <c r="K2692" s="218"/>
      <c r="L2692" s="218"/>
      <c r="M2692" s="218"/>
      <c r="N2692" s="218"/>
      <c r="O2692" s="218"/>
      <c r="P2692" s="218"/>
      <c r="Q2692" s="222"/>
      <c r="R2692" s="222"/>
      <c r="S2692" s="218"/>
      <c r="U2692" s="218"/>
      <c r="X2692" s="218"/>
      <c r="AB2692" t="e">
        <v>#N/A</v>
      </c>
    </row>
    <row r="2693">
      <c r="A2693" s="218"/>
      <c r="C2693" s="218"/>
      <c r="F2693" s="457"/>
      <c r="G2693" s="218"/>
      <c r="H2693" s="218"/>
      <c r="I2693" s="218"/>
      <c r="J2693" s="218"/>
      <c r="K2693" s="218"/>
      <c r="L2693" s="218"/>
      <c r="M2693" s="218"/>
      <c r="N2693" s="218"/>
      <c r="O2693" s="218"/>
      <c r="P2693" s="218"/>
      <c r="Q2693" s="222"/>
      <c r="R2693" s="222"/>
      <c r="S2693" s="218"/>
      <c r="U2693" s="218"/>
      <c r="X2693" s="218"/>
      <c r="AB2693" t="e">
        <v>#N/A</v>
      </c>
    </row>
    <row r="2694">
      <c r="A2694" s="218"/>
      <c r="C2694" s="218"/>
      <c r="F2694" s="457"/>
      <c r="G2694" s="218"/>
      <c r="H2694" s="218"/>
      <c r="I2694" s="218"/>
      <c r="J2694" s="218"/>
      <c r="K2694" s="218"/>
      <c r="L2694" s="218"/>
      <c r="M2694" s="218"/>
      <c r="N2694" s="218"/>
      <c r="O2694" s="218"/>
      <c r="P2694" s="218"/>
      <c r="Q2694" s="222"/>
      <c r="R2694" s="222"/>
      <c r="S2694" s="218"/>
      <c r="U2694" s="218"/>
      <c r="X2694" s="218"/>
      <c r="AB2694" t="e">
        <v>#N/A</v>
      </c>
    </row>
    <row r="2695">
      <c r="A2695" s="218"/>
      <c r="C2695" s="218"/>
      <c r="F2695" s="457"/>
      <c r="G2695" s="218"/>
      <c r="H2695" s="218"/>
      <c r="I2695" s="218"/>
      <c r="J2695" s="218"/>
      <c r="K2695" s="218"/>
      <c r="L2695" s="218"/>
      <c r="M2695" s="218"/>
      <c r="N2695" s="218"/>
      <c r="O2695" s="218"/>
      <c r="P2695" s="218"/>
      <c r="Q2695" s="222"/>
      <c r="R2695" s="222"/>
      <c r="S2695" s="218"/>
      <c r="U2695" s="218"/>
      <c r="X2695" s="218"/>
      <c r="AB2695" t="e">
        <v>#N/A</v>
      </c>
    </row>
    <row r="2696">
      <c r="A2696" s="218"/>
      <c r="C2696" s="218"/>
      <c r="F2696" s="457"/>
      <c r="G2696" s="218"/>
      <c r="H2696" s="218"/>
      <c r="I2696" s="218"/>
      <c r="J2696" s="218"/>
      <c r="K2696" s="218"/>
      <c r="L2696" s="218"/>
      <c r="M2696" s="218"/>
      <c r="N2696" s="218"/>
      <c r="O2696" s="218"/>
      <c r="P2696" s="218"/>
      <c r="Q2696" s="222"/>
      <c r="R2696" s="222"/>
      <c r="S2696" s="218"/>
      <c r="U2696" s="218"/>
      <c r="X2696" s="218"/>
      <c r="AB2696" t="e">
        <v>#N/A</v>
      </c>
    </row>
    <row r="2697">
      <c r="A2697" s="218"/>
      <c r="C2697" s="218"/>
      <c r="F2697" s="457"/>
      <c r="G2697" s="218"/>
      <c r="H2697" s="218"/>
      <c r="I2697" s="218"/>
      <c r="J2697" s="218"/>
      <c r="K2697" s="218"/>
      <c r="L2697" s="218"/>
      <c r="M2697" s="218"/>
      <c r="N2697" s="218"/>
      <c r="O2697" s="218"/>
      <c r="P2697" s="218"/>
      <c r="Q2697" s="222"/>
      <c r="R2697" s="222"/>
      <c r="S2697" s="218"/>
      <c r="U2697" s="218"/>
      <c r="X2697" s="218"/>
      <c r="AB2697" t="e">
        <v>#N/A</v>
      </c>
    </row>
    <row r="2698">
      <c r="A2698" s="218"/>
      <c r="C2698" s="218"/>
      <c r="F2698" s="457"/>
      <c r="G2698" s="218"/>
      <c r="H2698" s="218"/>
      <c r="I2698" s="218"/>
      <c r="J2698" s="218"/>
      <c r="K2698" s="218"/>
      <c r="L2698" s="218"/>
      <c r="M2698" s="218"/>
      <c r="N2698" s="218"/>
      <c r="O2698" s="218"/>
      <c r="P2698" s="218"/>
      <c r="Q2698" s="222"/>
      <c r="R2698" s="222"/>
      <c r="S2698" s="218"/>
      <c r="U2698" s="218"/>
      <c r="X2698" s="218"/>
      <c r="AB2698" t="e">
        <v>#N/A</v>
      </c>
    </row>
    <row r="2699">
      <c r="A2699" s="218"/>
      <c r="C2699" s="218"/>
      <c r="F2699" s="457"/>
      <c r="G2699" s="218"/>
      <c r="H2699" s="218"/>
      <c r="I2699" s="218"/>
      <c r="J2699" s="218"/>
      <c r="K2699" s="218"/>
      <c r="L2699" s="218"/>
      <c r="M2699" s="218"/>
      <c r="N2699" s="218"/>
      <c r="O2699" s="218"/>
      <c r="P2699" s="218"/>
      <c r="Q2699" s="222"/>
      <c r="R2699" s="222"/>
      <c r="S2699" s="218"/>
      <c r="U2699" s="218"/>
      <c r="X2699" s="218"/>
      <c r="AB2699" t="e">
        <v>#N/A</v>
      </c>
    </row>
    <row r="2700">
      <c r="A2700" s="218"/>
      <c r="C2700" s="218"/>
      <c r="F2700" s="457"/>
      <c r="G2700" s="218"/>
      <c r="H2700" s="218"/>
      <c r="I2700" s="218"/>
      <c r="J2700" s="218"/>
      <c r="K2700" s="218"/>
      <c r="L2700" s="218"/>
      <c r="M2700" s="218"/>
      <c r="N2700" s="218"/>
      <c r="O2700" s="218"/>
      <c r="P2700" s="218"/>
      <c r="Q2700" s="222"/>
      <c r="R2700" s="222"/>
      <c r="S2700" s="218"/>
      <c r="U2700" s="218"/>
      <c r="X2700" s="218"/>
      <c r="AB2700" t="e">
        <v>#N/A</v>
      </c>
    </row>
    <row r="2701">
      <c r="A2701" s="218"/>
      <c r="C2701" s="218"/>
      <c r="F2701" s="457"/>
      <c r="G2701" s="218"/>
      <c r="H2701" s="218"/>
      <c r="I2701" s="218"/>
      <c r="J2701" s="218"/>
      <c r="K2701" s="218"/>
      <c r="L2701" s="218"/>
      <c r="M2701" s="218"/>
      <c r="N2701" s="218"/>
      <c r="O2701" s="218"/>
      <c r="P2701" s="218"/>
      <c r="Q2701" s="222"/>
      <c r="R2701" s="222"/>
      <c r="S2701" s="218"/>
      <c r="U2701" s="218"/>
      <c r="X2701" s="218"/>
      <c r="AB2701" t="e">
        <v>#N/A</v>
      </c>
    </row>
    <row r="2702">
      <c r="A2702" s="218"/>
      <c r="C2702" s="218"/>
      <c r="F2702" s="457"/>
      <c r="G2702" s="218"/>
      <c r="H2702" s="218"/>
      <c r="I2702" s="218"/>
      <c r="J2702" s="218"/>
      <c r="K2702" s="218"/>
      <c r="L2702" s="218"/>
      <c r="M2702" s="218"/>
      <c r="N2702" s="218"/>
      <c r="O2702" s="218"/>
      <c r="P2702" s="218"/>
      <c r="Q2702" s="222"/>
      <c r="R2702" s="222"/>
      <c r="S2702" s="218"/>
      <c r="U2702" s="218"/>
      <c r="X2702" s="218"/>
      <c r="AB2702" t="e">
        <v>#N/A</v>
      </c>
    </row>
    <row r="2703">
      <c r="A2703" s="218"/>
      <c r="C2703" s="218"/>
      <c r="F2703" s="457"/>
      <c r="G2703" s="218"/>
      <c r="H2703" s="218"/>
      <c r="I2703" s="218"/>
      <c r="J2703" s="218"/>
      <c r="K2703" s="218"/>
      <c r="L2703" s="218"/>
      <c r="M2703" s="218"/>
      <c r="N2703" s="218"/>
      <c r="O2703" s="218"/>
      <c r="P2703" s="218"/>
      <c r="Q2703" s="222"/>
      <c r="R2703" s="222"/>
      <c r="S2703" s="218"/>
      <c r="U2703" s="218"/>
      <c r="X2703" s="218"/>
      <c r="AB2703" t="e">
        <v>#N/A</v>
      </c>
    </row>
    <row r="2704">
      <c r="A2704" s="218"/>
      <c r="C2704" s="218"/>
      <c r="F2704" s="457"/>
      <c r="G2704" s="218"/>
      <c r="H2704" s="218"/>
      <c r="I2704" s="218"/>
      <c r="J2704" s="218"/>
      <c r="K2704" s="218"/>
      <c r="L2704" s="218"/>
      <c r="M2704" s="218"/>
      <c r="N2704" s="218"/>
      <c r="O2704" s="218"/>
      <c r="P2704" s="218"/>
      <c r="Q2704" s="222"/>
      <c r="R2704" s="222"/>
      <c r="S2704" s="218"/>
      <c r="U2704" s="218"/>
      <c r="X2704" s="218"/>
      <c r="AB2704" t="e">
        <v>#N/A</v>
      </c>
    </row>
    <row r="2705">
      <c r="A2705" s="218"/>
      <c r="C2705" s="218"/>
      <c r="F2705" s="457"/>
      <c r="G2705" s="218"/>
      <c r="H2705" s="218"/>
      <c r="I2705" s="218"/>
      <c r="J2705" s="218"/>
      <c r="K2705" s="218"/>
      <c r="L2705" s="218"/>
      <c r="M2705" s="218"/>
      <c r="N2705" s="218"/>
      <c r="O2705" s="218"/>
      <c r="P2705" s="218"/>
      <c r="Q2705" s="222"/>
      <c r="R2705" s="222"/>
      <c r="S2705" s="218"/>
      <c r="U2705" s="218"/>
      <c r="X2705" s="218"/>
      <c r="AB2705" t="e">
        <v>#N/A</v>
      </c>
    </row>
    <row r="2706">
      <c r="A2706" s="218"/>
      <c r="C2706" s="218"/>
      <c r="F2706" s="457"/>
      <c r="G2706" s="218"/>
      <c r="H2706" s="218"/>
      <c r="I2706" s="218"/>
      <c r="J2706" s="218"/>
      <c r="K2706" s="218"/>
      <c r="L2706" s="218"/>
      <c r="M2706" s="218"/>
      <c r="N2706" s="218"/>
      <c r="O2706" s="218"/>
      <c r="P2706" s="218"/>
      <c r="Q2706" s="222"/>
      <c r="R2706" s="222"/>
      <c r="S2706" s="218"/>
      <c r="U2706" s="218"/>
      <c r="X2706" s="218"/>
      <c r="AB2706" t="e">
        <v>#N/A</v>
      </c>
    </row>
    <row r="2707">
      <c r="A2707" s="218"/>
      <c r="C2707" s="218"/>
      <c r="F2707" s="457"/>
      <c r="G2707" s="218"/>
      <c r="H2707" s="218"/>
      <c r="I2707" s="218"/>
      <c r="J2707" s="218"/>
      <c r="K2707" s="218"/>
      <c r="L2707" s="218"/>
      <c r="M2707" s="218"/>
      <c r="N2707" s="218"/>
      <c r="O2707" s="218"/>
      <c r="P2707" s="218"/>
      <c r="Q2707" s="222"/>
      <c r="R2707" s="222"/>
      <c r="S2707" s="218"/>
      <c r="U2707" s="218"/>
      <c r="X2707" s="218"/>
      <c r="AB2707" t="e">
        <v>#N/A</v>
      </c>
    </row>
    <row r="2708">
      <c r="A2708" s="218"/>
      <c r="C2708" s="218"/>
      <c r="F2708" s="457"/>
      <c r="G2708" s="218"/>
      <c r="H2708" s="218"/>
      <c r="I2708" s="218"/>
      <c r="J2708" s="218"/>
      <c r="K2708" s="218"/>
      <c r="L2708" s="218"/>
      <c r="M2708" s="218"/>
      <c r="N2708" s="218"/>
      <c r="O2708" s="218"/>
      <c r="P2708" s="218"/>
      <c r="Q2708" s="222"/>
      <c r="R2708" s="222"/>
      <c r="S2708" s="218"/>
      <c r="U2708" s="218"/>
      <c r="X2708" s="218"/>
      <c r="AB2708" t="e">
        <v>#N/A</v>
      </c>
    </row>
    <row r="2709">
      <c r="A2709" s="218"/>
      <c r="C2709" s="218"/>
      <c r="F2709" s="457"/>
      <c r="G2709" s="218"/>
      <c r="H2709" s="218"/>
      <c r="I2709" s="218"/>
      <c r="J2709" s="218"/>
      <c r="K2709" s="218"/>
      <c r="L2709" s="218"/>
      <c r="M2709" s="218"/>
      <c r="N2709" s="218"/>
      <c r="O2709" s="218"/>
      <c r="P2709" s="218"/>
      <c r="Q2709" s="222"/>
      <c r="R2709" s="222"/>
      <c r="S2709" s="218"/>
      <c r="U2709" s="218"/>
      <c r="X2709" s="218"/>
      <c r="AB2709" t="e">
        <v>#N/A</v>
      </c>
    </row>
    <row r="2710">
      <c r="A2710" s="218"/>
      <c r="C2710" s="218"/>
      <c r="F2710" s="457"/>
      <c r="G2710" s="218"/>
      <c r="H2710" s="218"/>
      <c r="I2710" s="218"/>
      <c r="J2710" s="218"/>
      <c r="K2710" s="218"/>
      <c r="L2710" s="218"/>
      <c r="M2710" s="218"/>
      <c r="N2710" s="218"/>
      <c r="O2710" s="218"/>
      <c r="P2710" s="218"/>
      <c r="Q2710" s="222"/>
      <c r="R2710" s="222"/>
      <c r="S2710" s="218"/>
      <c r="U2710" s="218"/>
      <c r="X2710" s="218"/>
      <c r="AB2710" t="e">
        <v>#N/A</v>
      </c>
    </row>
    <row r="2711">
      <c r="A2711" s="218"/>
      <c r="C2711" s="218"/>
      <c r="F2711" s="457"/>
      <c r="G2711" s="218"/>
      <c r="H2711" s="218"/>
      <c r="I2711" s="218"/>
      <c r="J2711" s="218"/>
      <c r="K2711" s="218"/>
      <c r="L2711" s="218"/>
      <c r="M2711" s="218"/>
      <c r="N2711" s="218"/>
      <c r="O2711" s="218"/>
      <c r="P2711" s="218"/>
      <c r="Q2711" s="222"/>
      <c r="R2711" s="222"/>
      <c r="S2711" s="218"/>
      <c r="U2711" s="218"/>
      <c r="X2711" s="218"/>
      <c r="AB2711" t="e">
        <v>#N/A</v>
      </c>
    </row>
    <row r="2712">
      <c r="A2712" s="218"/>
      <c r="C2712" s="218"/>
      <c r="F2712" s="457"/>
      <c r="G2712" s="218"/>
      <c r="H2712" s="218"/>
      <c r="I2712" s="218"/>
      <c r="J2712" s="218"/>
      <c r="K2712" s="218"/>
      <c r="L2712" s="218"/>
      <c r="M2712" s="218"/>
      <c r="N2712" s="218"/>
      <c r="O2712" s="218"/>
      <c r="P2712" s="218"/>
      <c r="Q2712" s="222"/>
      <c r="R2712" s="222"/>
      <c r="S2712" s="218"/>
      <c r="U2712" s="218"/>
      <c r="X2712" s="218"/>
      <c r="AB2712" t="e">
        <v>#N/A</v>
      </c>
    </row>
    <row r="2713">
      <c r="A2713" s="218"/>
      <c r="C2713" s="218"/>
      <c r="F2713" s="457"/>
      <c r="G2713" s="218"/>
      <c r="H2713" s="218"/>
      <c r="I2713" s="218"/>
      <c r="J2713" s="218"/>
      <c r="K2713" s="218"/>
      <c r="L2713" s="218"/>
      <c r="M2713" s="218"/>
      <c r="N2713" s="218"/>
      <c r="O2713" s="218"/>
      <c r="P2713" s="218"/>
      <c r="Q2713" s="222"/>
      <c r="R2713" s="222"/>
      <c r="S2713" s="218"/>
      <c r="U2713" s="218"/>
      <c r="X2713" s="218"/>
      <c r="AB2713" t="e">
        <v>#N/A</v>
      </c>
    </row>
    <row r="2714">
      <c r="A2714" s="218"/>
      <c r="C2714" s="218"/>
      <c r="F2714" s="457"/>
      <c r="G2714" s="218"/>
      <c r="H2714" s="218"/>
      <c r="I2714" s="218"/>
      <c r="J2714" s="218"/>
      <c r="K2714" s="218"/>
      <c r="L2714" s="218"/>
      <c r="M2714" s="218"/>
      <c r="N2714" s="218"/>
      <c r="O2714" s="218"/>
      <c r="P2714" s="218"/>
      <c r="Q2714" s="222"/>
      <c r="R2714" s="222"/>
      <c r="S2714" s="218"/>
      <c r="U2714" s="218"/>
      <c r="X2714" s="218"/>
      <c r="AB2714" t="e">
        <v>#N/A</v>
      </c>
    </row>
    <row r="2715">
      <c r="A2715" s="218"/>
      <c r="C2715" s="218"/>
      <c r="F2715" s="457"/>
      <c r="G2715" s="218"/>
      <c r="H2715" s="218"/>
      <c r="I2715" s="218"/>
      <c r="J2715" s="218"/>
      <c r="K2715" s="218"/>
      <c r="L2715" s="218"/>
      <c r="M2715" s="218"/>
      <c r="N2715" s="218"/>
      <c r="O2715" s="218"/>
      <c r="P2715" s="218"/>
      <c r="Q2715" s="222"/>
      <c r="R2715" s="222"/>
      <c r="S2715" s="218"/>
      <c r="U2715" s="218"/>
      <c r="X2715" s="218"/>
      <c r="AB2715" t="e">
        <v>#N/A</v>
      </c>
    </row>
    <row r="2716">
      <c r="A2716" s="218"/>
      <c r="C2716" s="218"/>
      <c r="F2716" s="457"/>
      <c r="G2716" s="218"/>
      <c r="H2716" s="218"/>
      <c r="I2716" s="218"/>
      <c r="J2716" s="218"/>
      <c r="K2716" s="218"/>
      <c r="L2716" s="218"/>
      <c r="M2716" s="218"/>
      <c r="N2716" s="218"/>
      <c r="O2716" s="218"/>
      <c r="P2716" s="218"/>
      <c r="Q2716" s="222"/>
      <c r="R2716" s="222"/>
      <c r="S2716" s="218"/>
      <c r="U2716" s="218"/>
      <c r="X2716" s="218"/>
      <c r="AB2716" t="e">
        <v>#N/A</v>
      </c>
    </row>
    <row r="2717">
      <c r="A2717" s="218"/>
      <c r="C2717" s="218"/>
      <c r="F2717" s="457"/>
      <c r="G2717" s="218"/>
      <c r="H2717" s="218"/>
      <c r="I2717" s="218"/>
      <c r="J2717" s="218"/>
      <c r="K2717" s="218"/>
      <c r="L2717" s="218"/>
      <c r="M2717" s="218"/>
      <c r="N2717" s="218"/>
      <c r="O2717" s="218"/>
      <c r="P2717" s="218"/>
      <c r="Q2717" s="222"/>
      <c r="R2717" s="222"/>
      <c r="S2717" s="218"/>
      <c r="U2717" s="218"/>
      <c r="X2717" s="218"/>
      <c r="AB2717" t="e">
        <v>#N/A</v>
      </c>
    </row>
    <row r="2718">
      <c r="A2718" s="218"/>
      <c r="C2718" s="218"/>
      <c r="F2718" s="457"/>
      <c r="G2718" s="218"/>
      <c r="H2718" s="218"/>
      <c r="I2718" s="218"/>
      <c r="J2718" s="218"/>
      <c r="K2718" s="218"/>
      <c r="L2718" s="218"/>
      <c r="M2718" s="218"/>
      <c r="N2718" s="218"/>
      <c r="O2718" s="218"/>
      <c r="P2718" s="218"/>
      <c r="Q2718" s="222"/>
      <c r="R2718" s="222"/>
      <c r="S2718" s="218"/>
      <c r="U2718" s="218"/>
      <c r="X2718" s="218"/>
      <c r="AB2718" t="e">
        <v>#N/A</v>
      </c>
    </row>
    <row r="2719">
      <c r="A2719" s="218"/>
      <c r="C2719" s="218"/>
      <c r="F2719" s="457"/>
      <c r="G2719" s="218"/>
      <c r="H2719" s="218"/>
      <c r="I2719" s="218"/>
      <c r="J2719" s="218"/>
      <c r="K2719" s="218"/>
      <c r="L2719" s="218"/>
      <c r="M2719" s="218"/>
      <c r="N2719" s="218"/>
      <c r="O2719" s="218"/>
      <c r="P2719" s="218"/>
      <c r="Q2719" s="222"/>
      <c r="R2719" s="222"/>
      <c r="S2719" s="218"/>
      <c r="U2719" s="218"/>
      <c r="X2719" s="218"/>
      <c r="AB2719" t="e">
        <v>#N/A</v>
      </c>
    </row>
    <row r="2720">
      <c r="A2720" s="218"/>
      <c r="C2720" s="218"/>
      <c r="F2720" s="457"/>
      <c r="G2720" s="218"/>
      <c r="H2720" s="218"/>
      <c r="I2720" s="218"/>
      <c r="J2720" s="218"/>
      <c r="K2720" s="218"/>
      <c r="L2720" s="218"/>
      <c r="M2720" s="218"/>
      <c r="N2720" s="218"/>
      <c r="O2720" s="218"/>
      <c r="P2720" s="218"/>
      <c r="Q2720" s="222"/>
      <c r="R2720" s="222"/>
      <c r="S2720" s="218"/>
      <c r="U2720" s="218"/>
      <c r="X2720" s="218"/>
      <c r="AB2720" t="e">
        <v>#N/A</v>
      </c>
    </row>
    <row r="2721">
      <c r="A2721" s="218"/>
      <c r="C2721" s="218"/>
      <c r="F2721" s="457"/>
      <c r="G2721" s="218"/>
      <c r="H2721" s="218"/>
      <c r="I2721" s="218"/>
      <c r="J2721" s="218"/>
      <c r="K2721" s="218"/>
      <c r="L2721" s="218"/>
      <c r="M2721" s="218"/>
      <c r="N2721" s="218"/>
      <c r="O2721" s="218"/>
      <c r="P2721" s="218"/>
      <c r="Q2721" s="222"/>
      <c r="R2721" s="222"/>
      <c r="S2721" s="218"/>
      <c r="U2721" s="218"/>
      <c r="X2721" s="218"/>
      <c r="AB2721" t="e">
        <v>#N/A</v>
      </c>
    </row>
    <row r="2722">
      <c r="A2722" s="218"/>
      <c r="C2722" s="218"/>
      <c r="F2722" s="457"/>
      <c r="G2722" s="218"/>
      <c r="H2722" s="218"/>
      <c r="I2722" s="218"/>
      <c r="J2722" s="218"/>
      <c r="K2722" s="218"/>
      <c r="L2722" s="218"/>
      <c r="M2722" s="218"/>
      <c r="N2722" s="218"/>
      <c r="O2722" s="218"/>
      <c r="P2722" s="218"/>
      <c r="Q2722" s="222"/>
      <c r="R2722" s="222"/>
      <c r="S2722" s="218"/>
      <c r="U2722" s="218"/>
      <c r="X2722" s="218"/>
      <c r="AB2722" t="e">
        <v>#N/A</v>
      </c>
    </row>
    <row r="2723">
      <c r="A2723" s="218"/>
      <c r="C2723" s="218"/>
      <c r="F2723" s="457"/>
      <c r="G2723" s="218"/>
      <c r="H2723" s="218"/>
      <c r="I2723" s="218"/>
      <c r="J2723" s="218"/>
      <c r="K2723" s="218"/>
      <c r="L2723" s="218"/>
      <c r="M2723" s="218"/>
      <c r="N2723" s="218"/>
      <c r="O2723" s="218"/>
      <c r="P2723" s="218"/>
      <c r="Q2723" s="222"/>
      <c r="R2723" s="222"/>
      <c r="S2723" s="218"/>
      <c r="U2723" s="218"/>
      <c r="X2723" s="218"/>
      <c r="AB2723" t="e">
        <v>#N/A</v>
      </c>
    </row>
    <row r="2724">
      <c r="A2724" s="218"/>
      <c r="C2724" s="218"/>
      <c r="F2724" s="457"/>
      <c r="G2724" s="218"/>
      <c r="H2724" s="218"/>
      <c r="I2724" s="218"/>
      <c r="J2724" s="218"/>
      <c r="K2724" s="218"/>
      <c r="L2724" s="218"/>
      <c r="M2724" s="218"/>
      <c r="N2724" s="218"/>
      <c r="O2724" s="218"/>
      <c r="P2724" s="218"/>
      <c r="Q2724" s="222"/>
      <c r="R2724" s="222"/>
      <c r="S2724" s="218"/>
      <c r="U2724" s="218"/>
      <c r="X2724" s="218"/>
      <c r="AB2724" t="e">
        <v>#N/A</v>
      </c>
    </row>
    <row r="2725">
      <c r="A2725" s="218"/>
      <c r="C2725" s="218"/>
      <c r="F2725" s="457"/>
      <c r="G2725" s="218"/>
      <c r="H2725" s="218"/>
      <c r="I2725" s="218"/>
      <c r="J2725" s="218"/>
      <c r="K2725" s="218"/>
      <c r="L2725" s="218"/>
      <c r="M2725" s="218"/>
      <c r="N2725" s="218"/>
      <c r="O2725" s="218"/>
      <c r="P2725" s="218"/>
      <c r="Q2725" s="222"/>
      <c r="R2725" s="222"/>
      <c r="S2725" s="218"/>
      <c r="U2725" s="218"/>
      <c r="X2725" s="218"/>
      <c r="AB2725" t="e">
        <v>#N/A</v>
      </c>
    </row>
    <row r="2726">
      <c r="A2726" s="218"/>
      <c r="C2726" s="218"/>
      <c r="F2726" s="457"/>
      <c r="G2726" s="218"/>
      <c r="H2726" s="218"/>
      <c r="I2726" s="218"/>
      <c r="J2726" s="218"/>
      <c r="K2726" s="218"/>
      <c r="L2726" s="218"/>
      <c r="M2726" s="218"/>
      <c r="N2726" s="218"/>
      <c r="O2726" s="218"/>
      <c r="P2726" s="218"/>
      <c r="Q2726" s="222"/>
      <c r="R2726" s="222"/>
      <c r="S2726" s="218"/>
      <c r="U2726" s="218"/>
      <c r="X2726" s="218"/>
      <c r="AB2726" t="e">
        <v>#N/A</v>
      </c>
    </row>
    <row r="2727">
      <c r="A2727" s="218"/>
      <c r="C2727" s="218"/>
      <c r="F2727" s="457"/>
      <c r="G2727" s="218"/>
      <c r="H2727" s="218"/>
      <c r="I2727" s="218"/>
      <c r="J2727" s="218"/>
      <c r="K2727" s="218"/>
      <c r="L2727" s="218"/>
      <c r="M2727" s="218"/>
      <c r="N2727" s="218"/>
      <c r="O2727" s="218"/>
      <c r="P2727" s="218"/>
      <c r="Q2727" s="222"/>
      <c r="R2727" s="222"/>
      <c r="S2727" s="218"/>
      <c r="U2727" s="218"/>
      <c r="X2727" s="218"/>
      <c r="AB2727" t="e">
        <v>#N/A</v>
      </c>
    </row>
    <row r="2728">
      <c r="A2728" s="218"/>
      <c r="C2728" s="218"/>
      <c r="F2728" s="457"/>
      <c r="G2728" s="218"/>
      <c r="H2728" s="218"/>
      <c r="I2728" s="218"/>
      <c r="J2728" s="218"/>
      <c r="K2728" s="218"/>
      <c r="L2728" s="218"/>
      <c r="M2728" s="218"/>
      <c r="N2728" s="218"/>
      <c r="O2728" s="218"/>
      <c r="P2728" s="218"/>
      <c r="Q2728" s="222"/>
      <c r="R2728" s="222"/>
      <c r="S2728" s="218"/>
      <c r="U2728" s="218"/>
      <c r="X2728" s="218"/>
      <c r="AB2728" t="e">
        <v>#N/A</v>
      </c>
    </row>
    <row r="2729">
      <c r="A2729" s="218"/>
      <c r="C2729" s="218"/>
      <c r="F2729" s="457"/>
      <c r="G2729" s="218"/>
      <c r="H2729" s="218"/>
      <c r="I2729" s="218"/>
      <c r="J2729" s="218"/>
      <c r="K2729" s="218"/>
      <c r="L2729" s="218"/>
      <c r="M2729" s="218"/>
      <c r="N2729" s="218"/>
      <c r="O2729" s="218"/>
      <c r="P2729" s="218"/>
      <c r="Q2729" s="222"/>
      <c r="R2729" s="222"/>
      <c r="S2729" s="218"/>
      <c r="U2729" s="218"/>
      <c r="X2729" s="218"/>
      <c r="AB2729" t="e">
        <v>#N/A</v>
      </c>
    </row>
    <row r="2730">
      <c r="A2730" s="218"/>
      <c r="C2730" s="218"/>
      <c r="F2730" s="457"/>
      <c r="G2730" s="218"/>
      <c r="H2730" s="218"/>
      <c r="I2730" s="218"/>
      <c r="J2730" s="218"/>
      <c r="K2730" s="218"/>
      <c r="L2730" s="218"/>
      <c r="M2730" s="218"/>
      <c r="N2730" s="218"/>
      <c r="O2730" s="218"/>
      <c r="P2730" s="218"/>
      <c r="Q2730" s="222"/>
      <c r="R2730" s="222"/>
      <c r="S2730" s="218"/>
      <c r="U2730" s="218"/>
      <c r="X2730" s="218"/>
      <c r="AB2730" t="e">
        <v>#N/A</v>
      </c>
    </row>
    <row r="2731">
      <c r="A2731" s="218"/>
      <c r="C2731" s="218"/>
      <c r="F2731" s="457"/>
      <c r="G2731" s="218"/>
      <c r="H2731" s="218"/>
      <c r="I2731" s="218"/>
      <c r="J2731" s="218"/>
      <c r="K2731" s="218"/>
      <c r="L2731" s="218"/>
      <c r="M2731" s="218"/>
      <c r="N2731" s="218"/>
      <c r="O2731" s="218"/>
      <c r="P2731" s="218"/>
      <c r="Q2731" s="222"/>
      <c r="R2731" s="222"/>
      <c r="S2731" s="218"/>
      <c r="U2731" s="218"/>
      <c r="X2731" s="218"/>
      <c r="AB2731" t="e">
        <v>#N/A</v>
      </c>
    </row>
    <row r="2732">
      <c r="A2732" s="218"/>
      <c r="C2732" s="218"/>
      <c r="F2732" s="457"/>
      <c r="G2732" s="218"/>
      <c r="H2732" s="218"/>
      <c r="I2732" s="218"/>
      <c r="J2732" s="218"/>
      <c r="K2732" s="218"/>
      <c r="L2732" s="218"/>
      <c r="M2732" s="218"/>
      <c r="N2732" s="218"/>
      <c r="O2732" s="218"/>
      <c r="P2732" s="218"/>
      <c r="Q2732" s="222"/>
      <c r="R2732" s="222"/>
      <c r="S2732" s="218"/>
      <c r="U2732" s="218"/>
      <c r="X2732" s="218"/>
      <c r="AB2732" t="e">
        <v>#N/A</v>
      </c>
    </row>
    <row r="2733">
      <c r="A2733" s="218"/>
      <c r="C2733" s="218"/>
      <c r="F2733" s="457"/>
      <c r="G2733" s="218"/>
      <c r="H2733" s="218"/>
      <c r="I2733" s="218"/>
      <c r="J2733" s="218"/>
      <c r="K2733" s="218"/>
      <c r="L2733" s="218"/>
      <c r="M2733" s="218"/>
      <c r="N2733" s="218"/>
      <c r="O2733" s="218"/>
      <c r="P2733" s="218"/>
      <c r="Q2733" s="222"/>
      <c r="R2733" s="222"/>
      <c r="S2733" s="218"/>
      <c r="U2733" s="218"/>
      <c r="X2733" s="218"/>
      <c r="AB2733" t="e">
        <v>#N/A</v>
      </c>
    </row>
    <row r="2734">
      <c r="A2734" s="218"/>
      <c r="C2734" s="218"/>
      <c r="F2734" s="457"/>
      <c r="G2734" s="218"/>
      <c r="H2734" s="218"/>
      <c r="I2734" s="218"/>
      <c r="J2734" s="218"/>
      <c r="K2734" s="218"/>
      <c r="L2734" s="218"/>
      <c r="M2734" s="218"/>
      <c r="N2734" s="218"/>
      <c r="O2734" s="218"/>
      <c r="P2734" s="218"/>
      <c r="Q2734" s="222"/>
      <c r="R2734" s="222"/>
      <c r="S2734" s="218"/>
      <c r="U2734" s="218"/>
      <c r="X2734" s="218"/>
      <c r="AB2734" t="e">
        <v>#N/A</v>
      </c>
    </row>
    <row r="2735">
      <c r="A2735" s="218"/>
      <c r="C2735" s="218"/>
      <c r="F2735" s="457"/>
      <c r="G2735" s="218"/>
      <c r="H2735" s="218"/>
      <c r="I2735" s="218"/>
      <c r="J2735" s="218"/>
      <c r="K2735" s="218"/>
      <c r="L2735" s="218"/>
      <c r="M2735" s="218"/>
      <c r="N2735" s="218"/>
      <c r="O2735" s="218"/>
      <c r="P2735" s="218"/>
      <c r="Q2735" s="222"/>
      <c r="R2735" s="222"/>
      <c r="S2735" s="218"/>
      <c r="U2735" s="218"/>
      <c r="X2735" s="218"/>
      <c r="AB2735" t="e">
        <v>#N/A</v>
      </c>
    </row>
    <row r="2736">
      <c r="A2736" s="218"/>
      <c r="C2736" s="218"/>
      <c r="F2736" s="457"/>
      <c r="G2736" s="218"/>
      <c r="H2736" s="218"/>
      <c r="I2736" s="218"/>
      <c r="J2736" s="218"/>
      <c r="K2736" s="218"/>
      <c r="L2736" s="218"/>
      <c r="M2736" s="218"/>
      <c r="N2736" s="218"/>
      <c r="O2736" s="218"/>
      <c r="P2736" s="218"/>
      <c r="Q2736" s="222"/>
      <c r="R2736" s="222"/>
      <c r="S2736" s="218"/>
      <c r="U2736" s="218"/>
      <c r="X2736" s="218"/>
      <c r="AB2736" t="e">
        <v>#N/A</v>
      </c>
    </row>
    <row r="2737">
      <c r="A2737" s="218"/>
      <c r="C2737" s="218"/>
      <c r="F2737" s="457"/>
      <c r="G2737" s="218"/>
      <c r="H2737" s="218"/>
      <c r="I2737" s="218"/>
      <c r="J2737" s="218"/>
      <c r="K2737" s="218"/>
      <c r="L2737" s="218"/>
      <c r="M2737" s="218"/>
      <c r="N2737" s="218"/>
      <c r="O2737" s="218"/>
      <c r="P2737" s="218"/>
      <c r="Q2737" s="222"/>
      <c r="R2737" s="222"/>
      <c r="S2737" s="218"/>
      <c r="U2737" s="218"/>
      <c r="X2737" s="218"/>
      <c r="AB2737" t="e">
        <v>#N/A</v>
      </c>
    </row>
    <row r="2738">
      <c r="A2738" s="218"/>
      <c r="C2738" s="218"/>
      <c r="F2738" s="457"/>
      <c r="G2738" s="218"/>
      <c r="H2738" s="218"/>
      <c r="I2738" s="218"/>
      <c r="J2738" s="218"/>
      <c r="K2738" s="218"/>
      <c r="L2738" s="218"/>
      <c r="M2738" s="218"/>
      <c r="N2738" s="218"/>
      <c r="O2738" s="218"/>
      <c r="P2738" s="218"/>
      <c r="Q2738" s="222"/>
      <c r="R2738" s="222"/>
      <c r="S2738" s="218"/>
      <c r="U2738" s="218"/>
      <c r="X2738" s="218"/>
      <c r="AB2738" t="e">
        <v>#N/A</v>
      </c>
    </row>
    <row r="2739">
      <c r="A2739" s="218"/>
      <c r="C2739" s="218"/>
      <c r="F2739" s="457"/>
      <c r="G2739" s="218"/>
      <c r="H2739" s="218"/>
      <c r="I2739" s="218"/>
      <c r="J2739" s="218"/>
      <c r="K2739" s="218"/>
      <c r="L2739" s="218"/>
      <c r="M2739" s="218"/>
      <c r="N2739" s="218"/>
      <c r="O2739" s="218"/>
      <c r="P2739" s="218"/>
      <c r="Q2739" s="222"/>
      <c r="R2739" s="222"/>
      <c r="S2739" s="218"/>
      <c r="U2739" s="218"/>
      <c r="X2739" s="218"/>
      <c r="AB2739" t="e">
        <v>#N/A</v>
      </c>
    </row>
    <row r="2740">
      <c r="A2740" s="218"/>
      <c r="C2740" s="218"/>
      <c r="F2740" s="457"/>
      <c r="G2740" s="218"/>
      <c r="H2740" s="218"/>
      <c r="I2740" s="218"/>
      <c r="J2740" s="218"/>
      <c r="K2740" s="218"/>
      <c r="L2740" s="218"/>
      <c r="M2740" s="218"/>
      <c r="N2740" s="218"/>
      <c r="O2740" s="218"/>
      <c r="P2740" s="218"/>
      <c r="Q2740" s="222"/>
      <c r="R2740" s="222"/>
      <c r="S2740" s="218"/>
      <c r="U2740" s="218"/>
      <c r="X2740" s="218"/>
      <c r="AB2740" t="e">
        <v>#N/A</v>
      </c>
    </row>
    <row r="2741">
      <c r="A2741" s="218"/>
      <c r="C2741" s="218"/>
      <c r="F2741" s="457"/>
      <c r="G2741" s="218"/>
      <c r="H2741" s="218"/>
      <c r="I2741" s="218"/>
      <c r="J2741" s="218"/>
      <c r="K2741" s="218"/>
      <c r="L2741" s="218"/>
      <c r="M2741" s="218"/>
      <c r="N2741" s="218"/>
      <c r="O2741" s="218"/>
      <c r="P2741" s="218"/>
      <c r="Q2741" s="222"/>
      <c r="R2741" s="222"/>
      <c r="S2741" s="218"/>
      <c r="U2741" s="218"/>
      <c r="X2741" s="218"/>
      <c r="AB2741" t="e">
        <v>#N/A</v>
      </c>
    </row>
    <row r="2742">
      <c r="A2742" s="218"/>
      <c r="C2742" s="218"/>
      <c r="F2742" s="457"/>
      <c r="G2742" s="218"/>
      <c r="H2742" s="218"/>
      <c r="I2742" s="218"/>
      <c r="J2742" s="218"/>
      <c r="K2742" s="218"/>
      <c r="L2742" s="218"/>
      <c r="M2742" s="218"/>
      <c r="N2742" s="218"/>
      <c r="O2742" s="218"/>
      <c r="P2742" s="218"/>
      <c r="Q2742" s="222"/>
      <c r="R2742" s="222"/>
      <c r="S2742" s="218"/>
      <c r="U2742" s="218"/>
      <c r="X2742" s="218"/>
      <c r="AB2742" t="e">
        <v>#N/A</v>
      </c>
    </row>
    <row r="2743">
      <c r="A2743" s="218"/>
      <c r="C2743" s="218"/>
      <c r="F2743" s="457"/>
      <c r="G2743" s="218"/>
      <c r="H2743" s="218"/>
      <c r="I2743" s="218"/>
      <c r="J2743" s="218"/>
      <c r="K2743" s="218"/>
      <c r="L2743" s="218"/>
      <c r="M2743" s="218"/>
      <c r="N2743" s="218"/>
      <c r="O2743" s="218"/>
      <c r="P2743" s="218"/>
      <c r="Q2743" s="222"/>
      <c r="R2743" s="222"/>
      <c r="S2743" s="218"/>
      <c r="U2743" s="218"/>
      <c r="X2743" s="218"/>
      <c r="AB2743" t="e">
        <v>#N/A</v>
      </c>
    </row>
    <row r="2744">
      <c r="A2744" s="218"/>
      <c r="C2744" s="218"/>
      <c r="F2744" s="457"/>
      <c r="G2744" s="218"/>
      <c r="H2744" s="218"/>
      <c r="I2744" s="218"/>
      <c r="J2744" s="218"/>
      <c r="K2744" s="218"/>
      <c r="L2744" s="218"/>
      <c r="M2744" s="218"/>
      <c r="N2744" s="218"/>
      <c r="O2744" s="218"/>
      <c r="P2744" s="218"/>
      <c r="Q2744" s="222"/>
      <c r="R2744" s="222"/>
      <c r="S2744" s="218"/>
      <c r="U2744" s="218"/>
      <c r="X2744" s="218"/>
      <c r="AB2744" t="e">
        <v>#N/A</v>
      </c>
    </row>
    <row r="2745">
      <c r="A2745" s="218"/>
      <c r="C2745" s="218"/>
      <c r="F2745" s="457"/>
      <c r="G2745" s="218"/>
      <c r="H2745" s="218"/>
      <c r="I2745" s="218"/>
      <c r="J2745" s="218"/>
      <c r="K2745" s="218"/>
      <c r="L2745" s="218"/>
      <c r="M2745" s="218"/>
      <c r="N2745" s="218"/>
      <c r="O2745" s="218"/>
      <c r="P2745" s="218"/>
      <c r="Q2745" s="222"/>
      <c r="R2745" s="222"/>
      <c r="S2745" s="218"/>
      <c r="U2745" s="218"/>
      <c r="X2745" s="218"/>
      <c r="AB2745" t="e">
        <v>#N/A</v>
      </c>
    </row>
    <row r="2746">
      <c r="A2746" s="218"/>
      <c r="C2746" s="218"/>
      <c r="F2746" s="457"/>
      <c r="G2746" s="218"/>
      <c r="H2746" s="218"/>
      <c r="I2746" s="218"/>
      <c r="J2746" s="218"/>
      <c r="K2746" s="218"/>
      <c r="L2746" s="218"/>
      <c r="M2746" s="218"/>
      <c r="N2746" s="218"/>
      <c r="O2746" s="218"/>
      <c r="P2746" s="218"/>
      <c r="Q2746" s="222"/>
      <c r="R2746" s="222"/>
      <c r="S2746" s="218"/>
      <c r="U2746" s="218"/>
      <c r="X2746" s="218"/>
      <c r="AB2746" t="e">
        <v>#N/A</v>
      </c>
    </row>
    <row r="2747">
      <c r="A2747" s="218"/>
      <c r="C2747" s="218"/>
      <c r="F2747" s="457"/>
      <c r="G2747" s="218"/>
      <c r="H2747" s="218"/>
      <c r="I2747" s="218"/>
      <c r="J2747" s="218"/>
      <c r="K2747" s="218"/>
      <c r="L2747" s="218"/>
      <c r="M2747" s="218"/>
      <c r="N2747" s="218"/>
      <c r="O2747" s="218"/>
      <c r="P2747" s="218"/>
      <c r="Q2747" s="222"/>
      <c r="R2747" s="222"/>
      <c r="S2747" s="218"/>
      <c r="U2747" s="218"/>
      <c r="X2747" s="218"/>
      <c r="AB2747" t="e">
        <v>#N/A</v>
      </c>
    </row>
    <row r="2748">
      <c r="A2748" s="218"/>
      <c r="C2748" s="218"/>
      <c r="F2748" s="457"/>
      <c r="G2748" s="218"/>
      <c r="H2748" s="218"/>
      <c r="I2748" s="218"/>
      <c r="J2748" s="218"/>
      <c r="K2748" s="218"/>
      <c r="L2748" s="218"/>
      <c r="M2748" s="218"/>
      <c r="N2748" s="218"/>
      <c r="O2748" s="218"/>
      <c r="P2748" s="218"/>
      <c r="Q2748" s="222"/>
      <c r="R2748" s="222"/>
      <c r="S2748" s="218"/>
      <c r="U2748" s="218"/>
      <c r="X2748" s="218"/>
      <c r="AB2748" t="e">
        <v>#N/A</v>
      </c>
    </row>
    <row r="2749">
      <c r="A2749" s="218"/>
      <c r="C2749" s="218"/>
      <c r="F2749" s="457"/>
      <c r="G2749" s="218"/>
      <c r="H2749" s="218"/>
      <c r="I2749" s="218"/>
      <c r="J2749" s="218"/>
      <c r="K2749" s="218"/>
      <c r="L2749" s="218"/>
      <c r="M2749" s="218"/>
      <c r="N2749" s="218"/>
      <c r="O2749" s="218"/>
      <c r="P2749" s="218"/>
      <c r="Q2749" s="222"/>
      <c r="R2749" s="222"/>
      <c r="S2749" s="218"/>
      <c r="U2749" s="218"/>
      <c r="X2749" s="218"/>
      <c r="AB2749" t="e">
        <v>#N/A</v>
      </c>
    </row>
    <row r="2750">
      <c r="A2750" s="218"/>
      <c r="C2750" s="218"/>
      <c r="F2750" s="457"/>
      <c r="G2750" s="218"/>
      <c r="H2750" s="218"/>
      <c r="I2750" s="218"/>
      <c r="J2750" s="218"/>
      <c r="K2750" s="218"/>
      <c r="L2750" s="218"/>
      <c r="M2750" s="218"/>
      <c r="N2750" s="218"/>
      <c r="O2750" s="218"/>
      <c r="P2750" s="218"/>
      <c r="Q2750" s="222"/>
      <c r="R2750" s="222"/>
      <c r="S2750" s="218"/>
      <c r="U2750" s="218"/>
      <c r="X2750" s="218"/>
      <c r="AB2750" t="e">
        <v>#N/A</v>
      </c>
    </row>
    <row r="2751">
      <c r="A2751" s="218"/>
      <c r="C2751" s="218"/>
      <c r="F2751" s="457"/>
      <c r="G2751" s="218"/>
      <c r="H2751" s="218"/>
      <c r="I2751" s="218"/>
      <c r="J2751" s="218"/>
      <c r="K2751" s="218"/>
      <c r="L2751" s="218"/>
      <c r="M2751" s="218"/>
      <c r="N2751" s="218"/>
      <c r="O2751" s="218"/>
      <c r="P2751" s="218"/>
      <c r="Q2751" s="222"/>
      <c r="R2751" s="222"/>
      <c r="S2751" s="218"/>
      <c r="U2751" s="218"/>
      <c r="X2751" s="218"/>
      <c r="AB2751" t="e">
        <v>#N/A</v>
      </c>
    </row>
    <row r="2752">
      <c r="A2752" s="218"/>
      <c r="C2752" s="218"/>
      <c r="F2752" s="457"/>
      <c r="G2752" s="218"/>
      <c r="H2752" s="218"/>
      <c r="I2752" s="218"/>
      <c r="J2752" s="218"/>
      <c r="K2752" s="218"/>
      <c r="L2752" s="218"/>
      <c r="M2752" s="218"/>
      <c r="N2752" s="218"/>
      <c r="O2752" s="218"/>
      <c r="P2752" s="218"/>
      <c r="Q2752" s="222"/>
      <c r="R2752" s="222"/>
      <c r="S2752" s="218"/>
      <c r="U2752" s="218"/>
      <c r="X2752" s="218"/>
      <c r="AB2752" t="e">
        <v>#N/A</v>
      </c>
    </row>
    <row r="2753">
      <c r="A2753" s="218"/>
      <c r="C2753" s="218"/>
      <c r="F2753" s="457"/>
      <c r="G2753" s="218"/>
      <c r="H2753" s="218"/>
      <c r="I2753" s="218"/>
      <c r="J2753" s="218"/>
      <c r="K2753" s="218"/>
      <c r="L2753" s="218"/>
      <c r="M2753" s="218"/>
      <c r="N2753" s="218"/>
      <c r="O2753" s="218"/>
      <c r="P2753" s="218"/>
      <c r="Q2753" s="222"/>
      <c r="R2753" s="222"/>
      <c r="S2753" s="218"/>
      <c r="U2753" s="218"/>
      <c r="X2753" s="218"/>
      <c r="AB2753" t="e">
        <v>#N/A</v>
      </c>
    </row>
    <row r="2754">
      <c r="A2754" s="218"/>
      <c r="C2754" s="218"/>
      <c r="F2754" s="457"/>
      <c r="G2754" s="218"/>
      <c r="H2754" s="218"/>
      <c r="I2754" s="218"/>
      <c r="J2754" s="218"/>
      <c r="K2754" s="218"/>
      <c r="L2754" s="218"/>
      <c r="M2754" s="218"/>
      <c r="N2754" s="218"/>
      <c r="O2754" s="218"/>
      <c r="P2754" s="218"/>
      <c r="Q2754" s="222"/>
      <c r="R2754" s="222"/>
      <c r="S2754" s="218"/>
      <c r="U2754" s="218"/>
      <c r="X2754" s="218"/>
      <c r="AB2754" t="e">
        <v>#N/A</v>
      </c>
    </row>
    <row r="2755">
      <c r="A2755" s="218"/>
      <c r="C2755" s="218"/>
      <c r="F2755" s="457"/>
      <c r="G2755" s="218"/>
      <c r="H2755" s="218"/>
      <c r="I2755" s="218"/>
      <c r="J2755" s="218"/>
      <c r="K2755" s="218"/>
      <c r="L2755" s="218"/>
      <c r="M2755" s="218"/>
      <c r="N2755" s="218"/>
      <c r="O2755" s="218"/>
      <c r="P2755" s="218"/>
      <c r="Q2755" s="222"/>
      <c r="R2755" s="222"/>
      <c r="S2755" s="218"/>
      <c r="U2755" s="218"/>
      <c r="X2755" s="218"/>
      <c r="AB2755" t="e">
        <v>#N/A</v>
      </c>
    </row>
    <row r="2756">
      <c r="A2756" s="218"/>
      <c r="C2756" s="218"/>
      <c r="F2756" s="457"/>
      <c r="G2756" s="218"/>
      <c r="H2756" s="218"/>
      <c r="I2756" s="218"/>
      <c r="J2756" s="218"/>
      <c r="K2756" s="218"/>
      <c r="L2756" s="218"/>
      <c r="M2756" s="218"/>
      <c r="N2756" s="218"/>
      <c r="O2756" s="218"/>
      <c r="P2756" s="218"/>
      <c r="Q2756" s="222"/>
      <c r="R2756" s="222"/>
      <c r="S2756" s="218"/>
      <c r="U2756" s="218"/>
      <c r="X2756" s="218"/>
      <c r="AB2756" t="e">
        <v>#N/A</v>
      </c>
    </row>
    <row r="2757">
      <c r="A2757" s="218"/>
      <c r="C2757" s="218"/>
      <c r="F2757" s="457"/>
      <c r="G2757" s="218"/>
      <c r="H2757" s="218"/>
      <c r="I2757" s="218"/>
      <c r="J2757" s="218"/>
      <c r="K2757" s="218"/>
      <c r="L2757" s="218"/>
      <c r="M2757" s="218"/>
      <c r="N2757" s="218"/>
      <c r="O2757" s="218"/>
      <c r="P2757" s="218"/>
      <c r="Q2757" s="222"/>
      <c r="R2757" s="222"/>
      <c r="S2757" s="218"/>
      <c r="U2757" s="218"/>
      <c r="X2757" s="218"/>
      <c r="AB2757" t="e">
        <v>#N/A</v>
      </c>
    </row>
    <row r="2758">
      <c r="A2758" s="218"/>
      <c r="C2758" s="218"/>
      <c r="F2758" s="457"/>
      <c r="G2758" s="218"/>
      <c r="H2758" s="218"/>
      <c r="I2758" s="218"/>
      <c r="J2758" s="218"/>
      <c r="K2758" s="218"/>
      <c r="L2758" s="218"/>
      <c r="M2758" s="218"/>
      <c r="N2758" s="218"/>
      <c r="O2758" s="218"/>
      <c r="P2758" s="218"/>
      <c r="Q2758" s="222"/>
      <c r="R2758" s="222"/>
      <c r="S2758" s="218"/>
      <c r="U2758" s="218"/>
      <c r="X2758" s="218"/>
      <c r="AB2758" t="e">
        <v>#N/A</v>
      </c>
    </row>
    <row r="2759">
      <c r="A2759" s="218"/>
      <c r="C2759" s="218"/>
      <c r="F2759" s="457"/>
      <c r="G2759" s="218"/>
      <c r="H2759" s="218"/>
      <c r="I2759" s="218"/>
      <c r="J2759" s="218"/>
      <c r="K2759" s="218"/>
      <c r="L2759" s="218"/>
      <c r="M2759" s="218"/>
      <c r="N2759" s="218"/>
      <c r="O2759" s="218"/>
      <c r="P2759" s="218"/>
      <c r="Q2759" s="222"/>
      <c r="R2759" s="222"/>
      <c r="S2759" s="218"/>
      <c r="U2759" s="218"/>
      <c r="X2759" s="218"/>
      <c r="AB2759" t="e">
        <v>#N/A</v>
      </c>
    </row>
    <row r="2760">
      <c r="A2760" s="218"/>
      <c r="C2760" s="218"/>
      <c r="F2760" s="457"/>
      <c r="G2760" s="218"/>
      <c r="H2760" s="218"/>
      <c r="I2760" s="218"/>
      <c r="J2760" s="218"/>
      <c r="K2760" s="218"/>
      <c r="L2760" s="218"/>
      <c r="M2760" s="218"/>
      <c r="N2760" s="218"/>
      <c r="O2760" s="218"/>
      <c r="P2760" s="218"/>
      <c r="Q2760" s="222"/>
      <c r="R2760" s="222"/>
      <c r="S2760" s="218"/>
      <c r="U2760" s="218"/>
      <c r="X2760" s="218"/>
      <c r="AB2760" t="e">
        <v>#N/A</v>
      </c>
    </row>
    <row r="2761">
      <c r="A2761" s="218"/>
      <c r="C2761" s="218"/>
      <c r="F2761" s="457"/>
      <c r="G2761" s="218"/>
      <c r="H2761" s="218"/>
      <c r="I2761" s="218"/>
      <c r="J2761" s="218"/>
      <c r="K2761" s="218"/>
      <c r="L2761" s="218"/>
      <c r="M2761" s="218"/>
      <c r="N2761" s="218"/>
      <c r="O2761" s="218"/>
      <c r="P2761" s="218"/>
      <c r="Q2761" s="222"/>
      <c r="R2761" s="222"/>
      <c r="S2761" s="218"/>
      <c r="U2761" s="218"/>
      <c r="X2761" s="218"/>
      <c r="AB2761" t="e">
        <v>#N/A</v>
      </c>
    </row>
    <row r="2762">
      <c r="A2762" s="218"/>
      <c r="C2762" s="218"/>
      <c r="F2762" s="457"/>
      <c r="G2762" s="218"/>
      <c r="H2762" s="218"/>
      <c r="I2762" s="218"/>
      <c r="J2762" s="218"/>
      <c r="K2762" s="218"/>
      <c r="L2762" s="218"/>
      <c r="M2762" s="218"/>
      <c r="N2762" s="218"/>
      <c r="O2762" s="218"/>
      <c r="P2762" s="218"/>
      <c r="Q2762" s="222"/>
      <c r="R2762" s="222"/>
      <c r="S2762" s="218"/>
      <c r="U2762" s="218"/>
      <c r="X2762" s="218"/>
      <c r="AB2762" t="e">
        <v>#N/A</v>
      </c>
    </row>
    <row r="2763">
      <c r="A2763" s="218"/>
      <c r="C2763" s="218"/>
      <c r="F2763" s="457"/>
      <c r="G2763" s="218"/>
      <c r="H2763" s="218"/>
      <c r="I2763" s="218"/>
      <c r="J2763" s="218"/>
      <c r="K2763" s="218"/>
      <c r="L2763" s="218"/>
      <c r="M2763" s="218"/>
      <c r="N2763" s="218"/>
      <c r="O2763" s="218"/>
      <c r="P2763" s="218"/>
      <c r="Q2763" s="222"/>
      <c r="R2763" s="222"/>
      <c r="S2763" s="218"/>
      <c r="U2763" s="218"/>
      <c r="X2763" s="218"/>
      <c r="AB2763" t="e">
        <v>#N/A</v>
      </c>
    </row>
    <row r="2764">
      <c r="A2764" s="218"/>
      <c r="C2764" s="218"/>
      <c r="F2764" s="457"/>
      <c r="G2764" s="218"/>
      <c r="H2764" s="218"/>
      <c r="I2764" s="218"/>
      <c r="J2764" s="218"/>
      <c r="K2764" s="218"/>
      <c r="L2764" s="218"/>
      <c r="M2764" s="218"/>
      <c r="N2764" s="218"/>
      <c r="O2764" s="218"/>
      <c r="P2764" s="218"/>
      <c r="Q2764" s="222"/>
      <c r="R2764" s="222"/>
      <c r="S2764" s="218"/>
      <c r="U2764" s="218"/>
      <c r="X2764" s="218"/>
      <c r="AB2764" t="e">
        <v>#N/A</v>
      </c>
    </row>
    <row r="2765">
      <c r="A2765" s="218"/>
      <c r="C2765" s="218"/>
      <c r="F2765" s="457"/>
      <c r="G2765" s="218"/>
      <c r="H2765" s="218"/>
      <c r="I2765" s="218"/>
      <c r="J2765" s="218"/>
      <c r="K2765" s="218"/>
      <c r="L2765" s="218"/>
      <c r="M2765" s="218"/>
      <c r="N2765" s="218"/>
      <c r="O2765" s="218"/>
      <c r="P2765" s="218"/>
      <c r="Q2765" s="222"/>
      <c r="R2765" s="222"/>
      <c r="S2765" s="218"/>
      <c r="U2765" s="218"/>
      <c r="X2765" s="218"/>
      <c r="AB2765" t="e">
        <v>#N/A</v>
      </c>
    </row>
    <row r="2766">
      <c r="A2766" s="218"/>
      <c r="C2766" s="218"/>
      <c r="F2766" s="457"/>
      <c r="G2766" s="218"/>
      <c r="H2766" s="218"/>
      <c r="I2766" s="218"/>
      <c r="J2766" s="218"/>
      <c r="K2766" s="218"/>
      <c r="L2766" s="218"/>
      <c r="M2766" s="218"/>
      <c r="N2766" s="218"/>
      <c r="O2766" s="218"/>
      <c r="P2766" s="218"/>
      <c r="Q2766" s="222"/>
      <c r="R2766" s="222"/>
      <c r="S2766" s="218"/>
      <c r="U2766" s="218"/>
      <c r="X2766" s="218"/>
      <c r="AB2766" t="e">
        <v>#N/A</v>
      </c>
    </row>
    <row r="2767">
      <c r="A2767" s="218"/>
      <c r="C2767" s="218"/>
      <c r="F2767" s="457"/>
      <c r="G2767" s="218"/>
      <c r="H2767" s="218"/>
      <c r="I2767" s="218"/>
      <c r="J2767" s="218"/>
      <c r="K2767" s="218"/>
      <c r="L2767" s="218"/>
      <c r="M2767" s="218"/>
      <c r="N2767" s="218"/>
      <c r="O2767" s="218"/>
      <c r="P2767" s="218"/>
      <c r="Q2767" s="222"/>
      <c r="R2767" s="222"/>
      <c r="S2767" s="218"/>
      <c r="U2767" s="218"/>
      <c r="X2767" s="218"/>
      <c r="AB2767" t="e">
        <v>#N/A</v>
      </c>
    </row>
    <row r="2768">
      <c r="A2768" s="218"/>
      <c r="C2768" s="218"/>
      <c r="F2768" s="457"/>
      <c r="G2768" s="218"/>
      <c r="H2768" s="218"/>
      <c r="I2768" s="218"/>
      <c r="J2768" s="218"/>
      <c r="K2768" s="218"/>
      <c r="L2768" s="218"/>
      <c r="M2768" s="218"/>
      <c r="N2768" s="218"/>
      <c r="O2768" s="218"/>
      <c r="P2768" s="218"/>
      <c r="Q2768" s="222"/>
      <c r="R2768" s="222"/>
      <c r="S2768" s="218"/>
      <c r="U2768" s="218"/>
      <c r="X2768" s="218"/>
      <c r="AB2768" t="e">
        <v>#N/A</v>
      </c>
    </row>
    <row r="2769">
      <c r="A2769" s="218"/>
      <c r="C2769" s="218"/>
      <c r="F2769" s="457"/>
      <c r="G2769" s="218"/>
      <c r="H2769" s="218"/>
      <c r="I2769" s="218"/>
      <c r="J2769" s="218"/>
      <c r="K2769" s="218"/>
      <c r="L2769" s="218"/>
      <c r="M2769" s="218"/>
      <c r="N2769" s="218"/>
      <c r="O2769" s="218"/>
      <c r="P2769" s="218"/>
      <c r="Q2769" s="222"/>
      <c r="R2769" s="222"/>
      <c r="S2769" s="218"/>
      <c r="U2769" s="218"/>
      <c r="X2769" s="218"/>
      <c r="AB2769" t="e">
        <v>#N/A</v>
      </c>
    </row>
    <row r="2770">
      <c r="A2770" s="218"/>
      <c r="C2770" s="218"/>
      <c r="F2770" s="457"/>
      <c r="G2770" s="218"/>
      <c r="H2770" s="218"/>
      <c r="I2770" s="218"/>
      <c r="J2770" s="218"/>
      <c r="K2770" s="218"/>
      <c r="L2770" s="218"/>
      <c r="M2770" s="218"/>
      <c r="N2770" s="218"/>
      <c r="O2770" s="218"/>
      <c r="P2770" s="218"/>
      <c r="Q2770" s="222"/>
      <c r="R2770" s="222"/>
      <c r="S2770" s="218"/>
      <c r="U2770" s="218"/>
      <c r="X2770" s="218"/>
      <c r="AB2770" t="e">
        <v>#N/A</v>
      </c>
    </row>
    <row r="2771">
      <c r="A2771" s="218"/>
      <c r="C2771" s="218"/>
      <c r="F2771" s="457"/>
      <c r="G2771" s="218"/>
      <c r="H2771" s="218"/>
      <c r="I2771" s="218"/>
      <c r="J2771" s="218"/>
      <c r="K2771" s="218"/>
      <c r="L2771" s="218"/>
      <c r="M2771" s="218"/>
      <c r="N2771" s="218"/>
      <c r="O2771" s="218"/>
      <c r="P2771" s="218"/>
      <c r="Q2771" s="222"/>
      <c r="R2771" s="222"/>
      <c r="S2771" s="218"/>
      <c r="U2771" s="218"/>
      <c r="X2771" s="218"/>
      <c r="AB2771" t="e">
        <v>#N/A</v>
      </c>
    </row>
    <row r="2772">
      <c r="A2772" s="218"/>
      <c r="C2772" s="218"/>
      <c r="F2772" s="457"/>
      <c r="G2772" s="218"/>
      <c r="H2772" s="218"/>
      <c r="I2772" s="218"/>
      <c r="J2772" s="218"/>
      <c r="K2772" s="218"/>
      <c r="L2772" s="218"/>
      <c r="M2772" s="218"/>
      <c r="N2772" s="218"/>
      <c r="O2772" s="218"/>
      <c r="P2772" s="218"/>
      <c r="Q2772" s="222"/>
      <c r="R2772" s="222"/>
      <c r="S2772" s="218"/>
      <c r="U2772" s="218"/>
      <c r="X2772" s="218"/>
      <c r="AB2772" t="e">
        <v>#N/A</v>
      </c>
    </row>
    <row r="2773">
      <c r="A2773" s="218"/>
      <c r="C2773" s="218"/>
      <c r="F2773" s="457"/>
      <c r="G2773" s="218"/>
      <c r="H2773" s="218"/>
      <c r="I2773" s="218"/>
      <c r="J2773" s="218"/>
      <c r="K2773" s="218"/>
      <c r="L2773" s="218"/>
      <c r="M2773" s="218"/>
      <c r="N2773" s="218"/>
      <c r="O2773" s="218"/>
      <c r="P2773" s="218"/>
      <c r="Q2773" s="222"/>
      <c r="R2773" s="222"/>
      <c r="S2773" s="218"/>
      <c r="U2773" s="218"/>
      <c r="X2773" s="218"/>
      <c r="AB2773" t="e">
        <v>#N/A</v>
      </c>
    </row>
    <row r="2774">
      <c r="A2774" s="218"/>
      <c r="C2774" s="218"/>
      <c r="F2774" s="457"/>
      <c r="G2774" s="218"/>
      <c r="H2774" s="218"/>
      <c r="I2774" s="218"/>
      <c r="J2774" s="218"/>
      <c r="K2774" s="218"/>
      <c r="L2774" s="218"/>
      <c r="M2774" s="218"/>
      <c r="N2774" s="218"/>
      <c r="O2774" s="218"/>
      <c r="P2774" s="218"/>
      <c r="Q2774" s="222"/>
      <c r="R2774" s="222"/>
      <c r="S2774" s="218"/>
      <c r="U2774" s="218"/>
      <c r="X2774" s="218"/>
      <c r="AB2774" t="e">
        <v>#N/A</v>
      </c>
    </row>
    <row r="2775">
      <c r="A2775" s="218"/>
      <c r="C2775" s="218"/>
      <c r="F2775" s="457"/>
      <c r="G2775" s="218"/>
      <c r="H2775" s="218"/>
      <c r="I2775" s="218"/>
      <c r="J2775" s="218"/>
      <c r="K2775" s="218"/>
      <c r="L2775" s="218"/>
      <c r="M2775" s="218"/>
      <c r="N2775" s="218"/>
      <c r="O2775" s="218"/>
      <c r="P2775" s="218"/>
      <c r="Q2775" s="222"/>
      <c r="R2775" s="222"/>
      <c r="S2775" s="218"/>
      <c r="U2775" s="218"/>
      <c r="X2775" s="218"/>
      <c r="AB2775" t="e">
        <v>#N/A</v>
      </c>
    </row>
    <row r="2776">
      <c r="A2776" s="218"/>
      <c r="C2776" s="218"/>
      <c r="F2776" s="457"/>
      <c r="G2776" s="218"/>
      <c r="H2776" s="218"/>
      <c r="I2776" s="218"/>
      <c r="J2776" s="218"/>
      <c r="K2776" s="218"/>
      <c r="L2776" s="218"/>
      <c r="M2776" s="218"/>
      <c r="N2776" s="218"/>
      <c r="O2776" s="218"/>
      <c r="P2776" s="218"/>
      <c r="Q2776" s="222"/>
      <c r="R2776" s="222"/>
      <c r="S2776" s="218"/>
      <c r="U2776" s="218"/>
      <c r="X2776" s="218"/>
      <c r="AB2776" t="e">
        <v>#N/A</v>
      </c>
    </row>
    <row r="2777">
      <c r="A2777" s="218"/>
      <c r="C2777" s="218"/>
      <c r="F2777" s="457"/>
      <c r="G2777" s="218"/>
      <c r="H2777" s="218"/>
      <c r="I2777" s="218"/>
      <c r="J2777" s="218"/>
      <c r="K2777" s="218"/>
      <c r="L2777" s="218"/>
      <c r="M2777" s="218"/>
      <c r="N2777" s="218"/>
      <c r="O2777" s="218"/>
      <c r="P2777" s="218"/>
      <c r="Q2777" s="222"/>
      <c r="R2777" s="222"/>
      <c r="S2777" s="218"/>
      <c r="U2777" s="218"/>
      <c r="X2777" s="218"/>
      <c r="AB2777" t="e">
        <v>#N/A</v>
      </c>
    </row>
    <row r="2778">
      <c r="A2778" s="218"/>
      <c r="C2778" s="218"/>
      <c r="F2778" s="457"/>
      <c r="G2778" s="218"/>
      <c r="H2778" s="218"/>
      <c r="I2778" s="218"/>
      <c r="J2778" s="218"/>
      <c r="K2778" s="218"/>
      <c r="L2778" s="218"/>
      <c r="M2778" s="218"/>
      <c r="N2778" s="218"/>
      <c r="O2778" s="218"/>
      <c r="P2778" s="218"/>
      <c r="Q2778" s="222"/>
      <c r="R2778" s="222"/>
      <c r="S2778" s="218"/>
      <c r="U2778" s="218"/>
      <c r="X2778" s="218"/>
      <c r="AB2778" t="e">
        <v>#N/A</v>
      </c>
    </row>
    <row r="2779">
      <c r="A2779" s="218"/>
      <c r="C2779" s="218"/>
      <c r="F2779" s="457"/>
      <c r="G2779" s="218"/>
      <c r="H2779" s="218"/>
      <c r="I2779" s="218"/>
      <c r="J2779" s="218"/>
      <c r="K2779" s="218"/>
      <c r="L2779" s="218"/>
      <c r="M2779" s="218"/>
      <c r="N2779" s="218"/>
      <c r="O2779" s="218"/>
      <c r="P2779" s="218"/>
      <c r="Q2779" s="222"/>
      <c r="R2779" s="222"/>
      <c r="S2779" s="218"/>
      <c r="U2779" s="218"/>
      <c r="X2779" s="218"/>
      <c r="AB2779" t="e">
        <v>#N/A</v>
      </c>
    </row>
    <row r="2780">
      <c r="A2780" s="218"/>
      <c r="C2780" s="218"/>
      <c r="F2780" s="457"/>
      <c r="G2780" s="218"/>
      <c r="H2780" s="218"/>
      <c r="I2780" s="218"/>
      <c r="J2780" s="218"/>
      <c r="K2780" s="218"/>
      <c r="L2780" s="218"/>
      <c r="M2780" s="218"/>
      <c r="N2780" s="218"/>
      <c r="O2780" s="218"/>
      <c r="P2780" s="218"/>
      <c r="Q2780" s="222"/>
      <c r="R2780" s="222"/>
      <c r="S2780" s="218"/>
      <c r="U2780" s="218"/>
      <c r="X2780" s="218"/>
      <c r="AB2780" t="e">
        <v>#N/A</v>
      </c>
    </row>
    <row r="2781">
      <c r="A2781" s="218"/>
      <c r="C2781" s="218"/>
      <c r="F2781" s="457"/>
      <c r="G2781" s="218"/>
      <c r="H2781" s="218"/>
      <c r="I2781" s="218"/>
      <c r="J2781" s="218"/>
      <c r="K2781" s="218"/>
      <c r="L2781" s="218"/>
      <c r="M2781" s="218"/>
      <c r="N2781" s="218"/>
      <c r="O2781" s="218"/>
      <c r="P2781" s="218"/>
      <c r="Q2781" s="222"/>
      <c r="R2781" s="222"/>
      <c r="S2781" s="218"/>
      <c r="U2781" s="218"/>
      <c r="X2781" s="218"/>
      <c r="AB2781" t="e">
        <v>#N/A</v>
      </c>
    </row>
    <row r="2782">
      <c r="A2782" s="218"/>
      <c r="C2782" s="218"/>
      <c r="F2782" s="457"/>
      <c r="G2782" s="218"/>
      <c r="H2782" s="218"/>
      <c r="I2782" s="218"/>
      <c r="J2782" s="218"/>
      <c r="K2782" s="218"/>
      <c r="L2782" s="218"/>
      <c r="M2782" s="218"/>
      <c r="N2782" s="218"/>
      <c r="O2782" s="218"/>
      <c r="P2782" s="218"/>
      <c r="Q2782" s="222"/>
      <c r="R2782" s="222"/>
      <c r="S2782" s="218"/>
      <c r="U2782" s="218"/>
      <c r="X2782" s="218"/>
      <c r="AB2782" t="e">
        <v>#N/A</v>
      </c>
    </row>
    <row r="2783">
      <c r="A2783" s="218"/>
      <c r="C2783" s="218"/>
      <c r="F2783" s="457"/>
      <c r="G2783" s="218"/>
      <c r="H2783" s="218"/>
      <c r="I2783" s="218"/>
      <c r="J2783" s="218"/>
      <c r="K2783" s="218"/>
      <c r="L2783" s="218"/>
      <c r="M2783" s="218"/>
      <c r="N2783" s="218"/>
      <c r="O2783" s="218"/>
      <c r="P2783" s="218"/>
      <c r="Q2783" s="222"/>
      <c r="R2783" s="222"/>
      <c r="S2783" s="218"/>
      <c r="U2783" s="218"/>
      <c r="X2783" s="218"/>
      <c r="AB2783" t="e">
        <v>#N/A</v>
      </c>
    </row>
    <row r="2784">
      <c r="A2784" s="218"/>
      <c r="C2784" s="218"/>
      <c r="F2784" s="457"/>
      <c r="G2784" s="218"/>
      <c r="H2784" s="218"/>
      <c r="I2784" s="218"/>
      <c r="J2784" s="218"/>
      <c r="K2784" s="218"/>
      <c r="L2784" s="218"/>
      <c r="M2784" s="218"/>
      <c r="N2784" s="218"/>
      <c r="O2784" s="218"/>
      <c r="P2784" s="218"/>
      <c r="Q2784" s="222"/>
      <c r="R2784" s="222"/>
      <c r="S2784" s="218"/>
      <c r="U2784" s="218"/>
      <c r="X2784" s="218"/>
      <c r="AB2784" t="e">
        <v>#N/A</v>
      </c>
    </row>
    <row r="2785">
      <c r="A2785" s="218"/>
      <c r="C2785" s="218"/>
      <c r="F2785" s="457"/>
      <c r="G2785" s="218"/>
      <c r="H2785" s="218"/>
      <c r="I2785" s="218"/>
      <c r="J2785" s="218"/>
      <c r="K2785" s="218"/>
      <c r="L2785" s="218"/>
      <c r="M2785" s="218"/>
      <c r="N2785" s="218"/>
      <c r="O2785" s="218"/>
      <c r="P2785" s="218"/>
      <c r="Q2785" s="222"/>
      <c r="R2785" s="222"/>
      <c r="S2785" s="218"/>
      <c r="U2785" s="218"/>
      <c r="X2785" s="218"/>
      <c r="AB2785" t="e">
        <v>#N/A</v>
      </c>
    </row>
    <row r="2786">
      <c r="A2786" s="218"/>
      <c r="C2786" s="218"/>
      <c r="F2786" s="457"/>
      <c r="G2786" s="218"/>
      <c r="H2786" s="218"/>
      <c r="I2786" s="218"/>
      <c r="J2786" s="218"/>
      <c r="K2786" s="218"/>
      <c r="L2786" s="218"/>
      <c r="M2786" s="218"/>
      <c r="N2786" s="218"/>
      <c r="O2786" s="218"/>
      <c r="P2786" s="218"/>
      <c r="Q2786" s="222"/>
      <c r="R2786" s="222"/>
      <c r="S2786" s="218"/>
      <c r="U2786" s="218"/>
      <c r="X2786" s="218"/>
      <c r="AB2786" t="e">
        <v>#N/A</v>
      </c>
    </row>
    <row r="2787">
      <c r="A2787" s="218"/>
      <c r="C2787" s="218"/>
      <c r="F2787" s="457"/>
      <c r="G2787" s="218"/>
      <c r="H2787" s="218"/>
      <c r="I2787" s="218"/>
      <c r="J2787" s="218"/>
      <c r="K2787" s="218"/>
      <c r="L2787" s="218"/>
      <c r="M2787" s="218"/>
      <c r="N2787" s="218"/>
      <c r="O2787" s="218"/>
      <c r="P2787" s="218"/>
      <c r="Q2787" s="222"/>
      <c r="R2787" s="222"/>
      <c r="S2787" s="218"/>
      <c r="U2787" s="218"/>
      <c r="X2787" s="218"/>
      <c r="AB2787" t="e">
        <v>#N/A</v>
      </c>
    </row>
    <row r="2788">
      <c r="A2788" s="218"/>
      <c r="C2788" s="218"/>
      <c r="F2788" s="457"/>
      <c r="G2788" s="218"/>
      <c r="H2788" s="218"/>
      <c r="I2788" s="218"/>
      <c r="J2788" s="218"/>
      <c r="K2788" s="218"/>
      <c r="L2788" s="218"/>
      <c r="M2788" s="218"/>
      <c r="N2788" s="218"/>
      <c r="O2788" s="218"/>
      <c r="P2788" s="218"/>
      <c r="Q2788" s="222"/>
      <c r="R2788" s="222"/>
      <c r="S2788" s="218"/>
      <c r="U2788" s="218"/>
      <c r="X2788" s="218"/>
      <c r="AB2788" t="e">
        <v>#N/A</v>
      </c>
    </row>
    <row r="2789">
      <c r="A2789" s="218"/>
      <c r="C2789" s="218"/>
      <c r="F2789" s="457"/>
      <c r="G2789" s="218"/>
      <c r="H2789" s="218"/>
      <c r="I2789" s="218"/>
      <c r="J2789" s="218"/>
      <c r="K2789" s="218"/>
      <c r="L2789" s="218"/>
      <c r="M2789" s="218"/>
      <c r="N2789" s="218"/>
      <c r="O2789" s="218"/>
      <c r="P2789" s="218"/>
      <c r="Q2789" s="222"/>
      <c r="R2789" s="222"/>
      <c r="S2789" s="218"/>
      <c r="U2789" s="218"/>
      <c r="X2789" s="218"/>
      <c r="AB2789" t="e">
        <v>#N/A</v>
      </c>
    </row>
    <row r="2790">
      <c r="A2790" s="218"/>
      <c r="C2790" s="218"/>
      <c r="F2790" s="457"/>
      <c r="G2790" s="218"/>
      <c r="H2790" s="218"/>
      <c r="I2790" s="218"/>
      <c r="J2790" s="218"/>
      <c r="K2790" s="218"/>
      <c r="L2790" s="218"/>
      <c r="M2790" s="218"/>
      <c r="N2790" s="218"/>
      <c r="O2790" s="218"/>
      <c r="P2790" s="218"/>
      <c r="Q2790" s="222"/>
      <c r="R2790" s="222"/>
      <c r="S2790" s="218"/>
      <c r="U2790" s="218"/>
      <c r="X2790" s="218"/>
      <c r="AB2790" t="e">
        <v>#N/A</v>
      </c>
    </row>
    <row r="2791">
      <c r="A2791" s="218"/>
      <c r="C2791" s="218"/>
      <c r="F2791" s="457"/>
      <c r="G2791" s="218"/>
      <c r="H2791" s="218"/>
      <c r="I2791" s="218"/>
      <c r="J2791" s="218"/>
      <c r="K2791" s="218"/>
      <c r="L2791" s="218"/>
      <c r="M2791" s="218"/>
      <c r="N2791" s="218"/>
      <c r="O2791" s="218"/>
      <c r="P2791" s="218"/>
      <c r="Q2791" s="222"/>
      <c r="R2791" s="222"/>
      <c r="S2791" s="218"/>
      <c r="U2791" s="218"/>
      <c r="X2791" s="218"/>
      <c r="AB2791" t="e">
        <v>#N/A</v>
      </c>
    </row>
    <row r="2792">
      <c r="A2792" s="218"/>
      <c r="C2792" s="218"/>
      <c r="F2792" s="457"/>
      <c r="G2792" s="218"/>
      <c r="H2792" s="218"/>
      <c r="I2792" s="218"/>
      <c r="J2792" s="218"/>
      <c r="K2792" s="218"/>
      <c r="L2792" s="218"/>
      <c r="M2792" s="218"/>
      <c r="N2792" s="218"/>
      <c r="O2792" s="218"/>
      <c r="P2792" s="218"/>
      <c r="Q2792" s="222"/>
      <c r="R2792" s="222"/>
      <c r="S2792" s="218"/>
      <c r="U2792" s="218"/>
      <c r="X2792" s="218"/>
      <c r="AB2792" t="e">
        <v>#N/A</v>
      </c>
    </row>
    <row r="2793">
      <c r="A2793" s="218"/>
      <c r="C2793" s="218"/>
      <c r="F2793" s="457"/>
      <c r="G2793" s="218"/>
      <c r="H2793" s="218"/>
      <c r="I2793" s="218"/>
      <c r="J2793" s="218"/>
      <c r="K2793" s="218"/>
      <c r="L2793" s="218"/>
      <c r="M2793" s="218"/>
      <c r="N2793" s="218"/>
      <c r="O2793" s="218"/>
      <c r="P2793" s="218"/>
      <c r="Q2793" s="222"/>
      <c r="R2793" s="222"/>
      <c r="S2793" s="218"/>
      <c r="U2793" s="218"/>
      <c r="X2793" s="218"/>
      <c r="AB2793" t="e">
        <v>#N/A</v>
      </c>
    </row>
    <row r="2794">
      <c r="A2794" s="218"/>
      <c r="C2794" s="218"/>
      <c r="F2794" s="457"/>
      <c r="G2794" s="218"/>
      <c r="H2794" s="218"/>
      <c r="I2794" s="218"/>
      <c r="J2794" s="218"/>
      <c r="K2794" s="218"/>
      <c r="L2794" s="218"/>
      <c r="M2794" s="218"/>
      <c r="N2794" s="218"/>
      <c r="O2794" s="218"/>
      <c r="P2794" s="218"/>
      <c r="Q2794" s="222"/>
      <c r="R2794" s="222"/>
      <c r="S2794" s="218"/>
      <c r="U2794" s="218"/>
      <c r="X2794" s="218"/>
      <c r="AB2794" t="e">
        <v>#N/A</v>
      </c>
    </row>
    <row r="2795">
      <c r="A2795" s="218"/>
      <c r="C2795" s="218"/>
      <c r="F2795" s="457"/>
      <c r="G2795" s="218"/>
      <c r="H2795" s="218"/>
      <c r="I2795" s="218"/>
      <c r="J2795" s="218"/>
      <c r="K2795" s="218"/>
      <c r="L2795" s="218"/>
      <c r="M2795" s="218"/>
      <c r="N2795" s="218"/>
      <c r="O2795" s="218"/>
      <c r="P2795" s="218"/>
      <c r="Q2795" s="222"/>
      <c r="R2795" s="222"/>
      <c r="S2795" s="218"/>
      <c r="U2795" s="218"/>
      <c r="X2795" s="218"/>
      <c r="AB2795" t="e">
        <v>#N/A</v>
      </c>
    </row>
    <row r="2796">
      <c r="A2796" s="218"/>
      <c r="C2796" s="218"/>
      <c r="F2796" s="457"/>
      <c r="G2796" s="218"/>
      <c r="H2796" s="218"/>
      <c r="I2796" s="218"/>
      <c r="J2796" s="218"/>
      <c r="K2796" s="218"/>
      <c r="L2796" s="218"/>
      <c r="M2796" s="218"/>
      <c r="N2796" s="218"/>
      <c r="O2796" s="218"/>
      <c r="P2796" s="218"/>
      <c r="Q2796" s="222"/>
      <c r="R2796" s="222"/>
      <c r="S2796" s="218"/>
      <c r="U2796" s="218"/>
      <c r="X2796" s="218"/>
      <c r="AB2796" t="e">
        <v>#N/A</v>
      </c>
    </row>
    <row r="2797">
      <c r="A2797" s="218"/>
      <c r="C2797" s="218"/>
      <c r="F2797" s="457"/>
      <c r="G2797" s="218"/>
      <c r="H2797" s="218"/>
      <c r="I2797" s="218"/>
      <c r="J2797" s="218"/>
      <c r="K2797" s="218"/>
      <c r="L2797" s="218"/>
      <c r="M2797" s="218"/>
      <c r="N2797" s="218"/>
      <c r="O2797" s="218"/>
      <c r="P2797" s="218"/>
      <c r="Q2797" s="222"/>
      <c r="R2797" s="222"/>
      <c r="S2797" s="218"/>
      <c r="U2797" s="218"/>
      <c r="X2797" s="218"/>
      <c r="AB2797" t="e">
        <v>#N/A</v>
      </c>
    </row>
    <row r="2798">
      <c r="A2798" s="218"/>
      <c r="C2798" s="218"/>
      <c r="F2798" s="457"/>
      <c r="G2798" s="218"/>
      <c r="H2798" s="218"/>
      <c r="I2798" s="218"/>
      <c r="J2798" s="218"/>
      <c r="K2798" s="218"/>
      <c r="L2798" s="218"/>
      <c r="M2798" s="218"/>
      <c r="N2798" s="218"/>
      <c r="O2798" s="218"/>
      <c r="P2798" s="218"/>
      <c r="Q2798" s="222"/>
      <c r="R2798" s="222"/>
      <c r="S2798" s="218"/>
      <c r="U2798" s="218"/>
      <c r="X2798" s="218"/>
      <c r="AB2798" t="e">
        <v>#N/A</v>
      </c>
    </row>
    <row r="2799">
      <c r="A2799" s="218"/>
      <c r="C2799" s="218"/>
      <c r="F2799" s="457"/>
      <c r="G2799" s="218"/>
      <c r="H2799" s="218"/>
      <c r="I2799" s="218"/>
      <c r="J2799" s="218"/>
      <c r="K2799" s="218"/>
      <c r="L2799" s="218"/>
      <c r="M2799" s="218"/>
      <c r="N2799" s="218"/>
      <c r="O2799" s="218"/>
      <c r="P2799" s="218"/>
      <c r="Q2799" s="222"/>
      <c r="R2799" s="222"/>
      <c r="S2799" s="218"/>
      <c r="U2799" s="218"/>
      <c r="X2799" s="218"/>
      <c r="AB2799" t="e">
        <v>#N/A</v>
      </c>
    </row>
    <row r="2800">
      <c r="A2800" s="218"/>
      <c r="C2800" s="218"/>
      <c r="F2800" s="457"/>
      <c r="G2800" s="218"/>
      <c r="H2800" s="218"/>
      <c r="I2800" s="218"/>
      <c r="J2800" s="218"/>
      <c r="K2800" s="218"/>
      <c r="L2800" s="218"/>
      <c r="M2800" s="218"/>
      <c r="N2800" s="218"/>
      <c r="O2800" s="218"/>
      <c r="P2800" s="218"/>
      <c r="Q2800" s="222"/>
      <c r="R2800" s="222"/>
      <c r="S2800" s="218"/>
      <c r="U2800" s="218"/>
      <c r="X2800" s="218"/>
      <c r="AB2800" t="e">
        <v>#N/A</v>
      </c>
    </row>
    <row r="2801">
      <c r="A2801" s="218"/>
      <c r="C2801" s="218"/>
      <c r="F2801" s="457"/>
      <c r="G2801" s="218"/>
      <c r="H2801" s="218"/>
      <c r="I2801" s="218"/>
      <c r="J2801" s="218"/>
      <c r="K2801" s="218"/>
      <c r="L2801" s="218"/>
      <c r="M2801" s="218"/>
      <c r="N2801" s="218"/>
      <c r="O2801" s="218"/>
      <c r="P2801" s="218"/>
      <c r="Q2801" s="222"/>
      <c r="R2801" s="222"/>
      <c r="S2801" s="218"/>
      <c r="U2801" s="218"/>
      <c r="X2801" s="218"/>
      <c r="AB2801" t="e">
        <v>#N/A</v>
      </c>
    </row>
    <row r="2802">
      <c r="A2802" s="218"/>
      <c r="C2802" s="218"/>
      <c r="F2802" s="457"/>
      <c r="G2802" s="218"/>
      <c r="H2802" s="218"/>
      <c r="I2802" s="218"/>
      <c r="J2802" s="218"/>
      <c r="K2802" s="218"/>
      <c r="L2802" s="218"/>
      <c r="M2802" s="218"/>
      <c r="N2802" s="218"/>
      <c r="O2802" s="218"/>
      <c r="P2802" s="218"/>
      <c r="Q2802" s="222"/>
      <c r="R2802" s="222"/>
      <c r="S2802" s="218"/>
      <c r="U2802" s="218"/>
      <c r="X2802" s="218"/>
      <c r="AB2802" t="e">
        <v>#N/A</v>
      </c>
    </row>
    <row r="2803">
      <c r="A2803" s="218"/>
      <c r="C2803" s="218"/>
      <c r="F2803" s="457"/>
      <c r="G2803" s="218"/>
      <c r="H2803" s="218"/>
      <c r="I2803" s="218"/>
      <c r="J2803" s="218"/>
      <c r="K2803" s="218"/>
      <c r="L2803" s="218"/>
      <c r="M2803" s="218"/>
      <c r="N2803" s="218"/>
      <c r="O2803" s="218"/>
      <c r="P2803" s="218"/>
      <c r="Q2803" s="222"/>
      <c r="R2803" s="222"/>
      <c r="S2803" s="218"/>
      <c r="U2803" s="218"/>
      <c r="X2803" s="218"/>
      <c r="AB2803" t="e">
        <v>#N/A</v>
      </c>
    </row>
    <row r="2804">
      <c r="A2804" s="218"/>
      <c r="C2804" s="218"/>
      <c r="F2804" s="457"/>
      <c r="G2804" s="218"/>
      <c r="H2804" s="218"/>
      <c r="I2804" s="218"/>
      <c r="J2804" s="218"/>
      <c r="K2804" s="218"/>
      <c r="L2804" s="218"/>
      <c r="M2804" s="218"/>
      <c r="N2804" s="218"/>
      <c r="O2804" s="218"/>
      <c r="P2804" s="218"/>
      <c r="Q2804" s="222"/>
      <c r="R2804" s="222"/>
      <c r="S2804" s="218"/>
      <c r="U2804" s="218"/>
      <c r="X2804" s="218"/>
      <c r="AB2804" t="e">
        <v>#N/A</v>
      </c>
    </row>
    <row r="2805">
      <c r="A2805" s="218"/>
      <c r="C2805" s="218"/>
      <c r="F2805" s="457"/>
      <c r="G2805" s="218"/>
      <c r="H2805" s="218"/>
      <c r="I2805" s="218"/>
      <c r="J2805" s="218"/>
      <c r="K2805" s="218"/>
      <c r="L2805" s="218"/>
      <c r="M2805" s="218"/>
      <c r="N2805" s="218"/>
      <c r="O2805" s="218"/>
      <c r="P2805" s="218"/>
      <c r="Q2805" s="222"/>
      <c r="R2805" s="222"/>
      <c r="S2805" s="218"/>
      <c r="U2805" s="218"/>
      <c r="X2805" s="218"/>
      <c r="AB2805" t="e">
        <v>#N/A</v>
      </c>
    </row>
    <row r="2806">
      <c r="A2806" s="218"/>
      <c r="C2806" s="218"/>
      <c r="F2806" s="457"/>
      <c r="G2806" s="218"/>
      <c r="H2806" s="218"/>
      <c r="I2806" s="218"/>
      <c r="J2806" s="218"/>
      <c r="K2806" s="218"/>
      <c r="L2806" s="218"/>
      <c r="M2806" s="218"/>
      <c r="N2806" s="218"/>
      <c r="O2806" s="218"/>
      <c r="P2806" s="218"/>
      <c r="Q2806" s="222"/>
      <c r="R2806" s="222"/>
      <c r="S2806" s="218"/>
      <c r="U2806" s="218"/>
      <c r="X2806" s="218"/>
      <c r="AB2806" t="e">
        <v>#N/A</v>
      </c>
    </row>
    <row r="2807">
      <c r="A2807" s="218"/>
      <c r="C2807" s="218"/>
      <c r="F2807" s="457"/>
      <c r="G2807" s="218"/>
      <c r="H2807" s="218"/>
      <c r="I2807" s="218"/>
      <c r="J2807" s="218"/>
      <c r="K2807" s="218"/>
      <c r="L2807" s="218"/>
      <c r="M2807" s="218"/>
      <c r="N2807" s="218"/>
      <c r="O2807" s="218"/>
      <c r="P2807" s="218"/>
      <c r="Q2807" s="222"/>
      <c r="R2807" s="222"/>
      <c r="S2807" s="218"/>
      <c r="U2807" s="218"/>
      <c r="X2807" s="218"/>
      <c r="AB2807" t="e">
        <v>#N/A</v>
      </c>
    </row>
    <row r="2808">
      <c r="A2808" s="218"/>
      <c r="C2808" s="218"/>
      <c r="F2808" s="457"/>
      <c r="G2808" s="218"/>
      <c r="H2808" s="218"/>
      <c r="I2808" s="218"/>
      <c r="J2808" s="218"/>
      <c r="K2808" s="218"/>
      <c r="L2808" s="218"/>
      <c r="M2808" s="218"/>
      <c r="N2808" s="218"/>
      <c r="O2808" s="218"/>
      <c r="P2808" s="218"/>
      <c r="Q2808" s="222"/>
      <c r="R2808" s="222"/>
      <c r="S2808" s="218"/>
      <c r="U2808" s="218"/>
      <c r="X2808" s="218"/>
      <c r="AB2808" t="e">
        <v>#N/A</v>
      </c>
    </row>
    <row r="2809">
      <c r="A2809" s="218"/>
      <c r="C2809" s="218"/>
      <c r="F2809" s="457"/>
      <c r="G2809" s="218"/>
      <c r="H2809" s="218"/>
      <c r="I2809" s="218"/>
      <c r="J2809" s="218"/>
      <c r="K2809" s="218"/>
      <c r="L2809" s="218"/>
      <c r="M2809" s="218"/>
      <c r="N2809" s="218"/>
      <c r="O2809" s="218"/>
      <c r="P2809" s="218"/>
      <c r="Q2809" s="222"/>
      <c r="R2809" s="222"/>
      <c r="S2809" s="218"/>
      <c r="U2809" s="218"/>
      <c r="X2809" s="218"/>
      <c r="AB2809" t="e">
        <v>#N/A</v>
      </c>
    </row>
    <row r="2810">
      <c r="A2810" s="218"/>
      <c r="C2810" s="218"/>
      <c r="F2810" s="457"/>
      <c r="G2810" s="218"/>
      <c r="H2810" s="218"/>
      <c r="I2810" s="218"/>
      <c r="J2810" s="218"/>
      <c r="K2810" s="218"/>
      <c r="L2810" s="218"/>
      <c r="M2810" s="218"/>
      <c r="N2810" s="218"/>
      <c r="O2810" s="218"/>
      <c r="P2810" s="218"/>
      <c r="Q2810" s="222"/>
      <c r="R2810" s="222"/>
      <c r="S2810" s="218"/>
      <c r="U2810" s="218"/>
      <c r="X2810" s="218"/>
      <c r="AB2810" t="e">
        <v>#N/A</v>
      </c>
    </row>
    <row r="2811">
      <c r="A2811" s="218"/>
      <c r="C2811" s="218"/>
      <c r="F2811" s="457"/>
      <c r="G2811" s="218"/>
      <c r="H2811" s="218"/>
      <c r="I2811" s="218"/>
      <c r="J2811" s="218"/>
      <c r="K2811" s="218"/>
      <c r="L2811" s="218"/>
      <c r="M2811" s="218"/>
      <c r="N2811" s="218"/>
      <c r="O2811" s="218"/>
      <c r="P2811" s="218"/>
      <c r="Q2811" s="222"/>
      <c r="R2811" s="222"/>
      <c r="S2811" s="218"/>
      <c r="U2811" s="218"/>
      <c r="X2811" s="218"/>
      <c r="AB2811" t="e">
        <v>#N/A</v>
      </c>
    </row>
    <row r="2812">
      <c r="A2812" s="218"/>
      <c r="C2812" s="218"/>
      <c r="F2812" s="457"/>
      <c r="G2812" s="218"/>
      <c r="H2812" s="218"/>
      <c r="I2812" s="218"/>
      <c r="J2812" s="218"/>
      <c r="K2812" s="218"/>
      <c r="L2812" s="218"/>
      <c r="M2812" s="218"/>
      <c r="N2812" s="218"/>
      <c r="O2812" s="218"/>
      <c r="P2812" s="218"/>
      <c r="Q2812" s="222"/>
      <c r="R2812" s="222"/>
      <c r="S2812" s="218"/>
      <c r="U2812" s="218"/>
      <c r="X2812" s="218"/>
      <c r="AB2812" t="e">
        <v>#N/A</v>
      </c>
    </row>
    <row r="2813">
      <c r="A2813" s="218"/>
      <c r="C2813" s="218"/>
      <c r="F2813" s="457"/>
      <c r="G2813" s="218"/>
      <c r="H2813" s="218"/>
      <c r="I2813" s="218"/>
      <c r="J2813" s="218"/>
      <c r="K2813" s="218"/>
      <c r="L2813" s="218"/>
      <c r="M2813" s="218"/>
      <c r="N2813" s="218"/>
      <c r="O2813" s="218"/>
      <c r="P2813" s="218"/>
      <c r="Q2813" s="222"/>
      <c r="R2813" s="222"/>
      <c r="S2813" s="218"/>
      <c r="U2813" s="218"/>
      <c r="X2813" s="218"/>
      <c r="AB2813" t="e">
        <v>#N/A</v>
      </c>
    </row>
    <row r="2814">
      <c r="A2814" s="218"/>
      <c r="C2814" s="218"/>
      <c r="F2814" s="457"/>
      <c r="G2814" s="218"/>
      <c r="H2814" s="218"/>
      <c r="I2814" s="218"/>
      <c r="J2814" s="218"/>
      <c r="K2814" s="218"/>
      <c r="L2814" s="218"/>
      <c r="M2814" s="218"/>
      <c r="N2814" s="218"/>
      <c r="O2814" s="218"/>
      <c r="P2814" s="218"/>
      <c r="Q2814" s="222"/>
      <c r="R2814" s="222"/>
      <c r="S2814" s="218"/>
      <c r="U2814" s="218"/>
      <c r="X2814" s="218"/>
      <c r="AB2814" t="e">
        <v>#N/A</v>
      </c>
    </row>
    <row r="2815">
      <c r="A2815" s="218"/>
      <c r="C2815" s="218"/>
      <c r="F2815" s="457"/>
      <c r="G2815" s="218"/>
      <c r="H2815" s="218"/>
      <c r="I2815" s="218"/>
      <c r="J2815" s="218"/>
      <c r="K2815" s="218"/>
      <c r="L2815" s="218"/>
      <c r="M2815" s="218"/>
      <c r="N2815" s="218"/>
      <c r="O2815" s="218"/>
      <c r="P2815" s="218"/>
      <c r="Q2815" s="222"/>
      <c r="R2815" s="222"/>
      <c r="S2815" s="218"/>
      <c r="U2815" s="218"/>
      <c r="X2815" s="218"/>
      <c r="AB2815" t="e">
        <v>#N/A</v>
      </c>
    </row>
    <row r="2816">
      <c r="A2816" s="218"/>
      <c r="C2816" s="218"/>
      <c r="F2816" s="457"/>
      <c r="G2816" s="218"/>
      <c r="H2816" s="218"/>
      <c r="I2816" s="218"/>
      <c r="J2816" s="218"/>
      <c r="K2816" s="218"/>
      <c r="L2816" s="218"/>
      <c r="M2816" s="218"/>
      <c r="N2816" s="218"/>
      <c r="O2816" s="218"/>
      <c r="P2816" s="218"/>
      <c r="Q2816" s="222"/>
      <c r="R2816" s="222"/>
      <c r="S2816" s="218"/>
      <c r="U2816" s="218"/>
      <c r="X2816" s="218"/>
      <c r="AB2816" t="e">
        <v>#N/A</v>
      </c>
    </row>
    <row r="2817">
      <c r="A2817" s="218"/>
      <c r="C2817" s="218"/>
      <c r="F2817" s="457"/>
      <c r="G2817" s="218"/>
      <c r="H2817" s="218"/>
      <c r="I2817" s="218"/>
      <c r="J2817" s="218"/>
      <c r="K2817" s="218"/>
      <c r="L2817" s="218"/>
      <c r="M2817" s="218"/>
      <c r="N2817" s="218"/>
      <c r="O2817" s="218"/>
      <c r="P2817" s="218"/>
      <c r="Q2817" s="222"/>
      <c r="R2817" s="222"/>
      <c r="S2817" s="218"/>
      <c r="U2817" s="218"/>
      <c r="X2817" s="218"/>
      <c r="AB2817" t="e">
        <v>#N/A</v>
      </c>
    </row>
    <row r="2818">
      <c r="A2818" s="218"/>
      <c r="C2818" s="218"/>
      <c r="F2818" s="457"/>
      <c r="G2818" s="218"/>
      <c r="H2818" s="218"/>
      <c r="I2818" s="218"/>
      <c r="J2818" s="218"/>
      <c r="K2818" s="218"/>
      <c r="L2818" s="218"/>
      <c r="M2818" s="218"/>
      <c r="N2818" s="218"/>
      <c r="O2818" s="218"/>
      <c r="P2818" s="218"/>
      <c r="Q2818" s="222"/>
      <c r="R2818" s="222"/>
      <c r="S2818" s="218"/>
      <c r="U2818" s="218"/>
      <c r="X2818" s="218"/>
      <c r="AB2818" t="e">
        <v>#N/A</v>
      </c>
    </row>
    <row r="2819">
      <c r="A2819" s="218"/>
      <c r="C2819" s="218"/>
      <c r="F2819" s="457"/>
      <c r="G2819" s="218"/>
      <c r="H2819" s="218"/>
      <c r="I2819" s="218"/>
      <c r="J2819" s="218"/>
      <c r="K2819" s="218"/>
      <c r="L2819" s="218"/>
      <c r="M2819" s="218"/>
      <c r="N2819" s="218"/>
      <c r="O2819" s="218"/>
      <c r="P2819" s="218"/>
      <c r="Q2819" s="222"/>
      <c r="R2819" s="222"/>
      <c r="S2819" s="218"/>
      <c r="U2819" s="218"/>
      <c r="X2819" s="218"/>
      <c r="AB2819" t="e">
        <v>#N/A</v>
      </c>
    </row>
    <row r="2820">
      <c r="A2820" s="218"/>
      <c r="C2820" s="218"/>
      <c r="F2820" s="457"/>
      <c r="G2820" s="218"/>
      <c r="H2820" s="218"/>
      <c r="I2820" s="218"/>
      <c r="J2820" s="218"/>
      <c r="K2820" s="218"/>
      <c r="L2820" s="218"/>
      <c r="M2820" s="218"/>
      <c r="N2820" s="218"/>
      <c r="O2820" s="218"/>
      <c r="P2820" s="218"/>
      <c r="Q2820" s="222"/>
      <c r="R2820" s="222"/>
      <c r="S2820" s="218"/>
      <c r="U2820" s="218"/>
      <c r="X2820" s="218"/>
      <c r="AB2820" t="e">
        <v>#N/A</v>
      </c>
    </row>
    <row r="2821">
      <c r="A2821" s="218"/>
      <c r="C2821" s="218"/>
      <c r="F2821" s="457"/>
      <c r="G2821" s="218"/>
      <c r="H2821" s="218"/>
      <c r="I2821" s="218"/>
      <c r="J2821" s="218"/>
      <c r="K2821" s="218"/>
      <c r="L2821" s="218"/>
      <c r="M2821" s="218"/>
      <c r="N2821" s="218"/>
      <c r="O2821" s="218"/>
      <c r="P2821" s="218"/>
      <c r="Q2821" s="222"/>
      <c r="R2821" s="222"/>
      <c r="S2821" s="218"/>
      <c r="U2821" s="218"/>
      <c r="X2821" s="218"/>
      <c r="AB2821" t="e">
        <v>#N/A</v>
      </c>
    </row>
    <row r="2822">
      <c r="A2822" s="218"/>
      <c r="C2822" s="218"/>
      <c r="F2822" s="457"/>
      <c r="G2822" s="218"/>
      <c r="H2822" s="218"/>
      <c r="I2822" s="218"/>
      <c r="J2822" s="218"/>
      <c r="K2822" s="218"/>
      <c r="L2822" s="218"/>
      <c r="M2822" s="218"/>
      <c r="N2822" s="218"/>
      <c r="O2822" s="218"/>
      <c r="P2822" s="218"/>
      <c r="Q2822" s="222"/>
      <c r="R2822" s="222"/>
      <c r="S2822" s="218"/>
      <c r="U2822" s="218"/>
      <c r="X2822" s="218"/>
      <c r="AB2822" t="e">
        <v>#N/A</v>
      </c>
    </row>
    <row r="2823">
      <c r="A2823" s="218"/>
      <c r="C2823" s="218"/>
      <c r="F2823" s="457"/>
      <c r="G2823" s="218"/>
      <c r="H2823" s="218"/>
      <c r="I2823" s="218"/>
      <c r="J2823" s="218"/>
      <c r="K2823" s="218"/>
      <c r="L2823" s="218"/>
      <c r="M2823" s="218"/>
      <c r="N2823" s="218"/>
      <c r="O2823" s="218"/>
      <c r="P2823" s="218"/>
      <c r="Q2823" s="222"/>
      <c r="R2823" s="222"/>
      <c r="S2823" s="218"/>
      <c r="U2823" s="218"/>
      <c r="X2823" s="218"/>
      <c r="AB2823" t="e">
        <v>#N/A</v>
      </c>
    </row>
    <row r="2824">
      <c r="A2824" s="218"/>
      <c r="C2824" s="218"/>
      <c r="F2824" s="457"/>
      <c r="G2824" s="218"/>
      <c r="H2824" s="218"/>
      <c r="I2824" s="218"/>
      <c r="J2824" s="218"/>
      <c r="K2824" s="218"/>
      <c r="L2824" s="218"/>
      <c r="M2824" s="218"/>
      <c r="N2824" s="218"/>
      <c r="O2824" s="218"/>
      <c r="P2824" s="218"/>
      <c r="Q2824" s="222"/>
      <c r="R2824" s="222"/>
      <c r="S2824" s="218"/>
      <c r="U2824" s="218"/>
      <c r="X2824" s="218"/>
      <c r="AB2824" t="e">
        <v>#N/A</v>
      </c>
    </row>
    <row r="2825">
      <c r="A2825" s="218"/>
      <c r="C2825" s="218"/>
      <c r="F2825" s="457"/>
      <c r="G2825" s="218"/>
      <c r="H2825" s="218"/>
      <c r="I2825" s="218"/>
      <c r="J2825" s="218"/>
      <c r="K2825" s="218"/>
      <c r="L2825" s="218"/>
      <c r="M2825" s="218"/>
      <c r="N2825" s="218"/>
      <c r="O2825" s="218"/>
      <c r="P2825" s="218"/>
      <c r="Q2825" s="222"/>
      <c r="R2825" s="222"/>
      <c r="S2825" s="218"/>
      <c r="U2825" s="218"/>
      <c r="X2825" s="218"/>
      <c r="AB2825" t="e">
        <v>#N/A</v>
      </c>
    </row>
    <row r="2826">
      <c r="A2826" s="218"/>
      <c r="C2826" s="218"/>
      <c r="F2826" s="457"/>
      <c r="G2826" s="218"/>
      <c r="H2826" s="218"/>
      <c r="I2826" s="218"/>
      <c r="J2826" s="218"/>
      <c r="K2826" s="218"/>
      <c r="L2826" s="218"/>
      <c r="M2826" s="218"/>
      <c r="N2826" s="218"/>
      <c r="O2826" s="218"/>
      <c r="P2826" s="218"/>
      <c r="Q2826" s="222"/>
      <c r="R2826" s="222"/>
      <c r="S2826" s="218"/>
      <c r="U2826" s="218"/>
      <c r="X2826" s="218"/>
      <c r="AB2826" t="e">
        <v>#N/A</v>
      </c>
    </row>
    <row r="2827">
      <c r="A2827" s="218"/>
      <c r="C2827" s="218"/>
      <c r="F2827" s="457"/>
      <c r="G2827" s="218"/>
      <c r="H2827" s="218"/>
      <c r="I2827" s="218"/>
      <c r="J2827" s="218"/>
      <c r="K2827" s="218"/>
      <c r="L2827" s="218"/>
      <c r="M2827" s="218"/>
      <c r="N2827" s="218"/>
      <c r="O2827" s="218"/>
      <c r="P2827" s="218"/>
      <c r="Q2827" s="222"/>
      <c r="R2827" s="222"/>
      <c r="S2827" s="218"/>
      <c r="U2827" s="218"/>
      <c r="X2827" s="218"/>
      <c r="AB2827" t="e">
        <v>#N/A</v>
      </c>
    </row>
    <row r="2828">
      <c r="A2828" s="218"/>
      <c r="C2828" s="218"/>
      <c r="F2828" s="457"/>
      <c r="G2828" s="218"/>
      <c r="H2828" s="218"/>
      <c r="I2828" s="218"/>
      <c r="J2828" s="218"/>
      <c r="K2828" s="218"/>
      <c r="L2828" s="218"/>
      <c r="M2828" s="218"/>
      <c r="N2828" s="218"/>
      <c r="O2828" s="218"/>
      <c r="P2828" s="218"/>
      <c r="Q2828" s="222"/>
      <c r="R2828" s="222"/>
      <c r="S2828" s="218"/>
      <c r="U2828" s="218"/>
      <c r="X2828" s="218"/>
      <c r="AB2828" t="e">
        <v>#N/A</v>
      </c>
    </row>
    <row r="2829">
      <c r="A2829" s="218"/>
      <c r="C2829" s="218"/>
      <c r="F2829" s="457"/>
      <c r="G2829" s="218"/>
      <c r="H2829" s="218"/>
      <c r="I2829" s="218"/>
      <c r="J2829" s="218"/>
      <c r="K2829" s="218"/>
      <c r="L2829" s="218"/>
      <c r="M2829" s="218"/>
      <c r="N2829" s="218"/>
      <c r="O2829" s="218"/>
      <c r="P2829" s="218"/>
      <c r="Q2829" s="222"/>
      <c r="R2829" s="222"/>
      <c r="S2829" s="218"/>
      <c r="U2829" s="218"/>
      <c r="X2829" s="218"/>
      <c r="AB2829" t="e">
        <v>#N/A</v>
      </c>
    </row>
    <row r="2830">
      <c r="A2830" s="218"/>
      <c r="C2830" s="218"/>
      <c r="F2830" s="457"/>
      <c r="G2830" s="218"/>
      <c r="H2830" s="218"/>
      <c r="I2830" s="218"/>
      <c r="J2830" s="218"/>
      <c r="K2830" s="218"/>
      <c r="L2830" s="218"/>
      <c r="M2830" s="218"/>
      <c r="N2830" s="218"/>
      <c r="O2830" s="218"/>
      <c r="P2830" s="218"/>
      <c r="Q2830" s="222"/>
      <c r="R2830" s="222"/>
      <c r="S2830" s="218"/>
      <c r="U2830" s="218"/>
      <c r="X2830" s="218"/>
      <c r="AB2830" t="e">
        <v>#N/A</v>
      </c>
    </row>
    <row r="2831">
      <c r="A2831" s="218"/>
      <c r="C2831" s="218"/>
      <c r="F2831" s="457"/>
      <c r="G2831" s="218"/>
      <c r="H2831" s="218"/>
      <c r="I2831" s="218"/>
      <c r="J2831" s="218"/>
      <c r="K2831" s="218"/>
      <c r="L2831" s="218"/>
      <c r="M2831" s="218"/>
      <c r="N2831" s="218"/>
      <c r="O2831" s="218"/>
      <c r="P2831" s="218"/>
      <c r="Q2831" s="222"/>
      <c r="R2831" s="222"/>
      <c r="S2831" s="218"/>
      <c r="U2831" s="218"/>
      <c r="X2831" s="218"/>
      <c r="AB2831" t="e">
        <v>#N/A</v>
      </c>
    </row>
    <row r="2832">
      <c r="A2832" s="218"/>
      <c r="C2832" s="218"/>
      <c r="F2832" s="457"/>
      <c r="G2832" s="218"/>
      <c r="H2832" s="218"/>
      <c r="I2832" s="218"/>
      <c r="J2832" s="218"/>
      <c r="K2832" s="218"/>
      <c r="L2832" s="218"/>
      <c r="M2832" s="218"/>
      <c r="N2832" s="218"/>
      <c r="O2832" s="218"/>
      <c r="P2832" s="218"/>
      <c r="Q2832" s="222"/>
      <c r="R2832" s="222"/>
      <c r="S2832" s="218"/>
      <c r="U2832" s="218"/>
      <c r="X2832" s="218"/>
      <c r="AB2832" t="e">
        <v>#N/A</v>
      </c>
    </row>
    <row r="2833">
      <c r="A2833" s="218"/>
      <c r="C2833" s="218"/>
      <c r="F2833" s="457"/>
      <c r="G2833" s="218"/>
      <c r="H2833" s="218"/>
      <c r="I2833" s="218"/>
      <c r="J2833" s="218"/>
      <c r="K2833" s="218"/>
      <c r="L2833" s="218"/>
      <c r="M2833" s="218"/>
      <c r="N2833" s="218"/>
      <c r="O2833" s="218"/>
      <c r="P2833" s="218"/>
      <c r="Q2833" s="222"/>
      <c r="R2833" s="222"/>
      <c r="S2833" s="218"/>
      <c r="U2833" s="218"/>
      <c r="X2833" s="218"/>
      <c r="AB2833" t="e">
        <v>#N/A</v>
      </c>
    </row>
    <row r="2834">
      <c r="A2834" s="218"/>
      <c r="C2834" s="218"/>
      <c r="F2834" s="457"/>
      <c r="G2834" s="218"/>
      <c r="H2834" s="218"/>
      <c r="I2834" s="218"/>
      <c r="J2834" s="218"/>
      <c r="K2834" s="218"/>
      <c r="L2834" s="218"/>
      <c r="M2834" s="218"/>
      <c r="N2834" s="218"/>
      <c r="O2834" s="218"/>
      <c r="P2834" s="218"/>
      <c r="Q2834" s="222"/>
      <c r="R2834" s="222"/>
      <c r="S2834" s="218"/>
      <c r="U2834" s="218"/>
      <c r="X2834" s="218"/>
      <c r="AB2834" t="e">
        <v>#N/A</v>
      </c>
    </row>
    <row r="2835">
      <c r="A2835" s="218"/>
      <c r="C2835" s="218"/>
      <c r="F2835" s="457"/>
      <c r="G2835" s="218"/>
      <c r="H2835" s="218"/>
      <c r="I2835" s="218"/>
      <c r="J2835" s="218"/>
      <c r="K2835" s="218"/>
      <c r="L2835" s="218"/>
      <c r="M2835" s="218"/>
      <c r="N2835" s="218"/>
      <c r="O2835" s="218"/>
      <c r="P2835" s="218"/>
      <c r="Q2835" s="222"/>
      <c r="R2835" s="222"/>
      <c r="S2835" s="218"/>
      <c r="U2835" s="218"/>
      <c r="X2835" s="218"/>
      <c r="AB2835" t="e">
        <v>#N/A</v>
      </c>
    </row>
    <row r="2836">
      <c r="A2836" s="218"/>
      <c r="C2836" s="218"/>
      <c r="F2836" s="457"/>
      <c r="G2836" s="218"/>
      <c r="H2836" s="218"/>
      <c r="I2836" s="218"/>
      <c r="J2836" s="218"/>
      <c r="K2836" s="218"/>
      <c r="L2836" s="218"/>
      <c r="M2836" s="218"/>
      <c r="N2836" s="218"/>
      <c r="O2836" s="218"/>
      <c r="P2836" s="218"/>
      <c r="Q2836" s="222"/>
      <c r="R2836" s="222"/>
      <c r="S2836" s="218"/>
      <c r="U2836" s="218"/>
      <c r="X2836" s="218"/>
      <c r="AB2836" t="e">
        <v>#N/A</v>
      </c>
    </row>
    <row r="2837">
      <c r="A2837" s="218"/>
      <c r="C2837" s="218"/>
      <c r="F2837" s="457"/>
      <c r="G2837" s="218"/>
      <c r="H2837" s="218"/>
      <c r="I2837" s="218"/>
      <c r="J2837" s="218"/>
      <c r="K2837" s="218"/>
      <c r="L2837" s="218"/>
      <c r="M2837" s="218"/>
      <c r="N2837" s="218"/>
      <c r="O2837" s="218"/>
      <c r="P2837" s="218"/>
      <c r="Q2837" s="222"/>
      <c r="R2837" s="222"/>
      <c r="S2837" s="218"/>
      <c r="U2837" s="218"/>
      <c r="X2837" s="218"/>
      <c r="AB2837" t="e">
        <v>#N/A</v>
      </c>
    </row>
    <row r="2838">
      <c r="A2838" s="218"/>
      <c r="C2838" s="218"/>
      <c r="F2838" s="457"/>
      <c r="G2838" s="218"/>
      <c r="H2838" s="218"/>
      <c r="I2838" s="218"/>
      <c r="J2838" s="218"/>
      <c r="K2838" s="218"/>
      <c r="L2838" s="218"/>
      <c r="M2838" s="218"/>
      <c r="N2838" s="218"/>
      <c r="O2838" s="218"/>
      <c r="P2838" s="218"/>
      <c r="Q2838" s="222"/>
      <c r="R2838" s="222"/>
      <c r="S2838" s="218"/>
      <c r="U2838" s="218"/>
      <c r="X2838" s="218"/>
      <c r="AB2838" t="e">
        <v>#N/A</v>
      </c>
    </row>
    <row r="2839">
      <c r="A2839" s="218"/>
      <c r="C2839" s="218"/>
      <c r="F2839" s="457"/>
      <c r="G2839" s="218"/>
      <c r="H2839" s="218"/>
      <c r="I2839" s="218"/>
      <c r="J2839" s="218"/>
      <c r="K2839" s="218"/>
      <c r="L2839" s="218"/>
      <c r="M2839" s="218"/>
      <c r="N2839" s="218"/>
      <c r="O2839" s="218"/>
      <c r="P2839" s="218"/>
      <c r="Q2839" s="222"/>
      <c r="R2839" s="222"/>
      <c r="S2839" s="218"/>
      <c r="U2839" s="218"/>
      <c r="X2839" s="218"/>
      <c r="AB2839" t="e">
        <v>#N/A</v>
      </c>
    </row>
    <row r="2840">
      <c r="A2840" s="218"/>
      <c r="C2840" s="218"/>
      <c r="F2840" s="457"/>
      <c r="G2840" s="218"/>
      <c r="H2840" s="218"/>
      <c r="I2840" s="218"/>
      <c r="J2840" s="218"/>
      <c r="K2840" s="218"/>
      <c r="L2840" s="218"/>
      <c r="M2840" s="218"/>
      <c r="N2840" s="218"/>
      <c r="O2840" s="218"/>
      <c r="P2840" s="218"/>
      <c r="Q2840" s="222"/>
      <c r="R2840" s="222"/>
      <c r="S2840" s="218"/>
      <c r="U2840" s="218"/>
      <c r="X2840" s="218"/>
      <c r="AB2840" t="e">
        <v>#N/A</v>
      </c>
    </row>
    <row r="2841">
      <c r="A2841" s="218"/>
      <c r="C2841" s="218"/>
      <c r="F2841" s="457"/>
      <c r="G2841" s="218"/>
      <c r="H2841" s="218"/>
      <c r="I2841" s="218"/>
      <c r="J2841" s="218"/>
      <c r="K2841" s="218"/>
      <c r="L2841" s="218"/>
      <c r="M2841" s="218"/>
      <c r="N2841" s="218"/>
      <c r="O2841" s="218"/>
      <c r="P2841" s="218"/>
      <c r="Q2841" s="222"/>
      <c r="R2841" s="222"/>
      <c r="S2841" s="218"/>
      <c r="U2841" s="218"/>
      <c r="X2841" s="218"/>
      <c r="AB2841" t="e">
        <v>#N/A</v>
      </c>
    </row>
    <row r="2842">
      <c r="A2842" s="218"/>
      <c r="C2842" s="218"/>
      <c r="F2842" s="457"/>
      <c r="G2842" s="218"/>
      <c r="H2842" s="218"/>
      <c r="I2842" s="218"/>
      <c r="J2842" s="218"/>
      <c r="K2842" s="218"/>
      <c r="L2842" s="218"/>
      <c r="M2842" s="218"/>
      <c r="N2842" s="218"/>
      <c r="O2842" s="218"/>
      <c r="P2842" s="218"/>
      <c r="Q2842" s="222"/>
      <c r="R2842" s="222"/>
      <c r="S2842" s="218"/>
      <c r="U2842" s="218"/>
      <c r="X2842" s="218"/>
      <c r="AB2842" t="e">
        <v>#N/A</v>
      </c>
    </row>
    <row r="2843">
      <c r="A2843" s="218"/>
      <c r="C2843" s="218"/>
      <c r="F2843" s="457"/>
      <c r="G2843" s="218"/>
      <c r="H2843" s="218"/>
      <c r="I2843" s="218"/>
      <c r="J2843" s="218"/>
      <c r="K2843" s="218"/>
      <c r="L2843" s="218"/>
      <c r="M2843" s="218"/>
      <c r="N2843" s="218"/>
      <c r="O2843" s="218"/>
      <c r="P2843" s="218"/>
      <c r="Q2843" s="222"/>
      <c r="R2843" s="222"/>
      <c r="S2843" s="218"/>
      <c r="U2843" s="218"/>
      <c r="X2843" s="218"/>
      <c r="AB2843" t="e">
        <v>#N/A</v>
      </c>
    </row>
    <row r="2844">
      <c r="A2844" s="218"/>
      <c r="C2844" s="218"/>
      <c r="F2844" s="457"/>
      <c r="G2844" s="218"/>
      <c r="H2844" s="218"/>
      <c r="I2844" s="218"/>
      <c r="J2844" s="218"/>
      <c r="K2844" s="218"/>
      <c r="L2844" s="218"/>
      <c r="M2844" s="218"/>
      <c r="N2844" s="218"/>
      <c r="O2844" s="218"/>
      <c r="P2844" s="218"/>
      <c r="Q2844" s="222"/>
      <c r="R2844" s="222"/>
      <c r="S2844" s="218"/>
      <c r="U2844" s="218"/>
      <c r="X2844" s="218"/>
      <c r="AB2844" t="e">
        <v>#N/A</v>
      </c>
    </row>
    <row r="2845">
      <c r="A2845" s="218"/>
      <c r="C2845" s="218"/>
      <c r="F2845" s="457"/>
      <c r="G2845" s="218"/>
      <c r="H2845" s="218"/>
      <c r="I2845" s="218"/>
      <c r="J2845" s="218"/>
      <c r="K2845" s="218"/>
      <c r="L2845" s="218"/>
      <c r="M2845" s="218"/>
      <c r="N2845" s="218"/>
      <c r="O2845" s="218"/>
      <c r="P2845" s="218"/>
      <c r="Q2845" s="222"/>
      <c r="R2845" s="222"/>
      <c r="S2845" s="218"/>
      <c r="U2845" s="218"/>
      <c r="X2845" s="218"/>
      <c r="AB2845" t="e">
        <v>#N/A</v>
      </c>
    </row>
    <row r="2846">
      <c r="A2846" s="218"/>
      <c r="C2846" s="218"/>
      <c r="F2846" s="457"/>
      <c r="G2846" s="218"/>
      <c r="H2846" s="218"/>
      <c r="I2846" s="218"/>
      <c r="J2846" s="218"/>
      <c r="K2846" s="218"/>
      <c r="L2846" s="218"/>
      <c r="M2846" s="218"/>
      <c r="N2846" s="218"/>
      <c r="O2846" s="218"/>
      <c r="P2846" s="218"/>
      <c r="Q2846" s="222"/>
      <c r="R2846" s="222"/>
      <c r="S2846" s="218"/>
      <c r="U2846" s="218"/>
      <c r="X2846" s="218"/>
      <c r="AB2846" t="e">
        <v>#N/A</v>
      </c>
    </row>
    <row r="2847">
      <c r="A2847" s="218"/>
      <c r="C2847" s="218"/>
      <c r="F2847" s="457"/>
      <c r="G2847" s="218"/>
      <c r="H2847" s="218"/>
      <c r="I2847" s="218"/>
      <c r="J2847" s="218"/>
      <c r="K2847" s="218"/>
      <c r="L2847" s="218"/>
      <c r="M2847" s="218"/>
      <c r="N2847" s="218"/>
      <c r="O2847" s="218"/>
      <c r="P2847" s="218"/>
      <c r="Q2847" s="222"/>
      <c r="R2847" s="222"/>
      <c r="S2847" s="218"/>
      <c r="U2847" s="218"/>
      <c r="X2847" s="218"/>
      <c r="AB2847" t="e">
        <v>#N/A</v>
      </c>
    </row>
    <row r="2848">
      <c r="A2848" s="218"/>
      <c r="C2848" s="218"/>
      <c r="F2848" s="457"/>
      <c r="G2848" s="218"/>
      <c r="H2848" s="218"/>
      <c r="I2848" s="218"/>
      <c r="J2848" s="218"/>
      <c r="K2848" s="218"/>
      <c r="L2848" s="218"/>
      <c r="M2848" s="218"/>
      <c r="N2848" s="218"/>
      <c r="O2848" s="218"/>
      <c r="P2848" s="218"/>
      <c r="Q2848" s="222"/>
      <c r="R2848" s="222"/>
      <c r="S2848" s="218"/>
      <c r="U2848" s="218"/>
      <c r="X2848" s="218"/>
      <c r="AB2848" t="e">
        <v>#N/A</v>
      </c>
    </row>
    <row r="2849">
      <c r="A2849" s="218"/>
      <c r="C2849" s="218"/>
      <c r="F2849" s="457"/>
      <c r="G2849" s="218"/>
      <c r="H2849" s="218"/>
      <c r="I2849" s="218"/>
      <c r="J2849" s="218"/>
      <c r="K2849" s="218"/>
      <c r="L2849" s="218"/>
      <c r="M2849" s="218"/>
      <c r="N2849" s="218"/>
      <c r="O2849" s="218"/>
      <c r="P2849" s="218"/>
      <c r="Q2849" s="222"/>
      <c r="R2849" s="222"/>
      <c r="S2849" s="218"/>
      <c r="U2849" s="218"/>
      <c r="X2849" s="218"/>
      <c r="AB2849" t="e">
        <v>#N/A</v>
      </c>
    </row>
    <row r="2850">
      <c r="A2850" s="218"/>
      <c r="C2850" s="218"/>
      <c r="F2850" s="457"/>
      <c r="G2850" s="218"/>
      <c r="H2850" s="218"/>
      <c r="I2850" s="218"/>
      <c r="J2850" s="218"/>
      <c r="K2850" s="218"/>
      <c r="L2850" s="218"/>
      <c r="M2850" s="218"/>
      <c r="N2850" s="218"/>
      <c r="O2850" s="218"/>
      <c r="P2850" s="218"/>
      <c r="Q2850" s="222"/>
      <c r="R2850" s="222"/>
      <c r="S2850" s="218"/>
      <c r="U2850" s="218"/>
      <c r="X2850" s="218"/>
      <c r="AB2850" t="e">
        <v>#N/A</v>
      </c>
    </row>
    <row r="2851">
      <c r="A2851" s="218"/>
      <c r="C2851" s="218"/>
      <c r="F2851" s="457"/>
      <c r="G2851" s="218"/>
      <c r="H2851" s="218"/>
      <c r="I2851" s="218"/>
      <c r="J2851" s="218"/>
      <c r="K2851" s="218"/>
      <c r="L2851" s="218"/>
      <c r="M2851" s="218"/>
      <c r="N2851" s="218"/>
      <c r="O2851" s="218"/>
      <c r="P2851" s="218"/>
      <c r="Q2851" s="222"/>
      <c r="R2851" s="222"/>
      <c r="S2851" s="218"/>
      <c r="U2851" s="218"/>
      <c r="X2851" s="218"/>
      <c r="AB2851" t="e">
        <v>#N/A</v>
      </c>
    </row>
    <row r="2852">
      <c r="A2852" s="218"/>
      <c r="C2852" s="218"/>
      <c r="F2852" s="457"/>
      <c r="G2852" s="218"/>
      <c r="H2852" s="218"/>
      <c r="I2852" s="218"/>
      <c r="J2852" s="218"/>
      <c r="K2852" s="218"/>
      <c r="L2852" s="218"/>
      <c r="M2852" s="218"/>
      <c r="N2852" s="218"/>
      <c r="O2852" s="218"/>
      <c r="P2852" s="218"/>
      <c r="Q2852" s="222"/>
      <c r="R2852" s="222"/>
      <c r="S2852" s="218"/>
      <c r="U2852" s="218"/>
      <c r="X2852" s="218"/>
      <c r="AB2852" t="e">
        <v>#N/A</v>
      </c>
    </row>
    <row r="2853">
      <c r="A2853" s="218"/>
      <c r="C2853" s="218"/>
      <c r="F2853" s="457"/>
      <c r="G2853" s="218"/>
      <c r="H2853" s="218"/>
      <c r="I2853" s="218"/>
      <c r="J2853" s="218"/>
      <c r="K2853" s="218"/>
      <c r="L2853" s="218"/>
      <c r="M2853" s="218"/>
      <c r="N2853" s="218"/>
      <c r="O2853" s="218"/>
      <c r="P2853" s="218"/>
      <c r="Q2853" s="222"/>
      <c r="R2853" s="222"/>
      <c r="S2853" s="218"/>
      <c r="U2853" s="218"/>
      <c r="X2853" s="218"/>
      <c r="AB2853" t="e">
        <v>#N/A</v>
      </c>
    </row>
    <row r="2854">
      <c r="A2854" s="218"/>
      <c r="C2854" s="218"/>
      <c r="F2854" s="457"/>
      <c r="G2854" s="218"/>
      <c r="H2854" s="218"/>
      <c r="I2854" s="218"/>
      <c r="J2854" s="218"/>
      <c r="K2854" s="218"/>
      <c r="L2854" s="218"/>
      <c r="M2854" s="218"/>
      <c r="N2854" s="218"/>
      <c r="O2854" s="218"/>
      <c r="P2854" s="218"/>
      <c r="Q2854" s="222"/>
      <c r="R2854" s="222"/>
      <c r="S2854" s="218"/>
      <c r="U2854" s="218"/>
      <c r="X2854" s="218"/>
      <c r="AB2854" t="e">
        <v>#N/A</v>
      </c>
    </row>
    <row r="2855">
      <c r="A2855" s="218"/>
      <c r="C2855" s="218"/>
      <c r="F2855" s="457"/>
      <c r="G2855" s="218"/>
      <c r="H2855" s="218"/>
      <c r="I2855" s="218"/>
      <c r="J2855" s="218"/>
      <c r="K2855" s="218"/>
      <c r="L2855" s="218"/>
      <c r="M2855" s="218"/>
      <c r="N2855" s="218"/>
      <c r="O2855" s="218"/>
      <c r="P2855" s="218"/>
      <c r="Q2855" s="222"/>
      <c r="R2855" s="222"/>
      <c r="S2855" s="218"/>
      <c r="U2855" s="218"/>
      <c r="X2855" s="218"/>
      <c r="AB2855" t="e">
        <v>#N/A</v>
      </c>
    </row>
    <row r="2856">
      <c r="A2856" s="218"/>
      <c r="C2856" s="218"/>
      <c r="F2856" s="457"/>
      <c r="G2856" s="218"/>
      <c r="H2856" s="218"/>
      <c r="I2856" s="218"/>
      <c r="J2856" s="218"/>
      <c r="K2856" s="218"/>
      <c r="L2856" s="218"/>
      <c r="M2856" s="218"/>
      <c r="N2856" s="218"/>
      <c r="O2856" s="218"/>
      <c r="P2856" s="218"/>
      <c r="Q2856" s="222"/>
      <c r="R2856" s="222"/>
      <c r="S2856" s="218"/>
      <c r="U2856" s="218"/>
      <c r="X2856" s="218"/>
      <c r="AB2856" t="e">
        <v>#N/A</v>
      </c>
    </row>
    <row r="2857">
      <c r="A2857" s="218"/>
      <c r="C2857" s="218"/>
      <c r="F2857" s="457"/>
      <c r="G2857" s="218"/>
      <c r="H2857" s="218"/>
      <c r="I2857" s="218"/>
      <c r="J2857" s="218"/>
      <c r="K2857" s="218"/>
      <c r="L2857" s="218"/>
      <c r="M2857" s="218"/>
      <c r="N2857" s="218"/>
      <c r="O2857" s="218"/>
      <c r="P2857" s="218"/>
      <c r="Q2857" s="222"/>
      <c r="R2857" s="222"/>
      <c r="S2857" s="218"/>
      <c r="U2857" s="218"/>
      <c r="X2857" s="218"/>
      <c r="AB2857" t="e">
        <v>#N/A</v>
      </c>
    </row>
    <row r="2858">
      <c r="A2858" s="218"/>
      <c r="C2858" s="218"/>
      <c r="F2858" s="457"/>
      <c r="G2858" s="218"/>
      <c r="H2858" s="218"/>
      <c r="I2858" s="218"/>
      <c r="J2858" s="218"/>
      <c r="K2858" s="218"/>
      <c r="L2858" s="218"/>
      <c r="M2858" s="218"/>
      <c r="N2858" s="218"/>
      <c r="O2858" s="218"/>
      <c r="P2858" s="218"/>
      <c r="Q2858" s="222"/>
      <c r="R2858" s="222"/>
      <c r="S2858" s="218"/>
      <c r="U2858" s="218"/>
      <c r="X2858" s="218"/>
      <c r="AB2858" t="e">
        <v>#N/A</v>
      </c>
    </row>
    <row r="2859">
      <c r="A2859" s="218"/>
      <c r="C2859" s="218"/>
      <c r="F2859" s="457"/>
      <c r="G2859" s="218"/>
      <c r="H2859" s="218"/>
      <c r="I2859" s="218"/>
      <c r="J2859" s="218"/>
      <c r="K2859" s="218"/>
      <c r="L2859" s="218"/>
      <c r="M2859" s="218"/>
      <c r="N2859" s="218"/>
      <c r="O2859" s="218"/>
      <c r="P2859" s="218"/>
      <c r="Q2859" s="222"/>
      <c r="R2859" s="222"/>
      <c r="S2859" s="218"/>
      <c r="U2859" s="218"/>
      <c r="X2859" s="218"/>
      <c r="AB2859" t="e">
        <v>#N/A</v>
      </c>
    </row>
    <row r="2860">
      <c r="A2860" s="218"/>
      <c r="C2860" s="218"/>
      <c r="F2860" s="457"/>
      <c r="G2860" s="218"/>
      <c r="H2860" s="218"/>
      <c r="I2860" s="218"/>
      <c r="J2860" s="218"/>
      <c r="K2860" s="218"/>
      <c r="L2860" s="218"/>
      <c r="M2860" s="218"/>
      <c r="N2860" s="218"/>
      <c r="O2860" s="218"/>
      <c r="P2860" s="218"/>
      <c r="Q2860" s="222"/>
      <c r="R2860" s="222"/>
      <c r="S2860" s="218"/>
      <c r="U2860" s="218"/>
      <c r="X2860" s="218"/>
      <c r="AB2860" t="e">
        <v>#N/A</v>
      </c>
    </row>
    <row r="2861">
      <c r="A2861" s="218"/>
      <c r="C2861" s="218"/>
      <c r="F2861" s="457"/>
      <c r="G2861" s="218"/>
      <c r="H2861" s="218"/>
      <c r="I2861" s="218"/>
      <c r="J2861" s="218"/>
      <c r="K2861" s="218"/>
      <c r="L2861" s="218"/>
      <c r="M2861" s="218"/>
      <c r="N2861" s="218"/>
      <c r="O2861" s="218"/>
      <c r="P2861" s="218"/>
      <c r="Q2861" s="222"/>
      <c r="R2861" s="222"/>
      <c r="S2861" s="218"/>
      <c r="U2861" s="218"/>
      <c r="X2861" s="218"/>
      <c r="AB2861" t="e">
        <v>#N/A</v>
      </c>
    </row>
    <row r="2862">
      <c r="A2862" s="218"/>
      <c r="C2862" s="218"/>
      <c r="F2862" s="457"/>
      <c r="G2862" s="218"/>
      <c r="H2862" s="218"/>
      <c r="I2862" s="218"/>
      <c r="J2862" s="218"/>
      <c r="K2862" s="218"/>
      <c r="L2862" s="218"/>
      <c r="M2862" s="218"/>
      <c r="N2862" s="218"/>
      <c r="O2862" s="218"/>
      <c r="P2862" s="218"/>
      <c r="Q2862" s="222"/>
      <c r="R2862" s="222"/>
      <c r="S2862" s="218"/>
      <c r="U2862" s="218"/>
      <c r="X2862" s="218"/>
      <c r="AB2862" t="e">
        <v>#N/A</v>
      </c>
    </row>
    <row r="2863">
      <c r="A2863" s="218"/>
      <c r="C2863" s="218"/>
      <c r="F2863" s="457"/>
      <c r="G2863" s="218"/>
      <c r="H2863" s="218"/>
      <c r="I2863" s="218"/>
      <c r="J2863" s="218"/>
      <c r="K2863" s="218"/>
      <c r="L2863" s="218"/>
      <c r="M2863" s="218"/>
      <c r="N2863" s="218"/>
      <c r="O2863" s="218"/>
      <c r="P2863" s="218"/>
      <c r="Q2863" s="222"/>
      <c r="R2863" s="222"/>
      <c r="S2863" s="218"/>
      <c r="U2863" s="218"/>
      <c r="X2863" s="218"/>
      <c r="AB2863" t="e">
        <v>#N/A</v>
      </c>
    </row>
    <row r="2864">
      <c r="A2864" s="218"/>
      <c r="C2864" s="218"/>
      <c r="F2864" s="457"/>
      <c r="G2864" s="218"/>
      <c r="H2864" s="218"/>
      <c r="I2864" s="218"/>
      <c r="J2864" s="218"/>
      <c r="K2864" s="218"/>
      <c r="L2864" s="218"/>
      <c r="M2864" s="218"/>
      <c r="N2864" s="218"/>
      <c r="O2864" s="218"/>
      <c r="P2864" s="218"/>
      <c r="Q2864" s="222"/>
      <c r="R2864" s="222"/>
      <c r="S2864" s="218"/>
      <c r="U2864" s="218"/>
      <c r="X2864" s="218"/>
      <c r="AB2864" t="e">
        <v>#N/A</v>
      </c>
    </row>
    <row r="2865">
      <c r="A2865" s="218"/>
      <c r="C2865" s="218"/>
      <c r="F2865" s="457"/>
      <c r="G2865" s="218"/>
      <c r="H2865" s="218"/>
      <c r="I2865" s="218"/>
      <c r="J2865" s="218"/>
      <c r="K2865" s="218"/>
      <c r="L2865" s="218"/>
      <c r="M2865" s="218"/>
      <c r="N2865" s="218"/>
      <c r="O2865" s="218"/>
      <c r="P2865" s="218"/>
      <c r="Q2865" s="222"/>
      <c r="R2865" s="222"/>
      <c r="S2865" s="218"/>
      <c r="U2865" s="218"/>
      <c r="X2865" s="218"/>
      <c r="AB2865" t="e">
        <v>#N/A</v>
      </c>
    </row>
    <row r="2866">
      <c r="A2866" s="218"/>
      <c r="C2866" s="218"/>
      <c r="F2866" s="457"/>
      <c r="G2866" s="218"/>
      <c r="H2866" s="218"/>
      <c r="I2866" s="218"/>
      <c r="J2866" s="218"/>
      <c r="K2866" s="218"/>
      <c r="L2866" s="218"/>
      <c r="M2866" s="218"/>
      <c r="N2866" s="218"/>
      <c r="O2866" s="218"/>
      <c r="P2866" s="218"/>
      <c r="Q2866" s="222"/>
      <c r="R2866" s="222"/>
      <c r="S2866" s="218"/>
      <c r="U2866" s="218"/>
      <c r="X2866" s="218"/>
      <c r="AB2866" t="e">
        <v>#N/A</v>
      </c>
    </row>
    <row r="2867">
      <c r="A2867" s="218"/>
      <c r="C2867" s="218"/>
      <c r="F2867" s="457"/>
      <c r="G2867" s="218"/>
      <c r="H2867" s="218"/>
      <c r="I2867" s="218"/>
      <c r="J2867" s="218"/>
      <c r="K2867" s="218"/>
      <c r="L2867" s="218"/>
      <c r="M2867" s="218"/>
      <c r="N2867" s="218"/>
      <c r="O2867" s="218"/>
      <c r="P2867" s="218"/>
      <c r="Q2867" s="222"/>
      <c r="R2867" s="222"/>
      <c r="S2867" s="218"/>
      <c r="U2867" s="218"/>
      <c r="X2867" s="218"/>
      <c r="AB2867" t="e">
        <v>#N/A</v>
      </c>
    </row>
    <row r="2868">
      <c r="A2868" s="218"/>
      <c r="C2868" s="218"/>
      <c r="F2868" s="457"/>
      <c r="G2868" s="218"/>
      <c r="H2868" s="218"/>
      <c r="I2868" s="218"/>
      <c r="J2868" s="218"/>
      <c r="K2868" s="218"/>
      <c r="L2868" s="218"/>
      <c r="M2868" s="218"/>
      <c r="N2868" s="218"/>
      <c r="O2868" s="218"/>
      <c r="P2868" s="218"/>
      <c r="Q2868" s="222"/>
      <c r="R2868" s="222"/>
      <c r="S2868" s="218"/>
      <c r="U2868" s="218"/>
      <c r="X2868" s="218"/>
      <c r="AB2868" t="e">
        <v>#N/A</v>
      </c>
    </row>
    <row r="2869">
      <c r="A2869" s="218"/>
      <c r="C2869" s="218"/>
      <c r="F2869" s="457"/>
      <c r="G2869" s="218"/>
      <c r="H2869" s="218"/>
      <c r="I2869" s="218"/>
      <c r="J2869" s="218"/>
      <c r="K2869" s="218"/>
      <c r="L2869" s="218"/>
      <c r="M2869" s="218"/>
      <c r="N2869" s="218"/>
      <c r="O2869" s="218"/>
      <c r="P2869" s="218"/>
      <c r="Q2869" s="222"/>
      <c r="R2869" s="222"/>
      <c r="S2869" s="218"/>
      <c r="U2869" s="218"/>
      <c r="X2869" s="218"/>
      <c r="AB2869" t="e">
        <v>#N/A</v>
      </c>
    </row>
    <row r="2870">
      <c r="A2870" s="218"/>
      <c r="C2870" s="218"/>
      <c r="F2870" s="457"/>
      <c r="G2870" s="218"/>
      <c r="H2870" s="218"/>
      <c r="I2870" s="218"/>
      <c r="J2870" s="218"/>
      <c r="K2870" s="218"/>
      <c r="L2870" s="218"/>
      <c r="M2870" s="218"/>
      <c r="N2870" s="218"/>
      <c r="O2870" s="218"/>
      <c r="P2870" s="218"/>
      <c r="Q2870" s="222"/>
      <c r="R2870" s="222"/>
      <c r="S2870" s="218"/>
      <c r="U2870" s="218"/>
      <c r="X2870" s="218"/>
      <c r="AB2870" t="e">
        <v>#N/A</v>
      </c>
    </row>
    <row r="2871">
      <c r="A2871" s="218"/>
      <c r="C2871" s="218"/>
      <c r="F2871" s="457"/>
      <c r="G2871" s="218"/>
      <c r="H2871" s="218"/>
      <c r="I2871" s="218"/>
      <c r="J2871" s="218"/>
      <c r="K2871" s="218"/>
      <c r="L2871" s="218"/>
      <c r="M2871" s="218"/>
      <c r="N2871" s="218"/>
      <c r="O2871" s="218"/>
      <c r="P2871" s="218"/>
      <c r="Q2871" s="222"/>
      <c r="R2871" s="222"/>
      <c r="S2871" s="218"/>
      <c r="U2871" s="218"/>
      <c r="X2871" s="218"/>
      <c r="AB2871" t="e">
        <v>#N/A</v>
      </c>
    </row>
    <row r="2872">
      <c r="A2872" s="218"/>
      <c r="C2872" s="218"/>
      <c r="F2872" s="457"/>
      <c r="G2872" s="218"/>
      <c r="H2872" s="218"/>
      <c r="I2872" s="218"/>
      <c r="J2872" s="218"/>
      <c r="K2872" s="218"/>
      <c r="L2872" s="218"/>
      <c r="M2872" s="218"/>
      <c r="N2872" s="218"/>
      <c r="O2872" s="218"/>
      <c r="P2872" s="218"/>
      <c r="Q2872" s="222"/>
      <c r="R2872" s="222"/>
      <c r="S2872" s="218"/>
      <c r="U2872" s="218"/>
      <c r="X2872" s="218"/>
      <c r="AB2872" t="e">
        <v>#N/A</v>
      </c>
    </row>
    <row r="2873">
      <c r="A2873" s="218"/>
      <c r="C2873" s="218"/>
      <c r="F2873" s="457"/>
      <c r="G2873" s="218"/>
      <c r="H2873" s="218"/>
      <c r="I2873" s="218"/>
      <c r="J2873" s="218"/>
      <c r="K2873" s="218"/>
      <c r="L2873" s="218"/>
      <c r="M2873" s="218"/>
      <c r="N2873" s="218"/>
      <c r="O2873" s="218"/>
      <c r="P2873" s="218"/>
      <c r="Q2873" s="222"/>
      <c r="R2873" s="222"/>
      <c r="S2873" s="218"/>
      <c r="U2873" s="218"/>
      <c r="X2873" s="218"/>
      <c r="AB2873" t="e">
        <v>#N/A</v>
      </c>
    </row>
    <row r="2874">
      <c r="A2874" s="218"/>
      <c r="C2874" s="218"/>
      <c r="F2874" s="457"/>
      <c r="G2874" s="218"/>
      <c r="H2874" s="218"/>
      <c r="I2874" s="218"/>
      <c r="J2874" s="218"/>
      <c r="K2874" s="218"/>
      <c r="L2874" s="218"/>
      <c r="M2874" s="218"/>
      <c r="N2874" s="218"/>
      <c r="O2874" s="218"/>
      <c r="P2874" s="218"/>
      <c r="Q2874" s="222"/>
      <c r="R2874" s="222"/>
      <c r="S2874" s="218"/>
      <c r="U2874" s="218"/>
      <c r="X2874" s="218"/>
      <c r="AB2874" t="e">
        <v>#N/A</v>
      </c>
    </row>
    <row r="2875">
      <c r="A2875" s="218"/>
      <c r="C2875" s="218"/>
      <c r="F2875" s="457"/>
      <c r="G2875" s="218"/>
      <c r="H2875" s="218"/>
      <c r="I2875" s="218"/>
      <c r="J2875" s="218"/>
      <c r="K2875" s="218"/>
      <c r="L2875" s="218"/>
      <c r="M2875" s="218"/>
      <c r="N2875" s="218"/>
      <c r="O2875" s="218"/>
      <c r="P2875" s="218"/>
      <c r="Q2875" s="222"/>
      <c r="R2875" s="222"/>
      <c r="S2875" s="218"/>
      <c r="U2875" s="218"/>
      <c r="X2875" s="218"/>
      <c r="AB2875" t="e">
        <v>#N/A</v>
      </c>
    </row>
    <row r="2876">
      <c r="A2876" s="218"/>
      <c r="C2876" s="218"/>
      <c r="F2876" s="457"/>
      <c r="G2876" s="218"/>
      <c r="H2876" s="218"/>
      <c r="I2876" s="218"/>
      <c r="J2876" s="218"/>
      <c r="K2876" s="218"/>
      <c r="L2876" s="218"/>
      <c r="M2876" s="218"/>
      <c r="N2876" s="218"/>
      <c r="O2876" s="218"/>
      <c r="P2876" s="218"/>
      <c r="Q2876" s="222"/>
      <c r="R2876" s="222"/>
      <c r="S2876" s="218"/>
      <c r="U2876" s="218"/>
      <c r="X2876" s="218"/>
      <c r="AB2876" t="e">
        <v>#N/A</v>
      </c>
    </row>
    <row r="2877">
      <c r="A2877" s="218"/>
      <c r="C2877" s="218"/>
      <c r="F2877" s="457"/>
      <c r="G2877" s="218"/>
      <c r="H2877" s="218"/>
      <c r="I2877" s="218"/>
      <c r="J2877" s="218"/>
      <c r="K2877" s="218"/>
      <c r="L2877" s="218"/>
      <c r="M2877" s="218"/>
      <c r="N2877" s="218"/>
      <c r="O2877" s="218"/>
      <c r="P2877" s="218"/>
      <c r="Q2877" s="222"/>
      <c r="R2877" s="222"/>
      <c r="S2877" s="218"/>
      <c r="U2877" s="218"/>
      <c r="X2877" s="218"/>
      <c r="AB2877" t="e">
        <v>#N/A</v>
      </c>
    </row>
    <row r="2878">
      <c r="A2878" s="218"/>
      <c r="C2878" s="218"/>
      <c r="F2878" s="457"/>
      <c r="G2878" s="218"/>
      <c r="H2878" s="218"/>
      <c r="I2878" s="218"/>
      <c r="J2878" s="218"/>
      <c r="K2878" s="218"/>
      <c r="L2878" s="218"/>
      <c r="M2878" s="218"/>
      <c r="N2878" s="218"/>
      <c r="O2878" s="218"/>
      <c r="P2878" s="218"/>
      <c r="Q2878" s="222"/>
      <c r="R2878" s="222"/>
      <c r="S2878" s="218"/>
      <c r="U2878" s="218"/>
      <c r="X2878" s="218"/>
      <c r="AB2878" t="e">
        <v>#N/A</v>
      </c>
    </row>
    <row r="2879">
      <c r="A2879" s="218"/>
      <c r="C2879" s="218"/>
      <c r="F2879" s="457"/>
      <c r="G2879" s="218"/>
      <c r="H2879" s="218"/>
      <c r="I2879" s="218"/>
      <c r="J2879" s="218"/>
      <c r="K2879" s="218"/>
      <c r="L2879" s="218"/>
      <c r="M2879" s="218"/>
      <c r="N2879" s="218"/>
      <c r="O2879" s="218"/>
      <c r="P2879" s="218"/>
      <c r="Q2879" s="222"/>
      <c r="R2879" s="222"/>
      <c r="S2879" s="218"/>
      <c r="U2879" s="218"/>
      <c r="X2879" s="218"/>
      <c r="AB2879" t="e">
        <v>#N/A</v>
      </c>
    </row>
    <row r="2880">
      <c r="A2880" s="218"/>
      <c r="C2880" s="218"/>
      <c r="F2880" s="457"/>
      <c r="G2880" s="218"/>
      <c r="H2880" s="218"/>
      <c r="I2880" s="218"/>
      <c r="J2880" s="218"/>
      <c r="K2880" s="218"/>
      <c r="L2880" s="218"/>
      <c r="M2880" s="218"/>
      <c r="N2880" s="218"/>
      <c r="O2880" s="218"/>
      <c r="P2880" s="218"/>
      <c r="Q2880" s="222"/>
      <c r="R2880" s="222"/>
      <c r="S2880" s="218"/>
      <c r="U2880" s="218"/>
      <c r="X2880" s="218"/>
      <c r="AB2880" t="e">
        <v>#N/A</v>
      </c>
    </row>
    <row r="2881">
      <c r="A2881" s="218"/>
      <c r="C2881" s="218"/>
      <c r="F2881" s="457"/>
      <c r="G2881" s="218"/>
      <c r="H2881" s="218"/>
      <c r="I2881" s="218"/>
      <c r="J2881" s="218"/>
      <c r="K2881" s="218"/>
      <c r="L2881" s="218"/>
      <c r="M2881" s="218"/>
      <c r="N2881" s="218"/>
      <c r="O2881" s="218"/>
      <c r="P2881" s="218"/>
      <c r="Q2881" s="222"/>
      <c r="R2881" s="222"/>
      <c r="S2881" s="218"/>
      <c r="U2881" s="218"/>
      <c r="X2881" s="218"/>
      <c r="AB2881" t="e">
        <v>#N/A</v>
      </c>
    </row>
    <row r="2882">
      <c r="A2882" s="218"/>
      <c r="C2882" s="218"/>
      <c r="F2882" s="457"/>
      <c r="G2882" s="218"/>
      <c r="H2882" s="218"/>
      <c r="I2882" s="218"/>
      <c r="J2882" s="218"/>
      <c r="K2882" s="218"/>
      <c r="L2882" s="218"/>
      <c r="M2882" s="218"/>
      <c r="N2882" s="218"/>
      <c r="O2882" s="218"/>
      <c r="P2882" s="218"/>
      <c r="Q2882" s="222"/>
      <c r="R2882" s="222"/>
      <c r="S2882" s="218"/>
      <c r="U2882" s="218"/>
      <c r="X2882" s="218"/>
      <c r="AB2882" t="e">
        <v>#N/A</v>
      </c>
    </row>
    <row r="2883">
      <c r="A2883" s="218"/>
      <c r="C2883" s="218"/>
      <c r="F2883" s="457"/>
      <c r="G2883" s="218"/>
      <c r="H2883" s="218"/>
      <c r="I2883" s="218"/>
      <c r="J2883" s="218"/>
      <c r="K2883" s="218"/>
      <c r="L2883" s="218"/>
      <c r="M2883" s="218"/>
      <c r="N2883" s="218"/>
      <c r="O2883" s="218"/>
      <c r="P2883" s="218"/>
      <c r="Q2883" s="222"/>
      <c r="R2883" s="222"/>
      <c r="S2883" s="218"/>
      <c r="U2883" s="218"/>
      <c r="X2883" s="218"/>
      <c r="AB2883" t="e">
        <v>#N/A</v>
      </c>
    </row>
    <row r="2884">
      <c r="A2884" s="218"/>
      <c r="C2884" s="218"/>
      <c r="F2884" s="457"/>
      <c r="G2884" s="218"/>
      <c r="H2884" s="218"/>
      <c r="I2884" s="218"/>
      <c r="J2884" s="218"/>
      <c r="K2884" s="218"/>
      <c r="L2884" s="218"/>
      <c r="M2884" s="218"/>
      <c r="N2884" s="218"/>
      <c r="O2884" s="218"/>
      <c r="P2884" s="218"/>
      <c r="Q2884" s="222"/>
      <c r="R2884" s="222"/>
      <c r="S2884" s="218"/>
      <c r="U2884" s="218"/>
      <c r="X2884" s="218"/>
      <c r="AB2884" t="e">
        <v>#N/A</v>
      </c>
    </row>
    <row r="2885">
      <c r="A2885" s="218"/>
      <c r="C2885" s="218"/>
      <c r="F2885" s="457"/>
      <c r="G2885" s="218"/>
      <c r="H2885" s="218"/>
      <c r="I2885" s="218"/>
      <c r="J2885" s="218"/>
      <c r="K2885" s="218"/>
      <c r="L2885" s="218"/>
      <c r="M2885" s="218"/>
      <c r="N2885" s="218"/>
      <c r="O2885" s="218"/>
      <c r="P2885" s="218"/>
      <c r="Q2885" s="222"/>
      <c r="R2885" s="222"/>
      <c r="S2885" s="218"/>
      <c r="U2885" s="218"/>
      <c r="X2885" s="218"/>
      <c r="AB2885" t="e">
        <v>#N/A</v>
      </c>
    </row>
    <row r="2886">
      <c r="A2886" s="218"/>
      <c r="C2886" s="218"/>
      <c r="F2886" s="457"/>
      <c r="G2886" s="218"/>
      <c r="H2886" s="218"/>
      <c r="I2886" s="218"/>
      <c r="J2886" s="218"/>
      <c r="K2886" s="218"/>
      <c r="L2886" s="218"/>
      <c r="M2886" s="218"/>
      <c r="N2886" s="218"/>
      <c r="O2886" s="218"/>
      <c r="P2886" s="218"/>
      <c r="Q2886" s="222"/>
      <c r="R2886" s="222"/>
      <c r="S2886" s="218"/>
      <c r="U2886" s="218"/>
      <c r="X2886" s="218"/>
      <c r="AB2886" t="e">
        <v>#N/A</v>
      </c>
    </row>
    <row r="2887">
      <c r="A2887" s="218"/>
      <c r="C2887" s="218"/>
      <c r="F2887" s="457"/>
      <c r="G2887" s="218"/>
      <c r="H2887" s="218"/>
      <c r="I2887" s="218"/>
      <c r="J2887" s="218"/>
      <c r="K2887" s="218"/>
      <c r="L2887" s="218"/>
      <c r="M2887" s="218"/>
      <c r="N2887" s="218"/>
      <c r="O2887" s="218"/>
      <c r="P2887" s="218"/>
      <c r="Q2887" s="222"/>
      <c r="R2887" s="222"/>
      <c r="S2887" s="218"/>
      <c r="U2887" s="218"/>
      <c r="X2887" s="218"/>
      <c r="AB2887" t="e">
        <v>#N/A</v>
      </c>
    </row>
    <row r="2888">
      <c r="A2888" s="218"/>
      <c r="C2888" s="218"/>
      <c r="F2888" s="457"/>
      <c r="G2888" s="218"/>
      <c r="H2888" s="218"/>
      <c r="I2888" s="218"/>
      <c r="J2888" s="218"/>
      <c r="K2888" s="218"/>
      <c r="L2888" s="218"/>
      <c r="M2888" s="218"/>
      <c r="N2888" s="218"/>
      <c r="O2888" s="218"/>
      <c r="P2888" s="218"/>
      <c r="Q2888" s="222"/>
      <c r="R2888" s="222"/>
      <c r="S2888" s="218"/>
      <c r="U2888" s="218"/>
      <c r="X2888" s="218"/>
      <c r="AB2888" t="e">
        <v>#N/A</v>
      </c>
    </row>
    <row r="2889">
      <c r="A2889" s="218"/>
      <c r="C2889" s="218"/>
      <c r="F2889" s="457"/>
      <c r="G2889" s="218"/>
      <c r="H2889" s="218"/>
      <c r="I2889" s="218"/>
      <c r="J2889" s="218"/>
      <c r="K2889" s="218"/>
      <c r="L2889" s="218"/>
      <c r="M2889" s="218"/>
      <c r="N2889" s="218"/>
      <c r="O2889" s="218"/>
      <c r="P2889" s="218"/>
      <c r="Q2889" s="222"/>
      <c r="R2889" s="222"/>
      <c r="S2889" s="218"/>
      <c r="U2889" s="218"/>
      <c r="X2889" s="218"/>
      <c r="AB2889" t="e">
        <v>#N/A</v>
      </c>
    </row>
    <row r="2890">
      <c r="A2890" s="218"/>
      <c r="C2890" s="218"/>
      <c r="F2890" s="457"/>
      <c r="G2890" s="218"/>
      <c r="H2890" s="218"/>
      <c r="I2890" s="218"/>
      <c r="J2890" s="218"/>
      <c r="K2890" s="218"/>
      <c r="L2890" s="218"/>
      <c r="M2890" s="218"/>
      <c r="N2890" s="218"/>
      <c r="O2890" s="218"/>
      <c r="P2890" s="218"/>
      <c r="Q2890" s="222"/>
      <c r="R2890" s="222"/>
      <c r="S2890" s="218"/>
      <c r="U2890" s="218"/>
      <c r="X2890" s="218"/>
      <c r="AB2890" t="e">
        <v>#N/A</v>
      </c>
    </row>
    <row r="2891">
      <c r="A2891" s="218"/>
      <c r="C2891" s="218"/>
      <c r="F2891" s="457"/>
      <c r="G2891" s="218"/>
      <c r="H2891" s="218"/>
      <c r="I2891" s="218"/>
      <c r="J2891" s="218"/>
      <c r="K2891" s="218"/>
      <c r="L2891" s="218"/>
      <c r="M2891" s="218"/>
      <c r="N2891" s="218"/>
      <c r="O2891" s="218"/>
      <c r="P2891" s="218"/>
      <c r="Q2891" s="222"/>
      <c r="R2891" s="222"/>
      <c r="S2891" s="218"/>
      <c r="U2891" s="218"/>
      <c r="X2891" s="218"/>
      <c r="AB2891" t="e">
        <v>#N/A</v>
      </c>
    </row>
    <row r="2892">
      <c r="A2892" s="218"/>
      <c r="C2892" s="218"/>
      <c r="F2892" s="457"/>
      <c r="G2892" s="218"/>
      <c r="H2892" s="218"/>
      <c r="I2892" s="218"/>
      <c r="J2892" s="218"/>
      <c r="K2892" s="218"/>
      <c r="L2892" s="218"/>
      <c r="M2892" s="218"/>
      <c r="N2892" s="218"/>
      <c r="O2892" s="218"/>
      <c r="P2892" s="218"/>
      <c r="Q2892" s="222"/>
      <c r="R2892" s="222"/>
      <c r="S2892" s="218"/>
      <c r="U2892" s="218"/>
      <c r="X2892" s="218"/>
      <c r="AB2892" t="e">
        <v>#N/A</v>
      </c>
    </row>
    <row r="2893">
      <c r="A2893" s="218"/>
      <c r="C2893" s="218"/>
      <c r="F2893" s="457"/>
      <c r="G2893" s="218"/>
      <c r="H2893" s="218"/>
      <c r="I2893" s="218"/>
      <c r="J2893" s="218"/>
      <c r="K2893" s="218"/>
      <c r="L2893" s="218"/>
      <c r="M2893" s="218"/>
      <c r="N2893" s="218"/>
      <c r="O2893" s="218"/>
      <c r="P2893" s="218"/>
      <c r="Q2893" s="222"/>
      <c r="R2893" s="222"/>
      <c r="S2893" s="218"/>
      <c r="U2893" s="218"/>
      <c r="X2893" s="218"/>
      <c r="AB2893" t="e">
        <v>#N/A</v>
      </c>
    </row>
    <row r="2894">
      <c r="A2894" s="218"/>
      <c r="C2894" s="218"/>
      <c r="F2894" s="457"/>
      <c r="G2894" s="218"/>
      <c r="H2894" s="218"/>
      <c r="I2894" s="218"/>
      <c r="J2894" s="218"/>
      <c r="K2894" s="218"/>
      <c r="L2894" s="218"/>
      <c r="M2894" s="218"/>
      <c r="N2894" s="218"/>
      <c r="O2894" s="218"/>
      <c r="P2894" s="218"/>
      <c r="Q2894" s="222"/>
      <c r="R2894" s="222"/>
      <c r="S2894" s="218"/>
      <c r="U2894" s="218"/>
      <c r="X2894" s="218"/>
      <c r="AB2894" t="e">
        <v>#N/A</v>
      </c>
    </row>
    <row r="2895">
      <c r="A2895" s="218"/>
      <c r="C2895" s="218"/>
      <c r="F2895" s="457"/>
      <c r="G2895" s="218"/>
      <c r="H2895" s="218"/>
      <c r="I2895" s="218"/>
      <c r="J2895" s="218"/>
      <c r="K2895" s="218"/>
      <c r="L2895" s="218"/>
      <c r="M2895" s="218"/>
      <c r="N2895" s="218"/>
      <c r="O2895" s="218"/>
      <c r="P2895" s="218"/>
      <c r="Q2895" s="222"/>
      <c r="R2895" s="222"/>
      <c r="S2895" s="218"/>
      <c r="U2895" s="218"/>
      <c r="X2895" s="218"/>
      <c r="AB2895" t="e">
        <v>#N/A</v>
      </c>
    </row>
    <row r="2896">
      <c r="A2896" s="218"/>
      <c r="C2896" s="218"/>
      <c r="F2896" s="457"/>
      <c r="G2896" s="218"/>
      <c r="H2896" s="218"/>
      <c r="I2896" s="218"/>
      <c r="J2896" s="218"/>
      <c r="K2896" s="218"/>
      <c r="L2896" s="218"/>
      <c r="M2896" s="218"/>
      <c r="N2896" s="218"/>
      <c r="O2896" s="218"/>
      <c r="P2896" s="218"/>
      <c r="Q2896" s="222"/>
      <c r="R2896" s="222"/>
      <c r="S2896" s="218"/>
      <c r="U2896" s="218"/>
      <c r="X2896" s="218"/>
      <c r="AB2896" t="e">
        <v>#N/A</v>
      </c>
    </row>
    <row r="2897">
      <c r="A2897" s="218"/>
      <c r="C2897" s="218"/>
      <c r="F2897" s="457"/>
      <c r="G2897" s="218"/>
      <c r="H2897" s="218"/>
      <c r="I2897" s="218"/>
      <c r="J2897" s="218"/>
      <c r="K2897" s="218"/>
      <c r="L2897" s="218"/>
      <c r="M2897" s="218"/>
      <c r="N2897" s="218"/>
      <c r="O2897" s="218"/>
      <c r="P2897" s="218"/>
      <c r="Q2897" s="222"/>
      <c r="R2897" s="222"/>
      <c r="S2897" s="218"/>
      <c r="U2897" s="218"/>
      <c r="X2897" s="218"/>
      <c r="AB2897" t="e">
        <v>#N/A</v>
      </c>
    </row>
    <row r="2898">
      <c r="A2898" s="218"/>
      <c r="C2898" s="218"/>
      <c r="F2898" s="457"/>
      <c r="G2898" s="218"/>
      <c r="H2898" s="218"/>
      <c r="I2898" s="218"/>
      <c r="J2898" s="218"/>
      <c r="K2898" s="218"/>
      <c r="L2898" s="218"/>
      <c r="M2898" s="218"/>
      <c r="N2898" s="218"/>
      <c r="O2898" s="218"/>
      <c r="P2898" s="218"/>
      <c r="Q2898" s="222"/>
      <c r="R2898" s="222"/>
      <c r="S2898" s="218"/>
      <c r="U2898" s="218"/>
      <c r="X2898" s="218"/>
      <c r="AB2898" t="e">
        <v>#N/A</v>
      </c>
    </row>
    <row r="2899">
      <c r="A2899" s="218"/>
      <c r="C2899" s="218"/>
      <c r="F2899" s="457"/>
      <c r="G2899" s="218"/>
      <c r="H2899" s="218"/>
      <c r="I2899" s="218"/>
      <c r="J2899" s="218"/>
      <c r="K2899" s="218"/>
      <c r="L2899" s="218"/>
      <c r="M2899" s="218"/>
      <c r="N2899" s="218"/>
      <c r="O2899" s="218"/>
      <c r="P2899" s="218"/>
      <c r="Q2899" s="222"/>
      <c r="R2899" s="222"/>
      <c r="S2899" s="218"/>
      <c r="U2899" s="218"/>
      <c r="X2899" s="218"/>
      <c r="AB2899" t="e">
        <v>#N/A</v>
      </c>
    </row>
    <row r="2900">
      <c r="A2900" s="218"/>
      <c r="C2900" s="218"/>
      <c r="F2900" s="457"/>
      <c r="G2900" s="218"/>
      <c r="H2900" s="218"/>
      <c r="I2900" s="218"/>
      <c r="J2900" s="218"/>
      <c r="K2900" s="218"/>
      <c r="L2900" s="218"/>
      <c r="M2900" s="218"/>
      <c r="N2900" s="218"/>
      <c r="O2900" s="218"/>
      <c r="P2900" s="218"/>
      <c r="Q2900" s="222"/>
      <c r="R2900" s="222"/>
      <c r="S2900" s="218"/>
      <c r="U2900" s="218"/>
      <c r="X2900" s="218"/>
      <c r="AB2900" t="e">
        <v>#N/A</v>
      </c>
    </row>
    <row r="2901">
      <c r="A2901" s="218"/>
      <c r="C2901" s="218"/>
      <c r="F2901" s="457"/>
      <c r="G2901" s="218"/>
      <c r="H2901" s="218"/>
      <c r="I2901" s="218"/>
      <c r="J2901" s="218"/>
      <c r="K2901" s="218"/>
      <c r="L2901" s="218"/>
      <c r="M2901" s="218"/>
      <c r="N2901" s="218"/>
      <c r="O2901" s="218"/>
      <c r="P2901" s="218"/>
      <c r="Q2901" s="222"/>
      <c r="R2901" s="222"/>
      <c r="S2901" s="218"/>
      <c r="U2901" s="218"/>
      <c r="X2901" s="218"/>
      <c r="AB2901" t="e">
        <v>#N/A</v>
      </c>
    </row>
    <row r="2902">
      <c r="A2902" s="218"/>
      <c r="C2902" s="218"/>
      <c r="F2902" s="457"/>
      <c r="G2902" s="218"/>
      <c r="H2902" s="218"/>
      <c r="I2902" s="218"/>
      <c r="J2902" s="218"/>
      <c r="K2902" s="218"/>
      <c r="L2902" s="218"/>
      <c r="M2902" s="218"/>
      <c r="N2902" s="218"/>
      <c r="O2902" s="218"/>
      <c r="P2902" s="218"/>
      <c r="Q2902" s="222"/>
      <c r="R2902" s="222"/>
      <c r="S2902" s="218"/>
      <c r="U2902" s="218"/>
      <c r="X2902" s="218"/>
      <c r="AB2902" t="e">
        <v>#N/A</v>
      </c>
    </row>
    <row r="2903">
      <c r="A2903" s="218"/>
      <c r="C2903" s="218"/>
      <c r="F2903" s="457"/>
      <c r="G2903" s="218"/>
      <c r="H2903" s="218"/>
      <c r="I2903" s="218"/>
      <c r="J2903" s="218"/>
      <c r="K2903" s="218"/>
      <c r="L2903" s="218"/>
      <c r="M2903" s="218"/>
      <c r="N2903" s="218"/>
      <c r="O2903" s="218"/>
      <c r="P2903" s="218"/>
      <c r="Q2903" s="222"/>
      <c r="R2903" s="222"/>
      <c r="S2903" s="218"/>
      <c r="U2903" s="218"/>
      <c r="X2903" s="218"/>
      <c r="AB2903" t="e">
        <v>#N/A</v>
      </c>
    </row>
    <row r="2904">
      <c r="A2904" s="218"/>
      <c r="C2904" s="218"/>
      <c r="F2904" s="457"/>
      <c r="G2904" s="218"/>
      <c r="H2904" s="218"/>
      <c r="I2904" s="218"/>
      <c r="J2904" s="218"/>
      <c r="K2904" s="218"/>
      <c r="L2904" s="218"/>
      <c r="M2904" s="218"/>
      <c r="N2904" s="218"/>
      <c r="O2904" s="218"/>
      <c r="P2904" s="218"/>
      <c r="Q2904" s="222"/>
      <c r="R2904" s="222"/>
      <c r="S2904" s="218"/>
      <c r="U2904" s="218"/>
      <c r="X2904" s="218"/>
      <c r="AB2904" t="e">
        <v>#N/A</v>
      </c>
    </row>
    <row r="2905">
      <c r="A2905" s="218"/>
      <c r="C2905" s="218"/>
      <c r="F2905" s="457"/>
      <c r="G2905" s="218"/>
      <c r="H2905" s="218"/>
      <c r="I2905" s="218"/>
      <c r="J2905" s="218"/>
      <c r="K2905" s="218"/>
      <c r="L2905" s="218"/>
      <c r="M2905" s="218"/>
      <c r="N2905" s="218"/>
      <c r="O2905" s="218"/>
      <c r="P2905" s="218"/>
      <c r="Q2905" s="222"/>
      <c r="R2905" s="222"/>
      <c r="S2905" s="218"/>
      <c r="U2905" s="218"/>
      <c r="X2905" s="218"/>
      <c r="AB2905" t="e">
        <v>#N/A</v>
      </c>
    </row>
    <row r="2906">
      <c r="A2906" s="218"/>
      <c r="C2906" s="218"/>
      <c r="F2906" s="457"/>
      <c r="G2906" s="218"/>
      <c r="H2906" s="218"/>
      <c r="I2906" s="218"/>
      <c r="J2906" s="218"/>
      <c r="K2906" s="218"/>
      <c r="L2906" s="218"/>
      <c r="M2906" s="218"/>
      <c r="N2906" s="218"/>
      <c r="O2906" s="218"/>
      <c r="P2906" s="218"/>
      <c r="Q2906" s="222"/>
      <c r="R2906" s="222"/>
      <c r="S2906" s="218"/>
      <c r="U2906" s="218"/>
      <c r="X2906" s="218"/>
      <c r="AB2906" t="e">
        <v>#N/A</v>
      </c>
    </row>
    <row r="2907">
      <c r="A2907" s="218"/>
      <c r="C2907" s="218"/>
      <c r="F2907" s="457"/>
      <c r="G2907" s="218"/>
      <c r="H2907" s="218"/>
      <c r="I2907" s="218"/>
      <c r="J2907" s="218"/>
      <c r="K2907" s="218"/>
      <c r="L2907" s="218"/>
      <c r="M2907" s="218"/>
      <c r="N2907" s="218"/>
      <c r="O2907" s="218"/>
      <c r="P2907" s="218"/>
      <c r="Q2907" s="222"/>
      <c r="R2907" s="222"/>
      <c r="S2907" s="218"/>
      <c r="U2907" s="218"/>
      <c r="X2907" s="218"/>
      <c r="AB2907" t="e">
        <v>#N/A</v>
      </c>
    </row>
    <row r="2908">
      <c r="A2908" s="218"/>
      <c r="C2908" s="218"/>
      <c r="F2908" s="457"/>
      <c r="G2908" s="218"/>
      <c r="H2908" s="218"/>
      <c r="I2908" s="218"/>
      <c r="J2908" s="218"/>
      <c r="K2908" s="218"/>
      <c r="L2908" s="218"/>
      <c r="M2908" s="218"/>
      <c r="N2908" s="218"/>
      <c r="O2908" s="218"/>
      <c r="P2908" s="218"/>
      <c r="Q2908" s="222"/>
      <c r="R2908" s="222"/>
      <c r="S2908" s="218"/>
      <c r="U2908" s="218"/>
      <c r="X2908" s="218"/>
      <c r="AB2908" t="e">
        <v>#N/A</v>
      </c>
    </row>
    <row r="2909">
      <c r="A2909" s="218"/>
      <c r="C2909" s="218"/>
      <c r="F2909" s="457"/>
      <c r="G2909" s="218"/>
      <c r="H2909" s="218"/>
      <c r="I2909" s="218"/>
      <c r="J2909" s="218"/>
      <c r="K2909" s="218"/>
      <c r="L2909" s="218"/>
      <c r="M2909" s="218"/>
      <c r="N2909" s="218"/>
      <c r="O2909" s="218"/>
      <c r="P2909" s="218"/>
      <c r="Q2909" s="222"/>
      <c r="R2909" s="222"/>
      <c r="S2909" s="218"/>
      <c r="U2909" s="218"/>
      <c r="X2909" s="218"/>
      <c r="AB2909" t="e">
        <v>#N/A</v>
      </c>
    </row>
    <row r="2910">
      <c r="A2910" s="218"/>
      <c r="C2910" s="218"/>
      <c r="F2910" s="457"/>
      <c r="G2910" s="218"/>
      <c r="H2910" s="218"/>
      <c r="I2910" s="218"/>
      <c r="J2910" s="218"/>
      <c r="K2910" s="218"/>
      <c r="L2910" s="218"/>
      <c r="M2910" s="218"/>
      <c r="N2910" s="218"/>
      <c r="O2910" s="218"/>
      <c r="P2910" s="218"/>
      <c r="Q2910" s="222"/>
      <c r="R2910" s="222"/>
      <c r="S2910" s="218"/>
      <c r="U2910" s="218"/>
      <c r="X2910" s="218"/>
      <c r="AB2910" t="e">
        <v>#N/A</v>
      </c>
    </row>
    <row r="2911">
      <c r="A2911" s="218"/>
      <c r="C2911" s="218"/>
      <c r="F2911" s="457"/>
      <c r="G2911" s="218"/>
      <c r="H2911" s="218"/>
      <c r="I2911" s="218"/>
      <c r="J2911" s="218"/>
      <c r="K2911" s="218"/>
      <c r="L2911" s="218"/>
      <c r="M2911" s="218"/>
      <c r="N2911" s="218"/>
      <c r="O2911" s="218"/>
      <c r="P2911" s="218"/>
      <c r="Q2911" s="222"/>
      <c r="R2911" s="222"/>
      <c r="S2911" s="218"/>
      <c r="U2911" s="218"/>
      <c r="X2911" s="218"/>
      <c r="AB2911" t="e">
        <v>#N/A</v>
      </c>
    </row>
    <row r="2912">
      <c r="A2912" s="218"/>
      <c r="C2912" s="218"/>
      <c r="F2912" s="457"/>
      <c r="G2912" s="218"/>
      <c r="H2912" s="218"/>
      <c r="I2912" s="218"/>
      <c r="J2912" s="218"/>
      <c r="K2912" s="218"/>
      <c r="L2912" s="218"/>
      <c r="M2912" s="218"/>
      <c r="N2912" s="218"/>
      <c r="O2912" s="218"/>
      <c r="P2912" s="218"/>
      <c r="Q2912" s="222"/>
      <c r="R2912" s="222"/>
      <c r="S2912" s="218"/>
      <c r="U2912" s="218"/>
      <c r="X2912" s="218"/>
      <c r="AB2912" t="e">
        <v>#N/A</v>
      </c>
    </row>
    <row r="2913">
      <c r="A2913" s="218"/>
      <c r="C2913" s="218"/>
      <c r="F2913" s="457"/>
      <c r="G2913" s="218"/>
      <c r="H2913" s="218"/>
      <c r="I2913" s="218"/>
      <c r="J2913" s="218"/>
      <c r="K2913" s="218"/>
      <c r="L2913" s="218"/>
      <c r="M2913" s="218"/>
      <c r="N2913" s="218"/>
      <c r="O2913" s="218"/>
      <c r="P2913" s="218"/>
      <c r="Q2913" s="222"/>
      <c r="R2913" s="222"/>
      <c r="S2913" s="218"/>
      <c r="U2913" s="218"/>
      <c r="X2913" s="218"/>
      <c r="AB2913" t="e">
        <v>#N/A</v>
      </c>
    </row>
    <row r="2914">
      <c r="A2914" s="218"/>
      <c r="C2914" s="218"/>
      <c r="F2914" s="457"/>
      <c r="G2914" s="218"/>
      <c r="H2914" s="218"/>
      <c r="I2914" s="218"/>
      <c r="J2914" s="218"/>
      <c r="K2914" s="218"/>
      <c r="L2914" s="218"/>
      <c r="M2914" s="218"/>
      <c r="N2914" s="218"/>
      <c r="O2914" s="218"/>
      <c r="P2914" s="218"/>
      <c r="Q2914" s="222"/>
      <c r="R2914" s="222"/>
      <c r="S2914" s="218"/>
      <c r="U2914" s="218"/>
      <c r="X2914" s="218"/>
      <c r="AB2914" t="e">
        <v>#N/A</v>
      </c>
    </row>
    <row r="2915">
      <c r="A2915" s="218"/>
      <c r="C2915" s="218"/>
      <c r="F2915" s="457"/>
      <c r="G2915" s="218"/>
      <c r="H2915" s="218"/>
      <c r="I2915" s="218"/>
      <c r="J2915" s="218"/>
      <c r="K2915" s="218"/>
      <c r="L2915" s="218"/>
      <c r="M2915" s="218"/>
      <c r="N2915" s="218"/>
      <c r="O2915" s="218"/>
      <c r="P2915" s="218"/>
      <c r="Q2915" s="222"/>
      <c r="R2915" s="222"/>
      <c r="S2915" s="218"/>
      <c r="U2915" s="218"/>
      <c r="X2915" s="218"/>
      <c r="AB2915" t="e">
        <v>#N/A</v>
      </c>
    </row>
    <row r="2916">
      <c r="A2916" s="218"/>
      <c r="C2916" s="218"/>
      <c r="F2916" s="457"/>
      <c r="G2916" s="218"/>
      <c r="H2916" s="218"/>
      <c r="I2916" s="218"/>
      <c r="J2916" s="218"/>
      <c r="K2916" s="218"/>
      <c r="L2916" s="218"/>
      <c r="M2916" s="218"/>
      <c r="N2916" s="218"/>
      <c r="O2916" s="218"/>
      <c r="P2916" s="218"/>
      <c r="Q2916" s="222"/>
      <c r="R2916" s="222"/>
      <c r="S2916" s="218"/>
      <c r="U2916" s="218"/>
      <c r="X2916" s="218"/>
      <c r="AB2916" t="e">
        <v>#N/A</v>
      </c>
    </row>
    <row r="2917">
      <c r="A2917" s="218"/>
      <c r="C2917" s="218"/>
      <c r="F2917" s="457"/>
      <c r="G2917" s="218"/>
      <c r="H2917" s="218"/>
      <c r="I2917" s="218"/>
      <c r="J2917" s="218"/>
      <c r="K2917" s="218"/>
      <c r="L2917" s="218"/>
      <c r="M2917" s="218"/>
      <c r="N2917" s="218"/>
      <c r="O2917" s="218"/>
      <c r="P2917" s="218"/>
      <c r="Q2917" s="222"/>
      <c r="R2917" s="222"/>
      <c r="S2917" s="218"/>
      <c r="U2917" s="218"/>
      <c r="X2917" s="218"/>
      <c r="AB2917" t="e">
        <v>#N/A</v>
      </c>
    </row>
    <row r="2918">
      <c r="A2918" s="218"/>
      <c r="C2918" s="218"/>
      <c r="F2918" s="457"/>
      <c r="G2918" s="218"/>
      <c r="H2918" s="218"/>
      <c r="I2918" s="218"/>
      <c r="J2918" s="218"/>
      <c r="K2918" s="218"/>
      <c r="L2918" s="218"/>
      <c r="M2918" s="218"/>
      <c r="N2918" s="218"/>
      <c r="O2918" s="218"/>
      <c r="P2918" s="218"/>
      <c r="Q2918" s="222"/>
      <c r="R2918" s="222"/>
      <c r="S2918" s="218"/>
      <c r="U2918" s="218"/>
      <c r="X2918" s="218"/>
      <c r="AB2918" t="e">
        <v>#N/A</v>
      </c>
    </row>
    <row r="2919">
      <c r="A2919" s="218"/>
      <c r="C2919" s="218"/>
      <c r="F2919" s="457"/>
      <c r="G2919" s="218"/>
      <c r="H2919" s="218"/>
      <c r="I2919" s="218"/>
      <c r="J2919" s="218"/>
      <c r="K2919" s="218"/>
      <c r="L2919" s="218"/>
      <c r="M2919" s="218"/>
      <c r="N2919" s="218"/>
      <c r="O2919" s="218"/>
      <c r="P2919" s="218"/>
      <c r="Q2919" s="222"/>
      <c r="R2919" s="222"/>
      <c r="S2919" s="218"/>
      <c r="U2919" s="218"/>
      <c r="X2919" s="218"/>
      <c r="AB2919" t="e">
        <v>#N/A</v>
      </c>
    </row>
    <row r="2920">
      <c r="A2920" s="218"/>
      <c r="C2920" s="218"/>
      <c r="F2920" s="457"/>
      <c r="G2920" s="218"/>
      <c r="H2920" s="218"/>
      <c r="I2920" s="218"/>
      <c r="J2920" s="218"/>
      <c r="K2920" s="218"/>
      <c r="L2920" s="218"/>
      <c r="M2920" s="218"/>
      <c r="N2920" s="218"/>
      <c r="O2920" s="218"/>
      <c r="P2920" s="218"/>
      <c r="Q2920" s="222"/>
      <c r="R2920" s="222"/>
      <c r="S2920" s="218"/>
      <c r="U2920" s="218"/>
      <c r="X2920" s="218"/>
      <c r="AB2920" t="e">
        <v>#N/A</v>
      </c>
    </row>
    <row r="2921">
      <c r="A2921" s="218"/>
      <c r="C2921" s="218"/>
      <c r="F2921" s="457"/>
      <c r="G2921" s="218"/>
      <c r="H2921" s="218"/>
      <c r="I2921" s="218"/>
      <c r="J2921" s="218"/>
      <c r="K2921" s="218"/>
      <c r="L2921" s="218"/>
      <c r="M2921" s="218"/>
      <c r="N2921" s="218"/>
      <c r="O2921" s="218"/>
      <c r="P2921" s="218"/>
      <c r="Q2921" s="222"/>
      <c r="R2921" s="222"/>
      <c r="S2921" s="218"/>
      <c r="U2921" s="218"/>
      <c r="X2921" s="218"/>
      <c r="AB2921" t="e">
        <v>#N/A</v>
      </c>
    </row>
    <row r="2922">
      <c r="A2922" s="218"/>
      <c r="C2922" s="218"/>
      <c r="F2922" s="457"/>
      <c r="G2922" s="218"/>
      <c r="H2922" s="218"/>
      <c r="I2922" s="218"/>
      <c r="J2922" s="218"/>
      <c r="K2922" s="218"/>
      <c r="L2922" s="218"/>
      <c r="M2922" s="218"/>
      <c r="N2922" s="218"/>
      <c r="O2922" s="218"/>
      <c r="P2922" s="218"/>
      <c r="Q2922" s="222"/>
      <c r="R2922" s="222"/>
      <c r="S2922" s="218"/>
      <c r="U2922" s="218"/>
      <c r="X2922" s="218"/>
      <c r="AB2922" t="e">
        <v>#N/A</v>
      </c>
    </row>
    <row r="2923">
      <c r="A2923" s="218"/>
      <c r="C2923" s="218"/>
      <c r="F2923" s="457"/>
      <c r="G2923" s="218"/>
      <c r="H2923" s="218"/>
      <c r="I2923" s="218"/>
      <c r="J2923" s="218"/>
      <c r="K2923" s="218"/>
      <c r="L2923" s="218"/>
      <c r="M2923" s="218"/>
      <c r="N2923" s="218"/>
      <c r="O2923" s="218"/>
      <c r="P2923" s="218"/>
      <c r="Q2923" s="222"/>
      <c r="R2923" s="222"/>
      <c r="S2923" s="218"/>
      <c r="U2923" s="218"/>
      <c r="X2923" s="218"/>
      <c r="AB2923" t="e">
        <v>#N/A</v>
      </c>
    </row>
    <row r="2924">
      <c r="A2924" s="218"/>
      <c r="C2924" s="218"/>
      <c r="F2924" s="457"/>
      <c r="G2924" s="218"/>
      <c r="H2924" s="218"/>
      <c r="I2924" s="218"/>
      <c r="J2924" s="218"/>
      <c r="K2924" s="218"/>
      <c r="L2924" s="218"/>
      <c r="M2924" s="218"/>
      <c r="N2924" s="218"/>
      <c r="O2924" s="218"/>
      <c r="P2924" s="218"/>
      <c r="Q2924" s="222"/>
      <c r="R2924" s="222"/>
      <c r="S2924" s="218"/>
      <c r="U2924" s="218"/>
      <c r="X2924" s="218"/>
      <c r="AB2924" t="e">
        <v>#N/A</v>
      </c>
    </row>
    <row r="2925">
      <c r="A2925" s="218"/>
      <c r="C2925" s="218"/>
      <c r="F2925" s="457"/>
      <c r="G2925" s="218"/>
      <c r="H2925" s="218"/>
      <c r="I2925" s="218"/>
      <c r="J2925" s="218"/>
      <c r="K2925" s="218"/>
      <c r="L2925" s="218"/>
      <c r="M2925" s="218"/>
      <c r="N2925" s="218"/>
      <c r="O2925" s="218"/>
      <c r="P2925" s="218"/>
      <c r="Q2925" s="222"/>
      <c r="R2925" s="222"/>
      <c r="S2925" s="218"/>
      <c r="U2925" s="218"/>
      <c r="X2925" s="218"/>
      <c r="AB2925" t="e">
        <v>#N/A</v>
      </c>
    </row>
    <row r="2926">
      <c r="A2926" s="218"/>
      <c r="C2926" s="218"/>
      <c r="F2926" s="457"/>
      <c r="G2926" s="218"/>
      <c r="H2926" s="218"/>
      <c r="I2926" s="218"/>
      <c r="J2926" s="218"/>
      <c r="K2926" s="218"/>
      <c r="L2926" s="218"/>
      <c r="M2926" s="218"/>
      <c r="N2926" s="218"/>
      <c r="O2926" s="218"/>
      <c r="P2926" s="218"/>
      <c r="Q2926" s="222"/>
      <c r="R2926" s="222"/>
      <c r="S2926" s="218"/>
      <c r="U2926" s="218"/>
      <c r="X2926" s="218"/>
      <c r="AB2926" t="e">
        <v>#N/A</v>
      </c>
    </row>
    <row r="2927">
      <c r="A2927" s="218"/>
      <c r="C2927" s="218"/>
      <c r="F2927" s="457"/>
      <c r="G2927" s="218"/>
      <c r="H2927" s="218"/>
      <c r="I2927" s="218"/>
      <c r="J2927" s="218"/>
      <c r="K2927" s="218"/>
      <c r="L2927" s="218"/>
      <c r="M2927" s="218"/>
      <c r="N2927" s="218"/>
      <c r="O2927" s="218"/>
      <c r="P2927" s="218"/>
      <c r="Q2927" s="222"/>
      <c r="R2927" s="222"/>
      <c r="S2927" s="218"/>
      <c r="U2927" s="218"/>
      <c r="X2927" s="218"/>
      <c r="AB2927" t="e">
        <v>#N/A</v>
      </c>
    </row>
    <row r="2928">
      <c r="A2928" s="218"/>
      <c r="C2928" s="218"/>
      <c r="F2928" s="457"/>
      <c r="G2928" s="218"/>
      <c r="H2928" s="218"/>
      <c r="I2928" s="218"/>
      <c r="J2928" s="218"/>
      <c r="K2928" s="218"/>
      <c r="L2928" s="218"/>
      <c r="M2928" s="218"/>
      <c r="N2928" s="218"/>
      <c r="O2928" s="218"/>
      <c r="P2928" s="218"/>
      <c r="Q2928" s="222"/>
      <c r="R2928" s="222"/>
      <c r="S2928" s="218"/>
      <c r="U2928" s="218"/>
      <c r="X2928" s="218"/>
      <c r="AB2928" t="e">
        <v>#N/A</v>
      </c>
    </row>
    <row r="2929">
      <c r="A2929" s="218"/>
      <c r="C2929" s="218"/>
      <c r="F2929" s="457"/>
      <c r="G2929" s="218"/>
      <c r="H2929" s="218"/>
      <c r="I2929" s="218"/>
      <c r="J2929" s="218"/>
      <c r="K2929" s="218"/>
      <c r="L2929" s="218"/>
      <c r="M2929" s="218"/>
      <c r="N2929" s="218"/>
      <c r="O2929" s="218"/>
      <c r="P2929" s="218"/>
      <c r="Q2929" s="222"/>
      <c r="R2929" s="222"/>
      <c r="S2929" s="218"/>
      <c r="U2929" s="218"/>
      <c r="X2929" s="218"/>
      <c r="AB2929" t="e">
        <v>#N/A</v>
      </c>
    </row>
    <row r="2930">
      <c r="A2930" s="218"/>
      <c r="C2930" s="218"/>
      <c r="F2930" s="457"/>
      <c r="G2930" s="218"/>
      <c r="H2930" s="218"/>
      <c r="I2930" s="218"/>
      <c r="J2930" s="218"/>
      <c r="K2930" s="218"/>
      <c r="L2930" s="218"/>
      <c r="M2930" s="218"/>
      <c r="N2930" s="218"/>
      <c r="O2930" s="218"/>
      <c r="P2930" s="218"/>
      <c r="Q2930" s="222"/>
      <c r="R2930" s="222"/>
      <c r="S2930" s="218"/>
      <c r="U2930" s="218"/>
      <c r="X2930" s="218"/>
      <c r="AB2930" t="e">
        <v>#N/A</v>
      </c>
    </row>
    <row r="2931">
      <c r="A2931" s="218"/>
      <c r="C2931" s="218"/>
      <c r="F2931" s="457"/>
      <c r="G2931" s="218"/>
      <c r="H2931" s="218"/>
      <c r="I2931" s="218"/>
      <c r="J2931" s="218"/>
      <c r="K2931" s="218"/>
      <c r="L2931" s="218"/>
      <c r="M2931" s="218"/>
      <c r="N2931" s="218"/>
      <c r="O2931" s="218"/>
      <c r="P2931" s="218"/>
      <c r="Q2931" s="222"/>
      <c r="R2931" s="222"/>
      <c r="S2931" s="218"/>
      <c r="U2931" s="218"/>
      <c r="X2931" s="218"/>
      <c r="AB2931" t="e">
        <v>#N/A</v>
      </c>
    </row>
    <row r="2932">
      <c r="A2932" s="218"/>
      <c r="C2932" s="218"/>
      <c r="F2932" s="457"/>
      <c r="G2932" s="218"/>
      <c r="H2932" s="218"/>
      <c r="I2932" s="218"/>
      <c r="J2932" s="218"/>
      <c r="K2932" s="218"/>
      <c r="L2932" s="218"/>
      <c r="M2932" s="218"/>
      <c r="N2932" s="218"/>
      <c r="O2932" s="218"/>
      <c r="P2932" s="218"/>
      <c r="Q2932" s="222"/>
      <c r="R2932" s="222"/>
      <c r="S2932" s="218"/>
      <c r="U2932" s="218"/>
      <c r="X2932" s="218"/>
      <c r="AB2932" t="e">
        <v>#N/A</v>
      </c>
    </row>
    <row r="2933">
      <c r="A2933" s="218"/>
      <c r="C2933" s="218"/>
      <c r="F2933" s="457"/>
      <c r="G2933" s="218"/>
      <c r="H2933" s="218"/>
      <c r="I2933" s="218"/>
      <c r="J2933" s="218"/>
      <c r="K2933" s="218"/>
      <c r="L2933" s="218"/>
      <c r="M2933" s="218"/>
      <c r="N2933" s="218"/>
      <c r="O2933" s="218"/>
      <c r="P2933" s="218"/>
      <c r="Q2933" s="222"/>
      <c r="R2933" s="222"/>
      <c r="S2933" s="218"/>
      <c r="U2933" s="218"/>
      <c r="X2933" s="218"/>
      <c r="AB2933" t="e">
        <v>#N/A</v>
      </c>
    </row>
    <row r="2934">
      <c r="A2934" s="218"/>
      <c r="C2934" s="218"/>
      <c r="F2934" s="457"/>
      <c r="G2934" s="218"/>
      <c r="H2934" s="218"/>
      <c r="I2934" s="218"/>
      <c r="J2934" s="218"/>
      <c r="K2934" s="218"/>
      <c r="L2934" s="218"/>
      <c r="M2934" s="218"/>
      <c r="N2934" s="218"/>
      <c r="O2934" s="218"/>
      <c r="P2934" s="218"/>
      <c r="Q2934" s="222"/>
      <c r="R2934" s="222"/>
      <c r="S2934" s="218"/>
      <c r="U2934" s="218"/>
      <c r="X2934" s="218"/>
      <c r="AB2934" t="e">
        <v>#N/A</v>
      </c>
    </row>
    <row r="2935">
      <c r="A2935" s="218"/>
      <c r="C2935" s="218"/>
      <c r="F2935" s="457"/>
      <c r="G2935" s="218"/>
      <c r="H2935" s="218"/>
      <c r="I2935" s="218"/>
      <c r="J2935" s="218"/>
      <c r="K2935" s="218"/>
      <c r="L2935" s="218"/>
      <c r="M2935" s="218"/>
      <c r="N2935" s="218"/>
      <c r="O2935" s="218"/>
      <c r="P2935" s="218"/>
      <c r="Q2935" s="222"/>
      <c r="R2935" s="222"/>
      <c r="S2935" s="218"/>
      <c r="U2935" s="218"/>
      <c r="X2935" s="218"/>
      <c r="AB2935" t="e">
        <v>#N/A</v>
      </c>
    </row>
    <row r="2936">
      <c r="A2936" s="218"/>
      <c r="C2936" s="218"/>
      <c r="F2936" s="457"/>
      <c r="G2936" s="218"/>
      <c r="H2936" s="218"/>
      <c r="I2936" s="218"/>
      <c r="J2936" s="218"/>
      <c r="K2936" s="218"/>
      <c r="L2936" s="218"/>
      <c r="M2936" s="218"/>
      <c r="N2936" s="218"/>
      <c r="O2936" s="218"/>
      <c r="P2936" s="218"/>
      <c r="Q2936" s="222"/>
      <c r="R2936" s="222"/>
      <c r="S2936" s="218"/>
      <c r="U2936" s="218"/>
      <c r="X2936" s="218"/>
      <c r="AB2936" t="e">
        <v>#N/A</v>
      </c>
    </row>
    <row r="2937">
      <c r="A2937" s="218"/>
      <c r="C2937" s="218"/>
      <c r="F2937" s="457"/>
      <c r="G2937" s="218"/>
      <c r="H2937" s="218"/>
      <c r="I2937" s="218"/>
      <c r="J2937" s="218"/>
      <c r="K2937" s="218"/>
      <c r="L2937" s="218"/>
      <c r="M2937" s="218"/>
      <c r="N2937" s="218"/>
      <c r="O2937" s="218"/>
      <c r="P2937" s="218"/>
      <c r="Q2937" s="222"/>
      <c r="R2937" s="222"/>
      <c r="S2937" s="218"/>
      <c r="U2937" s="218"/>
      <c r="X2937" s="218"/>
      <c r="AB2937" t="e">
        <v>#N/A</v>
      </c>
    </row>
    <row r="2938">
      <c r="A2938" s="218"/>
      <c r="C2938" s="218"/>
      <c r="F2938" s="457"/>
      <c r="G2938" s="218"/>
      <c r="H2938" s="218"/>
      <c r="I2938" s="218"/>
      <c r="J2938" s="218"/>
      <c r="K2938" s="218"/>
      <c r="L2938" s="218"/>
      <c r="M2938" s="218"/>
      <c r="N2938" s="218"/>
      <c r="O2938" s="218"/>
      <c r="P2938" s="218"/>
      <c r="Q2938" s="222"/>
      <c r="R2938" s="222"/>
      <c r="S2938" s="218"/>
      <c r="U2938" s="218"/>
      <c r="X2938" s="218"/>
      <c r="AB2938" t="e">
        <v>#N/A</v>
      </c>
    </row>
    <row r="2939">
      <c r="A2939" s="218"/>
      <c r="C2939" s="218"/>
      <c r="F2939" s="457"/>
      <c r="G2939" s="218"/>
      <c r="H2939" s="218"/>
      <c r="I2939" s="218"/>
      <c r="J2939" s="218"/>
      <c r="K2939" s="218"/>
      <c r="L2939" s="218"/>
      <c r="M2939" s="218"/>
      <c r="N2939" s="218"/>
      <c r="O2939" s="218"/>
      <c r="P2939" s="218"/>
      <c r="Q2939" s="222"/>
      <c r="R2939" s="222"/>
      <c r="S2939" s="218"/>
      <c r="U2939" s="218"/>
      <c r="X2939" s="218"/>
      <c r="AB2939" t="e">
        <v>#N/A</v>
      </c>
    </row>
    <row r="2940">
      <c r="A2940" s="218"/>
      <c r="C2940" s="218"/>
      <c r="F2940" s="457"/>
      <c r="G2940" s="218"/>
      <c r="H2940" s="218"/>
      <c r="I2940" s="218"/>
      <c r="J2940" s="218"/>
      <c r="K2940" s="218"/>
      <c r="L2940" s="218"/>
      <c r="M2940" s="218"/>
      <c r="N2940" s="218"/>
      <c r="O2940" s="218"/>
      <c r="P2940" s="218"/>
      <c r="Q2940" s="222"/>
      <c r="R2940" s="222"/>
      <c r="S2940" s="218"/>
      <c r="U2940" s="218"/>
      <c r="X2940" s="218"/>
      <c r="AB2940" t="e">
        <v>#N/A</v>
      </c>
    </row>
    <row r="2941">
      <c r="A2941" s="218"/>
      <c r="C2941" s="218"/>
      <c r="F2941" s="457"/>
      <c r="G2941" s="218"/>
      <c r="H2941" s="218"/>
      <c r="I2941" s="218"/>
      <c r="J2941" s="218"/>
      <c r="K2941" s="218"/>
      <c r="L2941" s="218"/>
      <c r="M2941" s="218"/>
      <c r="N2941" s="218"/>
      <c r="O2941" s="218"/>
      <c r="P2941" s="218"/>
      <c r="Q2941" s="222"/>
      <c r="R2941" s="222"/>
      <c r="S2941" s="218"/>
      <c r="U2941" s="218"/>
      <c r="X2941" s="218"/>
      <c r="AB2941" t="e">
        <v>#N/A</v>
      </c>
    </row>
    <row r="2942">
      <c r="A2942" s="218"/>
      <c r="C2942" s="218"/>
      <c r="F2942" s="457"/>
      <c r="G2942" s="218"/>
      <c r="H2942" s="218"/>
      <c r="I2942" s="218"/>
      <c r="J2942" s="218"/>
      <c r="K2942" s="218"/>
      <c r="L2942" s="218"/>
      <c r="M2942" s="218"/>
      <c r="N2942" s="218"/>
      <c r="O2942" s="218"/>
      <c r="P2942" s="218"/>
      <c r="Q2942" s="222"/>
      <c r="R2942" s="222"/>
      <c r="S2942" s="218"/>
      <c r="U2942" s="218"/>
      <c r="X2942" s="218"/>
      <c r="AB2942" t="e">
        <v>#N/A</v>
      </c>
    </row>
    <row r="2943">
      <c r="A2943" s="218"/>
      <c r="C2943" s="218"/>
      <c r="F2943" s="457"/>
      <c r="G2943" s="218"/>
      <c r="H2943" s="218"/>
      <c r="I2943" s="218"/>
      <c r="J2943" s="218"/>
      <c r="K2943" s="218"/>
      <c r="L2943" s="218"/>
      <c r="M2943" s="218"/>
      <c r="N2943" s="218"/>
      <c r="O2943" s="218"/>
      <c r="P2943" s="218"/>
      <c r="Q2943" s="222"/>
      <c r="R2943" s="222"/>
      <c r="S2943" s="218"/>
      <c r="U2943" s="218"/>
      <c r="X2943" s="218"/>
      <c r="AB2943" t="e">
        <v>#N/A</v>
      </c>
    </row>
    <row r="2944">
      <c r="A2944" s="218"/>
      <c r="C2944" s="218"/>
      <c r="F2944" s="457"/>
      <c r="G2944" s="218"/>
      <c r="H2944" s="218"/>
      <c r="I2944" s="218"/>
      <c r="J2944" s="218"/>
      <c r="K2944" s="218"/>
      <c r="L2944" s="218"/>
      <c r="M2944" s="218"/>
      <c r="N2944" s="218"/>
      <c r="O2944" s="218"/>
      <c r="P2944" s="218"/>
      <c r="Q2944" s="222"/>
      <c r="R2944" s="222"/>
      <c r="S2944" s="218"/>
      <c r="U2944" s="218"/>
      <c r="X2944" s="218"/>
      <c r="AB2944" t="e">
        <v>#N/A</v>
      </c>
    </row>
    <row r="2945">
      <c r="A2945" s="218"/>
      <c r="C2945" s="218"/>
      <c r="F2945" s="457"/>
      <c r="G2945" s="218"/>
      <c r="H2945" s="218"/>
      <c r="I2945" s="218"/>
      <c r="J2945" s="218"/>
      <c r="K2945" s="218"/>
      <c r="L2945" s="218"/>
      <c r="M2945" s="218"/>
      <c r="N2945" s="218"/>
      <c r="O2945" s="218"/>
      <c r="P2945" s="218"/>
      <c r="Q2945" s="222"/>
      <c r="R2945" s="222"/>
      <c r="S2945" s="218"/>
      <c r="U2945" s="218"/>
      <c r="X2945" s="218"/>
      <c r="AB2945" t="e">
        <v>#N/A</v>
      </c>
    </row>
    <row r="2946">
      <c r="A2946" s="218"/>
      <c r="C2946" s="218"/>
      <c r="F2946" s="457"/>
      <c r="G2946" s="218"/>
      <c r="H2946" s="218"/>
      <c r="I2946" s="218"/>
      <c r="J2946" s="218"/>
      <c r="K2946" s="218"/>
      <c r="L2946" s="218"/>
      <c r="M2946" s="218"/>
      <c r="N2946" s="218"/>
      <c r="O2946" s="218"/>
      <c r="P2946" s="218"/>
      <c r="Q2946" s="222"/>
      <c r="R2946" s="222"/>
      <c r="S2946" s="218"/>
      <c r="U2946" s="218"/>
      <c r="X2946" s="218"/>
      <c r="AB2946" t="e">
        <v>#N/A</v>
      </c>
    </row>
    <row r="2947">
      <c r="A2947" s="218"/>
      <c r="C2947" s="218"/>
      <c r="F2947" s="457"/>
      <c r="G2947" s="218"/>
      <c r="H2947" s="218"/>
      <c r="I2947" s="218"/>
      <c r="J2947" s="218"/>
      <c r="K2947" s="218"/>
      <c r="L2947" s="218"/>
      <c r="M2947" s="218"/>
      <c r="N2947" s="218"/>
      <c r="O2947" s="218"/>
      <c r="P2947" s="218"/>
      <c r="Q2947" s="222"/>
      <c r="R2947" s="222"/>
      <c r="S2947" s="218"/>
      <c r="U2947" s="218"/>
      <c r="X2947" s="218"/>
      <c r="AB2947" t="e">
        <v>#N/A</v>
      </c>
    </row>
    <row r="2948">
      <c r="A2948" s="218"/>
      <c r="C2948" s="218"/>
      <c r="F2948" s="457"/>
      <c r="G2948" s="218"/>
      <c r="H2948" s="218"/>
      <c r="I2948" s="218"/>
      <c r="J2948" s="218"/>
      <c r="K2948" s="218"/>
      <c r="L2948" s="218"/>
      <c r="M2948" s="218"/>
      <c r="N2948" s="218"/>
      <c r="O2948" s="218"/>
      <c r="P2948" s="218"/>
      <c r="Q2948" s="222"/>
      <c r="R2948" s="222"/>
      <c r="S2948" s="218"/>
      <c r="U2948" s="218"/>
      <c r="X2948" s="218"/>
      <c r="AB2948" t="e">
        <v>#N/A</v>
      </c>
    </row>
    <row r="2949">
      <c r="A2949" s="218"/>
      <c r="C2949" s="218"/>
      <c r="F2949" s="457"/>
      <c r="G2949" s="218"/>
      <c r="H2949" s="218"/>
      <c r="I2949" s="218"/>
      <c r="J2949" s="218"/>
      <c r="K2949" s="218"/>
      <c r="L2949" s="218"/>
      <c r="M2949" s="218"/>
      <c r="N2949" s="218"/>
      <c r="O2949" s="218"/>
      <c r="P2949" s="218"/>
      <c r="Q2949" s="222"/>
      <c r="R2949" s="222"/>
      <c r="S2949" s="218"/>
      <c r="U2949" s="218"/>
      <c r="X2949" s="218"/>
      <c r="AB2949" t="e">
        <v>#N/A</v>
      </c>
    </row>
    <row r="2950">
      <c r="A2950" s="218"/>
      <c r="C2950" s="218"/>
      <c r="F2950" s="457"/>
      <c r="G2950" s="218"/>
      <c r="H2950" s="218"/>
      <c r="I2950" s="218"/>
      <c r="J2950" s="218"/>
      <c r="K2950" s="218"/>
      <c r="L2950" s="218"/>
      <c r="M2950" s="218"/>
      <c r="N2950" s="218"/>
      <c r="O2950" s="218"/>
      <c r="P2950" s="218"/>
      <c r="Q2950" s="222"/>
      <c r="R2950" s="222"/>
      <c r="S2950" s="218"/>
      <c r="U2950" s="218"/>
      <c r="X2950" s="218"/>
      <c r="AB2950" t="e">
        <v>#N/A</v>
      </c>
    </row>
    <row r="2951">
      <c r="A2951" s="218"/>
      <c r="C2951" s="218"/>
      <c r="F2951" s="457"/>
      <c r="G2951" s="218"/>
      <c r="H2951" s="218"/>
      <c r="I2951" s="218"/>
      <c r="J2951" s="218"/>
      <c r="K2951" s="218"/>
      <c r="L2951" s="218"/>
      <c r="M2951" s="218"/>
      <c r="N2951" s="218"/>
      <c r="O2951" s="218"/>
      <c r="P2951" s="218"/>
      <c r="Q2951" s="222"/>
      <c r="R2951" s="222"/>
      <c r="S2951" s="218"/>
      <c r="U2951" s="218"/>
      <c r="X2951" s="218"/>
      <c r="AB2951" t="e">
        <v>#N/A</v>
      </c>
    </row>
    <row r="2952">
      <c r="A2952" s="218"/>
      <c r="C2952" s="218"/>
      <c r="F2952" s="457"/>
      <c r="G2952" s="218"/>
      <c r="H2952" s="218"/>
      <c r="I2952" s="218"/>
      <c r="J2952" s="218"/>
      <c r="K2952" s="218"/>
      <c r="L2952" s="218"/>
      <c r="M2952" s="218"/>
      <c r="N2952" s="218"/>
      <c r="O2952" s="218"/>
      <c r="P2952" s="218"/>
      <c r="Q2952" s="222"/>
      <c r="R2952" s="222"/>
      <c r="S2952" s="218"/>
      <c r="U2952" s="218"/>
      <c r="X2952" s="218"/>
      <c r="AB2952" t="e">
        <v>#N/A</v>
      </c>
    </row>
    <row r="2953">
      <c r="A2953" s="218"/>
      <c r="C2953" s="218"/>
      <c r="F2953" s="457"/>
      <c r="G2953" s="218"/>
      <c r="H2953" s="218"/>
      <c r="I2953" s="218"/>
      <c r="J2953" s="218"/>
      <c r="K2953" s="218"/>
      <c r="L2953" s="218"/>
      <c r="M2953" s="218"/>
      <c r="N2953" s="218"/>
      <c r="O2953" s="218"/>
      <c r="P2953" s="218"/>
      <c r="Q2953" s="222"/>
      <c r="R2953" s="222"/>
      <c r="S2953" s="218"/>
      <c r="U2953" s="218"/>
      <c r="X2953" s="218"/>
      <c r="AB2953" t="e">
        <v>#N/A</v>
      </c>
    </row>
    <row r="2954">
      <c r="A2954" s="218"/>
      <c r="C2954" s="218"/>
      <c r="F2954" s="457"/>
      <c r="G2954" s="218"/>
      <c r="H2954" s="218"/>
      <c r="I2954" s="218"/>
      <c r="J2954" s="218"/>
      <c r="K2954" s="218"/>
      <c r="L2954" s="218"/>
      <c r="M2954" s="218"/>
      <c r="N2954" s="218"/>
      <c r="O2954" s="218"/>
      <c r="P2954" s="218"/>
      <c r="Q2954" s="222"/>
      <c r="R2954" s="222"/>
      <c r="S2954" s="218"/>
      <c r="U2954" s="218"/>
      <c r="X2954" s="218"/>
      <c r="AB2954" t="e">
        <v>#N/A</v>
      </c>
    </row>
    <row r="2955">
      <c r="A2955" s="218"/>
      <c r="C2955" s="218"/>
      <c r="F2955" s="457"/>
      <c r="G2955" s="218"/>
      <c r="H2955" s="218"/>
      <c r="I2955" s="218"/>
      <c r="J2955" s="218"/>
      <c r="K2955" s="218"/>
      <c r="L2955" s="218"/>
      <c r="M2955" s="218"/>
      <c r="N2955" s="218"/>
      <c r="O2955" s="218"/>
      <c r="P2955" s="218"/>
      <c r="Q2955" s="222"/>
      <c r="R2955" s="222"/>
      <c r="S2955" s="218"/>
      <c r="U2955" s="218"/>
      <c r="X2955" s="218"/>
      <c r="AB2955" t="e">
        <v>#N/A</v>
      </c>
    </row>
    <row r="2956">
      <c r="A2956" s="218"/>
      <c r="C2956" s="218"/>
      <c r="F2956" s="457"/>
      <c r="G2956" s="218"/>
      <c r="H2956" s="218"/>
      <c r="I2956" s="218"/>
      <c r="J2956" s="218"/>
      <c r="K2956" s="218"/>
      <c r="L2956" s="218"/>
      <c r="M2956" s="218"/>
      <c r="N2956" s="218"/>
      <c r="O2956" s="218"/>
      <c r="P2956" s="218"/>
      <c r="Q2956" s="222"/>
      <c r="R2956" s="222"/>
      <c r="S2956" s="218"/>
      <c r="U2956" s="218"/>
      <c r="X2956" s="218"/>
      <c r="AB2956" t="e">
        <v>#N/A</v>
      </c>
    </row>
    <row r="2957">
      <c r="A2957" s="218"/>
      <c r="C2957" s="218"/>
      <c r="F2957" s="457"/>
      <c r="G2957" s="218"/>
      <c r="H2957" s="218"/>
      <c r="I2957" s="218"/>
      <c r="J2957" s="218"/>
      <c r="K2957" s="218"/>
      <c r="L2957" s="218"/>
      <c r="M2957" s="218"/>
      <c r="N2957" s="218"/>
      <c r="O2957" s="218"/>
      <c r="P2957" s="218"/>
      <c r="Q2957" s="222"/>
      <c r="R2957" s="222"/>
      <c r="S2957" s="218"/>
      <c r="U2957" s="218"/>
      <c r="X2957" s="218"/>
      <c r="AB2957" t="e">
        <v>#N/A</v>
      </c>
    </row>
    <row r="2958">
      <c r="A2958" s="218"/>
      <c r="C2958" s="218"/>
      <c r="F2958" s="457"/>
      <c r="G2958" s="218"/>
      <c r="H2958" s="218"/>
      <c r="I2958" s="218"/>
      <c r="J2958" s="218"/>
      <c r="K2958" s="218"/>
      <c r="L2958" s="218"/>
      <c r="M2958" s="218"/>
      <c r="N2958" s="218"/>
      <c r="O2958" s="218"/>
      <c r="P2958" s="218"/>
      <c r="Q2958" s="222"/>
      <c r="R2958" s="222"/>
      <c r="S2958" s="218"/>
      <c r="U2958" s="218"/>
      <c r="X2958" s="218"/>
      <c r="AB2958" t="e">
        <v>#N/A</v>
      </c>
    </row>
    <row r="2959">
      <c r="A2959" s="218"/>
      <c r="C2959" s="218"/>
      <c r="F2959" s="457"/>
      <c r="G2959" s="218"/>
      <c r="H2959" s="218"/>
      <c r="I2959" s="218"/>
      <c r="J2959" s="218"/>
      <c r="K2959" s="218"/>
      <c r="L2959" s="218"/>
      <c r="M2959" s="218"/>
      <c r="N2959" s="218"/>
      <c r="O2959" s="218"/>
      <c r="P2959" s="218"/>
      <c r="Q2959" s="222"/>
      <c r="R2959" s="222"/>
      <c r="S2959" s="218"/>
      <c r="U2959" s="218"/>
      <c r="X2959" s="218"/>
      <c r="AB2959" t="e">
        <v>#N/A</v>
      </c>
    </row>
    <row r="2960">
      <c r="A2960" s="218"/>
      <c r="C2960" s="218"/>
      <c r="F2960" s="457"/>
      <c r="G2960" s="218"/>
      <c r="H2960" s="218"/>
      <c r="I2960" s="218"/>
      <c r="J2960" s="218"/>
      <c r="K2960" s="218"/>
      <c r="L2960" s="218"/>
      <c r="M2960" s="218"/>
      <c r="N2960" s="218"/>
      <c r="O2960" s="218"/>
      <c r="P2960" s="218"/>
      <c r="Q2960" s="222"/>
      <c r="R2960" s="222"/>
      <c r="S2960" s="218"/>
      <c r="U2960" s="218"/>
      <c r="X2960" s="218"/>
      <c r="AB2960" t="e">
        <v>#N/A</v>
      </c>
    </row>
    <row r="2961">
      <c r="A2961" s="218"/>
      <c r="C2961" s="218"/>
      <c r="F2961" s="457"/>
      <c r="G2961" s="218"/>
      <c r="H2961" s="218"/>
      <c r="I2961" s="218"/>
      <c r="J2961" s="218"/>
      <c r="K2961" s="218"/>
      <c r="L2961" s="218"/>
      <c r="M2961" s="218"/>
      <c r="N2961" s="218"/>
      <c r="O2961" s="218"/>
      <c r="P2961" s="218"/>
      <c r="Q2961" s="222"/>
      <c r="R2961" s="222"/>
      <c r="S2961" s="218"/>
      <c r="U2961" s="218"/>
      <c r="X2961" s="218"/>
      <c r="AB2961" t="e">
        <v>#N/A</v>
      </c>
    </row>
    <row r="2962">
      <c r="A2962" s="218"/>
      <c r="C2962" s="218"/>
      <c r="F2962" s="457"/>
      <c r="G2962" s="218"/>
      <c r="H2962" s="218"/>
      <c r="I2962" s="218"/>
      <c r="J2962" s="218"/>
      <c r="K2962" s="218"/>
      <c r="L2962" s="218"/>
      <c r="M2962" s="218"/>
      <c r="N2962" s="218"/>
      <c r="O2962" s="218"/>
      <c r="P2962" s="218"/>
      <c r="Q2962" s="222"/>
      <c r="R2962" s="222"/>
      <c r="S2962" s="218"/>
      <c r="U2962" s="218"/>
      <c r="X2962" s="218"/>
      <c r="AB2962" t="e">
        <v>#N/A</v>
      </c>
    </row>
    <row r="2963">
      <c r="A2963" s="218"/>
      <c r="C2963" s="218"/>
      <c r="F2963" s="457"/>
      <c r="G2963" s="218"/>
      <c r="H2963" s="218"/>
      <c r="I2963" s="218"/>
      <c r="J2963" s="218"/>
      <c r="K2963" s="218"/>
      <c r="L2963" s="218"/>
      <c r="M2963" s="218"/>
      <c r="N2963" s="218"/>
      <c r="O2963" s="218"/>
      <c r="P2963" s="218"/>
      <c r="Q2963" s="222"/>
      <c r="R2963" s="222"/>
      <c r="S2963" s="218"/>
      <c r="U2963" s="218"/>
      <c r="X2963" s="218"/>
      <c r="AB2963" t="e">
        <v>#N/A</v>
      </c>
    </row>
    <row r="2964">
      <c r="A2964" s="218"/>
      <c r="C2964" s="218"/>
      <c r="F2964" s="457"/>
      <c r="G2964" s="218"/>
      <c r="H2964" s="218"/>
      <c r="I2964" s="218"/>
      <c r="J2964" s="218"/>
      <c r="K2964" s="218"/>
      <c r="L2964" s="218"/>
      <c r="M2964" s="218"/>
      <c r="N2964" s="218"/>
      <c r="O2964" s="218"/>
      <c r="P2964" s="218"/>
      <c r="Q2964" s="222"/>
      <c r="R2964" s="222"/>
      <c r="S2964" s="218"/>
      <c r="U2964" s="218"/>
      <c r="X2964" s="218"/>
      <c r="AB2964" t="e">
        <v>#N/A</v>
      </c>
    </row>
    <row r="2965">
      <c r="A2965" s="218"/>
      <c r="C2965" s="218"/>
      <c r="F2965" s="457"/>
      <c r="G2965" s="218"/>
      <c r="H2965" s="218"/>
      <c r="I2965" s="218"/>
      <c r="J2965" s="218"/>
      <c r="K2965" s="218"/>
      <c r="L2965" s="218"/>
      <c r="M2965" s="218"/>
      <c r="N2965" s="218"/>
      <c r="O2965" s="218"/>
      <c r="P2965" s="218"/>
      <c r="Q2965" s="222"/>
      <c r="R2965" s="222"/>
      <c r="S2965" s="218"/>
      <c r="U2965" s="218"/>
      <c r="X2965" s="218"/>
      <c r="AB2965" t="e">
        <v>#N/A</v>
      </c>
    </row>
    <row r="2966">
      <c r="A2966" s="218"/>
      <c r="C2966" s="218"/>
      <c r="F2966" s="457"/>
      <c r="G2966" s="218"/>
      <c r="H2966" s="218"/>
      <c r="I2966" s="218"/>
      <c r="J2966" s="218"/>
      <c r="K2966" s="218"/>
      <c r="L2966" s="218"/>
      <c r="M2966" s="218"/>
      <c r="N2966" s="218"/>
      <c r="O2966" s="218"/>
      <c r="P2966" s="218"/>
      <c r="Q2966" s="222"/>
      <c r="R2966" s="222"/>
      <c r="S2966" s="218"/>
      <c r="U2966" s="218"/>
      <c r="X2966" s="218"/>
      <c r="AB2966" t="e">
        <v>#N/A</v>
      </c>
    </row>
    <row r="2967">
      <c r="A2967" s="218"/>
      <c r="C2967" s="218"/>
      <c r="F2967" s="457"/>
      <c r="G2967" s="218"/>
      <c r="H2967" s="218"/>
      <c r="I2967" s="218"/>
      <c r="J2967" s="218"/>
      <c r="K2967" s="218"/>
      <c r="L2967" s="218"/>
      <c r="M2967" s="218"/>
      <c r="N2967" s="218"/>
      <c r="O2967" s="218"/>
      <c r="P2967" s="218"/>
      <c r="Q2967" s="222"/>
      <c r="R2967" s="222"/>
      <c r="S2967" s="218"/>
      <c r="U2967" s="218"/>
      <c r="X2967" s="218"/>
      <c r="AB2967" t="e">
        <v>#N/A</v>
      </c>
    </row>
    <row r="2968">
      <c r="A2968" s="218"/>
      <c r="C2968" s="218"/>
      <c r="F2968" s="457"/>
      <c r="G2968" s="218"/>
      <c r="H2968" s="218"/>
      <c r="I2968" s="218"/>
      <c r="J2968" s="218"/>
      <c r="K2968" s="218"/>
      <c r="L2968" s="218"/>
      <c r="M2968" s="218"/>
      <c r="N2968" s="218"/>
      <c r="O2968" s="218"/>
      <c r="P2968" s="218"/>
      <c r="Q2968" s="222"/>
      <c r="R2968" s="222"/>
      <c r="S2968" s="218"/>
      <c r="U2968" s="218"/>
      <c r="X2968" s="218"/>
      <c r="AB2968" t="e">
        <v>#N/A</v>
      </c>
    </row>
    <row r="2969">
      <c r="A2969" s="218"/>
      <c r="C2969" s="218"/>
      <c r="F2969" s="457"/>
      <c r="G2969" s="218"/>
      <c r="H2969" s="218"/>
      <c r="I2969" s="218"/>
      <c r="J2969" s="218"/>
      <c r="K2969" s="218"/>
      <c r="L2969" s="218"/>
      <c r="M2969" s="218"/>
      <c r="N2969" s="218"/>
      <c r="O2969" s="218"/>
      <c r="P2969" s="218"/>
      <c r="Q2969" s="222"/>
      <c r="R2969" s="222"/>
      <c r="S2969" s="218"/>
      <c r="U2969" s="218"/>
      <c r="X2969" s="218"/>
      <c r="AB2969" t="e">
        <v>#N/A</v>
      </c>
    </row>
    <row r="2970">
      <c r="A2970" s="218"/>
      <c r="C2970" s="218"/>
      <c r="F2970" s="457"/>
      <c r="G2970" s="218"/>
      <c r="H2970" s="218"/>
      <c r="I2970" s="218"/>
      <c r="J2970" s="218"/>
      <c r="K2970" s="218"/>
      <c r="L2970" s="218"/>
      <c r="M2970" s="218"/>
      <c r="N2970" s="218"/>
      <c r="O2970" s="218"/>
      <c r="P2970" s="218"/>
      <c r="Q2970" s="222"/>
      <c r="R2970" s="222"/>
      <c r="S2970" s="218"/>
      <c r="U2970" s="218"/>
      <c r="X2970" s="218"/>
      <c r="AB2970" t="e">
        <v>#N/A</v>
      </c>
    </row>
    <row r="2971">
      <c r="A2971" s="218"/>
      <c r="C2971" s="218"/>
      <c r="F2971" s="457"/>
      <c r="G2971" s="218"/>
      <c r="H2971" s="218"/>
      <c r="I2971" s="218"/>
      <c r="J2971" s="218"/>
      <c r="K2971" s="218"/>
      <c r="L2971" s="218"/>
      <c r="M2971" s="218"/>
      <c r="N2971" s="218"/>
      <c r="O2971" s="218"/>
      <c r="P2971" s="218"/>
      <c r="Q2971" s="222"/>
      <c r="R2971" s="222"/>
      <c r="S2971" s="218"/>
      <c r="U2971" s="218"/>
      <c r="X2971" s="218"/>
      <c r="AB2971" t="e">
        <v>#N/A</v>
      </c>
    </row>
    <row r="2972">
      <c r="A2972" s="218"/>
      <c r="C2972" s="218"/>
      <c r="F2972" s="457"/>
      <c r="G2972" s="218"/>
      <c r="H2972" s="218"/>
      <c r="I2972" s="218"/>
      <c r="J2972" s="218"/>
      <c r="K2972" s="218"/>
      <c r="L2972" s="218"/>
      <c r="M2972" s="218"/>
      <c r="N2972" s="218"/>
      <c r="O2972" s="218"/>
      <c r="P2972" s="218"/>
      <c r="Q2972" s="222"/>
      <c r="R2972" s="222"/>
      <c r="S2972" s="218"/>
      <c r="U2972" s="218"/>
      <c r="X2972" s="218"/>
      <c r="AB2972" t="e">
        <v>#N/A</v>
      </c>
    </row>
    <row r="2973">
      <c r="A2973" s="218"/>
      <c r="C2973" s="218"/>
      <c r="F2973" s="457"/>
      <c r="G2973" s="218"/>
      <c r="H2973" s="218"/>
      <c r="I2973" s="218"/>
      <c r="J2973" s="218"/>
      <c r="K2973" s="218"/>
      <c r="L2973" s="218"/>
      <c r="M2973" s="218"/>
      <c r="N2973" s="218"/>
      <c r="O2973" s="218"/>
      <c r="P2973" s="218"/>
      <c r="Q2973" s="222"/>
      <c r="R2973" s="222"/>
      <c r="S2973" s="218"/>
      <c r="U2973" s="218"/>
      <c r="X2973" s="218"/>
      <c r="AB2973" t="e">
        <v>#N/A</v>
      </c>
    </row>
    <row r="2974">
      <c r="A2974" s="218"/>
      <c r="C2974" s="218"/>
      <c r="F2974" s="457"/>
      <c r="G2974" s="218"/>
      <c r="H2974" s="218"/>
      <c r="I2974" s="218"/>
      <c r="J2974" s="218"/>
      <c r="K2974" s="218"/>
      <c r="L2974" s="218"/>
      <c r="M2974" s="218"/>
      <c r="N2974" s="218"/>
      <c r="O2974" s="218"/>
      <c r="P2974" s="218"/>
      <c r="Q2974" s="222"/>
      <c r="R2974" s="222"/>
      <c r="S2974" s="218"/>
      <c r="U2974" s="218"/>
      <c r="X2974" s="218"/>
      <c r="AB2974" t="e">
        <v>#N/A</v>
      </c>
    </row>
    <row r="2975">
      <c r="A2975" s="218"/>
      <c r="C2975" s="218"/>
      <c r="F2975" s="457"/>
      <c r="G2975" s="218"/>
      <c r="H2975" s="218"/>
      <c r="I2975" s="218"/>
      <c r="J2975" s="218"/>
      <c r="K2975" s="218"/>
      <c r="L2975" s="218"/>
      <c r="M2975" s="218"/>
      <c r="N2975" s="218"/>
      <c r="O2975" s="218"/>
      <c r="P2975" s="218"/>
      <c r="Q2975" s="222"/>
      <c r="R2975" s="222"/>
      <c r="S2975" s="218"/>
      <c r="U2975" s="218"/>
      <c r="X2975" s="218"/>
      <c r="AB2975" t="e">
        <v>#N/A</v>
      </c>
    </row>
    <row r="2976">
      <c r="A2976" s="218"/>
      <c r="C2976" s="218"/>
      <c r="F2976" s="457"/>
      <c r="G2976" s="218"/>
      <c r="H2976" s="218"/>
      <c r="I2976" s="218"/>
      <c r="J2976" s="218"/>
      <c r="K2976" s="218"/>
      <c r="L2976" s="218"/>
      <c r="M2976" s="218"/>
      <c r="N2976" s="218"/>
      <c r="O2976" s="218"/>
      <c r="P2976" s="218"/>
      <c r="Q2976" s="222"/>
      <c r="R2976" s="222"/>
      <c r="S2976" s="218"/>
      <c r="U2976" s="218"/>
      <c r="X2976" s="218"/>
      <c r="AB2976" t="e">
        <v>#N/A</v>
      </c>
    </row>
    <row r="2977">
      <c r="A2977" s="218"/>
      <c r="C2977" s="218"/>
      <c r="F2977" s="457"/>
      <c r="G2977" s="218"/>
      <c r="H2977" s="218"/>
      <c r="I2977" s="218"/>
      <c r="J2977" s="218"/>
      <c r="K2977" s="218"/>
      <c r="L2977" s="218"/>
      <c r="M2977" s="218"/>
      <c r="N2977" s="218"/>
      <c r="O2977" s="218"/>
      <c r="P2977" s="218"/>
      <c r="Q2977" s="222"/>
      <c r="R2977" s="222"/>
      <c r="S2977" s="218"/>
      <c r="U2977" s="218"/>
      <c r="X2977" s="218"/>
      <c r="AB2977" t="e">
        <v>#N/A</v>
      </c>
    </row>
    <row r="2978">
      <c r="A2978" s="218"/>
      <c r="C2978" s="218"/>
      <c r="F2978" s="457"/>
      <c r="G2978" s="218"/>
      <c r="H2978" s="218"/>
      <c r="I2978" s="218"/>
      <c r="J2978" s="218"/>
      <c r="K2978" s="218"/>
      <c r="L2978" s="218"/>
      <c r="M2978" s="218"/>
      <c r="N2978" s="218"/>
      <c r="O2978" s="218"/>
      <c r="P2978" s="218"/>
      <c r="Q2978" s="222"/>
      <c r="R2978" s="222"/>
      <c r="S2978" s="218"/>
      <c r="U2978" s="218"/>
      <c r="X2978" s="218"/>
      <c r="AB2978" t="e">
        <v>#N/A</v>
      </c>
    </row>
    <row r="2979">
      <c r="A2979" s="218"/>
      <c r="C2979" s="218"/>
      <c r="F2979" s="457"/>
      <c r="G2979" s="218"/>
      <c r="H2979" s="218"/>
      <c r="I2979" s="218"/>
      <c r="J2979" s="218"/>
      <c r="K2979" s="218"/>
      <c r="L2979" s="218"/>
      <c r="M2979" s="218"/>
      <c r="N2979" s="218"/>
      <c r="O2979" s="218"/>
      <c r="P2979" s="218"/>
      <c r="Q2979" s="222"/>
      <c r="R2979" s="222"/>
      <c r="S2979" s="218"/>
      <c r="U2979" s="218"/>
      <c r="X2979" s="218"/>
      <c r="AB2979" t="e">
        <v>#N/A</v>
      </c>
    </row>
    <row r="2980">
      <c r="A2980" s="218"/>
      <c r="C2980" s="218"/>
      <c r="F2980" s="457"/>
      <c r="G2980" s="218"/>
      <c r="H2980" s="218"/>
      <c r="I2980" s="218"/>
      <c r="J2980" s="218"/>
      <c r="K2980" s="218"/>
      <c r="L2980" s="218"/>
      <c r="M2980" s="218"/>
      <c r="N2980" s="218"/>
      <c r="O2980" s="218"/>
      <c r="P2980" s="218"/>
      <c r="Q2980" s="222"/>
      <c r="R2980" s="222"/>
      <c r="S2980" s="218"/>
      <c r="U2980" s="218"/>
      <c r="X2980" s="218"/>
      <c r="AB2980" t="e">
        <v>#N/A</v>
      </c>
    </row>
    <row r="2981">
      <c r="A2981" s="218"/>
      <c r="C2981" s="218"/>
      <c r="F2981" s="457"/>
      <c r="G2981" s="218"/>
      <c r="H2981" s="218"/>
      <c r="I2981" s="218"/>
      <c r="J2981" s="218"/>
      <c r="K2981" s="218"/>
      <c r="L2981" s="218"/>
      <c r="M2981" s="218"/>
      <c r="N2981" s="218"/>
      <c r="O2981" s="218"/>
      <c r="P2981" s="218"/>
      <c r="Q2981" s="222"/>
      <c r="R2981" s="222"/>
      <c r="S2981" s="218"/>
      <c r="U2981" s="218"/>
      <c r="X2981" s="218"/>
      <c r="AB2981" t="e">
        <v>#N/A</v>
      </c>
    </row>
    <row r="2982">
      <c r="A2982" s="218"/>
      <c r="C2982" s="218"/>
      <c r="F2982" s="457"/>
      <c r="G2982" s="218"/>
      <c r="H2982" s="218"/>
      <c r="I2982" s="218"/>
      <c r="J2982" s="218"/>
      <c r="K2982" s="218"/>
      <c r="L2982" s="218"/>
      <c r="M2982" s="218"/>
      <c r="N2982" s="218"/>
      <c r="O2982" s="218"/>
      <c r="P2982" s="218"/>
      <c r="Q2982" s="222"/>
      <c r="R2982" s="222"/>
      <c r="S2982" s="218"/>
      <c r="U2982" s="218"/>
      <c r="X2982" s="218"/>
      <c r="AB2982" t="e">
        <v>#N/A</v>
      </c>
    </row>
    <row r="2983">
      <c r="A2983" s="218"/>
      <c r="C2983" s="218"/>
      <c r="F2983" s="457"/>
      <c r="G2983" s="218"/>
      <c r="H2983" s="218"/>
      <c r="I2983" s="218"/>
      <c r="J2983" s="218"/>
      <c r="K2983" s="218"/>
      <c r="L2983" s="218"/>
      <c r="M2983" s="218"/>
      <c r="N2983" s="218"/>
      <c r="O2983" s="218"/>
      <c r="P2983" s="218"/>
      <c r="Q2983" s="222"/>
      <c r="R2983" s="222"/>
      <c r="S2983" s="218"/>
      <c r="U2983" s="218"/>
      <c r="X2983" s="218"/>
      <c r="AB2983" t="e">
        <v>#N/A</v>
      </c>
    </row>
    <row r="2984">
      <c r="A2984" s="218"/>
      <c r="C2984" s="218"/>
      <c r="F2984" s="457"/>
      <c r="G2984" s="218"/>
      <c r="H2984" s="218"/>
      <c r="I2984" s="218"/>
      <c r="J2984" s="218"/>
      <c r="K2984" s="218"/>
      <c r="L2984" s="218"/>
      <c r="M2984" s="218"/>
      <c r="N2984" s="218"/>
      <c r="O2984" s="218"/>
      <c r="P2984" s="218"/>
      <c r="Q2984" s="222"/>
      <c r="R2984" s="222"/>
      <c r="S2984" s="218"/>
      <c r="U2984" s="218"/>
      <c r="X2984" s="218"/>
      <c r="AB2984" t="e">
        <v>#N/A</v>
      </c>
    </row>
    <row r="2985">
      <c r="A2985" s="218"/>
      <c r="C2985" s="218"/>
      <c r="F2985" s="457"/>
      <c r="G2985" s="218"/>
      <c r="H2985" s="218"/>
      <c r="I2985" s="218"/>
      <c r="J2985" s="218"/>
      <c r="K2985" s="218"/>
      <c r="L2985" s="218"/>
      <c r="M2985" s="218"/>
      <c r="N2985" s="218"/>
      <c r="O2985" s="218"/>
      <c r="P2985" s="218"/>
      <c r="Q2985" s="222"/>
      <c r="R2985" s="222"/>
      <c r="S2985" s="218"/>
      <c r="U2985" s="218"/>
      <c r="X2985" s="218"/>
      <c r="AB2985" t="e">
        <v>#N/A</v>
      </c>
    </row>
    <row r="2986">
      <c r="A2986" s="218"/>
      <c r="C2986" s="218"/>
      <c r="F2986" s="457"/>
      <c r="G2986" s="218"/>
      <c r="H2986" s="218"/>
      <c r="I2986" s="218"/>
      <c r="J2986" s="218"/>
      <c r="K2986" s="218"/>
      <c r="L2986" s="218"/>
      <c r="M2986" s="218"/>
      <c r="N2986" s="218"/>
      <c r="O2986" s="218"/>
      <c r="P2986" s="218"/>
      <c r="Q2986" s="222"/>
      <c r="R2986" s="222"/>
      <c r="S2986" s="218"/>
      <c r="U2986" s="218"/>
      <c r="X2986" s="218"/>
      <c r="AB2986" t="e">
        <v>#N/A</v>
      </c>
    </row>
    <row r="2987">
      <c r="A2987" s="218"/>
      <c r="C2987" s="218"/>
      <c r="F2987" s="457"/>
      <c r="G2987" s="218"/>
      <c r="H2987" s="218"/>
      <c r="I2987" s="218"/>
      <c r="J2987" s="218"/>
      <c r="K2987" s="218"/>
      <c r="L2987" s="218"/>
      <c r="M2987" s="218"/>
      <c r="N2987" s="218"/>
      <c r="O2987" s="218"/>
      <c r="P2987" s="218"/>
      <c r="Q2987" s="222"/>
      <c r="R2987" s="222"/>
      <c r="S2987" s="218"/>
      <c r="U2987" s="218"/>
      <c r="X2987" s="218"/>
      <c r="AB2987" t="e">
        <v>#N/A</v>
      </c>
    </row>
    <row r="2988">
      <c r="A2988" s="218"/>
      <c r="C2988" s="218"/>
      <c r="F2988" s="457"/>
      <c r="G2988" s="218"/>
      <c r="H2988" s="218"/>
      <c r="I2988" s="218"/>
      <c r="J2988" s="218"/>
      <c r="K2988" s="218"/>
      <c r="L2988" s="218"/>
      <c r="M2988" s="218"/>
      <c r="N2988" s="218"/>
      <c r="O2988" s="218"/>
      <c r="P2988" s="218"/>
      <c r="Q2988" s="222"/>
      <c r="R2988" s="222"/>
      <c r="S2988" s="218"/>
      <c r="U2988" s="218"/>
      <c r="X2988" s="218"/>
      <c r="AB2988" t="e">
        <v>#N/A</v>
      </c>
    </row>
    <row r="2989">
      <c r="A2989" s="218"/>
      <c r="C2989" s="218"/>
      <c r="F2989" s="457"/>
      <c r="G2989" s="218"/>
      <c r="H2989" s="218"/>
      <c r="I2989" s="218"/>
      <c r="J2989" s="218"/>
      <c r="K2989" s="218"/>
      <c r="L2989" s="218"/>
      <c r="M2989" s="218"/>
      <c r="N2989" s="218"/>
      <c r="O2989" s="218"/>
      <c r="P2989" s="218"/>
      <c r="Q2989" s="222"/>
      <c r="R2989" s="222"/>
      <c r="S2989" s="218"/>
      <c r="U2989" s="218"/>
      <c r="X2989" s="218"/>
      <c r="AB2989" t="e">
        <v>#N/A</v>
      </c>
    </row>
    <row r="2990">
      <c r="A2990" s="218"/>
      <c r="C2990" s="218"/>
      <c r="F2990" s="457"/>
      <c r="G2990" s="218"/>
      <c r="H2990" s="218"/>
      <c r="I2990" s="218"/>
      <c r="J2990" s="218"/>
      <c r="K2990" s="218"/>
      <c r="L2990" s="218"/>
      <c r="M2990" s="218"/>
      <c r="N2990" s="218"/>
      <c r="O2990" s="218"/>
      <c r="P2990" s="218"/>
      <c r="Q2990" s="222"/>
      <c r="R2990" s="222"/>
      <c r="S2990" s="218"/>
      <c r="U2990" s="218"/>
      <c r="X2990" s="218"/>
      <c r="AB2990" t="e">
        <v>#N/A</v>
      </c>
    </row>
    <row r="2991">
      <c r="A2991" s="218"/>
      <c r="C2991" s="218"/>
      <c r="F2991" s="457"/>
      <c r="G2991" s="218"/>
      <c r="H2991" s="218"/>
      <c r="I2991" s="218"/>
      <c r="J2991" s="218"/>
      <c r="K2991" s="218"/>
      <c r="L2991" s="218"/>
      <c r="M2991" s="218"/>
      <c r="N2991" s="218"/>
      <c r="O2991" s="218"/>
      <c r="P2991" s="218"/>
      <c r="Q2991" s="222"/>
      <c r="R2991" s="222"/>
      <c r="S2991" s="218"/>
      <c r="U2991" s="218"/>
      <c r="X2991" s="218"/>
      <c r="AB2991" t="e">
        <v>#N/A</v>
      </c>
    </row>
    <row r="2992">
      <c r="A2992" s="218"/>
      <c r="C2992" s="218"/>
      <c r="F2992" s="457"/>
      <c r="G2992" s="218"/>
      <c r="H2992" s="218"/>
      <c r="I2992" s="218"/>
      <c r="J2992" s="218"/>
      <c r="K2992" s="218"/>
      <c r="L2992" s="218"/>
      <c r="M2992" s="218"/>
      <c r="N2992" s="218"/>
      <c r="O2992" s="218"/>
      <c r="P2992" s="218"/>
      <c r="Q2992" s="222"/>
      <c r="R2992" s="222"/>
      <c r="S2992" s="218"/>
      <c r="U2992" s="218"/>
      <c r="X2992" s="218"/>
      <c r="AB2992" t="e">
        <v>#N/A</v>
      </c>
    </row>
    <row r="2993">
      <c r="A2993" s="218"/>
      <c r="C2993" s="218"/>
      <c r="F2993" s="457"/>
      <c r="G2993" s="218"/>
      <c r="H2993" s="218"/>
      <c r="I2993" s="218"/>
      <c r="J2993" s="218"/>
      <c r="K2993" s="218"/>
      <c r="L2993" s="218"/>
      <c r="M2993" s="218"/>
      <c r="N2993" s="218"/>
      <c r="O2993" s="218"/>
      <c r="P2993" s="218"/>
      <c r="Q2993" s="222"/>
      <c r="R2993" s="222"/>
      <c r="S2993" s="218"/>
      <c r="U2993" s="218"/>
      <c r="X2993" s="218"/>
      <c r="AB2993" t="e">
        <v>#N/A</v>
      </c>
    </row>
    <row r="2994">
      <c r="A2994" s="218"/>
      <c r="C2994" s="218"/>
      <c r="F2994" s="457"/>
      <c r="G2994" s="218"/>
      <c r="H2994" s="218"/>
      <c r="I2994" s="218"/>
      <c r="J2994" s="218"/>
      <c r="K2994" s="218"/>
      <c r="L2994" s="218"/>
      <c r="M2994" s="218"/>
      <c r="N2994" s="218"/>
      <c r="O2994" s="218"/>
      <c r="P2994" s="218"/>
      <c r="Q2994" s="222"/>
      <c r="R2994" s="222"/>
      <c r="S2994" s="218"/>
      <c r="U2994" s="218"/>
      <c r="X2994" s="218"/>
      <c r="AB2994" t="e">
        <v>#N/A</v>
      </c>
    </row>
    <row r="2995">
      <c r="A2995" s="218"/>
      <c r="C2995" s="218"/>
      <c r="F2995" s="457"/>
      <c r="G2995" s="218"/>
      <c r="H2995" s="218"/>
      <c r="I2995" s="218"/>
      <c r="J2995" s="218"/>
      <c r="K2995" s="218"/>
      <c r="L2995" s="218"/>
      <c r="M2995" s="218"/>
      <c r="N2995" s="218"/>
      <c r="O2995" s="218"/>
      <c r="P2995" s="218"/>
      <c r="Q2995" s="222"/>
      <c r="R2995" s="222"/>
      <c r="S2995" s="218"/>
      <c r="U2995" s="218"/>
      <c r="X2995" s="218"/>
      <c r="AB2995" t="e">
        <v>#N/A</v>
      </c>
    </row>
    <row r="2996">
      <c r="A2996" s="218"/>
      <c r="C2996" s="218"/>
      <c r="F2996" s="457"/>
      <c r="G2996" s="218"/>
      <c r="H2996" s="218"/>
      <c r="I2996" s="218"/>
      <c r="J2996" s="218"/>
      <c r="K2996" s="218"/>
      <c r="L2996" s="218"/>
      <c r="M2996" s="218"/>
      <c r="N2996" s="218"/>
      <c r="O2996" s="218"/>
      <c r="P2996" s="218"/>
      <c r="Q2996" s="222"/>
      <c r="R2996" s="222"/>
      <c r="S2996" s="218"/>
      <c r="U2996" s="218"/>
      <c r="X2996" s="218"/>
      <c r="AB2996" t="e">
        <v>#N/A</v>
      </c>
    </row>
    <row r="2997">
      <c r="A2997" s="218"/>
      <c r="C2997" s="218"/>
      <c r="F2997" s="457"/>
      <c r="G2997" s="218"/>
      <c r="H2997" s="218"/>
      <c r="I2997" s="218"/>
      <c r="J2997" s="218"/>
      <c r="K2997" s="218"/>
      <c r="L2997" s="218"/>
      <c r="M2997" s="218"/>
      <c r="N2997" s="218"/>
      <c r="O2997" s="218"/>
      <c r="P2997" s="218"/>
      <c r="Q2997" s="222"/>
      <c r="R2997" s="222"/>
      <c r="S2997" s="218"/>
      <c r="U2997" s="218"/>
      <c r="X2997" s="218"/>
      <c r="AB2997" t="e">
        <v>#N/A</v>
      </c>
    </row>
    <row r="2998">
      <c r="A2998" s="218"/>
      <c r="C2998" s="218"/>
      <c r="F2998" s="457"/>
      <c r="G2998" s="218"/>
      <c r="H2998" s="218"/>
      <c r="I2998" s="218"/>
      <c r="J2998" s="218"/>
      <c r="K2998" s="218"/>
      <c r="L2998" s="218"/>
      <c r="M2998" s="218"/>
      <c r="N2998" s="218"/>
      <c r="O2998" s="218"/>
      <c r="P2998" s="218"/>
      <c r="Q2998" s="222"/>
      <c r="R2998" s="222"/>
      <c r="S2998" s="218"/>
      <c r="U2998" s="218"/>
      <c r="X2998" s="218"/>
      <c r="AB2998" t="e">
        <v>#N/A</v>
      </c>
    </row>
    <row r="2999">
      <c r="A2999" s="218"/>
      <c r="C2999" s="218"/>
      <c r="F2999" s="457"/>
      <c r="G2999" s="218"/>
      <c r="H2999" s="218"/>
      <c r="I2999" s="218"/>
      <c r="J2999" s="218"/>
      <c r="K2999" s="218"/>
      <c r="L2999" s="218"/>
      <c r="M2999" s="218"/>
      <c r="N2999" s="218"/>
      <c r="O2999" s="218"/>
      <c r="P2999" s="218"/>
      <c r="Q2999" s="222"/>
      <c r="R2999" s="222"/>
      <c r="S2999" s="218"/>
      <c r="U2999" s="218"/>
      <c r="X2999" s="218"/>
      <c r="AB2999" t="e">
        <v>#N/A</v>
      </c>
    </row>
    <row r="3000">
      <c r="A3000" s="218"/>
      <c r="C3000" s="218"/>
      <c r="F3000" s="457"/>
      <c r="G3000" s="218"/>
      <c r="H3000" s="218"/>
      <c r="I3000" s="218"/>
      <c r="J3000" s="218"/>
      <c r="K3000" s="218"/>
      <c r="L3000" s="218"/>
      <c r="M3000" s="218"/>
      <c r="N3000" s="218"/>
      <c r="O3000" s="218"/>
      <c r="P3000" s="218"/>
      <c r="Q3000" s="222"/>
      <c r="R3000" s="222"/>
      <c r="S3000" s="218"/>
      <c r="U3000" s="218"/>
      <c r="X3000" s="218"/>
      <c r="AB3000" t="e">
        <v>#N/A</v>
      </c>
    </row>
    <row r="3001">
      <c r="A3001" s="218"/>
      <c r="C3001" s="218"/>
      <c r="F3001" s="457"/>
      <c r="G3001" s="218"/>
      <c r="H3001" s="218"/>
      <c r="I3001" s="218"/>
      <c r="J3001" s="218"/>
      <c r="K3001" s="218"/>
      <c r="L3001" s="218"/>
      <c r="M3001" s="218"/>
      <c r="N3001" s="218"/>
      <c r="O3001" s="218"/>
      <c r="P3001" s="218"/>
      <c r="Q3001" s="222"/>
      <c r="R3001" s="222"/>
      <c r="S3001" s="218"/>
      <c r="U3001" s="218"/>
      <c r="X3001" s="218"/>
      <c r="AB3001" t="e">
        <v>#N/A</v>
      </c>
    </row>
    <row r="3002">
      <c r="A3002" s="218"/>
      <c r="C3002" s="218"/>
      <c r="F3002" s="457"/>
      <c r="G3002" s="218"/>
      <c r="H3002" s="218"/>
      <c r="I3002" s="218"/>
      <c r="J3002" s="218"/>
      <c r="K3002" s="218"/>
      <c r="L3002" s="218"/>
      <c r="M3002" s="218"/>
      <c r="N3002" s="218"/>
      <c r="O3002" s="218"/>
      <c r="P3002" s="218"/>
      <c r="Q3002" s="222"/>
      <c r="R3002" s="222"/>
      <c r="S3002" s="218"/>
      <c r="U3002" s="218"/>
      <c r="X3002" s="218"/>
      <c r="AB3002" t="e">
        <v>#N/A</v>
      </c>
    </row>
    <row r="3003">
      <c r="A3003" s="218"/>
      <c r="C3003" s="218"/>
      <c r="F3003" s="457"/>
      <c r="G3003" s="218"/>
      <c r="H3003" s="218"/>
      <c r="I3003" s="218"/>
      <c r="J3003" s="218"/>
      <c r="K3003" s="218"/>
      <c r="L3003" s="218"/>
      <c r="M3003" s="218"/>
      <c r="N3003" s="218"/>
      <c r="O3003" s="218"/>
      <c r="P3003" s="218"/>
      <c r="Q3003" s="222"/>
      <c r="R3003" s="222"/>
      <c r="S3003" s="218"/>
      <c r="U3003" s="218"/>
      <c r="X3003" s="218"/>
      <c r="AB3003" t="e">
        <v>#N/A</v>
      </c>
    </row>
    <row r="3004">
      <c r="A3004" s="218"/>
      <c r="C3004" s="218"/>
      <c r="F3004" s="457"/>
      <c r="G3004" s="218"/>
      <c r="H3004" s="218"/>
      <c r="I3004" s="218"/>
      <c r="J3004" s="218"/>
      <c r="K3004" s="218"/>
      <c r="L3004" s="218"/>
      <c r="M3004" s="218"/>
      <c r="N3004" s="218"/>
      <c r="O3004" s="218"/>
      <c r="P3004" s="218"/>
      <c r="Q3004" s="222"/>
      <c r="R3004" s="222"/>
      <c r="S3004" s="218"/>
      <c r="U3004" s="218"/>
      <c r="X3004" s="218"/>
      <c r="AB3004" t="e">
        <v>#N/A</v>
      </c>
    </row>
    <row r="3005">
      <c r="A3005" s="218"/>
      <c r="C3005" s="218"/>
      <c r="F3005" s="457"/>
      <c r="G3005" s="218"/>
      <c r="H3005" s="218"/>
      <c r="I3005" s="218"/>
      <c r="J3005" s="218"/>
      <c r="K3005" s="218"/>
      <c r="L3005" s="218"/>
      <c r="M3005" s="218"/>
      <c r="N3005" s="218"/>
      <c r="O3005" s="218"/>
      <c r="P3005" s="218"/>
      <c r="Q3005" s="222"/>
      <c r="R3005" s="222"/>
      <c r="S3005" s="218"/>
      <c r="U3005" s="218"/>
      <c r="X3005" s="218"/>
      <c r="AB3005" t="e">
        <v>#N/A</v>
      </c>
    </row>
    <row r="3006">
      <c r="A3006" s="218"/>
      <c r="C3006" s="218"/>
      <c r="F3006" s="457"/>
      <c r="G3006" s="218"/>
      <c r="H3006" s="218"/>
      <c r="I3006" s="218"/>
      <c r="J3006" s="218"/>
      <c r="K3006" s="218"/>
      <c r="L3006" s="218"/>
      <c r="M3006" s="218"/>
      <c r="N3006" s="218"/>
      <c r="O3006" s="218"/>
      <c r="P3006" s="218"/>
      <c r="Q3006" s="222"/>
      <c r="R3006" s="222"/>
      <c r="S3006" s="218"/>
      <c r="U3006" s="218"/>
      <c r="X3006" s="218"/>
      <c r="AB3006" t="e">
        <v>#N/A</v>
      </c>
    </row>
    <row r="3007">
      <c r="A3007" s="218"/>
      <c r="C3007" s="218"/>
      <c r="F3007" s="457"/>
      <c r="G3007" s="218"/>
      <c r="H3007" s="218"/>
      <c r="I3007" s="218"/>
      <c r="J3007" s="218"/>
      <c r="K3007" s="218"/>
      <c r="L3007" s="218"/>
      <c r="M3007" s="218"/>
      <c r="N3007" s="218"/>
      <c r="O3007" s="218"/>
      <c r="P3007" s="218"/>
      <c r="Q3007" s="222"/>
      <c r="R3007" s="222"/>
      <c r="S3007" s="218"/>
      <c r="U3007" s="218"/>
      <c r="X3007" s="218"/>
      <c r="AB3007" t="e">
        <v>#N/A</v>
      </c>
    </row>
    <row r="3008">
      <c r="A3008" s="218"/>
      <c r="C3008" s="218"/>
      <c r="F3008" s="457"/>
      <c r="G3008" s="218"/>
      <c r="H3008" s="218"/>
      <c r="I3008" s="218"/>
      <c r="J3008" s="218"/>
      <c r="K3008" s="218"/>
      <c r="L3008" s="218"/>
      <c r="M3008" s="218"/>
      <c r="N3008" s="218"/>
      <c r="O3008" s="218"/>
      <c r="P3008" s="218"/>
      <c r="Q3008" s="222"/>
      <c r="R3008" s="222"/>
      <c r="S3008" s="218"/>
      <c r="U3008" s="218"/>
      <c r="X3008" s="218"/>
      <c r="AB3008" t="e">
        <v>#N/A</v>
      </c>
    </row>
    <row r="3009">
      <c r="A3009" s="218"/>
      <c r="C3009" s="218"/>
      <c r="F3009" s="457"/>
      <c r="G3009" s="218"/>
      <c r="H3009" s="218"/>
      <c r="I3009" s="218"/>
      <c r="J3009" s="218"/>
      <c r="K3009" s="218"/>
      <c r="L3009" s="218"/>
      <c r="M3009" s="218"/>
      <c r="N3009" s="218"/>
      <c r="O3009" s="218"/>
      <c r="P3009" s="218"/>
      <c r="Q3009" s="222"/>
      <c r="R3009" s="222"/>
      <c r="S3009" s="218"/>
      <c r="U3009" s="218"/>
      <c r="X3009" s="218"/>
      <c r="AB3009" t="e">
        <v>#N/A</v>
      </c>
    </row>
    <row r="3010">
      <c r="A3010" s="218"/>
      <c r="C3010" s="218"/>
      <c r="F3010" s="457"/>
      <c r="G3010" s="218"/>
      <c r="H3010" s="218"/>
      <c r="I3010" s="218"/>
      <c r="J3010" s="218"/>
      <c r="K3010" s="218"/>
      <c r="L3010" s="218"/>
      <c r="M3010" s="218"/>
      <c r="N3010" s="218"/>
      <c r="O3010" s="218"/>
      <c r="P3010" s="218"/>
      <c r="Q3010" s="222"/>
      <c r="R3010" s="222"/>
      <c r="S3010" s="218"/>
      <c r="U3010" s="218"/>
      <c r="X3010" s="218"/>
      <c r="AB3010" t="e">
        <v>#N/A</v>
      </c>
    </row>
    <row r="3011">
      <c r="A3011" s="218"/>
      <c r="C3011" s="218"/>
      <c r="F3011" s="457"/>
      <c r="G3011" s="218"/>
      <c r="H3011" s="218"/>
      <c r="I3011" s="218"/>
      <c r="J3011" s="218"/>
      <c r="K3011" s="218"/>
      <c r="L3011" s="218"/>
      <c r="M3011" s="218"/>
      <c r="N3011" s="218"/>
      <c r="O3011" s="218"/>
      <c r="P3011" s="218"/>
      <c r="Q3011" s="222"/>
      <c r="R3011" s="222"/>
      <c r="S3011" s="218"/>
      <c r="U3011" s="218"/>
      <c r="X3011" s="218"/>
      <c r="AB3011" t="e">
        <v>#N/A</v>
      </c>
    </row>
    <row r="3012">
      <c r="A3012" s="218"/>
      <c r="C3012" s="218"/>
      <c r="F3012" s="457"/>
      <c r="G3012" s="218"/>
      <c r="H3012" s="218"/>
      <c r="I3012" s="218"/>
      <c r="J3012" s="218"/>
      <c r="K3012" s="218"/>
      <c r="L3012" s="218"/>
      <c r="M3012" s="218"/>
      <c r="N3012" s="218"/>
      <c r="O3012" s="218"/>
      <c r="P3012" s="218"/>
      <c r="Q3012" s="222"/>
      <c r="R3012" s="222"/>
      <c r="S3012" s="218"/>
      <c r="U3012" s="218"/>
      <c r="X3012" s="218"/>
      <c r="AB3012" t="e">
        <v>#N/A</v>
      </c>
    </row>
    <row r="3013">
      <c r="A3013" s="218"/>
      <c r="C3013" s="218"/>
      <c r="F3013" s="457"/>
      <c r="G3013" s="218"/>
      <c r="H3013" s="218"/>
      <c r="I3013" s="218"/>
      <c r="J3013" s="218"/>
      <c r="K3013" s="218"/>
      <c r="L3013" s="218"/>
      <c r="M3013" s="218"/>
      <c r="N3013" s="218"/>
      <c r="O3013" s="218"/>
      <c r="P3013" s="218"/>
      <c r="Q3013" s="222"/>
      <c r="R3013" s="222"/>
      <c r="S3013" s="218"/>
      <c r="U3013" s="218"/>
      <c r="X3013" s="218"/>
      <c r="AB3013" t="e">
        <v>#N/A</v>
      </c>
    </row>
    <row r="3014">
      <c r="A3014" s="218"/>
      <c r="C3014" s="218"/>
      <c r="F3014" s="457"/>
      <c r="G3014" s="218"/>
      <c r="H3014" s="218"/>
      <c r="I3014" s="218"/>
      <c r="J3014" s="218"/>
      <c r="K3014" s="218"/>
      <c r="L3014" s="218"/>
      <c r="M3014" s="218"/>
      <c r="N3014" s="218"/>
      <c r="O3014" s="218"/>
      <c r="P3014" s="218"/>
      <c r="Q3014" s="222"/>
      <c r="R3014" s="222"/>
      <c r="S3014" s="218"/>
      <c r="U3014" s="218"/>
      <c r="X3014" s="218"/>
      <c r="AB3014" t="e">
        <v>#N/A</v>
      </c>
    </row>
    <row r="3015">
      <c r="A3015" s="218"/>
      <c r="C3015" s="218"/>
      <c r="F3015" s="457"/>
      <c r="G3015" s="218"/>
      <c r="H3015" s="218"/>
      <c r="I3015" s="218"/>
      <c r="J3015" s="218"/>
      <c r="K3015" s="218"/>
      <c r="L3015" s="218"/>
      <c r="M3015" s="218"/>
      <c r="N3015" s="218"/>
      <c r="O3015" s="218"/>
      <c r="P3015" s="218"/>
      <c r="Q3015" s="222"/>
      <c r="R3015" s="222"/>
      <c r="S3015" s="218"/>
      <c r="U3015" s="218"/>
      <c r="X3015" s="218"/>
      <c r="AB3015" t="e">
        <v>#N/A</v>
      </c>
    </row>
    <row r="3016">
      <c r="A3016" s="218"/>
      <c r="C3016" s="218"/>
      <c r="F3016" s="457"/>
      <c r="G3016" s="218"/>
      <c r="H3016" s="218"/>
      <c r="I3016" s="218"/>
      <c r="J3016" s="218"/>
      <c r="K3016" s="218"/>
      <c r="L3016" s="218"/>
      <c r="M3016" s="218"/>
      <c r="N3016" s="218"/>
      <c r="O3016" s="218"/>
      <c r="P3016" s="218"/>
      <c r="Q3016" s="222"/>
      <c r="R3016" s="222"/>
      <c r="S3016" s="218"/>
      <c r="U3016" s="218"/>
      <c r="X3016" s="218"/>
      <c r="AB3016" t="e">
        <v>#N/A</v>
      </c>
    </row>
    <row r="3017">
      <c r="A3017" s="218"/>
      <c r="C3017" s="218"/>
      <c r="F3017" s="457"/>
      <c r="G3017" s="218"/>
      <c r="H3017" s="218"/>
      <c r="I3017" s="218"/>
      <c r="J3017" s="218"/>
      <c r="K3017" s="218"/>
      <c r="L3017" s="218"/>
      <c r="M3017" s="218"/>
      <c r="N3017" s="218"/>
      <c r="O3017" s="218"/>
      <c r="P3017" s="218"/>
      <c r="Q3017" s="222"/>
      <c r="R3017" s="222"/>
      <c r="S3017" s="218"/>
      <c r="U3017" s="218"/>
      <c r="X3017" s="218"/>
      <c r="AB3017" t="e">
        <v>#N/A</v>
      </c>
    </row>
    <row r="3018">
      <c r="A3018" s="218"/>
      <c r="C3018" s="218"/>
      <c r="F3018" s="457"/>
      <c r="G3018" s="218"/>
      <c r="H3018" s="218"/>
      <c r="I3018" s="218"/>
      <c r="J3018" s="218"/>
      <c r="K3018" s="218"/>
      <c r="L3018" s="218"/>
      <c r="M3018" s="218"/>
      <c r="N3018" s="218"/>
      <c r="O3018" s="218"/>
      <c r="P3018" s="218"/>
      <c r="Q3018" s="222"/>
      <c r="R3018" s="222"/>
      <c r="S3018" s="218"/>
      <c r="U3018" s="218"/>
      <c r="X3018" s="218"/>
      <c r="AB3018" t="e">
        <v>#N/A</v>
      </c>
    </row>
    <row r="3019">
      <c r="A3019" s="218"/>
      <c r="C3019" s="218"/>
      <c r="F3019" s="457"/>
      <c r="G3019" s="218"/>
      <c r="H3019" s="218"/>
      <c r="I3019" s="218"/>
      <c r="J3019" s="218"/>
      <c r="K3019" s="218"/>
      <c r="L3019" s="218"/>
      <c r="M3019" s="218"/>
      <c r="N3019" s="218"/>
      <c r="O3019" s="218"/>
      <c r="P3019" s="218"/>
      <c r="Q3019" s="222"/>
      <c r="R3019" s="222"/>
      <c r="S3019" s="218"/>
      <c r="U3019" s="218"/>
      <c r="X3019" s="218"/>
      <c r="AB3019" t="e">
        <v>#N/A</v>
      </c>
    </row>
    <row r="3020">
      <c r="A3020" s="218"/>
      <c r="C3020" s="218"/>
      <c r="F3020" s="457"/>
      <c r="G3020" s="218"/>
      <c r="H3020" s="218"/>
      <c r="I3020" s="218"/>
      <c r="J3020" s="218"/>
      <c r="K3020" s="218"/>
      <c r="L3020" s="218"/>
      <c r="M3020" s="218"/>
      <c r="N3020" s="218"/>
      <c r="O3020" s="218"/>
      <c r="P3020" s="218"/>
      <c r="Q3020" s="222"/>
      <c r="R3020" s="222"/>
      <c r="S3020" s="218"/>
      <c r="U3020" s="218"/>
      <c r="X3020" s="218"/>
      <c r="AB3020" t="e">
        <v>#N/A</v>
      </c>
    </row>
    <row r="3021">
      <c r="A3021" s="218"/>
      <c r="C3021" s="218"/>
      <c r="F3021" s="457"/>
      <c r="G3021" s="218"/>
      <c r="H3021" s="218"/>
      <c r="I3021" s="218"/>
      <c r="J3021" s="218"/>
      <c r="K3021" s="218"/>
      <c r="L3021" s="218"/>
      <c r="M3021" s="218"/>
      <c r="N3021" s="218"/>
      <c r="O3021" s="218"/>
      <c r="P3021" s="218"/>
      <c r="Q3021" s="222"/>
      <c r="R3021" s="222"/>
      <c r="S3021" s="218"/>
      <c r="U3021" s="218"/>
      <c r="X3021" s="218"/>
      <c r="AB3021" t="e">
        <v>#N/A</v>
      </c>
    </row>
    <row r="3022">
      <c r="A3022" s="218"/>
      <c r="C3022" s="218"/>
      <c r="F3022" s="457"/>
      <c r="G3022" s="218"/>
      <c r="H3022" s="218"/>
      <c r="I3022" s="218"/>
      <c r="J3022" s="218"/>
      <c r="K3022" s="218"/>
      <c r="L3022" s="218"/>
      <c r="M3022" s="218"/>
      <c r="N3022" s="218"/>
      <c r="O3022" s="218"/>
      <c r="P3022" s="218"/>
      <c r="Q3022" s="222"/>
      <c r="R3022" s="222"/>
      <c r="S3022" s="218"/>
      <c r="U3022" s="218"/>
      <c r="X3022" s="218"/>
      <c r="AB3022" t="e">
        <v>#N/A</v>
      </c>
    </row>
    <row r="3023">
      <c r="A3023" s="218"/>
      <c r="C3023" s="218"/>
      <c r="F3023" s="457"/>
      <c r="G3023" s="218"/>
      <c r="H3023" s="218"/>
      <c r="I3023" s="218"/>
      <c r="J3023" s="218"/>
      <c r="K3023" s="218"/>
      <c r="L3023" s="218"/>
      <c r="M3023" s="218"/>
      <c r="N3023" s="218"/>
      <c r="O3023" s="218"/>
      <c r="P3023" s="218"/>
      <c r="Q3023" s="222"/>
      <c r="R3023" s="222"/>
      <c r="S3023" s="218"/>
      <c r="U3023" s="218"/>
      <c r="X3023" s="218"/>
      <c r="AB3023" t="e">
        <v>#N/A</v>
      </c>
    </row>
    <row r="3024">
      <c r="A3024" s="218"/>
      <c r="C3024" s="218"/>
      <c r="F3024" s="457"/>
      <c r="G3024" s="218"/>
      <c r="H3024" s="218"/>
      <c r="I3024" s="218"/>
      <c r="J3024" s="218"/>
      <c r="K3024" s="218"/>
      <c r="L3024" s="218"/>
      <c r="M3024" s="218"/>
      <c r="N3024" s="218"/>
      <c r="O3024" s="218"/>
      <c r="P3024" s="218"/>
      <c r="Q3024" s="222"/>
      <c r="R3024" s="222"/>
      <c r="S3024" s="218"/>
      <c r="U3024" s="218"/>
      <c r="X3024" s="218"/>
      <c r="AB3024" t="e">
        <v>#N/A</v>
      </c>
    </row>
    <row r="3025">
      <c r="A3025" s="218"/>
      <c r="C3025" s="218"/>
      <c r="F3025" s="457"/>
      <c r="G3025" s="218"/>
      <c r="H3025" s="218"/>
      <c r="I3025" s="218"/>
      <c r="J3025" s="218"/>
      <c r="K3025" s="218"/>
      <c r="L3025" s="218"/>
      <c r="M3025" s="218"/>
      <c r="N3025" s="218"/>
      <c r="O3025" s="218"/>
      <c r="P3025" s="218"/>
      <c r="Q3025" s="222"/>
      <c r="R3025" s="222"/>
      <c r="S3025" s="218"/>
      <c r="U3025" s="218"/>
      <c r="X3025" s="218"/>
      <c r="AB3025" t="e">
        <v>#N/A</v>
      </c>
    </row>
    <row r="3026">
      <c r="A3026" s="218"/>
      <c r="C3026" s="218"/>
      <c r="F3026" s="457"/>
      <c r="G3026" s="218"/>
      <c r="H3026" s="218"/>
      <c r="I3026" s="218"/>
      <c r="J3026" s="218"/>
      <c r="K3026" s="218"/>
      <c r="L3026" s="218"/>
      <c r="M3026" s="218"/>
      <c r="N3026" s="218"/>
      <c r="O3026" s="218"/>
      <c r="P3026" s="218"/>
      <c r="Q3026" s="222"/>
      <c r="R3026" s="222"/>
      <c r="S3026" s="218"/>
      <c r="U3026" s="218"/>
      <c r="X3026" s="218"/>
      <c r="AB3026" t="e">
        <v>#N/A</v>
      </c>
    </row>
    <row r="3027">
      <c r="A3027" s="218"/>
      <c r="C3027" s="218"/>
      <c r="F3027" s="457"/>
      <c r="G3027" s="218"/>
      <c r="H3027" s="218"/>
      <c r="I3027" s="218"/>
      <c r="J3027" s="218"/>
      <c r="K3027" s="218"/>
      <c r="L3027" s="218"/>
      <c r="M3027" s="218"/>
      <c r="N3027" s="218"/>
      <c r="O3027" s="218"/>
      <c r="P3027" s="218"/>
      <c r="Q3027" s="222"/>
      <c r="R3027" s="222"/>
      <c r="S3027" s="218"/>
      <c r="U3027" s="218"/>
      <c r="X3027" s="218"/>
      <c r="AB3027" t="e">
        <v>#N/A</v>
      </c>
    </row>
    <row r="3028">
      <c r="A3028" s="218"/>
      <c r="C3028" s="218"/>
      <c r="F3028" s="457"/>
      <c r="G3028" s="218"/>
      <c r="H3028" s="218"/>
      <c r="I3028" s="218"/>
      <c r="J3028" s="218"/>
      <c r="K3028" s="218"/>
      <c r="L3028" s="218"/>
      <c r="M3028" s="218"/>
      <c r="N3028" s="218"/>
      <c r="O3028" s="218"/>
      <c r="P3028" s="218"/>
      <c r="Q3028" s="222"/>
      <c r="R3028" s="222"/>
      <c r="S3028" s="218"/>
      <c r="U3028" s="218"/>
      <c r="X3028" s="218"/>
      <c r="AB3028" t="e">
        <v>#N/A</v>
      </c>
    </row>
    <row r="3029">
      <c r="A3029" s="218"/>
      <c r="C3029" s="218"/>
      <c r="F3029" s="457"/>
      <c r="G3029" s="218"/>
      <c r="H3029" s="218"/>
      <c r="I3029" s="218"/>
      <c r="J3029" s="218"/>
      <c r="K3029" s="218"/>
      <c r="L3029" s="218"/>
      <c r="M3029" s="218"/>
      <c r="N3029" s="218"/>
      <c r="O3029" s="218"/>
      <c r="P3029" s="218"/>
      <c r="Q3029" s="222"/>
      <c r="R3029" s="222"/>
      <c r="S3029" s="218"/>
      <c r="U3029" s="218"/>
      <c r="X3029" s="218"/>
      <c r="AB3029" t="e">
        <v>#N/A</v>
      </c>
    </row>
    <row r="3030">
      <c r="A3030" s="218"/>
      <c r="C3030" s="218"/>
      <c r="F3030" s="457"/>
      <c r="G3030" s="218"/>
      <c r="H3030" s="218"/>
      <c r="I3030" s="218"/>
      <c r="J3030" s="218"/>
      <c r="K3030" s="218"/>
      <c r="L3030" s="218"/>
      <c r="M3030" s="218"/>
      <c r="N3030" s="218"/>
      <c r="O3030" s="218"/>
      <c r="P3030" s="218"/>
      <c r="Q3030" s="222"/>
      <c r="R3030" s="222"/>
      <c r="S3030" s="218"/>
      <c r="U3030" s="218"/>
      <c r="X3030" s="218"/>
      <c r="AB3030" t="e">
        <v>#N/A</v>
      </c>
    </row>
    <row r="3031">
      <c r="A3031" s="218"/>
      <c r="C3031" s="218"/>
      <c r="F3031" s="457"/>
      <c r="G3031" s="218"/>
      <c r="H3031" s="218"/>
      <c r="I3031" s="218"/>
      <c r="J3031" s="218"/>
      <c r="K3031" s="218"/>
      <c r="L3031" s="218"/>
      <c r="M3031" s="218"/>
      <c r="N3031" s="218"/>
      <c r="O3031" s="218"/>
      <c r="P3031" s="218"/>
      <c r="Q3031" s="222"/>
      <c r="R3031" s="222"/>
      <c r="S3031" s="218"/>
      <c r="U3031" s="218"/>
      <c r="X3031" s="218"/>
      <c r="AB3031" t="e">
        <v>#N/A</v>
      </c>
    </row>
    <row r="3032">
      <c r="A3032" s="218"/>
      <c r="C3032" s="218"/>
      <c r="F3032" s="457"/>
      <c r="G3032" s="218"/>
      <c r="H3032" s="218"/>
      <c r="I3032" s="218"/>
      <c r="J3032" s="218"/>
      <c r="K3032" s="218"/>
      <c r="L3032" s="218"/>
      <c r="M3032" s="218"/>
      <c r="N3032" s="218"/>
      <c r="O3032" s="218"/>
      <c r="P3032" s="218"/>
      <c r="Q3032" s="222"/>
      <c r="R3032" s="222"/>
      <c r="S3032" s="218"/>
      <c r="U3032" s="218"/>
      <c r="X3032" s="218"/>
      <c r="AB3032" t="e">
        <v>#N/A</v>
      </c>
    </row>
    <row r="3033">
      <c r="A3033" s="218"/>
      <c r="C3033" s="218"/>
      <c r="F3033" s="457"/>
      <c r="G3033" s="218"/>
      <c r="H3033" s="218"/>
      <c r="I3033" s="218"/>
      <c r="J3033" s="218"/>
      <c r="K3033" s="218"/>
      <c r="L3033" s="218"/>
      <c r="M3033" s="218"/>
      <c r="N3033" s="218"/>
      <c r="O3033" s="218"/>
      <c r="P3033" s="218"/>
      <c r="Q3033" s="222"/>
      <c r="R3033" s="222"/>
      <c r="S3033" s="218"/>
      <c r="U3033" s="218"/>
      <c r="X3033" s="218"/>
      <c r="AB3033" t="e">
        <v>#N/A</v>
      </c>
    </row>
    <row r="3034">
      <c r="A3034" s="218"/>
      <c r="C3034" s="218"/>
      <c r="F3034" s="457"/>
      <c r="G3034" s="218"/>
      <c r="H3034" s="218"/>
      <c r="I3034" s="218"/>
      <c r="J3034" s="218"/>
      <c r="K3034" s="218"/>
      <c r="L3034" s="218"/>
      <c r="M3034" s="218"/>
      <c r="N3034" s="218"/>
      <c r="O3034" s="218"/>
      <c r="P3034" s="218"/>
      <c r="Q3034" s="222"/>
      <c r="R3034" s="222"/>
      <c r="S3034" s="218"/>
      <c r="U3034" s="218"/>
      <c r="X3034" s="218"/>
      <c r="AB3034" t="e">
        <v>#N/A</v>
      </c>
    </row>
    <row r="3035">
      <c r="A3035" s="218"/>
      <c r="C3035" s="218"/>
      <c r="F3035" s="457"/>
      <c r="G3035" s="218"/>
      <c r="H3035" s="218"/>
      <c r="I3035" s="218"/>
      <c r="J3035" s="218"/>
      <c r="K3035" s="218"/>
      <c r="L3035" s="218"/>
      <c r="M3035" s="218"/>
      <c r="N3035" s="218"/>
      <c r="O3035" s="218"/>
      <c r="P3035" s="218"/>
      <c r="Q3035" s="222"/>
      <c r="R3035" s="222"/>
      <c r="S3035" s="218"/>
      <c r="U3035" s="218"/>
      <c r="X3035" s="218"/>
      <c r="AB3035" t="e">
        <v>#N/A</v>
      </c>
    </row>
    <row r="3036">
      <c r="A3036" s="218"/>
      <c r="C3036" s="218"/>
      <c r="F3036" s="457"/>
      <c r="G3036" s="218"/>
      <c r="H3036" s="218"/>
      <c r="I3036" s="218"/>
      <c r="J3036" s="218"/>
      <c r="K3036" s="218"/>
      <c r="L3036" s="218"/>
      <c r="M3036" s="218"/>
      <c r="N3036" s="218"/>
      <c r="O3036" s="218"/>
      <c r="P3036" s="218"/>
      <c r="Q3036" s="222"/>
      <c r="R3036" s="222"/>
      <c r="S3036" s="218"/>
      <c r="U3036" s="218"/>
      <c r="X3036" s="218"/>
      <c r="AB3036" t="e">
        <v>#N/A</v>
      </c>
    </row>
    <row r="3037">
      <c r="A3037" s="218"/>
      <c r="C3037" s="218"/>
      <c r="F3037" s="457"/>
      <c r="G3037" s="218"/>
      <c r="H3037" s="218"/>
      <c r="I3037" s="218"/>
      <c r="J3037" s="218"/>
      <c r="K3037" s="218"/>
      <c r="L3037" s="218"/>
      <c r="M3037" s="218"/>
      <c r="N3037" s="218"/>
      <c r="O3037" s="218"/>
      <c r="P3037" s="218"/>
      <c r="Q3037" s="222"/>
      <c r="R3037" s="222"/>
      <c r="S3037" s="218"/>
      <c r="U3037" s="218"/>
      <c r="X3037" s="218"/>
      <c r="AB3037" t="e">
        <v>#N/A</v>
      </c>
    </row>
    <row r="3038">
      <c r="A3038" s="218"/>
      <c r="C3038" s="218"/>
      <c r="F3038" s="457"/>
      <c r="G3038" s="218"/>
      <c r="H3038" s="218"/>
      <c r="I3038" s="218"/>
      <c r="J3038" s="218"/>
      <c r="K3038" s="218"/>
      <c r="L3038" s="218"/>
      <c r="M3038" s="218"/>
      <c r="N3038" s="218"/>
      <c r="O3038" s="218"/>
      <c r="P3038" s="218"/>
      <c r="Q3038" s="222"/>
      <c r="R3038" s="222"/>
      <c r="S3038" s="218"/>
      <c r="U3038" s="218"/>
      <c r="X3038" s="218"/>
      <c r="AB3038" t="e">
        <v>#N/A</v>
      </c>
    </row>
    <row r="3039">
      <c r="A3039" s="218"/>
      <c r="C3039" s="218"/>
      <c r="F3039" s="457"/>
      <c r="G3039" s="218"/>
      <c r="H3039" s="218"/>
      <c r="I3039" s="218"/>
      <c r="J3039" s="218"/>
      <c r="K3039" s="218"/>
      <c r="L3039" s="218"/>
      <c r="M3039" s="218"/>
      <c r="N3039" s="218"/>
      <c r="O3039" s="218"/>
      <c r="P3039" s="218"/>
      <c r="Q3039" s="222"/>
      <c r="R3039" s="222"/>
      <c r="S3039" s="218"/>
      <c r="U3039" s="218"/>
      <c r="X3039" s="218"/>
      <c r="AB3039" t="e">
        <v>#N/A</v>
      </c>
    </row>
    <row r="3040">
      <c r="A3040" s="218"/>
      <c r="C3040" s="218"/>
      <c r="F3040" s="457"/>
      <c r="G3040" s="218"/>
      <c r="H3040" s="218"/>
      <c r="I3040" s="218"/>
      <c r="J3040" s="218"/>
      <c r="K3040" s="218"/>
      <c r="L3040" s="218"/>
      <c r="M3040" s="218"/>
      <c r="N3040" s="218"/>
      <c r="O3040" s="218"/>
      <c r="P3040" s="218"/>
      <c r="Q3040" s="222"/>
      <c r="R3040" s="222"/>
      <c r="S3040" s="218"/>
      <c r="U3040" s="218"/>
      <c r="X3040" s="218"/>
      <c r="AB3040" t="e">
        <v>#N/A</v>
      </c>
    </row>
    <row r="3041">
      <c r="A3041" s="218"/>
      <c r="C3041" s="218"/>
      <c r="F3041" s="457"/>
      <c r="G3041" s="218"/>
      <c r="H3041" s="218"/>
      <c r="I3041" s="218"/>
      <c r="J3041" s="218"/>
      <c r="K3041" s="218"/>
      <c r="L3041" s="218"/>
      <c r="M3041" s="218"/>
      <c r="N3041" s="218"/>
      <c r="O3041" s="218"/>
      <c r="P3041" s="218"/>
      <c r="Q3041" s="222"/>
      <c r="R3041" s="222"/>
      <c r="S3041" s="218"/>
      <c r="U3041" s="218"/>
      <c r="X3041" s="218"/>
      <c r="AB3041" t="e">
        <v>#N/A</v>
      </c>
    </row>
    <row r="3042">
      <c r="A3042" s="218"/>
      <c r="C3042" s="218"/>
      <c r="F3042" s="457"/>
      <c r="G3042" s="218"/>
      <c r="H3042" s="218"/>
      <c r="I3042" s="218"/>
      <c r="J3042" s="218"/>
      <c r="K3042" s="218"/>
      <c r="L3042" s="218"/>
      <c r="M3042" s="218"/>
      <c r="N3042" s="218"/>
      <c r="O3042" s="218"/>
      <c r="P3042" s="218"/>
      <c r="Q3042" s="222"/>
      <c r="R3042" s="222"/>
      <c r="S3042" s="218"/>
      <c r="U3042" s="218"/>
      <c r="X3042" s="218"/>
      <c r="AB3042" t="e">
        <v>#N/A</v>
      </c>
    </row>
    <row r="3043">
      <c r="A3043" s="218"/>
      <c r="C3043" s="218"/>
      <c r="F3043" s="457"/>
      <c r="G3043" s="218"/>
      <c r="H3043" s="218"/>
      <c r="I3043" s="218"/>
      <c r="J3043" s="218"/>
      <c r="K3043" s="218"/>
      <c r="L3043" s="218"/>
      <c r="M3043" s="218"/>
      <c r="N3043" s="218"/>
      <c r="O3043" s="218"/>
      <c r="P3043" s="218"/>
      <c r="Q3043" s="222"/>
      <c r="R3043" s="222"/>
      <c r="S3043" s="218"/>
      <c r="U3043" s="218"/>
      <c r="X3043" s="218"/>
      <c r="AB3043" t="e">
        <v>#N/A</v>
      </c>
    </row>
    <row r="3044">
      <c r="A3044" s="218"/>
      <c r="C3044" s="218"/>
      <c r="F3044" s="457"/>
      <c r="G3044" s="218"/>
      <c r="H3044" s="218"/>
      <c r="I3044" s="218"/>
      <c r="J3044" s="218"/>
      <c r="K3044" s="218"/>
      <c r="L3044" s="218"/>
      <c r="M3044" s="218"/>
      <c r="N3044" s="218"/>
      <c r="O3044" s="218"/>
      <c r="P3044" s="218"/>
      <c r="Q3044" s="222"/>
      <c r="R3044" s="222"/>
      <c r="S3044" s="218"/>
      <c r="U3044" s="218"/>
      <c r="X3044" s="218"/>
      <c r="AB3044" t="e">
        <v>#N/A</v>
      </c>
    </row>
    <row r="3045">
      <c r="A3045" s="218"/>
      <c r="C3045" s="218"/>
      <c r="F3045" s="457"/>
      <c r="G3045" s="218"/>
      <c r="H3045" s="218"/>
      <c r="I3045" s="218"/>
      <c r="J3045" s="218"/>
      <c r="K3045" s="218"/>
      <c r="L3045" s="218"/>
      <c r="M3045" s="218"/>
      <c r="N3045" s="218"/>
      <c r="O3045" s="218"/>
      <c r="P3045" s="218"/>
      <c r="Q3045" s="222"/>
      <c r="R3045" s="222"/>
      <c r="S3045" s="218"/>
      <c r="U3045" s="218"/>
      <c r="X3045" s="218"/>
      <c r="AB3045" t="e">
        <v>#N/A</v>
      </c>
    </row>
    <row r="3046">
      <c r="A3046" s="218"/>
      <c r="C3046" s="218"/>
      <c r="F3046" s="457"/>
      <c r="G3046" s="218"/>
      <c r="H3046" s="218"/>
      <c r="I3046" s="218"/>
      <c r="J3046" s="218"/>
      <c r="K3046" s="218"/>
      <c r="L3046" s="218"/>
      <c r="M3046" s="218"/>
      <c r="N3046" s="218"/>
      <c r="O3046" s="218"/>
      <c r="P3046" s="218"/>
      <c r="Q3046" s="222"/>
      <c r="R3046" s="222"/>
      <c r="S3046" s="218"/>
      <c r="U3046" s="218"/>
      <c r="X3046" s="218"/>
      <c r="AB3046" t="e">
        <v>#N/A</v>
      </c>
    </row>
    <row r="3047">
      <c r="A3047" s="218"/>
      <c r="C3047" s="218"/>
      <c r="F3047" s="457"/>
      <c r="G3047" s="218"/>
      <c r="H3047" s="218"/>
      <c r="I3047" s="218"/>
      <c r="J3047" s="218"/>
      <c r="K3047" s="218"/>
      <c r="L3047" s="218"/>
      <c r="M3047" s="218"/>
      <c r="N3047" s="218"/>
      <c r="O3047" s="218"/>
      <c r="P3047" s="218"/>
      <c r="Q3047" s="222"/>
      <c r="R3047" s="222"/>
      <c r="S3047" s="218"/>
      <c r="U3047" s="218"/>
      <c r="X3047" s="218"/>
      <c r="AB3047" t="e">
        <v>#N/A</v>
      </c>
    </row>
    <row r="3048">
      <c r="A3048" s="218"/>
      <c r="C3048" s="218"/>
      <c r="F3048" s="457"/>
      <c r="G3048" s="218"/>
      <c r="H3048" s="218"/>
      <c r="I3048" s="218"/>
      <c r="J3048" s="218"/>
      <c r="K3048" s="218"/>
      <c r="L3048" s="218"/>
      <c r="M3048" s="218"/>
      <c r="N3048" s="218"/>
      <c r="O3048" s="218"/>
      <c r="P3048" s="218"/>
      <c r="Q3048" s="222"/>
      <c r="R3048" s="222"/>
      <c r="S3048" s="218"/>
      <c r="U3048" s="218"/>
      <c r="X3048" s="218"/>
      <c r="AB3048" t="e">
        <v>#N/A</v>
      </c>
    </row>
    <row r="3049">
      <c r="A3049" s="218"/>
      <c r="C3049" s="218"/>
      <c r="F3049" s="457"/>
      <c r="G3049" s="218"/>
      <c r="H3049" s="218"/>
      <c r="I3049" s="218"/>
      <c r="J3049" s="218"/>
      <c r="K3049" s="218"/>
      <c r="L3049" s="218"/>
      <c r="M3049" s="218"/>
      <c r="N3049" s="218"/>
      <c r="O3049" s="218"/>
      <c r="P3049" s="218"/>
      <c r="Q3049" s="222"/>
      <c r="R3049" s="222"/>
      <c r="S3049" s="218"/>
      <c r="U3049" s="218"/>
      <c r="X3049" s="218"/>
      <c r="AB3049" t="e">
        <v>#N/A</v>
      </c>
    </row>
    <row r="3050">
      <c r="A3050" s="218"/>
      <c r="C3050" s="218"/>
      <c r="F3050" s="457"/>
      <c r="G3050" s="218"/>
      <c r="H3050" s="218"/>
      <c r="I3050" s="218"/>
      <c r="J3050" s="218"/>
      <c r="K3050" s="218"/>
      <c r="L3050" s="218"/>
      <c r="M3050" s="218"/>
      <c r="N3050" s="218"/>
      <c r="O3050" s="218"/>
      <c r="P3050" s="218"/>
      <c r="Q3050" s="222"/>
      <c r="R3050" s="222"/>
      <c r="S3050" s="218"/>
      <c r="U3050" s="218"/>
      <c r="X3050" s="218"/>
      <c r="AB3050" t="e">
        <v>#N/A</v>
      </c>
    </row>
    <row r="3051">
      <c r="A3051" s="218"/>
      <c r="C3051" s="218"/>
      <c r="F3051" s="457"/>
      <c r="G3051" s="218"/>
      <c r="H3051" s="218"/>
      <c r="I3051" s="218"/>
      <c r="J3051" s="218"/>
      <c r="K3051" s="218"/>
      <c r="L3051" s="218"/>
      <c r="M3051" s="218"/>
      <c r="N3051" s="218"/>
      <c r="O3051" s="218"/>
      <c r="P3051" s="218"/>
      <c r="Q3051" s="222"/>
      <c r="R3051" s="222"/>
      <c r="S3051" s="218"/>
      <c r="U3051" s="218"/>
      <c r="X3051" s="218"/>
      <c r="AB3051" t="e">
        <v>#N/A</v>
      </c>
    </row>
    <row r="3052">
      <c r="A3052" s="218"/>
      <c r="C3052" s="218"/>
      <c r="F3052" s="457"/>
      <c r="G3052" s="218"/>
      <c r="H3052" s="218"/>
      <c r="I3052" s="218"/>
      <c r="J3052" s="218"/>
      <c r="K3052" s="218"/>
      <c r="L3052" s="218"/>
      <c r="M3052" s="218"/>
      <c r="N3052" s="218"/>
      <c r="O3052" s="218"/>
      <c r="P3052" s="218"/>
      <c r="Q3052" s="222"/>
      <c r="R3052" s="222"/>
      <c r="S3052" s="218"/>
      <c r="U3052" s="218"/>
      <c r="X3052" s="218"/>
      <c r="AB3052" t="e">
        <v>#N/A</v>
      </c>
    </row>
    <row r="3053">
      <c r="A3053" s="218"/>
      <c r="C3053" s="218"/>
      <c r="F3053" s="457"/>
      <c r="G3053" s="218"/>
      <c r="H3053" s="218"/>
      <c r="I3053" s="218"/>
      <c r="J3053" s="218"/>
      <c r="K3053" s="218"/>
      <c r="L3053" s="218"/>
      <c r="M3053" s="218"/>
      <c r="N3053" s="218"/>
      <c r="O3053" s="218"/>
      <c r="P3053" s="218"/>
      <c r="Q3053" s="222"/>
      <c r="R3053" s="222"/>
      <c r="S3053" s="218"/>
      <c r="U3053" s="218"/>
      <c r="X3053" s="218"/>
      <c r="AB3053" t="e">
        <v>#N/A</v>
      </c>
    </row>
    <row r="3054">
      <c r="A3054" s="218"/>
      <c r="C3054" s="218"/>
      <c r="F3054" s="457"/>
      <c r="G3054" s="218"/>
      <c r="H3054" s="218"/>
      <c r="I3054" s="218"/>
      <c r="J3054" s="218"/>
      <c r="K3054" s="218"/>
      <c r="L3054" s="218"/>
      <c r="M3054" s="218"/>
      <c r="N3054" s="218"/>
      <c r="O3054" s="218"/>
      <c r="P3054" s="218"/>
      <c r="Q3054" s="222"/>
      <c r="R3054" s="222"/>
      <c r="S3054" s="218"/>
      <c r="U3054" s="218"/>
      <c r="X3054" s="218"/>
      <c r="AB3054" t="e">
        <v>#N/A</v>
      </c>
    </row>
    <row r="3055">
      <c r="A3055" s="218"/>
      <c r="C3055" s="218"/>
      <c r="F3055" s="457"/>
      <c r="G3055" s="218"/>
      <c r="H3055" s="218"/>
      <c r="I3055" s="218"/>
      <c r="J3055" s="218"/>
      <c r="K3055" s="218"/>
      <c r="L3055" s="218"/>
      <c r="M3055" s="218"/>
      <c r="N3055" s="218"/>
      <c r="O3055" s="218"/>
      <c r="P3055" s="218"/>
      <c r="Q3055" s="222"/>
      <c r="R3055" s="222"/>
      <c r="S3055" s="218"/>
      <c r="U3055" s="218"/>
      <c r="X3055" s="218"/>
      <c r="AB3055" t="e">
        <v>#N/A</v>
      </c>
    </row>
    <row r="3056">
      <c r="A3056" s="218"/>
      <c r="C3056" s="218"/>
      <c r="F3056" s="457"/>
      <c r="G3056" s="218"/>
      <c r="H3056" s="218"/>
      <c r="I3056" s="218"/>
      <c r="J3056" s="218"/>
      <c r="K3056" s="218"/>
      <c r="L3056" s="218"/>
      <c r="M3056" s="218"/>
      <c r="N3056" s="218"/>
      <c r="O3056" s="218"/>
      <c r="P3056" s="218"/>
      <c r="Q3056" s="222"/>
      <c r="R3056" s="222"/>
      <c r="S3056" s="218"/>
      <c r="U3056" s="218"/>
      <c r="X3056" s="218"/>
      <c r="AB3056" t="e">
        <v>#N/A</v>
      </c>
    </row>
    <row r="3057">
      <c r="A3057" s="218"/>
      <c r="C3057" s="218"/>
      <c r="F3057" s="457"/>
      <c r="G3057" s="218"/>
      <c r="H3057" s="218"/>
      <c r="I3057" s="218"/>
      <c r="J3057" s="218"/>
      <c r="K3057" s="218"/>
      <c r="L3057" s="218"/>
      <c r="M3057" s="218"/>
      <c r="N3057" s="218"/>
      <c r="O3057" s="218"/>
      <c r="P3057" s="218"/>
      <c r="Q3057" s="222"/>
      <c r="R3057" s="222"/>
      <c r="S3057" s="218"/>
      <c r="U3057" s="218"/>
      <c r="X3057" s="218"/>
      <c r="AB3057" t="e">
        <v>#N/A</v>
      </c>
    </row>
    <row r="3058">
      <c r="A3058" s="218"/>
      <c r="C3058" s="218"/>
      <c r="F3058" s="457"/>
      <c r="G3058" s="218"/>
      <c r="H3058" s="218"/>
      <c r="I3058" s="218"/>
      <c r="J3058" s="218"/>
      <c r="K3058" s="218"/>
      <c r="L3058" s="218"/>
      <c r="M3058" s="218"/>
      <c r="N3058" s="218"/>
      <c r="O3058" s="218"/>
      <c r="P3058" s="218"/>
      <c r="Q3058" s="222"/>
      <c r="R3058" s="222"/>
      <c r="S3058" s="218"/>
      <c r="U3058" s="218"/>
      <c r="X3058" s="218"/>
      <c r="AB3058" t="e">
        <v>#N/A</v>
      </c>
    </row>
    <row r="3059">
      <c r="A3059" s="218"/>
      <c r="C3059" s="218"/>
      <c r="F3059" s="457"/>
      <c r="G3059" s="218"/>
      <c r="H3059" s="218"/>
      <c r="I3059" s="218"/>
      <c r="J3059" s="218"/>
      <c r="K3059" s="218"/>
      <c r="L3059" s="218"/>
      <c r="M3059" s="218"/>
      <c r="N3059" s="218"/>
      <c r="O3059" s="218"/>
      <c r="P3059" s="218"/>
      <c r="Q3059" s="222"/>
      <c r="R3059" s="222"/>
      <c r="S3059" s="218"/>
      <c r="U3059" s="218"/>
      <c r="X3059" s="218"/>
      <c r="AB3059" t="e">
        <v>#N/A</v>
      </c>
    </row>
    <row r="3060">
      <c r="A3060" s="218"/>
      <c r="C3060" s="218"/>
      <c r="F3060" s="457"/>
      <c r="G3060" s="218"/>
      <c r="H3060" s="218"/>
      <c r="I3060" s="218"/>
      <c r="J3060" s="218"/>
      <c r="K3060" s="218"/>
      <c r="L3060" s="218"/>
      <c r="M3060" s="218"/>
      <c r="N3060" s="218"/>
      <c r="O3060" s="218"/>
      <c r="P3060" s="218"/>
      <c r="Q3060" s="222"/>
      <c r="R3060" s="222"/>
      <c r="S3060" s="218"/>
      <c r="U3060" s="218"/>
      <c r="X3060" s="218"/>
      <c r="AB3060" t="e">
        <v>#N/A</v>
      </c>
    </row>
    <row r="3061">
      <c r="A3061" s="218"/>
      <c r="C3061" s="218"/>
      <c r="F3061" s="457"/>
      <c r="G3061" s="218"/>
      <c r="H3061" s="218"/>
      <c r="I3061" s="218"/>
      <c r="J3061" s="218"/>
      <c r="K3061" s="218"/>
      <c r="L3061" s="218"/>
      <c r="M3061" s="218"/>
      <c r="N3061" s="218"/>
      <c r="O3061" s="218"/>
      <c r="P3061" s="218"/>
      <c r="Q3061" s="222"/>
      <c r="R3061" s="222"/>
      <c r="S3061" s="218"/>
      <c r="U3061" s="218"/>
      <c r="X3061" s="218"/>
      <c r="AB3061" t="e">
        <v>#N/A</v>
      </c>
    </row>
    <row r="3062">
      <c r="A3062" s="218"/>
      <c r="C3062" s="218"/>
      <c r="F3062" s="457"/>
      <c r="G3062" s="218"/>
      <c r="H3062" s="218"/>
      <c r="I3062" s="218"/>
      <c r="J3062" s="218"/>
      <c r="K3062" s="218"/>
      <c r="L3062" s="218"/>
      <c r="M3062" s="218"/>
      <c r="N3062" s="218"/>
      <c r="O3062" s="218"/>
      <c r="P3062" s="218"/>
      <c r="Q3062" s="222"/>
      <c r="R3062" s="222"/>
      <c r="S3062" s="218"/>
      <c r="U3062" s="218"/>
      <c r="X3062" s="218"/>
      <c r="AB3062" t="e">
        <v>#N/A</v>
      </c>
    </row>
    <row r="3063">
      <c r="A3063" s="218"/>
      <c r="C3063" s="218"/>
      <c r="F3063" s="457"/>
      <c r="G3063" s="218"/>
      <c r="H3063" s="218"/>
      <c r="I3063" s="218"/>
      <c r="J3063" s="218"/>
      <c r="K3063" s="218"/>
      <c r="L3063" s="218"/>
      <c r="M3063" s="218"/>
      <c r="N3063" s="218"/>
      <c r="O3063" s="218"/>
      <c r="P3063" s="218"/>
      <c r="Q3063" s="222"/>
      <c r="R3063" s="222"/>
      <c r="S3063" s="218"/>
      <c r="U3063" s="218"/>
      <c r="X3063" s="218"/>
      <c r="AB3063" t="e">
        <v>#N/A</v>
      </c>
    </row>
    <row r="3064">
      <c r="A3064" s="218"/>
      <c r="C3064" s="218"/>
      <c r="F3064" s="457"/>
      <c r="G3064" s="218"/>
      <c r="H3064" s="218"/>
      <c r="I3064" s="218"/>
      <c r="J3064" s="218"/>
      <c r="K3064" s="218"/>
      <c r="L3064" s="218"/>
      <c r="M3064" s="218"/>
      <c r="N3064" s="218"/>
      <c r="O3064" s="218"/>
      <c r="P3064" s="218"/>
      <c r="Q3064" s="222"/>
      <c r="R3064" s="222"/>
      <c r="S3064" s="218"/>
      <c r="U3064" s="218"/>
      <c r="X3064" s="218"/>
      <c r="AB3064" t="e">
        <v>#N/A</v>
      </c>
    </row>
    <row r="3065">
      <c r="A3065" s="218"/>
      <c r="C3065" s="218"/>
      <c r="F3065" s="457"/>
      <c r="G3065" s="218"/>
      <c r="H3065" s="218"/>
      <c r="I3065" s="218"/>
      <c r="J3065" s="218"/>
      <c r="K3065" s="218"/>
      <c r="L3065" s="218"/>
      <c r="M3065" s="218"/>
      <c r="N3065" s="218"/>
      <c r="O3065" s="218"/>
      <c r="P3065" s="218"/>
      <c r="Q3065" s="222"/>
      <c r="R3065" s="222"/>
      <c r="S3065" s="218"/>
      <c r="U3065" s="218"/>
      <c r="X3065" s="218"/>
      <c r="AB3065" t="e">
        <v>#N/A</v>
      </c>
    </row>
    <row r="3066">
      <c r="A3066" s="218"/>
      <c r="C3066" s="218"/>
      <c r="F3066" s="457"/>
      <c r="G3066" s="218"/>
      <c r="H3066" s="218"/>
      <c r="I3066" s="218"/>
      <c r="J3066" s="218"/>
      <c r="K3066" s="218"/>
      <c r="L3066" s="218"/>
      <c r="M3066" s="218"/>
      <c r="N3066" s="218"/>
      <c r="O3066" s="218"/>
      <c r="P3066" s="218"/>
      <c r="Q3066" s="222"/>
      <c r="R3066" s="222"/>
      <c r="S3066" s="218"/>
      <c r="U3066" s="218"/>
      <c r="X3066" s="218"/>
      <c r="AB3066" t="e">
        <v>#N/A</v>
      </c>
    </row>
    <row r="3067">
      <c r="A3067" s="218"/>
      <c r="C3067" s="218"/>
      <c r="F3067" s="457"/>
      <c r="G3067" s="218"/>
      <c r="H3067" s="218"/>
      <c r="I3067" s="218"/>
      <c r="J3067" s="218"/>
      <c r="K3067" s="218"/>
      <c r="L3067" s="218"/>
      <c r="M3067" s="218"/>
      <c r="N3067" s="218"/>
      <c r="O3067" s="218"/>
      <c r="P3067" s="218"/>
      <c r="Q3067" s="222"/>
      <c r="R3067" s="222"/>
      <c r="S3067" s="218"/>
      <c r="U3067" s="218"/>
      <c r="X3067" s="218"/>
      <c r="AB3067" t="e">
        <v>#N/A</v>
      </c>
    </row>
    <row r="3068">
      <c r="A3068" s="218"/>
      <c r="C3068" s="218"/>
      <c r="F3068" s="457"/>
      <c r="G3068" s="218"/>
      <c r="H3068" s="218"/>
      <c r="I3068" s="218"/>
      <c r="J3068" s="218"/>
      <c r="K3068" s="218"/>
      <c r="L3068" s="218"/>
      <c r="M3068" s="218"/>
      <c r="N3068" s="218"/>
      <c r="O3068" s="218"/>
      <c r="P3068" s="218"/>
      <c r="Q3068" s="222"/>
      <c r="R3068" s="222"/>
      <c r="S3068" s="218"/>
      <c r="U3068" s="218"/>
      <c r="X3068" s="218"/>
      <c r="AB3068" t="e">
        <v>#N/A</v>
      </c>
    </row>
    <row r="3069">
      <c r="A3069" s="218"/>
      <c r="C3069" s="218"/>
      <c r="F3069" s="457"/>
      <c r="G3069" s="218"/>
      <c r="H3069" s="218"/>
      <c r="I3069" s="218"/>
      <c r="J3069" s="218"/>
      <c r="K3069" s="218"/>
      <c r="L3069" s="218"/>
      <c r="M3069" s="218"/>
      <c r="N3069" s="218"/>
      <c r="O3069" s="218"/>
      <c r="P3069" s="218"/>
      <c r="Q3069" s="222"/>
      <c r="R3069" s="222"/>
      <c r="S3069" s="218"/>
      <c r="U3069" s="218"/>
      <c r="X3069" s="218"/>
      <c r="AB3069" t="e">
        <v>#N/A</v>
      </c>
    </row>
    <row r="3070">
      <c r="A3070" s="218"/>
      <c r="C3070" s="218"/>
      <c r="F3070" s="457"/>
      <c r="G3070" s="218"/>
      <c r="H3070" s="218"/>
      <c r="I3070" s="218"/>
      <c r="J3070" s="218"/>
      <c r="K3070" s="218"/>
      <c r="L3070" s="218"/>
      <c r="M3070" s="218"/>
      <c r="N3070" s="218"/>
      <c r="O3070" s="218"/>
      <c r="P3070" s="218"/>
      <c r="Q3070" s="222"/>
      <c r="R3070" s="222"/>
      <c r="S3070" s="218"/>
      <c r="U3070" s="218"/>
      <c r="X3070" s="218"/>
      <c r="AB3070" t="e">
        <v>#N/A</v>
      </c>
    </row>
    <row r="3071">
      <c r="A3071" s="218"/>
      <c r="C3071" s="218"/>
      <c r="F3071" s="457"/>
      <c r="G3071" s="218"/>
      <c r="H3071" s="218"/>
      <c r="I3071" s="218"/>
      <c r="J3071" s="218"/>
      <c r="K3071" s="218"/>
      <c r="L3071" s="218"/>
      <c r="M3071" s="218"/>
      <c r="N3071" s="218"/>
      <c r="O3071" s="218"/>
      <c r="P3071" s="218"/>
      <c r="Q3071" s="222"/>
      <c r="R3071" s="222"/>
      <c r="S3071" s="218"/>
      <c r="U3071" s="218"/>
      <c r="X3071" s="218"/>
      <c r="AB3071" t="e">
        <v>#N/A</v>
      </c>
    </row>
    <row r="3072">
      <c r="A3072" s="218"/>
      <c r="C3072" s="218"/>
      <c r="F3072" s="457"/>
      <c r="G3072" s="218"/>
      <c r="H3072" s="218"/>
      <c r="I3072" s="218"/>
      <c r="J3072" s="218"/>
      <c r="K3072" s="218"/>
      <c r="L3072" s="218"/>
      <c r="M3072" s="218"/>
      <c r="N3072" s="218"/>
      <c r="O3072" s="218"/>
      <c r="P3072" s="218"/>
      <c r="Q3072" s="222"/>
      <c r="R3072" s="222"/>
      <c r="S3072" s="218"/>
      <c r="U3072" s="218"/>
      <c r="X3072" s="218"/>
      <c r="AB3072" t="e">
        <v>#N/A</v>
      </c>
    </row>
    <row r="3073">
      <c r="A3073" s="218"/>
      <c r="C3073" s="218"/>
      <c r="F3073" s="457"/>
      <c r="G3073" s="218"/>
      <c r="H3073" s="218"/>
      <c r="I3073" s="218"/>
      <c r="J3073" s="218"/>
      <c r="K3073" s="218"/>
      <c r="L3073" s="218"/>
      <c r="M3073" s="218"/>
      <c r="N3073" s="218"/>
      <c r="O3073" s="218"/>
      <c r="P3073" s="218"/>
      <c r="Q3073" s="222"/>
      <c r="R3073" s="222"/>
      <c r="S3073" s="218"/>
      <c r="U3073" s="218"/>
      <c r="X3073" s="218"/>
      <c r="AB3073" t="e">
        <v>#N/A</v>
      </c>
    </row>
    <row r="3074">
      <c r="A3074" s="218"/>
      <c r="C3074" s="218"/>
      <c r="F3074" s="457"/>
      <c r="G3074" s="218"/>
      <c r="H3074" s="218"/>
      <c r="I3074" s="218"/>
      <c r="J3074" s="218"/>
      <c r="K3074" s="218"/>
      <c r="L3074" s="218"/>
      <c r="M3074" s="218"/>
      <c r="N3074" s="218"/>
      <c r="O3074" s="218"/>
      <c r="P3074" s="218"/>
      <c r="Q3074" s="222"/>
      <c r="R3074" s="222"/>
      <c r="S3074" s="218"/>
      <c r="U3074" s="218"/>
      <c r="X3074" s="218"/>
      <c r="AB3074" t="e">
        <v>#N/A</v>
      </c>
    </row>
    <row r="3075">
      <c r="A3075" s="218"/>
      <c r="C3075" s="218"/>
      <c r="F3075" s="457"/>
      <c r="G3075" s="218"/>
      <c r="H3075" s="218"/>
      <c r="I3075" s="218"/>
      <c r="J3075" s="218"/>
      <c r="K3075" s="218"/>
      <c r="L3075" s="218"/>
      <c r="M3075" s="218"/>
      <c r="N3075" s="218"/>
      <c r="O3075" s="218"/>
      <c r="P3075" s="218"/>
      <c r="Q3075" s="222"/>
      <c r="R3075" s="222"/>
      <c r="S3075" s="218"/>
      <c r="U3075" s="218"/>
      <c r="X3075" s="218"/>
      <c r="AB3075" t="e">
        <v>#N/A</v>
      </c>
    </row>
    <row r="3076">
      <c r="A3076" s="218"/>
      <c r="C3076" s="218"/>
      <c r="F3076" s="457"/>
      <c r="G3076" s="218"/>
      <c r="H3076" s="218"/>
      <c r="I3076" s="218"/>
      <c r="J3076" s="218"/>
      <c r="K3076" s="218"/>
      <c r="L3076" s="218"/>
      <c r="M3076" s="218"/>
      <c r="N3076" s="218"/>
      <c r="O3076" s="218"/>
      <c r="P3076" s="218"/>
      <c r="Q3076" s="222"/>
      <c r="R3076" s="222"/>
      <c r="S3076" s="218"/>
      <c r="U3076" s="218"/>
      <c r="X3076" s="218"/>
      <c r="AB3076" t="e">
        <v>#N/A</v>
      </c>
    </row>
    <row r="3077">
      <c r="A3077" s="218"/>
      <c r="C3077" s="218"/>
      <c r="F3077" s="457"/>
      <c r="G3077" s="218"/>
      <c r="H3077" s="218"/>
      <c r="I3077" s="218"/>
      <c r="J3077" s="218"/>
      <c r="K3077" s="218"/>
      <c r="L3077" s="218"/>
      <c r="M3077" s="218"/>
      <c r="N3077" s="218"/>
      <c r="O3077" s="218"/>
      <c r="P3077" s="218"/>
      <c r="Q3077" s="222"/>
      <c r="R3077" s="222"/>
      <c r="S3077" s="218"/>
      <c r="U3077" s="218"/>
      <c r="X3077" s="218"/>
      <c r="AB3077" t="e">
        <v>#N/A</v>
      </c>
    </row>
    <row r="3078">
      <c r="A3078" s="218"/>
      <c r="C3078" s="218"/>
      <c r="F3078" s="457"/>
      <c r="G3078" s="218"/>
      <c r="H3078" s="218"/>
      <c r="I3078" s="218"/>
      <c r="J3078" s="218"/>
      <c r="K3078" s="218"/>
      <c r="L3078" s="218"/>
      <c r="M3078" s="218"/>
      <c r="N3078" s="218"/>
      <c r="O3078" s="218"/>
      <c r="P3078" s="218"/>
      <c r="Q3078" s="222"/>
      <c r="R3078" s="222"/>
      <c r="S3078" s="218"/>
      <c r="U3078" s="218"/>
      <c r="X3078" s="218"/>
      <c r="AB3078" t="e">
        <v>#N/A</v>
      </c>
    </row>
    <row r="3079">
      <c r="A3079" s="218"/>
      <c r="C3079" s="218"/>
      <c r="F3079" s="457"/>
      <c r="G3079" s="218"/>
      <c r="H3079" s="218"/>
      <c r="I3079" s="218"/>
      <c r="J3079" s="218"/>
      <c r="K3079" s="218"/>
      <c r="L3079" s="218"/>
      <c r="M3079" s="218"/>
      <c r="N3079" s="218"/>
      <c r="O3079" s="218"/>
      <c r="P3079" s="218"/>
      <c r="Q3079" s="222"/>
      <c r="R3079" s="222"/>
      <c r="S3079" s="218"/>
      <c r="U3079" s="218"/>
      <c r="X3079" s="218"/>
      <c r="AB3079" t="e">
        <v>#N/A</v>
      </c>
    </row>
    <row r="3080">
      <c r="A3080" s="218"/>
      <c r="C3080" s="218"/>
      <c r="F3080" s="457"/>
      <c r="G3080" s="218"/>
      <c r="H3080" s="218"/>
      <c r="I3080" s="218"/>
      <c r="J3080" s="218"/>
      <c r="K3080" s="218"/>
      <c r="L3080" s="218"/>
      <c r="M3080" s="218"/>
      <c r="N3080" s="218"/>
      <c r="O3080" s="218"/>
      <c r="P3080" s="218"/>
      <c r="Q3080" s="222"/>
      <c r="R3080" s="222"/>
      <c r="S3080" s="218"/>
      <c r="U3080" s="218"/>
      <c r="X3080" s="218"/>
      <c r="AB3080" t="e">
        <v>#N/A</v>
      </c>
    </row>
    <row r="3081">
      <c r="A3081" s="218"/>
      <c r="C3081" s="218"/>
      <c r="F3081" s="457"/>
      <c r="G3081" s="218"/>
      <c r="H3081" s="218"/>
      <c r="I3081" s="218"/>
      <c r="J3081" s="218"/>
      <c r="K3081" s="218"/>
      <c r="L3081" s="218"/>
      <c r="M3081" s="218"/>
      <c r="N3081" s="218"/>
      <c r="O3081" s="218"/>
      <c r="P3081" s="218"/>
      <c r="Q3081" s="222"/>
      <c r="R3081" s="222"/>
      <c r="S3081" s="218"/>
      <c r="U3081" s="218"/>
      <c r="X3081" s="218"/>
      <c r="AB3081" t="e">
        <v>#N/A</v>
      </c>
    </row>
    <row r="3082">
      <c r="A3082" s="218"/>
      <c r="C3082" s="218"/>
      <c r="F3082" s="457"/>
      <c r="G3082" s="218"/>
      <c r="H3082" s="218"/>
      <c r="I3082" s="218"/>
      <c r="J3082" s="218"/>
      <c r="K3082" s="218"/>
      <c r="L3082" s="218"/>
      <c r="M3082" s="218"/>
      <c r="N3082" s="218"/>
      <c r="O3082" s="218"/>
      <c r="P3082" s="218"/>
      <c r="Q3082" s="222"/>
      <c r="R3082" s="222"/>
      <c r="S3082" s="218"/>
      <c r="U3082" s="218"/>
      <c r="X3082" s="218"/>
      <c r="AB3082" t="e">
        <v>#N/A</v>
      </c>
    </row>
    <row r="3083">
      <c r="A3083" s="218"/>
      <c r="C3083" s="218"/>
      <c r="F3083" s="457"/>
      <c r="G3083" s="218"/>
      <c r="H3083" s="218"/>
      <c r="I3083" s="218"/>
      <c r="J3083" s="218"/>
      <c r="K3083" s="218"/>
      <c r="L3083" s="218"/>
      <c r="M3083" s="218"/>
      <c r="N3083" s="218"/>
      <c r="O3083" s="218"/>
      <c r="P3083" s="218"/>
      <c r="Q3083" s="222"/>
      <c r="R3083" s="222"/>
      <c r="S3083" s="218"/>
      <c r="U3083" s="218"/>
      <c r="X3083" s="218"/>
      <c r="AB3083" t="e">
        <v>#N/A</v>
      </c>
    </row>
    <row r="3084">
      <c r="A3084" s="218"/>
      <c r="C3084" s="218"/>
      <c r="F3084" s="457"/>
      <c r="G3084" s="218"/>
      <c r="H3084" s="218"/>
      <c r="I3084" s="218"/>
      <c r="J3084" s="218"/>
      <c r="K3084" s="218"/>
      <c r="L3084" s="218"/>
      <c r="M3084" s="218"/>
      <c r="N3084" s="218"/>
      <c r="O3084" s="218"/>
      <c r="P3084" s="218"/>
      <c r="Q3084" s="222"/>
      <c r="R3084" s="222"/>
      <c r="S3084" s="218"/>
      <c r="U3084" s="218"/>
      <c r="X3084" s="218"/>
      <c r="AB3084" t="e">
        <v>#N/A</v>
      </c>
    </row>
    <row r="3085">
      <c r="A3085" s="218"/>
      <c r="C3085" s="218"/>
      <c r="F3085" s="457"/>
      <c r="G3085" s="218"/>
      <c r="H3085" s="218"/>
      <c r="I3085" s="218"/>
      <c r="J3085" s="218"/>
      <c r="K3085" s="218"/>
      <c r="L3085" s="218"/>
      <c r="M3085" s="218"/>
      <c r="N3085" s="218"/>
      <c r="O3085" s="218"/>
      <c r="P3085" s="218"/>
      <c r="Q3085" s="222"/>
      <c r="R3085" s="222"/>
      <c r="S3085" s="218"/>
      <c r="U3085" s="218"/>
      <c r="X3085" s="218"/>
      <c r="AB3085" t="e">
        <v>#N/A</v>
      </c>
    </row>
    <row r="3086">
      <c r="A3086" s="218"/>
      <c r="C3086" s="218"/>
      <c r="F3086" s="457"/>
      <c r="G3086" s="218"/>
      <c r="H3086" s="218"/>
      <c r="I3086" s="218"/>
      <c r="J3086" s="218"/>
      <c r="K3086" s="218"/>
      <c r="L3086" s="218"/>
      <c r="M3086" s="218"/>
      <c r="N3086" s="218"/>
      <c r="O3086" s="218"/>
      <c r="P3086" s="218"/>
      <c r="Q3086" s="222"/>
      <c r="R3086" s="222"/>
      <c r="S3086" s="218"/>
      <c r="U3086" s="218"/>
      <c r="X3086" s="218"/>
      <c r="AB3086" t="e">
        <v>#N/A</v>
      </c>
    </row>
    <row r="3087">
      <c r="A3087" s="218"/>
      <c r="C3087" s="218"/>
      <c r="F3087" s="457"/>
      <c r="G3087" s="218"/>
      <c r="H3087" s="218"/>
      <c r="I3087" s="218"/>
      <c r="J3087" s="218"/>
      <c r="K3087" s="218"/>
      <c r="L3087" s="218"/>
      <c r="M3087" s="218"/>
      <c r="N3087" s="218"/>
      <c r="O3087" s="218"/>
      <c r="P3087" s="218"/>
      <c r="Q3087" s="222"/>
      <c r="R3087" s="222"/>
      <c r="S3087" s="218"/>
      <c r="U3087" s="218"/>
      <c r="X3087" s="218"/>
      <c r="AB3087" t="e">
        <v>#N/A</v>
      </c>
    </row>
    <row r="3088">
      <c r="A3088" s="218"/>
      <c r="C3088" s="218"/>
      <c r="F3088" s="457"/>
      <c r="G3088" s="218"/>
      <c r="H3088" s="218"/>
      <c r="I3088" s="218"/>
      <c r="J3088" s="218"/>
      <c r="K3088" s="218"/>
      <c r="L3088" s="218"/>
      <c r="M3088" s="218"/>
      <c r="N3088" s="218"/>
      <c r="O3088" s="218"/>
      <c r="P3088" s="218"/>
      <c r="Q3088" s="222"/>
      <c r="R3088" s="222"/>
      <c r="S3088" s="218"/>
      <c r="U3088" s="218"/>
      <c r="X3088" s="218"/>
      <c r="AB3088" t="e">
        <v>#N/A</v>
      </c>
    </row>
    <row r="3089">
      <c r="A3089" s="218"/>
      <c r="C3089" s="218"/>
      <c r="F3089" s="457"/>
      <c r="G3089" s="218"/>
      <c r="H3089" s="218"/>
      <c r="I3089" s="218"/>
      <c r="J3089" s="218"/>
      <c r="K3089" s="218"/>
      <c r="L3089" s="218"/>
      <c r="M3089" s="218"/>
      <c r="N3089" s="218"/>
      <c r="O3089" s="218"/>
      <c r="P3089" s="218"/>
      <c r="Q3089" s="222"/>
      <c r="R3089" s="222"/>
      <c r="S3089" s="218"/>
      <c r="U3089" s="218"/>
      <c r="X3089" s="218"/>
      <c r="AB3089" t="e">
        <v>#N/A</v>
      </c>
    </row>
    <row r="3090">
      <c r="A3090" s="218"/>
      <c r="C3090" s="218"/>
      <c r="F3090" s="457"/>
      <c r="G3090" s="218"/>
      <c r="H3090" s="218"/>
      <c r="I3090" s="218"/>
      <c r="J3090" s="218"/>
      <c r="K3090" s="218"/>
      <c r="L3090" s="218"/>
      <c r="M3090" s="218"/>
      <c r="N3090" s="218"/>
      <c r="O3090" s="218"/>
      <c r="P3090" s="218"/>
      <c r="Q3090" s="222"/>
      <c r="R3090" s="222"/>
      <c r="S3090" s="218"/>
      <c r="U3090" s="218"/>
      <c r="X3090" s="218"/>
      <c r="AB3090" t="e">
        <v>#N/A</v>
      </c>
    </row>
    <row r="3091">
      <c r="A3091" s="218"/>
      <c r="C3091" s="218"/>
      <c r="F3091" s="457"/>
      <c r="G3091" s="218"/>
      <c r="H3091" s="218"/>
      <c r="I3091" s="218"/>
      <c r="J3091" s="218"/>
      <c r="K3091" s="218"/>
      <c r="L3091" s="218"/>
      <c r="M3091" s="218"/>
      <c r="N3091" s="218"/>
      <c r="O3091" s="218"/>
      <c r="P3091" s="218"/>
      <c r="Q3091" s="222"/>
      <c r="R3091" s="222"/>
      <c r="S3091" s="218"/>
      <c r="U3091" s="218"/>
      <c r="X3091" s="218"/>
      <c r="AB3091" t="e">
        <v>#N/A</v>
      </c>
    </row>
    <row r="3092">
      <c r="A3092" s="218"/>
      <c r="C3092" s="218"/>
      <c r="F3092" s="457"/>
      <c r="G3092" s="218"/>
      <c r="H3092" s="218"/>
      <c r="I3092" s="218"/>
      <c r="J3092" s="218"/>
      <c r="K3092" s="218"/>
      <c r="L3092" s="218"/>
      <c r="M3092" s="218"/>
      <c r="N3092" s="218"/>
      <c r="O3092" s="218"/>
      <c r="P3092" s="218"/>
      <c r="Q3092" s="222"/>
      <c r="R3092" s="222"/>
      <c r="S3092" s="218"/>
      <c r="U3092" s="218"/>
      <c r="X3092" s="218"/>
      <c r="AB3092" t="e">
        <v>#N/A</v>
      </c>
    </row>
    <row r="3093">
      <c r="A3093" s="218"/>
      <c r="C3093" s="218"/>
      <c r="F3093" s="457"/>
      <c r="G3093" s="218"/>
      <c r="H3093" s="218"/>
      <c r="I3093" s="218"/>
      <c r="J3093" s="218"/>
      <c r="K3093" s="218"/>
      <c r="L3093" s="218"/>
      <c r="M3093" s="218"/>
      <c r="N3093" s="218"/>
      <c r="O3093" s="218"/>
      <c r="P3093" s="218"/>
      <c r="Q3093" s="222"/>
      <c r="R3093" s="222"/>
      <c r="S3093" s="218"/>
      <c r="U3093" s="218"/>
      <c r="X3093" s="218"/>
      <c r="AB3093" t="e">
        <v>#N/A</v>
      </c>
    </row>
    <row r="3094">
      <c r="A3094" s="218"/>
      <c r="C3094" s="218"/>
      <c r="F3094" s="457"/>
      <c r="G3094" s="218"/>
      <c r="H3094" s="218"/>
      <c r="I3094" s="218"/>
      <c r="J3094" s="218"/>
      <c r="K3094" s="218"/>
      <c r="L3094" s="218"/>
      <c r="M3094" s="218"/>
      <c r="N3094" s="218"/>
      <c r="O3094" s="218"/>
      <c r="P3094" s="218"/>
      <c r="Q3094" s="222"/>
      <c r="R3094" s="222"/>
      <c r="S3094" s="218"/>
      <c r="U3094" s="218"/>
      <c r="X3094" s="218"/>
      <c r="AB3094" t="e">
        <v>#N/A</v>
      </c>
    </row>
    <row r="3095">
      <c r="A3095" s="218"/>
      <c r="C3095" s="218"/>
      <c r="F3095" s="457"/>
      <c r="G3095" s="218"/>
      <c r="H3095" s="218"/>
      <c r="I3095" s="218"/>
      <c r="J3095" s="218"/>
      <c r="K3095" s="218"/>
      <c r="L3095" s="218"/>
      <c r="M3095" s="218"/>
      <c r="N3095" s="218"/>
      <c r="O3095" s="218"/>
      <c r="P3095" s="218"/>
      <c r="Q3095" s="222"/>
      <c r="R3095" s="222"/>
      <c r="S3095" s="218"/>
      <c r="U3095" s="218"/>
      <c r="X3095" s="218"/>
      <c r="AB3095" t="e">
        <v>#N/A</v>
      </c>
    </row>
    <row r="3096">
      <c r="A3096" s="218"/>
      <c r="C3096" s="218"/>
      <c r="F3096" s="457"/>
      <c r="G3096" s="218"/>
      <c r="H3096" s="218"/>
      <c r="I3096" s="218"/>
      <c r="J3096" s="218"/>
      <c r="K3096" s="218"/>
      <c r="L3096" s="218"/>
      <c r="M3096" s="218"/>
      <c r="N3096" s="218"/>
      <c r="O3096" s="218"/>
      <c r="P3096" s="218"/>
      <c r="Q3096" s="222"/>
      <c r="R3096" s="222"/>
      <c r="S3096" s="218"/>
      <c r="U3096" s="218"/>
      <c r="X3096" s="218"/>
      <c r="AB3096" t="e">
        <v>#N/A</v>
      </c>
    </row>
    <row r="3097">
      <c r="A3097" s="218"/>
      <c r="C3097" s="218"/>
      <c r="F3097" s="457"/>
      <c r="G3097" s="218"/>
      <c r="H3097" s="218"/>
      <c r="I3097" s="218"/>
      <c r="J3097" s="218"/>
      <c r="K3097" s="218"/>
      <c r="L3097" s="218"/>
      <c r="M3097" s="218"/>
      <c r="N3097" s="218"/>
      <c r="O3097" s="218"/>
      <c r="P3097" s="218"/>
      <c r="Q3097" s="222"/>
      <c r="R3097" s="222"/>
      <c r="S3097" s="218"/>
      <c r="U3097" s="218"/>
      <c r="X3097" s="218"/>
      <c r="AB3097" t="e">
        <v>#N/A</v>
      </c>
    </row>
    <row r="3098">
      <c r="A3098" s="218"/>
      <c r="C3098" s="218"/>
      <c r="F3098" s="457"/>
      <c r="G3098" s="218"/>
      <c r="H3098" s="218"/>
      <c r="I3098" s="218"/>
      <c r="J3098" s="218"/>
      <c r="K3098" s="218"/>
      <c r="L3098" s="218"/>
      <c r="M3098" s="218"/>
      <c r="N3098" s="218"/>
      <c r="O3098" s="218"/>
      <c r="P3098" s="218"/>
      <c r="Q3098" s="222"/>
      <c r="R3098" s="222"/>
      <c r="S3098" s="218"/>
      <c r="U3098" s="218"/>
      <c r="X3098" s="218"/>
      <c r="AB3098" t="e">
        <v>#N/A</v>
      </c>
    </row>
    <row r="3099">
      <c r="A3099" s="218"/>
      <c r="C3099" s="218"/>
      <c r="F3099" s="457"/>
      <c r="G3099" s="218"/>
      <c r="H3099" s="218"/>
      <c r="I3099" s="218"/>
      <c r="J3099" s="218"/>
      <c r="K3099" s="218"/>
      <c r="L3099" s="218"/>
      <c r="M3099" s="218"/>
      <c r="N3099" s="218"/>
      <c r="O3099" s="218"/>
      <c r="P3099" s="218"/>
      <c r="Q3099" s="222"/>
      <c r="R3099" s="222"/>
      <c r="S3099" s="218"/>
      <c r="U3099" s="218"/>
      <c r="X3099" s="218"/>
      <c r="AB3099" t="e">
        <v>#N/A</v>
      </c>
    </row>
    <row r="3100">
      <c r="A3100" s="218"/>
      <c r="C3100" s="218"/>
      <c r="F3100" s="457"/>
      <c r="G3100" s="218"/>
      <c r="H3100" s="218"/>
      <c r="I3100" s="218"/>
      <c r="J3100" s="218"/>
      <c r="K3100" s="218"/>
      <c r="L3100" s="218"/>
      <c r="M3100" s="218"/>
      <c r="N3100" s="218"/>
      <c r="O3100" s="218"/>
      <c r="P3100" s="218"/>
      <c r="Q3100" s="222"/>
      <c r="R3100" s="222"/>
      <c r="S3100" s="218"/>
      <c r="U3100" s="218"/>
      <c r="X3100" s="218"/>
      <c r="AB3100" t="e">
        <v>#N/A</v>
      </c>
    </row>
    <row r="3101">
      <c r="A3101" s="218"/>
      <c r="C3101" s="218"/>
      <c r="F3101" s="457"/>
      <c r="G3101" s="218"/>
      <c r="H3101" s="218"/>
      <c r="I3101" s="218"/>
      <c r="J3101" s="218"/>
      <c r="K3101" s="218"/>
      <c r="L3101" s="218"/>
      <c r="M3101" s="218"/>
      <c r="N3101" s="218"/>
      <c r="O3101" s="218"/>
      <c r="P3101" s="218"/>
      <c r="Q3101" s="222"/>
      <c r="R3101" s="222"/>
      <c r="S3101" s="218"/>
      <c r="U3101" s="218"/>
      <c r="X3101" s="218"/>
      <c r="AB3101" t="e">
        <v>#N/A</v>
      </c>
    </row>
    <row r="3102">
      <c r="A3102" s="218"/>
      <c r="C3102" s="218"/>
      <c r="F3102" s="457"/>
      <c r="G3102" s="218"/>
      <c r="H3102" s="218"/>
      <c r="I3102" s="218"/>
      <c r="J3102" s="218"/>
      <c r="K3102" s="218"/>
      <c r="L3102" s="218"/>
      <c r="M3102" s="218"/>
      <c r="N3102" s="218"/>
      <c r="O3102" s="218"/>
      <c r="P3102" s="218"/>
      <c r="Q3102" s="222"/>
      <c r="R3102" s="222"/>
      <c r="S3102" s="218"/>
      <c r="U3102" s="218"/>
      <c r="X3102" s="218"/>
      <c r="AB3102" t="e">
        <v>#N/A</v>
      </c>
    </row>
    <row r="3103">
      <c r="A3103" s="218"/>
      <c r="C3103" s="218"/>
      <c r="F3103" s="457"/>
      <c r="G3103" s="218"/>
      <c r="H3103" s="218"/>
      <c r="I3103" s="218"/>
      <c r="J3103" s="218"/>
      <c r="K3103" s="218"/>
      <c r="L3103" s="218"/>
      <c r="M3103" s="218"/>
      <c r="N3103" s="218"/>
      <c r="O3103" s="218"/>
      <c r="P3103" s="218"/>
      <c r="Q3103" s="222"/>
      <c r="R3103" s="222"/>
      <c r="S3103" s="218"/>
      <c r="U3103" s="218"/>
      <c r="X3103" s="218"/>
      <c r="AB3103" t="e">
        <v>#N/A</v>
      </c>
    </row>
    <row r="3104">
      <c r="A3104" s="218"/>
      <c r="C3104" s="218"/>
      <c r="F3104" s="457"/>
      <c r="G3104" s="218"/>
      <c r="H3104" s="218"/>
      <c r="I3104" s="218"/>
      <c r="J3104" s="218"/>
      <c r="K3104" s="218"/>
      <c r="L3104" s="218"/>
      <c r="M3104" s="218"/>
      <c r="N3104" s="218"/>
      <c r="O3104" s="218"/>
      <c r="P3104" s="218"/>
      <c r="Q3104" s="222"/>
      <c r="R3104" s="222"/>
      <c r="S3104" s="218"/>
      <c r="U3104" s="218"/>
      <c r="X3104" s="218"/>
      <c r="AB3104" t="e">
        <v>#N/A</v>
      </c>
    </row>
    <row r="3105">
      <c r="A3105" s="218"/>
      <c r="C3105" s="218"/>
      <c r="F3105" s="457"/>
      <c r="G3105" s="218"/>
      <c r="H3105" s="218"/>
      <c r="I3105" s="218"/>
      <c r="J3105" s="218"/>
      <c r="K3105" s="218"/>
      <c r="L3105" s="218"/>
      <c r="M3105" s="218"/>
      <c r="N3105" s="218"/>
      <c r="O3105" s="218"/>
      <c r="P3105" s="218"/>
      <c r="Q3105" s="222"/>
      <c r="R3105" s="222"/>
      <c r="S3105" s="218"/>
      <c r="U3105" s="218"/>
      <c r="X3105" s="218"/>
      <c r="AB3105" t="e">
        <v>#N/A</v>
      </c>
    </row>
    <row r="3106">
      <c r="A3106" s="218"/>
      <c r="C3106" s="218"/>
      <c r="F3106" s="457"/>
      <c r="G3106" s="218"/>
      <c r="H3106" s="218"/>
      <c r="I3106" s="218"/>
      <c r="J3106" s="218"/>
      <c r="K3106" s="218"/>
      <c r="L3106" s="218"/>
      <c r="M3106" s="218"/>
      <c r="N3106" s="218"/>
      <c r="O3106" s="218"/>
      <c r="P3106" s="218"/>
      <c r="Q3106" s="222"/>
      <c r="R3106" s="222"/>
      <c r="S3106" s="218"/>
      <c r="U3106" s="218"/>
      <c r="X3106" s="218"/>
      <c r="AB3106" t="e">
        <v>#N/A</v>
      </c>
    </row>
    <row r="3107">
      <c r="A3107" s="218"/>
      <c r="C3107" s="218"/>
      <c r="F3107" s="457"/>
      <c r="G3107" s="218"/>
      <c r="H3107" s="218"/>
      <c r="I3107" s="218"/>
      <c r="J3107" s="218"/>
      <c r="K3107" s="218"/>
      <c r="L3107" s="218"/>
      <c r="M3107" s="218"/>
      <c r="N3107" s="218"/>
      <c r="O3107" s="218"/>
      <c r="P3107" s="218"/>
      <c r="Q3107" s="222"/>
      <c r="R3107" s="222"/>
      <c r="S3107" s="218"/>
      <c r="U3107" s="218"/>
      <c r="X3107" s="218"/>
      <c r="AB3107" t="e">
        <v>#N/A</v>
      </c>
    </row>
    <row r="3108">
      <c r="A3108" s="218"/>
      <c r="C3108" s="218"/>
      <c r="F3108" s="457"/>
      <c r="G3108" s="218"/>
      <c r="H3108" s="218"/>
      <c r="I3108" s="218"/>
      <c r="J3108" s="218"/>
      <c r="K3108" s="218"/>
      <c r="L3108" s="218"/>
      <c r="M3108" s="218"/>
      <c r="N3108" s="218"/>
      <c r="O3108" s="218"/>
      <c r="P3108" s="218"/>
      <c r="Q3108" s="222"/>
      <c r="R3108" s="222"/>
      <c r="S3108" s="218"/>
      <c r="U3108" s="218"/>
      <c r="X3108" s="218"/>
      <c r="AB3108" t="e">
        <v>#N/A</v>
      </c>
    </row>
    <row r="3109">
      <c r="A3109" s="218"/>
      <c r="C3109" s="218"/>
      <c r="F3109" s="457"/>
      <c r="G3109" s="218"/>
      <c r="H3109" s="218"/>
      <c r="I3109" s="218"/>
      <c r="J3109" s="218"/>
      <c r="K3109" s="218"/>
      <c r="L3109" s="218"/>
      <c r="M3109" s="218"/>
      <c r="N3109" s="218"/>
      <c r="O3109" s="218"/>
      <c r="P3109" s="218"/>
      <c r="Q3109" s="222"/>
      <c r="R3109" s="222"/>
      <c r="S3109" s="218"/>
      <c r="U3109" s="218"/>
      <c r="X3109" s="218"/>
      <c r="AB3109" t="e">
        <v>#N/A</v>
      </c>
    </row>
    <row r="3110">
      <c r="A3110" s="218"/>
      <c r="C3110" s="218"/>
      <c r="F3110" s="457"/>
      <c r="G3110" s="218"/>
      <c r="H3110" s="218"/>
      <c r="I3110" s="218"/>
      <c r="J3110" s="218"/>
      <c r="K3110" s="218"/>
      <c r="L3110" s="218"/>
      <c r="M3110" s="218"/>
      <c r="N3110" s="218"/>
      <c r="O3110" s="218"/>
      <c r="P3110" s="218"/>
      <c r="Q3110" s="222"/>
      <c r="R3110" s="222"/>
      <c r="S3110" s="218"/>
      <c r="U3110" s="218"/>
      <c r="X3110" s="218"/>
      <c r="AB3110" t="e">
        <v>#N/A</v>
      </c>
    </row>
    <row r="3111">
      <c r="A3111" s="218"/>
      <c r="C3111" s="218"/>
      <c r="F3111" s="457"/>
      <c r="G3111" s="218"/>
      <c r="H3111" s="218"/>
      <c r="I3111" s="218"/>
      <c r="J3111" s="218"/>
      <c r="K3111" s="218"/>
      <c r="L3111" s="218"/>
      <c r="M3111" s="218"/>
      <c r="N3111" s="218"/>
      <c r="O3111" s="218"/>
      <c r="P3111" s="218"/>
      <c r="Q3111" s="222"/>
      <c r="R3111" s="222"/>
      <c r="S3111" s="218"/>
      <c r="U3111" s="218"/>
      <c r="X3111" s="218"/>
      <c r="AB3111" t="e">
        <v>#N/A</v>
      </c>
    </row>
    <row r="3112">
      <c r="A3112" s="218"/>
      <c r="C3112" s="218"/>
      <c r="F3112" s="457"/>
      <c r="G3112" s="218"/>
      <c r="H3112" s="218"/>
      <c r="I3112" s="218"/>
      <c r="J3112" s="218"/>
      <c r="K3112" s="218"/>
      <c r="L3112" s="218"/>
      <c r="M3112" s="218"/>
      <c r="N3112" s="218"/>
      <c r="O3112" s="218"/>
      <c r="P3112" s="218"/>
      <c r="Q3112" s="222"/>
      <c r="R3112" s="222"/>
      <c r="S3112" s="218"/>
      <c r="U3112" s="218"/>
      <c r="X3112" s="218"/>
      <c r="AB3112" t="e">
        <v>#N/A</v>
      </c>
    </row>
    <row r="3113">
      <c r="A3113" s="218"/>
      <c r="C3113" s="218"/>
      <c r="F3113" s="457"/>
      <c r="G3113" s="218"/>
      <c r="H3113" s="218"/>
      <c r="I3113" s="218"/>
      <c r="J3113" s="218"/>
      <c r="K3113" s="218"/>
      <c r="L3113" s="218"/>
      <c r="M3113" s="218"/>
      <c r="N3113" s="218"/>
      <c r="O3113" s="218"/>
      <c r="P3113" s="218"/>
      <c r="Q3113" s="222"/>
      <c r="R3113" s="222"/>
      <c r="S3113" s="218"/>
      <c r="U3113" s="218"/>
      <c r="X3113" s="218"/>
      <c r="AB3113" t="e">
        <v>#N/A</v>
      </c>
    </row>
    <row r="3114">
      <c r="A3114" s="218"/>
      <c r="C3114" s="218"/>
      <c r="F3114" s="457"/>
      <c r="G3114" s="218"/>
      <c r="H3114" s="218"/>
      <c r="I3114" s="218"/>
      <c r="J3114" s="218"/>
      <c r="K3114" s="218"/>
      <c r="L3114" s="218"/>
      <c r="M3114" s="218"/>
      <c r="N3114" s="218"/>
      <c r="O3114" s="218"/>
      <c r="P3114" s="218"/>
      <c r="Q3114" s="222"/>
      <c r="R3114" s="222"/>
      <c r="S3114" s="218"/>
      <c r="U3114" s="218"/>
      <c r="X3114" s="218"/>
      <c r="AB3114" t="e">
        <v>#N/A</v>
      </c>
    </row>
    <row r="3115">
      <c r="A3115" s="218"/>
      <c r="C3115" s="218"/>
      <c r="F3115" s="457"/>
      <c r="G3115" s="218"/>
      <c r="H3115" s="218"/>
      <c r="I3115" s="218"/>
      <c r="J3115" s="218"/>
      <c r="K3115" s="218"/>
      <c r="L3115" s="218"/>
      <c r="M3115" s="218"/>
      <c r="N3115" s="218"/>
      <c r="O3115" s="218"/>
      <c r="P3115" s="218"/>
      <c r="Q3115" s="222"/>
      <c r="R3115" s="222"/>
      <c r="S3115" s="218"/>
      <c r="U3115" s="218"/>
      <c r="X3115" s="218"/>
      <c r="AB3115" t="e">
        <v>#N/A</v>
      </c>
    </row>
    <row r="3116">
      <c r="A3116" s="218"/>
      <c r="C3116" s="218"/>
      <c r="F3116" s="457"/>
      <c r="G3116" s="218"/>
      <c r="H3116" s="218"/>
      <c r="I3116" s="218"/>
      <c r="J3116" s="218"/>
      <c r="K3116" s="218"/>
      <c r="L3116" s="218"/>
      <c r="M3116" s="218"/>
      <c r="N3116" s="218"/>
      <c r="O3116" s="218"/>
      <c r="P3116" s="218"/>
      <c r="Q3116" s="222"/>
      <c r="R3116" s="222"/>
      <c r="S3116" s="218"/>
      <c r="U3116" s="218"/>
      <c r="X3116" s="218"/>
      <c r="AB3116" t="e">
        <v>#N/A</v>
      </c>
    </row>
    <row r="3117">
      <c r="A3117" s="218"/>
      <c r="C3117" s="218"/>
      <c r="F3117" s="457"/>
      <c r="G3117" s="218"/>
      <c r="H3117" s="218"/>
      <c r="I3117" s="218"/>
      <c r="J3117" s="218"/>
      <c r="K3117" s="218"/>
      <c r="L3117" s="218"/>
      <c r="M3117" s="218"/>
      <c r="N3117" s="218"/>
      <c r="O3117" s="218"/>
      <c r="P3117" s="218"/>
      <c r="Q3117" s="222"/>
      <c r="R3117" s="222"/>
      <c r="S3117" s="218"/>
      <c r="U3117" s="218"/>
      <c r="X3117" s="218"/>
      <c r="AB3117" t="e">
        <v>#N/A</v>
      </c>
    </row>
    <row r="3118">
      <c r="A3118" s="218"/>
      <c r="C3118" s="218"/>
      <c r="F3118" s="457"/>
      <c r="G3118" s="218"/>
      <c r="H3118" s="218"/>
      <c r="I3118" s="218"/>
      <c r="J3118" s="218"/>
      <c r="K3118" s="218"/>
      <c r="L3118" s="218"/>
      <c r="M3118" s="218"/>
      <c r="N3118" s="218"/>
      <c r="O3118" s="218"/>
      <c r="P3118" s="218"/>
      <c r="Q3118" s="222"/>
      <c r="R3118" s="222"/>
      <c r="S3118" s="218"/>
      <c r="U3118" s="218"/>
      <c r="X3118" s="218"/>
      <c r="AB3118" t="e">
        <v>#N/A</v>
      </c>
    </row>
    <row r="3119">
      <c r="A3119" s="218"/>
      <c r="C3119" s="218"/>
      <c r="F3119" s="457"/>
      <c r="G3119" s="218"/>
      <c r="H3119" s="218"/>
      <c r="I3119" s="218"/>
      <c r="J3119" s="218"/>
      <c r="K3119" s="218"/>
      <c r="L3119" s="218"/>
      <c r="M3119" s="218"/>
      <c r="N3119" s="218"/>
      <c r="O3119" s="218"/>
      <c r="P3119" s="218"/>
      <c r="Q3119" s="222"/>
      <c r="R3119" s="222"/>
      <c r="S3119" s="218"/>
      <c r="U3119" s="218"/>
      <c r="X3119" s="218"/>
      <c r="AB3119" t="e">
        <v>#N/A</v>
      </c>
    </row>
    <row r="3120">
      <c r="A3120" s="218"/>
      <c r="C3120" s="218"/>
      <c r="F3120" s="457"/>
      <c r="G3120" s="218"/>
      <c r="H3120" s="218"/>
      <c r="I3120" s="218"/>
      <c r="J3120" s="218"/>
      <c r="K3120" s="218"/>
      <c r="L3120" s="218"/>
      <c r="M3120" s="218"/>
      <c r="N3120" s="218"/>
      <c r="O3120" s="218"/>
      <c r="P3120" s="218"/>
      <c r="Q3120" s="222"/>
      <c r="R3120" s="222"/>
      <c r="S3120" s="218"/>
      <c r="U3120" s="218"/>
      <c r="X3120" s="218"/>
      <c r="AB3120" t="e">
        <v>#N/A</v>
      </c>
    </row>
    <row r="3121">
      <c r="A3121" s="218"/>
      <c r="C3121" s="218"/>
      <c r="F3121" s="457"/>
      <c r="G3121" s="218"/>
      <c r="H3121" s="218"/>
      <c r="I3121" s="218"/>
      <c r="J3121" s="218"/>
      <c r="K3121" s="218"/>
      <c r="L3121" s="218"/>
      <c r="M3121" s="218"/>
      <c r="N3121" s="218"/>
      <c r="O3121" s="218"/>
      <c r="P3121" s="218"/>
      <c r="Q3121" s="222"/>
      <c r="R3121" s="222"/>
      <c r="S3121" s="218"/>
      <c r="U3121" s="218"/>
      <c r="X3121" s="218"/>
      <c r="AB3121" t="e">
        <v>#N/A</v>
      </c>
    </row>
    <row r="3122">
      <c r="A3122" s="218"/>
      <c r="C3122" s="218"/>
      <c r="F3122" s="457"/>
      <c r="G3122" s="218"/>
      <c r="H3122" s="218"/>
      <c r="I3122" s="218"/>
      <c r="J3122" s="218"/>
      <c r="K3122" s="218"/>
      <c r="L3122" s="218"/>
      <c r="M3122" s="218"/>
      <c r="N3122" s="218"/>
      <c r="O3122" s="218"/>
      <c r="P3122" s="218"/>
      <c r="Q3122" s="222"/>
      <c r="R3122" s="222"/>
      <c r="S3122" s="218"/>
      <c r="U3122" s="218"/>
      <c r="X3122" s="218"/>
      <c r="AB3122" t="e">
        <v>#N/A</v>
      </c>
    </row>
    <row r="3123">
      <c r="A3123" s="218"/>
      <c r="C3123" s="218"/>
      <c r="F3123" s="457"/>
      <c r="G3123" s="218"/>
      <c r="H3123" s="218"/>
      <c r="I3123" s="218"/>
      <c r="J3123" s="218"/>
      <c r="K3123" s="218"/>
      <c r="L3123" s="218"/>
      <c r="M3123" s="218"/>
      <c r="N3123" s="218"/>
      <c r="O3123" s="218"/>
      <c r="P3123" s="218"/>
      <c r="Q3123" s="222"/>
      <c r="R3123" s="222"/>
      <c r="S3123" s="218"/>
      <c r="U3123" s="218"/>
      <c r="X3123" s="218"/>
      <c r="AB3123" t="e">
        <v>#N/A</v>
      </c>
    </row>
    <row r="3124">
      <c r="A3124" s="218"/>
      <c r="C3124" s="218"/>
      <c r="F3124" s="457"/>
      <c r="G3124" s="218"/>
      <c r="H3124" s="218"/>
      <c r="I3124" s="218"/>
      <c r="J3124" s="218"/>
      <c r="K3124" s="218"/>
      <c r="L3124" s="218"/>
      <c r="M3124" s="218"/>
      <c r="N3124" s="218"/>
      <c r="O3124" s="218"/>
      <c r="P3124" s="218"/>
      <c r="Q3124" s="222"/>
      <c r="R3124" s="222"/>
      <c r="S3124" s="218"/>
      <c r="U3124" s="218"/>
      <c r="X3124" s="218"/>
      <c r="AB3124" t="e">
        <v>#N/A</v>
      </c>
    </row>
    <row r="3125">
      <c r="A3125" s="218"/>
      <c r="C3125" s="218"/>
      <c r="F3125" s="457"/>
      <c r="G3125" s="218"/>
      <c r="H3125" s="218"/>
      <c r="I3125" s="218"/>
      <c r="J3125" s="218"/>
      <c r="K3125" s="218"/>
      <c r="L3125" s="218"/>
      <c r="M3125" s="218"/>
      <c r="N3125" s="218"/>
      <c r="O3125" s="218"/>
      <c r="P3125" s="218"/>
      <c r="Q3125" s="222"/>
      <c r="R3125" s="222"/>
      <c r="S3125" s="218"/>
      <c r="U3125" s="218"/>
      <c r="X3125" s="218"/>
      <c r="AB3125" t="e">
        <v>#N/A</v>
      </c>
    </row>
    <row r="3126">
      <c r="A3126" s="218"/>
      <c r="C3126" s="218"/>
      <c r="F3126" s="457"/>
      <c r="G3126" s="218"/>
      <c r="H3126" s="218"/>
      <c r="I3126" s="218"/>
      <c r="J3126" s="218"/>
      <c r="K3126" s="218"/>
      <c r="L3126" s="218"/>
      <c r="M3126" s="218"/>
      <c r="N3126" s="218"/>
      <c r="O3126" s="218"/>
      <c r="P3126" s="218"/>
      <c r="Q3126" s="222"/>
      <c r="R3126" s="222"/>
      <c r="S3126" s="218"/>
      <c r="U3126" s="218"/>
      <c r="X3126" s="218"/>
      <c r="AB3126" t="e">
        <v>#N/A</v>
      </c>
    </row>
    <row r="3127">
      <c r="A3127" s="218"/>
      <c r="C3127" s="218"/>
      <c r="F3127" s="457"/>
      <c r="G3127" s="218"/>
      <c r="H3127" s="218"/>
      <c r="I3127" s="218"/>
      <c r="J3127" s="218"/>
      <c r="K3127" s="218"/>
      <c r="L3127" s="218"/>
      <c r="M3127" s="218"/>
      <c r="N3127" s="218"/>
      <c r="O3127" s="218"/>
      <c r="P3127" s="218"/>
      <c r="Q3127" s="222"/>
      <c r="R3127" s="222"/>
      <c r="S3127" s="218"/>
      <c r="U3127" s="218"/>
      <c r="X3127" s="218"/>
      <c r="AB3127" t="e">
        <v>#N/A</v>
      </c>
    </row>
    <row r="3128">
      <c r="A3128" s="218"/>
      <c r="C3128" s="218"/>
      <c r="F3128" s="457"/>
      <c r="G3128" s="218"/>
      <c r="H3128" s="218"/>
      <c r="I3128" s="218"/>
      <c r="J3128" s="218"/>
      <c r="K3128" s="218"/>
      <c r="L3128" s="218"/>
      <c r="M3128" s="218"/>
      <c r="N3128" s="218"/>
      <c r="O3128" s="218"/>
      <c r="P3128" s="218"/>
      <c r="Q3128" s="222"/>
      <c r="R3128" s="222"/>
      <c r="S3128" s="218"/>
      <c r="U3128" s="218"/>
      <c r="X3128" s="218"/>
      <c r="AB3128" t="e">
        <v>#N/A</v>
      </c>
    </row>
    <row r="3129">
      <c r="A3129" s="218"/>
      <c r="C3129" s="218"/>
      <c r="F3129" s="457"/>
      <c r="G3129" s="218"/>
      <c r="H3129" s="218"/>
      <c r="I3129" s="218"/>
      <c r="J3129" s="218"/>
      <c r="K3129" s="218"/>
      <c r="L3129" s="218"/>
      <c r="M3129" s="218"/>
      <c r="N3129" s="218"/>
      <c r="O3129" s="218"/>
      <c r="P3129" s="218"/>
      <c r="Q3129" s="222"/>
      <c r="R3129" s="222"/>
      <c r="S3129" s="218"/>
      <c r="U3129" s="218"/>
      <c r="X3129" s="218"/>
      <c r="AB3129" t="e">
        <v>#N/A</v>
      </c>
    </row>
    <row r="3130">
      <c r="A3130" s="218"/>
      <c r="C3130" s="218"/>
      <c r="F3130" s="457"/>
      <c r="G3130" s="218"/>
      <c r="H3130" s="218"/>
      <c r="I3130" s="218"/>
      <c r="J3130" s="218"/>
      <c r="K3130" s="218"/>
      <c r="L3130" s="218"/>
      <c r="M3130" s="218"/>
      <c r="N3130" s="218"/>
      <c r="O3130" s="218"/>
      <c r="P3130" s="218"/>
      <c r="Q3130" s="222"/>
      <c r="R3130" s="222"/>
      <c r="S3130" s="218"/>
      <c r="U3130" s="218"/>
      <c r="X3130" s="218"/>
      <c r="AB3130" t="e">
        <v>#N/A</v>
      </c>
    </row>
    <row r="3131">
      <c r="A3131" s="218"/>
      <c r="C3131" s="218"/>
      <c r="F3131" s="457"/>
      <c r="G3131" s="218"/>
      <c r="H3131" s="218"/>
      <c r="I3131" s="218"/>
      <c r="J3131" s="218"/>
      <c r="K3131" s="218"/>
      <c r="L3131" s="218"/>
      <c r="M3131" s="218"/>
      <c r="N3131" s="218"/>
      <c r="O3131" s="218"/>
      <c r="P3131" s="218"/>
      <c r="Q3131" s="222"/>
      <c r="R3131" s="222"/>
      <c r="S3131" s="218"/>
      <c r="U3131" s="218"/>
      <c r="X3131" s="218"/>
      <c r="AB3131" t="e">
        <v>#N/A</v>
      </c>
    </row>
    <row r="3132">
      <c r="A3132" s="218"/>
      <c r="C3132" s="218"/>
      <c r="F3132" s="457"/>
      <c r="G3132" s="218"/>
      <c r="H3132" s="218"/>
      <c r="I3132" s="218"/>
      <c r="J3132" s="218"/>
      <c r="K3132" s="218"/>
      <c r="L3132" s="218"/>
      <c r="M3132" s="218"/>
      <c r="N3132" s="218"/>
      <c r="O3132" s="218"/>
      <c r="P3132" s="218"/>
      <c r="Q3132" s="222"/>
      <c r="R3132" s="222"/>
      <c r="S3132" s="218"/>
      <c r="U3132" s="218"/>
      <c r="X3132" s="218"/>
      <c r="AB3132" t="e">
        <v>#N/A</v>
      </c>
    </row>
    <row r="3133">
      <c r="A3133" s="218"/>
      <c r="C3133" s="218"/>
      <c r="F3133" s="457"/>
      <c r="G3133" s="218"/>
      <c r="H3133" s="218"/>
      <c r="I3133" s="218"/>
      <c r="J3133" s="218"/>
      <c r="K3133" s="218"/>
      <c r="L3133" s="218"/>
      <c r="M3133" s="218"/>
      <c r="N3133" s="218"/>
      <c r="O3133" s="218"/>
      <c r="P3133" s="218"/>
      <c r="Q3133" s="222"/>
      <c r="R3133" s="222"/>
      <c r="S3133" s="218"/>
      <c r="U3133" s="218"/>
      <c r="X3133" s="218"/>
      <c r="AB3133" t="e">
        <v>#N/A</v>
      </c>
    </row>
    <row r="3134">
      <c r="A3134" s="218"/>
      <c r="C3134" s="218"/>
      <c r="F3134" s="457"/>
      <c r="G3134" s="218"/>
      <c r="H3134" s="218"/>
      <c r="I3134" s="218"/>
      <c r="J3134" s="218"/>
      <c r="K3134" s="218"/>
      <c r="L3134" s="218"/>
      <c r="M3134" s="218"/>
      <c r="N3134" s="218"/>
      <c r="O3134" s="218"/>
      <c r="P3134" s="218"/>
      <c r="Q3134" s="222"/>
      <c r="R3134" s="222"/>
      <c r="S3134" s="218"/>
      <c r="U3134" s="218"/>
      <c r="X3134" s="218"/>
      <c r="AB3134" t="e">
        <v>#N/A</v>
      </c>
    </row>
    <row r="3135">
      <c r="A3135" s="218"/>
      <c r="C3135" s="218"/>
      <c r="F3135" s="457"/>
      <c r="G3135" s="218"/>
      <c r="H3135" s="218"/>
      <c r="I3135" s="218"/>
      <c r="J3135" s="218"/>
      <c r="K3135" s="218"/>
      <c r="L3135" s="218"/>
      <c r="M3135" s="218"/>
      <c r="N3135" s="218"/>
      <c r="O3135" s="218"/>
      <c r="P3135" s="218"/>
      <c r="Q3135" s="222"/>
      <c r="R3135" s="222"/>
      <c r="S3135" s="218"/>
      <c r="U3135" s="218"/>
      <c r="X3135" s="218"/>
      <c r="AB3135" t="e">
        <v>#N/A</v>
      </c>
    </row>
    <row r="3136">
      <c r="A3136" s="218"/>
      <c r="C3136" s="218"/>
      <c r="F3136" s="457"/>
      <c r="G3136" s="218"/>
      <c r="H3136" s="218"/>
      <c r="I3136" s="218"/>
      <c r="J3136" s="218"/>
      <c r="K3136" s="218"/>
      <c r="L3136" s="218"/>
      <c r="M3136" s="218"/>
      <c r="N3136" s="218"/>
      <c r="O3136" s="218"/>
      <c r="P3136" s="218"/>
      <c r="Q3136" s="222"/>
      <c r="R3136" s="222"/>
      <c r="S3136" s="218"/>
      <c r="U3136" s="218"/>
      <c r="X3136" s="218"/>
      <c r="AB3136" t="e">
        <v>#N/A</v>
      </c>
    </row>
    <row r="3137">
      <c r="A3137" s="218"/>
      <c r="C3137" s="218"/>
      <c r="F3137" s="457"/>
      <c r="G3137" s="218"/>
      <c r="H3137" s="218"/>
      <c r="I3137" s="218"/>
      <c r="J3137" s="218"/>
      <c r="K3137" s="218"/>
      <c r="L3137" s="218"/>
      <c r="M3137" s="218"/>
      <c r="N3137" s="218"/>
      <c r="O3137" s="218"/>
      <c r="P3137" s="218"/>
      <c r="Q3137" s="222"/>
      <c r="R3137" s="222"/>
      <c r="S3137" s="218"/>
      <c r="U3137" s="218"/>
      <c r="X3137" s="218"/>
      <c r="AB3137" t="e">
        <v>#N/A</v>
      </c>
    </row>
    <row r="3138">
      <c r="A3138" s="218"/>
      <c r="C3138" s="218"/>
      <c r="F3138" s="457"/>
      <c r="G3138" s="218"/>
      <c r="H3138" s="218"/>
      <c r="I3138" s="218"/>
      <c r="J3138" s="218"/>
      <c r="K3138" s="218"/>
      <c r="L3138" s="218"/>
      <c r="M3138" s="218"/>
      <c r="N3138" s="218"/>
      <c r="O3138" s="218"/>
      <c r="P3138" s="218"/>
      <c r="Q3138" s="222"/>
      <c r="R3138" s="222"/>
      <c r="S3138" s="218"/>
      <c r="U3138" s="218"/>
      <c r="X3138" s="218"/>
      <c r="AB3138" t="e">
        <v>#N/A</v>
      </c>
    </row>
    <row r="3139">
      <c r="A3139" s="218"/>
      <c r="C3139" s="218"/>
      <c r="F3139" s="457"/>
      <c r="G3139" s="218"/>
      <c r="H3139" s="218"/>
      <c r="I3139" s="218"/>
      <c r="J3139" s="218"/>
      <c r="K3139" s="218"/>
      <c r="L3139" s="218"/>
      <c r="M3139" s="218"/>
      <c r="N3139" s="218"/>
      <c r="O3139" s="218"/>
      <c r="P3139" s="218"/>
      <c r="Q3139" s="222"/>
      <c r="R3139" s="222"/>
      <c r="S3139" s="218"/>
      <c r="U3139" s="218"/>
      <c r="X3139" s="218"/>
      <c r="AB3139" t="e">
        <v>#N/A</v>
      </c>
    </row>
    <row r="3140">
      <c r="A3140" s="218"/>
      <c r="C3140" s="218"/>
      <c r="F3140" s="457"/>
      <c r="G3140" s="218"/>
      <c r="H3140" s="218"/>
      <c r="I3140" s="218"/>
      <c r="J3140" s="218"/>
      <c r="K3140" s="218"/>
      <c r="L3140" s="218"/>
      <c r="M3140" s="218"/>
      <c r="N3140" s="218"/>
      <c r="O3140" s="218"/>
      <c r="P3140" s="218"/>
      <c r="Q3140" s="222"/>
      <c r="R3140" s="222"/>
      <c r="S3140" s="218"/>
      <c r="U3140" s="218"/>
      <c r="X3140" s="218"/>
      <c r="AB3140" t="e">
        <v>#N/A</v>
      </c>
    </row>
    <row r="3141">
      <c r="A3141" s="218"/>
      <c r="C3141" s="218"/>
      <c r="F3141" s="457"/>
      <c r="G3141" s="218"/>
      <c r="H3141" s="218"/>
      <c r="I3141" s="218"/>
      <c r="J3141" s="218"/>
      <c r="K3141" s="218"/>
      <c r="L3141" s="218"/>
      <c r="M3141" s="218"/>
      <c r="N3141" s="218"/>
      <c r="O3141" s="218"/>
      <c r="P3141" s="218"/>
      <c r="Q3141" s="222"/>
      <c r="R3141" s="222"/>
      <c r="S3141" s="218"/>
      <c r="U3141" s="218"/>
      <c r="X3141" s="218"/>
      <c r="AB3141" t="e">
        <v>#N/A</v>
      </c>
    </row>
    <row r="3142">
      <c r="A3142" s="218"/>
      <c r="C3142" s="218"/>
      <c r="F3142" s="457"/>
      <c r="G3142" s="218"/>
      <c r="H3142" s="218"/>
      <c r="I3142" s="218"/>
      <c r="J3142" s="218"/>
      <c r="K3142" s="218"/>
      <c r="L3142" s="218"/>
      <c r="M3142" s="218"/>
      <c r="N3142" s="218"/>
      <c r="O3142" s="218"/>
      <c r="P3142" s="218"/>
      <c r="Q3142" s="222"/>
      <c r="R3142" s="222"/>
      <c r="S3142" s="218"/>
      <c r="U3142" s="218"/>
      <c r="X3142" s="218"/>
      <c r="AB3142" t="e">
        <v>#N/A</v>
      </c>
    </row>
    <row r="3143">
      <c r="A3143" s="218"/>
      <c r="C3143" s="218"/>
      <c r="F3143" s="457"/>
      <c r="G3143" s="218"/>
      <c r="H3143" s="218"/>
      <c r="I3143" s="218"/>
      <c r="J3143" s="218"/>
      <c r="K3143" s="218"/>
      <c r="L3143" s="218"/>
      <c r="M3143" s="218"/>
      <c r="N3143" s="218"/>
      <c r="O3143" s="218"/>
      <c r="P3143" s="218"/>
      <c r="Q3143" s="222"/>
      <c r="R3143" s="222"/>
      <c r="S3143" s="218"/>
      <c r="U3143" s="218"/>
      <c r="X3143" s="218"/>
      <c r="AB3143" t="e">
        <v>#N/A</v>
      </c>
    </row>
    <row r="3144">
      <c r="A3144" s="218"/>
      <c r="C3144" s="218"/>
      <c r="F3144" s="457"/>
      <c r="G3144" s="218"/>
      <c r="H3144" s="218"/>
      <c r="I3144" s="218"/>
      <c r="J3144" s="218"/>
      <c r="K3144" s="218"/>
      <c r="L3144" s="218"/>
      <c r="M3144" s="218"/>
      <c r="N3144" s="218"/>
      <c r="O3144" s="218"/>
      <c r="P3144" s="218"/>
      <c r="Q3144" s="222"/>
      <c r="R3144" s="222"/>
      <c r="S3144" s="218"/>
      <c r="U3144" s="218"/>
      <c r="X3144" s="218"/>
      <c r="AB3144" t="e">
        <v>#N/A</v>
      </c>
    </row>
    <row r="3145">
      <c r="A3145" s="218"/>
      <c r="C3145" s="218"/>
      <c r="F3145" s="457"/>
      <c r="G3145" s="218"/>
      <c r="H3145" s="218"/>
      <c r="I3145" s="218"/>
      <c r="J3145" s="218"/>
      <c r="K3145" s="218"/>
      <c r="L3145" s="218"/>
      <c r="M3145" s="218"/>
      <c r="N3145" s="218"/>
      <c r="O3145" s="218"/>
      <c r="P3145" s="218"/>
      <c r="Q3145" s="222"/>
      <c r="R3145" s="222"/>
      <c r="S3145" s="218"/>
      <c r="U3145" s="218"/>
      <c r="X3145" s="218"/>
      <c r="AB3145" t="e">
        <v>#N/A</v>
      </c>
    </row>
    <row r="3146">
      <c r="A3146" s="218"/>
      <c r="C3146" s="218"/>
      <c r="F3146" s="457"/>
      <c r="G3146" s="218"/>
      <c r="H3146" s="218"/>
      <c r="I3146" s="218"/>
      <c r="J3146" s="218"/>
      <c r="K3146" s="218"/>
      <c r="L3146" s="218"/>
      <c r="M3146" s="218"/>
      <c r="N3146" s="218"/>
      <c r="O3146" s="218"/>
      <c r="P3146" s="218"/>
      <c r="Q3146" s="222"/>
      <c r="R3146" s="222"/>
      <c r="S3146" s="218"/>
      <c r="U3146" s="218"/>
      <c r="X3146" s="218"/>
      <c r="AB3146" t="e">
        <v>#N/A</v>
      </c>
    </row>
    <row r="3147">
      <c r="A3147" s="218"/>
      <c r="C3147" s="218"/>
      <c r="F3147" s="457"/>
      <c r="G3147" s="218"/>
      <c r="H3147" s="218"/>
      <c r="I3147" s="218"/>
      <c r="J3147" s="218"/>
      <c r="K3147" s="218"/>
      <c r="L3147" s="218"/>
      <c r="M3147" s="218"/>
      <c r="N3147" s="218"/>
      <c r="O3147" s="218"/>
      <c r="P3147" s="218"/>
      <c r="Q3147" s="222"/>
      <c r="R3147" s="222"/>
      <c r="S3147" s="218"/>
      <c r="U3147" s="218"/>
      <c r="X3147" s="218"/>
      <c r="AB3147" t="e">
        <v>#N/A</v>
      </c>
    </row>
    <row r="3148">
      <c r="A3148" s="218"/>
      <c r="C3148" s="218"/>
      <c r="F3148" s="457"/>
      <c r="G3148" s="218"/>
      <c r="H3148" s="218"/>
      <c r="I3148" s="218"/>
      <c r="J3148" s="218"/>
      <c r="K3148" s="218"/>
      <c r="L3148" s="218"/>
      <c r="M3148" s="218"/>
      <c r="N3148" s="218"/>
      <c r="O3148" s="218"/>
      <c r="P3148" s="218"/>
      <c r="Q3148" s="222"/>
      <c r="R3148" s="222"/>
      <c r="S3148" s="218"/>
      <c r="U3148" s="218"/>
      <c r="X3148" s="218"/>
      <c r="AB3148" t="e">
        <v>#N/A</v>
      </c>
    </row>
    <row r="3149">
      <c r="A3149" s="218"/>
      <c r="C3149" s="218"/>
      <c r="F3149" s="457"/>
      <c r="G3149" s="218"/>
      <c r="H3149" s="218"/>
      <c r="I3149" s="218"/>
      <c r="J3149" s="218"/>
      <c r="K3149" s="218"/>
      <c r="L3149" s="218"/>
      <c r="M3149" s="218"/>
      <c r="N3149" s="218"/>
      <c r="O3149" s="218"/>
      <c r="P3149" s="218"/>
      <c r="Q3149" s="222"/>
      <c r="R3149" s="222"/>
      <c r="S3149" s="218"/>
      <c r="U3149" s="218"/>
      <c r="X3149" s="218"/>
      <c r="AB3149" t="e">
        <v>#N/A</v>
      </c>
    </row>
    <row r="3150">
      <c r="A3150" s="218"/>
      <c r="C3150" s="218"/>
      <c r="F3150" s="457"/>
      <c r="G3150" s="218"/>
      <c r="H3150" s="218"/>
      <c r="I3150" s="218"/>
      <c r="J3150" s="218"/>
      <c r="K3150" s="218"/>
      <c r="L3150" s="218"/>
      <c r="M3150" s="218"/>
      <c r="N3150" s="218"/>
      <c r="O3150" s="218"/>
      <c r="P3150" s="218"/>
      <c r="Q3150" s="222"/>
      <c r="R3150" s="222"/>
      <c r="S3150" s="218"/>
      <c r="U3150" s="218"/>
      <c r="X3150" s="218"/>
      <c r="AB3150" t="e">
        <v>#N/A</v>
      </c>
    </row>
    <row r="3151">
      <c r="A3151" s="218"/>
      <c r="C3151" s="218"/>
      <c r="F3151" s="457"/>
      <c r="G3151" s="218"/>
      <c r="H3151" s="218"/>
      <c r="I3151" s="218"/>
      <c r="J3151" s="218"/>
      <c r="K3151" s="218"/>
      <c r="L3151" s="218"/>
      <c r="M3151" s="218"/>
      <c r="N3151" s="218"/>
      <c r="O3151" s="218"/>
      <c r="P3151" s="218"/>
      <c r="Q3151" s="222"/>
      <c r="R3151" s="222"/>
      <c r="S3151" s="218"/>
      <c r="U3151" s="218"/>
      <c r="X3151" s="218"/>
      <c r="AB3151" t="e">
        <v>#N/A</v>
      </c>
    </row>
    <row r="3152">
      <c r="A3152" s="218"/>
      <c r="C3152" s="218"/>
      <c r="F3152" s="457"/>
      <c r="G3152" s="218"/>
      <c r="H3152" s="218"/>
      <c r="I3152" s="218"/>
      <c r="J3152" s="218"/>
      <c r="K3152" s="218"/>
      <c r="L3152" s="218"/>
      <c r="M3152" s="218"/>
      <c r="N3152" s="218"/>
      <c r="O3152" s="218"/>
      <c r="P3152" s="218"/>
      <c r="Q3152" s="222"/>
      <c r="R3152" s="222"/>
      <c r="S3152" s="218"/>
      <c r="U3152" s="218"/>
      <c r="X3152" s="218"/>
      <c r="AB3152" t="e">
        <v>#N/A</v>
      </c>
    </row>
    <row r="3153">
      <c r="A3153" s="218"/>
      <c r="C3153" s="218"/>
      <c r="F3153" s="457"/>
      <c r="G3153" s="218"/>
      <c r="H3153" s="218"/>
      <c r="I3153" s="218"/>
      <c r="J3153" s="218"/>
      <c r="K3153" s="218"/>
      <c r="L3153" s="218"/>
      <c r="M3153" s="218"/>
      <c r="N3153" s="218"/>
      <c r="O3153" s="218"/>
      <c r="P3153" s="218"/>
      <c r="Q3153" s="222"/>
      <c r="R3153" s="222"/>
      <c r="S3153" s="218"/>
      <c r="U3153" s="218"/>
      <c r="X3153" s="218"/>
      <c r="AB3153" t="e">
        <v>#N/A</v>
      </c>
    </row>
    <row r="3154">
      <c r="A3154" s="218"/>
      <c r="C3154" s="218"/>
      <c r="F3154" s="457"/>
      <c r="G3154" s="218"/>
      <c r="H3154" s="218"/>
      <c r="I3154" s="218"/>
      <c r="J3154" s="218"/>
      <c r="K3154" s="218"/>
      <c r="L3154" s="218"/>
      <c r="M3154" s="218"/>
      <c r="N3154" s="218"/>
      <c r="O3154" s="218"/>
      <c r="P3154" s="218"/>
      <c r="Q3154" s="222"/>
      <c r="R3154" s="222"/>
      <c r="S3154" s="218"/>
      <c r="U3154" s="218"/>
      <c r="X3154" s="218"/>
      <c r="AB3154" t="e">
        <v>#N/A</v>
      </c>
    </row>
    <row r="3155">
      <c r="A3155" s="218"/>
      <c r="C3155" s="218"/>
      <c r="F3155" s="457"/>
      <c r="G3155" s="218"/>
      <c r="H3155" s="218"/>
      <c r="I3155" s="218"/>
      <c r="J3155" s="218"/>
      <c r="K3155" s="218"/>
      <c r="L3155" s="218"/>
      <c r="M3155" s="218"/>
      <c r="N3155" s="218"/>
      <c r="O3155" s="218"/>
      <c r="P3155" s="218"/>
      <c r="Q3155" s="222"/>
      <c r="R3155" s="222"/>
      <c r="S3155" s="218"/>
      <c r="U3155" s="218"/>
      <c r="X3155" s="218"/>
      <c r="AB3155" t="e">
        <v>#N/A</v>
      </c>
    </row>
    <row r="3156">
      <c r="A3156" s="218"/>
      <c r="C3156" s="218"/>
      <c r="F3156" s="457"/>
      <c r="G3156" s="218"/>
      <c r="H3156" s="218"/>
      <c r="I3156" s="218"/>
      <c r="J3156" s="218"/>
      <c r="K3156" s="218"/>
      <c r="L3156" s="218"/>
      <c r="M3156" s="218"/>
      <c r="N3156" s="218"/>
      <c r="O3156" s="218"/>
      <c r="P3156" s="218"/>
      <c r="Q3156" s="222"/>
      <c r="R3156" s="222"/>
      <c r="S3156" s="218"/>
      <c r="U3156" s="218"/>
      <c r="X3156" s="218"/>
      <c r="AB3156" t="e">
        <v>#N/A</v>
      </c>
    </row>
    <row r="3157">
      <c r="A3157" s="218"/>
      <c r="C3157" s="218"/>
      <c r="F3157" s="457"/>
      <c r="G3157" s="218"/>
      <c r="H3157" s="218"/>
      <c r="I3157" s="218"/>
      <c r="J3157" s="218"/>
      <c r="K3157" s="218"/>
      <c r="L3157" s="218"/>
      <c r="M3157" s="218"/>
      <c r="N3157" s="218"/>
      <c r="O3157" s="218"/>
      <c r="P3157" s="218"/>
      <c r="Q3157" s="222"/>
      <c r="R3157" s="222"/>
      <c r="S3157" s="218"/>
      <c r="U3157" s="218"/>
      <c r="X3157" s="218"/>
      <c r="AB3157" t="e">
        <v>#N/A</v>
      </c>
    </row>
    <row r="3158">
      <c r="A3158" s="218"/>
      <c r="C3158" s="218"/>
      <c r="F3158" s="457"/>
      <c r="G3158" s="218"/>
      <c r="H3158" s="218"/>
      <c r="I3158" s="218"/>
      <c r="J3158" s="218"/>
      <c r="K3158" s="218"/>
      <c r="L3158" s="218"/>
      <c r="M3158" s="218"/>
      <c r="N3158" s="218"/>
      <c r="O3158" s="218"/>
      <c r="P3158" s="218"/>
      <c r="Q3158" s="222"/>
      <c r="R3158" s="222"/>
      <c r="S3158" s="218"/>
      <c r="U3158" s="218"/>
      <c r="X3158" s="218"/>
      <c r="AB3158" t="e">
        <v>#N/A</v>
      </c>
    </row>
    <row r="3159">
      <c r="A3159" s="218"/>
      <c r="C3159" s="218"/>
      <c r="F3159" s="457"/>
      <c r="G3159" s="218"/>
      <c r="H3159" s="218"/>
      <c r="I3159" s="218"/>
      <c r="J3159" s="218"/>
      <c r="K3159" s="218"/>
      <c r="L3159" s="218"/>
      <c r="M3159" s="218"/>
      <c r="N3159" s="218"/>
      <c r="O3159" s="218"/>
      <c r="P3159" s="218"/>
      <c r="Q3159" s="222"/>
      <c r="R3159" s="222"/>
      <c r="S3159" s="218"/>
      <c r="U3159" s="218"/>
      <c r="X3159" s="218"/>
      <c r="AB3159" t="e">
        <v>#N/A</v>
      </c>
    </row>
    <row r="3160">
      <c r="A3160" s="218"/>
      <c r="C3160" s="218"/>
      <c r="F3160" s="457"/>
      <c r="G3160" s="218"/>
      <c r="H3160" s="218"/>
      <c r="I3160" s="218"/>
      <c r="J3160" s="218"/>
      <c r="K3160" s="218"/>
      <c r="L3160" s="218"/>
      <c r="M3160" s="218"/>
      <c r="N3160" s="218"/>
      <c r="O3160" s="218"/>
      <c r="P3160" s="218"/>
      <c r="Q3160" s="222"/>
      <c r="R3160" s="222"/>
      <c r="S3160" s="218"/>
      <c r="U3160" s="218"/>
      <c r="X3160" s="218"/>
      <c r="AB3160" t="e">
        <v>#N/A</v>
      </c>
    </row>
    <row r="3161">
      <c r="A3161" s="218"/>
      <c r="C3161" s="218"/>
      <c r="F3161" s="457"/>
      <c r="G3161" s="218"/>
      <c r="H3161" s="218"/>
      <c r="I3161" s="218"/>
      <c r="J3161" s="218"/>
      <c r="K3161" s="218"/>
      <c r="L3161" s="218"/>
      <c r="M3161" s="218"/>
      <c r="N3161" s="218"/>
      <c r="O3161" s="218"/>
      <c r="P3161" s="218"/>
      <c r="Q3161" s="222"/>
      <c r="R3161" s="222"/>
      <c r="S3161" s="218"/>
      <c r="U3161" s="218"/>
      <c r="X3161" s="218"/>
      <c r="AB3161" t="e">
        <v>#N/A</v>
      </c>
    </row>
    <row r="3162">
      <c r="A3162" s="218"/>
      <c r="C3162" s="218"/>
      <c r="F3162" s="457"/>
      <c r="G3162" s="218"/>
      <c r="H3162" s="218"/>
      <c r="I3162" s="218"/>
      <c r="J3162" s="218"/>
      <c r="K3162" s="218"/>
      <c r="L3162" s="218"/>
      <c r="M3162" s="218"/>
      <c r="N3162" s="218"/>
      <c r="O3162" s="218"/>
      <c r="P3162" s="218"/>
      <c r="Q3162" s="222"/>
      <c r="R3162" s="222"/>
      <c r="S3162" s="218"/>
      <c r="U3162" s="218"/>
      <c r="X3162" s="218"/>
      <c r="AB3162" t="e">
        <v>#N/A</v>
      </c>
    </row>
    <row r="3163">
      <c r="A3163" s="218"/>
      <c r="C3163" s="218"/>
      <c r="F3163" s="457"/>
      <c r="G3163" s="218"/>
      <c r="H3163" s="218"/>
      <c r="I3163" s="218"/>
      <c r="J3163" s="218"/>
      <c r="K3163" s="218"/>
      <c r="L3163" s="218"/>
      <c r="M3163" s="218"/>
      <c r="N3163" s="218"/>
      <c r="O3163" s="218"/>
      <c r="P3163" s="218"/>
      <c r="Q3163" s="222"/>
      <c r="R3163" s="222"/>
      <c r="S3163" s="218"/>
      <c r="U3163" s="218"/>
      <c r="X3163" s="218"/>
      <c r="AB3163" t="e">
        <v>#N/A</v>
      </c>
    </row>
    <row r="3164">
      <c r="A3164" s="218"/>
      <c r="C3164" s="218"/>
      <c r="F3164" s="457"/>
      <c r="G3164" s="218"/>
      <c r="H3164" s="218"/>
      <c r="I3164" s="218"/>
      <c r="J3164" s="218"/>
      <c r="K3164" s="218"/>
      <c r="L3164" s="218"/>
      <c r="M3164" s="218"/>
      <c r="N3164" s="218"/>
      <c r="O3164" s="218"/>
      <c r="P3164" s="218"/>
      <c r="Q3164" s="222"/>
      <c r="R3164" s="222"/>
      <c r="S3164" s="218"/>
      <c r="U3164" s="218"/>
      <c r="X3164" s="218"/>
      <c r="AB3164" t="e">
        <v>#N/A</v>
      </c>
    </row>
    <row r="3165">
      <c r="A3165" s="218"/>
      <c r="C3165" s="218"/>
      <c r="F3165" s="457"/>
      <c r="G3165" s="218"/>
      <c r="H3165" s="218"/>
      <c r="I3165" s="218"/>
      <c r="J3165" s="218"/>
      <c r="K3165" s="218"/>
      <c r="L3165" s="218"/>
      <c r="M3165" s="218"/>
      <c r="N3165" s="218"/>
      <c r="O3165" s="218"/>
      <c r="P3165" s="218"/>
      <c r="Q3165" s="222"/>
      <c r="R3165" s="222"/>
      <c r="S3165" s="218"/>
      <c r="U3165" s="218"/>
      <c r="X3165" s="218"/>
      <c r="AB3165" t="e">
        <v>#N/A</v>
      </c>
    </row>
    <row r="3166">
      <c r="A3166" s="218"/>
      <c r="C3166" s="218"/>
      <c r="F3166" s="457"/>
      <c r="G3166" s="218"/>
      <c r="H3166" s="218"/>
      <c r="I3166" s="218"/>
      <c r="J3166" s="218"/>
      <c r="K3166" s="218"/>
      <c r="L3166" s="218"/>
      <c r="M3166" s="218"/>
      <c r="N3166" s="218"/>
      <c r="O3166" s="218"/>
      <c r="P3166" s="218"/>
      <c r="Q3166" s="222"/>
      <c r="R3166" s="222"/>
      <c r="S3166" s="218"/>
      <c r="U3166" s="218"/>
      <c r="X3166" s="218"/>
      <c r="AB3166" t="e">
        <v>#N/A</v>
      </c>
    </row>
    <row r="3167">
      <c r="A3167" s="218"/>
      <c r="C3167" s="218"/>
      <c r="F3167" s="457"/>
      <c r="G3167" s="218"/>
      <c r="H3167" s="218"/>
      <c r="I3167" s="218"/>
      <c r="J3167" s="218"/>
      <c r="K3167" s="218"/>
      <c r="L3167" s="218"/>
      <c r="M3167" s="218"/>
      <c r="N3167" s="218"/>
      <c r="O3167" s="218"/>
      <c r="P3167" s="218"/>
      <c r="Q3167" s="222"/>
      <c r="R3167" s="222"/>
      <c r="S3167" s="218"/>
      <c r="U3167" s="218"/>
      <c r="X3167" s="218"/>
      <c r="AB3167" t="e">
        <v>#N/A</v>
      </c>
    </row>
    <row r="3168">
      <c r="A3168" s="218"/>
      <c r="C3168" s="218"/>
      <c r="F3168" s="457"/>
      <c r="G3168" s="218"/>
      <c r="H3168" s="218"/>
      <c r="I3168" s="218"/>
      <c r="J3168" s="218"/>
      <c r="K3168" s="218"/>
      <c r="L3168" s="218"/>
      <c r="M3168" s="218"/>
      <c r="N3168" s="218"/>
      <c r="O3168" s="218"/>
      <c r="P3168" s="218"/>
      <c r="Q3168" s="222"/>
      <c r="R3168" s="222"/>
      <c r="S3168" s="218"/>
      <c r="U3168" s="218"/>
      <c r="X3168" s="218"/>
      <c r="AB3168" t="e">
        <v>#N/A</v>
      </c>
    </row>
    <row r="3169">
      <c r="A3169" s="218"/>
      <c r="C3169" s="218"/>
      <c r="F3169" s="457"/>
      <c r="G3169" s="218"/>
      <c r="H3169" s="218"/>
      <c r="I3169" s="218"/>
      <c r="J3169" s="218"/>
      <c r="K3169" s="218"/>
      <c r="L3169" s="218"/>
      <c r="M3169" s="218"/>
      <c r="N3169" s="218"/>
      <c r="O3169" s="218"/>
      <c r="P3169" s="218"/>
      <c r="Q3169" s="222"/>
      <c r="R3169" s="222"/>
      <c r="S3169" s="218"/>
      <c r="U3169" s="218"/>
      <c r="X3169" s="218"/>
      <c r="AB3169" t="e">
        <v>#N/A</v>
      </c>
    </row>
    <row r="3170">
      <c r="A3170" s="218"/>
      <c r="C3170" s="218"/>
      <c r="F3170" s="457"/>
      <c r="G3170" s="218"/>
      <c r="H3170" s="218"/>
      <c r="I3170" s="218"/>
      <c r="J3170" s="218"/>
      <c r="K3170" s="218"/>
      <c r="L3170" s="218"/>
      <c r="M3170" s="218"/>
      <c r="N3170" s="218"/>
      <c r="O3170" s="218"/>
      <c r="P3170" s="218"/>
      <c r="Q3170" s="222"/>
      <c r="R3170" s="222"/>
      <c r="S3170" s="218"/>
      <c r="U3170" s="218"/>
      <c r="X3170" s="218"/>
      <c r="AB3170" t="e">
        <v>#N/A</v>
      </c>
    </row>
    <row r="3171">
      <c r="A3171" s="218"/>
      <c r="C3171" s="218"/>
      <c r="F3171" s="457"/>
      <c r="G3171" s="218"/>
      <c r="H3171" s="218"/>
      <c r="I3171" s="218"/>
      <c r="J3171" s="218"/>
      <c r="K3171" s="218"/>
      <c r="L3171" s="218"/>
      <c r="M3171" s="218"/>
      <c r="N3171" s="218"/>
      <c r="O3171" s="218"/>
      <c r="P3171" s="218"/>
      <c r="Q3171" s="222"/>
      <c r="R3171" s="222"/>
      <c r="S3171" s="218"/>
      <c r="U3171" s="218"/>
      <c r="X3171" s="218"/>
      <c r="AB3171" t="e">
        <v>#N/A</v>
      </c>
    </row>
    <row r="3172">
      <c r="A3172" s="218"/>
      <c r="C3172" s="218"/>
      <c r="F3172" s="457"/>
      <c r="G3172" s="218"/>
      <c r="H3172" s="218"/>
      <c r="I3172" s="218"/>
      <c r="J3172" s="218"/>
      <c r="K3172" s="218"/>
      <c r="L3172" s="218"/>
      <c r="M3172" s="218"/>
      <c r="N3172" s="218"/>
      <c r="O3172" s="218"/>
      <c r="P3172" s="218"/>
      <c r="Q3172" s="222"/>
      <c r="R3172" s="222"/>
      <c r="S3172" s="218"/>
      <c r="U3172" s="218"/>
      <c r="X3172" s="218"/>
      <c r="AB3172" t="e">
        <v>#N/A</v>
      </c>
    </row>
    <row r="3173">
      <c r="A3173" s="218"/>
      <c r="C3173" s="218"/>
      <c r="F3173" s="457"/>
      <c r="G3173" s="218"/>
      <c r="H3173" s="218"/>
      <c r="I3173" s="218"/>
      <c r="J3173" s="218"/>
      <c r="K3173" s="218"/>
      <c r="L3173" s="218"/>
      <c r="M3173" s="218"/>
      <c r="N3173" s="218"/>
      <c r="O3173" s="218"/>
      <c r="P3173" s="218"/>
      <c r="Q3173" s="222"/>
      <c r="R3173" s="222"/>
      <c r="S3173" s="218"/>
      <c r="U3173" s="218"/>
      <c r="X3173" s="218"/>
      <c r="AB3173" t="e">
        <v>#N/A</v>
      </c>
    </row>
    <row r="3174">
      <c r="A3174" s="218"/>
      <c r="C3174" s="218"/>
      <c r="F3174" s="457"/>
      <c r="G3174" s="218"/>
      <c r="H3174" s="218"/>
      <c r="I3174" s="218"/>
      <c r="J3174" s="218"/>
      <c r="K3174" s="218"/>
      <c r="L3174" s="218"/>
      <c r="M3174" s="218"/>
      <c r="N3174" s="218"/>
      <c r="O3174" s="218"/>
      <c r="P3174" s="218"/>
      <c r="Q3174" s="222"/>
      <c r="R3174" s="222"/>
      <c r="S3174" s="218"/>
      <c r="U3174" s="218"/>
      <c r="X3174" s="218"/>
      <c r="AB3174" t="e">
        <v>#N/A</v>
      </c>
    </row>
    <row r="3175">
      <c r="A3175" s="218"/>
      <c r="C3175" s="218"/>
      <c r="F3175" s="457"/>
      <c r="G3175" s="218"/>
      <c r="H3175" s="218"/>
      <c r="I3175" s="218"/>
      <c r="J3175" s="218"/>
      <c r="K3175" s="218"/>
      <c r="L3175" s="218"/>
      <c r="M3175" s="218"/>
      <c r="N3175" s="218"/>
      <c r="O3175" s="218"/>
      <c r="P3175" s="218"/>
      <c r="Q3175" s="222"/>
      <c r="R3175" s="222"/>
      <c r="S3175" s="218"/>
      <c r="U3175" s="218"/>
      <c r="X3175" s="218"/>
      <c r="AB3175" t="e">
        <v>#N/A</v>
      </c>
    </row>
    <row r="3176">
      <c r="A3176" s="218"/>
      <c r="C3176" s="218"/>
      <c r="F3176" s="457"/>
      <c r="G3176" s="218"/>
      <c r="H3176" s="218"/>
      <c r="I3176" s="218"/>
      <c r="J3176" s="218"/>
      <c r="K3176" s="218"/>
      <c r="L3176" s="218"/>
      <c r="M3176" s="218"/>
      <c r="N3176" s="218"/>
      <c r="O3176" s="218"/>
      <c r="P3176" s="218"/>
      <c r="Q3176" s="222"/>
      <c r="R3176" s="222"/>
      <c r="S3176" s="218"/>
      <c r="U3176" s="218"/>
      <c r="X3176" s="218"/>
      <c r="AB3176" t="e">
        <v>#N/A</v>
      </c>
    </row>
    <row r="3177">
      <c r="A3177" s="218"/>
      <c r="C3177" s="218"/>
      <c r="F3177" s="457"/>
      <c r="G3177" s="218"/>
      <c r="H3177" s="218"/>
      <c r="I3177" s="218"/>
      <c r="J3177" s="218"/>
      <c r="K3177" s="218"/>
      <c r="L3177" s="218"/>
      <c r="M3177" s="218"/>
      <c r="N3177" s="218"/>
      <c r="O3177" s="218"/>
      <c r="P3177" s="218"/>
      <c r="Q3177" s="222"/>
      <c r="R3177" s="222"/>
      <c r="S3177" s="218"/>
      <c r="U3177" s="218"/>
      <c r="X3177" s="218"/>
      <c r="AB3177" t="e">
        <v>#N/A</v>
      </c>
    </row>
    <row r="3178">
      <c r="A3178" s="218"/>
      <c r="C3178" s="218"/>
      <c r="F3178" s="457"/>
      <c r="G3178" s="218"/>
      <c r="H3178" s="218"/>
      <c r="I3178" s="218"/>
      <c r="J3178" s="218"/>
      <c r="K3178" s="218"/>
      <c r="L3178" s="218"/>
      <c r="M3178" s="218"/>
      <c r="N3178" s="218"/>
      <c r="O3178" s="218"/>
      <c r="P3178" s="218"/>
      <c r="Q3178" s="222"/>
      <c r="R3178" s="222"/>
      <c r="S3178" s="218"/>
      <c r="U3178" s="218"/>
      <c r="X3178" s="218"/>
      <c r="AB3178" t="e">
        <v>#N/A</v>
      </c>
    </row>
    <row r="3179">
      <c r="A3179" s="218"/>
      <c r="C3179" s="218"/>
      <c r="F3179" s="457"/>
      <c r="G3179" s="218"/>
      <c r="H3179" s="218"/>
      <c r="I3179" s="218"/>
      <c r="J3179" s="218"/>
      <c r="K3179" s="218"/>
      <c r="L3179" s="218"/>
      <c r="M3179" s="218"/>
      <c r="N3179" s="218"/>
      <c r="O3179" s="218"/>
      <c r="P3179" s="218"/>
      <c r="Q3179" s="222"/>
      <c r="R3179" s="222"/>
      <c r="S3179" s="218"/>
      <c r="U3179" s="218"/>
      <c r="X3179" s="218"/>
      <c r="AB3179" t="e">
        <v>#N/A</v>
      </c>
    </row>
    <row r="3180">
      <c r="A3180" s="218"/>
      <c r="C3180" s="218"/>
      <c r="F3180" s="457"/>
      <c r="G3180" s="218"/>
      <c r="H3180" s="218"/>
      <c r="I3180" s="218"/>
      <c r="J3180" s="218"/>
      <c r="K3180" s="218"/>
      <c r="L3180" s="218"/>
      <c r="M3180" s="218"/>
      <c r="N3180" s="218"/>
      <c r="O3180" s="218"/>
      <c r="P3180" s="218"/>
      <c r="Q3180" s="222"/>
      <c r="R3180" s="222"/>
      <c r="S3180" s="218"/>
      <c r="U3180" s="218"/>
      <c r="X3180" s="218"/>
      <c r="AB3180" t="e">
        <v>#N/A</v>
      </c>
    </row>
    <row r="3181">
      <c r="A3181" s="218"/>
      <c r="C3181" s="218"/>
      <c r="F3181" s="457"/>
      <c r="G3181" s="218"/>
      <c r="H3181" s="218"/>
      <c r="I3181" s="218"/>
      <c r="J3181" s="218"/>
      <c r="K3181" s="218"/>
      <c r="L3181" s="218"/>
      <c r="M3181" s="218"/>
      <c r="N3181" s="218"/>
      <c r="O3181" s="218"/>
      <c r="P3181" s="218"/>
      <c r="Q3181" s="222"/>
      <c r="R3181" s="222"/>
      <c r="S3181" s="218"/>
      <c r="U3181" s="218"/>
      <c r="X3181" s="218"/>
      <c r="AB3181" t="e">
        <v>#N/A</v>
      </c>
    </row>
    <row r="3182">
      <c r="A3182" s="218"/>
      <c r="C3182" s="218"/>
      <c r="F3182" s="457"/>
      <c r="G3182" s="218"/>
      <c r="H3182" s="218"/>
      <c r="I3182" s="218"/>
      <c r="J3182" s="218"/>
      <c r="K3182" s="218"/>
      <c r="L3182" s="218"/>
      <c r="M3182" s="218"/>
      <c r="N3182" s="218"/>
      <c r="O3182" s="218"/>
      <c r="P3182" s="218"/>
      <c r="Q3182" s="222"/>
      <c r="R3182" s="222"/>
      <c r="S3182" s="218"/>
      <c r="U3182" s="218"/>
      <c r="X3182" s="218"/>
      <c r="AB3182" t="e">
        <v>#N/A</v>
      </c>
    </row>
    <row r="3183">
      <c r="A3183" s="218"/>
      <c r="C3183" s="218"/>
      <c r="F3183" s="457"/>
      <c r="G3183" s="218"/>
      <c r="H3183" s="218"/>
      <c r="I3183" s="218"/>
      <c r="J3183" s="218"/>
      <c r="K3183" s="218"/>
      <c r="L3183" s="218"/>
      <c r="M3183" s="218"/>
      <c r="N3183" s="218"/>
      <c r="O3183" s="218"/>
      <c r="P3183" s="218"/>
      <c r="Q3183" s="222"/>
      <c r="R3183" s="222"/>
      <c r="S3183" s="218"/>
      <c r="U3183" s="218"/>
      <c r="X3183" s="218"/>
      <c r="AB3183" t="e">
        <v>#N/A</v>
      </c>
    </row>
    <row r="3184">
      <c r="A3184" s="218"/>
      <c r="C3184" s="218"/>
      <c r="F3184" s="457"/>
      <c r="G3184" s="218"/>
      <c r="H3184" s="218"/>
      <c r="I3184" s="218"/>
      <c r="J3184" s="218"/>
      <c r="K3184" s="218"/>
      <c r="L3184" s="218"/>
      <c r="M3184" s="218"/>
      <c r="N3184" s="218"/>
      <c r="O3184" s="218"/>
      <c r="P3184" s="218"/>
      <c r="Q3184" s="222"/>
      <c r="R3184" s="222"/>
      <c r="S3184" s="218"/>
      <c r="U3184" s="218"/>
      <c r="X3184" s="218"/>
      <c r="AB3184" t="e">
        <v>#N/A</v>
      </c>
    </row>
    <row r="3185">
      <c r="A3185" s="218"/>
      <c r="C3185" s="218"/>
      <c r="F3185" s="457"/>
      <c r="G3185" s="218"/>
      <c r="H3185" s="218"/>
      <c r="I3185" s="218"/>
      <c r="J3185" s="218"/>
      <c r="K3185" s="218"/>
      <c r="L3185" s="218"/>
      <c r="M3185" s="218"/>
      <c r="N3185" s="218"/>
      <c r="O3185" s="218"/>
      <c r="P3185" s="218"/>
      <c r="Q3185" s="222"/>
      <c r="R3185" s="222"/>
      <c r="S3185" s="218"/>
      <c r="U3185" s="218"/>
      <c r="X3185" s="218"/>
      <c r="AB3185" t="e">
        <v>#N/A</v>
      </c>
    </row>
    <row r="3186">
      <c r="A3186" s="218"/>
      <c r="C3186" s="218"/>
      <c r="F3186" s="457"/>
      <c r="G3186" s="218"/>
      <c r="H3186" s="218"/>
      <c r="I3186" s="218"/>
      <c r="J3186" s="218"/>
      <c r="K3186" s="218"/>
      <c r="L3186" s="218"/>
      <c r="M3186" s="218"/>
      <c r="N3186" s="218"/>
      <c r="O3186" s="218"/>
      <c r="P3186" s="218"/>
      <c r="Q3186" s="222"/>
      <c r="R3186" s="222"/>
      <c r="S3186" s="218"/>
      <c r="U3186" s="218"/>
      <c r="X3186" s="218"/>
      <c r="AB3186" t="e">
        <v>#N/A</v>
      </c>
    </row>
    <row r="3187">
      <c r="A3187" s="218"/>
      <c r="C3187" s="218"/>
      <c r="F3187" s="457"/>
      <c r="G3187" s="218"/>
      <c r="H3187" s="218"/>
      <c r="I3187" s="218"/>
      <c r="J3187" s="218"/>
      <c r="K3187" s="218"/>
      <c r="L3187" s="218"/>
      <c r="M3187" s="218"/>
      <c r="N3187" s="218"/>
      <c r="O3187" s="218"/>
      <c r="P3187" s="218"/>
      <c r="Q3187" s="222"/>
      <c r="R3187" s="222"/>
      <c r="S3187" s="218"/>
      <c r="U3187" s="218"/>
      <c r="X3187" s="218"/>
      <c r="AB3187" t="e">
        <v>#N/A</v>
      </c>
    </row>
    <row r="3188">
      <c r="A3188" s="218"/>
      <c r="C3188" s="218"/>
      <c r="F3188" s="457"/>
      <c r="G3188" s="218"/>
      <c r="H3188" s="218"/>
      <c r="I3188" s="218"/>
      <c r="J3188" s="218"/>
      <c r="K3188" s="218"/>
      <c r="L3188" s="218"/>
      <c r="M3188" s="218"/>
      <c r="N3188" s="218"/>
      <c r="O3188" s="218"/>
      <c r="P3188" s="218"/>
      <c r="Q3188" s="222"/>
      <c r="R3188" s="222"/>
      <c r="S3188" s="218"/>
      <c r="U3188" s="218"/>
      <c r="X3188" s="218"/>
      <c r="AB3188" t="e">
        <v>#N/A</v>
      </c>
    </row>
    <row r="3189">
      <c r="A3189" s="218"/>
      <c r="C3189" s="218"/>
      <c r="F3189" s="457"/>
      <c r="G3189" s="218"/>
      <c r="H3189" s="218"/>
      <c r="I3189" s="218"/>
      <c r="J3189" s="218"/>
      <c r="K3189" s="218"/>
      <c r="L3189" s="218"/>
      <c r="M3189" s="218"/>
      <c r="N3189" s="218"/>
      <c r="O3189" s="218"/>
      <c r="P3189" s="218"/>
      <c r="Q3189" s="222"/>
      <c r="R3189" s="222"/>
      <c r="S3189" s="218"/>
      <c r="U3189" s="218"/>
      <c r="X3189" s="218"/>
      <c r="AB3189" t="e">
        <v>#N/A</v>
      </c>
    </row>
    <row r="3190">
      <c r="A3190" s="218"/>
      <c r="C3190" s="218"/>
      <c r="F3190" s="457"/>
      <c r="G3190" s="218"/>
      <c r="H3190" s="218"/>
      <c r="I3190" s="218"/>
      <c r="J3190" s="218"/>
      <c r="K3190" s="218"/>
      <c r="L3190" s="218"/>
      <c r="M3190" s="218"/>
      <c r="N3190" s="218"/>
      <c r="O3190" s="218"/>
      <c r="P3190" s="218"/>
      <c r="Q3190" s="222"/>
      <c r="R3190" s="222"/>
      <c r="S3190" s="218"/>
      <c r="U3190" s="218"/>
      <c r="X3190" s="218"/>
      <c r="AB3190" t="e">
        <v>#N/A</v>
      </c>
    </row>
    <row r="3191">
      <c r="A3191" s="218"/>
      <c r="C3191" s="218"/>
      <c r="F3191" s="457"/>
      <c r="G3191" s="218"/>
      <c r="H3191" s="218"/>
      <c r="I3191" s="218"/>
      <c r="J3191" s="218"/>
      <c r="K3191" s="218"/>
      <c r="L3191" s="218"/>
      <c r="M3191" s="218"/>
      <c r="N3191" s="218"/>
      <c r="O3191" s="218"/>
      <c r="P3191" s="218"/>
      <c r="Q3191" s="222"/>
      <c r="R3191" s="222"/>
      <c r="S3191" s="218"/>
      <c r="U3191" s="218"/>
      <c r="X3191" s="218"/>
      <c r="AB3191" t="e">
        <v>#N/A</v>
      </c>
    </row>
    <row r="3192">
      <c r="A3192" s="218"/>
      <c r="C3192" s="218"/>
      <c r="F3192" s="457"/>
      <c r="G3192" s="218"/>
      <c r="H3192" s="218"/>
      <c r="I3192" s="218"/>
      <c r="J3192" s="218"/>
      <c r="K3192" s="218"/>
      <c r="L3192" s="218"/>
      <c r="M3192" s="218"/>
      <c r="N3192" s="218"/>
      <c r="O3192" s="218"/>
      <c r="P3192" s="218"/>
      <c r="Q3192" s="222"/>
      <c r="R3192" s="222"/>
      <c r="S3192" s="218"/>
      <c r="U3192" s="218"/>
      <c r="X3192" s="218"/>
      <c r="AB3192" t="e">
        <v>#N/A</v>
      </c>
    </row>
    <row r="3193">
      <c r="A3193" s="218"/>
      <c r="C3193" s="218"/>
      <c r="F3193" s="457"/>
      <c r="G3193" s="218"/>
      <c r="H3193" s="218"/>
      <c r="I3193" s="218"/>
      <c r="J3193" s="218"/>
      <c r="K3193" s="218"/>
      <c r="L3193" s="218"/>
      <c r="M3193" s="218"/>
      <c r="N3193" s="218"/>
      <c r="O3193" s="218"/>
      <c r="P3193" s="218"/>
      <c r="Q3193" s="222"/>
      <c r="R3193" s="222"/>
      <c r="S3193" s="218"/>
      <c r="U3193" s="218"/>
      <c r="X3193" s="218"/>
      <c r="AB3193" t="e">
        <v>#N/A</v>
      </c>
    </row>
    <row r="3194">
      <c r="A3194" s="218"/>
      <c r="C3194" s="218"/>
      <c r="F3194" s="457"/>
      <c r="G3194" s="218"/>
      <c r="H3194" s="218"/>
      <c r="I3194" s="218"/>
      <c r="J3194" s="218"/>
      <c r="K3194" s="218"/>
      <c r="L3194" s="218"/>
      <c r="M3194" s="218"/>
      <c r="N3194" s="218"/>
      <c r="O3194" s="218"/>
      <c r="P3194" s="218"/>
      <c r="Q3194" s="222"/>
      <c r="R3194" s="222"/>
      <c r="S3194" s="218"/>
      <c r="U3194" s="218"/>
      <c r="X3194" s="218"/>
      <c r="AB3194" t="e">
        <v>#N/A</v>
      </c>
    </row>
    <row r="3195">
      <c r="A3195" s="218"/>
      <c r="C3195" s="218"/>
      <c r="F3195" s="457"/>
      <c r="G3195" s="218"/>
      <c r="H3195" s="218"/>
      <c r="I3195" s="218"/>
      <c r="J3195" s="218"/>
      <c r="K3195" s="218"/>
      <c r="L3195" s="218"/>
      <c r="M3195" s="218"/>
      <c r="N3195" s="218"/>
      <c r="O3195" s="218"/>
      <c r="P3195" s="218"/>
      <c r="Q3195" s="222"/>
      <c r="R3195" s="222"/>
      <c r="S3195" s="218"/>
      <c r="U3195" s="218"/>
      <c r="X3195" s="218"/>
      <c r="AB3195" t="e">
        <v>#N/A</v>
      </c>
    </row>
    <row r="3196">
      <c r="A3196" s="218"/>
      <c r="C3196" s="218"/>
      <c r="F3196" s="457"/>
      <c r="G3196" s="218"/>
      <c r="H3196" s="218"/>
      <c r="I3196" s="218"/>
      <c r="J3196" s="218"/>
      <c r="K3196" s="218"/>
      <c r="L3196" s="218"/>
      <c r="M3196" s="218"/>
      <c r="N3196" s="218"/>
      <c r="O3196" s="218"/>
      <c r="P3196" s="218"/>
      <c r="Q3196" s="222"/>
      <c r="R3196" s="222"/>
      <c r="S3196" s="218"/>
      <c r="U3196" s="218"/>
      <c r="X3196" s="218"/>
      <c r="AB3196" t="e">
        <v>#N/A</v>
      </c>
    </row>
    <row r="3197">
      <c r="A3197" s="218"/>
      <c r="C3197" s="218"/>
      <c r="F3197" s="457"/>
      <c r="G3197" s="218"/>
      <c r="H3197" s="218"/>
      <c r="I3197" s="218"/>
      <c r="J3197" s="218"/>
      <c r="K3197" s="218"/>
      <c r="L3197" s="218"/>
      <c r="M3197" s="218"/>
      <c r="N3197" s="218"/>
      <c r="O3197" s="218"/>
      <c r="P3197" s="218"/>
      <c r="Q3197" s="222"/>
      <c r="R3197" s="222"/>
      <c r="S3197" s="218"/>
      <c r="U3197" s="218"/>
      <c r="X3197" s="218"/>
      <c r="AB3197" t="e">
        <v>#N/A</v>
      </c>
    </row>
    <row r="3198">
      <c r="A3198" s="218"/>
      <c r="C3198" s="218"/>
      <c r="F3198" s="457"/>
      <c r="G3198" s="218"/>
      <c r="H3198" s="218"/>
      <c r="I3198" s="218"/>
      <c r="J3198" s="218"/>
      <c r="K3198" s="218"/>
      <c r="L3198" s="218"/>
      <c r="M3198" s="218"/>
      <c r="N3198" s="218"/>
      <c r="O3198" s="218"/>
      <c r="P3198" s="218"/>
      <c r="Q3198" s="222"/>
      <c r="R3198" s="222"/>
      <c r="S3198" s="218"/>
      <c r="U3198" s="218"/>
      <c r="X3198" s="218"/>
      <c r="AB3198" t="e">
        <v>#N/A</v>
      </c>
    </row>
    <row r="3199">
      <c r="A3199" s="218"/>
      <c r="C3199" s="218"/>
      <c r="F3199" s="457"/>
      <c r="G3199" s="218"/>
      <c r="H3199" s="218"/>
      <c r="I3199" s="218"/>
      <c r="J3199" s="218"/>
      <c r="K3199" s="218"/>
      <c r="L3199" s="218"/>
      <c r="M3199" s="218"/>
      <c r="N3199" s="218"/>
      <c r="O3199" s="218"/>
      <c r="P3199" s="218"/>
      <c r="Q3199" s="222"/>
      <c r="R3199" s="222"/>
      <c r="S3199" s="218"/>
      <c r="U3199" s="218"/>
      <c r="X3199" s="218"/>
      <c r="AB3199" t="e">
        <v>#N/A</v>
      </c>
    </row>
    <row r="3200">
      <c r="A3200" s="218"/>
      <c r="C3200" s="218"/>
      <c r="F3200" s="457"/>
      <c r="G3200" s="218"/>
      <c r="H3200" s="218"/>
      <c r="I3200" s="218"/>
      <c r="J3200" s="218"/>
      <c r="K3200" s="218"/>
      <c r="L3200" s="218"/>
      <c r="M3200" s="218"/>
      <c r="N3200" s="218"/>
      <c r="O3200" s="218"/>
      <c r="P3200" s="218"/>
      <c r="Q3200" s="222"/>
      <c r="R3200" s="222"/>
      <c r="S3200" s="218"/>
      <c r="U3200" s="218"/>
      <c r="X3200" s="218"/>
      <c r="AB3200" t="e">
        <v>#N/A</v>
      </c>
    </row>
    <row r="3201">
      <c r="A3201" s="218"/>
      <c r="C3201" s="218"/>
      <c r="F3201" s="457"/>
      <c r="G3201" s="218"/>
      <c r="H3201" s="218"/>
      <c r="I3201" s="218"/>
      <c r="J3201" s="218"/>
      <c r="K3201" s="218"/>
      <c r="L3201" s="218"/>
      <c r="M3201" s="218"/>
      <c r="N3201" s="218"/>
      <c r="O3201" s="218"/>
      <c r="P3201" s="218"/>
      <c r="Q3201" s="222"/>
      <c r="R3201" s="222"/>
      <c r="S3201" s="218"/>
      <c r="U3201" s="218"/>
      <c r="X3201" s="218"/>
      <c r="AB3201" t="e">
        <v>#N/A</v>
      </c>
    </row>
    <row r="3202">
      <c r="A3202" s="218"/>
      <c r="C3202" s="218"/>
      <c r="F3202" s="457"/>
      <c r="G3202" s="218"/>
      <c r="H3202" s="218"/>
      <c r="I3202" s="218"/>
      <c r="J3202" s="218"/>
      <c r="K3202" s="218"/>
      <c r="L3202" s="218"/>
      <c r="M3202" s="218"/>
      <c r="N3202" s="218"/>
      <c r="O3202" s="218"/>
      <c r="P3202" s="218"/>
      <c r="Q3202" s="222"/>
      <c r="R3202" s="222"/>
      <c r="S3202" s="218"/>
      <c r="U3202" s="218"/>
      <c r="X3202" s="218"/>
      <c r="AB3202" t="e">
        <v>#N/A</v>
      </c>
    </row>
    <row r="3203">
      <c r="A3203" s="218"/>
      <c r="C3203" s="218"/>
      <c r="F3203" s="457"/>
      <c r="G3203" s="218"/>
      <c r="H3203" s="218"/>
      <c r="I3203" s="218"/>
      <c r="J3203" s="218"/>
      <c r="K3203" s="218"/>
      <c r="L3203" s="218"/>
      <c r="M3203" s="218"/>
      <c r="N3203" s="218"/>
      <c r="O3203" s="218"/>
      <c r="P3203" s="218"/>
      <c r="Q3203" s="222"/>
      <c r="R3203" s="222"/>
      <c r="S3203" s="218"/>
      <c r="U3203" s="218"/>
      <c r="X3203" s="218"/>
      <c r="AB3203" t="e">
        <v>#N/A</v>
      </c>
    </row>
    <row r="3204">
      <c r="A3204" s="218"/>
      <c r="C3204" s="218"/>
      <c r="F3204" s="457"/>
      <c r="G3204" s="218"/>
      <c r="H3204" s="218"/>
      <c r="I3204" s="218"/>
      <c r="J3204" s="218"/>
      <c r="K3204" s="218"/>
      <c r="L3204" s="218"/>
      <c r="M3204" s="218"/>
      <c r="N3204" s="218"/>
      <c r="O3204" s="218"/>
      <c r="P3204" s="218"/>
      <c r="Q3204" s="222"/>
      <c r="R3204" s="222"/>
      <c r="S3204" s="218"/>
      <c r="U3204" s="218"/>
      <c r="X3204" s="218"/>
      <c r="AB3204" t="e">
        <v>#N/A</v>
      </c>
    </row>
    <row r="3205">
      <c r="A3205" s="218"/>
      <c r="C3205" s="218"/>
      <c r="F3205" s="457"/>
      <c r="G3205" s="218"/>
      <c r="H3205" s="218"/>
      <c r="I3205" s="218"/>
      <c r="J3205" s="218"/>
      <c r="K3205" s="218"/>
      <c r="L3205" s="218"/>
      <c r="M3205" s="218"/>
      <c r="N3205" s="218"/>
      <c r="O3205" s="218"/>
      <c r="P3205" s="218"/>
      <c r="Q3205" s="222"/>
      <c r="R3205" s="222"/>
      <c r="S3205" s="218"/>
      <c r="U3205" s="218"/>
      <c r="X3205" s="218"/>
      <c r="AB3205" t="e">
        <v>#N/A</v>
      </c>
    </row>
    <row r="3206">
      <c r="A3206" s="218"/>
      <c r="C3206" s="218"/>
      <c r="F3206" s="457"/>
      <c r="G3206" s="218"/>
      <c r="H3206" s="218"/>
      <c r="I3206" s="218"/>
      <c r="J3206" s="218"/>
      <c r="K3206" s="218"/>
      <c r="L3206" s="218"/>
      <c r="M3206" s="218"/>
      <c r="N3206" s="218"/>
      <c r="O3206" s="218"/>
      <c r="P3206" s="218"/>
      <c r="Q3206" s="222"/>
      <c r="R3206" s="222"/>
      <c r="S3206" s="218"/>
      <c r="U3206" s="218"/>
      <c r="X3206" s="218"/>
      <c r="AB3206" t="e">
        <v>#N/A</v>
      </c>
    </row>
    <row r="3207">
      <c r="A3207" s="218"/>
      <c r="C3207" s="218"/>
      <c r="F3207" s="457"/>
      <c r="G3207" s="218"/>
      <c r="H3207" s="218"/>
      <c r="I3207" s="218"/>
      <c r="J3207" s="218"/>
      <c r="K3207" s="218"/>
      <c r="L3207" s="218"/>
      <c r="M3207" s="218"/>
      <c r="N3207" s="218"/>
      <c r="O3207" s="218"/>
      <c r="P3207" s="218"/>
      <c r="Q3207" s="222"/>
      <c r="R3207" s="222"/>
      <c r="S3207" s="218"/>
      <c r="U3207" s="218"/>
      <c r="X3207" s="218"/>
      <c r="AB3207" t="e">
        <v>#N/A</v>
      </c>
    </row>
    <row r="3208">
      <c r="A3208" s="218"/>
      <c r="C3208" s="218"/>
      <c r="F3208" s="457"/>
      <c r="G3208" s="218"/>
      <c r="H3208" s="218"/>
      <c r="I3208" s="218"/>
      <c r="J3208" s="218"/>
      <c r="K3208" s="218"/>
      <c r="L3208" s="218"/>
      <c r="M3208" s="218"/>
      <c r="N3208" s="218"/>
      <c r="O3208" s="218"/>
      <c r="P3208" s="218"/>
      <c r="Q3208" s="222"/>
      <c r="R3208" s="222"/>
      <c r="S3208" s="218"/>
      <c r="U3208" s="218"/>
      <c r="X3208" s="218"/>
      <c r="AB3208" t="e">
        <v>#N/A</v>
      </c>
    </row>
    <row r="3209">
      <c r="A3209" s="218"/>
      <c r="C3209" s="218"/>
      <c r="F3209" s="457"/>
      <c r="G3209" s="218"/>
      <c r="H3209" s="218"/>
      <c r="I3209" s="218"/>
      <c r="J3209" s="218"/>
      <c r="K3209" s="218"/>
      <c r="L3209" s="218"/>
      <c r="M3209" s="218"/>
      <c r="N3209" s="218"/>
      <c r="O3209" s="218"/>
      <c r="P3209" s="218"/>
      <c r="Q3209" s="222"/>
      <c r="R3209" s="222"/>
      <c r="S3209" s="218"/>
      <c r="U3209" s="218"/>
      <c r="X3209" s="218"/>
      <c r="AB3209" t="e">
        <v>#N/A</v>
      </c>
    </row>
    <row r="3210">
      <c r="A3210" s="218"/>
      <c r="C3210" s="218"/>
      <c r="F3210" s="457"/>
      <c r="G3210" s="218"/>
      <c r="H3210" s="218"/>
      <c r="I3210" s="218"/>
      <c r="J3210" s="218"/>
      <c r="K3210" s="218"/>
      <c r="L3210" s="218"/>
      <c r="M3210" s="218"/>
      <c r="N3210" s="218"/>
      <c r="O3210" s="218"/>
      <c r="P3210" s="218"/>
      <c r="Q3210" s="222"/>
      <c r="R3210" s="222"/>
      <c r="S3210" s="218"/>
      <c r="U3210" s="218"/>
      <c r="X3210" s="218"/>
      <c r="AB3210" t="e">
        <v>#N/A</v>
      </c>
    </row>
    <row r="3211">
      <c r="A3211" s="218"/>
      <c r="C3211" s="218"/>
      <c r="F3211" s="457"/>
      <c r="G3211" s="218"/>
      <c r="H3211" s="218"/>
      <c r="I3211" s="218"/>
      <c r="J3211" s="218"/>
      <c r="K3211" s="218"/>
      <c r="L3211" s="218"/>
      <c r="M3211" s="218"/>
      <c r="N3211" s="218"/>
      <c r="O3211" s="218"/>
      <c r="P3211" s="218"/>
      <c r="Q3211" s="222"/>
      <c r="R3211" s="222"/>
      <c r="S3211" s="218"/>
      <c r="U3211" s="218"/>
      <c r="X3211" s="218"/>
      <c r="AB3211" t="e">
        <v>#N/A</v>
      </c>
    </row>
    <row r="3212">
      <c r="A3212" s="218"/>
      <c r="C3212" s="218"/>
      <c r="F3212" s="457"/>
      <c r="G3212" s="218"/>
      <c r="H3212" s="218"/>
      <c r="I3212" s="218"/>
      <c r="J3212" s="218"/>
      <c r="K3212" s="218"/>
      <c r="L3212" s="218"/>
      <c r="M3212" s="218"/>
      <c r="N3212" s="218"/>
      <c r="O3212" s="218"/>
      <c r="P3212" s="218"/>
      <c r="Q3212" s="222"/>
      <c r="R3212" s="222"/>
      <c r="S3212" s="218"/>
      <c r="U3212" s="218"/>
      <c r="X3212" s="218"/>
      <c r="AB3212" t="e">
        <v>#N/A</v>
      </c>
    </row>
    <row r="3213">
      <c r="A3213" s="218"/>
      <c r="C3213" s="218"/>
      <c r="F3213" s="457"/>
      <c r="G3213" s="218"/>
      <c r="H3213" s="218"/>
      <c r="I3213" s="218"/>
      <c r="J3213" s="218"/>
      <c r="K3213" s="218"/>
      <c r="L3213" s="218"/>
      <c r="M3213" s="218"/>
      <c r="N3213" s="218"/>
      <c r="O3213" s="218"/>
      <c r="P3213" s="218"/>
      <c r="Q3213" s="222"/>
      <c r="R3213" s="222"/>
      <c r="S3213" s="218"/>
      <c r="U3213" s="218"/>
      <c r="X3213" s="218"/>
      <c r="AB3213" t="e">
        <v>#N/A</v>
      </c>
    </row>
    <row r="3214">
      <c r="A3214" s="218"/>
      <c r="C3214" s="218"/>
      <c r="F3214" s="457"/>
      <c r="G3214" s="218"/>
      <c r="H3214" s="218"/>
      <c r="I3214" s="218"/>
      <c r="J3214" s="218"/>
      <c r="K3214" s="218"/>
      <c r="L3214" s="218"/>
      <c r="M3214" s="218"/>
      <c r="N3214" s="218"/>
      <c r="O3214" s="218"/>
      <c r="P3214" s="218"/>
      <c r="Q3214" s="222"/>
      <c r="R3214" s="222"/>
      <c r="S3214" s="218"/>
      <c r="U3214" s="218"/>
      <c r="X3214" s="218"/>
      <c r="AB3214" t="e">
        <v>#N/A</v>
      </c>
    </row>
    <row r="3215">
      <c r="A3215" s="218"/>
      <c r="C3215" s="218"/>
      <c r="F3215" s="457"/>
      <c r="G3215" s="218"/>
      <c r="H3215" s="218"/>
      <c r="I3215" s="218"/>
      <c r="J3215" s="218"/>
      <c r="K3215" s="218"/>
      <c r="L3215" s="218"/>
      <c r="M3215" s="218"/>
      <c r="N3215" s="218"/>
      <c r="O3215" s="218"/>
      <c r="P3215" s="218"/>
      <c r="Q3215" s="222"/>
      <c r="R3215" s="222"/>
      <c r="S3215" s="218"/>
      <c r="U3215" s="218"/>
      <c r="X3215" s="218"/>
      <c r="AB3215" t="e">
        <v>#N/A</v>
      </c>
    </row>
    <row r="3216">
      <c r="A3216" s="218"/>
      <c r="C3216" s="218"/>
      <c r="F3216" s="457"/>
      <c r="G3216" s="218"/>
      <c r="H3216" s="218"/>
      <c r="I3216" s="218"/>
      <c r="J3216" s="218"/>
      <c r="K3216" s="218"/>
      <c r="L3216" s="218"/>
      <c r="M3216" s="218"/>
      <c r="N3216" s="218"/>
      <c r="O3216" s="218"/>
      <c r="P3216" s="218"/>
      <c r="Q3216" s="222"/>
      <c r="R3216" s="222"/>
      <c r="S3216" s="218"/>
      <c r="U3216" s="218"/>
      <c r="X3216" s="218"/>
      <c r="AB3216" t="e">
        <v>#N/A</v>
      </c>
    </row>
    <row r="3217">
      <c r="A3217" s="218"/>
      <c r="C3217" s="218"/>
      <c r="F3217" s="457"/>
      <c r="G3217" s="218"/>
      <c r="H3217" s="218"/>
      <c r="I3217" s="218"/>
      <c r="J3217" s="218"/>
      <c r="K3217" s="218"/>
      <c r="L3217" s="218"/>
      <c r="M3217" s="218"/>
      <c r="N3217" s="218"/>
      <c r="O3217" s="218"/>
      <c r="P3217" s="218"/>
      <c r="Q3217" s="222"/>
      <c r="R3217" s="222"/>
      <c r="S3217" s="218"/>
      <c r="U3217" s="218"/>
      <c r="X3217" s="218"/>
      <c r="AB3217" t="e">
        <v>#N/A</v>
      </c>
    </row>
    <row r="3218">
      <c r="A3218" s="218"/>
      <c r="C3218" s="218"/>
      <c r="F3218" s="457"/>
      <c r="G3218" s="218"/>
      <c r="H3218" s="218"/>
      <c r="I3218" s="218"/>
      <c r="J3218" s="218"/>
      <c r="K3218" s="218"/>
      <c r="L3218" s="218"/>
      <c r="M3218" s="218"/>
      <c r="N3218" s="218"/>
      <c r="O3218" s="218"/>
      <c r="P3218" s="218"/>
      <c r="Q3218" s="222"/>
      <c r="R3218" s="222"/>
      <c r="S3218" s="218"/>
      <c r="U3218" s="218"/>
      <c r="X3218" s="218"/>
      <c r="AB3218" t="e">
        <v>#N/A</v>
      </c>
    </row>
    <row r="3219">
      <c r="A3219" s="218"/>
      <c r="C3219" s="218"/>
      <c r="F3219" s="457"/>
      <c r="G3219" s="218"/>
      <c r="H3219" s="218"/>
      <c r="I3219" s="218"/>
      <c r="J3219" s="218"/>
      <c r="K3219" s="218"/>
      <c r="L3219" s="218"/>
      <c r="M3219" s="218"/>
      <c r="N3219" s="218"/>
      <c r="O3219" s="218"/>
      <c r="P3219" s="218"/>
      <c r="Q3219" s="222"/>
      <c r="R3219" s="222"/>
      <c r="S3219" s="218"/>
      <c r="U3219" s="218"/>
      <c r="X3219" s="218"/>
      <c r="AB3219" t="e">
        <v>#N/A</v>
      </c>
    </row>
    <row r="3220">
      <c r="A3220" s="218"/>
      <c r="C3220" s="218"/>
      <c r="F3220" s="457"/>
      <c r="G3220" s="218"/>
      <c r="H3220" s="218"/>
      <c r="I3220" s="218"/>
      <c r="J3220" s="218"/>
      <c r="K3220" s="218"/>
      <c r="L3220" s="218"/>
      <c r="M3220" s="218"/>
      <c r="N3220" s="218"/>
      <c r="O3220" s="218"/>
      <c r="P3220" s="218"/>
      <c r="Q3220" s="222"/>
      <c r="R3220" s="222"/>
      <c r="S3220" s="218"/>
      <c r="U3220" s="218"/>
      <c r="X3220" s="218"/>
      <c r="AB3220" t="e">
        <v>#N/A</v>
      </c>
    </row>
    <row r="3221">
      <c r="A3221" s="218"/>
      <c r="C3221" s="218"/>
      <c r="F3221" s="457"/>
      <c r="G3221" s="218"/>
      <c r="H3221" s="218"/>
      <c r="I3221" s="218"/>
      <c r="J3221" s="218"/>
      <c r="K3221" s="218"/>
      <c r="L3221" s="218"/>
      <c r="M3221" s="218"/>
      <c r="N3221" s="218"/>
      <c r="O3221" s="218"/>
      <c r="P3221" s="218"/>
      <c r="Q3221" s="222"/>
      <c r="R3221" s="222"/>
      <c r="S3221" s="218"/>
      <c r="U3221" s="218"/>
      <c r="X3221" s="218"/>
      <c r="AB3221" t="e">
        <v>#N/A</v>
      </c>
    </row>
    <row r="3222">
      <c r="A3222" s="218"/>
      <c r="C3222" s="218"/>
      <c r="F3222" s="457"/>
      <c r="G3222" s="218"/>
      <c r="H3222" s="218"/>
      <c r="I3222" s="218"/>
      <c r="J3222" s="218"/>
      <c r="K3222" s="218"/>
      <c r="L3222" s="218"/>
      <c r="M3222" s="218"/>
      <c r="N3222" s="218"/>
      <c r="O3222" s="218"/>
      <c r="P3222" s="218"/>
      <c r="Q3222" s="222"/>
      <c r="R3222" s="222"/>
      <c r="S3222" s="218"/>
      <c r="U3222" s="218"/>
      <c r="X3222" s="218"/>
      <c r="AB3222" t="e">
        <v>#N/A</v>
      </c>
    </row>
    <row r="3223">
      <c r="A3223" s="218"/>
      <c r="C3223" s="218"/>
      <c r="F3223" s="457"/>
      <c r="G3223" s="218"/>
      <c r="H3223" s="218"/>
      <c r="I3223" s="218"/>
      <c r="J3223" s="218"/>
      <c r="K3223" s="218"/>
      <c r="L3223" s="218"/>
      <c r="M3223" s="218"/>
      <c r="N3223" s="218"/>
      <c r="O3223" s="218"/>
      <c r="P3223" s="218"/>
      <c r="Q3223" s="222"/>
      <c r="R3223" s="222"/>
      <c r="S3223" s="218"/>
      <c r="U3223" s="218"/>
      <c r="X3223" s="218"/>
      <c r="AB3223" t="e">
        <v>#N/A</v>
      </c>
    </row>
    <row r="3224">
      <c r="A3224" s="218"/>
      <c r="C3224" s="218"/>
      <c r="F3224" s="457"/>
      <c r="G3224" s="218"/>
      <c r="H3224" s="218"/>
      <c r="I3224" s="218"/>
      <c r="J3224" s="218"/>
      <c r="K3224" s="218"/>
      <c r="L3224" s="218"/>
      <c r="M3224" s="218"/>
      <c r="N3224" s="218"/>
      <c r="O3224" s="218"/>
      <c r="P3224" s="218"/>
      <c r="Q3224" s="222"/>
      <c r="R3224" s="222"/>
      <c r="S3224" s="218"/>
      <c r="U3224" s="218"/>
      <c r="X3224" s="218"/>
      <c r="AB3224" t="e">
        <v>#N/A</v>
      </c>
    </row>
    <row r="3225">
      <c r="A3225" s="218"/>
      <c r="C3225" s="218"/>
      <c r="F3225" s="457"/>
      <c r="G3225" s="218"/>
      <c r="H3225" s="218"/>
      <c r="I3225" s="218"/>
      <c r="J3225" s="218"/>
      <c r="K3225" s="218"/>
      <c r="L3225" s="218"/>
      <c r="M3225" s="218"/>
      <c r="N3225" s="218"/>
      <c r="O3225" s="218"/>
      <c r="P3225" s="218"/>
      <c r="Q3225" s="222"/>
      <c r="R3225" s="222"/>
      <c r="S3225" s="218"/>
      <c r="U3225" s="218"/>
      <c r="X3225" s="218"/>
      <c r="AB3225" t="e">
        <v>#N/A</v>
      </c>
    </row>
    <row r="3226">
      <c r="A3226" s="218"/>
      <c r="C3226" s="218"/>
      <c r="F3226" s="457"/>
      <c r="G3226" s="218"/>
      <c r="H3226" s="218"/>
      <c r="I3226" s="218"/>
      <c r="J3226" s="218"/>
      <c r="K3226" s="218"/>
      <c r="L3226" s="218"/>
      <c r="M3226" s="218"/>
      <c r="N3226" s="218"/>
      <c r="O3226" s="218"/>
      <c r="P3226" s="218"/>
      <c r="Q3226" s="222"/>
      <c r="R3226" s="222"/>
      <c r="S3226" s="218"/>
      <c r="U3226" s="218"/>
      <c r="X3226" s="218"/>
      <c r="AB3226" t="e">
        <v>#N/A</v>
      </c>
    </row>
    <row r="3227">
      <c r="A3227" s="218"/>
      <c r="C3227" s="218"/>
      <c r="F3227" s="457"/>
      <c r="G3227" s="218"/>
      <c r="H3227" s="218"/>
      <c r="I3227" s="218"/>
      <c r="J3227" s="218"/>
      <c r="K3227" s="218"/>
      <c r="L3227" s="218"/>
      <c r="M3227" s="218"/>
      <c r="N3227" s="218"/>
      <c r="O3227" s="218"/>
      <c r="P3227" s="218"/>
      <c r="Q3227" s="222"/>
      <c r="R3227" s="222"/>
      <c r="S3227" s="218"/>
      <c r="U3227" s="218"/>
      <c r="X3227" s="218"/>
      <c r="AB3227" t="e">
        <v>#N/A</v>
      </c>
    </row>
    <row r="3228">
      <c r="A3228" s="218"/>
      <c r="C3228" s="218"/>
      <c r="F3228" s="457"/>
      <c r="G3228" s="218"/>
      <c r="H3228" s="218"/>
      <c r="I3228" s="218"/>
      <c r="J3228" s="218"/>
      <c r="K3228" s="218"/>
      <c r="L3228" s="218"/>
      <c r="M3228" s="218"/>
      <c r="N3228" s="218"/>
      <c r="O3228" s="218"/>
      <c r="P3228" s="218"/>
      <c r="Q3228" s="222"/>
      <c r="R3228" s="222"/>
      <c r="S3228" s="218"/>
      <c r="U3228" s="218"/>
      <c r="X3228" s="218"/>
      <c r="AB3228" t="e">
        <v>#N/A</v>
      </c>
    </row>
    <row r="3229">
      <c r="A3229" s="218"/>
      <c r="C3229" s="218"/>
      <c r="F3229" s="457"/>
      <c r="G3229" s="218"/>
      <c r="H3229" s="218"/>
      <c r="I3229" s="218"/>
      <c r="J3229" s="218"/>
      <c r="K3229" s="218"/>
      <c r="L3229" s="218"/>
      <c r="M3229" s="218"/>
      <c r="N3229" s="218"/>
      <c r="O3229" s="218"/>
      <c r="P3229" s="218"/>
      <c r="Q3229" s="222"/>
      <c r="R3229" s="222"/>
      <c r="S3229" s="218"/>
      <c r="U3229" s="218"/>
      <c r="X3229" s="218"/>
      <c r="AB3229" t="e">
        <v>#N/A</v>
      </c>
    </row>
    <row r="3230">
      <c r="A3230" s="218"/>
      <c r="C3230" s="218"/>
      <c r="F3230" s="457"/>
      <c r="G3230" s="218"/>
      <c r="H3230" s="218"/>
      <c r="I3230" s="218"/>
      <c r="J3230" s="218"/>
      <c r="K3230" s="218"/>
      <c r="L3230" s="218"/>
      <c r="M3230" s="218"/>
      <c r="N3230" s="218"/>
      <c r="O3230" s="218"/>
      <c r="P3230" s="218"/>
      <c r="Q3230" s="222"/>
      <c r="R3230" s="222"/>
      <c r="S3230" s="218"/>
      <c r="U3230" s="218"/>
      <c r="X3230" s="218"/>
      <c r="AB3230" t="e">
        <v>#N/A</v>
      </c>
    </row>
    <row r="3231">
      <c r="A3231" s="218"/>
      <c r="C3231" s="218"/>
      <c r="F3231" s="457"/>
      <c r="G3231" s="218"/>
      <c r="H3231" s="218"/>
      <c r="I3231" s="218"/>
      <c r="J3231" s="218"/>
      <c r="K3231" s="218"/>
      <c r="L3231" s="218"/>
      <c r="M3231" s="218"/>
      <c r="N3231" s="218"/>
      <c r="O3231" s="218"/>
      <c r="P3231" s="218"/>
      <c r="Q3231" s="222"/>
      <c r="R3231" s="222"/>
      <c r="S3231" s="218"/>
      <c r="U3231" s="218"/>
      <c r="X3231" s="218"/>
      <c r="AB3231" t="e">
        <v>#N/A</v>
      </c>
    </row>
    <row r="3232">
      <c r="A3232" s="218"/>
      <c r="C3232" s="218"/>
      <c r="F3232" s="457"/>
      <c r="G3232" s="218"/>
      <c r="H3232" s="218"/>
      <c r="I3232" s="218"/>
      <c r="J3232" s="218"/>
      <c r="K3232" s="218"/>
      <c r="L3232" s="218"/>
      <c r="M3232" s="218"/>
      <c r="N3232" s="218"/>
      <c r="O3232" s="218"/>
      <c r="P3232" s="218"/>
      <c r="Q3232" s="222"/>
      <c r="R3232" s="222"/>
      <c r="S3232" s="218"/>
      <c r="U3232" s="218"/>
      <c r="X3232" s="218"/>
      <c r="AB3232" t="e">
        <v>#N/A</v>
      </c>
    </row>
    <row r="3233">
      <c r="A3233" s="218"/>
      <c r="C3233" s="218"/>
      <c r="F3233" s="457"/>
      <c r="G3233" s="218"/>
      <c r="H3233" s="218"/>
      <c r="I3233" s="218"/>
      <c r="J3233" s="218"/>
      <c r="K3233" s="218"/>
      <c r="L3233" s="218"/>
      <c r="M3233" s="218"/>
      <c r="N3233" s="218"/>
      <c r="O3233" s="218"/>
      <c r="P3233" s="218"/>
      <c r="Q3233" s="222"/>
      <c r="R3233" s="222"/>
      <c r="S3233" s="218"/>
      <c r="U3233" s="218"/>
      <c r="X3233" s="218"/>
      <c r="AB3233" t="e">
        <v>#N/A</v>
      </c>
    </row>
    <row r="3234">
      <c r="A3234" s="218"/>
      <c r="C3234" s="218"/>
      <c r="F3234" s="457"/>
      <c r="G3234" s="218"/>
      <c r="H3234" s="218"/>
      <c r="I3234" s="218"/>
      <c r="J3234" s="218"/>
      <c r="K3234" s="218"/>
      <c r="L3234" s="218"/>
      <c r="M3234" s="218"/>
      <c r="N3234" s="218"/>
      <c r="O3234" s="218"/>
      <c r="P3234" s="218"/>
      <c r="Q3234" s="222"/>
      <c r="R3234" s="222"/>
      <c r="S3234" s="218"/>
      <c r="U3234" s="218"/>
      <c r="X3234" s="218"/>
      <c r="AB3234" t="e">
        <v>#N/A</v>
      </c>
    </row>
    <row r="3235">
      <c r="A3235" s="218"/>
      <c r="C3235" s="218"/>
      <c r="F3235" s="457"/>
      <c r="G3235" s="218"/>
      <c r="H3235" s="218"/>
      <c r="I3235" s="218"/>
      <c r="J3235" s="218"/>
      <c r="K3235" s="218"/>
      <c r="L3235" s="218"/>
      <c r="M3235" s="218"/>
      <c r="N3235" s="218"/>
      <c r="O3235" s="218"/>
      <c r="P3235" s="218"/>
      <c r="Q3235" s="222"/>
      <c r="R3235" s="222"/>
      <c r="S3235" s="218"/>
      <c r="U3235" s="218"/>
      <c r="X3235" s="218"/>
      <c r="AB3235" t="e">
        <v>#N/A</v>
      </c>
    </row>
    <row r="3236">
      <c r="A3236" s="218"/>
      <c r="C3236" s="218"/>
      <c r="F3236" s="457"/>
      <c r="G3236" s="218"/>
      <c r="H3236" s="218"/>
      <c r="I3236" s="218"/>
      <c r="J3236" s="218"/>
      <c r="K3236" s="218"/>
      <c r="L3236" s="218"/>
      <c r="M3236" s="218"/>
      <c r="N3236" s="218"/>
      <c r="O3236" s="218"/>
      <c r="P3236" s="218"/>
      <c r="Q3236" s="222"/>
      <c r="R3236" s="222"/>
      <c r="S3236" s="218"/>
      <c r="U3236" s="218"/>
      <c r="X3236" s="218"/>
      <c r="AB3236" t="e">
        <v>#N/A</v>
      </c>
    </row>
    <row r="3237">
      <c r="A3237" s="218"/>
      <c r="C3237" s="218"/>
      <c r="F3237" s="457"/>
      <c r="G3237" s="218"/>
      <c r="H3237" s="218"/>
      <c r="I3237" s="218"/>
      <c r="J3237" s="218"/>
      <c r="K3237" s="218"/>
      <c r="L3237" s="218"/>
      <c r="M3237" s="218"/>
      <c r="N3237" s="218"/>
      <c r="O3237" s="218"/>
      <c r="P3237" s="218"/>
      <c r="Q3237" s="222"/>
      <c r="R3237" s="222"/>
      <c r="S3237" s="218"/>
      <c r="U3237" s="218"/>
      <c r="X3237" s="218"/>
      <c r="AB3237" t="e">
        <v>#N/A</v>
      </c>
    </row>
    <row r="3238">
      <c r="A3238" s="218"/>
      <c r="C3238" s="218"/>
      <c r="F3238" s="457"/>
      <c r="G3238" s="218"/>
      <c r="H3238" s="218"/>
      <c r="I3238" s="218"/>
      <c r="J3238" s="218"/>
      <c r="K3238" s="218"/>
      <c r="L3238" s="218"/>
      <c r="M3238" s="218"/>
      <c r="N3238" s="218"/>
      <c r="O3238" s="218"/>
      <c r="P3238" s="218"/>
      <c r="Q3238" s="222"/>
      <c r="R3238" s="222"/>
      <c r="S3238" s="218"/>
      <c r="U3238" s="218"/>
      <c r="X3238" s="218"/>
      <c r="AB3238" t="e">
        <v>#N/A</v>
      </c>
    </row>
    <row r="3239">
      <c r="A3239" s="218"/>
      <c r="C3239" s="218"/>
      <c r="F3239" s="457"/>
      <c r="G3239" s="218"/>
      <c r="H3239" s="218"/>
      <c r="I3239" s="218"/>
      <c r="J3239" s="218"/>
      <c r="K3239" s="218"/>
      <c r="L3239" s="218"/>
      <c r="M3239" s="218"/>
      <c r="N3239" s="218"/>
      <c r="O3239" s="218"/>
      <c r="P3239" s="218"/>
      <c r="Q3239" s="222"/>
      <c r="R3239" s="222"/>
      <c r="S3239" s="218"/>
      <c r="U3239" s="218"/>
      <c r="X3239" s="218"/>
      <c r="AB3239" t="e">
        <v>#N/A</v>
      </c>
    </row>
    <row r="3240">
      <c r="A3240" s="218"/>
      <c r="C3240" s="218"/>
      <c r="F3240" s="457"/>
      <c r="G3240" s="218"/>
      <c r="H3240" s="218"/>
      <c r="I3240" s="218"/>
      <c r="J3240" s="218"/>
      <c r="K3240" s="218"/>
      <c r="L3240" s="218"/>
      <c r="M3240" s="218"/>
      <c r="N3240" s="218"/>
      <c r="O3240" s="218"/>
      <c r="P3240" s="218"/>
      <c r="Q3240" s="222"/>
      <c r="R3240" s="222"/>
      <c r="S3240" s="218"/>
      <c r="U3240" s="218"/>
      <c r="X3240" s="218"/>
      <c r="AB3240" t="e">
        <v>#N/A</v>
      </c>
    </row>
    <row r="3241">
      <c r="A3241" s="218"/>
      <c r="C3241" s="218"/>
      <c r="F3241" s="457"/>
      <c r="G3241" s="218"/>
      <c r="H3241" s="218"/>
      <c r="I3241" s="218"/>
      <c r="J3241" s="218"/>
      <c r="K3241" s="218"/>
      <c r="L3241" s="218"/>
      <c r="M3241" s="218"/>
      <c r="N3241" s="218"/>
      <c r="O3241" s="218"/>
      <c r="P3241" s="218"/>
      <c r="Q3241" s="222"/>
      <c r="R3241" s="222"/>
      <c r="S3241" s="218"/>
      <c r="U3241" s="218"/>
      <c r="X3241" s="218"/>
      <c r="AB3241" t="e">
        <v>#N/A</v>
      </c>
    </row>
    <row r="3242">
      <c r="A3242" s="218"/>
      <c r="C3242" s="218"/>
      <c r="F3242" s="457"/>
      <c r="G3242" s="218"/>
      <c r="H3242" s="218"/>
      <c r="I3242" s="218"/>
      <c r="J3242" s="218"/>
      <c r="K3242" s="218"/>
      <c r="L3242" s="218"/>
      <c r="M3242" s="218"/>
      <c r="N3242" s="218"/>
      <c r="O3242" s="218"/>
      <c r="P3242" s="218"/>
      <c r="Q3242" s="222"/>
      <c r="R3242" s="222"/>
      <c r="S3242" s="218"/>
      <c r="U3242" s="218"/>
      <c r="X3242" s="218"/>
      <c r="AB3242" t="e">
        <v>#N/A</v>
      </c>
    </row>
    <row r="3243">
      <c r="A3243" s="218"/>
      <c r="C3243" s="218"/>
      <c r="F3243" s="457"/>
      <c r="G3243" s="218"/>
      <c r="H3243" s="218"/>
      <c r="I3243" s="218"/>
      <c r="J3243" s="218"/>
      <c r="K3243" s="218"/>
      <c r="L3243" s="218"/>
      <c r="M3243" s="218"/>
      <c r="N3243" s="218"/>
      <c r="O3243" s="218"/>
      <c r="P3243" s="218"/>
      <c r="Q3243" s="222"/>
      <c r="R3243" s="222"/>
      <c r="S3243" s="218"/>
      <c r="U3243" s="218"/>
      <c r="X3243" s="218"/>
      <c r="AB3243" t="e">
        <v>#N/A</v>
      </c>
    </row>
    <row r="3244">
      <c r="A3244" s="218"/>
      <c r="C3244" s="218"/>
      <c r="F3244" s="457"/>
      <c r="G3244" s="218"/>
      <c r="H3244" s="218"/>
      <c r="I3244" s="218"/>
      <c r="J3244" s="218"/>
      <c r="K3244" s="218"/>
      <c r="L3244" s="218"/>
      <c r="M3244" s="218"/>
      <c r="N3244" s="218"/>
      <c r="O3244" s="218"/>
      <c r="P3244" s="218"/>
      <c r="Q3244" s="222"/>
      <c r="R3244" s="222"/>
      <c r="S3244" s="218"/>
      <c r="U3244" s="218"/>
      <c r="X3244" s="218"/>
      <c r="AB3244" t="e">
        <v>#N/A</v>
      </c>
    </row>
    <row r="3245">
      <c r="A3245" s="218"/>
      <c r="C3245" s="218"/>
      <c r="F3245" s="457"/>
      <c r="G3245" s="218"/>
      <c r="H3245" s="218"/>
      <c r="I3245" s="218"/>
      <c r="J3245" s="218"/>
      <c r="K3245" s="218"/>
      <c r="L3245" s="218"/>
      <c r="M3245" s="218"/>
      <c r="N3245" s="218"/>
      <c r="O3245" s="218"/>
      <c r="P3245" s="218"/>
      <c r="Q3245" s="222"/>
      <c r="R3245" s="222"/>
      <c r="S3245" s="218"/>
      <c r="U3245" s="218"/>
      <c r="X3245" s="218"/>
      <c r="AB3245" t="e">
        <v>#N/A</v>
      </c>
    </row>
    <row r="3246">
      <c r="A3246" s="218"/>
      <c r="C3246" s="218"/>
      <c r="F3246" s="457"/>
      <c r="G3246" s="218"/>
      <c r="H3246" s="218"/>
      <c r="I3246" s="218"/>
      <c r="J3246" s="218"/>
      <c r="K3246" s="218"/>
      <c r="L3246" s="218"/>
      <c r="M3246" s="218"/>
      <c r="N3246" s="218"/>
      <c r="O3246" s="218"/>
      <c r="P3246" s="218"/>
      <c r="Q3246" s="222"/>
      <c r="R3246" s="222"/>
      <c r="S3246" s="218"/>
      <c r="U3246" s="218"/>
      <c r="X3246" s="218"/>
      <c r="AB3246" t="e">
        <v>#N/A</v>
      </c>
    </row>
    <row r="3247">
      <c r="A3247" s="218"/>
      <c r="C3247" s="218"/>
      <c r="F3247" s="457"/>
      <c r="G3247" s="218"/>
      <c r="H3247" s="218"/>
      <c r="I3247" s="218"/>
      <c r="J3247" s="218"/>
      <c r="K3247" s="218"/>
      <c r="L3247" s="218"/>
      <c r="M3247" s="218"/>
      <c r="N3247" s="218"/>
      <c r="O3247" s="218"/>
      <c r="P3247" s="218"/>
      <c r="Q3247" s="222"/>
      <c r="R3247" s="222"/>
      <c r="S3247" s="218"/>
      <c r="U3247" s="218"/>
      <c r="X3247" s="218"/>
      <c r="AB3247" t="e">
        <v>#N/A</v>
      </c>
    </row>
    <row r="3248">
      <c r="A3248" s="218"/>
      <c r="C3248" s="218"/>
      <c r="F3248" s="457"/>
      <c r="G3248" s="218"/>
      <c r="H3248" s="218"/>
      <c r="I3248" s="218"/>
      <c r="J3248" s="218"/>
      <c r="K3248" s="218"/>
      <c r="L3248" s="218"/>
      <c r="M3248" s="218"/>
      <c r="N3248" s="218"/>
      <c r="O3248" s="218"/>
      <c r="P3248" s="218"/>
      <c r="Q3248" s="222"/>
      <c r="R3248" s="222"/>
      <c r="S3248" s="218"/>
      <c r="U3248" s="218"/>
      <c r="X3248" s="218"/>
      <c r="AB3248" t="e">
        <v>#N/A</v>
      </c>
    </row>
    <row r="3249">
      <c r="A3249" s="218"/>
      <c r="C3249" s="218"/>
      <c r="F3249" s="457"/>
      <c r="G3249" s="218"/>
      <c r="H3249" s="218"/>
      <c r="I3249" s="218"/>
      <c r="J3249" s="218"/>
      <c r="K3249" s="218"/>
      <c r="L3249" s="218"/>
      <c r="M3249" s="218"/>
      <c r="N3249" s="218"/>
      <c r="O3249" s="218"/>
      <c r="P3249" s="218"/>
      <c r="Q3249" s="222"/>
      <c r="R3249" s="222"/>
      <c r="S3249" s="218"/>
      <c r="U3249" s="218"/>
      <c r="X3249" s="218"/>
      <c r="AB3249" t="e">
        <v>#N/A</v>
      </c>
    </row>
    <row r="3250">
      <c r="A3250" s="218"/>
      <c r="C3250" s="218"/>
      <c r="F3250" s="457"/>
      <c r="G3250" s="218"/>
      <c r="H3250" s="218"/>
      <c r="I3250" s="218"/>
      <c r="J3250" s="218"/>
      <c r="K3250" s="218"/>
      <c r="L3250" s="218"/>
      <c r="M3250" s="218"/>
      <c r="N3250" s="218"/>
      <c r="O3250" s="218"/>
      <c r="P3250" s="218"/>
      <c r="Q3250" s="222"/>
      <c r="R3250" s="222"/>
      <c r="S3250" s="218"/>
      <c r="U3250" s="218"/>
      <c r="X3250" s="218"/>
      <c r="AB3250" t="e">
        <v>#N/A</v>
      </c>
    </row>
    <row r="3251">
      <c r="A3251" s="218"/>
      <c r="C3251" s="218"/>
      <c r="F3251" s="457"/>
      <c r="G3251" s="218"/>
      <c r="H3251" s="218"/>
      <c r="I3251" s="218"/>
      <c r="J3251" s="218"/>
      <c r="K3251" s="218"/>
      <c r="L3251" s="218"/>
      <c r="M3251" s="218"/>
      <c r="N3251" s="218"/>
      <c r="O3251" s="218"/>
      <c r="P3251" s="218"/>
      <c r="Q3251" s="222"/>
      <c r="R3251" s="222"/>
      <c r="S3251" s="218"/>
      <c r="U3251" s="218"/>
      <c r="X3251" s="218"/>
      <c r="AB3251" t="e">
        <v>#N/A</v>
      </c>
    </row>
    <row r="3252">
      <c r="A3252" s="218"/>
      <c r="C3252" s="218"/>
      <c r="F3252" s="457"/>
      <c r="G3252" s="218"/>
      <c r="H3252" s="218"/>
      <c r="I3252" s="218"/>
      <c r="J3252" s="218"/>
      <c r="K3252" s="218"/>
      <c r="L3252" s="218"/>
      <c r="M3252" s="218"/>
      <c r="N3252" s="218"/>
      <c r="O3252" s="218"/>
      <c r="P3252" s="218"/>
      <c r="Q3252" s="222"/>
      <c r="R3252" s="222"/>
      <c r="S3252" s="218"/>
      <c r="U3252" s="218"/>
      <c r="X3252" s="218"/>
      <c r="AB3252" t="e">
        <v>#N/A</v>
      </c>
    </row>
    <row r="3253">
      <c r="A3253" s="218"/>
      <c r="C3253" s="218"/>
      <c r="F3253" s="457"/>
      <c r="G3253" s="218"/>
      <c r="H3253" s="218"/>
      <c r="I3253" s="218"/>
      <c r="J3253" s="218"/>
      <c r="K3253" s="218"/>
      <c r="L3253" s="218"/>
      <c r="M3253" s="218"/>
      <c r="N3253" s="218"/>
      <c r="O3253" s="218"/>
      <c r="P3253" s="218"/>
      <c r="Q3253" s="222"/>
      <c r="R3253" s="222"/>
      <c r="S3253" s="218"/>
      <c r="U3253" s="218"/>
      <c r="X3253" s="218"/>
      <c r="AB3253" t="e">
        <v>#N/A</v>
      </c>
    </row>
    <row r="3254">
      <c r="A3254" s="218"/>
      <c r="C3254" s="218"/>
      <c r="F3254" s="457"/>
      <c r="G3254" s="218"/>
      <c r="H3254" s="218"/>
      <c r="I3254" s="218"/>
      <c r="J3254" s="218"/>
      <c r="K3254" s="218"/>
      <c r="L3254" s="218"/>
      <c r="M3254" s="218"/>
      <c r="N3254" s="218"/>
      <c r="O3254" s="218"/>
      <c r="P3254" s="218"/>
      <c r="Q3254" s="222"/>
      <c r="R3254" s="222"/>
      <c r="S3254" s="218"/>
      <c r="U3254" s="218"/>
      <c r="X3254" s="218"/>
      <c r="AB3254" t="e">
        <v>#N/A</v>
      </c>
    </row>
    <row r="3255">
      <c r="A3255" s="218"/>
      <c r="C3255" s="218"/>
      <c r="F3255" s="457"/>
      <c r="G3255" s="218"/>
      <c r="H3255" s="218"/>
      <c r="I3255" s="218"/>
      <c r="J3255" s="218"/>
      <c r="K3255" s="218"/>
      <c r="L3255" s="218"/>
      <c r="M3255" s="218"/>
      <c r="N3255" s="218"/>
      <c r="O3255" s="218"/>
      <c r="P3255" s="218"/>
      <c r="Q3255" s="222"/>
      <c r="R3255" s="222"/>
      <c r="S3255" s="218"/>
      <c r="U3255" s="218"/>
      <c r="X3255" s="218"/>
      <c r="AB3255" t="e">
        <v>#N/A</v>
      </c>
    </row>
    <row r="3256">
      <c r="A3256" s="218"/>
      <c r="C3256" s="218"/>
      <c r="F3256" s="457"/>
      <c r="G3256" s="218"/>
      <c r="H3256" s="218"/>
      <c r="I3256" s="218"/>
      <c r="J3256" s="218"/>
      <c r="K3256" s="218"/>
      <c r="L3256" s="218"/>
      <c r="M3256" s="218"/>
      <c r="N3256" s="218"/>
      <c r="O3256" s="218"/>
      <c r="P3256" s="218"/>
      <c r="Q3256" s="222"/>
      <c r="R3256" s="222"/>
      <c r="S3256" s="218"/>
      <c r="U3256" s="218"/>
      <c r="X3256" s="218"/>
      <c r="AB3256" t="e">
        <v>#N/A</v>
      </c>
    </row>
    <row r="3257">
      <c r="A3257" s="218"/>
      <c r="C3257" s="218"/>
      <c r="F3257" s="457"/>
      <c r="G3257" s="218"/>
      <c r="H3257" s="218"/>
      <c r="I3257" s="218"/>
      <c r="J3257" s="218"/>
      <c r="K3257" s="218"/>
      <c r="L3257" s="218"/>
      <c r="M3257" s="218"/>
      <c r="N3257" s="218"/>
      <c r="O3257" s="218"/>
      <c r="P3257" s="218"/>
      <c r="Q3257" s="222"/>
      <c r="R3257" s="222"/>
      <c r="S3257" s="218"/>
      <c r="U3257" s="218"/>
      <c r="X3257" s="218"/>
      <c r="AB3257" t="e">
        <v>#N/A</v>
      </c>
    </row>
    <row r="3258">
      <c r="A3258" s="218"/>
      <c r="C3258" s="218"/>
      <c r="F3258" s="457"/>
      <c r="G3258" s="218"/>
      <c r="H3258" s="218"/>
      <c r="I3258" s="218"/>
      <c r="J3258" s="218"/>
      <c r="K3258" s="218"/>
      <c r="L3258" s="218"/>
      <c r="M3258" s="218"/>
      <c r="N3258" s="218"/>
      <c r="O3258" s="218"/>
      <c r="P3258" s="218"/>
      <c r="Q3258" s="222"/>
      <c r="R3258" s="222"/>
      <c r="S3258" s="218"/>
      <c r="U3258" s="218"/>
      <c r="X3258" s="218"/>
      <c r="AB3258" t="e">
        <v>#N/A</v>
      </c>
    </row>
    <row r="3259">
      <c r="A3259" s="218"/>
      <c r="C3259" s="218"/>
      <c r="F3259" s="457"/>
      <c r="G3259" s="218"/>
      <c r="H3259" s="218"/>
      <c r="I3259" s="218"/>
      <c r="J3259" s="218"/>
      <c r="K3259" s="218"/>
      <c r="L3259" s="218"/>
      <c r="M3259" s="218"/>
      <c r="N3259" s="218"/>
      <c r="O3259" s="218"/>
      <c r="P3259" s="218"/>
      <c r="Q3259" s="222"/>
      <c r="R3259" s="222"/>
      <c r="S3259" s="218"/>
      <c r="U3259" s="218"/>
      <c r="X3259" s="218"/>
      <c r="AB3259" t="e">
        <v>#N/A</v>
      </c>
    </row>
    <row r="3260">
      <c r="A3260" s="218"/>
      <c r="C3260" s="218"/>
      <c r="F3260" s="457"/>
      <c r="G3260" s="218"/>
      <c r="H3260" s="218"/>
      <c r="I3260" s="218"/>
      <c r="J3260" s="218"/>
      <c r="K3260" s="218"/>
      <c r="L3260" s="218"/>
      <c r="M3260" s="218"/>
      <c r="N3260" s="218"/>
      <c r="O3260" s="218"/>
      <c r="P3260" s="218"/>
      <c r="Q3260" s="222"/>
      <c r="R3260" s="222"/>
      <c r="S3260" s="218"/>
      <c r="U3260" s="218"/>
      <c r="X3260" s="218"/>
      <c r="AB3260" t="e">
        <v>#N/A</v>
      </c>
    </row>
    <row r="3261">
      <c r="A3261" s="218"/>
      <c r="C3261" s="218"/>
      <c r="F3261" s="457"/>
      <c r="G3261" s="218"/>
      <c r="H3261" s="218"/>
      <c r="I3261" s="218"/>
      <c r="J3261" s="218"/>
      <c r="K3261" s="218"/>
      <c r="L3261" s="218"/>
      <c r="M3261" s="218"/>
      <c r="N3261" s="218"/>
      <c r="O3261" s="218"/>
      <c r="P3261" s="218"/>
      <c r="Q3261" s="222"/>
      <c r="R3261" s="222"/>
      <c r="S3261" s="218"/>
      <c r="U3261" s="218"/>
      <c r="X3261" s="218"/>
      <c r="AB3261" t="e">
        <v>#N/A</v>
      </c>
    </row>
    <row r="3262">
      <c r="A3262" s="218"/>
      <c r="C3262" s="218"/>
      <c r="F3262" s="457"/>
      <c r="G3262" s="218"/>
      <c r="H3262" s="218"/>
      <c r="I3262" s="218"/>
      <c r="J3262" s="218"/>
      <c r="K3262" s="218"/>
      <c r="L3262" s="218"/>
      <c r="M3262" s="218"/>
      <c r="N3262" s="218"/>
      <c r="O3262" s="218"/>
      <c r="P3262" s="218"/>
      <c r="Q3262" s="222"/>
      <c r="R3262" s="222"/>
      <c r="S3262" s="218"/>
      <c r="U3262" s="218"/>
      <c r="X3262" s="218"/>
      <c r="AB3262" t="e">
        <v>#N/A</v>
      </c>
    </row>
    <row r="3263">
      <c r="A3263" s="218"/>
      <c r="C3263" s="218"/>
      <c r="F3263" s="457"/>
      <c r="G3263" s="218"/>
      <c r="H3263" s="218"/>
      <c r="I3263" s="218"/>
      <c r="J3263" s="218"/>
      <c r="K3263" s="218"/>
      <c r="L3263" s="218"/>
      <c r="M3263" s="218"/>
      <c r="N3263" s="218"/>
      <c r="O3263" s="218"/>
      <c r="P3263" s="218"/>
      <c r="Q3263" s="222"/>
      <c r="R3263" s="222"/>
      <c r="S3263" s="218"/>
      <c r="U3263" s="218"/>
      <c r="X3263" s="218"/>
      <c r="AB3263" t="e">
        <v>#N/A</v>
      </c>
    </row>
    <row r="3264">
      <c r="A3264" s="218"/>
      <c r="C3264" s="218"/>
      <c r="F3264" s="457"/>
      <c r="G3264" s="218"/>
      <c r="H3264" s="218"/>
      <c r="I3264" s="218"/>
      <c r="J3264" s="218"/>
      <c r="K3264" s="218"/>
      <c r="L3264" s="218"/>
      <c r="M3264" s="218"/>
      <c r="N3264" s="218"/>
      <c r="O3264" s="218"/>
      <c r="P3264" s="218"/>
      <c r="Q3264" s="222"/>
      <c r="R3264" s="222"/>
      <c r="S3264" s="218"/>
      <c r="U3264" s="218"/>
      <c r="X3264" s="218"/>
      <c r="AB3264" t="e">
        <v>#N/A</v>
      </c>
    </row>
    <row r="3265">
      <c r="A3265" s="218"/>
      <c r="C3265" s="218"/>
      <c r="F3265" s="457"/>
      <c r="G3265" s="218"/>
      <c r="H3265" s="218"/>
      <c r="I3265" s="218"/>
      <c r="J3265" s="218"/>
      <c r="K3265" s="218"/>
      <c r="L3265" s="218"/>
      <c r="M3265" s="218"/>
      <c r="N3265" s="218"/>
      <c r="O3265" s="218"/>
      <c r="P3265" s="218"/>
      <c r="Q3265" s="222"/>
      <c r="R3265" s="222"/>
      <c r="S3265" s="218"/>
      <c r="U3265" s="218"/>
      <c r="X3265" s="218"/>
      <c r="AB3265" t="e">
        <v>#N/A</v>
      </c>
    </row>
    <row r="3266">
      <c r="A3266" s="218"/>
      <c r="C3266" s="218"/>
      <c r="F3266" s="457"/>
      <c r="G3266" s="218"/>
      <c r="H3266" s="218"/>
      <c r="I3266" s="218"/>
      <c r="J3266" s="218"/>
      <c r="K3266" s="218"/>
      <c r="L3266" s="218"/>
      <c r="M3266" s="218"/>
      <c r="N3266" s="218"/>
      <c r="O3266" s="218"/>
      <c r="P3266" s="218"/>
      <c r="Q3266" s="222"/>
      <c r="R3266" s="222"/>
      <c r="S3266" s="218"/>
      <c r="U3266" s="218"/>
      <c r="X3266" s="218"/>
      <c r="AB3266" t="e">
        <v>#N/A</v>
      </c>
    </row>
    <row r="3267">
      <c r="A3267" s="218"/>
      <c r="C3267" s="218"/>
      <c r="F3267" s="457"/>
      <c r="G3267" s="218"/>
      <c r="H3267" s="218"/>
      <c r="I3267" s="218"/>
      <c r="J3267" s="218"/>
      <c r="K3267" s="218"/>
      <c r="L3267" s="218"/>
      <c r="M3267" s="218"/>
      <c r="N3267" s="218"/>
      <c r="O3267" s="218"/>
      <c r="P3267" s="218"/>
      <c r="Q3267" s="222"/>
      <c r="R3267" s="222"/>
      <c r="S3267" s="218"/>
      <c r="U3267" s="218"/>
      <c r="X3267" s="218"/>
      <c r="AB3267" t="e">
        <v>#N/A</v>
      </c>
    </row>
    <row r="3268">
      <c r="A3268" s="218"/>
      <c r="C3268" s="218"/>
      <c r="F3268" s="457"/>
      <c r="G3268" s="218"/>
      <c r="H3268" s="218"/>
      <c r="I3268" s="218"/>
      <c r="J3268" s="218"/>
      <c r="K3268" s="218"/>
      <c r="L3268" s="218"/>
      <c r="M3268" s="218"/>
      <c r="N3268" s="218"/>
      <c r="O3268" s="218"/>
      <c r="P3268" s="218"/>
      <c r="Q3268" s="222"/>
      <c r="R3268" s="222"/>
      <c r="S3268" s="218"/>
      <c r="U3268" s="218"/>
      <c r="X3268" s="218"/>
      <c r="AB3268" t="e">
        <v>#N/A</v>
      </c>
    </row>
    <row r="3269">
      <c r="A3269" s="218"/>
      <c r="C3269" s="218"/>
      <c r="F3269" s="457"/>
      <c r="G3269" s="218"/>
      <c r="H3269" s="218"/>
      <c r="I3269" s="218"/>
      <c r="J3269" s="218"/>
      <c r="K3269" s="218"/>
      <c r="L3269" s="218"/>
      <c r="M3269" s="218"/>
      <c r="N3269" s="218"/>
      <c r="O3269" s="218"/>
      <c r="P3269" s="218"/>
      <c r="Q3269" s="222"/>
      <c r="R3269" s="222"/>
      <c r="S3269" s="218"/>
      <c r="U3269" s="218"/>
      <c r="X3269" s="218"/>
      <c r="AB3269" t="e">
        <v>#N/A</v>
      </c>
    </row>
    <row r="3270">
      <c r="A3270" s="218"/>
      <c r="C3270" s="218"/>
      <c r="F3270" s="457"/>
      <c r="G3270" s="218"/>
      <c r="H3270" s="218"/>
      <c r="I3270" s="218"/>
      <c r="J3270" s="218"/>
      <c r="K3270" s="218"/>
      <c r="L3270" s="218"/>
      <c r="M3270" s="218"/>
      <c r="N3270" s="218"/>
      <c r="O3270" s="218"/>
      <c r="P3270" s="218"/>
      <c r="Q3270" s="222"/>
      <c r="R3270" s="222"/>
      <c r="S3270" s="218"/>
      <c r="U3270" s="218"/>
      <c r="X3270" s="218"/>
      <c r="AB3270" t="e">
        <v>#N/A</v>
      </c>
    </row>
    <row r="3271">
      <c r="A3271" s="218"/>
      <c r="C3271" s="218"/>
      <c r="F3271" s="457"/>
      <c r="G3271" s="218"/>
      <c r="H3271" s="218"/>
      <c r="I3271" s="218"/>
      <c r="J3271" s="218"/>
      <c r="K3271" s="218"/>
      <c r="L3271" s="218"/>
      <c r="M3271" s="218"/>
      <c r="N3271" s="218"/>
      <c r="O3271" s="218"/>
      <c r="P3271" s="218"/>
      <c r="Q3271" s="222"/>
      <c r="R3271" s="222"/>
      <c r="S3271" s="218"/>
      <c r="U3271" s="218"/>
      <c r="X3271" s="218"/>
      <c r="AB3271" t="e">
        <v>#N/A</v>
      </c>
    </row>
    <row r="3272">
      <c r="A3272" s="218"/>
      <c r="C3272" s="218"/>
      <c r="F3272" s="457"/>
      <c r="G3272" s="218"/>
      <c r="H3272" s="218"/>
      <c r="I3272" s="218"/>
      <c r="J3272" s="218"/>
      <c r="K3272" s="218"/>
      <c r="L3272" s="218"/>
      <c r="M3272" s="218"/>
      <c r="N3272" s="218"/>
      <c r="O3272" s="218"/>
      <c r="P3272" s="218"/>
      <c r="Q3272" s="222"/>
      <c r="R3272" s="222"/>
      <c r="S3272" s="218"/>
      <c r="U3272" s="218"/>
      <c r="X3272" s="218"/>
      <c r="AB3272" t="e">
        <v>#N/A</v>
      </c>
    </row>
    <row r="3273">
      <c r="A3273" s="218"/>
      <c r="C3273" s="218"/>
      <c r="F3273" s="457"/>
      <c r="G3273" s="218"/>
      <c r="H3273" s="218"/>
      <c r="I3273" s="218"/>
      <c r="J3273" s="218"/>
      <c r="K3273" s="218"/>
      <c r="L3273" s="218"/>
      <c r="M3273" s="218"/>
      <c r="N3273" s="218"/>
      <c r="O3273" s="218"/>
      <c r="P3273" s="218"/>
      <c r="Q3273" s="222"/>
      <c r="R3273" s="222"/>
      <c r="S3273" s="218"/>
      <c r="U3273" s="218"/>
      <c r="X3273" s="218"/>
      <c r="AB3273" t="e">
        <v>#N/A</v>
      </c>
    </row>
    <row r="3274">
      <c r="A3274" s="218"/>
      <c r="C3274" s="218"/>
      <c r="F3274" s="457"/>
      <c r="G3274" s="218"/>
      <c r="H3274" s="218"/>
      <c r="I3274" s="218"/>
      <c r="J3274" s="218"/>
      <c r="K3274" s="218"/>
      <c r="L3274" s="218"/>
      <c r="M3274" s="218"/>
      <c r="N3274" s="218"/>
      <c r="O3274" s="218"/>
      <c r="P3274" s="218"/>
      <c r="Q3274" s="222"/>
      <c r="R3274" s="222"/>
      <c r="S3274" s="218"/>
      <c r="U3274" s="218"/>
      <c r="X3274" s="218"/>
      <c r="AB3274" t="e">
        <v>#N/A</v>
      </c>
    </row>
    <row r="3275">
      <c r="A3275" s="218"/>
      <c r="C3275" s="218"/>
      <c r="F3275" s="457"/>
      <c r="G3275" s="218"/>
      <c r="H3275" s="218"/>
      <c r="I3275" s="218"/>
      <c r="J3275" s="218"/>
      <c r="K3275" s="218"/>
      <c r="L3275" s="218"/>
      <c r="M3275" s="218"/>
      <c r="N3275" s="218"/>
      <c r="O3275" s="218"/>
      <c r="P3275" s="218"/>
      <c r="Q3275" s="222"/>
      <c r="R3275" s="222"/>
      <c r="S3275" s="218"/>
      <c r="U3275" s="218"/>
      <c r="X3275" s="218"/>
      <c r="AB3275" t="e">
        <v>#N/A</v>
      </c>
    </row>
    <row r="3276">
      <c r="A3276" s="218"/>
      <c r="C3276" s="218"/>
      <c r="F3276" s="457"/>
      <c r="G3276" s="218"/>
      <c r="H3276" s="218"/>
      <c r="I3276" s="218"/>
      <c r="J3276" s="218"/>
      <c r="K3276" s="218"/>
      <c r="L3276" s="218"/>
      <c r="M3276" s="218"/>
      <c r="N3276" s="218"/>
      <c r="O3276" s="218"/>
      <c r="P3276" s="218"/>
      <c r="Q3276" s="222"/>
      <c r="R3276" s="222"/>
      <c r="S3276" s="218"/>
      <c r="U3276" s="218"/>
      <c r="X3276" s="218"/>
      <c r="AB3276" t="e">
        <v>#N/A</v>
      </c>
    </row>
    <row r="3277">
      <c r="A3277" s="218"/>
      <c r="C3277" s="218"/>
      <c r="F3277" s="457"/>
      <c r="G3277" s="218"/>
      <c r="H3277" s="218"/>
      <c r="I3277" s="218"/>
      <c r="J3277" s="218"/>
      <c r="K3277" s="218"/>
      <c r="L3277" s="218"/>
      <c r="M3277" s="218"/>
      <c r="N3277" s="218"/>
      <c r="O3277" s="218"/>
      <c r="P3277" s="218"/>
      <c r="Q3277" s="222"/>
      <c r="R3277" s="222"/>
      <c r="S3277" s="218"/>
      <c r="U3277" s="218"/>
      <c r="X3277" s="218"/>
      <c r="AB3277" t="e">
        <v>#N/A</v>
      </c>
    </row>
    <row r="3278">
      <c r="A3278" s="218"/>
      <c r="C3278" s="218"/>
      <c r="F3278" s="457"/>
      <c r="G3278" s="218"/>
      <c r="H3278" s="218"/>
      <c r="I3278" s="218"/>
      <c r="J3278" s="218"/>
      <c r="K3278" s="218"/>
      <c r="L3278" s="218"/>
      <c r="M3278" s="218"/>
      <c r="N3278" s="218"/>
      <c r="O3278" s="218"/>
      <c r="P3278" s="218"/>
      <c r="Q3278" s="222"/>
      <c r="R3278" s="222"/>
      <c r="S3278" s="218"/>
      <c r="U3278" s="218"/>
      <c r="X3278" s="218"/>
      <c r="AB3278" t="e">
        <v>#N/A</v>
      </c>
    </row>
    <row r="3279">
      <c r="A3279" s="218"/>
      <c r="C3279" s="218"/>
      <c r="F3279" s="457"/>
      <c r="G3279" s="218"/>
      <c r="H3279" s="218"/>
      <c r="I3279" s="218"/>
      <c r="J3279" s="218"/>
      <c r="K3279" s="218"/>
      <c r="L3279" s="218"/>
      <c r="M3279" s="218"/>
      <c r="N3279" s="218"/>
      <c r="O3279" s="218"/>
      <c r="P3279" s="218"/>
      <c r="Q3279" s="222"/>
      <c r="R3279" s="222"/>
      <c r="S3279" s="218"/>
      <c r="U3279" s="218"/>
      <c r="X3279" s="218"/>
      <c r="AB3279" t="e">
        <v>#N/A</v>
      </c>
    </row>
    <row r="3280">
      <c r="A3280" s="218"/>
      <c r="C3280" s="218"/>
      <c r="F3280" s="457"/>
      <c r="G3280" s="218"/>
      <c r="H3280" s="218"/>
      <c r="I3280" s="218"/>
      <c r="J3280" s="218"/>
      <c r="K3280" s="218"/>
      <c r="L3280" s="218"/>
      <c r="M3280" s="218"/>
      <c r="N3280" s="218"/>
      <c r="O3280" s="218"/>
      <c r="P3280" s="218"/>
      <c r="Q3280" s="222"/>
      <c r="R3280" s="222"/>
      <c r="S3280" s="218"/>
      <c r="U3280" s="218"/>
      <c r="X3280" s="218"/>
      <c r="AB3280" t="e">
        <v>#N/A</v>
      </c>
    </row>
    <row r="3281">
      <c r="A3281" s="218"/>
      <c r="C3281" s="218"/>
      <c r="F3281" s="457"/>
      <c r="G3281" s="218"/>
      <c r="H3281" s="218"/>
      <c r="I3281" s="218"/>
      <c r="J3281" s="218"/>
      <c r="K3281" s="218"/>
      <c r="L3281" s="218"/>
      <c r="M3281" s="218"/>
      <c r="N3281" s="218"/>
      <c r="O3281" s="218"/>
      <c r="P3281" s="218"/>
      <c r="Q3281" s="222"/>
      <c r="R3281" s="222"/>
      <c r="S3281" s="218"/>
      <c r="U3281" s="218"/>
      <c r="X3281" s="218"/>
      <c r="AB3281" t="e">
        <v>#N/A</v>
      </c>
    </row>
    <row r="3282">
      <c r="A3282" s="218"/>
      <c r="C3282" s="218"/>
      <c r="F3282" s="457"/>
      <c r="G3282" s="218"/>
      <c r="H3282" s="218"/>
      <c r="I3282" s="218"/>
      <c r="J3282" s="218"/>
      <c r="K3282" s="218"/>
      <c r="L3282" s="218"/>
      <c r="M3282" s="218"/>
      <c r="N3282" s="218"/>
      <c r="O3282" s="218"/>
      <c r="P3282" s="218"/>
      <c r="Q3282" s="222"/>
      <c r="R3282" s="222"/>
      <c r="S3282" s="218"/>
      <c r="U3282" s="218"/>
      <c r="X3282" s="218"/>
      <c r="AB3282" t="e">
        <v>#N/A</v>
      </c>
    </row>
    <row r="3283">
      <c r="A3283" s="218"/>
      <c r="C3283" s="218"/>
      <c r="F3283" s="457"/>
      <c r="G3283" s="218"/>
      <c r="H3283" s="218"/>
      <c r="I3283" s="218"/>
      <c r="J3283" s="218"/>
      <c r="K3283" s="218"/>
      <c r="L3283" s="218"/>
      <c r="M3283" s="218"/>
      <c r="N3283" s="218"/>
      <c r="O3283" s="218"/>
      <c r="P3283" s="218"/>
      <c r="Q3283" s="222"/>
      <c r="R3283" s="222"/>
      <c r="S3283" s="218"/>
      <c r="U3283" s="218"/>
      <c r="X3283" s="218"/>
      <c r="AB3283" t="e">
        <v>#N/A</v>
      </c>
    </row>
    <row r="3284">
      <c r="A3284" s="218"/>
      <c r="C3284" s="218"/>
      <c r="F3284" s="457"/>
      <c r="G3284" s="218"/>
      <c r="H3284" s="218"/>
      <c r="I3284" s="218"/>
      <c r="J3284" s="218"/>
      <c r="K3284" s="218"/>
      <c r="L3284" s="218"/>
      <c r="M3284" s="218"/>
      <c r="N3284" s="218"/>
      <c r="O3284" s="218"/>
      <c r="P3284" s="218"/>
      <c r="Q3284" s="222"/>
      <c r="R3284" s="222"/>
      <c r="S3284" s="218"/>
      <c r="U3284" s="218"/>
      <c r="X3284" s="218"/>
      <c r="AB3284" t="e">
        <v>#N/A</v>
      </c>
    </row>
    <row r="3285">
      <c r="A3285" s="218"/>
      <c r="C3285" s="218"/>
      <c r="F3285" s="457"/>
      <c r="G3285" s="218"/>
      <c r="H3285" s="218"/>
      <c r="I3285" s="218"/>
      <c r="J3285" s="218"/>
      <c r="K3285" s="218"/>
      <c r="L3285" s="218"/>
      <c r="M3285" s="218"/>
      <c r="N3285" s="218"/>
      <c r="O3285" s="218"/>
      <c r="P3285" s="218"/>
      <c r="Q3285" s="222"/>
      <c r="R3285" s="222"/>
      <c r="S3285" s="218"/>
      <c r="U3285" s="218"/>
      <c r="X3285" s="218"/>
      <c r="AB3285" t="e">
        <v>#N/A</v>
      </c>
    </row>
    <row r="3286">
      <c r="A3286" s="218"/>
      <c r="C3286" s="218"/>
      <c r="F3286" s="457"/>
      <c r="G3286" s="218"/>
      <c r="H3286" s="218"/>
      <c r="I3286" s="218"/>
      <c r="J3286" s="218"/>
      <c r="K3286" s="218"/>
      <c r="L3286" s="218"/>
      <c r="M3286" s="218"/>
      <c r="N3286" s="218"/>
      <c r="O3286" s="218"/>
      <c r="P3286" s="218"/>
      <c r="Q3286" s="222"/>
      <c r="R3286" s="222"/>
      <c r="S3286" s="218"/>
      <c r="U3286" s="218"/>
      <c r="X3286" s="218"/>
      <c r="AB3286" t="e">
        <v>#N/A</v>
      </c>
    </row>
    <row r="3287">
      <c r="A3287" s="218"/>
      <c r="C3287" s="218"/>
      <c r="F3287" s="457"/>
      <c r="G3287" s="218"/>
      <c r="H3287" s="218"/>
      <c r="I3287" s="218"/>
      <c r="J3287" s="218"/>
      <c r="K3287" s="218"/>
      <c r="L3287" s="218"/>
      <c r="M3287" s="218"/>
      <c r="N3287" s="218"/>
      <c r="O3287" s="218"/>
      <c r="P3287" s="218"/>
      <c r="Q3287" s="222"/>
      <c r="R3287" s="222"/>
      <c r="S3287" s="218"/>
      <c r="U3287" s="218"/>
      <c r="X3287" s="218"/>
      <c r="AB3287" t="e">
        <v>#N/A</v>
      </c>
    </row>
    <row r="3288">
      <c r="A3288" s="218"/>
      <c r="C3288" s="218"/>
      <c r="F3288" s="457"/>
      <c r="G3288" s="218"/>
      <c r="H3288" s="218"/>
      <c r="I3288" s="218"/>
      <c r="J3288" s="218"/>
      <c r="K3288" s="218"/>
      <c r="L3288" s="218"/>
      <c r="M3288" s="218"/>
      <c r="N3288" s="218"/>
      <c r="O3288" s="218"/>
      <c r="P3288" s="218"/>
      <c r="Q3288" s="222"/>
      <c r="R3288" s="222"/>
      <c r="S3288" s="218"/>
      <c r="U3288" s="218"/>
      <c r="X3288" s="218"/>
      <c r="AB3288" t="e">
        <v>#N/A</v>
      </c>
    </row>
    <row r="3289">
      <c r="A3289" s="218"/>
      <c r="C3289" s="218"/>
      <c r="F3289" s="457"/>
      <c r="G3289" s="218"/>
      <c r="H3289" s="218"/>
      <c r="I3289" s="218"/>
      <c r="J3289" s="218"/>
      <c r="K3289" s="218"/>
      <c r="L3289" s="218"/>
      <c r="M3289" s="218"/>
      <c r="N3289" s="218"/>
      <c r="O3289" s="218"/>
      <c r="P3289" s="218"/>
      <c r="Q3289" s="222"/>
      <c r="R3289" s="222"/>
      <c r="S3289" s="218"/>
      <c r="U3289" s="218"/>
      <c r="X3289" s="218"/>
      <c r="AB3289" t="e">
        <v>#N/A</v>
      </c>
    </row>
    <row r="3290">
      <c r="A3290" s="218"/>
      <c r="C3290" s="218"/>
      <c r="F3290" s="457"/>
      <c r="G3290" s="218"/>
      <c r="H3290" s="218"/>
      <c r="I3290" s="218"/>
      <c r="J3290" s="218"/>
      <c r="K3290" s="218"/>
      <c r="L3290" s="218"/>
      <c r="M3290" s="218"/>
      <c r="N3290" s="218"/>
      <c r="O3290" s="218"/>
      <c r="P3290" s="218"/>
      <c r="Q3290" s="222"/>
      <c r="R3290" s="222"/>
      <c r="S3290" s="218"/>
      <c r="U3290" s="218"/>
      <c r="X3290" s="218"/>
      <c r="AB3290" t="e">
        <v>#N/A</v>
      </c>
    </row>
    <row r="3291">
      <c r="A3291" s="218"/>
      <c r="C3291" s="218"/>
      <c r="F3291" s="457"/>
      <c r="G3291" s="218"/>
      <c r="H3291" s="218"/>
      <c r="I3291" s="218"/>
      <c r="J3291" s="218"/>
      <c r="K3291" s="218"/>
      <c r="L3291" s="218"/>
      <c r="M3291" s="218"/>
      <c r="N3291" s="218"/>
      <c r="O3291" s="218"/>
      <c r="P3291" s="218"/>
      <c r="Q3291" s="222"/>
      <c r="R3291" s="222"/>
      <c r="S3291" s="218"/>
      <c r="U3291" s="218"/>
      <c r="X3291" s="218"/>
      <c r="AB3291" t="e">
        <v>#N/A</v>
      </c>
    </row>
    <row r="3292">
      <c r="A3292" s="218"/>
      <c r="C3292" s="218"/>
      <c r="F3292" s="457"/>
      <c r="G3292" s="218"/>
      <c r="H3292" s="218"/>
      <c r="I3292" s="218"/>
      <c r="J3292" s="218"/>
      <c r="K3292" s="218"/>
      <c r="L3292" s="218"/>
      <c r="M3292" s="218"/>
      <c r="N3292" s="218"/>
      <c r="O3292" s="218"/>
      <c r="P3292" s="218"/>
      <c r="Q3292" s="222"/>
      <c r="R3292" s="222"/>
      <c r="S3292" s="218"/>
      <c r="U3292" s="218"/>
      <c r="X3292" s="218"/>
      <c r="AB3292" t="e">
        <v>#N/A</v>
      </c>
    </row>
    <row r="3293">
      <c r="A3293" s="218"/>
      <c r="C3293" s="218"/>
      <c r="F3293" s="457"/>
      <c r="G3293" s="218"/>
      <c r="H3293" s="218"/>
      <c r="I3293" s="218"/>
      <c r="J3293" s="218"/>
      <c r="K3293" s="218"/>
      <c r="L3293" s="218"/>
      <c r="M3293" s="218"/>
      <c r="N3293" s="218"/>
      <c r="O3293" s="218"/>
      <c r="P3293" s="218"/>
      <c r="Q3293" s="222"/>
      <c r="R3293" s="222"/>
      <c r="S3293" s="218"/>
      <c r="U3293" s="218"/>
      <c r="X3293" s="218"/>
      <c r="AB3293" t="e">
        <v>#N/A</v>
      </c>
    </row>
    <row r="3294">
      <c r="A3294" s="218"/>
      <c r="C3294" s="218"/>
      <c r="F3294" s="457"/>
      <c r="G3294" s="218"/>
      <c r="H3294" s="218"/>
      <c r="I3294" s="218"/>
      <c r="J3294" s="218"/>
      <c r="K3294" s="218"/>
      <c r="L3294" s="218"/>
      <c r="M3294" s="218"/>
      <c r="N3294" s="218"/>
      <c r="O3294" s="218"/>
      <c r="P3294" s="218"/>
      <c r="Q3294" s="222"/>
      <c r="R3294" s="222"/>
      <c r="S3294" s="218"/>
      <c r="U3294" s="218"/>
      <c r="X3294" s="218"/>
      <c r="AB3294" t="e">
        <v>#N/A</v>
      </c>
    </row>
    <row r="3295">
      <c r="A3295" s="218"/>
      <c r="C3295" s="218"/>
      <c r="F3295" s="457"/>
      <c r="G3295" s="218"/>
      <c r="H3295" s="218"/>
      <c r="I3295" s="218"/>
      <c r="J3295" s="218"/>
      <c r="K3295" s="218"/>
      <c r="L3295" s="218"/>
      <c r="M3295" s="218"/>
      <c r="N3295" s="218"/>
      <c r="O3295" s="218"/>
      <c r="P3295" s="218"/>
      <c r="Q3295" s="222"/>
      <c r="R3295" s="222"/>
      <c r="S3295" s="218"/>
      <c r="U3295" s="218"/>
      <c r="X3295" s="218"/>
      <c r="AB3295" t="e">
        <v>#N/A</v>
      </c>
    </row>
    <row r="3296">
      <c r="A3296" s="218"/>
      <c r="C3296" s="218"/>
      <c r="F3296" s="457"/>
      <c r="G3296" s="218"/>
      <c r="H3296" s="218"/>
      <c r="I3296" s="218"/>
      <c r="J3296" s="218"/>
      <c r="K3296" s="218"/>
      <c r="L3296" s="218"/>
      <c r="M3296" s="218"/>
      <c r="N3296" s="218"/>
      <c r="O3296" s="218"/>
      <c r="P3296" s="218"/>
      <c r="Q3296" s="222"/>
      <c r="R3296" s="222"/>
      <c r="S3296" s="218"/>
      <c r="U3296" s="218"/>
      <c r="X3296" s="218"/>
      <c r="AB3296" t="e">
        <v>#N/A</v>
      </c>
    </row>
    <row r="3297">
      <c r="A3297" s="218"/>
      <c r="C3297" s="218"/>
      <c r="F3297" s="457"/>
      <c r="G3297" s="218"/>
      <c r="H3297" s="218"/>
      <c r="I3297" s="218"/>
      <c r="J3297" s="218"/>
      <c r="K3297" s="218"/>
      <c r="L3297" s="218"/>
      <c r="M3297" s="218"/>
      <c r="N3297" s="218"/>
      <c r="O3297" s="218"/>
      <c r="P3297" s="218"/>
      <c r="Q3297" s="222"/>
      <c r="R3297" s="222"/>
      <c r="S3297" s="218"/>
      <c r="U3297" s="218"/>
      <c r="X3297" s="218"/>
      <c r="AB3297" t="e">
        <v>#N/A</v>
      </c>
    </row>
    <row r="3298">
      <c r="A3298" s="218"/>
      <c r="C3298" s="218"/>
      <c r="F3298" s="457"/>
      <c r="G3298" s="218"/>
      <c r="H3298" s="218"/>
      <c r="I3298" s="218"/>
      <c r="J3298" s="218"/>
      <c r="K3298" s="218"/>
      <c r="L3298" s="218"/>
      <c r="M3298" s="218"/>
      <c r="N3298" s="218"/>
      <c r="O3298" s="218"/>
      <c r="P3298" s="218"/>
      <c r="Q3298" s="222"/>
      <c r="R3298" s="222"/>
      <c r="S3298" s="218"/>
      <c r="U3298" s="218"/>
      <c r="X3298" s="218"/>
      <c r="AB3298" t="e">
        <v>#N/A</v>
      </c>
    </row>
    <row r="3299">
      <c r="A3299" s="218"/>
      <c r="C3299" s="218"/>
      <c r="F3299" s="457"/>
      <c r="G3299" s="218"/>
      <c r="H3299" s="218"/>
      <c r="I3299" s="218"/>
      <c r="J3299" s="218"/>
      <c r="K3299" s="218"/>
      <c r="L3299" s="218"/>
      <c r="M3299" s="218"/>
      <c r="N3299" s="218"/>
      <c r="O3299" s="218"/>
      <c r="P3299" s="218"/>
      <c r="Q3299" s="222"/>
      <c r="R3299" s="222"/>
      <c r="S3299" s="218"/>
      <c r="U3299" s="218"/>
      <c r="X3299" s="218"/>
      <c r="AB3299" t="e">
        <v>#N/A</v>
      </c>
    </row>
    <row r="3300">
      <c r="A3300" s="218"/>
      <c r="C3300" s="218"/>
      <c r="F3300" s="457"/>
      <c r="G3300" s="218"/>
      <c r="H3300" s="218"/>
      <c r="I3300" s="218"/>
      <c r="J3300" s="218"/>
      <c r="K3300" s="218"/>
      <c r="L3300" s="218"/>
      <c r="M3300" s="218"/>
      <c r="N3300" s="218"/>
      <c r="O3300" s="218"/>
      <c r="P3300" s="218"/>
      <c r="Q3300" s="222"/>
      <c r="R3300" s="222"/>
      <c r="S3300" s="218"/>
      <c r="U3300" s="218"/>
      <c r="X3300" s="218"/>
      <c r="AB3300" t="e">
        <v>#N/A</v>
      </c>
    </row>
    <row r="3301">
      <c r="A3301" s="218"/>
      <c r="C3301" s="218"/>
      <c r="F3301" s="457"/>
      <c r="G3301" s="218"/>
      <c r="H3301" s="218"/>
      <c r="I3301" s="218"/>
      <c r="J3301" s="218"/>
      <c r="K3301" s="218"/>
      <c r="L3301" s="218"/>
      <c r="M3301" s="218"/>
      <c r="N3301" s="218"/>
      <c r="O3301" s="218"/>
      <c r="P3301" s="218"/>
      <c r="Q3301" s="222"/>
      <c r="R3301" s="222"/>
      <c r="S3301" s="218"/>
      <c r="U3301" s="218"/>
      <c r="X3301" s="218"/>
      <c r="AB3301" t="e">
        <v>#N/A</v>
      </c>
    </row>
    <row r="3302">
      <c r="A3302" s="218"/>
      <c r="C3302" s="218"/>
      <c r="F3302" s="457"/>
      <c r="G3302" s="218"/>
      <c r="H3302" s="218"/>
      <c r="I3302" s="218"/>
      <c r="J3302" s="218"/>
      <c r="K3302" s="218"/>
      <c r="L3302" s="218"/>
      <c r="M3302" s="218"/>
      <c r="N3302" s="218"/>
      <c r="O3302" s="218"/>
      <c r="P3302" s="218"/>
      <c r="Q3302" s="222"/>
      <c r="R3302" s="222"/>
      <c r="S3302" s="218"/>
      <c r="U3302" s="218"/>
      <c r="X3302" s="218"/>
      <c r="AB3302" t="e">
        <v>#N/A</v>
      </c>
    </row>
    <row r="3303">
      <c r="A3303" s="218"/>
      <c r="C3303" s="218"/>
      <c r="F3303" s="457"/>
      <c r="G3303" s="218"/>
      <c r="H3303" s="218"/>
      <c r="I3303" s="218"/>
      <c r="J3303" s="218"/>
      <c r="K3303" s="218"/>
      <c r="L3303" s="218"/>
      <c r="M3303" s="218"/>
      <c r="N3303" s="218"/>
      <c r="O3303" s="218"/>
      <c r="P3303" s="218"/>
      <c r="Q3303" s="222"/>
      <c r="R3303" s="222"/>
      <c r="S3303" s="218"/>
      <c r="U3303" s="218"/>
      <c r="X3303" s="218"/>
      <c r="AB3303" t="e">
        <v>#N/A</v>
      </c>
    </row>
    <row r="3304">
      <c r="A3304" s="218"/>
      <c r="C3304" s="218"/>
      <c r="F3304" s="457"/>
      <c r="G3304" s="218"/>
      <c r="H3304" s="218"/>
      <c r="I3304" s="218"/>
      <c r="J3304" s="218"/>
      <c r="K3304" s="218"/>
      <c r="L3304" s="218"/>
      <c r="M3304" s="218"/>
      <c r="N3304" s="218"/>
      <c r="O3304" s="218"/>
      <c r="P3304" s="218"/>
      <c r="Q3304" s="222"/>
      <c r="R3304" s="222"/>
      <c r="S3304" s="218"/>
      <c r="U3304" s="218"/>
      <c r="X3304" s="218"/>
      <c r="AB3304" t="e">
        <v>#N/A</v>
      </c>
    </row>
    <row r="3305">
      <c r="A3305" s="218"/>
      <c r="C3305" s="218"/>
      <c r="F3305" s="457"/>
      <c r="G3305" s="218"/>
      <c r="H3305" s="218"/>
      <c r="I3305" s="218"/>
      <c r="J3305" s="218"/>
      <c r="K3305" s="218"/>
      <c r="L3305" s="218"/>
      <c r="M3305" s="218"/>
      <c r="N3305" s="218"/>
      <c r="O3305" s="218"/>
      <c r="P3305" s="218"/>
      <c r="Q3305" s="222"/>
      <c r="R3305" s="222"/>
      <c r="S3305" s="218"/>
      <c r="U3305" s="218"/>
      <c r="X3305" s="218"/>
      <c r="AB3305" t="e">
        <v>#N/A</v>
      </c>
    </row>
    <row r="3306">
      <c r="A3306" s="218"/>
      <c r="C3306" s="218"/>
      <c r="F3306" s="457"/>
      <c r="G3306" s="218"/>
      <c r="H3306" s="218"/>
      <c r="I3306" s="218"/>
      <c r="J3306" s="218"/>
      <c r="K3306" s="218"/>
      <c r="L3306" s="218"/>
      <c r="M3306" s="218"/>
      <c r="N3306" s="218"/>
      <c r="O3306" s="218"/>
      <c r="P3306" s="218"/>
      <c r="Q3306" s="222"/>
      <c r="R3306" s="222"/>
      <c r="S3306" s="218"/>
      <c r="U3306" s="218"/>
      <c r="X3306" s="218"/>
      <c r="AB3306" t="e">
        <v>#N/A</v>
      </c>
    </row>
    <row r="3307">
      <c r="A3307" s="218"/>
      <c r="C3307" s="218"/>
      <c r="F3307" s="457"/>
      <c r="G3307" s="218"/>
      <c r="H3307" s="218"/>
      <c r="I3307" s="218"/>
      <c r="J3307" s="218"/>
      <c r="K3307" s="218"/>
      <c r="L3307" s="218"/>
      <c r="M3307" s="218"/>
      <c r="N3307" s="218"/>
      <c r="O3307" s="218"/>
      <c r="P3307" s="218"/>
      <c r="Q3307" s="222"/>
      <c r="R3307" s="222"/>
      <c r="S3307" s="218"/>
      <c r="U3307" s="218"/>
      <c r="X3307" s="218"/>
      <c r="AB3307" t="e">
        <v>#N/A</v>
      </c>
    </row>
    <row r="3308">
      <c r="A3308" s="218"/>
      <c r="C3308" s="218"/>
      <c r="F3308" s="457"/>
      <c r="G3308" s="218"/>
      <c r="H3308" s="218"/>
      <c r="I3308" s="218"/>
      <c r="J3308" s="218"/>
      <c r="K3308" s="218"/>
      <c r="L3308" s="218"/>
      <c r="M3308" s="218"/>
      <c r="N3308" s="218"/>
      <c r="O3308" s="218"/>
      <c r="P3308" s="218"/>
      <c r="Q3308" s="222"/>
      <c r="R3308" s="222"/>
      <c r="S3308" s="218"/>
      <c r="U3308" s="218"/>
      <c r="X3308" s="218"/>
      <c r="AB3308" t="e">
        <v>#N/A</v>
      </c>
    </row>
    <row r="3309">
      <c r="A3309" s="218"/>
      <c r="C3309" s="218"/>
      <c r="F3309" s="457"/>
      <c r="G3309" s="218"/>
      <c r="H3309" s="218"/>
      <c r="I3309" s="218"/>
      <c r="J3309" s="218"/>
      <c r="K3309" s="218"/>
      <c r="L3309" s="218"/>
      <c r="M3309" s="218"/>
      <c r="N3309" s="218"/>
      <c r="O3309" s="218"/>
      <c r="P3309" s="218"/>
      <c r="Q3309" s="222"/>
      <c r="R3309" s="222"/>
      <c r="S3309" s="218"/>
      <c r="U3309" s="218"/>
      <c r="X3309" s="218"/>
      <c r="AB3309" t="e">
        <v>#N/A</v>
      </c>
    </row>
    <row r="3310">
      <c r="A3310" s="218"/>
      <c r="C3310" s="218"/>
      <c r="F3310" s="457"/>
      <c r="G3310" s="218"/>
      <c r="H3310" s="218"/>
      <c r="I3310" s="218"/>
      <c r="J3310" s="218"/>
      <c r="K3310" s="218"/>
      <c r="L3310" s="218"/>
      <c r="M3310" s="218"/>
      <c r="N3310" s="218"/>
      <c r="O3310" s="218"/>
      <c r="P3310" s="218"/>
      <c r="Q3310" s="222"/>
      <c r="R3310" s="222"/>
      <c r="S3310" s="218"/>
      <c r="U3310" s="218"/>
      <c r="X3310" s="218"/>
      <c r="AB3310" t="e">
        <v>#N/A</v>
      </c>
    </row>
    <row r="3311">
      <c r="A3311" s="218"/>
      <c r="C3311" s="218"/>
      <c r="F3311" s="457"/>
      <c r="G3311" s="218"/>
      <c r="H3311" s="218"/>
      <c r="I3311" s="218"/>
      <c r="J3311" s="218"/>
      <c r="K3311" s="218"/>
      <c r="L3311" s="218"/>
      <c r="M3311" s="218"/>
      <c r="N3311" s="218"/>
      <c r="O3311" s="218"/>
      <c r="P3311" s="218"/>
      <c r="Q3311" s="222"/>
      <c r="R3311" s="222"/>
      <c r="S3311" s="218"/>
      <c r="U3311" s="218"/>
      <c r="X3311" s="218"/>
      <c r="AB3311" t="e">
        <v>#N/A</v>
      </c>
    </row>
    <row r="3312">
      <c r="A3312" s="218"/>
      <c r="C3312" s="218"/>
      <c r="F3312" s="457"/>
      <c r="G3312" s="218"/>
      <c r="H3312" s="218"/>
      <c r="I3312" s="218"/>
      <c r="J3312" s="218"/>
      <c r="K3312" s="218"/>
      <c r="L3312" s="218"/>
      <c r="M3312" s="218"/>
      <c r="N3312" s="218"/>
      <c r="O3312" s="218"/>
      <c r="P3312" s="218"/>
      <c r="Q3312" s="222"/>
      <c r="R3312" s="222"/>
      <c r="S3312" s="218"/>
      <c r="U3312" s="218"/>
      <c r="X3312" s="218"/>
      <c r="AB3312" t="e">
        <v>#N/A</v>
      </c>
    </row>
    <row r="3313">
      <c r="A3313" s="218"/>
      <c r="C3313" s="218"/>
      <c r="F3313" s="457"/>
      <c r="G3313" s="218"/>
      <c r="H3313" s="218"/>
      <c r="I3313" s="218"/>
      <c r="J3313" s="218"/>
      <c r="K3313" s="218"/>
      <c r="L3313" s="218"/>
      <c r="M3313" s="218"/>
      <c r="N3313" s="218"/>
      <c r="O3313" s="218"/>
      <c r="P3313" s="218"/>
      <c r="Q3313" s="222"/>
      <c r="R3313" s="222"/>
      <c r="S3313" s="218"/>
      <c r="U3313" s="218"/>
      <c r="X3313" s="218"/>
      <c r="AB3313" t="e">
        <v>#N/A</v>
      </c>
    </row>
    <row r="3314">
      <c r="A3314" s="218"/>
      <c r="C3314" s="218"/>
      <c r="F3314" s="457"/>
      <c r="G3314" s="218"/>
      <c r="H3314" s="218"/>
      <c r="I3314" s="218"/>
      <c r="J3314" s="218"/>
      <c r="K3314" s="218"/>
      <c r="L3314" s="218"/>
      <c r="M3314" s="218"/>
      <c r="N3314" s="218"/>
      <c r="O3314" s="218"/>
      <c r="P3314" s="218"/>
      <c r="Q3314" s="222"/>
      <c r="R3314" s="222"/>
      <c r="S3314" s="218"/>
      <c r="U3314" s="218"/>
      <c r="X3314" s="218"/>
      <c r="AB3314" t="e">
        <v>#N/A</v>
      </c>
    </row>
    <row r="3315">
      <c r="A3315" s="218"/>
      <c r="C3315" s="218"/>
      <c r="F3315" s="457"/>
      <c r="G3315" s="218"/>
      <c r="H3315" s="218"/>
      <c r="I3315" s="218"/>
      <c r="J3315" s="218"/>
      <c r="K3315" s="218"/>
      <c r="L3315" s="218"/>
      <c r="M3315" s="218"/>
      <c r="N3315" s="218"/>
      <c r="O3315" s="218"/>
      <c r="P3315" s="218"/>
      <c r="Q3315" s="222"/>
      <c r="R3315" s="222"/>
      <c r="S3315" s="218"/>
      <c r="U3315" s="218"/>
      <c r="X3315" s="218"/>
      <c r="AB3315" t="e">
        <v>#N/A</v>
      </c>
    </row>
    <row r="3316">
      <c r="A3316" s="218"/>
      <c r="C3316" s="218"/>
      <c r="F3316" s="457"/>
      <c r="G3316" s="218"/>
      <c r="H3316" s="218"/>
      <c r="I3316" s="218"/>
      <c r="J3316" s="218"/>
      <c r="K3316" s="218"/>
      <c r="L3316" s="218"/>
      <c r="M3316" s="218"/>
      <c r="N3316" s="218"/>
      <c r="O3316" s="218"/>
      <c r="P3316" s="218"/>
      <c r="Q3316" s="222"/>
      <c r="R3316" s="222"/>
      <c r="S3316" s="218"/>
      <c r="U3316" s="218"/>
      <c r="X3316" s="218"/>
      <c r="AB3316" t="e">
        <v>#N/A</v>
      </c>
    </row>
    <row r="3317">
      <c r="A3317" s="218"/>
      <c r="C3317" s="218"/>
      <c r="F3317" s="457"/>
      <c r="G3317" s="218"/>
      <c r="H3317" s="218"/>
      <c r="I3317" s="218"/>
      <c r="J3317" s="218"/>
      <c r="K3317" s="218"/>
      <c r="L3317" s="218"/>
      <c r="M3317" s="218"/>
      <c r="N3317" s="218"/>
      <c r="O3317" s="218"/>
      <c r="P3317" s="218"/>
      <c r="Q3317" s="222"/>
      <c r="R3317" s="222"/>
      <c r="S3317" s="218"/>
      <c r="U3317" s="218"/>
      <c r="X3317" s="218"/>
      <c r="AB3317" t="e">
        <v>#N/A</v>
      </c>
    </row>
    <row r="3318">
      <c r="A3318" s="218"/>
      <c r="C3318" s="218"/>
      <c r="F3318" s="457"/>
      <c r="G3318" s="218"/>
      <c r="H3318" s="218"/>
      <c r="I3318" s="218"/>
      <c r="J3318" s="218"/>
      <c r="K3318" s="218"/>
      <c r="L3318" s="218"/>
      <c r="M3318" s="218"/>
      <c r="N3318" s="218"/>
      <c r="O3318" s="218"/>
      <c r="P3318" s="218"/>
      <c r="Q3318" s="222"/>
      <c r="R3318" s="222"/>
      <c r="S3318" s="218"/>
      <c r="U3318" s="218"/>
      <c r="X3318" s="218"/>
      <c r="AB3318" t="e">
        <v>#N/A</v>
      </c>
    </row>
    <row r="3319">
      <c r="A3319" s="218"/>
      <c r="C3319" s="218"/>
      <c r="F3319" s="457"/>
      <c r="G3319" s="218"/>
      <c r="H3319" s="218"/>
      <c r="I3319" s="218"/>
      <c r="J3319" s="218"/>
      <c r="K3319" s="218"/>
      <c r="L3319" s="218"/>
      <c r="M3319" s="218"/>
      <c r="N3319" s="218"/>
      <c r="O3319" s="218"/>
      <c r="P3319" s="218"/>
      <c r="Q3319" s="222"/>
      <c r="R3319" s="222"/>
      <c r="S3319" s="218"/>
      <c r="U3319" s="218"/>
      <c r="X3319" s="218"/>
      <c r="AB3319" t="e">
        <v>#N/A</v>
      </c>
    </row>
    <row r="3320">
      <c r="A3320" s="218"/>
      <c r="C3320" s="218"/>
      <c r="F3320" s="457"/>
      <c r="G3320" s="218"/>
      <c r="H3320" s="218"/>
      <c r="I3320" s="218"/>
      <c r="J3320" s="218"/>
      <c r="K3320" s="218"/>
      <c r="L3320" s="218"/>
      <c r="M3320" s="218"/>
      <c r="N3320" s="218"/>
      <c r="O3320" s="218"/>
      <c r="P3320" s="218"/>
      <c r="Q3320" s="222"/>
      <c r="R3320" s="222"/>
      <c r="S3320" s="218"/>
      <c r="U3320" s="218"/>
      <c r="X3320" s="218"/>
      <c r="AB3320" t="e">
        <v>#N/A</v>
      </c>
    </row>
    <row r="3321">
      <c r="A3321" s="218"/>
      <c r="C3321" s="218"/>
      <c r="F3321" s="457"/>
      <c r="G3321" s="218"/>
      <c r="H3321" s="218"/>
      <c r="I3321" s="218"/>
      <c r="J3321" s="218"/>
      <c r="K3321" s="218"/>
      <c r="L3321" s="218"/>
      <c r="M3321" s="218"/>
      <c r="N3321" s="218"/>
      <c r="O3321" s="218"/>
      <c r="P3321" s="218"/>
      <c r="Q3321" s="222"/>
      <c r="R3321" s="222"/>
      <c r="S3321" s="218"/>
      <c r="U3321" s="218"/>
      <c r="X3321" s="218"/>
      <c r="AB3321" t="e">
        <v>#N/A</v>
      </c>
    </row>
    <row r="3322">
      <c r="A3322" s="218"/>
      <c r="C3322" s="218"/>
      <c r="F3322" s="457"/>
      <c r="G3322" s="218"/>
      <c r="H3322" s="218"/>
      <c r="I3322" s="218"/>
      <c r="J3322" s="218"/>
      <c r="K3322" s="218"/>
      <c r="L3322" s="218"/>
      <c r="M3322" s="218"/>
      <c r="N3322" s="218"/>
      <c r="O3322" s="218"/>
      <c r="P3322" s="218"/>
      <c r="Q3322" s="222"/>
      <c r="R3322" s="222"/>
      <c r="S3322" s="218"/>
      <c r="U3322" s="218"/>
      <c r="X3322" s="218"/>
      <c r="AB3322" t="e">
        <v>#N/A</v>
      </c>
    </row>
    <row r="3323">
      <c r="A3323" s="218"/>
      <c r="C3323" s="218"/>
      <c r="F3323" s="457"/>
      <c r="G3323" s="218"/>
      <c r="H3323" s="218"/>
      <c r="I3323" s="218"/>
      <c r="J3323" s="218"/>
      <c r="K3323" s="218"/>
      <c r="L3323" s="218"/>
      <c r="M3323" s="218"/>
      <c r="N3323" s="218"/>
      <c r="O3323" s="218"/>
      <c r="P3323" s="218"/>
      <c r="Q3323" s="222"/>
      <c r="R3323" s="222"/>
      <c r="S3323" s="218"/>
      <c r="U3323" s="218"/>
      <c r="X3323" s="218"/>
      <c r="AB3323" t="e">
        <v>#N/A</v>
      </c>
    </row>
    <row r="3324">
      <c r="A3324" s="218"/>
      <c r="C3324" s="218"/>
      <c r="F3324" s="457"/>
      <c r="G3324" s="218"/>
      <c r="H3324" s="218"/>
      <c r="I3324" s="218"/>
      <c r="J3324" s="218"/>
      <c r="K3324" s="218"/>
      <c r="L3324" s="218"/>
      <c r="M3324" s="218"/>
      <c r="N3324" s="218"/>
      <c r="O3324" s="218"/>
      <c r="P3324" s="218"/>
      <c r="Q3324" s="222"/>
      <c r="R3324" s="222"/>
      <c r="S3324" s="218"/>
      <c r="U3324" s="218"/>
      <c r="X3324" s="218"/>
      <c r="AB3324" t="e">
        <v>#N/A</v>
      </c>
    </row>
    <row r="3325">
      <c r="A3325" s="218"/>
      <c r="C3325" s="218"/>
      <c r="F3325" s="457"/>
      <c r="G3325" s="218"/>
      <c r="H3325" s="218"/>
      <c r="I3325" s="218"/>
      <c r="J3325" s="218"/>
      <c r="K3325" s="218"/>
      <c r="L3325" s="218"/>
      <c r="M3325" s="218"/>
      <c r="N3325" s="218"/>
      <c r="O3325" s="218"/>
      <c r="P3325" s="218"/>
      <c r="Q3325" s="222"/>
      <c r="R3325" s="222"/>
      <c r="S3325" s="218"/>
      <c r="U3325" s="218"/>
      <c r="X3325" s="218"/>
      <c r="AB3325" t="e">
        <v>#N/A</v>
      </c>
    </row>
    <row r="3326">
      <c r="A3326" s="218"/>
      <c r="C3326" s="218"/>
      <c r="F3326" s="457"/>
      <c r="G3326" s="218"/>
      <c r="H3326" s="218"/>
      <c r="I3326" s="218"/>
      <c r="J3326" s="218"/>
      <c r="K3326" s="218"/>
      <c r="L3326" s="218"/>
      <c r="M3326" s="218"/>
      <c r="N3326" s="218"/>
      <c r="O3326" s="218"/>
      <c r="P3326" s="218"/>
      <c r="Q3326" s="222"/>
      <c r="R3326" s="222"/>
      <c r="S3326" s="218"/>
      <c r="U3326" s="218"/>
      <c r="X3326" s="218"/>
      <c r="AB3326" t="e">
        <v>#N/A</v>
      </c>
    </row>
    <row r="3327">
      <c r="A3327" s="218"/>
      <c r="C3327" s="218"/>
      <c r="F3327" s="457"/>
      <c r="G3327" s="218"/>
      <c r="H3327" s="218"/>
      <c r="I3327" s="218"/>
      <c r="J3327" s="218"/>
      <c r="K3327" s="218"/>
      <c r="L3327" s="218"/>
      <c r="M3327" s="218"/>
      <c r="N3327" s="218"/>
      <c r="O3327" s="218"/>
      <c r="P3327" s="218"/>
      <c r="Q3327" s="222"/>
      <c r="R3327" s="222"/>
      <c r="S3327" s="218"/>
      <c r="U3327" s="218"/>
      <c r="X3327" s="218"/>
      <c r="AB3327" t="e">
        <v>#N/A</v>
      </c>
    </row>
    <row r="3328">
      <c r="A3328" s="218"/>
      <c r="C3328" s="218"/>
      <c r="F3328" s="457"/>
      <c r="G3328" s="218"/>
      <c r="H3328" s="218"/>
      <c r="I3328" s="218"/>
      <c r="J3328" s="218"/>
      <c r="K3328" s="218"/>
      <c r="L3328" s="218"/>
      <c r="M3328" s="218"/>
      <c r="N3328" s="218"/>
      <c r="O3328" s="218"/>
      <c r="P3328" s="218"/>
      <c r="Q3328" s="222"/>
      <c r="R3328" s="222"/>
      <c r="S3328" s="218"/>
      <c r="U3328" s="218"/>
      <c r="X3328" s="218"/>
      <c r="AB3328" t="e">
        <v>#N/A</v>
      </c>
    </row>
    <row r="3329">
      <c r="A3329" s="218"/>
      <c r="C3329" s="218"/>
      <c r="F3329" s="457"/>
      <c r="G3329" s="218"/>
      <c r="H3329" s="218"/>
      <c r="I3329" s="218"/>
      <c r="J3329" s="218"/>
      <c r="K3329" s="218"/>
      <c r="L3329" s="218"/>
      <c r="M3329" s="218"/>
      <c r="N3329" s="218"/>
      <c r="O3329" s="218"/>
      <c r="P3329" s="218"/>
      <c r="Q3329" s="222"/>
      <c r="R3329" s="222"/>
      <c r="S3329" s="218"/>
      <c r="U3329" s="218"/>
      <c r="X3329" s="218"/>
      <c r="AB3329" t="e">
        <v>#N/A</v>
      </c>
    </row>
    <row r="3330">
      <c r="A3330" s="218"/>
      <c r="C3330" s="218"/>
      <c r="F3330" s="457"/>
      <c r="G3330" s="218"/>
      <c r="H3330" s="218"/>
      <c r="I3330" s="218"/>
      <c r="J3330" s="218"/>
      <c r="K3330" s="218"/>
      <c r="L3330" s="218"/>
      <c r="M3330" s="218"/>
      <c r="N3330" s="218"/>
      <c r="O3330" s="218"/>
      <c r="P3330" s="218"/>
      <c r="Q3330" s="222"/>
      <c r="R3330" s="222"/>
      <c r="S3330" s="218"/>
      <c r="U3330" s="218"/>
      <c r="X3330" s="218"/>
      <c r="AB3330" t="e">
        <v>#N/A</v>
      </c>
    </row>
    <row r="3331">
      <c r="A3331" s="218"/>
      <c r="C3331" s="218"/>
      <c r="F3331" s="457"/>
      <c r="G3331" s="218"/>
      <c r="H3331" s="218"/>
      <c r="I3331" s="218"/>
      <c r="J3331" s="218"/>
      <c r="K3331" s="218"/>
      <c r="L3331" s="218"/>
      <c r="M3331" s="218"/>
      <c r="N3331" s="218"/>
      <c r="O3331" s="218"/>
      <c r="P3331" s="218"/>
      <c r="Q3331" s="222"/>
      <c r="R3331" s="222"/>
      <c r="S3331" s="218"/>
      <c r="U3331" s="218"/>
      <c r="X3331" s="218"/>
      <c r="AB3331" t="e">
        <v>#N/A</v>
      </c>
    </row>
    <row r="3332">
      <c r="A3332" s="218"/>
      <c r="C3332" s="218"/>
      <c r="F3332" s="457"/>
      <c r="G3332" s="218"/>
      <c r="H3332" s="218"/>
      <c r="I3332" s="218"/>
      <c r="J3332" s="218"/>
      <c r="K3332" s="218"/>
      <c r="L3332" s="218"/>
      <c r="M3332" s="218"/>
      <c r="N3332" s="218"/>
      <c r="O3332" s="218"/>
      <c r="P3332" s="218"/>
      <c r="Q3332" s="222"/>
      <c r="R3332" s="222"/>
      <c r="S3332" s="218"/>
      <c r="U3332" s="218"/>
      <c r="X3332" s="218"/>
      <c r="AB3332" t="e">
        <v>#N/A</v>
      </c>
    </row>
    <row r="3333">
      <c r="A3333" s="218"/>
      <c r="C3333" s="218"/>
      <c r="F3333" s="457"/>
      <c r="G3333" s="218"/>
      <c r="H3333" s="218"/>
      <c r="I3333" s="218"/>
      <c r="J3333" s="218"/>
      <c r="K3333" s="218"/>
      <c r="L3333" s="218"/>
      <c r="M3333" s="218"/>
      <c r="N3333" s="218"/>
      <c r="O3333" s="218"/>
      <c r="P3333" s="218"/>
      <c r="Q3333" s="222"/>
      <c r="R3333" s="222"/>
      <c r="S3333" s="218"/>
      <c r="U3333" s="218"/>
      <c r="X3333" s="218"/>
      <c r="AB3333" t="e">
        <v>#N/A</v>
      </c>
    </row>
    <row r="3334">
      <c r="A3334" s="218"/>
      <c r="C3334" s="218"/>
      <c r="F3334" s="457"/>
      <c r="G3334" s="218"/>
      <c r="H3334" s="218"/>
      <c r="I3334" s="218"/>
      <c r="J3334" s="218"/>
      <c r="K3334" s="218"/>
      <c r="L3334" s="218"/>
      <c r="M3334" s="218"/>
      <c r="N3334" s="218"/>
      <c r="O3334" s="218"/>
      <c r="P3334" s="218"/>
      <c r="Q3334" s="222"/>
      <c r="R3334" s="222"/>
      <c r="S3334" s="218"/>
      <c r="U3334" s="218"/>
      <c r="X3334" s="218"/>
      <c r="AB3334" t="e">
        <v>#N/A</v>
      </c>
    </row>
    <row r="3335">
      <c r="A3335" s="218"/>
      <c r="C3335" s="218"/>
      <c r="F3335" s="457"/>
      <c r="G3335" s="218"/>
      <c r="H3335" s="218"/>
      <c r="I3335" s="218"/>
      <c r="J3335" s="218"/>
      <c r="K3335" s="218"/>
      <c r="L3335" s="218"/>
      <c r="M3335" s="218"/>
      <c r="N3335" s="218"/>
      <c r="O3335" s="218"/>
      <c r="P3335" s="218"/>
      <c r="Q3335" s="222"/>
      <c r="R3335" s="222"/>
      <c r="S3335" s="218"/>
      <c r="U3335" s="218"/>
      <c r="X3335" s="218"/>
      <c r="AB3335" t="e">
        <v>#N/A</v>
      </c>
    </row>
    <row r="3336">
      <c r="A3336" s="218"/>
      <c r="C3336" s="218"/>
      <c r="F3336" s="457"/>
      <c r="G3336" s="218"/>
      <c r="H3336" s="218"/>
      <c r="I3336" s="218"/>
      <c r="J3336" s="218"/>
      <c r="K3336" s="218"/>
      <c r="L3336" s="218"/>
      <c r="M3336" s="218"/>
      <c r="N3336" s="218"/>
      <c r="O3336" s="218"/>
      <c r="P3336" s="218"/>
      <c r="Q3336" s="222"/>
      <c r="R3336" s="222"/>
      <c r="S3336" s="218"/>
      <c r="U3336" s="218"/>
      <c r="X3336" s="218"/>
      <c r="AB3336" t="e">
        <v>#N/A</v>
      </c>
    </row>
    <row r="3337">
      <c r="A3337" s="218"/>
      <c r="C3337" s="218"/>
      <c r="F3337" s="457"/>
      <c r="G3337" s="218"/>
      <c r="H3337" s="218"/>
      <c r="I3337" s="218"/>
      <c r="J3337" s="218"/>
      <c r="K3337" s="218"/>
      <c r="L3337" s="218"/>
      <c r="M3337" s="218"/>
      <c r="N3337" s="218"/>
      <c r="O3337" s="218"/>
      <c r="P3337" s="218"/>
      <c r="Q3337" s="222"/>
      <c r="R3337" s="222"/>
      <c r="S3337" s="218"/>
      <c r="U3337" s="218"/>
      <c r="X3337" s="218"/>
      <c r="AB3337" t="e">
        <v>#N/A</v>
      </c>
    </row>
    <row r="3338">
      <c r="A3338" s="218"/>
      <c r="C3338" s="218"/>
      <c r="F3338" s="457"/>
      <c r="G3338" s="218"/>
      <c r="H3338" s="218"/>
      <c r="I3338" s="218"/>
      <c r="J3338" s="218"/>
      <c r="K3338" s="218"/>
      <c r="L3338" s="218"/>
      <c r="M3338" s="218"/>
      <c r="N3338" s="218"/>
      <c r="O3338" s="218"/>
      <c r="P3338" s="218"/>
      <c r="Q3338" s="222"/>
      <c r="R3338" s="222"/>
      <c r="S3338" s="218"/>
      <c r="U3338" s="218"/>
      <c r="X3338" s="218"/>
      <c r="AB3338" t="e">
        <v>#N/A</v>
      </c>
    </row>
    <row r="3339">
      <c r="A3339" s="218"/>
      <c r="C3339" s="218"/>
      <c r="F3339" s="457"/>
      <c r="G3339" s="218"/>
      <c r="H3339" s="218"/>
      <c r="I3339" s="218"/>
      <c r="J3339" s="218"/>
      <c r="K3339" s="218"/>
      <c r="L3339" s="218"/>
      <c r="M3339" s="218"/>
      <c r="N3339" s="218"/>
      <c r="O3339" s="218"/>
      <c r="P3339" s="218"/>
      <c r="Q3339" s="222"/>
      <c r="R3339" s="222"/>
      <c r="S3339" s="218"/>
      <c r="U3339" s="218"/>
      <c r="X3339" s="218"/>
      <c r="AB3339" t="e">
        <v>#N/A</v>
      </c>
    </row>
    <row r="3340">
      <c r="A3340" s="218"/>
      <c r="C3340" s="218"/>
      <c r="F3340" s="457"/>
      <c r="G3340" s="218"/>
      <c r="H3340" s="218"/>
      <c r="I3340" s="218"/>
      <c r="J3340" s="218"/>
      <c r="K3340" s="218"/>
      <c r="L3340" s="218"/>
      <c r="M3340" s="218"/>
      <c r="N3340" s="218"/>
      <c r="O3340" s="218"/>
      <c r="P3340" s="218"/>
      <c r="Q3340" s="222"/>
      <c r="R3340" s="222"/>
      <c r="S3340" s="218"/>
      <c r="U3340" s="218"/>
      <c r="X3340" s="218"/>
      <c r="AB3340" t="e">
        <v>#N/A</v>
      </c>
    </row>
    <row r="3341">
      <c r="A3341" s="218"/>
      <c r="C3341" s="218"/>
      <c r="F3341" s="457"/>
      <c r="G3341" s="218"/>
      <c r="H3341" s="218"/>
      <c r="I3341" s="218"/>
      <c r="J3341" s="218"/>
      <c r="K3341" s="218"/>
      <c r="L3341" s="218"/>
      <c r="M3341" s="218"/>
      <c r="N3341" s="218"/>
      <c r="O3341" s="218"/>
      <c r="P3341" s="218"/>
      <c r="Q3341" s="222"/>
      <c r="R3341" s="222"/>
      <c r="S3341" s="218"/>
      <c r="U3341" s="218"/>
      <c r="X3341" s="218"/>
      <c r="AB3341" t="e">
        <v>#N/A</v>
      </c>
    </row>
    <row r="3342">
      <c r="A3342" s="218"/>
      <c r="C3342" s="218"/>
      <c r="F3342" s="457"/>
      <c r="G3342" s="218"/>
      <c r="H3342" s="218"/>
      <c r="I3342" s="218"/>
      <c r="J3342" s="218"/>
      <c r="K3342" s="218"/>
      <c r="L3342" s="218"/>
      <c r="M3342" s="218"/>
      <c r="N3342" s="218"/>
      <c r="O3342" s="218"/>
      <c r="P3342" s="218"/>
      <c r="Q3342" s="222"/>
      <c r="R3342" s="222"/>
      <c r="S3342" s="218"/>
      <c r="U3342" s="218"/>
      <c r="X3342" s="218"/>
      <c r="AB3342" t="e">
        <v>#N/A</v>
      </c>
    </row>
    <row r="3343">
      <c r="A3343" s="218"/>
      <c r="C3343" s="218"/>
      <c r="F3343" s="457"/>
      <c r="G3343" s="218"/>
      <c r="H3343" s="218"/>
      <c r="I3343" s="218"/>
      <c r="J3343" s="218"/>
      <c r="K3343" s="218"/>
      <c r="L3343" s="218"/>
      <c r="M3343" s="218"/>
      <c r="N3343" s="218"/>
      <c r="O3343" s="218"/>
      <c r="P3343" s="218"/>
      <c r="Q3343" s="222"/>
      <c r="R3343" s="222"/>
      <c r="S3343" s="218"/>
      <c r="U3343" s="218"/>
      <c r="X3343" s="218"/>
      <c r="AB3343" t="e">
        <v>#N/A</v>
      </c>
    </row>
    <row r="3344">
      <c r="A3344" s="218"/>
      <c r="C3344" s="218"/>
      <c r="F3344" s="457"/>
      <c r="G3344" s="218"/>
      <c r="H3344" s="218"/>
      <c r="I3344" s="218"/>
      <c r="J3344" s="218"/>
      <c r="K3344" s="218"/>
      <c r="L3344" s="218"/>
      <c r="M3344" s="218"/>
      <c r="N3344" s="218"/>
      <c r="O3344" s="218"/>
      <c r="P3344" s="218"/>
      <c r="Q3344" s="222"/>
      <c r="R3344" s="222"/>
      <c r="S3344" s="218"/>
      <c r="U3344" s="218"/>
      <c r="X3344" s="218"/>
      <c r="AB3344" t="e">
        <v>#N/A</v>
      </c>
    </row>
    <row r="3345">
      <c r="A3345" s="218"/>
      <c r="C3345" s="218"/>
      <c r="F3345" s="457"/>
      <c r="G3345" s="218"/>
      <c r="H3345" s="218"/>
      <c r="I3345" s="218"/>
      <c r="J3345" s="218"/>
      <c r="K3345" s="218"/>
      <c r="L3345" s="218"/>
      <c r="M3345" s="218"/>
      <c r="N3345" s="218"/>
      <c r="O3345" s="218"/>
      <c r="P3345" s="218"/>
      <c r="Q3345" s="222"/>
      <c r="R3345" s="222"/>
      <c r="S3345" s="218"/>
      <c r="U3345" s="218"/>
      <c r="X3345" s="218"/>
      <c r="AB3345" t="e">
        <v>#N/A</v>
      </c>
    </row>
    <row r="3346">
      <c r="A3346" s="218"/>
      <c r="C3346" s="218"/>
      <c r="F3346" s="457"/>
      <c r="G3346" s="218"/>
      <c r="H3346" s="218"/>
      <c r="I3346" s="218"/>
      <c r="J3346" s="218"/>
      <c r="K3346" s="218"/>
      <c r="L3346" s="218"/>
      <c r="M3346" s="218"/>
      <c r="N3346" s="218"/>
      <c r="O3346" s="218"/>
      <c r="P3346" s="218"/>
      <c r="Q3346" s="222"/>
      <c r="R3346" s="222"/>
      <c r="S3346" s="218"/>
      <c r="U3346" s="218"/>
      <c r="X3346" s="218"/>
      <c r="AB3346" t="e">
        <v>#N/A</v>
      </c>
    </row>
    <row r="3347">
      <c r="A3347" s="218"/>
      <c r="C3347" s="218"/>
      <c r="F3347" s="457"/>
      <c r="G3347" s="218"/>
      <c r="H3347" s="218"/>
      <c r="I3347" s="218"/>
      <c r="J3347" s="218"/>
      <c r="K3347" s="218"/>
      <c r="L3347" s="218"/>
      <c r="M3347" s="218"/>
      <c r="N3347" s="218"/>
      <c r="O3347" s="218"/>
      <c r="P3347" s="218"/>
      <c r="Q3347" s="222"/>
      <c r="R3347" s="222"/>
      <c r="S3347" s="218"/>
      <c r="U3347" s="218"/>
      <c r="X3347" s="218"/>
      <c r="AB3347" t="e">
        <v>#N/A</v>
      </c>
    </row>
    <row r="3348">
      <c r="A3348" s="218"/>
      <c r="C3348" s="218"/>
      <c r="F3348" s="457"/>
      <c r="G3348" s="218"/>
      <c r="H3348" s="218"/>
      <c r="I3348" s="218"/>
      <c r="J3348" s="218"/>
      <c r="K3348" s="218"/>
      <c r="L3348" s="218"/>
      <c r="M3348" s="218"/>
      <c r="N3348" s="218"/>
      <c r="O3348" s="218"/>
      <c r="P3348" s="218"/>
      <c r="Q3348" s="222"/>
      <c r="R3348" s="222"/>
      <c r="S3348" s="218"/>
      <c r="U3348" s="218"/>
      <c r="X3348" s="218"/>
      <c r="AB3348" t="e">
        <v>#N/A</v>
      </c>
    </row>
    <row r="3349">
      <c r="A3349" s="218"/>
      <c r="C3349" s="218"/>
      <c r="F3349" s="457"/>
      <c r="G3349" s="218"/>
      <c r="H3349" s="218"/>
      <c r="I3349" s="218"/>
      <c r="J3349" s="218"/>
      <c r="K3349" s="218"/>
      <c r="L3349" s="218"/>
      <c r="M3349" s="218"/>
      <c r="N3349" s="218"/>
      <c r="O3349" s="218"/>
      <c r="P3349" s="218"/>
      <c r="Q3349" s="222"/>
      <c r="R3349" s="222"/>
      <c r="S3349" s="218"/>
      <c r="U3349" s="218"/>
      <c r="X3349" s="218"/>
      <c r="AB3349" t="e">
        <v>#N/A</v>
      </c>
    </row>
    <row r="3350">
      <c r="A3350" s="218"/>
      <c r="C3350" s="218"/>
      <c r="F3350" s="457"/>
      <c r="G3350" s="218"/>
      <c r="H3350" s="218"/>
      <c r="I3350" s="218"/>
      <c r="J3350" s="218"/>
      <c r="K3350" s="218"/>
      <c r="L3350" s="218"/>
      <c r="M3350" s="218"/>
      <c r="N3350" s="218"/>
      <c r="O3350" s="218"/>
      <c r="P3350" s="218"/>
      <c r="Q3350" s="222"/>
      <c r="R3350" s="222"/>
      <c r="S3350" s="218"/>
      <c r="U3350" s="218"/>
      <c r="X3350" s="218"/>
      <c r="AB3350" t="e">
        <v>#N/A</v>
      </c>
    </row>
    <row r="3351">
      <c r="A3351" s="218"/>
      <c r="C3351" s="218"/>
      <c r="F3351" s="457"/>
      <c r="G3351" s="218"/>
      <c r="H3351" s="218"/>
      <c r="I3351" s="218"/>
      <c r="J3351" s="218"/>
      <c r="K3351" s="218"/>
      <c r="L3351" s="218"/>
      <c r="M3351" s="218"/>
      <c r="N3351" s="218"/>
      <c r="O3351" s="218"/>
      <c r="P3351" s="218"/>
      <c r="Q3351" s="222"/>
      <c r="R3351" s="222"/>
      <c r="S3351" s="218"/>
      <c r="U3351" s="218"/>
      <c r="X3351" s="218"/>
      <c r="AB3351" t="e">
        <v>#N/A</v>
      </c>
    </row>
    <row r="3352">
      <c r="A3352" s="218"/>
      <c r="C3352" s="218"/>
      <c r="F3352" s="457"/>
      <c r="G3352" s="218"/>
      <c r="H3352" s="218"/>
      <c r="I3352" s="218"/>
      <c r="J3352" s="218"/>
      <c r="K3352" s="218"/>
      <c r="L3352" s="218"/>
      <c r="M3352" s="218"/>
      <c r="N3352" s="218"/>
      <c r="O3352" s="218"/>
      <c r="P3352" s="218"/>
      <c r="Q3352" s="222"/>
      <c r="R3352" s="222"/>
      <c r="S3352" s="218"/>
      <c r="U3352" s="218"/>
      <c r="X3352" s="218"/>
      <c r="AB3352" t="e">
        <v>#N/A</v>
      </c>
    </row>
    <row r="3353">
      <c r="A3353" s="218"/>
      <c r="C3353" s="218"/>
      <c r="F3353" s="457"/>
      <c r="G3353" s="218"/>
      <c r="H3353" s="218"/>
      <c r="I3353" s="218"/>
      <c r="J3353" s="218"/>
      <c r="K3353" s="218"/>
      <c r="L3353" s="218"/>
      <c r="M3353" s="218"/>
      <c r="N3353" s="218"/>
      <c r="O3353" s="218"/>
      <c r="P3353" s="218"/>
      <c r="Q3353" s="222"/>
      <c r="R3353" s="222"/>
      <c r="S3353" s="218"/>
      <c r="U3353" s="218"/>
      <c r="X3353" s="218"/>
      <c r="AB3353" t="e">
        <v>#N/A</v>
      </c>
    </row>
    <row r="3354">
      <c r="A3354" s="218"/>
      <c r="C3354" s="218"/>
      <c r="F3354" s="457"/>
      <c r="G3354" s="218"/>
      <c r="H3354" s="218"/>
      <c r="I3354" s="218"/>
      <c r="J3354" s="218"/>
      <c r="K3354" s="218"/>
      <c r="L3354" s="218"/>
      <c r="M3354" s="218"/>
      <c r="N3354" s="218"/>
      <c r="O3354" s="218"/>
      <c r="P3354" s="218"/>
      <c r="Q3354" s="222"/>
      <c r="R3354" s="222"/>
      <c r="S3354" s="218"/>
      <c r="U3354" s="218"/>
      <c r="X3354" s="218"/>
      <c r="AB3354" t="e">
        <v>#N/A</v>
      </c>
    </row>
    <row r="3355">
      <c r="A3355" s="218"/>
      <c r="C3355" s="218"/>
      <c r="F3355" s="457"/>
      <c r="G3355" s="218"/>
      <c r="H3355" s="218"/>
      <c r="I3355" s="218"/>
      <c r="J3355" s="218"/>
      <c r="K3355" s="218"/>
      <c r="L3355" s="218"/>
      <c r="M3355" s="218"/>
      <c r="N3355" s="218"/>
      <c r="O3355" s="218"/>
      <c r="P3355" s="218"/>
      <c r="Q3355" s="222"/>
      <c r="R3355" s="222"/>
      <c r="S3355" s="218"/>
      <c r="U3355" s="218"/>
      <c r="X3355" s="218"/>
      <c r="AB3355" t="e">
        <v>#N/A</v>
      </c>
    </row>
    <row r="3356">
      <c r="A3356" s="218"/>
      <c r="C3356" s="218"/>
      <c r="F3356" s="457"/>
      <c r="G3356" s="218"/>
      <c r="H3356" s="218"/>
      <c r="I3356" s="218"/>
      <c r="J3356" s="218"/>
      <c r="K3356" s="218"/>
      <c r="L3356" s="218"/>
      <c r="M3356" s="218"/>
      <c r="N3356" s="218"/>
      <c r="O3356" s="218"/>
      <c r="P3356" s="218"/>
      <c r="Q3356" s="222"/>
      <c r="R3356" s="222"/>
      <c r="S3356" s="218"/>
      <c r="U3356" s="218"/>
      <c r="X3356" s="218"/>
      <c r="AB3356" t="e">
        <v>#N/A</v>
      </c>
    </row>
    <row r="3357">
      <c r="A3357" s="218"/>
      <c r="C3357" s="218"/>
      <c r="F3357" s="457"/>
      <c r="G3357" s="218"/>
      <c r="H3357" s="218"/>
      <c r="I3357" s="218"/>
      <c r="J3357" s="218"/>
      <c r="K3357" s="218"/>
      <c r="L3357" s="218"/>
      <c r="M3357" s="218"/>
      <c r="N3357" s="218"/>
      <c r="O3357" s="218"/>
      <c r="P3357" s="218"/>
      <c r="Q3357" s="222"/>
      <c r="R3357" s="222"/>
      <c r="S3357" s="218"/>
      <c r="U3357" s="218"/>
      <c r="X3357" s="218"/>
      <c r="AB3357" t="e">
        <v>#N/A</v>
      </c>
    </row>
    <row r="3358">
      <c r="A3358" s="218"/>
      <c r="C3358" s="218"/>
      <c r="F3358" s="457"/>
      <c r="G3358" s="218"/>
      <c r="H3358" s="218"/>
      <c r="I3358" s="218"/>
      <c r="J3358" s="218"/>
      <c r="K3358" s="218"/>
      <c r="L3358" s="218"/>
      <c r="M3358" s="218"/>
      <c r="N3358" s="218"/>
      <c r="O3358" s="218"/>
      <c r="P3358" s="218"/>
      <c r="Q3358" s="222"/>
      <c r="R3358" s="222"/>
      <c r="S3358" s="218"/>
      <c r="U3358" s="218"/>
      <c r="X3358" s="218"/>
      <c r="AB3358" t="e">
        <v>#N/A</v>
      </c>
    </row>
    <row r="3359">
      <c r="A3359" s="218"/>
      <c r="C3359" s="218"/>
      <c r="F3359" s="457"/>
      <c r="G3359" s="218"/>
      <c r="H3359" s="218"/>
      <c r="I3359" s="218"/>
      <c r="J3359" s="218"/>
      <c r="K3359" s="218"/>
      <c r="L3359" s="218"/>
      <c r="M3359" s="218"/>
      <c r="N3359" s="218"/>
      <c r="O3359" s="218"/>
      <c r="P3359" s="218"/>
      <c r="Q3359" s="222"/>
      <c r="R3359" s="222"/>
      <c r="S3359" s="218"/>
      <c r="U3359" s="218"/>
      <c r="X3359" s="218"/>
      <c r="AB3359" t="e">
        <v>#N/A</v>
      </c>
    </row>
    <row r="3360">
      <c r="A3360" s="218"/>
      <c r="C3360" s="218"/>
      <c r="F3360" s="457"/>
      <c r="G3360" s="218"/>
      <c r="H3360" s="218"/>
      <c r="I3360" s="218"/>
      <c r="J3360" s="218"/>
      <c r="K3360" s="218"/>
      <c r="L3360" s="218"/>
      <c r="M3360" s="218"/>
      <c r="N3360" s="218"/>
      <c r="O3360" s="218"/>
      <c r="P3360" s="218"/>
      <c r="Q3360" s="222"/>
      <c r="R3360" s="222"/>
      <c r="S3360" s="218"/>
      <c r="U3360" s="218"/>
      <c r="X3360" s="218"/>
      <c r="AB3360" t="e">
        <v>#N/A</v>
      </c>
    </row>
    <row r="3361">
      <c r="A3361" s="218"/>
      <c r="C3361" s="218"/>
      <c r="F3361" s="457"/>
      <c r="G3361" s="218"/>
      <c r="H3361" s="218"/>
      <c r="I3361" s="218"/>
      <c r="J3361" s="218"/>
      <c r="K3361" s="218"/>
      <c r="L3361" s="218"/>
      <c r="M3361" s="218"/>
      <c r="N3361" s="218"/>
      <c r="O3361" s="218"/>
      <c r="P3361" s="218"/>
      <c r="Q3361" s="222"/>
      <c r="R3361" s="222"/>
      <c r="S3361" s="218"/>
      <c r="U3361" s="218"/>
      <c r="X3361" s="218"/>
      <c r="AB3361" t="e">
        <v>#N/A</v>
      </c>
    </row>
    <row r="3362">
      <c r="A3362" s="218"/>
      <c r="C3362" s="218"/>
      <c r="F3362" s="457"/>
      <c r="G3362" s="218"/>
      <c r="H3362" s="218"/>
      <c r="I3362" s="218"/>
      <c r="J3362" s="218"/>
      <c r="K3362" s="218"/>
      <c r="L3362" s="218"/>
      <c r="M3362" s="218"/>
      <c r="N3362" s="218"/>
      <c r="O3362" s="218"/>
      <c r="P3362" s="218"/>
      <c r="Q3362" s="222"/>
      <c r="R3362" s="222"/>
      <c r="S3362" s="218"/>
      <c r="U3362" s="218"/>
      <c r="X3362" s="218"/>
      <c r="AB3362" t="e">
        <v>#N/A</v>
      </c>
    </row>
    <row r="3363">
      <c r="A3363" s="218"/>
      <c r="C3363" s="218"/>
      <c r="F3363" s="457"/>
      <c r="G3363" s="218"/>
      <c r="H3363" s="218"/>
      <c r="I3363" s="218"/>
      <c r="J3363" s="218"/>
      <c r="K3363" s="218"/>
      <c r="L3363" s="218"/>
      <c r="M3363" s="218"/>
      <c r="N3363" s="218"/>
      <c r="O3363" s="218"/>
      <c r="P3363" s="218"/>
      <c r="Q3363" s="222"/>
      <c r="R3363" s="222"/>
      <c r="S3363" s="218"/>
      <c r="U3363" s="218"/>
      <c r="X3363" s="218"/>
      <c r="AB3363" t="e">
        <v>#N/A</v>
      </c>
    </row>
    <row r="3364">
      <c r="A3364" s="218"/>
      <c r="C3364" s="218"/>
      <c r="F3364" s="457"/>
      <c r="G3364" s="218"/>
      <c r="H3364" s="218"/>
      <c r="I3364" s="218"/>
      <c r="J3364" s="218"/>
      <c r="K3364" s="218"/>
      <c r="L3364" s="218"/>
      <c r="M3364" s="218"/>
      <c r="N3364" s="218"/>
      <c r="O3364" s="218"/>
      <c r="P3364" s="218"/>
      <c r="Q3364" s="222"/>
      <c r="R3364" s="222"/>
      <c r="S3364" s="218"/>
      <c r="U3364" s="218"/>
      <c r="X3364" s="218"/>
      <c r="AB3364" t="e">
        <v>#N/A</v>
      </c>
    </row>
    <row r="3365">
      <c r="A3365" s="218"/>
      <c r="C3365" s="218"/>
      <c r="F3365" s="457"/>
      <c r="G3365" s="218"/>
      <c r="H3365" s="218"/>
      <c r="I3365" s="218"/>
      <c r="J3365" s="218"/>
      <c r="K3365" s="218"/>
      <c r="L3365" s="218"/>
      <c r="M3365" s="218"/>
      <c r="N3365" s="218"/>
      <c r="O3365" s="218"/>
      <c r="P3365" s="218"/>
      <c r="Q3365" s="222"/>
      <c r="R3365" s="222"/>
      <c r="S3365" s="218"/>
      <c r="U3365" s="218"/>
      <c r="X3365" s="218"/>
      <c r="AB3365" t="e">
        <v>#N/A</v>
      </c>
    </row>
    <row r="3366">
      <c r="A3366" s="218"/>
      <c r="C3366" s="218"/>
      <c r="F3366" s="457"/>
      <c r="G3366" s="218"/>
      <c r="H3366" s="218"/>
      <c r="I3366" s="218"/>
      <c r="J3366" s="218"/>
      <c r="K3366" s="218"/>
      <c r="L3366" s="218"/>
      <c r="M3366" s="218"/>
      <c r="N3366" s="218"/>
      <c r="O3366" s="218"/>
      <c r="P3366" s="218"/>
      <c r="Q3366" s="222"/>
      <c r="R3366" s="222"/>
      <c r="S3366" s="218"/>
      <c r="U3366" s="218"/>
      <c r="X3366" s="218"/>
      <c r="AB3366" t="e">
        <v>#N/A</v>
      </c>
    </row>
    <row r="3367">
      <c r="A3367" s="218"/>
      <c r="C3367" s="218"/>
      <c r="F3367" s="457"/>
      <c r="G3367" s="218"/>
      <c r="H3367" s="218"/>
      <c r="I3367" s="218"/>
      <c r="J3367" s="218"/>
      <c r="K3367" s="218"/>
      <c r="L3367" s="218"/>
      <c r="M3367" s="218"/>
      <c r="N3367" s="218"/>
      <c r="O3367" s="218"/>
      <c r="P3367" s="218"/>
      <c r="Q3367" s="222"/>
      <c r="R3367" s="222"/>
      <c r="S3367" s="218"/>
      <c r="U3367" s="218"/>
      <c r="X3367" s="218"/>
      <c r="AB3367" t="e">
        <v>#N/A</v>
      </c>
    </row>
    <row r="3368">
      <c r="A3368" s="218"/>
      <c r="C3368" s="218"/>
      <c r="F3368" s="457"/>
      <c r="G3368" s="218"/>
      <c r="H3368" s="218"/>
      <c r="I3368" s="218"/>
      <c r="J3368" s="218"/>
      <c r="K3368" s="218"/>
      <c r="L3368" s="218"/>
      <c r="M3368" s="218"/>
      <c r="N3368" s="218"/>
      <c r="O3368" s="218"/>
      <c r="P3368" s="218"/>
      <c r="Q3368" s="222"/>
      <c r="R3368" s="222"/>
      <c r="S3368" s="218"/>
      <c r="U3368" s="218"/>
      <c r="X3368" s="218"/>
      <c r="AB3368" t="e">
        <v>#N/A</v>
      </c>
    </row>
    <row r="3369">
      <c r="A3369" s="218"/>
      <c r="C3369" s="218"/>
      <c r="F3369" s="457"/>
      <c r="G3369" s="218"/>
      <c r="H3369" s="218"/>
      <c r="I3369" s="218"/>
      <c r="J3369" s="218"/>
      <c r="K3369" s="218"/>
      <c r="L3369" s="218"/>
      <c r="M3369" s="218"/>
      <c r="N3369" s="218"/>
      <c r="O3369" s="218"/>
      <c r="P3369" s="218"/>
      <c r="Q3369" s="222"/>
      <c r="R3369" s="222"/>
      <c r="S3369" s="218"/>
      <c r="U3369" s="218"/>
      <c r="X3369" s="218"/>
      <c r="AB3369" t="e">
        <v>#N/A</v>
      </c>
    </row>
    <row r="3370">
      <c r="A3370" s="218"/>
      <c r="C3370" s="218"/>
      <c r="F3370" s="457"/>
      <c r="G3370" s="218"/>
      <c r="H3370" s="218"/>
      <c r="I3370" s="218"/>
      <c r="J3370" s="218"/>
      <c r="K3370" s="218"/>
      <c r="L3370" s="218"/>
      <c r="M3370" s="218"/>
      <c r="N3370" s="218"/>
      <c r="O3370" s="218"/>
      <c r="P3370" s="218"/>
      <c r="Q3370" s="222"/>
      <c r="R3370" s="222"/>
      <c r="S3370" s="218"/>
      <c r="U3370" s="218"/>
      <c r="X3370" s="218"/>
      <c r="AB3370" t="e">
        <v>#N/A</v>
      </c>
    </row>
    <row r="3371">
      <c r="A3371" s="218"/>
      <c r="C3371" s="218"/>
      <c r="F3371" s="457"/>
      <c r="G3371" s="218"/>
      <c r="H3371" s="218"/>
      <c r="I3371" s="218"/>
      <c r="J3371" s="218"/>
      <c r="K3371" s="218"/>
      <c r="L3371" s="218"/>
      <c r="M3371" s="218"/>
      <c r="N3371" s="218"/>
      <c r="O3371" s="218"/>
      <c r="P3371" s="218"/>
      <c r="Q3371" s="222"/>
      <c r="R3371" s="222"/>
      <c r="S3371" s="218"/>
      <c r="U3371" s="218"/>
      <c r="X3371" s="218"/>
      <c r="AB3371" t="e">
        <v>#N/A</v>
      </c>
    </row>
    <row r="3372">
      <c r="A3372" s="218"/>
      <c r="C3372" s="218"/>
      <c r="F3372" s="457"/>
      <c r="G3372" s="218"/>
      <c r="H3372" s="218"/>
      <c r="I3372" s="218"/>
      <c r="J3372" s="218"/>
      <c r="K3372" s="218"/>
      <c r="L3372" s="218"/>
      <c r="M3372" s="218"/>
      <c r="N3372" s="218"/>
      <c r="O3372" s="218"/>
      <c r="P3372" s="218"/>
      <c r="Q3372" s="222"/>
      <c r="R3372" s="222"/>
      <c r="S3372" s="218"/>
      <c r="U3372" s="218"/>
      <c r="X3372" s="218"/>
      <c r="AB3372" t="e">
        <v>#N/A</v>
      </c>
    </row>
    <row r="3373">
      <c r="A3373" s="218"/>
      <c r="C3373" s="218"/>
      <c r="F3373" s="457"/>
      <c r="G3373" s="218"/>
      <c r="H3373" s="218"/>
      <c r="I3373" s="218"/>
      <c r="J3373" s="218"/>
      <c r="K3373" s="218"/>
      <c r="L3373" s="218"/>
      <c r="M3373" s="218"/>
      <c r="N3373" s="218"/>
      <c r="O3373" s="218"/>
      <c r="P3373" s="218"/>
      <c r="Q3373" s="222"/>
      <c r="R3373" s="222"/>
      <c r="S3373" s="218"/>
      <c r="U3373" s="218"/>
      <c r="X3373" s="218"/>
      <c r="AB3373" t="e">
        <v>#N/A</v>
      </c>
    </row>
    <row r="3374">
      <c r="A3374" s="218"/>
      <c r="C3374" s="218"/>
      <c r="F3374" s="457"/>
      <c r="G3374" s="218"/>
      <c r="H3374" s="218"/>
      <c r="I3374" s="218"/>
      <c r="J3374" s="218"/>
      <c r="K3374" s="218"/>
      <c r="L3374" s="218"/>
      <c r="M3374" s="218"/>
      <c r="N3374" s="218"/>
      <c r="O3374" s="218"/>
      <c r="P3374" s="218"/>
      <c r="Q3374" s="222"/>
      <c r="R3374" s="222"/>
      <c r="S3374" s="218"/>
      <c r="U3374" s="218"/>
      <c r="X3374" s="218"/>
      <c r="AB3374" t="e">
        <v>#N/A</v>
      </c>
    </row>
    <row r="3375">
      <c r="A3375" s="218"/>
      <c r="C3375" s="218"/>
      <c r="F3375" s="457"/>
      <c r="G3375" s="218"/>
      <c r="H3375" s="218"/>
      <c r="I3375" s="218"/>
      <c r="J3375" s="218"/>
      <c r="K3375" s="218"/>
      <c r="L3375" s="218"/>
      <c r="M3375" s="218"/>
      <c r="N3375" s="218"/>
      <c r="O3375" s="218"/>
      <c r="P3375" s="218"/>
      <c r="Q3375" s="222"/>
      <c r="R3375" s="222"/>
      <c r="S3375" s="218"/>
      <c r="U3375" s="218"/>
      <c r="X3375" s="218"/>
      <c r="AB3375" t="e">
        <v>#N/A</v>
      </c>
    </row>
  </sheetData>
  <autoFilter ref="$A$1:$AB$3375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hidden="1" min="3" max="8" width="12.63"/>
    <col customWidth="1" min="9" max="9" width="69.88"/>
    <col customWidth="1" min="14" max="14" width="19.0"/>
  </cols>
  <sheetData>
    <row r="1">
      <c r="A1" s="218" t="s">
        <v>9315</v>
      </c>
      <c r="B1" s="218" t="s">
        <v>41</v>
      </c>
      <c r="C1" s="218" t="s">
        <v>9316</v>
      </c>
      <c r="D1" s="218" t="s">
        <v>9317</v>
      </c>
      <c r="E1" s="218" t="s">
        <v>9318</v>
      </c>
      <c r="F1" s="218" t="s">
        <v>9319</v>
      </c>
      <c r="G1" s="218" t="s">
        <v>9320</v>
      </c>
      <c r="H1" s="218" t="s">
        <v>11639</v>
      </c>
      <c r="I1" s="218" t="s">
        <v>737</v>
      </c>
      <c r="J1" s="218" t="s">
        <v>568</v>
      </c>
      <c r="K1" s="218" t="s">
        <v>9321</v>
      </c>
      <c r="L1" s="218" t="s">
        <v>577</v>
      </c>
      <c r="M1" s="218" t="s">
        <v>578</v>
      </c>
      <c r="N1" s="218" t="s">
        <v>9323</v>
      </c>
      <c r="O1" s="218" t="s">
        <v>9328</v>
      </c>
      <c r="P1" s="218" t="s">
        <v>9324</v>
      </c>
      <c r="Q1" s="218" t="s">
        <v>9325</v>
      </c>
      <c r="R1" s="218" t="s">
        <v>9326</v>
      </c>
      <c r="S1" s="218" t="s">
        <v>11640</v>
      </c>
    </row>
    <row r="2">
      <c r="A2" s="218" t="s">
        <v>11355</v>
      </c>
      <c r="B2" s="218" t="s">
        <v>11641</v>
      </c>
      <c r="C2" s="456">
        <v>44568.0</v>
      </c>
      <c r="D2" s="218">
        <v>3.0</v>
      </c>
      <c r="E2" s="218">
        <v>401091.0</v>
      </c>
      <c r="G2" s="218" t="s">
        <v>11642</v>
      </c>
      <c r="H2" s="218">
        <v>80013.0</v>
      </c>
      <c r="I2" s="218" t="s">
        <v>11643</v>
      </c>
      <c r="J2" s="218">
        <v>15113.0</v>
      </c>
      <c r="K2" s="218">
        <v>168098.0</v>
      </c>
      <c r="L2" s="218">
        <v>1.0E8</v>
      </c>
      <c r="M2" s="218">
        <v>319011.0</v>
      </c>
      <c r="N2" s="218" t="s">
        <v>11644</v>
      </c>
      <c r="O2" s="218">
        <v>1.51132022000176E14</v>
      </c>
      <c r="P2" s="222">
        <v>3.67332547E8</v>
      </c>
      <c r="Q2" s="222">
        <v>3.67332547E8</v>
      </c>
      <c r="R2" s="222">
        <v>3.67332547E8</v>
      </c>
      <c r="S2" s="222">
        <v>2.3734142398E8</v>
      </c>
    </row>
    <row r="3">
      <c r="A3" s="218" t="s">
        <v>11355</v>
      </c>
      <c r="B3" s="218" t="s">
        <v>11645</v>
      </c>
      <c r="C3" s="456">
        <v>44568.0</v>
      </c>
      <c r="D3" s="218">
        <v>3.0</v>
      </c>
      <c r="E3" s="218">
        <v>401091.0</v>
      </c>
      <c r="G3" s="218" t="s">
        <v>11642</v>
      </c>
      <c r="H3" s="218">
        <v>80013.0</v>
      </c>
      <c r="I3" s="218" t="s">
        <v>11646</v>
      </c>
      <c r="J3" s="218">
        <v>15113.0</v>
      </c>
      <c r="K3" s="218">
        <v>168098.0</v>
      </c>
      <c r="L3" s="218">
        <v>1.0E8</v>
      </c>
      <c r="M3" s="218">
        <v>319016.0</v>
      </c>
      <c r="N3" s="218" t="s">
        <v>11644</v>
      </c>
      <c r="O3" s="218">
        <v>1.51132022000175E14</v>
      </c>
      <c r="P3" s="222">
        <v>3929207.0</v>
      </c>
      <c r="Q3" s="222">
        <v>3929207.0</v>
      </c>
      <c r="R3" s="222">
        <v>3929207.0</v>
      </c>
      <c r="S3" s="222">
        <v>2831048.22</v>
      </c>
    </row>
    <row r="4">
      <c r="A4" s="218" t="s">
        <v>11355</v>
      </c>
      <c r="B4" s="218" t="s">
        <v>11647</v>
      </c>
      <c r="C4" s="456">
        <v>44568.0</v>
      </c>
      <c r="D4" s="218">
        <v>3.0</v>
      </c>
      <c r="E4" s="218">
        <v>401091.0</v>
      </c>
      <c r="G4" s="218" t="s">
        <v>11642</v>
      </c>
      <c r="H4" s="218">
        <v>80013.0</v>
      </c>
      <c r="I4" s="218" t="s">
        <v>11648</v>
      </c>
      <c r="J4" s="218">
        <v>15113.0</v>
      </c>
      <c r="K4" s="218">
        <v>168098.0</v>
      </c>
      <c r="L4" s="218">
        <v>1.0E8</v>
      </c>
      <c r="M4" s="218">
        <v>319091.0</v>
      </c>
      <c r="N4" s="218" t="s">
        <v>11644</v>
      </c>
      <c r="O4" s="218">
        <v>1.51132022000174E14</v>
      </c>
      <c r="P4" s="222">
        <v>56683.0</v>
      </c>
      <c r="Q4" s="222">
        <v>56683.0</v>
      </c>
      <c r="R4" s="222">
        <v>56683.0</v>
      </c>
      <c r="S4" s="222">
        <v>39405.4</v>
      </c>
    </row>
    <row r="5">
      <c r="A5" s="218" t="s">
        <v>9331</v>
      </c>
      <c r="B5" s="218" t="s">
        <v>11649</v>
      </c>
      <c r="C5" s="456">
        <v>44568.0</v>
      </c>
      <c r="D5" s="218">
        <v>3.0</v>
      </c>
      <c r="E5" s="218">
        <v>401091.0</v>
      </c>
      <c r="G5" s="218" t="s">
        <v>11650</v>
      </c>
      <c r="H5" s="218">
        <v>510001.0</v>
      </c>
      <c r="I5" s="218" t="s">
        <v>11651</v>
      </c>
      <c r="J5" s="218">
        <v>15113.0</v>
      </c>
      <c r="K5" s="218">
        <v>168098.0</v>
      </c>
      <c r="L5" s="218">
        <v>1.0E8</v>
      </c>
      <c r="M5" s="218">
        <v>319113.0</v>
      </c>
      <c r="N5" s="218" t="s">
        <v>11644</v>
      </c>
      <c r="O5" s="218">
        <v>1.51132022000173E14</v>
      </c>
      <c r="P5" s="222">
        <v>32397.0</v>
      </c>
      <c r="Q5" s="222">
        <v>32397.0</v>
      </c>
      <c r="R5" s="222">
        <v>32397.0</v>
      </c>
      <c r="S5" s="222">
        <v>21786.2</v>
      </c>
    </row>
    <row r="6">
      <c r="A6" s="218" t="s">
        <v>9331</v>
      </c>
      <c r="B6" s="218" t="s">
        <v>11652</v>
      </c>
      <c r="C6" s="456">
        <v>44568.0</v>
      </c>
      <c r="D6" s="218">
        <v>3.0</v>
      </c>
      <c r="E6" s="218">
        <v>401091.0</v>
      </c>
      <c r="G6" s="218" t="s">
        <v>11653</v>
      </c>
      <c r="H6" s="218">
        <v>170502.0</v>
      </c>
      <c r="I6" s="218" t="s">
        <v>11651</v>
      </c>
      <c r="J6" s="218">
        <v>15113.0</v>
      </c>
      <c r="K6" s="218">
        <v>168095.0</v>
      </c>
      <c r="L6" s="218">
        <v>1.0E8</v>
      </c>
      <c r="M6" s="218">
        <v>319113.0</v>
      </c>
      <c r="N6" s="218" t="s">
        <v>11644</v>
      </c>
      <c r="O6" s="218">
        <v>1.51132022000181E14</v>
      </c>
      <c r="P6" s="222">
        <v>7.2727371E7</v>
      </c>
      <c r="Q6" s="222">
        <v>7.2727371E7</v>
      </c>
      <c r="R6" s="222">
        <v>7.2727371E7</v>
      </c>
      <c r="S6" s="222">
        <v>4.996651272E7</v>
      </c>
    </row>
    <row r="7">
      <c r="A7" s="218" t="s">
        <v>9331</v>
      </c>
      <c r="B7" s="218" t="s">
        <v>11654</v>
      </c>
      <c r="C7" s="456">
        <v>44568.0</v>
      </c>
      <c r="D7" s="218">
        <v>3.0</v>
      </c>
      <c r="E7" s="218">
        <v>401091.0</v>
      </c>
      <c r="G7" s="218" t="s">
        <v>11655</v>
      </c>
      <c r="H7" s="218">
        <v>1.8465825000147E13</v>
      </c>
      <c r="I7" s="218" t="s">
        <v>11656</v>
      </c>
      <c r="J7" s="218">
        <v>15113.0</v>
      </c>
      <c r="K7" s="218">
        <v>168098.0</v>
      </c>
      <c r="L7" s="218">
        <v>1.0E8</v>
      </c>
      <c r="M7" s="218">
        <v>319007.0</v>
      </c>
      <c r="N7" s="218" t="s">
        <v>11644</v>
      </c>
      <c r="O7" s="218">
        <v>1.51132022000177E14</v>
      </c>
      <c r="P7" s="222">
        <v>3106615.0</v>
      </c>
      <c r="Q7" s="222">
        <v>3106615.0</v>
      </c>
      <c r="R7" s="222">
        <v>3106615.0</v>
      </c>
      <c r="S7" s="222">
        <v>2135106.35</v>
      </c>
    </row>
    <row r="8">
      <c r="A8" s="218" t="s">
        <v>11355</v>
      </c>
      <c r="B8" s="218" t="s">
        <v>11657</v>
      </c>
      <c r="C8" s="456">
        <v>44568.0</v>
      </c>
      <c r="D8" s="218">
        <v>3.0</v>
      </c>
      <c r="E8" s="218">
        <v>401091.0</v>
      </c>
      <c r="G8" s="218" t="s">
        <v>11642</v>
      </c>
      <c r="H8" s="218">
        <v>80013.0</v>
      </c>
      <c r="I8" s="218" t="s">
        <v>11658</v>
      </c>
      <c r="J8" s="218">
        <v>15113.0</v>
      </c>
      <c r="K8" s="218">
        <v>168099.0</v>
      </c>
      <c r="L8" s="218">
        <v>1.56E8</v>
      </c>
      <c r="M8" s="218">
        <v>319001.0</v>
      </c>
      <c r="N8" s="218" t="s">
        <v>11644</v>
      </c>
      <c r="O8" s="218">
        <v>1.51132022000178E14</v>
      </c>
      <c r="P8" s="222">
        <v>4.832619975E7</v>
      </c>
      <c r="Q8" s="222">
        <v>4.832619975E7</v>
      </c>
      <c r="R8" s="222">
        <v>4.832619975E7</v>
      </c>
      <c r="S8" s="218">
        <v>0.0</v>
      </c>
    </row>
    <row r="9">
      <c r="A9" s="218" t="s">
        <v>11355</v>
      </c>
      <c r="B9" s="218" t="s">
        <v>11659</v>
      </c>
      <c r="C9" s="456">
        <v>44568.0</v>
      </c>
      <c r="D9" s="218">
        <v>3.0</v>
      </c>
      <c r="E9" s="218">
        <v>401091.0</v>
      </c>
      <c r="G9" s="218" t="s">
        <v>11642</v>
      </c>
      <c r="H9" s="218">
        <v>80013.0</v>
      </c>
      <c r="I9" s="218" t="s">
        <v>11660</v>
      </c>
      <c r="J9" s="218">
        <v>15113.0</v>
      </c>
      <c r="K9" s="218">
        <v>168099.0</v>
      </c>
      <c r="L9" s="218">
        <v>1.56E8</v>
      </c>
      <c r="M9" s="218">
        <v>319003.0</v>
      </c>
      <c r="N9" s="218" t="s">
        <v>11644</v>
      </c>
      <c r="O9" s="218">
        <v>1.5113202200018E14</v>
      </c>
      <c r="P9" s="222">
        <v>6377396.35</v>
      </c>
      <c r="Q9" s="222">
        <v>6377396.35</v>
      </c>
      <c r="R9" s="222">
        <v>6377396.35</v>
      </c>
      <c r="S9" s="218">
        <v>0.0</v>
      </c>
    </row>
    <row r="10">
      <c r="A10" s="218" t="s">
        <v>11355</v>
      </c>
      <c r="B10" s="218" t="s">
        <v>11661</v>
      </c>
      <c r="C10" s="456">
        <v>44568.0</v>
      </c>
      <c r="D10" s="218">
        <v>3.0</v>
      </c>
      <c r="E10" s="218">
        <v>401091.0</v>
      </c>
      <c r="G10" s="218" t="s">
        <v>11642</v>
      </c>
      <c r="H10" s="218">
        <v>80013.0</v>
      </c>
      <c r="I10" s="218" t="s">
        <v>11648</v>
      </c>
      <c r="J10" s="218">
        <v>15113.0</v>
      </c>
      <c r="K10" s="218">
        <v>168099.0</v>
      </c>
      <c r="L10" s="218">
        <v>1.56E8</v>
      </c>
      <c r="M10" s="218">
        <v>319091.0</v>
      </c>
      <c r="N10" s="218" t="s">
        <v>11644</v>
      </c>
      <c r="O10" s="218">
        <v>1.51132022000179E14</v>
      </c>
      <c r="P10" s="222">
        <v>434149.24</v>
      </c>
      <c r="Q10" s="222">
        <v>434149.24</v>
      </c>
      <c r="R10" s="222">
        <v>434149.24</v>
      </c>
      <c r="S10" s="218">
        <v>0.0</v>
      </c>
    </row>
    <row r="11">
      <c r="A11" s="218" t="s">
        <v>11355</v>
      </c>
      <c r="B11" s="218" t="s">
        <v>11662</v>
      </c>
      <c r="C11" s="456">
        <v>44568.0</v>
      </c>
      <c r="D11" s="218">
        <v>3.0</v>
      </c>
      <c r="E11" s="218">
        <v>401091.0</v>
      </c>
      <c r="G11" s="218" t="s">
        <v>11642</v>
      </c>
      <c r="H11" s="218">
        <v>80013.0</v>
      </c>
      <c r="I11" s="218" t="s">
        <v>11658</v>
      </c>
      <c r="J11" s="218">
        <v>15113.0</v>
      </c>
      <c r="K11" s="218">
        <v>168099.0</v>
      </c>
      <c r="L11" s="218">
        <v>1.69E8</v>
      </c>
      <c r="M11" s="218">
        <v>319001.0</v>
      </c>
      <c r="N11" s="218" t="s">
        <v>11644</v>
      </c>
      <c r="O11" s="218">
        <v>1.51132022000178E14</v>
      </c>
      <c r="P11" s="222">
        <v>6.634128517E7</v>
      </c>
      <c r="Q11" s="222">
        <v>6.634128517E7</v>
      </c>
      <c r="R11" s="222">
        <v>6.634128517E7</v>
      </c>
      <c r="S11" s="222">
        <v>3.531290785E7</v>
      </c>
    </row>
    <row r="12">
      <c r="A12" s="218" t="s">
        <v>11355</v>
      </c>
      <c r="B12" s="218" t="s">
        <v>11663</v>
      </c>
      <c r="C12" s="456">
        <v>44568.0</v>
      </c>
      <c r="D12" s="218">
        <v>3.0</v>
      </c>
      <c r="E12" s="218">
        <v>401091.0</v>
      </c>
      <c r="G12" s="218" t="s">
        <v>11642</v>
      </c>
      <c r="H12" s="218">
        <v>80013.0</v>
      </c>
      <c r="I12" s="218" t="s">
        <v>11660</v>
      </c>
      <c r="J12" s="218">
        <v>15113.0</v>
      </c>
      <c r="K12" s="218">
        <v>168099.0</v>
      </c>
      <c r="L12" s="218">
        <v>1.69E8</v>
      </c>
      <c r="M12" s="218">
        <v>319003.0</v>
      </c>
      <c r="N12" s="218" t="s">
        <v>11644</v>
      </c>
      <c r="O12" s="218">
        <v>1.5113202200018E14</v>
      </c>
      <c r="P12" s="222">
        <v>7046067.13</v>
      </c>
      <c r="Q12" s="222">
        <v>7046067.13</v>
      </c>
      <c r="R12" s="222">
        <v>7046067.13</v>
      </c>
      <c r="S12" s="222">
        <v>4193245.35</v>
      </c>
    </row>
    <row r="13">
      <c r="A13" s="218" t="s">
        <v>11355</v>
      </c>
      <c r="B13" s="218" t="s">
        <v>11664</v>
      </c>
      <c r="C13" s="456">
        <v>44568.0</v>
      </c>
      <c r="D13" s="218">
        <v>3.0</v>
      </c>
      <c r="E13" s="218">
        <v>401091.0</v>
      </c>
      <c r="G13" s="218" t="s">
        <v>11642</v>
      </c>
      <c r="H13" s="218">
        <v>80013.0</v>
      </c>
      <c r="I13" s="218" t="s">
        <v>11648</v>
      </c>
      <c r="J13" s="218">
        <v>15113.0</v>
      </c>
      <c r="K13" s="218">
        <v>168099.0</v>
      </c>
      <c r="L13" s="218">
        <v>1.69E8</v>
      </c>
      <c r="M13" s="218">
        <v>319091.0</v>
      </c>
      <c r="N13" s="218" t="s">
        <v>11644</v>
      </c>
      <c r="O13" s="218">
        <v>1.51132022000179E14</v>
      </c>
      <c r="P13" s="222">
        <v>889795.76</v>
      </c>
      <c r="Q13" s="222">
        <v>889795.76</v>
      </c>
      <c r="R13" s="222">
        <v>889795.76</v>
      </c>
      <c r="S13" s="222">
        <v>444897.88</v>
      </c>
    </row>
    <row r="14">
      <c r="A14" s="218" t="s">
        <v>11355</v>
      </c>
      <c r="B14" s="218" t="s">
        <v>11665</v>
      </c>
      <c r="C14" s="456">
        <v>44571.0</v>
      </c>
      <c r="D14" s="218">
        <v>3.0</v>
      </c>
      <c r="E14" s="218">
        <v>401091.0</v>
      </c>
      <c r="G14" s="218" t="s">
        <v>11642</v>
      </c>
      <c r="H14" s="218">
        <v>80013.0</v>
      </c>
      <c r="I14" s="218" t="s">
        <v>11666</v>
      </c>
      <c r="J14" s="218">
        <v>15113.0</v>
      </c>
      <c r="K14" s="218">
        <v>192126.0</v>
      </c>
      <c r="L14" s="218">
        <v>1.0E8</v>
      </c>
      <c r="M14" s="218">
        <v>339008.0</v>
      </c>
      <c r="N14" s="218" t="s">
        <v>11644</v>
      </c>
      <c r="O14" s="218">
        <v>1.51132022000184E14</v>
      </c>
      <c r="P14" s="222">
        <v>2227848.95</v>
      </c>
      <c r="Q14" s="222">
        <v>2227848.95</v>
      </c>
      <c r="R14" s="222">
        <v>2227848.95</v>
      </c>
      <c r="S14" s="222">
        <v>1514389.32</v>
      </c>
    </row>
    <row r="15">
      <c r="A15" s="218" t="s">
        <v>11355</v>
      </c>
      <c r="B15" s="218" t="s">
        <v>11667</v>
      </c>
      <c r="C15" s="456">
        <v>44571.0</v>
      </c>
      <c r="D15" s="218">
        <v>3.0</v>
      </c>
      <c r="E15" s="218">
        <v>401091.0</v>
      </c>
      <c r="G15" s="218" t="s">
        <v>11642</v>
      </c>
      <c r="H15" s="218">
        <v>80013.0</v>
      </c>
      <c r="I15" s="218" t="s">
        <v>11668</v>
      </c>
      <c r="J15" s="218">
        <v>15113.0</v>
      </c>
      <c r="K15" s="218">
        <v>192129.0</v>
      </c>
      <c r="L15" s="218">
        <v>1.0E8</v>
      </c>
      <c r="M15" s="218">
        <v>339046.0</v>
      </c>
      <c r="N15" s="218" t="s">
        <v>11644</v>
      </c>
      <c r="O15" s="218">
        <v>1.51132022000183E14</v>
      </c>
      <c r="P15" s="222">
        <v>1.684012E7</v>
      </c>
      <c r="Q15" s="222">
        <v>1.684012E7</v>
      </c>
      <c r="R15" s="222">
        <v>1.684012E7</v>
      </c>
      <c r="S15" s="222">
        <v>9805115.85</v>
      </c>
    </row>
    <row r="16">
      <c r="A16" s="218" t="s">
        <v>11355</v>
      </c>
      <c r="B16" s="218" t="s">
        <v>11669</v>
      </c>
      <c r="C16" s="456">
        <v>44571.0</v>
      </c>
      <c r="D16" s="218">
        <v>3.0</v>
      </c>
      <c r="E16" s="218">
        <v>401091.0</v>
      </c>
      <c r="G16" s="218" t="s">
        <v>11642</v>
      </c>
      <c r="H16" s="218">
        <v>80013.0</v>
      </c>
      <c r="I16" s="218" t="s">
        <v>11670</v>
      </c>
      <c r="J16" s="218">
        <v>15113.0</v>
      </c>
      <c r="K16" s="218">
        <v>192128.0</v>
      </c>
      <c r="L16" s="218">
        <v>1.0E8</v>
      </c>
      <c r="M16" s="218">
        <v>339049.0</v>
      </c>
      <c r="N16" s="218" t="s">
        <v>11644</v>
      </c>
      <c r="O16" s="218">
        <v>1.51132022000182E14</v>
      </c>
      <c r="P16" s="222">
        <v>55015.0</v>
      </c>
      <c r="Q16" s="222">
        <v>55015.0</v>
      </c>
      <c r="R16" s="222">
        <v>55015.0</v>
      </c>
      <c r="S16" s="222">
        <v>55015.0</v>
      </c>
    </row>
    <row r="17">
      <c r="A17" s="218" t="s">
        <v>11355</v>
      </c>
      <c r="B17" s="218" t="s">
        <v>11671</v>
      </c>
      <c r="C17" s="456">
        <v>44571.0</v>
      </c>
      <c r="D17" s="218">
        <v>3.0</v>
      </c>
      <c r="E17" s="218">
        <v>401091.0</v>
      </c>
      <c r="G17" s="218" t="s">
        <v>11642</v>
      </c>
      <c r="H17" s="218">
        <v>80013.0</v>
      </c>
      <c r="I17" s="218" t="s">
        <v>11672</v>
      </c>
      <c r="J17" s="218">
        <v>15113.0</v>
      </c>
      <c r="K17" s="218">
        <v>192130.0</v>
      </c>
      <c r="L17" s="218">
        <v>1.0E8</v>
      </c>
      <c r="M17" s="218">
        <v>339008.0</v>
      </c>
      <c r="N17" s="218" t="s">
        <v>11644</v>
      </c>
      <c r="O17" s="218">
        <v>1.51132022000185E14</v>
      </c>
      <c r="P17" s="222">
        <v>259605.0</v>
      </c>
      <c r="Q17" s="222">
        <v>259605.0</v>
      </c>
      <c r="R17" s="222">
        <v>259605.0</v>
      </c>
      <c r="S17" s="222">
        <v>124790.73</v>
      </c>
    </row>
    <row r="18">
      <c r="A18" s="218" t="s">
        <v>11355</v>
      </c>
      <c r="B18" s="218" t="s">
        <v>11673</v>
      </c>
      <c r="C18" s="456">
        <v>44571.0</v>
      </c>
      <c r="D18" s="218">
        <v>3.0</v>
      </c>
      <c r="E18" s="218">
        <v>401091.0</v>
      </c>
      <c r="G18" s="218" t="s">
        <v>11642</v>
      </c>
      <c r="H18" s="218">
        <v>80013.0</v>
      </c>
      <c r="I18" s="218" t="s">
        <v>11674</v>
      </c>
      <c r="J18" s="218">
        <v>15113.0</v>
      </c>
      <c r="K18" s="218">
        <v>168101.0</v>
      </c>
      <c r="L18" s="218">
        <v>1.51E8</v>
      </c>
      <c r="M18" s="218">
        <v>339093.0</v>
      </c>
      <c r="N18" s="218" t="s">
        <v>11644</v>
      </c>
      <c r="O18" s="218">
        <v>1.51132022000168E14</v>
      </c>
      <c r="P18" s="222">
        <v>2.0422123E7</v>
      </c>
      <c r="Q18" s="222">
        <v>2.0422123E7</v>
      </c>
      <c r="R18" s="222">
        <v>2.0422123E7</v>
      </c>
      <c r="S18" s="222">
        <v>1.398692805E7</v>
      </c>
    </row>
    <row r="19">
      <c r="A19" s="218" t="s">
        <v>459</v>
      </c>
      <c r="B19" s="218" t="s">
        <v>11675</v>
      </c>
      <c r="C19" s="456">
        <v>44571.0</v>
      </c>
      <c r="D19" s="218">
        <v>3.0</v>
      </c>
      <c r="E19" s="218">
        <v>401091.0</v>
      </c>
      <c r="G19" s="218" t="s">
        <v>11676</v>
      </c>
      <c r="H19" s="218">
        <v>3.658432000182E12</v>
      </c>
      <c r="I19" s="218" t="s">
        <v>11677</v>
      </c>
      <c r="J19" s="218">
        <v>15113.0</v>
      </c>
      <c r="K19" s="218">
        <v>168101.0</v>
      </c>
      <c r="L19" s="218">
        <v>1.51E8</v>
      </c>
      <c r="M19" s="218">
        <v>339039.0</v>
      </c>
      <c r="N19" s="218" t="s">
        <v>11644</v>
      </c>
      <c r="O19" s="218">
        <v>1.5113202200017E14</v>
      </c>
      <c r="P19" s="222">
        <v>5219500.0</v>
      </c>
      <c r="Q19" s="222">
        <v>5219500.0</v>
      </c>
      <c r="R19" s="222">
        <v>5219500.0</v>
      </c>
      <c r="S19" s="222">
        <v>3895485.71</v>
      </c>
    </row>
    <row r="20">
      <c r="A20" s="218" t="s">
        <v>11355</v>
      </c>
      <c r="B20" s="218" t="s">
        <v>11678</v>
      </c>
      <c r="C20" s="456">
        <v>44572.0</v>
      </c>
      <c r="D20" s="218">
        <v>3.0</v>
      </c>
      <c r="E20" s="218">
        <v>401091.0</v>
      </c>
      <c r="G20" s="218" t="s">
        <v>11642</v>
      </c>
      <c r="H20" s="218">
        <v>80013.0</v>
      </c>
      <c r="I20" s="218" t="s">
        <v>11679</v>
      </c>
      <c r="J20" s="218">
        <v>15113.0</v>
      </c>
      <c r="K20" s="218">
        <v>168109.0</v>
      </c>
      <c r="L20" s="218">
        <v>1.0E8</v>
      </c>
      <c r="M20" s="218">
        <v>339036.0</v>
      </c>
      <c r="N20" s="218" t="s">
        <v>11644</v>
      </c>
      <c r="O20" s="218">
        <v>1.51132022000115E14</v>
      </c>
      <c r="P20" s="222">
        <v>5000.0</v>
      </c>
      <c r="Q20" s="222">
        <v>5000.0</v>
      </c>
      <c r="R20" s="222">
        <v>5000.0</v>
      </c>
      <c r="S20" s="222">
        <v>1575.0</v>
      </c>
    </row>
    <row r="21">
      <c r="A21" s="218" t="s">
        <v>11355</v>
      </c>
      <c r="B21" s="218" t="s">
        <v>11680</v>
      </c>
      <c r="C21" s="456">
        <v>44572.0</v>
      </c>
      <c r="D21" s="218">
        <v>3.0</v>
      </c>
      <c r="E21" s="218">
        <v>401091.0</v>
      </c>
      <c r="G21" s="218" t="s">
        <v>11642</v>
      </c>
      <c r="H21" s="218">
        <v>80013.0</v>
      </c>
      <c r="I21" s="218" t="s">
        <v>11681</v>
      </c>
      <c r="J21" s="218">
        <v>15113.0</v>
      </c>
      <c r="K21" s="218">
        <v>168108.0</v>
      </c>
      <c r="L21" s="218">
        <v>1.0E8</v>
      </c>
      <c r="M21" s="218">
        <v>339036.0</v>
      </c>
      <c r="N21" s="218" t="s">
        <v>11644</v>
      </c>
      <c r="O21" s="218">
        <v>1.51132022000128E14</v>
      </c>
      <c r="P21" s="222">
        <v>5000.0</v>
      </c>
      <c r="Q21" s="222">
        <v>5000.0</v>
      </c>
      <c r="R21" s="222">
        <v>5000.0</v>
      </c>
      <c r="S21" s="222">
        <v>5000.0</v>
      </c>
    </row>
    <row r="22">
      <c r="A22" s="218" t="s">
        <v>11355</v>
      </c>
      <c r="B22" s="218" t="s">
        <v>11682</v>
      </c>
      <c r="C22" s="456">
        <v>44572.0</v>
      </c>
      <c r="D22" s="218">
        <v>3.0</v>
      </c>
      <c r="E22" s="218">
        <v>401091.0</v>
      </c>
      <c r="G22" s="218" t="s">
        <v>11642</v>
      </c>
      <c r="H22" s="218">
        <v>80013.0</v>
      </c>
      <c r="I22" s="218" t="s">
        <v>11683</v>
      </c>
      <c r="J22" s="218">
        <v>15113.0</v>
      </c>
      <c r="K22" s="218">
        <v>168105.0</v>
      </c>
      <c r="L22" s="218">
        <v>1.0E8</v>
      </c>
      <c r="M22" s="218">
        <v>339014.0</v>
      </c>
      <c r="N22" s="218" t="s">
        <v>11644</v>
      </c>
      <c r="O22" s="218">
        <v>1.51132022000202E14</v>
      </c>
      <c r="P22" s="222">
        <v>500000.0</v>
      </c>
      <c r="Q22" s="222">
        <v>500000.0</v>
      </c>
      <c r="R22" s="222">
        <v>500000.0</v>
      </c>
      <c r="S22" s="222">
        <v>424742.0</v>
      </c>
    </row>
    <row r="23">
      <c r="A23" s="218" t="s">
        <v>11355</v>
      </c>
      <c r="B23" s="218" t="s">
        <v>11684</v>
      </c>
      <c r="C23" s="456">
        <v>44572.0</v>
      </c>
      <c r="D23" s="218">
        <v>3.0</v>
      </c>
      <c r="E23" s="218">
        <v>401091.0</v>
      </c>
      <c r="G23" s="218" t="s">
        <v>11642</v>
      </c>
      <c r="H23" s="218">
        <v>80013.0</v>
      </c>
      <c r="I23" s="218" t="s">
        <v>11685</v>
      </c>
      <c r="J23" s="218">
        <v>15113.0</v>
      </c>
      <c r="K23" s="218">
        <v>168105.0</v>
      </c>
      <c r="L23" s="218">
        <v>1.0E8</v>
      </c>
      <c r="M23" s="218">
        <v>339093.0</v>
      </c>
      <c r="N23" s="218" t="s">
        <v>11644</v>
      </c>
      <c r="O23" s="218">
        <v>1.51132022000199E14</v>
      </c>
      <c r="P23" s="222">
        <v>1445000.0</v>
      </c>
      <c r="Q23" s="222">
        <v>1445000.0</v>
      </c>
      <c r="R23" s="222">
        <v>1445000.0</v>
      </c>
      <c r="S23" s="222">
        <v>1138760.55</v>
      </c>
    </row>
    <row r="24">
      <c r="A24" s="218" t="s">
        <v>11355</v>
      </c>
      <c r="B24" s="218" t="s">
        <v>11686</v>
      </c>
      <c r="C24" s="456">
        <v>44572.0</v>
      </c>
      <c r="D24" s="218">
        <v>3.0</v>
      </c>
      <c r="E24" s="218">
        <v>401091.0</v>
      </c>
      <c r="G24" s="218" t="s">
        <v>11642</v>
      </c>
      <c r="H24" s="218">
        <v>80013.0</v>
      </c>
      <c r="I24" s="218" t="s">
        <v>11687</v>
      </c>
      <c r="J24" s="218">
        <v>15113.0</v>
      </c>
      <c r="K24" s="218">
        <v>168105.0</v>
      </c>
      <c r="L24" s="218">
        <v>1.0E8</v>
      </c>
      <c r="M24" s="218">
        <v>339036.0</v>
      </c>
      <c r="N24" s="218" t="s">
        <v>11644</v>
      </c>
      <c r="O24" s="218">
        <v>1.51132022000203E14</v>
      </c>
      <c r="P24" s="222">
        <v>600000.0</v>
      </c>
      <c r="Q24" s="222">
        <v>600000.0</v>
      </c>
      <c r="R24" s="222">
        <v>600000.0</v>
      </c>
      <c r="S24" s="222">
        <v>396824.56</v>
      </c>
    </row>
    <row r="25">
      <c r="A25" s="218" t="s">
        <v>11355</v>
      </c>
      <c r="B25" s="218" t="s">
        <v>11688</v>
      </c>
      <c r="C25" s="456">
        <v>44572.0</v>
      </c>
      <c r="D25" s="218">
        <v>3.0</v>
      </c>
      <c r="E25" s="218">
        <v>401091.0</v>
      </c>
      <c r="G25" s="218" t="s">
        <v>11642</v>
      </c>
      <c r="H25" s="218">
        <v>80013.0</v>
      </c>
      <c r="I25" s="218" t="s">
        <v>11689</v>
      </c>
      <c r="J25" s="218">
        <v>15113.0</v>
      </c>
      <c r="K25" s="218">
        <v>168105.0</v>
      </c>
      <c r="L25" s="218">
        <v>1.0E8</v>
      </c>
      <c r="M25" s="218">
        <v>339049.0</v>
      </c>
      <c r="N25" s="218" t="s">
        <v>11644</v>
      </c>
      <c r="O25" s="218">
        <v>1.51132022000194E14</v>
      </c>
      <c r="P25" s="222">
        <v>50000.0</v>
      </c>
      <c r="Q25" s="222">
        <v>50000.0</v>
      </c>
      <c r="R25" s="222">
        <v>50000.0</v>
      </c>
      <c r="S25" s="222">
        <v>40720.0</v>
      </c>
    </row>
    <row r="26">
      <c r="A26" s="218" t="s">
        <v>11355</v>
      </c>
      <c r="B26" s="218" t="s">
        <v>11690</v>
      </c>
      <c r="C26" s="456">
        <v>44572.0</v>
      </c>
      <c r="D26" s="218">
        <v>3.0</v>
      </c>
      <c r="E26" s="218">
        <v>401091.0</v>
      </c>
      <c r="G26" s="218" t="s">
        <v>11642</v>
      </c>
      <c r="H26" s="218">
        <v>80013.0</v>
      </c>
      <c r="I26" s="218" t="s">
        <v>11691</v>
      </c>
      <c r="J26" s="218">
        <v>15113.0</v>
      </c>
      <c r="K26" s="218">
        <v>168097.0</v>
      </c>
      <c r="L26" s="218">
        <v>1.0E8</v>
      </c>
      <c r="M26" s="218">
        <v>339036.0</v>
      </c>
      <c r="N26" s="218" t="s">
        <v>11644</v>
      </c>
      <c r="O26" s="218">
        <v>1.51132022000204E14</v>
      </c>
      <c r="P26" s="222">
        <v>4166666.0</v>
      </c>
      <c r="Q26" s="222">
        <v>4166666.0</v>
      </c>
      <c r="R26" s="222">
        <v>4166666.0</v>
      </c>
      <c r="S26" s="222">
        <v>3668555.13</v>
      </c>
    </row>
    <row r="27">
      <c r="A27" s="218" t="s">
        <v>9331</v>
      </c>
      <c r="B27" s="218" t="s">
        <v>11692</v>
      </c>
      <c r="C27" s="456">
        <v>44572.0</v>
      </c>
      <c r="D27" s="218">
        <v>3.0</v>
      </c>
      <c r="E27" s="218">
        <v>401091.0</v>
      </c>
      <c r="G27" s="218" t="s">
        <v>11650</v>
      </c>
      <c r="H27" s="218">
        <v>510001.0</v>
      </c>
      <c r="I27" s="218" t="s">
        <v>11693</v>
      </c>
      <c r="J27" s="218">
        <v>15113.0</v>
      </c>
      <c r="K27" s="218">
        <v>168097.0</v>
      </c>
      <c r="L27" s="218">
        <v>1.0E8</v>
      </c>
      <c r="M27" s="218">
        <v>339147.0</v>
      </c>
      <c r="N27" s="218" t="s">
        <v>11644</v>
      </c>
      <c r="O27" s="218">
        <v>1.51132022000205E14</v>
      </c>
      <c r="P27" s="222">
        <v>801794.0</v>
      </c>
      <c r="Q27" s="222">
        <v>801794.0</v>
      </c>
      <c r="R27" s="222">
        <v>801794.0</v>
      </c>
      <c r="S27" s="222">
        <v>703968.95</v>
      </c>
    </row>
    <row r="28">
      <c r="A28" s="218" t="s">
        <v>11355</v>
      </c>
      <c r="B28" s="218" t="s">
        <v>11694</v>
      </c>
      <c r="C28" s="456">
        <v>44572.0</v>
      </c>
      <c r="D28" s="218">
        <v>3.0</v>
      </c>
      <c r="E28" s="218">
        <v>401091.0</v>
      </c>
      <c r="G28" s="218" t="s">
        <v>11642</v>
      </c>
      <c r="H28" s="218">
        <v>80013.0</v>
      </c>
      <c r="I28" s="218" t="s">
        <v>11695</v>
      </c>
      <c r="J28" s="218">
        <v>15113.0</v>
      </c>
      <c r="K28" s="218">
        <v>168105.0</v>
      </c>
      <c r="L28" s="218">
        <v>1.0E8</v>
      </c>
      <c r="M28" s="218">
        <v>339030.0</v>
      </c>
      <c r="N28" s="218" t="s">
        <v>11644</v>
      </c>
      <c r="O28" s="218">
        <v>1.51132022000196E14</v>
      </c>
      <c r="P28" s="222">
        <v>25000.0</v>
      </c>
      <c r="Q28" s="222">
        <v>25000.0</v>
      </c>
      <c r="R28" s="222">
        <v>25000.0</v>
      </c>
      <c r="S28" s="222">
        <v>7100.07</v>
      </c>
    </row>
    <row r="29">
      <c r="A29" s="218" t="s">
        <v>11355</v>
      </c>
      <c r="B29" s="218" t="s">
        <v>11696</v>
      </c>
      <c r="C29" s="456">
        <v>44572.0</v>
      </c>
      <c r="D29" s="218">
        <v>3.0</v>
      </c>
      <c r="E29" s="218">
        <v>401091.0</v>
      </c>
      <c r="G29" s="218" t="s">
        <v>11642</v>
      </c>
      <c r="H29" s="218">
        <v>80013.0</v>
      </c>
      <c r="I29" s="218" t="s">
        <v>11695</v>
      </c>
      <c r="J29" s="218">
        <v>15113.0</v>
      </c>
      <c r="K29" s="218">
        <v>168105.0</v>
      </c>
      <c r="L29" s="218">
        <v>1.0E8</v>
      </c>
      <c r="M29" s="218">
        <v>339036.0</v>
      </c>
      <c r="N29" s="218" t="s">
        <v>11644</v>
      </c>
      <c r="O29" s="218">
        <v>1.51132022000195E14</v>
      </c>
      <c r="P29" s="218">
        <v>800.0</v>
      </c>
      <c r="Q29" s="218">
        <v>800.0</v>
      </c>
      <c r="R29" s="218">
        <v>800.0</v>
      </c>
      <c r="S29" s="218">
        <v>800.0</v>
      </c>
    </row>
    <row r="30">
      <c r="A30" s="218" t="s">
        <v>11355</v>
      </c>
      <c r="B30" s="218" t="s">
        <v>11697</v>
      </c>
      <c r="C30" s="456">
        <v>44572.0</v>
      </c>
      <c r="D30" s="218">
        <v>3.0</v>
      </c>
      <c r="E30" s="218">
        <v>401091.0</v>
      </c>
      <c r="G30" s="218" t="s">
        <v>11642</v>
      </c>
      <c r="H30" s="218">
        <v>80013.0</v>
      </c>
      <c r="I30" s="218" t="s">
        <v>11695</v>
      </c>
      <c r="J30" s="218">
        <v>15113.0</v>
      </c>
      <c r="K30" s="218">
        <v>168105.0</v>
      </c>
      <c r="L30" s="218">
        <v>1.0E8</v>
      </c>
      <c r="M30" s="218">
        <v>339039.0</v>
      </c>
      <c r="N30" s="218" t="s">
        <v>11644</v>
      </c>
      <c r="O30" s="218">
        <v>1.511320220002E14</v>
      </c>
      <c r="P30" s="218">
        <v>0.0</v>
      </c>
      <c r="Q30" s="218">
        <v>0.0</v>
      </c>
      <c r="R30" s="218">
        <v>0.0</v>
      </c>
      <c r="S30" s="218">
        <v>0.0</v>
      </c>
    </row>
    <row r="31">
      <c r="A31" s="218" t="s">
        <v>9331</v>
      </c>
      <c r="B31" s="218" t="s">
        <v>11698</v>
      </c>
      <c r="C31" s="456">
        <v>44572.0</v>
      </c>
      <c r="D31" s="218">
        <v>3.0</v>
      </c>
      <c r="E31" s="218">
        <v>401091.0</v>
      </c>
      <c r="G31" s="218" t="s">
        <v>11650</v>
      </c>
      <c r="H31" s="218">
        <v>510001.0</v>
      </c>
      <c r="I31" s="218" t="s">
        <v>11699</v>
      </c>
      <c r="J31" s="218">
        <v>15113.0</v>
      </c>
      <c r="K31" s="218">
        <v>168105.0</v>
      </c>
      <c r="L31" s="218">
        <v>1.0E8</v>
      </c>
      <c r="M31" s="218">
        <v>339147.0</v>
      </c>
      <c r="N31" s="218" t="s">
        <v>11644</v>
      </c>
      <c r="O31" s="218">
        <v>1.51132022000198E14</v>
      </c>
      <c r="P31" s="218">
        <v>160.0</v>
      </c>
      <c r="Q31" s="218">
        <v>160.0</v>
      </c>
      <c r="R31" s="218">
        <v>160.0</v>
      </c>
      <c r="S31" s="218">
        <v>160.0</v>
      </c>
    </row>
    <row r="32">
      <c r="A32" s="218" t="s">
        <v>11355</v>
      </c>
      <c r="B32" s="218" t="s">
        <v>11700</v>
      </c>
      <c r="C32" s="456">
        <v>44572.0</v>
      </c>
      <c r="D32" s="218">
        <v>3.0</v>
      </c>
      <c r="E32" s="218">
        <v>401091.0</v>
      </c>
      <c r="G32" s="218" t="s">
        <v>11642</v>
      </c>
      <c r="H32" s="218">
        <v>80013.0</v>
      </c>
      <c r="I32" s="218" t="s">
        <v>11701</v>
      </c>
      <c r="J32" s="218">
        <v>15113.0</v>
      </c>
      <c r="K32" s="218">
        <v>168109.0</v>
      </c>
      <c r="L32" s="218">
        <v>1.0E8</v>
      </c>
      <c r="M32" s="218">
        <v>339014.0</v>
      </c>
      <c r="N32" s="218" t="s">
        <v>11644</v>
      </c>
      <c r="O32" s="218">
        <v>1.51132022000122E14</v>
      </c>
      <c r="P32" s="222">
        <v>280000.0</v>
      </c>
      <c r="Q32" s="222">
        <v>280000.0</v>
      </c>
      <c r="R32" s="222">
        <v>280000.0</v>
      </c>
      <c r="S32" s="222">
        <v>247099.87</v>
      </c>
    </row>
    <row r="33">
      <c r="A33" s="218" t="s">
        <v>11355</v>
      </c>
      <c r="B33" s="218" t="s">
        <v>11702</v>
      </c>
      <c r="C33" s="456">
        <v>44572.0</v>
      </c>
      <c r="D33" s="218">
        <v>3.0</v>
      </c>
      <c r="E33" s="218">
        <v>401091.0</v>
      </c>
      <c r="G33" s="218" t="s">
        <v>11642</v>
      </c>
      <c r="H33" s="218">
        <v>80013.0</v>
      </c>
      <c r="I33" s="218" t="s">
        <v>11703</v>
      </c>
      <c r="J33" s="218">
        <v>15113.0</v>
      </c>
      <c r="K33" s="218">
        <v>168109.0</v>
      </c>
      <c r="L33" s="218">
        <v>1.0E8</v>
      </c>
      <c r="M33" s="218">
        <v>339093.0</v>
      </c>
      <c r="N33" s="218" t="s">
        <v>11644</v>
      </c>
      <c r="O33" s="218">
        <v>1.51132022000124E14</v>
      </c>
      <c r="P33" s="222">
        <v>26000.0</v>
      </c>
      <c r="Q33" s="222">
        <v>26000.0</v>
      </c>
      <c r="R33" s="222">
        <v>26000.0</v>
      </c>
      <c r="S33" s="222">
        <v>23379.62</v>
      </c>
    </row>
    <row r="34">
      <c r="A34" s="218" t="s">
        <v>11704</v>
      </c>
      <c r="B34" s="218" t="s">
        <v>11705</v>
      </c>
      <c r="C34" s="456">
        <v>44572.0</v>
      </c>
      <c r="D34" s="218">
        <v>3.0</v>
      </c>
      <c r="E34" s="218">
        <v>401091.0</v>
      </c>
      <c r="F34" s="218"/>
      <c r="G34" s="218" t="s">
        <v>11706</v>
      </c>
      <c r="H34" s="218">
        <v>2.875297600013E13</v>
      </c>
      <c r="I34" s="218" t="s">
        <v>11707</v>
      </c>
      <c r="J34" s="218">
        <v>15113.0</v>
      </c>
      <c r="K34" s="218">
        <v>168105.0</v>
      </c>
      <c r="L34" s="218">
        <v>1.0E8</v>
      </c>
      <c r="M34" s="218">
        <v>339030.0</v>
      </c>
      <c r="N34" s="218" t="s">
        <v>11708</v>
      </c>
      <c r="O34" s="218">
        <v>1.51132022000062E14</v>
      </c>
      <c r="P34" s="222">
        <v>15403.6</v>
      </c>
      <c r="Q34" s="222">
        <v>15403.6</v>
      </c>
      <c r="R34" s="222">
        <v>15403.6</v>
      </c>
      <c r="S34" s="222">
        <v>12702.15</v>
      </c>
    </row>
    <row r="35">
      <c r="A35" s="218" t="s">
        <v>11704</v>
      </c>
      <c r="B35" s="218" t="s">
        <v>11709</v>
      </c>
      <c r="C35" s="456">
        <v>44572.0</v>
      </c>
      <c r="D35" s="218">
        <v>3.0</v>
      </c>
      <c r="E35" s="218">
        <v>401091.0</v>
      </c>
      <c r="G35" s="218" t="s">
        <v>11710</v>
      </c>
      <c r="H35" s="218">
        <v>3.0510775000178E13</v>
      </c>
      <c r="I35" s="218" t="s">
        <v>11711</v>
      </c>
      <c r="J35" s="218">
        <v>15113.0</v>
      </c>
      <c r="K35" s="218">
        <v>168105.0</v>
      </c>
      <c r="L35" s="218">
        <v>1.0E8</v>
      </c>
      <c r="M35" s="218">
        <v>339030.0</v>
      </c>
      <c r="N35" s="218" t="s">
        <v>11712</v>
      </c>
      <c r="O35" s="218">
        <v>1.51132022000062E14</v>
      </c>
      <c r="P35" s="222">
        <v>1026.0</v>
      </c>
      <c r="Q35" s="222">
        <v>1026.0</v>
      </c>
      <c r="R35" s="222">
        <v>1026.0</v>
      </c>
      <c r="S35" s="222">
        <v>1012.5</v>
      </c>
    </row>
    <row r="36">
      <c r="A36" s="218" t="s">
        <v>11704</v>
      </c>
      <c r="B36" s="218" t="s">
        <v>11713</v>
      </c>
      <c r="C36" s="456">
        <v>44572.0</v>
      </c>
      <c r="D36" s="218">
        <v>3.0</v>
      </c>
      <c r="E36" s="218">
        <v>401091.0</v>
      </c>
      <c r="G36" s="218" t="s">
        <v>11714</v>
      </c>
      <c r="H36" s="218">
        <v>1.0817718000129E13</v>
      </c>
      <c r="I36" s="218" t="s">
        <v>11715</v>
      </c>
      <c r="J36" s="218">
        <v>15113.0</v>
      </c>
      <c r="K36" s="218">
        <v>168105.0</v>
      </c>
      <c r="L36" s="218">
        <v>1.0E8</v>
      </c>
      <c r="M36" s="218">
        <v>339039.0</v>
      </c>
      <c r="N36" s="218" t="s">
        <v>11716</v>
      </c>
      <c r="O36" s="218">
        <v>1.51132022000046E14</v>
      </c>
      <c r="P36" s="222">
        <v>122226.0</v>
      </c>
      <c r="Q36" s="222">
        <v>122226.0</v>
      </c>
      <c r="R36" s="222">
        <v>122226.0</v>
      </c>
      <c r="S36" s="222">
        <v>93013.0</v>
      </c>
    </row>
    <row r="37">
      <c r="A37" s="218" t="s">
        <v>11704</v>
      </c>
      <c r="B37" s="218" t="s">
        <v>11717</v>
      </c>
      <c r="C37" s="456">
        <v>44572.0</v>
      </c>
      <c r="D37" s="218">
        <v>3.0</v>
      </c>
      <c r="E37" s="218">
        <v>401091.0</v>
      </c>
      <c r="G37" s="218" t="s">
        <v>11718</v>
      </c>
      <c r="H37" s="218">
        <v>1.5307989000158E13</v>
      </c>
      <c r="I37" s="218" t="s">
        <v>11719</v>
      </c>
      <c r="J37" s="218">
        <v>15113.0</v>
      </c>
      <c r="K37" s="218">
        <v>168105.0</v>
      </c>
      <c r="L37" s="218">
        <v>1.0E8</v>
      </c>
      <c r="M37" s="218">
        <v>339039.0</v>
      </c>
      <c r="N37" s="218" t="s">
        <v>11720</v>
      </c>
      <c r="O37" s="218">
        <v>1.51132022000017E14</v>
      </c>
      <c r="P37" s="222">
        <v>14826.0</v>
      </c>
      <c r="Q37" s="222">
        <v>14826.0</v>
      </c>
      <c r="R37" s="222">
        <v>14826.0</v>
      </c>
      <c r="S37" s="222">
        <v>14826.0</v>
      </c>
    </row>
    <row r="38">
      <c r="A38" s="218" t="s">
        <v>9920</v>
      </c>
      <c r="B38" s="218" t="s">
        <v>11721</v>
      </c>
      <c r="C38" s="456">
        <v>44573.0</v>
      </c>
      <c r="D38" s="218">
        <v>3.0</v>
      </c>
      <c r="E38" s="218">
        <v>401091.0</v>
      </c>
      <c r="G38" s="218" t="s">
        <v>11722</v>
      </c>
      <c r="H38" s="218">
        <v>4.553788000114E12</v>
      </c>
      <c r="I38" s="218" t="s">
        <v>11723</v>
      </c>
      <c r="J38" s="218">
        <v>15113.0</v>
      </c>
      <c r="K38" s="218">
        <v>168105.0</v>
      </c>
      <c r="L38" s="218">
        <v>1.7015113E8</v>
      </c>
      <c r="M38" s="218">
        <v>339030.0</v>
      </c>
      <c r="N38" s="218" t="s">
        <v>9924</v>
      </c>
      <c r="O38" s="218">
        <v>1.51132022000192E14</v>
      </c>
      <c r="P38" s="222">
        <v>20000.0</v>
      </c>
      <c r="Q38" s="222">
        <v>20000.0</v>
      </c>
      <c r="R38" s="222">
        <v>20000.0</v>
      </c>
      <c r="S38" s="222">
        <v>15528.99</v>
      </c>
    </row>
    <row r="39">
      <c r="A39" s="218" t="s">
        <v>9920</v>
      </c>
      <c r="B39" s="218" t="s">
        <v>11724</v>
      </c>
      <c r="C39" s="456">
        <v>44573.0</v>
      </c>
      <c r="D39" s="218">
        <v>3.0</v>
      </c>
      <c r="E39" s="218">
        <v>401091.0</v>
      </c>
      <c r="G39" s="218" t="s">
        <v>11722</v>
      </c>
      <c r="H39" s="218">
        <v>4.553788000114E12</v>
      </c>
      <c r="I39" s="218" t="s">
        <v>11725</v>
      </c>
      <c r="J39" s="218">
        <v>15113.0</v>
      </c>
      <c r="K39" s="218">
        <v>168105.0</v>
      </c>
      <c r="L39" s="218">
        <v>1.7015113E8</v>
      </c>
      <c r="M39" s="218">
        <v>339039.0</v>
      </c>
      <c r="N39" s="218" t="s">
        <v>9924</v>
      </c>
      <c r="O39" s="218">
        <v>1.51132022000192E14</v>
      </c>
      <c r="P39" s="222">
        <v>10000.0</v>
      </c>
      <c r="Q39" s="222">
        <v>10000.0</v>
      </c>
      <c r="R39" s="222">
        <v>10000.0</v>
      </c>
      <c r="S39" s="222">
        <v>9771.05</v>
      </c>
    </row>
    <row r="40">
      <c r="A40" s="218" t="s">
        <v>11355</v>
      </c>
      <c r="B40" s="218" t="s">
        <v>11726</v>
      </c>
      <c r="C40" s="456">
        <v>44573.0</v>
      </c>
      <c r="D40" s="218">
        <v>3.0</v>
      </c>
      <c r="E40" s="218">
        <v>401091.0</v>
      </c>
      <c r="G40" s="218" t="s">
        <v>11642</v>
      </c>
      <c r="H40" s="218">
        <v>80013.0</v>
      </c>
      <c r="I40" s="218" t="s">
        <v>11695</v>
      </c>
      <c r="J40" s="218">
        <v>15113.0</v>
      </c>
      <c r="K40" s="218">
        <v>168105.0</v>
      </c>
      <c r="L40" s="218">
        <v>1.0E8</v>
      </c>
      <c r="M40" s="218">
        <v>339039.0</v>
      </c>
      <c r="N40" s="218" t="s">
        <v>11644</v>
      </c>
      <c r="O40" s="218">
        <v>1.511320220002E14</v>
      </c>
      <c r="P40" s="222">
        <v>14040.0</v>
      </c>
      <c r="Q40" s="222">
        <v>14040.0</v>
      </c>
      <c r="R40" s="222">
        <v>14040.0</v>
      </c>
      <c r="S40" s="222">
        <v>4340.0</v>
      </c>
    </row>
    <row r="41">
      <c r="A41" s="218" t="s">
        <v>343</v>
      </c>
      <c r="B41" s="218" t="s">
        <v>11727</v>
      </c>
      <c r="C41" s="456">
        <v>44573.0</v>
      </c>
      <c r="D41" s="218">
        <v>3.0</v>
      </c>
      <c r="E41" s="218">
        <v>401091.0</v>
      </c>
      <c r="G41" s="218" t="s">
        <v>11728</v>
      </c>
      <c r="H41" s="218">
        <v>6.0973430001E12</v>
      </c>
      <c r="I41" s="218" t="s">
        <v>11729</v>
      </c>
      <c r="J41" s="218">
        <v>15113.0</v>
      </c>
      <c r="K41" s="218">
        <v>168105.0</v>
      </c>
      <c r="L41" s="218">
        <v>1.0E8</v>
      </c>
      <c r="M41" s="218">
        <v>339039.0</v>
      </c>
      <c r="N41" s="218" t="s">
        <v>11730</v>
      </c>
      <c r="O41" s="218">
        <v>1.51132022000006E14</v>
      </c>
      <c r="P41" s="222">
        <v>7000.0</v>
      </c>
      <c r="Q41" s="222">
        <v>7000.0</v>
      </c>
      <c r="R41" s="222">
        <v>7000.0</v>
      </c>
      <c r="S41" s="222">
        <v>7000.0</v>
      </c>
    </row>
    <row r="42">
      <c r="A42" s="218" t="s">
        <v>343</v>
      </c>
      <c r="B42" s="218" t="s">
        <v>11731</v>
      </c>
      <c r="C42" s="456">
        <v>44573.0</v>
      </c>
      <c r="D42" s="218">
        <v>3.0</v>
      </c>
      <c r="E42" s="218">
        <v>401091.0</v>
      </c>
      <c r="G42" s="218" t="s">
        <v>11728</v>
      </c>
      <c r="H42" s="218">
        <v>6.0973430001E12</v>
      </c>
      <c r="I42" s="218" t="s">
        <v>11732</v>
      </c>
      <c r="J42" s="218">
        <v>15113.0</v>
      </c>
      <c r="K42" s="218">
        <v>168105.0</v>
      </c>
      <c r="L42" s="218">
        <v>1.0E8</v>
      </c>
      <c r="M42" s="218">
        <v>339030.0</v>
      </c>
      <c r="N42" s="218" t="s">
        <v>11730</v>
      </c>
      <c r="O42" s="218">
        <v>1.51132022000009E14</v>
      </c>
      <c r="P42" s="222">
        <v>5000.0</v>
      </c>
      <c r="Q42" s="222">
        <v>5000.0</v>
      </c>
      <c r="R42" s="222">
        <v>5000.0</v>
      </c>
      <c r="S42" s="222">
        <v>5000.0</v>
      </c>
    </row>
    <row r="43">
      <c r="A43" s="218" t="s">
        <v>781</v>
      </c>
      <c r="B43" s="218" t="s">
        <v>11733</v>
      </c>
      <c r="C43" s="456">
        <v>44573.0</v>
      </c>
      <c r="D43" s="218">
        <v>1.0</v>
      </c>
      <c r="E43" s="218">
        <v>401091.0</v>
      </c>
      <c r="G43" s="218" t="s">
        <v>8644</v>
      </c>
      <c r="H43" s="218">
        <v>4.2940052972E10</v>
      </c>
      <c r="I43" s="218" t="s">
        <v>11734</v>
      </c>
      <c r="J43" s="218">
        <v>15113.0</v>
      </c>
      <c r="K43" s="218">
        <v>168105.0</v>
      </c>
      <c r="L43" s="218">
        <v>1.5015113E8</v>
      </c>
      <c r="M43" s="218">
        <v>339092.0</v>
      </c>
      <c r="N43" s="218" t="s">
        <v>9467</v>
      </c>
      <c r="O43" s="218">
        <v>1.5113202200006E14</v>
      </c>
      <c r="P43" s="218">
        <v>100.0</v>
      </c>
      <c r="Q43" s="218">
        <v>100.0</v>
      </c>
      <c r="R43" s="218">
        <v>100.0</v>
      </c>
      <c r="S43" s="218">
        <v>0.0</v>
      </c>
    </row>
    <row r="44">
      <c r="A44" s="218" t="s">
        <v>11704</v>
      </c>
      <c r="B44" s="218" t="s">
        <v>11735</v>
      </c>
      <c r="C44" s="456">
        <v>44573.0</v>
      </c>
      <c r="D44" s="218">
        <v>1.0</v>
      </c>
      <c r="E44" s="218">
        <v>401091.0</v>
      </c>
      <c r="G44" s="218" t="s">
        <v>11736</v>
      </c>
      <c r="H44" s="218">
        <v>5.66692500019E12</v>
      </c>
      <c r="I44" s="218" t="s">
        <v>11737</v>
      </c>
      <c r="J44" s="218">
        <v>15113.0</v>
      </c>
      <c r="K44" s="218">
        <v>168105.0</v>
      </c>
      <c r="L44" s="218">
        <v>1.0E8</v>
      </c>
      <c r="M44" s="218">
        <v>339039.0</v>
      </c>
      <c r="N44" s="218" t="s">
        <v>11738</v>
      </c>
      <c r="O44" s="218">
        <v>1.51132022000027E14</v>
      </c>
      <c r="P44" s="218">
        <v>254.64</v>
      </c>
      <c r="Q44" s="218">
        <v>254.64</v>
      </c>
      <c r="R44" s="218">
        <v>254.64</v>
      </c>
      <c r="S44" s="218">
        <v>0.0</v>
      </c>
    </row>
    <row r="45">
      <c r="A45" s="218" t="s">
        <v>11704</v>
      </c>
      <c r="B45" s="218" t="s">
        <v>11739</v>
      </c>
      <c r="C45" s="456">
        <v>44573.0</v>
      </c>
      <c r="D45" s="218">
        <v>1.0</v>
      </c>
      <c r="E45" s="218">
        <v>401091.0</v>
      </c>
      <c r="G45" s="218" t="s">
        <v>11740</v>
      </c>
      <c r="H45" s="218">
        <v>3.2196811000104E13</v>
      </c>
      <c r="I45" s="218" t="s">
        <v>11741</v>
      </c>
      <c r="J45" s="218">
        <v>15113.0</v>
      </c>
      <c r="K45" s="218">
        <v>168105.0</v>
      </c>
      <c r="L45" s="218">
        <v>1.5015113E8</v>
      </c>
      <c r="M45" s="218">
        <v>339092.0</v>
      </c>
      <c r="N45" s="218" t="s">
        <v>11742</v>
      </c>
      <c r="O45" s="218">
        <v>1.51132022000068E14</v>
      </c>
      <c r="P45" s="218">
        <v>720.22</v>
      </c>
      <c r="Q45" s="218">
        <v>720.22</v>
      </c>
      <c r="R45" s="218">
        <v>720.22</v>
      </c>
      <c r="S45" s="218">
        <v>0.0</v>
      </c>
    </row>
    <row r="46">
      <c r="A46" s="218" t="s">
        <v>781</v>
      </c>
      <c r="B46" s="218" t="s">
        <v>11743</v>
      </c>
      <c r="C46" s="456">
        <v>44574.0</v>
      </c>
      <c r="D46" s="218">
        <v>1.0</v>
      </c>
      <c r="E46" s="218">
        <v>401091.0</v>
      </c>
      <c r="G46" s="218" t="s">
        <v>223</v>
      </c>
      <c r="H46" s="218">
        <v>4.0432544000147E13</v>
      </c>
      <c r="I46" s="218" t="s">
        <v>11744</v>
      </c>
      <c r="J46" s="218">
        <v>15113.0</v>
      </c>
      <c r="K46" s="218">
        <v>168105.0</v>
      </c>
      <c r="L46" s="218">
        <v>1.5015113E8</v>
      </c>
      <c r="M46" s="218">
        <v>339092.0</v>
      </c>
      <c r="N46" s="218" t="s">
        <v>10427</v>
      </c>
      <c r="O46" s="218">
        <v>1.51132022000036E14</v>
      </c>
      <c r="P46" s="218">
        <v>20.95</v>
      </c>
      <c r="Q46" s="218">
        <v>20.95</v>
      </c>
      <c r="R46" s="218">
        <v>20.95</v>
      </c>
      <c r="S46" s="218">
        <v>0.2</v>
      </c>
    </row>
    <row r="47">
      <c r="A47" s="218" t="s">
        <v>11355</v>
      </c>
      <c r="B47" s="218" t="s">
        <v>11745</v>
      </c>
      <c r="C47" s="456">
        <v>44574.0</v>
      </c>
      <c r="D47" s="218">
        <v>1.0</v>
      </c>
      <c r="E47" s="218">
        <v>401091.0</v>
      </c>
      <c r="G47" s="218" t="s">
        <v>6434</v>
      </c>
      <c r="H47" s="218">
        <v>4.6449426934E10</v>
      </c>
      <c r="I47" s="218" t="s">
        <v>11746</v>
      </c>
      <c r="J47" s="218">
        <v>15113.0</v>
      </c>
      <c r="K47" s="218">
        <v>168105.0</v>
      </c>
      <c r="L47" s="218">
        <v>1.5015113E8</v>
      </c>
      <c r="M47" s="218">
        <v>339092.0</v>
      </c>
      <c r="N47" s="218" t="s">
        <v>11747</v>
      </c>
      <c r="O47" s="218">
        <v>1.51132022000202E14</v>
      </c>
      <c r="P47" s="218">
        <v>0.0</v>
      </c>
      <c r="Q47" s="218">
        <v>0.0</v>
      </c>
      <c r="R47" s="218">
        <v>0.0</v>
      </c>
      <c r="S47" s="218">
        <v>0.0</v>
      </c>
    </row>
    <row r="48">
      <c r="A48" s="218" t="s">
        <v>11704</v>
      </c>
      <c r="B48" s="218" t="s">
        <v>11748</v>
      </c>
      <c r="C48" s="456">
        <v>44574.0</v>
      </c>
      <c r="D48" s="218">
        <v>3.0</v>
      </c>
      <c r="E48" s="218">
        <v>401091.0</v>
      </c>
      <c r="F48" s="218"/>
      <c r="G48" s="218" t="s">
        <v>11749</v>
      </c>
      <c r="H48" s="218">
        <v>9.11043000013E12</v>
      </c>
      <c r="I48" s="218" t="s">
        <v>11750</v>
      </c>
      <c r="J48" s="218">
        <v>15113.0</v>
      </c>
      <c r="K48" s="218">
        <v>168105.0</v>
      </c>
      <c r="L48" s="218">
        <v>1.0E8</v>
      </c>
      <c r="M48" s="218">
        <v>339030.0</v>
      </c>
      <c r="N48" s="218" t="s">
        <v>11751</v>
      </c>
      <c r="O48" s="218">
        <v>1.51132022000062E14</v>
      </c>
      <c r="P48" s="222">
        <v>1998.92</v>
      </c>
      <c r="Q48" s="222">
        <v>1998.92</v>
      </c>
      <c r="R48" s="222">
        <v>1998.92</v>
      </c>
      <c r="S48" s="222">
        <v>1998.92</v>
      </c>
    </row>
    <row r="49">
      <c r="A49" s="218" t="s">
        <v>11704</v>
      </c>
      <c r="B49" s="218" t="s">
        <v>11752</v>
      </c>
      <c r="C49" s="456">
        <v>44574.0</v>
      </c>
      <c r="D49" s="218">
        <v>3.0</v>
      </c>
      <c r="E49" s="218">
        <v>401091.0</v>
      </c>
      <c r="G49" s="218" t="s">
        <v>11753</v>
      </c>
      <c r="H49" s="218">
        <v>9.1524230001E12</v>
      </c>
      <c r="I49" s="218" t="s">
        <v>11754</v>
      </c>
      <c r="J49" s="218">
        <v>15113.0</v>
      </c>
      <c r="K49" s="218">
        <v>168105.0</v>
      </c>
      <c r="L49" s="218">
        <v>1.0E8</v>
      </c>
      <c r="M49" s="218">
        <v>339030.0</v>
      </c>
      <c r="N49" s="218" t="s">
        <v>11751</v>
      </c>
      <c r="O49" s="218">
        <v>1.51132022000062E14</v>
      </c>
      <c r="P49" s="222">
        <v>1270.5</v>
      </c>
      <c r="Q49" s="222">
        <v>1270.5</v>
      </c>
      <c r="R49" s="222">
        <v>1270.5</v>
      </c>
      <c r="S49" s="222">
        <v>1155.0</v>
      </c>
    </row>
    <row r="50">
      <c r="A50" s="218" t="s">
        <v>11704</v>
      </c>
      <c r="B50" s="218" t="s">
        <v>11755</v>
      </c>
      <c r="C50" s="456">
        <v>44574.0</v>
      </c>
      <c r="D50" s="218">
        <v>3.0</v>
      </c>
      <c r="E50" s="218">
        <v>401091.0</v>
      </c>
      <c r="G50" s="218" t="s">
        <v>11756</v>
      </c>
      <c r="H50" s="218">
        <v>9.484129000197E12</v>
      </c>
      <c r="I50" s="218" t="s">
        <v>11757</v>
      </c>
      <c r="J50" s="218">
        <v>15113.0</v>
      </c>
      <c r="K50" s="218">
        <v>168105.0</v>
      </c>
      <c r="L50" s="218">
        <v>1.0E8</v>
      </c>
      <c r="M50" s="218">
        <v>339030.0</v>
      </c>
      <c r="N50" s="218" t="s">
        <v>11751</v>
      </c>
      <c r="O50" s="218">
        <v>1.51132022000062E14</v>
      </c>
      <c r="P50" s="222">
        <v>2380.0</v>
      </c>
      <c r="Q50" s="222">
        <v>2380.0</v>
      </c>
      <c r="R50" s="222">
        <v>2380.0</v>
      </c>
      <c r="S50" s="222">
        <v>2380.0</v>
      </c>
    </row>
    <row r="51">
      <c r="A51" s="218" t="s">
        <v>11704</v>
      </c>
      <c r="B51" s="218" t="s">
        <v>11758</v>
      </c>
      <c r="C51" s="456">
        <v>44574.0</v>
      </c>
      <c r="D51" s="218">
        <v>3.0</v>
      </c>
      <c r="E51" s="218">
        <v>401091.0</v>
      </c>
      <c r="G51" s="218" t="s">
        <v>11759</v>
      </c>
      <c r="H51" s="218">
        <v>1.0282669000177E13</v>
      </c>
      <c r="I51" s="218" t="s">
        <v>11760</v>
      </c>
      <c r="J51" s="218">
        <v>15113.0</v>
      </c>
      <c r="K51" s="218">
        <v>168105.0</v>
      </c>
      <c r="L51" s="218">
        <v>1.0E8</v>
      </c>
      <c r="M51" s="218">
        <v>339030.0</v>
      </c>
      <c r="N51" s="218" t="s">
        <v>11751</v>
      </c>
      <c r="O51" s="218">
        <v>1.51132022000062E14</v>
      </c>
      <c r="P51" s="218">
        <v>849.25</v>
      </c>
      <c r="Q51" s="218">
        <v>849.25</v>
      </c>
      <c r="R51" s="218">
        <v>849.25</v>
      </c>
      <c r="S51" s="218">
        <v>849.25</v>
      </c>
    </row>
    <row r="52">
      <c r="A52" s="218" t="s">
        <v>11704</v>
      </c>
      <c r="B52" s="218" t="s">
        <v>11761</v>
      </c>
      <c r="C52" s="456">
        <v>44574.0</v>
      </c>
      <c r="D52" s="218">
        <v>3.0</v>
      </c>
      <c r="E52" s="218">
        <v>401091.0</v>
      </c>
      <c r="G52" s="218" t="s">
        <v>11762</v>
      </c>
      <c r="H52" s="218">
        <v>1.2162741000158E13</v>
      </c>
      <c r="I52" s="218" t="s">
        <v>11763</v>
      </c>
      <c r="J52" s="218">
        <v>15113.0</v>
      </c>
      <c r="K52" s="218">
        <v>168105.0</v>
      </c>
      <c r="L52" s="218">
        <v>1.0E8</v>
      </c>
      <c r="M52" s="218">
        <v>339030.0</v>
      </c>
      <c r="N52" s="218" t="s">
        <v>11751</v>
      </c>
      <c r="O52" s="218">
        <v>1.51132022000062E14</v>
      </c>
      <c r="P52" s="222">
        <v>2254.0</v>
      </c>
      <c r="Q52" s="222">
        <v>2254.0</v>
      </c>
      <c r="R52" s="222">
        <v>2254.0</v>
      </c>
      <c r="S52" s="222">
        <v>2142.0</v>
      </c>
    </row>
    <row r="53">
      <c r="A53" s="218" t="s">
        <v>11704</v>
      </c>
      <c r="B53" s="218" t="s">
        <v>11764</v>
      </c>
      <c r="C53" s="456">
        <v>44574.0</v>
      </c>
      <c r="D53" s="218">
        <v>3.0</v>
      </c>
      <c r="E53" s="218">
        <v>401091.0</v>
      </c>
      <c r="G53" s="218" t="s">
        <v>6281</v>
      </c>
      <c r="H53" s="218">
        <v>1.4472012000123E13</v>
      </c>
      <c r="I53" s="218" t="s">
        <v>11765</v>
      </c>
      <c r="J53" s="218">
        <v>15113.0</v>
      </c>
      <c r="K53" s="218">
        <v>168105.0</v>
      </c>
      <c r="L53" s="218">
        <v>1.0E8</v>
      </c>
      <c r="M53" s="218">
        <v>339030.0</v>
      </c>
      <c r="N53" s="218" t="s">
        <v>11751</v>
      </c>
      <c r="O53" s="218">
        <v>1.51132022000062E14</v>
      </c>
      <c r="P53" s="218">
        <v>600.0</v>
      </c>
      <c r="Q53" s="218">
        <v>600.0</v>
      </c>
      <c r="R53" s="218">
        <v>600.0</v>
      </c>
      <c r="S53" s="218">
        <v>600.0</v>
      </c>
    </row>
    <row r="54">
      <c r="A54" s="218" t="s">
        <v>11704</v>
      </c>
      <c r="B54" s="218" t="s">
        <v>11766</v>
      </c>
      <c r="C54" s="456">
        <v>44574.0</v>
      </c>
      <c r="D54" s="218">
        <v>3.0</v>
      </c>
      <c r="E54" s="218">
        <v>401091.0</v>
      </c>
      <c r="G54" s="218" t="s">
        <v>11767</v>
      </c>
      <c r="H54" s="218">
        <v>2.9463492000133E13</v>
      </c>
      <c r="I54" s="218" t="s">
        <v>11768</v>
      </c>
      <c r="J54" s="218">
        <v>15113.0</v>
      </c>
      <c r="K54" s="218">
        <v>168105.0</v>
      </c>
      <c r="L54" s="218">
        <v>1.0E8</v>
      </c>
      <c r="M54" s="218">
        <v>339030.0</v>
      </c>
      <c r="N54" s="218" t="s">
        <v>11751</v>
      </c>
      <c r="O54" s="218">
        <v>1.51132022000062E14</v>
      </c>
      <c r="P54" s="218">
        <v>800.0</v>
      </c>
      <c r="Q54" s="218">
        <v>800.0</v>
      </c>
      <c r="R54" s="218">
        <v>800.0</v>
      </c>
      <c r="S54" s="218">
        <v>760.0</v>
      </c>
    </row>
    <row r="55">
      <c r="A55" s="218" t="s">
        <v>11355</v>
      </c>
      <c r="B55" s="218" t="s">
        <v>11769</v>
      </c>
      <c r="C55" s="456">
        <v>44574.0</v>
      </c>
      <c r="D55" s="218">
        <v>1.0</v>
      </c>
      <c r="E55" s="218">
        <v>401091.0</v>
      </c>
      <c r="G55" s="218" t="s">
        <v>8624</v>
      </c>
      <c r="H55" s="218">
        <v>4.6450254068E10</v>
      </c>
      <c r="I55" s="218" t="s">
        <v>11770</v>
      </c>
      <c r="J55" s="218">
        <v>15113.0</v>
      </c>
      <c r="K55" s="218">
        <v>168105.0</v>
      </c>
      <c r="L55" s="218">
        <v>1.0E8</v>
      </c>
      <c r="M55" s="218">
        <v>339092.0</v>
      </c>
      <c r="N55" s="218" t="s">
        <v>11771</v>
      </c>
      <c r="O55" s="218">
        <v>1.51132022000201E14</v>
      </c>
      <c r="P55" s="218">
        <v>185.0</v>
      </c>
      <c r="Q55" s="218">
        <v>185.0</v>
      </c>
      <c r="R55" s="218">
        <v>185.0</v>
      </c>
      <c r="S55" s="218">
        <v>185.0</v>
      </c>
    </row>
    <row r="56">
      <c r="A56" s="218" t="s">
        <v>11355</v>
      </c>
      <c r="B56" s="218" t="s">
        <v>11772</v>
      </c>
      <c r="C56" s="456">
        <v>44574.0</v>
      </c>
      <c r="D56" s="218">
        <v>1.0</v>
      </c>
      <c r="E56" s="218">
        <v>401091.0</v>
      </c>
      <c r="G56" s="218" t="s">
        <v>6434</v>
      </c>
      <c r="H56" s="218">
        <v>4.6449426934E10</v>
      </c>
      <c r="I56" s="218" t="s">
        <v>11746</v>
      </c>
      <c r="J56" s="218">
        <v>15113.0</v>
      </c>
      <c r="K56" s="218">
        <v>168105.0</v>
      </c>
      <c r="L56" s="218">
        <v>1.0E8</v>
      </c>
      <c r="M56" s="218">
        <v>339092.0</v>
      </c>
      <c r="N56" s="218" t="s">
        <v>11747</v>
      </c>
      <c r="O56" s="218">
        <v>1.51132022000202E14</v>
      </c>
      <c r="P56" s="218">
        <v>131.63</v>
      </c>
      <c r="Q56" s="218">
        <v>131.63</v>
      </c>
      <c r="R56" s="218">
        <v>131.63</v>
      </c>
      <c r="S56" s="218">
        <v>0.0</v>
      </c>
    </row>
    <row r="57">
      <c r="A57" s="218" t="s">
        <v>781</v>
      </c>
      <c r="B57" s="218" t="s">
        <v>11773</v>
      </c>
      <c r="C57" s="456">
        <v>44574.0</v>
      </c>
      <c r="D57" s="218">
        <v>3.0</v>
      </c>
      <c r="E57" s="218">
        <v>401091.0</v>
      </c>
      <c r="G57" s="218" t="s">
        <v>11774</v>
      </c>
      <c r="H57" s="218">
        <v>8.2985003000196E13</v>
      </c>
      <c r="I57" s="218" t="s">
        <v>11775</v>
      </c>
      <c r="J57" s="218">
        <v>15113.0</v>
      </c>
      <c r="K57" s="218">
        <v>168105.0</v>
      </c>
      <c r="L57" s="218">
        <v>1.0E8</v>
      </c>
      <c r="M57" s="218">
        <v>339039.0</v>
      </c>
      <c r="N57" s="218" t="s">
        <v>10775</v>
      </c>
      <c r="O57" s="218">
        <v>1.51132022000024E14</v>
      </c>
      <c r="P57" s="222">
        <v>1600.0</v>
      </c>
      <c r="Q57" s="222">
        <v>1600.0</v>
      </c>
      <c r="R57" s="222">
        <v>1600.0</v>
      </c>
      <c r="S57" s="218">
        <v>881.65</v>
      </c>
    </row>
    <row r="58">
      <c r="A58" s="218" t="s">
        <v>781</v>
      </c>
      <c r="B58" s="218" t="s">
        <v>11776</v>
      </c>
      <c r="C58" s="456">
        <v>44574.0</v>
      </c>
      <c r="D58" s="218">
        <v>3.0</v>
      </c>
      <c r="E58" s="218">
        <v>401091.0</v>
      </c>
      <c r="G58" s="218" t="s">
        <v>11777</v>
      </c>
      <c r="H58" s="218">
        <v>3.144465900016E13</v>
      </c>
      <c r="I58" s="218" t="s">
        <v>11778</v>
      </c>
      <c r="J58" s="218">
        <v>15113.0</v>
      </c>
      <c r="K58" s="218">
        <v>168105.0</v>
      </c>
      <c r="L58" s="218">
        <v>1.0E8</v>
      </c>
      <c r="M58" s="218">
        <v>339039.0</v>
      </c>
      <c r="N58" s="218" t="s">
        <v>9534</v>
      </c>
      <c r="O58" s="218">
        <v>1.51132022000024E14</v>
      </c>
      <c r="P58" s="218">
        <v>700.0</v>
      </c>
      <c r="Q58" s="218">
        <v>700.0</v>
      </c>
      <c r="R58" s="218">
        <v>700.0</v>
      </c>
      <c r="S58" s="218">
        <v>565.61</v>
      </c>
    </row>
    <row r="59">
      <c r="A59" s="218" t="s">
        <v>781</v>
      </c>
      <c r="B59" s="218" t="s">
        <v>11779</v>
      </c>
      <c r="C59" s="456">
        <v>44574.0</v>
      </c>
      <c r="D59" s="218">
        <v>3.0</v>
      </c>
      <c r="E59" s="218">
        <v>401091.0</v>
      </c>
      <c r="G59" s="218" t="s">
        <v>11774</v>
      </c>
      <c r="H59" s="218">
        <v>8.6050978000183E13</v>
      </c>
      <c r="I59" s="218" t="s">
        <v>11780</v>
      </c>
      <c r="J59" s="218">
        <v>15113.0</v>
      </c>
      <c r="K59" s="218">
        <v>168105.0</v>
      </c>
      <c r="L59" s="218">
        <v>1.0E8</v>
      </c>
      <c r="M59" s="218">
        <v>339039.0</v>
      </c>
      <c r="N59" s="218" t="s">
        <v>9528</v>
      </c>
      <c r="O59" s="218">
        <v>1.51132022000024E14</v>
      </c>
      <c r="P59" s="218">
        <v>750.0</v>
      </c>
      <c r="Q59" s="218">
        <v>750.0</v>
      </c>
      <c r="R59" s="218">
        <v>750.0</v>
      </c>
      <c r="S59" s="218">
        <v>655.58</v>
      </c>
    </row>
    <row r="60">
      <c r="A60" s="218" t="s">
        <v>781</v>
      </c>
      <c r="B60" s="218" t="s">
        <v>11781</v>
      </c>
      <c r="C60" s="456">
        <v>44574.0</v>
      </c>
      <c r="D60" s="218">
        <v>3.0</v>
      </c>
      <c r="E60" s="218">
        <v>401091.0</v>
      </c>
      <c r="G60" s="218" t="s">
        <v>4236</v>
      </c>
      <c r="H60" s="218">
        <v>7.226794000155E12</v>
      </c>
      <c r="I60" s="218" t="s">
        <v>11782</v>
      </c>
      <c r="J60" s="218">
        <v>15113.0</v>
      </c>
      <c r="K60" s="218">
        <v>168105.0</v>
      </c>
      <c r="L60" s="218">
        <v>1.0E8</v>
      </c>
      <c r="M60" s="218">
        <v>339039.0</v>
      </c>
      <c r="N60" s="218" t="s">
        <v>9501</v>
      </c>
      <c r="O60" s="218">
        <v>1.51132022000024E14</v>
      </c>
      <c r="P60" s="222">
        <v>70000.0</v>
      </c>
      <c r="Q60" s="222">
        <v>70000.0</v>
      </c>
      <c r="R60" s="222">
        <v>70000.0</v>
      </c>
      <c r="S60" s="222">
        <v>52368.07</v>
      </c>
    </row>
    <row r="61">
      <c r="A61" s="218" t="s">
        <v>11704</v>
      </c>
      <c r="B61" s="218" t="s">
        <v>11783</v>
      </c>
      <c r="C61" s="456">
        <v>44574.0</v>
      </c>
      <c r="D61" s="218">
        <v>3.0</v>
      </c>
      <c r="E61" s="218">
        <v>401091.0</v>
      </c>
      <c r="G61" s="218" t="s">
        <v>11784</v>
      </c>
      <c r="H61" s="218">
        <v>3.104953500018E13</v>
      </c>
      <c r="I61" s="218" t="s">
        <v>11785</v>
      </c>
      <c r="J61" s="218">
        <v>15113.0</v>
      </c>
      <c r="K61" s="218">
        <v>168105.0</v>
      </c>
      <c r="L61" s="218">
        <v>1.0E8</v>
      </c>
      <c r="M61" s="218">
        <v>339039.0</v>
      </c>
      <c r="N61" s="218" t="s">
        <v>9504</v>
      </c>
      <c r="O61" s="218">
        <v>1.51132022000024E14</v>
      </c>
      <c r="P61" s="218">
        <v>0.0</v>
      </c>
      <c r="Q61" s="218">
        <v>0.0</v>
      </c>
      <c r="R61" s="218">
        <v>0.0</v>
      </c>
      <c r="S61" s="218">
        <v>0.0</v>
      </c>
    </row>
    <row r="62">
      <c r="A62" s="218" t="s">
        <v>781</v>
      </c>
      <c r="B62" s="218" t="s">
        <v>11786</v>
      </c>
      <c r="C62" s="456">
        <v>44574.0</v>
      </c>
      <c r="D62" s="218">
        <v>3.0</v>
      </c>
      <c r="E62" s="218">
        <v>401091.0</v>
      </c>
      <c r="G62" s="218" t="s">
        <v>11787</v>
      </c>
      <c r="H62" s="218">
        <v>8.2508433000117E13</v>
      </c>
      <c r="I62" s="218" t="s">
        <v>11788</v>
      </c>
      <c r="J62" s="218">
        <v>15113.0</v>
      </c>
      <c r="K62" s="218">
        <v>168105.0</v>
      </c>
      <c r="L62" s="218">
        <v>1.0E8</v>
      </c>
      <c r="M62" s="218">
        <v>339039.0</v>
      </c>
      <c r="N62" s="218" t="s">
        <v>9497</v>
      </c>
      <c r="O62" s="218">
        <v>1.51132022000024E14</v>
      </c>
      <c r="P62" s="222">
        <v>90000.0</v>
      </c>
      <c r="Q62" s="222">
        <v>90000.0</v>
      </c>
      <c r="R62" s="222">
        <v>90000.0</v>
      </c>
      <c r="S62" s="222">
        <v>74225.02</v>
      </c>
    </row>
    <row r="63">
      <c r="A63" s="218" t="s">
        <v>781</v>
      </c>
      <c r="B63" s="218" t="s">
        <v>11789</v>
      </c>
      <c r="C63" s="456">
        <v>44574.0</v>
      </c>
      <c r="D63" s="218">
        <v>3.0</v>
      </c>
      <c r="E63" s="218">
        <v>401091.0</v>
      </c>
      <c r="G63" s="218" t="s">
        <v>11790</v>
      </c>
      <c r="H63" s="218">
        <v>5.472936000139E12</v>
      </c>
      <c r="I63" s="218" t="s">
        <v>11791</v>
      </c>
      <c r="J63" s="218">
        <v>15113.0</v>
      </c>
      <c r="K63" s="218">
        <v>168105.0</v>
      </c>
      <c r="L63" s="218">
        <v>1.0E8</v>
      </c>
      <c r="M63" s="218">
        <v>339039.0</v>
      </c>
      <c r="N63" s="218" t="s">
        <v>9409</v>
      </c>
      <c r="O63" s="218">
        <v>1.51132022000024E14</v>
      </c>
      <c r="P63" s="218">
        <v>700.0</v>
      </c>
      <c r="Q63" s="218">
        <v>700.0</v>
      </c>
      <c r="R63" s="218">
        <v>700.0</v>
      </c>
      <c r="S63" s="218">
        <v>614.12</v>
      </c>
    </row>
    <row r="64">
      <c r="A64" s="218" t="s">
        <v>781</v>
      </c>
      <c r="B64" s="218" t="s">
        <v>11792</v>
      </c>
      <c r="C64" s="456">
        <v>44574.0</v>
      </c>
      <c r="D64" s="218">
        <v>3.0</v>
      </c>
      <c r="E64" s="218">
        <v>401091.0</v>
      </c>
      <c r="G64" s="218" t="s">
        <v>11793</v>
      </c>
      <c r="H64" s="218">
        <v>3.0753960000193E13</v>
      </c>
      <c r="I64" s="218" t="s">
        <v>11794</v>
      </c>
      <c r="J64" s="218">
        <v>15113.0</v>
      </c>
      <c r="K64" s="218">
        <v>168105.0</v>
      </c>
      <c r="L64" s="218">
        <v>1.0E8</v>
      </c>
      <c r="M64" s="218">
        <v>339039.0</v>
      </c>
      <c r="N64" s="218" t="s">
        <v>9508</v>
      </c>
      <c r="O64" s="218">
        <v>1.51132022000024E14</v>
      </c>
      <c r="P64" s="218">
        <v>850.0</v>
      </c>
      <c r="Q64" s="218">
        <v>850.0</v>
      </c>
      <c r="R64" s="218">
        <v>850.0</v>
      </c>
      <c r="S64" s="218">
        <v>646.39</v>
      </c>
    </row>
    <row r="65">
      <c r="A65" s="218" t="s">
        <v>781</v>
      </c>
      <c r="B65" s="218" t="s">
        <v>11795</v>
      </c>
      <c r="C65" s="456">
        <v>44574.0</v>
      </c>
      <c r="D65" s="218">
        <v>3.0</v>
      </c>
      <c r="E65" s="218">
        <v>401091.0</v>
      </c>
      <c r="G65" s="218" t="s">
        <v>11774</v>
      </c>
      <c r="H65" s="218">
        <v>8.3779462000186E13</v>
      </c>
      <c r="I65" s="218" t="s">
        <v>11796</v>
      </c>
      <c r="J65" s="218">
        <v>15113.0</v>
      </c>
      <c r="K65" s="218">
        <v>168105.0</v>
      </c>
      <c r="L65" s="218">
        <v>1.0E8</v>
      </c>
      <c r="M65" s="218">
        <v>339039.0</v>
      </c>
      <c r="N65" s="218" t="s">
        <v>9478</v>
      </c>
      <c r="O65" s="218">
        <v>1.51132022000024E14</v>
      </c>
      <c r="P65" s="222">
        <v>1260.0</v>
      </c>
      <c r="Q65" s="222">
        <v>1260.0</v>
      </c>
      <c r="R65" s="222">
        <v>1260.0</v>
      </c>
      <c r="S65" s="222">
        <v>1027.53</v>
      </c>
    </row>
    <row r="66">
      <c r="A66" s="218" t="s">
        <v>781</v>
      </c>
      <c r="B66" s="218" t="s">
        <v>11797</v>
      </c>
      <c r="C66" s="456">
        <v>44574.0</v>
      </c>
      <c r="D66" s="218">
        <v>3.0</v>
      </c>
      <c r="E66" s="218">
        <v>401091.0</v>
      </c>
      <c r="G66" s="218" t="s">
        <v>11798</v>
      </c>
      <c r="H66" s="218">
        <v>5.532421000187E12</v>
      </c>
      <c r="I66" s="218" t="s">
        <v>11799</v>
      </c>
      <c r="J66" s="218">
        <v>15113.0</v>
      </c>
      <c r="K66" s="218">
        <v>168105.0</v>
      </c>
      <c r="L66" s="218">
        <v>1.0E8</v>
      </c>
      <c r="M66" s="218">
        <v>339039.0</v>
      </c>
      <c r="N66" s="218" t="s">
        <v>9518</v>
      </c>
      <c r="O66" s="218">
        <v>1.51132022000024E14</v>
      </c>
      <c r="P66" s="218">
        <v>687.0</v>
      </c>
      <c r="Q66" s="218">
        <v>687.0</v>
      </c>
      <c r="R66" s="218">
        <v>687.0</v>
      </c>
      <c r="S66" s="218">
        <v>537.61</v>
      </c>
    </row>
    <row r="67">
      <c r="A67" s="218" t="s">
        <v>781</v>
      </c>
      <c r="B67" s="218" t="s">
        <v>11800</v>
      </c>
      <c r="C67" s="456">
        <v>44574.0</v>
      </c>
      <c r="D67" s="218">
        <v>3.0</v>
      </c>
      <c r="E67" s="218">
        <v>401091.0</v>
      </c>
      <c r="G67" s="218" t="s">
        <v>11801</v>
      </c>
      <c r="H67" s="218">
        <v>1.5012434000189E13</v>
      </c>
      <c r="I67" s="218" t="s">
        <v>11802</v>
      </c>
      <c r="J67" s="218">
        <v>15113.0</v>
      </c>
      <c r="K67" s="218">
        <v>168105.0</v>
      </c>
      <c r="L67" s="218">
        <v>1.0E8</v>
      </c>
      <c r="M67" s="218">
        <v>339039.0</v>
      </c>
      <c r="N67" s="218" t="s">
        <v>9524</v>
      </c>
      <c r="O67" s="218">
        <v>1.51132022000024E14</v>
      </c>
      <c r="P67" s="218">
        <v>400.0</v>
      </c>
      <c r="Q67" s="218">
        <v>400.0</v>
      </c>
      <c r="R67" s="218">
        <v>400.0</v>
      </c>
      <c r="S67" s="218">
        <v>291.06</v>
      </c>
    </row>
    <row r="68">
      <c r="A68" s="218" t="s">
        <v>781</v>
      </c>
      <c r="B68" s="218" t="s">
        <v>11803</v>
      </c>
      <c r="C68" s="456">
        <v>44574.0</v>
      </c>
      <c r="D68" s="218">
        <v>3.0</v>
      </c>
      <c r="E68" s="218">
        <v>401091.0</v>
      </c>
      <c r="G68" s="218" t="s">
        <v>11804</v>
      </c>
      <c r="H68" s="218">
        <v>6.017932000123E12</v>
      </c>
      <c r="I68" s="218" t="s">
        <v>11805</v>
      </c>
      <c r="J68" s="218">
        <v>15113.0</v>
      </c>
      <c r="K68" s="218">
        <v>168105.0</v>
      </c>
      <c r="L68" s="218">
        <v>1.0E8</v>
      </c>
      <c r="M68" s="218">
        <v>339039.0</v>
      </c>
      <c r="N68" s="218" t="s">
        <v>9512</v>
      </c>
      <c r="O68" s="218">
        <v>1.51132022000024E14</v>
      </c>
      <c r="P68" s="218">
        <v>771.0</v>
      </c>
      <c r="Q68" s="218">
        <v>771.0</v>
      </c>
      <c r="R68" s="218">
        <v>771.0</v>
      </c>
      <c r="S68" s="218">
        <v>616.75</v>
      </c>
    </row>
    <row r="69">
      <c r="A69" s="218" t="s">
        <v>781</v>
      </c>
      <c r="B69" s="218" t="s">
        <v>11806</v>
      </c>
      <c r="C69" s="456">
        <v>44574.0</v>
      </c>
      <c r="D69" s="218">
        <v>3.0</v>
      </c>
      <c r="E69" s="218">
        <v>401091.0</v>
      </c>
      <c r="G69" s="218" t="s">
        <v>11774</v>
      </c>
      <c r="H69" s="218">
        <v>8.2985003000196E13</v>
      </c>
      <c r="I69" s="218" t="s">
        <v>11807</v>
      </c>
      <c r="J69" s="218">
        <v>15113.0</v>
      </c>
      <c r="K69" s="218">
        <v>168105.0</v>
      </c>
      <c r="L69" s="218">
        <v>1.0E8</v>
      </c>
      <c r="M69" s="218">
        <v>339047.0</v>
      </c>
      <c r="N69" s="218" t="s">
        <v>10775</v>
      </c>
      <c r="O69" s="218">
        <v>1.5113202200003E14</v>
      </c>
      <c r="P69" s="218">
        <v>0.0</v>
      </c>
      <c r="Q69" s="218">
        <v>0.0</v>
      </c>
      <c r="R69" s="218">
        <v>0.0</v>
      </c>
      <c r="S69" s="218">
        <v>0.0</v>
      </c>
    </row>
    <row r="70">
      <c r="A70" s="218" t="s">
        <v>781</v>
      </c>
      <c r="B70" s="218" t="s">
        <v>11808</v>
      </c>
      <c r="C70" s="456">
        <v>44574.0</v>
      </c>
      <c r="D70" s="218">
        <v>3.0</v>
      </c>
      <c r="E70" s="218">
        <v>401091.0</v>
      </c>
      <c r="G70" s="218" t="s">
        <v>11774</v>
      </c>
      <c r="H70" s="218">
        <v>8.6050978000183E13</v>
      </c>
      <c r="I70" s="218" t="s">
        <v>11809</v>
      </c>
      <c r="J70" s="218">
        <v>15113.0</v>
      </c>
      <c r="K70" s="218">
        <v>168105.0</v>
      </c>
      <c r="L70" s="218">
        <v>1.0E8</v>
      </c>
      <c r="M70" s="218">
        <v>339047.0</v>
      </c>
      <c r="N70" s="218" t="s">
        <v>9528</v>
      </c>
      <c r="O70" s="218">
        <v>1.5113202200003E14</v>
      </c>
      <c r="P70" s="218">
        <v>230.0</v>
      </c>
      <c r="Q70" s="218">
        <v>230.0</v>
      </c>
      <c r="R70" s="218">
        <v>230.0</v>
      </c>
      <c r="S70" s="218">
        <v>155.88</v>
      </c>
    </row>
    <row r="71">
      <c r="A71" s="218" t="s">
        <v>781</v>
      </c>
      <c r="B71" s="218" t="s">
        <v>11810</v>
      </c>
      <c r="C71" s="456">
        <v>44574.0</v>
      </c>
      <c r="D71" s="218">
        <v>3.0</v>
      </c>
      <c r="E71" s="218">
        <v>401091.0</v>
      </c>
      <c r="G71" s="218" t="s">
        <v>11774</v>
      </c>
      <c r="H71" s="218">
        <v>8.3779462000186E13</v>
      </c>
      <c r="I71" s="218" t="s">
        <v>11811</v>
      </c>
      <c r="J71" s="218">
        <v>15113.0</v>
      </c>
      <c r="K71" s="218">
        <v>168105.0</v>
      </c>
      <c r="L71" s="218">
        <v>1.0E8</v>
      </c>
      <c r="M71" s="218">
        <v>339047.0</v>
      </c>
      <c r="N71" s="218" t="s">
        <v>9478</v>
      </c>
      <c r="O71" s="218">
        <v>1.5113202200003E14</v>
      </c>
      <c r="P71" s="218">
        <v>427.0</v>
      </c>
      <c r="Q71" s="218">
        <v>427.0</v>
      </c>
      <c r="R71" s="218">
        <v>427.0</v>
      </c>
      <c r="S71" s="218">
        <v>255.08</v>
      </c>
    </row>
    <row r="72">
      <c r="A72" s="218" t="s">
        <v>781</v>
      </c>
      <c r="B72" s="218" t="s">
        <v>11812</v>
      </c>
      <c r="C72" s="456">
        <v>44574.0</v>
      </c>
      <c r="D72" s="218">
        <v>3.0</v>
      </c>
      <c r="E72" s="218">
        <v>401091.0</v>
      </c>
      <c r="G72" s="218" t="s">
        <v>11798</v>
      </c>
      <c r="H72" s="218">
        <v>5.532421000187E12</v>
      </c>
      <c r="I72" s="218" t="s">
        <v>11813</v>
      </c>
      <c r="J72" s="218">
        <v>15113.0</v>
      </c>
      <c r="K72" s="218">
        <v>168105.0</v>
      </c>
      <c r="L72" s="218">
        <v>1.0E8</v>
      </c>
      <c r="M72" s="218">
        <v>339047.0</v>
      </c>
      <c r="N72" s="218" t="s">
        <v>9518</v>
      </c>
      <c r="O72" s="218">
        <v>1.5113202200003E14</v>
      </c>
      <c r="P72" s="218">
        <v>672.0</v>
      </c>
      <c r="Q72" s="218">
        <v>672.0</v>
      </c>
      <c r="R72" s="218">
        <v>672.0</v>
      </c>
      <c r="S72" s="218">
        <v>0.0</v>
      </c>
    </row>
    <row r="73">
      <c r="A73" s="218" t="s">
        <v>781</v>
      </c>
      <c r="B73" s="218" t="s">
        <v>11814</v>
      </c>
      <c r="C73" s="456">
        <v>44574.0</v>
      </c>
      <c r="D73" s="218">
        <v>3.0</v>
      </c>
      <c r="E73" s="218">
        <v>401091.0</v>
      </c>
      <c r="G73" s="218" t="s">
        <v>11804</v>
      </c>
      <c r="H73" s="218">
        <v>6.017932000123E12</v>
      </c>
      <c r="I73" s="218" t="s">
        <v>11815</v>
      </c>
      <c r="J73" s="218">
        <v>15113.0</v>
      </c>
      <c r="K73" s="218">
        <v>168105.0</v>
      </c>
      <c r="L73" s="218">
        <v>1.0E8</v>
      </c>
      <c r="M73" s="218">
        <v>339047.0</v>
      </c>
      <c r="N73" s="218" t="s">
        <v>9512</v>
      </c>
      <c r="O73" s="218">
        <v>1.5113202200003E14</v>
      </c>
      <c r="P73" s="218">
        <v>305.0</v>
      </c>
      <c r="Q73" s="218">
        <v>305.0</v>
      </c>
      <c r="R73" s="218">
        <v>305.0</v>
      </c>
      <c r="S73" s="218">
        <v>252.49</v>
      </c>
    </row>
    <row r="74">
      <c r="A74" s="218" t="s">
        <v>781</v>
      </c>
      <c r="B74" s="218" t="s">
        <v>11816</v>
      </c>
      <c r="C74" s="456">
        <v>44575.0</v>
      </c>
      <c r="D74" s="218">
        <v>3.0</v>
      </c>
      <c r="E74" s="218">
        <v>401091.0</v>
      </c>
      <c r="G74" s="218" t="s">
        <v>11817</v>
      </c>
      <c r="H74" s="218">
        <v>8.385597300013E13</v>
      </c>
      <c r="I74" s="218" t="s">
        <v>11818</v>
      </c>
      <c r="J74" s="218">
        <v>15113.0</v>
      </c>
      <c r="K74" s="218">
        <v>168105.0</v>
      </c>
      <c r="L74" s="218">
        <v>1.0E8</v>
      </c>
      <c r="M74" s="218">
        <v>339039.0</v>
      </c>
      <c r="N74" s="218" t="s">
        <v>9491</v>
      </c>
      <c r="O74" s="218">
        <v>1.51132022000071E14</v>
      </c>
      <c r="P74" s="222">
        <v>13650.0</v>
      </c>
      <c r="Q74" s="222">
        <v>13650.0</v>
      </c>
      <c r="R74" s="222">
        <v>13650.0</v>
      </c>
      <c r="S74" s="222">
        <v>11181.92</v>
      </c>
    </row>
    <row r="75">
      <c r="A75" s="218" t="s">
        <v>781</v>
      </c>
      <c r="B75" s="218" t="s">
        <v>11819</v>
      </c>
      <c r="C75" s="456">
        <v>44575.0</v>
      </c>
      <c r="D75" s="218">
        <v>3.0</v>
      </c>
      <c r="E75" s="218">
        <v>401091.0</v>
      </c>
      <c r="G75" s="218" t="s">
        <v>11817</v>
      </c>
      <c r="H75" s="218">
        <v>8.385597300013E13</v>
      </c>
      <c r="I75" s="218" t="s">
        <v>11820</v>
      </c>
      <c r="J75" s="218">
        <v>15113.0</v>
      </c>
      <c r="K75" s="218">
        <v>168105.0</v>
      </c>
      <c r="L75" s="218">
        <v>1.0E8</v>
      </c>
      <c r="M75" s="218">
        <v>339047.0</v>
      </c>
      <c r="N75" s="218" t="s">
        <v>9491</v>
      </c>
      <c r="O75" s="218">
        <v>1.51132022000029E14</v>
      </c>
      <c r="P75" s="218">
        <v>630.0</v>
      </c>
      <c r="Q75" s="218">
        <v>630.0</v>
      </c>
      <c r="R75" s="218">
        <v>630.0</v>
      </c>
      <c r="S75" s="218">
        <v>497.36</v>
      </c>
    </row>
    <row r="76">
      <c r="A76" s="218" t="s">
        <v>781</v>
      </c>
      <c r="B76" s="218" t="s">
        <v>11821</v>
      </c>
      <c r="C76" s="456">
        <v>44575.0</v>
      </c>
      <c r="D76" s="218">
        <v>3.0</v>
      </c>
      <c r="E76" s="218">
        <v>401091.0</v>
      </c>
      <c r="G76" s="218" t="s">
        <v>11822</v>
      </c>
      <c r="H76" s="218">
        <v>1.8876112000176E13</v>
      </c>
      <c r="I76" s="218" t="s">
        <v>11823</v>
      </c>
      <c r="J76" s="218">
        <v>15113.0</v>
      </c>
      <c r="K76" s="218">
        <v>168105.0</v>
      </c>
      <c r="L76" s="218">
        <v>1.0E8</v>
      </c>
      <c r="M76" s="218">
        <v>339039.0</v>
      </c>
      <c r="N76" s="218" t="s">
        <v>9429</v>
      </c>
      <c r="O76" s="218">
        <v>1.51132022000023E14</v>
      </c>
      <c r="P76" s="222">
        <v>2000.0</v>
      </c>
      <c r="Q76" s="222">
        <v>2000.0</v>
      </c>
      <c r="R76" s="222">
        <v>2000.0</v>
      </c>
      <c r="S76" s="222">
        <v>2000.0</v>
      </c>
    </row>
    <row r="77">
      <c r="A77" s="218" t="s">
        <v>781</v>
      </c>
      <c r="B77" s="218" t="s">
        <v>11824</v>
      </c>
      <c r="C77" s="456">
        <v>44575.0</v>
      </c>
      <c r="D77" s="218">
        <v>3.0</v>
      </c>
      <c r="E77" s="218">
        <v>401091.0</v>
      </c>
      <c r="G77" s="218" t="s">
        <v>11825</v>
      </c>
      <c r="H77" s="218">
        <v>7.7808000177E10</v>
      </c>
      <c r="I77" s="218" t="s">
        <v>11826</v>
      </c>
      <c r="J77" s="218">
        <v>15113.0</v>
      </c>
      <c r="K77" s="218">
        <v>168105.0</v>
      </c>
      <c r="L77" s="218">
        <v>1.0E8</v>
      </c>
      <c r="M77" s="218">
        <v>339030.0</v>
      </c>
      <c r="N77" s="218" t="s">
        <v>9556</v>
      </c>
      <c r="O77" s="218">
        <v>1.51132022000069E14</v>
      </c>
      <c r="P77" s="222">
        <v>6000.0</v>
      </c>
      <c r="Q77" s="222">
        <v>6000.0</v>
      </c>
      <c r="R77" s="222">
        <v>6000.0</v>
      </c>
      <c r="S77" s="222">
        <v>6000.0</v>
      </c>
    </row>
    <row r="78">
      <c r="A78" s="218" t="s">
        <v>781</v>
      </c>
      <c r="B78" s="218" t="s">
        <v>11827</v>
      </c>
      <c r="C78" s="456">
        <v>44575.0</v>
      </c>
      <c r="D78" s="218">
        <v>3.0</v>
      </c>
      <c r="E78" s="218">
        <v>401091.0</v>
      </c>
      <c r="G78" s="218" t="s">
        <v>11825</v>
      </c>
      <c r="H78" s="218">
        <v>7.7808000177E10</v>
      </c>
      <c r="I78" s="218" t="s">
        <v>11828</v>
      </c>
      <c r="J78" s="218">
        <v>15113.0</v>
      </c>
      <c r="K78" s="218">
        <v>168105.0</v>
      </c>
      <c r="L78" s="218">
        <v>1.0E8</v>
      </c>
      <c r="M78" s="218">
        <v>339039.0</v>
      </c>
      <c r="N78" s="218" t="s">
        <v>9556</v>
      </c>
      <c r="O78" s="218">
        <v>1.5113202200004E14</v>
      </c>
      <c r="P78" s="222">
        <v>17446.08</v>
      </c>
      <c r="Q78" s="222">
        <v>17446.08</v>
      </c>
      <c r="R78" s="222">
        <v>17446.08</v>
      </c>
      <c r="S78" s="222">
        <v>13084.56</v>
      </c>
    </row>
    <row r="79">
      <c r="A79" s="218" t="s">
        <v>9430</v>
      </c>
      <c r="B79" s="218" t="s">
        <v>11829</v>
      </c>
      <c r="C79" s="456">
        <v>44575.0</v>
      </c>
      <c r="D79" s="218">
        <v>3.0</v>
      </c>
      <c r="E79" s="218">
        <v>401091.0</v>
      </c>
      <c r="G79" s="218" t="s">
        <v>4367</v>
      </c>
      <c r="H79" s="218">
        <v>7.00436000193E11</v>
      </c>
      <c r="I79" s="218" t="s">
        <v>11830</v>
      </c>
      <c r="J79" s="218">
        <v>15113.0</v>
      </c>
      <c r="K79" s="218">
        <v>168105.0</v>
      </c>
      <c r="L79" s="218">
        <v>1.0E8</v>
      </c>
      <c r="M79" s="218">
        <v>339039.0</v>
      </c>
      <c r="N79" s="218" t="s">
        <v>9743</v>
      </c>
      <c r="O79" s="218">
        <v>1.51132022000048E14</v>
      </c>
      <c r="P79" s="222">
        <v>5856.68</v>
      </c>
      <c r="Q79" s="222">
        <v>5856.68</v>
      </c>
      <c r="R79" s="222">
        <v>5856.68</v>
      </c>
      <c r="S79" s="222">
        <v>5856.68</v>
      </c>
    </row>
    <row r="80">
      <c r="A80" s="218" t="s">
        <v>9430</v>
      </c>
      <c r="B80" s="218" t="s">
        <v>11831</v>
      </c>
      <c r="C80" s="456">
        <v>44575.0</v>
      </c>
      <c r="D80" s="218">
        <v>3.0</v>
      </c>
      <c r="E80" s="218">
        <v>401091.0</v>
      </c>
      <c r="G80" s="218" t="s">
        <v>11832</v>
      </c>
      <c r="H80" s="218">
        <v>1.558392300019E13</v>
      </c>
      <c r="I80" s="218" t="s">
        <v>11833</v>
      </c>
      <c r="J80" s="218">
        <v>15113.0</v>
      </c>
      <c r="K80" s="218">
        <v>168105.0</v>
      </c>
      <c r="L80" s="218">
        <v>1.0E8</v>
      </c>
      <c r="M80" s="218">
        <v>339039.0</v>
      </c>
      <c r="N80" s="218" t="s">
        <v>9743</v>
      </c>
      <c r="O80" s="218">
        <v>1.51132022000048E14</v>
      </c>
      <c r="P80" s="222">
        <v>13009.93</v>
      </c>
      <c r="Q80" s="222">
        <v>13009.93</v>
      </c>
      <c r="R80" s="222">
        <v>13009.93</v>
      </c>
      <c r="S80" s="222">
        <v>13009.93</v>
      </c>
    </row>
    <row r="81">
      <c r="A81" s="218" t="s">
        <v>781</v>
      </c>
      <c r="B81" s="218" t="s">
        <v>11834</v>
      </c>
      <c r="C81" s="456">
        <v>44575.0</v>
      </c>
      <c r="D81" s="218">
        <v>3.0</v>
      </c>
      <c r="E81" s="218">
        <v>401091.0</v>
      </c>
      <c r="G81" s="218" t="s">
        <v>11835</v>
      </c>
      <c r="H81" s="218">
        <v>1.0571929000124E13</v>
      </c>
      <c r="I81" s="218" t="s">
        <v>11836</v>
      </c>
      <c r="J81" s="218">
        <v>15113.0</v>
      </c>
      <c r="K81" s="218">
        <v>168105.0</v>
      </c>
      <c r="L81" s="218">
        <v>1.0E8</v>
      </c>
      <c r="M81" s="218">
        <v>339030.0</v>
      </c>
      <c r="N81" s="218" t="s">
        <v>10287</v>
      </c>
      <c r="O81" s="218">
        <v>1.51132022000059E14</v>
      </c>
      <c r="P81" s="222">
        <v>1000.0</v>
      </c>
      <c r="Q81" s="222">
        <v>1000.0</v>
      </c>
      <c r="R81" s="222">
        <v>1000.0</v>
      </c>
      <c r="S81" s="222">
        <v>1000.0</v>
      </c>
    </row>
    <row r="82">
      <c r="A82" s="218" t="s">
        <v>781</v>
      </c>
      <c r="B82" s="218" t="s">
        <v>11837</v>
      </c>
      <c r="C82" s="456">
        <v>44575.0</v>
      </c>
      <c r="D82" s="218">
        <v>3.0</v>
      </c>
      <c r="E82" s="218">
        <v>401091.0</v>
      </c>
      <c r="G82" s="218" t="s">
        <v>11835</v>
      </c>
      <c r="H82" s="218">
        <v>1.0571929000124E13</v>
      </c>
      <c r="I82" s="218" t="s">
        <v>11838</v>
      </c>
      <c r="J82" s="218">
        <v>15113.0</v>
      </c>
      <c r="K82" s="218">
        <v>168105.0</v>
      </c>
      <c r="L82" s="218">
        <v>1.0E8</v>
      </c>
      <c r="M82" s="218">
        <v>339039.0</v>
      </c>
      <c r="N82" s="218" t="s">
        <v>10287</v>
      </c>
      <c r="O82" s="218">
        <v>1.51132022000012E14</v>
      </c>
      <c r="P82" s="222">
        <v>18600.0</v>
      </c>
      <c r="Q82" s="222">
        <v>18600.0</v>
      </c>
      <c r="R82" s="222">
        <v>18600.0</v>
      </c>
      <c r="S82" s="222">
        <v>13950.0</v>
      </c>
    </row>
    <row r="83">
      <c r="A83" s="218" t="s">
        <v>781</v>
      </c>
      <c r="B83" s="218" t="s">
        <v>11839</v>
      </c>
      <c r="C83" s="456">
        <v>44575.0</v>
      </c>
      <c r="D83" s="218">
        <v>3.0</v>
      </c>
      <c r="E83" s="218">
        <v>401091.0</v>
      </c>
      <c r="G83" s="218" t="s">
        <v>11840</v>
      </c>
      <c r="H83" s="218">
        <v>9.0347840006906E13</v>
      </c>
      <c r="I83" s="218" t="s">
        <v>11841</v>
      </c>
      <c r="J83" s="218">
        <v>15113.0</v>
      </c>
      <c r="K83" s="218">
        <v>168105.0</v>
      </c>
      <c r="L83" s="218">
        <v>1.0E8</v>
      </c>
      <c r="M83" s="218">
        <v>339039.0</v>
      </c>
      <c r="N83" s="218" t="s">
        <v>9573</v>
      </c>
      <c r="O83" s="218">
        <v>1.51132022000012E14</v>
      </c>
      <c r="P83" s="222">
        <v>7356.0</v>
      </c>
      <c r="Q83" s="222">
        <v>7356.0</v>
      </c>
      <c r="R83" s="222">
        <v>7356.0</v>
      </c>
      <c r="S83" s="222">
        <v>6130.0</v>
      </c>
    </row>
    <row r="84">
      <c r="A84" s="218" t="s">
        <v>781</v>
      </c>
      <c r="B84" s="218" t="s">
        <v>11842</v>
      </c>
      <c r="C84" s="456">
        <v>44575.0</v>
      </c>
      <c r="D84" s="218">
        <v>3.0</v>
      </c>
      <c r="E84" s="218">
        <v>401091.0</v>
      </c>
      <c r="G84" s="218" t="s">
        <v>11840</v>
      </c>
      <c r="H84" s="218">
        <v>9.0347840000975E13</v>
      </c>
      <c r="I84" s="218" t="s">
        <v>11843</v>
      </c>
      <c r="J84" s="218">
        <v>15113.0</v>
      </c>
      <c r="K84" s="218">
        <v>168105.0</v>
      </c>
      <c r="L84" s="218">
        <v>1.0E8</v>
      </c>
      <c r="M84" s="218">
        <v>339039.0</v>
      </c>
      <c r="N84" s="218" t="s">
        <v>9569</v>
      </c>
      <c r="O84" s="218">
        <v>1.51132022000012E14</v>
      </c>
      <c r="P84" s="222">
        <v>6421.68</v>
      </c>
      <c r="Q84" s="222">
        <v>6421.68</v>
      </c>
      <c r="R84" s="222">
        <v>6421.68</v>
      </c>
      <c r="S84" s="222">
        <v>4826.96</v>
      </c>
    </row>
    <row r="85">
      <c r="A85" s="218" t="s">
        <v>781</v>
      </c>
      <c r="B85" s="218" t="s">
        <v>11844</v>
      </c>
      <c r="C85" s="456">
        <v>44575.0</v>
      </c>
      <c r="D85" s="218">
        <v>3.0</v>
      </c>
      <c r="E85" s="218">
        <v>401091.0</v>
      </c>
      <c r="G85" s="218" t="s">
        <v>11845</v>
      </c>
      <c r="H85" s="218">
        <v>2.0810747000112E13</v>
      </c>
      <c r="I85" s="218" t="s">
        <v>11846</v>
      </c>
      <c r="J85" s="218">
        <v>15113.0</v>
      </c>
      <c r="K85" s="218">
        <v>168105.0</v>
      </c>
      <c r="L85" s="218">
        <v>1.0E8</v>
      </c>
      <c r="M85" s="218">
        <v>339039.0</v>
      </c>
      <c r="N85" s="218" t="s">
        <v>9596</v>
      </c>
      <c r="O85" s="218">
        <v>1.51132022000012E14</v>
      </c>
      <c r="P85" s="222">
        <v>8424.0</v>
      </c>
      <c r="Q85" s="222">
        <v>8424.0</v>
      </c>
      <c r="R85" s="222">
        <v>8424.0</v>
      </c>
      <c r="S85" s="222">
        <v>6318.0</v>
      </c>
    </row>
    <row r="86">
      <c r="A86" s="218" t="s">
        <v>781</v>
      </c>
      <c r="B86" s="218" t="s">
        <v>11847</v>
      </c>
      <c r="C86" s="456">
        <v>44575.0</v>
      </c>
      <c r="D86" s="218">
        <v>3.0</v>
      </c>
      <c r="E86" s="218">
        <v>401091.0</v>
      </c>
      <c r="F86" s="218"/>
      <c r="G86" s="218" t="s">
        <v>11845</v>
      </c>
      <c r="H86" s="218">
        <v>2.0810747000112E13</v>
      </c>
      <c r="I86" s="218" t="s">
        <v>11848</v>
      </c>
      <c r="J86" s="218">
        <v>15113.0</v>
      </c>
      <c r="K86" s="218">
        <v>168105.0</v>
      </c>
      <c r="L86" s="218">
        <v>1.0E8</v>
      </c>
      <c r="M86" s="218">
        <v>339039.0</v>
      </c>
      <c r="N86" s="218" t="s">
        <v>9994</v>
      </c>
      <c r="O86" s="218">
        <v>1.51132022000012E14</v>
      </c>
      <c r="P86" s="222">
        <v>5988.0</v>
      </c>
      <c r="Q86" s="222">
        <v>5988.0</v>
      </c>
      <c r="R86" s="222">
        <v>5988.0</v>
      </c>
      <c r="S86" s="222">
        <v>4491.0</v>
      </c>
    </row>
    <row r="87">
      <c r="A87" s="218" t="s">
        <v>781</v>
      </c>
      <c r="B87" s="218" t="s">
        <v>11849</v>
      </c>
      <c r="C87" s="456">
        <v>44575.0</v>
      </c>
      <c r="D87" s="218">
        <v>3.0</v>
      </c>
      <c r="E87" s="218">
        <v>401091.0</v>
      </c>
      <c r="F87" s="218"/>
      <c r="G87" s="218" t="s">
        <v>11840</v>
      </c>
      <c r="H87" s="218">
        <v>9.0347840000975E13</v>
      </c>
      <c r="I87" s="218" t="s">
        <v>11850</v>
      </c>
      <c r="J87" s="218">
        <v>15113.0</v>
      </c>
      <c r="K87" s="218">
        <v>168105.0</v>
      </c>
      <c r="L87" s="218">
        <v>1.0E8</v>
      </c>
      <c r="M87" s="218">
        <v>339039.0</v>
      </c>
      <c r="N87" s="218" t="s">
        <v>9566</v>
      </c>
      <c r="O87" s="218">
        <v>1.51132022000012E14</v>
      </c>
      <c r="P87" s="222">
        <v>16800.0</v>
      </c>
      <c r="Q87" s="222">
        <v>16800.0</v>
      </c>
      <c r="R87" s="222">
        <v>16800.0</v>
      </c>
      <c r="S87" s="222">
        <v>12628.0</v>
      </c>
    </row>
    <row r="88">
      <c r="A88" s="218" t="s">
        <v>11704</v>
      </c>
      <c r="B88" s="218" t="s">
        <v>11851</v>
      </c>
      <c r="C88" s="456">
        <v>44575.0</v>
      </c>
      <c r="D88" s="218">
        <v>3.0</v>
      </c>
      <c r="E88" s="218">
        <v>401091.0</v>
      </c>
      <c r="F88" s="218"/>
      <c r="G88" s="218" t="s">
        <v>11852</v>
      </c>
      <c r="H88" s="218">
        <v>3.82380000176E11</v>
      </c>
      <c r="I88" s="218" t="s">
        <v>11853</v>
      </c>
      <c r="J88" s="218">
        <v>15113.0</v>
      </c>
      <c r="K88" s="218">
        <v>168105.0</v>
      </c>
      <c r="L88" s="218">
        <v>1.0E8</v>
      </c>
      <c r="M88" s="218">
        <v>339039.0</v>
      </c>
      <c r="N88" s="218" t="s">
        <v>11854</v>
      </c>
      <c r="O88" s="218">
        <v>1.51132022000022E14</v>
      </c>
      <c r="P88" s="222">
        <v>5000.0</v>
      </c>
      <c r="Q88" s="222">
        <v>5000.0</v>
      </c>
      <c r="R88" s="222">
        <v>5000.0</v>
      </c>
      <c r="S88" s="222">
        <v>4745.0</v>
      </c>
    </row>
    <row r="89">
      <c r="A89" s="218" t="s">
        <v>11704</v>
      </c>
      <c r="B89" s="218" t="s">
        <v>11855</v>
      </c>
      <c r="C89" s="456">
        <v>44575.0</v>
      </c>
      <c r="D89" s="218">
        <v>3.0</v>
      </c>
      <c r="E89" s="218">
        <v>401091.0</v>
      </c>
      <c r="F89" s="218"/>
      <c r="G89" s="218" t="s">
        <v>11856</v>
      </c>
      <c r="H89" s="218">
        <v>2.7570569000149E13</v>
      </c>
      <c r="I89" s="218" t="s">
        <v>11857</v>
      </c>
      <c r="J89" s="218">
        <v>15113.0</v>
      </c>
      <c r="K89" s="218">
        <v>168105.0</v>
      </c>
      <c r="L89" s="218">
        <v>1.0E8</v>
      </c>
      <c r="M89" s="218">
        <v>339039.0</v>
      </c>
      <c r="N89" s="218" t="s">
        <v>11858</v>
      </c>
      <c r="O89" s="218">
        <v>1.51132022000025E14</v>
      </c>
      <c r="P89" s="222">
        <v>3783.6</v>
      </c>
      <c r="Q89" s="222">
        <v>3783.6</v>
      </c>
      <c r="R89" s="222">
        <v>3783.6</v>
      </c>
      <c r="S89" s="222">
        <v>3783.6</v>
      </c>
    </row>
    <row r="90">
      <c r="A90" s="218" t="s">
        <v>11704</v>
      </c>
      <c r="B90" s="218" t="s">
        <v>11859</v>
      </c>
      <c r="C90" s="456">
        <v>44575.0</v>
      </c>
      <c r="D90" s="218">
        <v>3.0</v>
      </c>
      <c r="E90" s="218">
        <v>401091.0</v>
      </c>
      <c r="F90" s="218"/>
      <c r="G90" s="218" t="s">
        <v>11856</v>
      </c>
      <c r="H90" s="218">
        <v>2.7570569000149E13</v>
      </c>
      <c r="I90" s="218" t="s">
        <v>11860</v>
      </c>
      <c r="J90" s="218">
        <v>15113.0</v>
      </c>
      <c r="K90" s="218">
        <v>168105.0</v>
      </c>
      <c r="L90" s="218">
        <v>1.0E8</v>
      </c>
      <c r="M90" s="218">
        <v>339030.0</v>
      </c>
      <c r="N90" s="218" t="s">
        <v>11858</v>
      </c>
      <c r="O90" s="218">
        <v>1.51132022000064E14</v>
      </c>
      <c r="P90" s="222">
        <v>2800.0</v>
      </c>
      <c r="Q90" s="222">
        <v>2800.0</v>
      </c>
      <c r="R90" s="222">
        <v>2800.0</v>
      </c>
      <c r="S90" s="222">
        <v>2800.0</v>
      </c>
    </row>
    <row r="91">
      <c r="A91" s="218" t="s">
        <v>781</v>
      </c>
      <c r="B91" s="218" t="s">
        <v>11861</v>
      </c>
      <c r="C91" s="456">
        <v>44575.0</v>
      </c>
      <c r="D91" s="218">
        <v>3.0</v>
      </c>
      <c r="E91" s="218">
        <v>401091.0</v>
      </c>
      <c r="G91" s="218" t="s">
        <v>11862</v>
      </c>
      <c r="H91" s="218">
        <v>5.34063900013E12</v>
      </c>
      <c r="I91" s="218" t="s">
        <v>11863</v>
      </c>
      <c r="J91" s="218">
        <v>15113.0</v>
      </c>
      <c r="K91" s="218">
        <v>168105.0</v>
      </c>
      <c r="L91" s="218">
        <v>1.0E8</v>
      </c>
      <c r="M91" s="218">
        <v>339030.0</v>
      </c>
      <c r="N91" s="218" t="s">
        <v>10491</v>
      </c>
      <c r="O91" s="218">
        <v>1.51132022000065E14</v>
      </c>
      <c r="P91" s="222">
        <v>20000.0</v>
      </c>
      <c r="Q91" s="222">
        <v>20000.0</v>
      </c>
      <c r="R91" s="222">
        <v>20000.0</v>
      </c>
      <c r="S91" s="222">
        <v>15194.86</v>
      </c>
    </row>
    <row r="92">
      <c r="A92" s="218" t="s">
        <v>781</v>
      </c>
      <c r="B92" s="218" t="s">
        <v>11864</v>
      </c>
      <c r="C92" s="456">
        <v>44575.0</v>
      </c>
      <c r="D92" s="218">
        <v>3.0</v>
      </c>
      <c r="E92" s="218">
        <v>401091.0</v>
      </c>
      <c r="G92" s="218" t="s">
        <v>11862</v>
      </c>
      <c r="H92" s="218">
        <v>5.34063900013E12</v>
      </c>
      <c r="I92" s="218" t="s">
        <v>11865</v>
      </c>
      <c r="J92" s="218">
        <v>15113.0</v>
      </c>
      <c r="K92" s="218">
        <v>168105.0</v>
      </c>
      <c r="L92" s="218">
        <v>1.0E8</v>
      </c>
      <c r="M92" s="218">
        <v>339039.0</v>
      </c>
      <c r="N92" s="218" t="s">
        <v>10491</v>
      </c>
      <c r="O92" s="218">
        <v>1.51132022000019E14</v>
      </c>
      <c r="P92" s="222">
        <v>8000.0</v>
      </c>
      <c r="Q92" s="222">
        <v>8000.0</v>
      </c>
      <c r="R92" s="222">
        <v>8000.0</v>
      </c>
      <c r="S92" s="222">
        <v>6841.55</v>
      </c>
    </row>
    <row r="93">
      <c r="A93" s="218" t="s">
        <v>11355</v>
      </c>
      <c r="B93" s="218" t="s">
        <v>11866</v>
      </c>
      <c r="C93" s="456">
        <v>44578.0</v>
      </c>
      <c r="D93" s="218">
        <v>1.0</v>
      </c>
      <c r="E93" s="218">
        <v>401091.0</v>
      </c>
      <c r="G93" s="218" t="s">
        <v>6856</v>
      </c>
      <c r="H93" s="218">
        <v>7.6334880934E10</v>
      </c>
      <c r="I93" s="218" t="s">
        <v>11867</v>
      </c>
      <c r="J93" s="218">
        <v>15113.0</v>
      </c>
      <c r="K93" s="218">
        <v>168105.0</v>
      </c>
      <c r="L93" s="218">
        <v>1.0E8</v>
      </c>
      <c r="M93" s="218">
        <v>339030.0</v>
      </c>
      <c r="N93" s="218" t="s">
        <v>11868</v>
      </c>
      <c r="O93" s="218">
        <v>1.51132022000201E14</v>
      </c>
      <c r="P93" s="218">
        <v>52.0</v>
      </c>
      <c r="Q93" s="218">
        <v>52.0</v>
      </c>
      <c r="R93" s="218">
        <v>52.0</v>
      </c>
      <c r="S93" s="218">
        <v>0.0</v>
      </c>
    </row>
    <row r="94">
      <c r="A94" s="218" t="s">
        <v>116</v>
      </c>
      <c r="B94" s="218" t="s">
        <v>179</v>
      </c>
      <c r="C94" s="456">
        <v>44578.0</v>
      </c>
      <c r="D94" s="218">
        <v>3.0</v>
      </c>
      <c r="E94" s="218">
        <v>401091.0</v>
      </c>
      <c r="G94" s="218" t="s">
        <v>175</v>
      </c>
      <c r="H94" s="218">
        <v>8.33678300019E12</v>
      </c>
      <c r="I94" s="218" t="s">
        <v>11869</v>
      </c>
      <c r="J94" s="218">
        <v>15113.0</v>
      </c>
      <c r="K94" s="218">
        <v>168105.0</v>
      </c>
      <c r="L94" s="218">
        <v>1.0E8</v>
      </c>
      <c r="M94" s="218">
        <v>339040.0</v>
      </c>
      <c r="N94" s="218" t="s">
        <v>174</v>
      </c>
      <c r="O94" s="218">
        <v>1.51132022000082E14</v>
      </c>
      <c r="P94" s="222">
        <v>4494.48</v>
      </c>
      <c r="Q94" s="222">
        <v>4494.48</v>
      </c>
      <c r="R94" s="222">
        <v>4494.48</v>
      </c>
      <c r="S94" s="222">
        <v>3308.64</v>
      </c>
    </row>
    <row r="95">
      <c r="A95" s="218" t="s">
        <v>116</v>
      </c>
      <c r="B95" s="218" t="s">
        <v>429</v>
      </c>
      <c r="C95" s="456">
        <v>44579.0</v>
      </c>
      <c r="D95" s="218">
        <v>3.0</v>
      </c>
      <c r="E95" s="218">
        <v>401091.0</v>
      </c>
      <c r="G95" s="218" t="s">
        <v>427</v>
      </c>
      <c r="H95" s="218">
        <v>5.116014000199E12</v>
      </c>
      <c r="I95" s="218" t="s">
        <v>642</v>
      </c>
      <c r="J95" s="218">
        <v>15113.0</v>
      </c>
      <c r="K95" s="218">
        <v>168105.0</v>
      </c>
      <c r="L95" s="218">
        <v>1.0E8</v>
      </c>
      <c r="M95" s="218">
        <v>339040.0</v>
      </c>
      <c r="N95" s="218" t="s">
        <v>426</v>
      </c>
      <c r="O95" s="218">
        <v>1.51132022000103E14</v>
      </c>
      <c r="P95" s="222">
        <v>7626.48</v>
      </c>
      <c r="Q95" s="222">
        <v>7626.48</v>
      </c>
      <c r="R95" s="222">
        <v>7626.48</v>
      </c>
      <c r="S95" s="222">
        <v>5719.86</v>
      </c>
    </row>
    <row r="96">
      <c r="A96" s="218" t="s">
        <v>116</v>
      </c>
      <c r="B96" s="218" t="s">
        <v>285</v>
      </c>
      <c r="C96" s="456">
        <v>44579.0</v>
      </c>
      <c r="D96" s="218">
        <v>3.0</v>
      </c>
      <c r="E96" s="218">
        <v>401091.0</v>
      </c>
      <c r="G96" s="218" t="s">
        <v>284</v>
      </c>
      <c r="H96" s="218">
        <v>2.4798024000104E13</v>
      </c>
      <c r="I96" s="218" t="s">
        <v>631</v>
      </c>
      <c r="J96" s="218">
        <v>15113.0</v>
      </c>
      <c r="K96" s="218">
        <v>168105.0</v>
      </c>
      <c r="L96" s="218">
        <v>1.0E8</v>
      </c>
      <c r="M96" s="218">
        <v>339040.0</v>
      </c>
      <c r="N96" s="218" t="s">
        <v>283</v>
      </c>
      <c r="O96" s="218">
        <v>1.51132022000084E14</v>
      </c>
      <c r="P96" s="222">
        <v>32390.4</v>
      </c>
      <c r="Q96" s="222">
        <v>32390.4</v>
      </c>
      <c r="R96" s="222">
        <v>32390.4</v>
      </c>
      <c r="S96" s="222">
        <v>24346.78</v>
      </c>
    </row>
    <row r="97">
      <c r="A97" s="218" t="s">
        <v>116</v>
      </c>
      <c r="B97" s="218" t="s">
        <v>309</v>
      </c>
      <c r="C97" s="456">
        <v>44579.0</v>
      </c>
      <c r="D97" s="218">
        <v>3.0</v>
      </c>
      <c r="E97" s="218">
        <v>401091.0</v>
      </c>
      <c r="G97" s="218" t="s">
        <v>308</v>
      </c>
      <c r="H97" s="218">
        <v>2.255187000108E12</v>
      </c>
      <c r="I97" s="218" t="s">
        <v>11870</v>
      </c>
      <c r="J97" s="218">
        <v>15113.0</v>
      </c>
      <c r="K97" s="218">
        <v>168105.0</v>
      </c>
      <c r="L97" s="218">
        <v>1.0E8</v>
      </c>
      <c r="M97" s="218">
        <v>339040.0</v>
      </c>
      <c r="N97" s="218" t="s">
        <v>307</v>
      </c>
      <c r="O97" s="218">
        <v>1.51132022000093E14</v>
      </c>
      <c r="P97" s="222">
        <v>6000.0</v>
      </c>
      <c r="Q97" s="222">
        <v>6000.0</v>
      </c>
      <c r="R97" s="222">
        <v>6000.0</v>
      </c>
      <c r="S97" s="222">
        <v>3000.0</v>
      </c>
    </row>
    <row r="98">
      <c r="A98" s="218" t="s">
        <v>116</v>
      </c>
      <c r="B98" s="218" t="s">
        <v>257</v>
      </c>
      <c r="C98" s="456">
        <v>44579.0</v>
      </c>
      <c r="D98" s="218">
        <v>3.0</v>
      </c>
      <c r="E98" s="218">
        <v>401091.0</v>
      </c>
      <c r="G98" s="218" t="s">
        <v>255</v>
      </c>
      <c r="H98" s="218">
        <v>7.452760000189E12</v>
      </c>
      <c r="I98" s="218" t="s">
        <v>11871</v>
      </c>
      <c r="J98" s="218">
        <v>15113.0</v>
      </c>
      <c r="K98" s="218">
        <v>168105.0</v>
      </c>
      <c r="L98" s="218">
        <v>1.0E8</v>
      </c>
      <c r="M98" s="218">
        <v>339040.0</v>
      </c>
      <c r="N98" s="218" t="s">
        <v>254</v>
      </c>
      <c r="O98" s="218">
        <v>1.51132022000085E14</v>
      </c>
      <c r="P98" s="222">
        <v>17940.0</v>
      </c>
      <c r="Q98" s="222">
        <v>17940.0</v>
      </c>
      <c r="R98" s="222">
        <v>17940.0</v>
      </c>
      <c r="S98" s="222">
        <v>13455.0</v>
      </c>
    </row>
    <row r="99">
      <c r="A99" s="218" t="s">
        <v>116</v>
      </c>
      <c r="B99" s="218" t="s">
        <v>224</v>
      </c>
      <c r="C99" s="456">
        <v>44579.0</v>
      </c>
      <c r="D99" s="218">
        <v>3.0</v>
      </c>
      <c r="E99" s="218">
        <v>401091.0</v>
      </c>
      <c r="G99" s="218" t="s">
        <v>223</v>
      </c>
      <c r="H99" s="218">
        <v>4.0432544000147E13</v>
      </c>
      <c r="I99" s="218" t="s">
        <v>11872</v>
      </c>
      <c r="J99" s="218">
        <v>15113.0</v>
      </c>
      <c r="K99" s="218">
        <v>168105.0</v>
      </c>
      <c r="L99" s="218">
        <v>1.0E8</v>
      </c>
      <c r="M99" s="218">
        <v>339040.0</v>
      </c>
      <c r="N99" s="218" t="s">
        <v>222</v>
      </c>
      <c r="O99" s="218">
        <v>1.51132022000094E14</v>
      </c>
      <c r="P99" s="222">
        <v>41494.8</v>
      </c>
      <c r="Q99" s="222">
        <v>41494.8</v>
      </c>
      <c r="R99" s="222">
        <v>41494.8</v>
      </c>
      <c r="S99" s="222">
        <v>31121.1</v>
      </c>
    </row>
    <row r="100">
      <c r="A100" s="218" t="s">
        <v>116</v>
      </c>
      <c r="B100" s="218" t="s">
        <v>170</v>
      </c>
      <c r="C100" s="456">
        <v>44579.0</v>
      </c>
      <c r="D100" s="218">
        <v>3.0</v>
      </c>
      <c r="E100" s="218">
        <v>401091.0</v>
      </c>
      <c r="G100" s="218" t="s">
        <v>169</v>
      </c>
      <c r="H100" s="218">
        <v>7.108509000282E12</v>
      </c>
      <c r="I100" s="218" t="s">
        <v>11873</v>
      </c>
      <c r="J100" s="218">
        <v>15113.0</v>
      </c>
      <c r="K100" s="218">
        <v>168105.0</v>
      </c>
      <c r="L100" s="218">
        <v>1.0E8</v>
      </c>
      <c r="M100" s="218">
        <v>339040.0</v>
      </c>
      <c r="N100" s="218" t="s">
        <v>168</v>
      </c>
      <c r="O100" s="218">
        <v>1.51132022000086E14</v>
      </c>
      <c r="P100" s="222">
        <v>11221.33</v>
      </c>
      <c r="Q100" s="222">
        <v>11221.33</v>
      </c>
      <c r="R100" s="222">
        <v>11221.33</v>
      </c>
      <c r="S100" s="218">
        <v>701.33</v>
      </c>
    </row>
    <row r="101">
      <c r="A101" s="218" t="s">
        <v>116</v>
      </c>
      <c r="B101" s="218" t="s">
        <v>522</v>
      </c>
      <c r="C101" s="456">
        <v>44579.0</v>
      </c>
      <c r="D101" s="218">
        <v>1.0</v>
      </c>
      <c r="E101" s="218">
        <v>401091.0</v>
      </c>
      <c r="F101" s="218"/>
      <c r="G101" s="218" t="s">
        <v>150</v>
      </c>
      <c r="H101" s="218">
        <v>7.8333640001E12</v>
      </c>
      <c r="I101" s="218" t="s">
        <v>11874</v>
      </c>
      <c r="J101" s="218">
        <v>15113.0</v>
      </c>
      <c r="K101" s="218">
        <v>168107.0</v>
      </c>
      <c r="L101" s="218">
        <v>1.0E8</v>
      </c>
      <c r="M101" s="218">
        <v>339092.0</v>
      </c>
      <c r="N101" s="218" t="s">
        <v>149</v>
      </c>
      <c r="O101" s="218">
        <v>1.51132022000102E14</v>
      </c>
      <c r="P101" s="218">
        <v>620.92</v>
      </c>
      <c r="Q101" s="218">
        <v>620.92</v>
      </c>
      <c r="R101" s="218">
        <v>620.92</v>
      </c>
      <c r="S101" s="218">
        <v>0.0</v>
      </c>
    </row>
    <row r="102">
      <c r="A102" s="218" t="s">
        <v>11704</v>
      </c>
      <c r="B102" s="218" t="s">
        <v>11875</v>
      </c>
      <c r="C102" s="456">
        <v>44579.0</v>
      </c>
      <c r="D102" s="218">
        <v>1.0</v>
      </c>
      <c r="E102" s="218">
        <v>401091.0</v>
      </c>
      <c r="G102" s="218" t="s">
        <v>11835</v>
      </c>
      <c r="H102" s="218">
        <v>1.0571929000124E13</v>
      </c>
      <c r="I102" s="218" t="s">
        <v>11876</v>
      </c>
      <c r="J102" s="218">
        <v>15113.0</v>
      </c>
      <c r="K102" s="218">
        <v>168105.0</v>
      </c>
      <c r="L102" s="218">
        <v>1.5015113E8</v>
      </c>
      <c r="M102" s="218">
        <v>339092.0</v>
      </c>
      <c r="N102" s="218" t="s">
        <v>11877</v>
      </c>
      <c r="O102" s="218">
        <v>1.51132022000012E14</v>
      </c>
      <c r="P102" s="218">
        <v>790.0</v>
      </c>
      <c r="Q102" s="218">
        <v>790.0</v>
      </c>
      <c r="R102" s="218">
        <v>790.0</v>
      </c>
      <c r="S102" s="218">
        <v>0.0</v>
      </c>
    </row>
    <row r="103">
      <c r="A103" s="218" t="s">
        <v>11355</v>
      </c>
      <c r="B103" s="218" t="s">
        <v>11878</v>
      </c>
      <c r="C103" s="456">
        <v>44579.0</v>
      </c>
      <c r="D103" s="218">
        <v>3.0</v>
      </c>
      <c r="E103" s="218">
        <v>401091.0</v>
      </c>
      <c r="G103" s="218" t="s">
        <v>11650</v>
      </c>
      <c r="H103" s="218">
        <v>510001.0</v>
      </c>
      <c r="I103" s="218" t="s">
        <v>11879</v>
      </c>
      <c r="J103" s="218">
        <v>15113.0</v>
      </c>
      <c r="K103" s="218">
        <v>168097.0</v>
      </c>
      <c r="L103" s="218">
        <v>1.0E8</v>
      </c>
      <c r="M103" s="218">
        <v>339192.0</v>
      </c>
      <c r="N103" s="218" t="s">
        <v>11880</v>
      </c>
      <c r="O103" s="218">
        <v>1.51132022000205E14</v>
      </c>
      <c r="P103" s="222">
        <v>31540.0</v>
      </c>
      <c r="Q103" s="222">
        <v>31540.0</v>
      </c>
      <c r="R103" s="222">
        <v>31540.0</v>
      </c>
      <c r="S103" s="218">
        <v>0.0</v>
      </c>
    </row>
    <row r="104">
      <c r="A104" s="218" t="s">
        <v>116</v>
      </c>
      <c r="B104" s="218" t="s">
        <v>465</v>
      </c>
      <c r="C104" s="456">
        <v>44580.0</v>
      </c>
      <c r="D104" s="218">
        <v>3.0</v>
      </c>
      <c r="E104" s="218">
        <v>401091.0</v>
      </c>
      <c r="G104" s="218" t="s">
        <v>463</v>
      </c>
      <c r="H104" s="218">
        <v>7.3922171000141E13</v>
      </c>
      <c r="I104" s="218" t="s">
        <v>622</v>
      </c>
      <c r="J104" s="218">
        <v>15113.0</v>
      </c>
      <c r="K104" s="218">
        <v>168105.0</v>
      </c>
      <c r="L104" s="218">
        <v>1.0E8</v>
      </c>
      <c r="M104" s="218">
        <v>339040.0</v>
      </c>
      <c r="N104" s="218" t="s">
        <v>462</v>
      </c>
      <c r="O104" s="218">
        <v>1.51132022000104E14</v>
      </c>
      <c r="P104" s="222">
        <v>2992.44</v>
      </c>
      <c r="Q104" s="222">
        <v>2992.44</v>
      </c>
      <c r="R104" s="222">
        <v>2992.44</v>
      </c>
      <c r="S104" s="222">
        <v>2244.33</v>
      </c>
    </row>
    <row r="105">
      <c r="A105" s="218" t="s">
        <v>116</v>
      </c>
      <c r="B105" s="218" t="s">
        <v>294</v>
      </c>
      <c r="C105" s="456">
        <v>44580.0</v>
      </c>
      <c r="D105" s="218">
        <v>3.0</v>
      </c>
      <c r="E105" s="218">
        <v>401091.0</v>
      </c>
      <c r="G105" s="218" t="s">
        <v>291</v>
      </c>
      <c r="H105" s="218">
        <v>806030.0</v>
      </c>
      <c r="I105" s="218" t="s">
        <v>632</v>
      </c>
      <c r="J105" s="218">
        <v>15113.0</v>
      </c>
      <c r="K105" s="218">
        <v>168105.0</v>
      </c>
      <c r="L105" s="218">
        <v>1.0E8</v>
      </c>
      <c r="M105" s="218">
        <v>339040.0</v>
      </c>
      <c r="N105" s="218" t="s">
        <v>290</v>
      </c>
      <c r="O105" s="218">
        <v>1.51132022000092E14</v>
      </c>
      <c r="P105" s="222">
        <v>43954.44</v>
      </c>
      <c r="Q105" s="222">
        <v>43954.44</v>
      </c>
      <c r="R105" s="222">
        <v>43954.44</v>
      </c>
      <c r="S105" s="222">
        <v>32723.07</v>
      </c>
    </row>
    <row r="106">
      <c r="A106" s="218" t="s">
        <v>116</v>
      </c>
      <c r="B106" s="218" t="s">
        <v>387</v>
      </c>
      <c r="C106" s="456">
        <v>44580.0</v>
      </c>
      <c r="D106" s="218">
        <v>3.0</v>
      </c>
      <c r="E106" s="218">
        <v>401091.0</v>
      </c>
      <c r="G106" s="218" t="s">
        <v>386</v>
      </c>
      <c r="H106" s="218">
        <v>4.1587502001209E13</v>
      </c>
      <c r="I106" s="218" t="s">
        <v>11881</v>
      </c>
      <c r="J106" s="218">
        <v>15113.0</v>
      </c>
      <c r="K106" s="218">
        <v>168105.0</v>
      </c>
      <c r="L106" s="218">
        <v>1.0E8</v>
      </c>
      <c r="M106" s="218">
        <v>339040.0</v>
      </c>
      <c r="N106" s="218" t="s">
        <v>385</v>
      </c>
      <c r="O106" s="218">
        <v>1.51132022000108E14</v>
      </c>
      <c r="P106" s="222">
        <v>11870.76</v>
      </c>
      <c r="Q106" s="222">
        <v>11870.76</v>
      </c>
      <c r="R106" s="222">
        <v>11870.76</v>
      </c>
      <c r="S106" s="222">
        <v>10881.53</v>
      </c>
    </row>
    <row r="107">
      <c r="A107" s="218" t="s">
        <v>781</v>
      </c>
      <c r="B107" s="218" t="s">
        <v>11882</v>
      </c>
      <c r="C107" s="456">
        <v>44581.0</v>
      </c>
      <c r="D107" s="218">
        <v>1.0</v>
      </c>
      <c r="E107" s="218">
        <v>401091.0</v>
      </c>
      <c r="G107" s="218" t="s">
        <v>5044</v>
      </c>
      <c r="H107" s="218">
        <v>2.3103993000122E13</v>
      </c>
      <c r="I107" s="218" t="s">
        <v>11883</v>
      </c>
      <c r="J107" s="218">
        <v>15113.0</v>
      </c>
      <c r="K107" s="218">
        <v>168105.0</v>
      </c>
      <c r="L107" s="218">
        <v>1.5015113E8</v>
      </c>
      <c r="M107" s="218">
        <v>339092.0</v>
      </c>
      <c r="N107" s="218" t="s">
        <v>9405</v>
      </c>
      <c r="O107" s="218">
        <v>1.51132022000032E14</v>
      </c>
      <c r="P107" s="218">
        <v>149.47</v>
      </c>
      <c r="Q107" s="218">
        <v>149.47</v>
      </c>
      <c r="R107" s="218">
        <v>149.47</v>
      </c>
      <c r="S107" s="218">
        <v>0.0</v>
      </c>
    </row>
    <row r="108">
      <c r="A108" s="218" t="s">
        <v>116</v>
      </c>
      <c r="B108" s="218" t="s">
        <v>470</v>
      </c>
      <c r="C108" s="456">
        <v>44581.0</v>
      </c>
      <c r="D108" s="218">
        <v>3.0</v>
      </c>
      <c r="E108" s="218">
        <v>401091.0</v>
      </c>
      <c r="G108" s="218" t="s">
        <v>469</v>
      </c>
      <c r="H108" s="218">
        <v>4.892991000115E12</v>
      </c>
      <c r="I108" s="218" t="s">
        <v>11884</v>
      </c>
      <c r="J108" s="218">
        <v>15113.0</v>
      </c>
      <c r="K108" s="218">
        <v>168107.0</v>
      </c>
      <c r="L108" s="218">
        <v>1.0E8</v>
      </c>
      <c r="M108" s="218">
        <v>339040.0</v>
      </c>
      <c r="N108" s="218" t="s">
        <v>468</v>
      </c>
      <c r="O108" s="218">
        <v>1.51132022000101E14</v>
      </c>
      <c r="P108" s="222">
        <v>42000.0</v>
      </c>
      <c r="Q108" s="222">
        <v>42000.0</v>
      </c>
      <c r="R108" s="222">
        <v>42000.0</v>
      </c>
      <c r="S108" s="222">
        <v>31500.0</v>
      </c>
    </row>
    <row r="109">
      <c r="A109" s="218" t="s">
        <v>116</v>
      </c>
      <c r="B109" s="218" t="s">
        <v>394</v>
      </c>
      <c r="C109" s="456">
        <v>44581.0</v>
      </c>
      <c r="D109" s="218">
        <v>3.0</v>
      </c>
      <c r="E109" s="218">
        <v>401091.0</v>
      </c>
      <c r="G109" s="218" t="s">
        <v>392</v>
      </c>
      <c r="H109" s="218">
        <v>2.3518065000129E13</v>
      </c>
      <c r="I109" s="218" t="s">
        <v>11885</v>
      </c>
      <c r="J109" s="218">
        <v>15113.0</v>
      </c>
      <c r="K109" s="218">
        <v>168107.0</v>
      </c>
      <c r="L109" s="218">
        <v>1.0E8</v>
      </c>
      <c r="M109" s="218">
        <v>339040.0</v>
      </c>
      <c r="N109" s="218" t="s">
        <v>391</v>
      </c>
      <c r="O109" s="218">
        <v>1.51132022000089E14</v>
      </c>
      <c r="P109" s="222">
        <v>55999.92</v>
      </c>
      <c r="Q109" s="222">
        <v>55999.92</v>
      </c>
      <c r="R109" s="222">
        <v>55999.92</v>
      </c>
      <c r="S109" s="222">
        <v>45664.26</v>
      </c>
    </row>
    <row r="110">
      <c r="A110" s="218" t="s">
        <v>116</v>
      </c>
      <c r="B110" s="218" t="s">
        <v>11886</v>
      </c>
      <c r="C110" s="456">
        <v>44581.0</v>
      </c>
      <c r="D110" s="218">
        <v>3.0</v>
      </c>
      <c r="E110" s="218">
        <v>401091.0</v>
      </c>
      <c r="G110" s="218" t="s">
        <v>200</v>
      </c>
      <c r="H110" s="218">
        <v>1.479874000012E13</v>
      </c>
      <c r="I110" s="218" t="s">
        <v>11887</v>
      </c>
      <c r="J110" s="218">
        <v>15113.0</v>
      </c>
      <c r="K110" s="218">
        <v>168105.0</v>
      </c>
      <c r="L110" s="218">
        <v>1.0E8</v>
      </c>
      <c r="M110" s="218">
        <v>339040.0</v>
      </c>
      <c r="N110" s="218" t="s">
        <v>487</v>
      </c>
      <c r="O110" s="218">
        <v>1.51132022000093E14</v>
      </c>
      <c r="P110" s="218">
        <v>0.0</v>
      </c>
      <c r="Q110" s="218">
        <v>0.0</v>
      </c>
      <c r="R110" s="218">
        <v>0.0</v>
      </c>
      <c r="S110" s="218">
        <v>0.0</v>
      </c>
    </row>
    <row r="111">
      <c r="A111" s="218" t="s">
        <v>116</v>
      </c>
      <c r="B111" s="218" t="s">
        <v>201</v>
      </c>
      <c r="C111" s="456">
        <v>44581.0</v>
      </c>
      <c r="D111" s="218">
        <v>3.0</v>
      </c>
      <c r="E111" s="218">
        <v>401091.0</v>
      </c>
      <c r="G111" s="218" t="s">
        <v>200</v>
      </c>
      <c r="H111" s="218">
        <v>1.479874000012E13</v>
      </c>
      <c r="I111" s="218" t="s">
        <v>11888</v>
      </c>
      <c r="J111" s="218">
        <v>15113.0</v>
      </c>
      <c r="K111" s="218">
        <v>168105.0</v>
      </c>
      <c r="L111" s="218">
        <v>1.0E8</v>
      </c>
      <c r="M111" s="218">
        <v>339040.0</v>
      </c>
      <c r="N111" s="218" t="s">
        <v>199</v>
      </c>
      <c r="O111" s="218">
        <v>1.51132022000091E14</v>
      </c>
      <c r="P111" s="222">
        <v>9350.0</v>
      </c>
      <c r="Q111" s="222">
        <v>9350.0</v>
      </c>
      <c r="R111" s="222">
        <v>9350.0</v>
      </c>
      <c r="S111" s="222">
        <v>6545.0</v>
      </c>
    </row>
    <row r="112">
      <c r="A112" s="218" t="s">
        <v>9331</v>
      </c>
      <c r="B112" s="218" t="s">
        <v>11889</v>
      </c>
      <c r="C112" s="456">
        <v>44582.0</v>
      </c>
      <c r="D112" s="218">
        <v>1.0</v>
      </c>
      <c r="E112" s="218">
        <v>401091.0</v>
      </c>
      <c r="G112" s="218" t="s">
        <v>11890</v>
      </c>
      <c r="H112" s="218" t="s">
        <v>11891</v>
      </c>
      <c r="I112" s="218" t="s">
        <v>11892</v>
      </c>
      <c r="J112" s="218">
        <v>71103.0</v>
      </c>
      <c r="K112" s="218">
        <v>90162.0</v>
      </c>
      <c r="L112" s="218">
        <v>1.0E8</v>
      </c>
      <c r="M112" s="218">
        <v>319091.0</v>
      </c>
      <c r="N112" s="218" t="s">
        <v>11893</v>
      </c>
      <c r="O112" s="218">
        <v>1.5113202200021E14</v>
      </c>
      <c r="P112" s="222">
        <v>13731.52</v>
      </c>
      <c r="Q112" s="222">
        <v>13731.52</v>
      </c>
      <c r="R112" s="222">
        <v>13731.52</v>
      </c>
      <c r="S112" s="218">
        <v>0.0</v>
      </c>
    </row>
    <row r="113">
      <c r="A113" s="218" t="s">
        <v>11355</v>
      </c>
      <c r="B113" s="218" t="s">
        <v>11894</v>
      </c>
      <c r="C113" s="456">
        <v>44582.0</v>
      </c>
      <c r="D113" s="218">
        <v>3.0</v>
      </c>
      <c r="E113" s="218">
        <v>401091.0</v>
      </c>
      <c r="F113" s="218"/>
      <c r="G113" s="218" t="s">
        <v>11642</v>
      </c>
      <c r="H113" s="218">
        <v>80013.0</v>
      </c>
      <c r="I113" s="218" t="s">
        <v>11895</v>
      </c>
      <c r="J113" s="218">
        <v>15113.0</v>
      </c>
      <c r="K113" s="218">
        <v>168099.0</v>
      </c>
      <c r="L113" s="218">
        <v>1.56E8</v>
      </c>
      <c r="M113" s="218">
        <v>319092.0</v>
      </c>
      <c r="N113" s="218" t="s">
        <v>11644</v>
      </c>
      <c r="O113" s="218">
        <v>1.5113202200018E14</v>
      </c>
      <c r="P113" s="222">
        <v>18649.65</v>
      </c>
      <c r="Q113" s="222">
        <v>18649.65</v>
      </c>
      <c r="R113" s="222">
        <v>18649.65</v>
      </c>
      <c r="S113" s="218">
        <v>0.0</v>
      </c>
    </row>
    <row r="114">
      <c r="A114" s="218" t="s">
        <v>9331</v>
      </c>
      <c r="B114" s="218" t="s">
        <v>11896</v>
      </c>
      <c r="C114" s="456">
        <v>44582.0</v>
      </c>
      <c r="D114" s="218">
        <v>3.0</v>
      </c>
      <c r="E114" s="218">
        <v>401091.0</v>
      </c>
      <c r="G114" s="218" t="s">
        <v>11655</v>
      </c>
      <c r="H114" s="218">
        <v>1.8465825000147E13</v>
      </c>
      <c r="I114" s="218" t="s">
        <v>11897</v>
      </c>
      <c r="J114" s="218">
        <v>15113.0</v>
      </c>
      <c r="K114" s="218">
        <v>168098.0</v>
      </c>
      <c r="L114" s="218">
        <v>1.0E8</v>
      </c>
      <c r="M114" s="218">
        <v>319092.0</v>
      </c>
      <c r="N114" s="218" t="s">
        <v>11644</v>
      </c>
      <c r="O114" s="218">
        <v>1.51132022000177E14</v>
      </c>
      <c r="P114" s="222">
        <v>1255.82</v>
      </c>
      <c r="Q114" s="222">
        <v>1255.82</v>
      </c>
      <c r="R114" s="222">
        <v>1255.82</v>
      </c>
      <c r="S114" s="218">
        <v>0.0</v>
      </c>
    </row>
    <row r="115">
      <c r="A115" s="218" t="s">
        <v>11355</v>
      </c>
      <c r="B115" s="218" t="s">
        <v>11898</v>
      </c>
      <c r="C115" s="456">
        <v>44582.0</v>
      </c>
      <c r="D115" s="218">
        <v>3.0</v>
      </c>
      <c r="E115" s="218">
        <v>401091.0</v>
      </c>
      <c r="G115" s="218" t="s">
        <v>11642</v>
      </c>
      <c r="H115" s="218">
        <v>80013.0</v>
      </c>
      <c r="I115" s="218" t="s">
        <v>11899</v>
      </c>
      <c r="J115" s="218">
        <v>15113.0</v>
      </c>
      <c r="K115" s="218">
        <v>168098.0</v>
      </c>
      <c r="L115" s="218">
        <v>1.0E8</v>
      </c>
      <c r="M115" s="218">
        <v>319092.0</v>
      </c>
      <c r="N115" s="218" t="s">
        <v>11644</v>
      </c>
      <c r="O115" s="218">
        <v>1.51132022000175E14</v>
      </c>
      <c r="P115" s="222">
        <v>192284.78</v>
      </c>
      <c r="Q115" s="222">
        <v>192284.78</v>
      </c>
      <c r="R115" s="222">
        <v>192284.78</v>
      </c>
      <c r="S115" s="218">
        <v>0.0</v>
      </c>
    </row>
    <row r="116">
      <c r="A116" s="218" t="s">
        <v>9331</v>
      </c>
      <c r="B116" s="218" t="s">
        <v>11900</v>
      </c>
      <c r="C116" s="456">
        <v>44582.0</v>
      </c>
      <c r="D116" s="218">
        <v>3.0</v>
      </c>
      <c r="E116" s="218">
        <v>401091.0</v>
      </c>
      <c r="G116" s="218" t="s">
        <v>11653</v>
      </c>
      <c r="H116" s="218">
        <v>170502.0</v>
      </c>
      <c r="I116" s="218" t="s">
        <v>11901</v>
      </c>
      <c r="J116" s="218">
        <v>15113.0</v>
      </c>
      <c r="K116" s="218">
        <v>168095.0</v>
      </c>
      <c r="L116" s="218">
        <v>1.0E8</v>
      </c>
      <c r="M116" s="218">
        <v>319192.0</v>
      </c>
      <c r="N116" s="218" t="s">
        <v>11644</v>
      </c>
      <c r="O116" s="218">
        <v>1.51132022000181E14</v>
      </c>
      <c r="P116" s="222">
        <v>9011.34</v>
      </c>
      <c r="Q116" s="222">
        <v>9011.34</v>
      </c>
      <c r="R116" s="222">
        <v>9011.34</v>
      </c>
      <c r="S116" s="218">
        <v>0.0</v>
      </c>
    </row>
    <row r="117">
      <c r="A117" s="218" t="s">
        <v>116</v>
      </c>
      <c r="B117" s="218" t="s">
        <v>524</v>
      </c>
      <c r="C117" s="456">
        <v>44585.0</v>
      </c>
      <c r="D117" s="218">
        <v>1.0</v>
      </c>
      <c r="E117" s="218">
        <v>401091.0</v>
      </c>
      <c r="G117" s="218" t="s">
        <v>469</v>
      </c>
      <c r="H117" s="218">
        <v>4.892991000115E12</v>
      </c>
      <c r="I117" s="218" t="s">
        <v>11902</v>
      </c>
      <c r="J117" s="218">
        <v>15113.0</v>
      </c>
      <c r="K117" s="218">
        <v>168107.0</v>
      </c>
      <c r="L117" s="218">
        <v>1.0E8</v>
      </c>
      <c r="M117" s="218">
        <v>339092.0</v>
      </c>
      <c r="N117" s="218" t="s">
        <v>468</v>
      </c>
      <c r="O117" s="218">
        <v>1.51132022000101E14</v>
      </c>
      <c r="P117" s="218">
        <v>583.33</v>
      </c>
      <c r="Q117" s="218">
        <v>583.33</v>
      </c>
      <c r="R117" s="218">
        <v>583.33</v>
      </c>
      <c r="S117" s="218">
        <v>0.0</v>
      </c>
    </row>
    <row r="118">
      <c r="A118" s="218" t="s">
        <v>116</v>
      </c>
      <c r="B118" s="218" t="s">
        <v>517</v>
      </c>
      <c r="C118" s="456">
        <v>44585.0</v>
      </c>
      <c r="D118" s="218">
        <v>1.0</v>
      </c>
      <c r="E118" s="218">
        <v>401091.0</v>
      </c>
      <c r="G118" s="218" t="s">
        <v>208</v>
      </c>
      <c r="H118" s="218">
        <v>6.556008000115E12</v>
      </c>
      <c r="I118" s="218" t="s">
        <v>11903</v>
      </c>
      <c r="J118" s="218">
        <v>15113.0</v>
      </c>
      <c r="K118" s="218">
        <v>168105.0</v>
      </c>
      <c r="L118" s="218">
        <v>1.0E8</v>
      </c>
      <c r="M118" s="218">
        <v>339092.0</v>
      </c>
      <c r="N118" s="218" t="s">
        <v>207</v>
      </c>
      <c r="O118" s="218">
        <v>1.51132022000078E14</v>
      </c>
      <c r="P118" s="222">
        <v>11760.9</v>
      </c>
      <c r="Q118" s="222">
        <v>11760.9</v>
      </c>
      <c r="R118" s="222">
        <v>11760.9</v>
      </c>
      <c r="S118" s="218">
        <v>0.0</v>
      </c>
    </row>
    <row r="119">
      <c r="A119" s="218" t="s">
        <v>11704</v>
      </c>
      <c r="B119" s="218" t="s">
        <v>11904</v>
      </c>
      <c r="C119" s="456">
        <v>44574.0</v>
      </c>
      <c r="D119" s="218">
        <v>1.0</v>
      </c>
      <c r="E119" s="218">
        <v>401091.0</v>
      </c>
      <c r="G119" s="218" t="s">
        <v>1462</v>
      </c>
      <c r="H119" s="218">
        <v>3.094629000136E12</v>
      </c>
      <c r="I119" s="218" t="s">
        <v>11905</v>
      </c>
      <c r="J119" s="218">
        <v>15113.0</v>
      </c>
      <c r="K119" s="218">
        <v>168105.0</v>
      </c>
      <c r="L119" s="218">
        <v>1.0E8</v>
      </c>
      <c r="M119" s="218">
        <v>339039.0</v>
      </c>
      <c r="N119" s="218" t="s">
        <v>11906</v>
      </c>
      <c r="O119" s="218">
        <v>1.51132022000027E14</v>
      </c>
      <c r="P119" s="222">
        <v>4092.7</v>
      </c>
      <c r="Q119" s="222">
        <v>4092.7</v>
      </c>
      <c r="R119" s="222">
        <v>4092.7</v>
      </c>
      <c r="S119" s="218">
        <v>0.0</v>
      </c>
    </row>
    <row r="120">
      <c r="A120" s="218" t="s">
        <v>11704</v>
      </c>
      <c r="B120" s="218" t="s">
        <v>11907</v>
      </c>
      <c r="C120" s="456">
        <v>44586.0</v>
      </c>
      <c r="D120" s="218">
        <v>1.0</v>
      </c>
      <c r="E120" s="218">
        <v>401091.0</v>
      </c>
      <c r="G120" s="218" t="s">
        <v>4880</v>
      </c>
      <c r="H120" s="218">
        <v>7.8533312000158E13</v>
      </c>
      <c r="I120" s="218" t="s">
        <v>11908</v>
      </c>
      <c r="J120" s="218">
        <v>15113.0</v>
      </c>
      <c r="K120" s="218">
        <v>168105.0</v>
      </c>
      <c r="L120" s="218">
        <v>1.0E8</v>
      </c>
      <c r="M120" s="218">
        <v>339092.0</v>
      </c>
      <c r="N120" s="218" t="s">
        <v>11909</v>
      </c>
      <c r="O120" s="218">
        <v>1.51132022000035E14</v>
      </c>
      <c r="P120" s="222">
        <v>11855.42</v>
      </c>
      <c r="Q120" s="222">
        <v>11855.42</v>
      </c>
      <c r="R120" s="222">
        <v>11855.42</v>
      </c>
      <c r="S120" s="218">
        <v>0.0</v>
      </c>
    </row>
    <row r="121">
      <c r="A121" s="218" t="s">
        <v>116</v>
      </c>
      <c r="B121" s="218" t="s">
        <v>152</v>
      </c>
      <c r="C121" s="456">
        <v>44588.0</v>
      </c>
      <c r="D121" s="218">
        <v>3.0</v>
      </c>
      <c r="E121" s="218">
        <v>401091.0</v>
      </c>
      <c r="G121" s="218" t="s">
        <v>150</v>
      </c>
      <c r="H121" s="218">
        <v>7.8333640001E12</v>
      </c>
      <c r="I121" s="218" t="s">
        <v>649</v>
      </c>
      <c r="J121" s="218">
        <v>15113.0</v>
      </c>
      <c r="K121" s="218">
        <v>168107.0</v>
      </c>
      <c r="L121" s="218">
        <v>1.0E8</v>
      </c>
      <c r="M121" s="218">
        <v>339040.0</v>
      </c>
      <c r="N121" s="218" t="s">
        <v>149</v>
      </c>
      <c r="O121" s="218">
        <v>1.51132022000102E14</v>
      </c>
      <c r="P121" s="222">
        <v>41901.18</v>
      </c>
      <c r="Q121" s="222">
        <v>41901.18</v>
      </c>
      <c r="R121" s="222">
        <v>41901.18</v>
      </c>
      <c r="S121" s="222">
        <v>20352.0</v>
      </c>
    </row>
    <row r="122">
      <c r="A122" s="218" t="s">
        <v>116</v>
      </c>
      <c r="B122" s="218" t="s">
        <v>187</v>
      </c>
      <c r="C122" s="456">
        <v>44588.0</v>
      </c>
      <c r="D122" s="218">
        <v>3.0</v>
      </c>
      <c r="E122" s="218">
        <v>401091.0</v>
      </c>
      <c r="F122" s="218"/>
      <c r="G122" s="218" t="s">
        <v>186</v>
      </c>
      <c r="H122" s="218">
        <v>8.3043745000165E13</v>
      </c>
      <c r="I122" s="218" t="s">
        <v>11910</v>
      </c>
      <c r="J122" s="218">
        <v>15113.0</v>
      </c>
      <c r="K122" s="218">
        <v>168107.0</v>
      </c>
      <c r="L122" s="218">
        <v>1.0E8</v>
      </c>
      <c r="M122" s="218">
        <v>339040.0</v>
      </c>
      <c r="N122" s="218" t="s">
        <v>185</v>
      </c>
      <c r="O122" s="218">
        <v>1.5113202200009E14</v>
      </c>
      <c r="P122" s="222">
        <v>338693.6</v>
      </c>
      <c r="Q122" s="222">
        <v>338693.6</v>
      </c>
      <c r="R122" s="222">
        <v>338693.6</v>
      </c>
      <c r="S122" s="222">
        <v>199624.64</v>
      </c>
    </row>
    <row r="123">
      <c r="A123" s="218" t="s">
        <v>116</v>
      </c>
      <c r="B123" s="218" t="s">
        <v>231</v>
      </c>
      <c r="C123" s="456">
        <v>44588.0</v>
      </c>
      <c r="D123" s="218">
        <v>3.0</v>
      </c>
      <c r="E123" s="218">
        <v>401091.0</v>
      </c>
      <c r="G123" s="218" t="s">
        <v>200</v>
      </c>
      <c r="H123" s="218">
        <v>1.479874000012E13</v>
      </c>
      <c r="I123" s="218" t="s">
        <v>653</v>
      </c>
      <c r="J123" s="218">
        <v>15113.0</v>
      </c>
      <c r="K123" s="218">
        <v>168107.0</v>
      </c>
      <c r="L123" s="218">
        <v>1.0E8</v>
      </c>
      <c r="M123" s="218">
        <v>339040.0</v>
      </c>
      <c r="N123" s="218" t="s">
        <v>230</v>
      </c>
      <c r="O123" s="218">
        <v>1.51132022000089E14</v>
      </c>
      <c r="P123" s="222">
        <v>125208.18</v>
      </c>
      <c r="Q123" s="222">
        <v>125208.18</v>
      </c>
      <c r="R123" s="222">
        <v>125208.18</v>
      </c>
      <c r="S123" s="222">
        <v>83472.12</v>
      </c>
    </row>
    <row r="124">
      <c r="A124" s="218" t="s">
        <v>116</v>
      </c>
      <c r="B124" s="218" t="s">
        <v>263</v>
      </c>
      <c r="C124" s="456">
        <v>44588.0</v>
      </c>
      <c r="D124" s="218">
        <v>3.0</v>
      </c>
      <c r="E124" s="218">
        <v>401091.0</v>
      </c>
      <c r="G124" s="218" t="s">
        <v>262</v>
      </c>
      <c r="H124" s="218">
        <v>1.1140607000193E13</v>
      </c>
      <c r="I124" s="218" t="s">
        <v>654</v>
      </c>
      <c r="J124" s="218">
        <v>15113.0</v>
      </c>
      <c r="K124" s="218">
        <v>168107.0</v>
      </c>
      <c r="L124" s="218">
        <v>1.0E8</v>
      </c>
      <c r="M124" s="218">
        <v>339040.0</v>
      </c>
      <c r="N124" s="218" t="s">
        <v>261</v>
      </c>
      <c r="O124" s="218">
        <v>1.511320220001E14</v>
      </c>
      <c r="P124" s="222">
        <v>187200.0</v>
      </c>
      <c r="Q124" s="222">
        <v>187200.0</v>
      </c>
      <c r="R124" s="222">
        <v>187200.0</v>
      </c>
      <c r="S124" s="222">
        <v>140400.0</v>
      </c>
    </row>
    <row r="125">
      <c r="A125" s="218" t="s">
        <v>116</v>
      </c>
      <c r="B125" s="218" t="s">
        <v>399</v>
      </c>
      <c r="C125" s="456">
        <v>44588.0</v>
      </c>
      <c r="D125" s="218">
        <v>3.0</v>
      </c>
      <c r="E125" s="218">
        <v>401091.0</v>
      </c>
      <c r="G125" s="218" t="s">
        <v>398</v>
      </c>
      <c r="H125" s="218">
        <v>5.9456277000176E13</v>
      </c>
      <c r="I125" s="218" t="s">
        <v>11911</v>
      </c>
      <c r="J125" s="218">
        <v>15113.0</v>
      </c>
      <c r="K125" s="218">
        <v>168107.0</v>
      </c>
      <c r="L125" s="218">
        <v>1.0E8</v>
      </c>
      <c r="M125" s="218">
        <v>339040.0</v>
      </c>
      <c r="N125" s="218" t="s">
        <v>11912</v>
      </c>
      <c r="O125" s="218">
        <v>1.51132022000099E14</v>
      </c>
      <c r="P125" s="222">
        <v>314626.2</v>
      </c>
      <c r="Q125" s="222">
        <v>314626.2</v>
      </c>
      <c r="R125" s="222">
        <v>314626.2</v>
      </c>
      <c r="S125" s="222">
        <v>262188.5</v>
      </c>
    </row>
    <row r="126">
      <c r="A126" s="218" t="s">
        <v>116</v>
      </c>
      <c r="B126" s="218" t="s">
        <v>410</v>
      </c>
      <c r="C126" s="456">
        <v>44588.0</v>
      </c>
      <c r="D126" s="218">
        <v>3.0</v>
      </c>
      <c r="E126" s="218">
        <v>401091.0</v>
      </c>
      <c r="G126" s="218" t="s">
        <v>409</v>
      </c>
      <c r="H126" s="218">
        <v>1.707536000104E12</v>
      </c>
      <c r="I126" s="218" t="s">
        <v>11913</v>
      </c>
      <c r="J126" s="218">
        <v>15113.0</v>
      </c>
      <c r="K126" s="218">
        <v>168107.0</v>
      </c>
      <c r="L126" s="218">
        <v>1.0E8</v>
      </c>
      <c r="M126" s="218">
        <v>339040.0</v>
      </c>
      <c r="N126" s="218" t="s">
        <v>408</v>
      </c>
      <c r="O126" s="218">
        <v>1.51132022000097E14</v>
      </c>
      <c r="P126" s="222">
        <v>192000.0</v>
      </c>
      <c r="Q126" s="222">
        <v>192000.0</v>
      </c>
      <c r="R126" s="222">
        <v>192000.0</v>
      </c>
      <c r="S126" s="222">
        <v>192000.0</v>
      </c>
    </row>
    <row r="127">
      <c r="A127" s="218" t="s">
        <v>116</v>
      </c>
      <c r="B127" s="218" t="s">
        <v>443</v>
      </c>
      <c r="C127" s="456">
        <v>44588.0</v>
      </c>
      <c r="D127" s="218">
        <v>3.0</v>
      </c>
      <c r="E127" s="218">
        <v>401091.0</v>
      </c>
      <c r="G127" s="218" t="s">
        <v>442</v>
      </c>
      <c r="H127" s="218">
        <v>3.698620000134E12</v>
      </c>
      <c r="I127" s="218" t="s">
        <v>11914</v>
      </c>
      <c r="J127" s="218">
        <v>15113.0</v>
      </c>
      <c r="K127" s="218">
        <v>168107.0</v>
      </c>
      <c r="L127" s="218">
        <v>1.0E8</v>
      </c>
      <c r="M127" s="218">
        <v>339040.0</v>
      </c>
      <c r="N127" s="218" t="s">
        <v>441</v>
      </c>
      <c r="O127" s="218">
        <v>1.51132022000083E14</v>
      </c>
      <c r="P127" s="222">
        <v>263192.44</v>
      </c>
      <c r="Q127" s="222">
        <v>263192.44</v>
      </c>
      <c r="R127" s="222">
        <v>263192.44</v>
      </c>
      <c r="S127" s="222">
        <v>178594.87</v>
      </c>
    </row>
    <row r="128">
      <c r="A128" s="218" t="s">
        <v>116</v>
      </c>
      <c r="B128" s="218" t="s">
        <v>238</v>
      </c>
      <c r="C128" s="456">
        <v>44588.0</v>
      </c>
      <c r="D128" s="218">
        <v>3.0</v>
      </c>
      <c r="E128" s="218">
        <v>401091.0</v>
      </c>
      <c r="G128" s="218" t="s">
        <v>236</v>
      </c>
      <c r="H128" s="218">
        <v>1.1508825000138E13</v>
      </c>
      <c r="I128" s="218" t="s">
        <v>11915</v>
      </c>
      <c r="J128" s="218">
        <v>15113.0</v>
      </c>
      <c r="K128" s="218">
        <v>168105.0</v>
      </c>
      <c r="L128" s="218">
        <v>1.0E8</v>
      </c>
      <c r="M128" s="218">
        <v>339040.0</v>
      </c>
      <c r="N128" s="218" t="s">
        <v>235</v>
      </c>
      <c r="O128" s="218">
        <v>1.51132022000107E14</v>
      </c>
      <c r="P128" s="222">
        <v>264255.08</v>
      </c>
      <c r="Q128" s="222">
        <v>264255.08</v>
      </c>
      <c r="R128" s="222">
        <v>264255.08</v>
      </c>
      <c r="S128" s="222">
        <v>194714.27</v>
      </c>
    </row>
    <row r="129">
      <c r="A129" s="218" t="s">
        <v>116</v>
      </c>
      <c r="B129" s="218" t="s">
        <v>209</v>
      </c>
      <c r="C129" s="456">
        <v>44588.0</v>
      </c>
      <c r="D129" s="218">
        <v>3.0</v>
      </c>
      <c r="E129" s="218">
        <v>401091.0</v>
      </c>
      <c r="G129" s="218" t="s">
        <v>208</v>
      </c>
      <c r="H129" s="218">
        <v>6.556008000115E12</v>
      </c>
      <c r="I129" s="218" t="s">
        <v>11916</v>
      </c>
      <c r="J129" s="218">
        <v>15113.0</v>
      </c>
      <c r="K129" s="218">
        <v>168105.0</v>
      </c>
      <c r="L129" s="218">
        <v>1.0E8</v>
      </c>
      <c r="M129" s="218">
        <v>339040.0</v>
      </c>
      <c r="N129" s="218" t="s">
        <v>207</v>
      </c>
      <c r="O129" s="218">
        <v>1.51132022000078E14</v>
      </c>
      <c r="P129" s="222">
        <v>801716.52</v>
      </c>
      <c r="Q129" s="222">
        <v>801716.52</v>
      </c>
      <c r="R129" s="222">
        <v>801716.52</v>
      </c>
      <c r="S129" s="222">
        <v>653069.72</v>
      </c>
    </row>
    <row r="130">
      <c r="A130" s="218" t="s">
        <v>116</v>
      </c>
      <c r="B130" s="218" t="s">
        <v>338</v>
      </c>
      <c r="C130" s="456">
        <v>44588.0</v>
      </c>
      <c r="D130" s="218">
        <v>3.0</v>
      </c>
      <c r="E130" s="218">
        <v>401091.0</v>
      </c>
      <c r="G130" s="218" t="s">
        <v>336</v>
      </c>
      <c r="H130" s="218">
        <v>8.0680093000181E13</v>
      </c>
      <c r="I130" s="218" t="s">
        <v>11917</v>
      </c>
      <c r="J130" s="218">
        <v>15113.0</v>
      </c>
      <c r="K130" s="218">
        <v>168105.0</v>
      </c>
      <c r="L130" s="218">
        <v>1.0E8</v>
      </c>
      <c r="M130" s="218">
        <v>339040.0</v>
      </c>
      <c r="N130" s="218" t="s">
        <v>11918</v>
      </c>
      <c r="O130" s="218">
        <v>1.51132022000081E14</v>
      </c>
      <c r="P130" s="222">
        <v>64215.96</v>
      </c>
      <c r="Q130" s="222">
        <v>64215.96</v>
      </c>
      <c r="R130" s="222">
        <v>64215.96</v>
      </c>
      <c r="S130" s="222">
        <v>46607.94</v>
      </c>
    </row>
    <row r="131">
      <c r="A131" s="218" t="s">
        <v>343</v>
      </c>
      <c r="B131" s="218" t="s">
        <v>11919</v>
      </c>
      <c r="C131" s="456">
        <v>44588.0</v>
      </c>
      <c r="D131" s="218">
        <v>1.0</v>
      </c>
      <c r="E131" s="218">
        <v>401091.0</v>
      </c>
      <c r="G131" s="218" t="s">
        <v>11920</v>
      </c>
      <c r="H131" s="218">
        <v>8.2892282000143E13</v>
      </c>
      <c r="I131" s="218" t="s">
        <v>11921</v>
      </c>
      <c r="J131" s="218">
        <v>15113.0</v>
      </c>
      <c r="K131" s="218">
        <v>168105.0</v>
      </c>
      <c r="L131" s="218">
        <v>1.0E8</v>
      </c>
      <c r="M131" s="218">
        <v>339047.0</v>
      </c>
      <c r="N131" s="218" t="s">
        <v>11922</v>
      </c>
      <c r="O131" s="218">
        <v>1.51132022000004E14</v>
      </c>
      <c r="P131" s="222">
        <v>7559.65</v>
      </c>
      <c r="Q131" s="222">
        <v>7559.65</v>
      </c>
      <c r="R131" s="222">
        <v>7559.65</v>
      </c>
      <c r="S131" s="218">
        <v>0.0</v>
      </c>
    </row>
    <row r="132">
      <c r="A132" s="218" t="s">
        <v>11704</v>
      </c>
      <c r="B132" s="218" t="s">
        <v>11923</v>
      </c>
      <c r="C132" s="456">
        <v>44588.0</v>
      </c>
      <c r="D132" s="218">
        <v>1.0</v>
      </c>
      <c r="E132" s="218">
        <v>401091.0</v>
      </c>
      <c r="G132" s="218" t="s">
        <v>11759</v>
      </c>
      <c r="H132" s="218">
        <v>1.0282669000177E13</v>
      </c>
      <c r="I132" s="218" t="s">
        <v>11924</v>
      </c>
      <c r="J132" s="218">
        <v>15113.0</v>
      </c>
      <c r="K132" s="218">
        <v>168105.0</v>
      </c>
      <c r="L132" s="218">
        <v>1.0E8</v>
      </c>
      <c r="M132" s="218">
        <v>339092.0</v>
      </c>
      <c r="N132" s="218" t="s">
        <v>11925</v>
      </c>
      <c r="O132" s="218">
        <v>1.51132022000062E14</v>
      </c>
      <c r="P132" s="218">
        <v>179.88</v>
      </c>
      <c r="Q132" s="218">
        <v>179.88</v>
      </c>
      <c r="R132" s="218">
        <v>179.88</v>
      </c>
      <c r="S132" s="218">
        <v>0.0</v>
      </c>
    </row>
    <row r="133">
      <c r="A133" s="218" t="s">
        <v>11704</v>
      </c>
      <c r="B133" s="218" t="s">
        <v>11926</v>
      </c>
      <c r="C133" s="456">
        <v>44588.0</v>
      </c>
      <c r="D133" s="218">
        <v>1.0</v>
      </c>
      <c r="E133" s="218">
        <v>401091.0</v>
      </c>
      <c r="G133" s="218" t="s">
        <v>11927</v>
      </c>
      <c r="H133" s="218">
        <v>3.1113895000102E13</v>
      </c>
      <c r="I133" s="218" t="s">
        <v>11924</v>
      </c>
      <c r="J133" s="218">
        <v>15113.0</v>
      </c>
      <c r="K133" s="218">
        <v>168105.0</v>
      </c>
      <c r="L133" s="218">
        <v>1.0E8</v>
      </c>
      <c r="M133" s="218">
        <v>339092.0</v>
      </c>
      <c r="N133" s="218" t="s">
        <v>11925</v>
      </c>
      <c r="O133" s="218">
        <v>1.51132022000062E14</v>
      </c>
      <c r="P133" s="218">
        <v>13.0</v>
      </c>
      <c r="Q133" s="218">
        <v>13.0</v>
      </c>
      <c r="R133" s="218">
        <v>13.0</v>
      </c>
      <c r="S133" s="218">
        <v>0.0</v>
      </c>
    </row>
    <row r="134">
      <c r="A134" s="218" t="s">
        <v>781</v>
      </c>
      <c r="B134" s="218" t="s">
        <v>11928</v>
      </c>
      <c r="C134" s="456">
        <v>44575.0</v>
      </c>
      <c r="D134" s="218">
        <v>3.0</v>
      </c>
      <c r="E134" s="218">
        <v>401091.0</v>
      </c>
      <c r="G134" s="218" t="s">
        <v>11929</v>
      </c>
      <c r="H134" s="218">
        <v>1.7015086000129E13</v>
      </c>
      <c r="I134" s="218" t="s">
        <v>11930</v>
      </c>
      <c r="J134" s="218">
        <v>15113.0</v>
      </c>
      <c r="K134" s="218">
        <v>168105.0</v>
      </c>
      <c r="L134" s="218">
        <v>1.0E8</v>
      </c>
      <c r="M134" s="218">
        <v>339030.0</v>
      </c>
      <c r="N134" s="218" t="s">
        <v>9737</v>
      </c>
      <c r="O134" s="218">
        <v>1.51132022000068E14</v>
      </c>
      <c r="P134" s="222">
        <v>5000.0</v>
      </c>
      <c r="Q134" s="222">
        <v>5000.0</v>
      </c>
      <c r="R134" s="222">
        <v>5000.0</v>
      </c>
      <c r="S134" s="222">
        <v>3160.0</v>
      </c>
    </row>
    <row r="135">
      <c r="A135" s="218" t="s">
        <v>781</v>
      </c>
      <c r="B135" s="218" t="s">
        <v>11931</v>
      </c>
      <c r="C135" s="456">
        <v>44575.0</v>
      </c>
      <c r="D135" s="218">
        <v>3.0</v>
      </c>
      <c r="E135" s="218">
        <v>401091.0</v>
      </c>
      <c r="G135" s="218" t="s">
        <v>11929</v>
      </c>
      <c r="H135" s="218">
        <v>1.7015086000129E13</v>
      </c>
      <c r="I135" s="218" t="s">
        <v>11932</v>
      </c>
      <c r="J135" s="218">
        <v>15113.0</v>
      </c>
      <c r="K135" s="218">
        <v>168105.0</v>
      </c>
      <c r="L135" s="218">
        <v>1.0E8</v>
      </c>
      <c r="M135" s="218">
        <v>339039.0</v>
      </c>
      <c r="N135" s="218" t="s">
        <v>9737</v>
      </c>
      <c r="O135" s="218">
        <v>1.51132022000038E14</v>
      </c>
      <c r="P135" s="222">
        <v>66941.6</v>
      </c>
      <c r="Q135" s="222">
        <v>66941.6</v>
      </c>
      <c r="R135" s="222">
        <v>66941.6</v>
      </c>
      <c r="S135" s="222">
        <v>25176.49</v>
      </c>
    </row>
    <row r="136">
      <c r="A136" s="218" t="s">
        <v>10001</v>
      </c>
      <c r="B136" s="218" t="s">
        <v>11933</v>
      </c>
      <c r="C136" s="456">
        <v>44588.0</v>
      </c>
      <c r="D136" s="218">
        <v>1.0</v>
      </c>
      <c r="E136" s="218">
        <v>401091.0</v>
      </c>
      <c r="G136" s="218" t="s">
        <v>2573</v>
      </c>
      <c r="H136" s="218">
        <v>8.38739350001E13</v>
      </c>
      <c r="I136" s="218" t="s">
        <v>11934</v>
      </c>
      <c r="J136" s="218">
        <v>15113.0</v>
      </c>
      <c r="K136" s="218">
        <v>168105.0</v>
      </c>
      <c r="L136" s="218">
        <v>1.0E8</v>
      </c>
      <c r="M136" s="218">
        <v>449052.0</v>
      </c>
      <c r="N136" s="218" t="s">
        <v>11935</v>
      </c>
      <c r="O136" s="218">
        <v>1.51132022000152E14</v>
      </c>
      <c r="P136" s="218">
        <v>876.0</v>
      </c>
      <c r="Q136" s="218">
        <v>876.0</v>
      </c>
      <c r="R136" s="218">
        <v>876.0</v>
      </c>
      <c r="S136" s="218">
        <v>0.0</v>
      </c>
    </row>
    <row r="137">
      <c r="A137" s="218" t="s">
        <v>781</v>
      </c>
      <c r="B137" s="218" t="s">
        <v>11936</v>
      </c>
      <c r="C137" s="456">
        <v>44575.0</v>
      </c>
      <c r="D137" s="218">
        <v>3.0</v>
      </c>
      <c r="E137" s="218">
        <v>401091.0</v>
      </c>
      <c r="G137" s="218" t="s">
        <v>11937</v>
      </c>
      <c r="H137" s="218">
        <v>8.1006272000109E13</v>
      </c>
      <c r="I137" s="218" t="s">
        <v>11932</v>
      </c>
      <c r="J137" s="218">
        <v>15113.0</v>
      </c>
      <c r="K137" s="218">
        <v>168105.0</v>
      </c>
      <c r="L137" s="218">
        <v>1.0E8</v>
      </c>
      <c r="M137" s="218">
        <v>339039.0</v>
      </c>
      <c r="N137" s="218" t="s">
        <v>9725</v>
      </c>
      <c r="O137" s="218">
        <v>1.51132022000038E14</v>
      </c>
      <c r="P137" s="222">
        <v>24526.2</v>
      </c>
      <c r="Q137" s="222">
        <v>24526.2</v>
      </c>
      <c r="R137" s="222">
        <v>24526.2</v>
      </c>
      <c r="S137" s="222">
        <v>11401.92</v>
      </c>
    </row>
    <row r="138">
      <c r="A138" s="218" t="s">
        <v>11704</v>
      </c>
      <c r="B138" s="218" t="s">
        <v>11938</v>
      </c>
      <c r="C138" s="456">
        <v>44575.0</v>
      </c>
      <c r="D138" s="218">
        <v>3.0</v>
      </c>
      <c r="E138" s="218">
        <v>401091.0</v>
      </c>
      <c r="G138" s="218" t="s">
        <v>11835</v>
      </c>
      <c r="H138" s="218">
        <v>1.0571929000124E13</v>
      </c>
      <c r="I138" s="218" t="s">
        <v>11939</v>
      </c>
      <c r="J138" s="218">
        <v>15113.0</v>
      </c>
      <c r="K138" s="218">
        <v>168105.0</v>
      </c>
      <c r="L138" s="218">
        <v>1.0E8</v>
      </c>
      <c r="M138" s="218">
        <v>339039.0</v>
      </c>
      <c r="N138" s="218" t="s">
        <v>11877</v>
      </c>
      <c r="O138" s="218">
        <v>1.51132022000012E14</v>
      </c>
      <c r="P138" s="222">
        <v>19260.0</v>
      </c>
      <c r="Q138" s="222">
        <v>19260.0</v>
      </c>
      <c r="R138" s="222">
        <v>19260.0</v>
      </c>
      <c r="S138" s="222">
        <v>14445.0</v>
      </c>
    </row>
    <row r="139">
      <c r="A139" s="218" t="s">
        <v>11704</v>
      </c>
      <c r="B139" s="218" t="s">
        <v>11940</v>
      </c>
      <c r="C139" s="456">
        <v>44575.0</v>
      </c>
      <c r="D139" s="218">
        <v>3.0</v>
      </c>
      <c r="E139" s="218">
        <v>401091.0</v>
      </c>
      <c r="G139" s="218" t="s">
        <v>11845</v>
      </c>
      <c r="H139" s="218">
        <v>2.0810747000112E13</v>
      </c>
      <c r="I139" s="218" t="s">
        <v>11941</v>
      </c>
      <c r="J139" s="218">
        <v>15113.0</v>
      </c>
      <c r="K139" s="218">
        <v>168105.0</v>
      </c>
      <c r="L139" s="218">
        <v>1.0E8</v>
      </c>
      <c r="M139" s="218">
        <v>339039.0</v>
      </c>
      <c r="N139" s="218" t="s">
        <v>11942</v>
      </c>
      <c r="O139" s="218">
        <v>1.51132022000012E14</v>
      </c>
      <c r="P139" s="222">
        <v>9408.0</v>
      </c>
      <c r="Q139" s="222">
        <v>9408.0</v>
      </c>
      <c r="R139" s="222">
        <v>9408.0</v>
      </c>
      <c r="S139" s="222">
        <v>7840.0</v>
      </c>
    </row>
    <row r="140">
      <c r="A140" s="218" t="s">
        <v>781</v>
      </c>
      <c r="B140" s="218" t="s">
        <v>11943</v>
      </c>
      <c r="C140" s="456">
        <v>44575.0</v>
      </c>
      <c r="D140" s="218">
        <v>3.0</v>
      </c>
      <c r="E140" s="218">
        <v>401091.0</v>
      </c>
      <c r="G140" s="218" t="s">
        <v>4817</v>
      </c>
      <c r="H140" s="218">
        <v>2.631287000183E12</v>
      </c>
      <c r="I140" s="218" t="s">
        <v>11944</v>
      </c>
      <c r="J140" s="218">
        <v>15113.0</v>
      </c>
      <c r="K140" s="218">
        <v>168105.0</v>
      </c>
      <c r="L140" s="218">
        <v>1.0E8</v>
      </c>
      <c r="M140" s="218">
        <v>339039.0</v>
      </c>
      <c r="N140" s="218" t="s">
        <v>9618</v>
      </c>
      <c r="O140" s="218">
        <v>1.51132022000025E14</v>
      </c>
      <c r="P140" s="222">
        <v>7633.68</v>
      </c>
      <c r="Q140" s="222">
        <v>7633.68</v>
      </c>
      <c r="R140" s="222">
        <v>7633.68</v>
      </c>
      <c r="S140" s="222">
        <v>6361.4</v>
      </c>
    </row>
    <row r="141">
      <c r="A141" s="218" t="s">
        <v>781</v>
      </c>
      <c r="B141" s="218" t="s">
        <v>11945</v>
      </c>
      <c r="C141" s="456">
        <v>44575.0</v>
      </c>
      <c r="D141" s="218">
        <v>3.0</v>
      </c>
      <c r="E141" s="218">
        <v>401091.0</v>
      </c>
      <c r="G141" s="218" t="s">
        <v>4817</v>
      </c>
      <c r="H141" s="218">
        <v>2.631287000183E12</v>
      </c>
      <c r="I141" s="218" t="s">
        <v>11946</v>
      </c>
      <c r="J141" s="218">
        <v>15113.0</v>
      </c>
      <c r="K141" s="218">
        <v>168105.0</v>
      </c>
      <c r="L141" s="218">
        <v>1.0E8</v>
      </c>
      <c r="M141" s="218">
        <v>339030.0</v>
      </c>
      <c r="N141" s="218" t="s">
        <v>9618</v>
      </c>
      <c r="O141" s="218">
        <v>1.51132022000064E14</v>
      </c>
      <c r="P141" s="218">
        <v>500.0</v>
      </c>
      <c r="Q141" s="218">
        <v>500.0</v>
      </c>
      <c r="R141" s="218">
        <v>500.0</v>
      </c>
      <c r="S141" s="218">
        <v>500.0</v>
      </c>
    </row>
    <row r="142">
      <c r="A142" s="218" t="s">
        <v>11704</v>
      </c>
      <c r="B142" s="218" t="s">
        <v>11947</v>
      </c>
      <c r="C142" s="456">
        <v>44588.0</v>
      </c>
      <c r="D142" s="218">
        <v>3.0</v>
      </c>
      <c r="E142" s="218">
        <v>401091.0</v>
      </c>
      <c r="G142" s="218" t="s">
        <v>11840</v>
      </c>
      <c r="H142" s="218">
        <v>9.0347840003486E13</v>
      </c>
      <c r="I142" s="218" t="s">
        <v>11948</v>
      </c>
      <c r="J142" s="218">
        <v>15113.0</v>
      </c>
      <c r="K142" s="218">
        <v>168105.0</v>
      </c>
      <c r="L142" s="218">
        <v>1.0E8</v>
      </c>
      <c r="M142" s="218">
        <v>339039.0</v>
      </c>
      <c r="N142" s="218" t="s">
        <v>11949</v>
      </c>
      <c r="O142" s="218">
        <v>1.51132022000012E14</v>
      </c>
      <c r="P142" s="218">
        <v>0.0</v>
      </c>
      <c r="Q142" s="218">
        <v>0.0</v>
      </c>
      <c r="R142" s="218">
        <v>0.0</v>
      </c>
      <c r="S142" s="218">
        <v>0.0</v>
      </c>
    </row>
    <row r="143">
      <c r="A143" s="218" t="s">
        <v>11704</v>
      </c>
      <c r="B143" s="218" t="s">
        <v>11950</v>
      </c>
      <c r="C143" s="456">
        <v>44588.0</v>
      </c>
      <c r="D143" s="218">
        <v>3.0</v>
      </c>
      <c r="E143" s="218">
        <v>401091.0</v>
      </c>
      <c r="G143" s="218" t="s">
        <v>11840</v>
      </c>
      <c r="H143" s="218">
        <v>9.0347840003486E13</v>
      </c>
      <c r="I143" s="218" t="s">
        <v>11948</v>
      </c>
      <c r="J143" s="218">
        <v>15113.0</v>
      </c>
      <c r="K143" s="218">
        <v>168105.0</v>
      </c>
      <c r="L143" s="218">
        <v>1.0E8</v>
      </c>
      <c r="M143" s="218">
        <v>339039.0</v>
      </c>
      <c r="N143" s="218" t="s">
        <v>11951</v>
      </c>
      <c r="O143" s="218">
        <v>1.51132022000012E14</v>
      </c>
      <c r="P143" s="222">
        <v>10800.0</v>
      </c>
      <c r="Q143" s="222">
        <v>10800.0</v>
      </c>
      <c r="R143" s="222">
        <v>10800.0</v>
      </c>
      <c r="S143" s="222">
        <v>8100.0</v>
      </c>
    </row>
    <row r="144">
      <c r="A144" s="218" t="s">
        <v>11704</v>
      </c>
      <c r="B144" s="218" t="s">
        <v>11952</v>
      </c>
      <c r="C144" s="456">
        <v>44588.0</v>
      </c>
      <c r="D144" s="218">
        <v>3.0</v>
      </c>
      <c r="E144" s="218">
        <v>401091.0</v>
      </c>
      <c r="G144" s="218" t="s">
        <v>11953</v>
      </c>
      <c r="H144" s="218">
        <v>4.0089450001E12</v>
      </c>
      <c r="I144" s="218" t="s">
        <v>11954</v>
      </c>
      <c r="J144" s="218">
        <v>15113.0</v>
      </c>
      <c r="K144" s="218">
        <v>168105.0</v>
      </c>
      <c r="L144" s="218">
        <v>1.0E8</v>
      </c>
      <c r="M144" s="218">
        <v>339039.0</v>
      </c>
      <c r="N144" s="218" t="s">
        <v>11955</v>
      </c>
      <c r="O144" s="218">
        <v>1.51132022000025E14</v>
      </c>
      <c r="P144" s="222">
        <v>8400.0</v>
      </c>
      <c r="Q144" s="222">
        <v>8400.0</v>
      </c>
      <c r="R144" s="222">
        <v>8400.0</v>
      </c>
      <c r="S144" s="222">
        <v>6300.0</v>
      </c>
    </row>
    <row r="145">
      <c r="A145" s="218" t="s">
        <v>781</v>
      </c>
      <c r="B145" s="218" t="s">
        <v>11956</v>
      </c>
      <c r="C145" s="456">
        <v>44588.0</v>
      </c>
      <c r="D145" s="218">
        <v>3.0</v>
      </c>
      <c r="E145" s="218">
        <v>401091.0</v>
      </c>
      <c r="G145" s="218" t="s">
        <v>3571</v>
      </c>
      <c r="H145" s="218">
        <v>9.5782751000113E13</v>
      </c>
      <c r="I145" s="218" t="s">
        <v>11957</v>
      </c>
      <c r="J145" s="218">
        <v>15113.0</v>
      </c>
      <c r="K145" s="218">
        <v>168105.0</v>
      </c>
      <c r="L145" s="218">
        <v>1.0E8</v>
      </c>
      <c r="M145" s="218">
        <v>339039.0</v>
      </c>
      <c r="N145" s="218" t="s">
        <v>9467</v>
      </c>
      <c r="O145" s="218">
        <v>1.5113202200006E14</v>
      </c>
      <c r="P145" s="222">
        <v>28000.0</v>
      </c>
      <c r="Q145" s="222">
        <v>28000.0</v>
      </c>
      <c r="R145" s="222">
        <v>28000.0</v>
      </c>
      <c r="S145" s="222">
        <v>21108.55</v>
      </c>
    </row>
    <row r="146">
      <c r="A146" s="218" t="s">
        <v>781</v>
      </c>
      <c r="B146" s="218" t="s">
        <v>11958</v>
      </c>
      <c r="C146" s="456">
        <v>44588.0</v>
      </c>
      <c r="D146" s="218">
        <v>3.0</v>
      </c>
      <c r="E146" s="218">
        <v>401091.0</v>
      </c>
      <c r="G146" s="218" t="s">
        <v>8644</v>
      </c>
      <c r="H146" s="218">
        <v>4.2940052972E10</v>
      </c>
      <c r="I146" s="218" t="s">
        <v>11959</v>
      </c>
      <c r="J146" s="218">
        <v>15113.0</v>
      </c>
      <c r="K146" s="218">
        <v>168105.0</v>
      </c>
      <c r="L146" s="218">
        <v>1.0E8</v>
      </c>
      <c r="M146" s="218">
        <v>339036.0</v>
      </c>
      <c r="N146" s="218" t="s">
        <v>9467</v>
      </c>
      <c r="O146" s="218">
        <v>1.5113202200006E14</v>
      </c>
      <c r="P146" s="222">
        <v>126203.04</v>
      </c>
      <c r="Q146" s="222">
        <v>126203.04</v>
      </c>
      <c r="R146" s="222">
        <v>126203.04</v>
      </c>
      <c r="S146" s="222">
        <v>95468.76</v>
      </c>
    </row>
    <row r="147">
      <c r="A147" s="218" t="s">
        <v>781</v>
      </c>
      <c r="B147" s="218" t="s">
        <v>11960</v>
      </c>
      <c r="C147" s="456">
        <v>44588.0</v>
      </c>
      <c r="D147" s="218">
        <v>3.0</v>
      </c>
      <c r="E147" s="218">
        <v>401091.0</v>
      </c>
      <c r="G147" s="218" t="s">
        <v>11961</v>
      </c>
      <c r="H147" s="218">
        <v>7.392516000178E12</v>
      </c>
      <c r="I147" s="218" t="s">
        <v>11962</v>
      </c>
      <c r="J147" s="218">
        <v>15113.0</v>
      </c>
      <c r="K147" s="218">
        <v>168105.0</v>
      </c>
      <c r="L147" s="218">
        <v>1.0E8</v>
      </c>
      <c r="M147" s="218">
        <v>339039.0</v>
      </c>
      <c r="N147" s="218" t="s">
        <v>9639</v>
      </c>
      <c r="O147" s="218">
        <v>1.51132022000037E14</v>
      </c>
      <c r="P147" s="222">
        <v>16800.0</v>
      </c>
      <c r="Q147" s="222">
        <v>16800.0</v>
      </c>
      <c r="R147" s="222">
        <v>16800.0</v>
      </c>
      <c r="S147" s="222">
        <v>13400.01</v>
      </c>
    </row>
    <row r="148">
      <c r="A148" s="218" t="s">
        <v>781</v>
      </c>
      <c r="B148" s="218" t="s">
        <v>11963</v>
      </c>
      <c r="C148" s="456">
        <v>44588.0</v>
      </c>
      <c r="D148" s="218">
        <v>3.0</v>
      </c>
      <c r="E148" s="218">
        <v>401091.0</v>
      </c>
      <c r="G148" s="218" t="s">
        <v>11964</v>
      </c>
      <c r="H148" s="218">
        <v>8.2981051000106E13</v>
      </c>
      <c r="I148" s="218" t="s">
        <v>11965</v>
      </c>
      <c r="J148" s="218">
        <v>15113.0</v>
      </c>
      <c r="K148" s="218">
        <v>168105.0</v>
      </c>
      <c r="L148" s="218">
        <v>1.0E8</v>
      </c>
      <c r="M148" s="218">
        <v>339039.0</v>
      </c>
      <c r="N148" s="218" t="s">
        <v>9639</v>
      </c>
      <c r="O148" s="218">
        <v>1.51132022000037E14</v>
      </c>
      <c r="P148" s="222">
        <v>171140.0</v>
      </c>
      <c r="Q148" s="222">
        <v>171140.0</v>
      </c>
      <c r="R148" s="222">
        <v>171140.0</v>
      </c>
      <c r="S148" s="222">
        <v>125782.09</v>
      </c>
    </row>
    <row r="149">
      <c r="A149" s="218" t="s">
        <v>781</v>
      </c>
      <c r="B149" s="218" t="s">
        <v>11966</v>
      </c>
      <c r="C149" s="456">
        <v>44588.0</v>
      </c>
      <c r="D149" s="218">
        <v>3.0</v>
      </c>
      <c r="E149" s="218">
        <v>401091.0</v>
      </c>
      <c r="G149" s="218" t="s">
        <v>5044</v>
      </c>
      <c r="H149" s="218">
        <v>2.3103993000122E13</v>
      </c>
      <c r="I149" s="218" t="s">
        <v>11967</v>
      </c>
      <c r="J149" s="218">
        <v>15113.0</v>
      </c>
      <c r="K149" s="218">
        <v>168105.0</v>
      </c>
      <c r="L149" s="218">
        <v>1.0E8</v>
      </c>
      <c r="M149" s="218">
        <v>339039.0</v>
      </c>
      <c r="N149" s="218" t="s">
        <v>9405</v>
      </c>
      <c r="O149" s="218">
        <v>1.51132022000032E14</v>
      </c>
      <c r="P149" s="222">
        <v>49481.0</v>
      </c>
      <c r="Q149" s="222">
        <v>49481.0</v>
      </c>
      <c r="R149" s="222">
        <v>49481.0</v>
      </c>
      <c r="S149" s="222">
        <v>40687.13</v>
      </c>
    </row>
    <row r="150">
      <c r="A150" s="218" t="s">
        <v>781</v>
      </c>
      <c r="B150" s="218" t="s">
        <v>11968</v>
      </c>
      <c r="C150" s="456">
        <v>44588.0</v>
      </c>
      <c r="D150" s="218">
        <v>3.0</v>
      </c>
      <c r="E150" s="218">
        <v>401091.0</v>
      </c>
      <c r="G150" s="218" t="s">
        <v>11969</v>
      </c>
      <c r="H150" s="218">
        <v>1.899776000158E12</v>
      </c>
      <c r="I150" s="218" t="s">
        <v>11970</v>
      </c>
      <c r="J150" s="218">
        <v>15113.0</v>
      </c>
      <c r="K150" s="218">
        <v>168105.0</v>
      </c>
      <c r="L150" s="218">
        <v>1.0E8</v>
      </c>
      <c r="M150" s="218">
        <v>339039.0</v>
      </c>
      <c r="N150" s="218" t="s">
        <v>9405</v>
      </c>
      <c r="O150" s="218">
        <v>1.51132022000032E14</v>
      </c>
      <c r="P150" s="222">
        <v>247065.0</v>
      </c>
      <c r="Q150" s="222">
        <v>247065.0</v>
      </c>
      <c r="R150" s="222">
        <v>247065.0</v>
      </c>
      <c r="S150" s="222">
        <v>186310.92</v>
      </c>
    </row>
    <row r="151">
      <c r="A151" s="218" t="s">
        <v>781</v>
      </c>
      <c r="B151" s="218" t="s">
        <v>11971</v>
      </c>
      <c r="C151" s="456">
        <v>44588.0</v>
      </c>
      <c r="D151" s="218">
        <v>3.0</v>
      </c>
      <c r="E151" s="218">
        <v>401091.0</v>
      </c>
      <c r="G151" s="218" t="s">
        <v>11972</v>
      </c>
      <c r="H151" s="218">
        <v>8.7413520001E12</v>
      </c>
      <c r="I151" s="218" t="s">
        <v>11973</v>
      </c>
      <c r="J151" s="218">
        <v>15113.0</v>
      </c>
      <c r="K151" s="218">
        <v>168105.0</v>
      </c>
      <c r="L151" s="218">
        <v>1.0E8</v>
      </c>
      <c r="M151" s="218">
        <v>339039.0</v>
      </c>
      <c r="N151" s="218" t="s">
        <v>9873</v>
      </c>
      <c r="O151" s="218">
        <v>1.51132022000055E14</v>
      </c>
      <c r="P151" s="222">
        <v>180765.0</v>
      </c>
      <c r="Q151" s="222">
        <v>180765.0</v>
      </c>
      <c r="R151" s="222">
        <v>180765.0</v>
      </c>
      <c r="S151" s="222">
        <v>140187.12</v>
      </c>
    </row>
    <row r="152">
      <c r="A152" s="218" t="s">
        <v>9920</v>
      </c>
      <c r="B152" s="218" t="s">
        <v>11974</v>
      </c>
      <c r="C152" s="456">
        <v>44588.0</v>
      </c>
      <c r="D152" s="218">
        <v>3.0</v>
      </c>
      <c r="E152" s="218">
        <v>401091.0</v>
      </c>
      <c r="G152" s="218" t="s">
        <v>11722</v>
      </c>
      <c r="H152" s="218">
        <v>4.553788000114E12</v>
      </c>
      <c r="I152" s="218" t="s">
        <v>11975</v>
      </c>
      <c r="J152" s="218">
        <v>15113.0</v>
      </c>
      <c r="K152" s="218">
        <v>168105.0</v>
      </c>
      <c r="L152" s="218">
        <v>1.0E8</v>
      </c>
      <c r="M152" s="218">
        <v>339030.0</v>
      </c>
      <c r="N152" s="218" t="s">
        <v>9924</v>
      </c>
      <c r="O152" s="218">
        <v>1.51132022000192E14</v>
      </c>
      <c r="P152" s="222">
        <v>2058.17</v>
      </c>
      <c r="Q152" s="222">
        <v>2058.17</v>
      </c>
      <c r="R152" s="222">
        <v>2058.17</v>
      </c>
      <c r="S152" s="218">
        <v>0.0</v>
      </c>
    </row>
    <row r="153">
      <c r="A153" s="218" t="s">
        <v>9920</v>
      </c>
      <c r="B153" s="218" t="s">
        <v>11976</v>
      </c>
      <c r="C153" s="456">
        <v>44588.0</v>
      </c>
      <c r="D153" s="218">
        <v>3.0</v>
      </c>
      <c r="E153" s="218">
        <v>401091.0</v>
      </c>
      <c r="G153" s="218" t="s">
        <v>11722</v>
      </c>
      <c r="H153" s="218">
        <v>4.553788000114E12</v>
      </c>
      <c r="I153" s="218" t="s">
        <v>11977</v>
      </c>
      <c r="J153" s="218">
        <v>15113.0</v>
      </c>
      <c r="K153" s="218">
        <v>168105.0</v>
      </c>
      <c r="L153" s="218">
        <v>1.0E8</v>
      </c>
      <c r="M153" s="218">
        <v>339039.0</v>
      </c>
      <c r="N153" s="218" t="s">
        <v>9924</v>
      </c>
      <c r="O153" s="218">
        <v>1.51132022000192E14</v>
      </c>
      <c r="P153" s="218">
        <v>461.34</v>
      </c>
      <c r="Q153" s="218">
        <v>461.34</v>
      </c>
      <c r="R153" s="218">
        <v>461.34</v>
      </c>
      <c r="S153" s="218">
        <v>0.0</v>
      </c>
    </row>
    <row r="154">
      <c r="A154" s="218" t="s">
        <v>781</v>
      </c>
      <c r="B154" s="218" t="s">
        <v>11978</v>
      </c>
      <c r="C154" s="456">
        <v>44589.0</v>
      </c>
      <c r="D154" s="218">
        <v>3.0</v>
      </c>
      <c r="E154" s="218">
        <v>401091.0</v>
      </c>
      <c r="G154" s="218" t="s">
        <v>11979</v>
      </c>
      <c r="H154" s="218">
        <v>4.82840000138E11</v>
      </c>
      <c r="I154" s="218" t="s">
        <v>11980</v>
      </c>
      <c r="J154" s="218">
        <v>15113.0</v>
      </c>
      <c r="K154" s="218">
        <v>168105.0</v>
      </c>
      <c r="L154" s="218">
        <v>1.0E8</v>
      </c>
      <c r="M154" s="218">
        <v>339037.0</v>
      </c>
      <c r="N154" s="218" t="s">
        <v>9882</v>
      </c>
      <c r="O154" s="218">
        <v>1.51132022000035E14</v>
      </c>
      <c r="P154" s="222">
        <v>794593.08</v>
      </c>
      <c r="Q154" s="222">
        <v>794593.08</v>
      </c>
      <c r="R154" s="222">
        <v>794593.08</v>
      </c>
      <c r="S154" s="222">
        <v>666068.85</v>
      </c>
    </row>
    <row r="155">
      <c r="A155" s="218" t="s">
        <v>781</v>
      </c>
      <c r="B155" s="218" t="s">
        <v>11981</v>
      </c>
      <c r="C155" s="456">
        <v>44589.0</v>
      </c>
      <c r="D155" s="218">
        <v>3.0</v>
      </c>
      <c r="E155" s="218">
        <v>401091.0</v>
      </c>
      <c r="G155" s="218" t="s">
        <v>11982</v>
      </c>
      <c r="H155" s="218">
        <v>3.4028316002823E13</v>
      </c>
      <c r="I155" s="218" t="s">
        <v>11983</v>
      </c>
      <c r="J155" s="218">
        <v>15113.0</v>
      </c>
      <c r="K155" s="218">
        <v>168105.0</v>
      </c>
      <c r="L155" s="218">
        <v>1.0E8</v>
      </c>
      <c r="M155" s="218">
        <v>339039.0</v>
      </c>
      <c r="N155" s="218" t="s">
        <v>9682</v>
      </c>
      <c r="O155" s="218">
        <v>1.51132022000072E14</v>
      </c>
      <c r="P155" s="222">
        <v>1000000.0</v>
      </c>
      <c r="Q155" s="222">
        <v>1000000.0</v>
      </c>
      <c r="R155" s="222">
        <v>1000000.0</v>
      </c>
      <c r="S155" s="222">
        <v>774105.37</v>
      </c>
    </row>
    <row r="156">
      <c r="A156" s="218" t="s">
        <v>781</v>
      </c>
      <c r="B156" s="218" t="s">
        <v>11984</v>
      </c>
      <c r="C156" s="456">
        <v>44589.0</v>
      </c>
      <c r="D156" s="218">
        <v>3.0</v>
      </c>
      <c r="E156" s="218">
        <v>401091.0</v>
      </c>
      <c r="G156" s="218" t="s">
        <v>11985</v>
      </c>
      <c r="H156" s="218">
        <v>9.813930000139E12</v>
      </c>
      <c r="I156" s="218" t="s">
        <v>11986</v>
      </c>
      <c r="J156" s="218">
        <v>15113.0</v>
      </c>
      <c r="K156" s="218">
        <v>168105.0</v>
      </c>
      <c r="L156" s="218">
        <v>1.0E8</v>
      </c>
      <c r="M156" s="218">
        <v>339037.0</v>
      </c>
      <c r="N156" s="218" t="s">
        <v>9958</v>
      </c>
      <c r="O156" s="218">
        <v>1.51132022000054E14</v>
      </c>
      <c r="P156" s="222">
        <v>571900.32</v>
      </c>
      <c r="Q156" s="222">
        <v>571900.32</v>
      </c>
      <c r="R156" s="222">
        <v>571900.32</v>
      </c>
      <c r="S156" s="222">
        <v>429458.69</v>
      </c>
    </row>
    <row r="157">
      <c r="A157" s="218" t="s">
        <v>781</v>
      </c>
      <c r="B157" s="218" t="s">
        <v>11987</v>
      </c>
      <c r="C157" s="456">
        <v>44589.0</v>
      </c>
      <c r="D157" s="218">
        <v>3.0</v>
      </c>
      <c r="E157" s="218">
        <v>401091.0</v>
      </c>
      <c r="G157" s="218" t="s">
        <v>11988</v>
      </c>
      <c r="H157" s="218">
        <v>8.2949652000131E13</v>
      </c>
      <c r="I157" s="218" t="s">
        <v>11989</v>
      </c>
      <c r="J157" s="218">
        <v>15113.0</v>
      </c>
      <c r="K157" s="218">
        <v>168105.0</v>
      </c>
      <c r="L157" s="218">
        <v>1.0E8</v>
      </c>
      <c r="M157" s="218">
        <v>339037.0</v>
      </c>
      <c r="N157" s="218" t="s">
        <v>9998</v>
      </c>
      <c r="O157" s="218">
        <v>1.51132022000054E14</v>
      </c>
      <c r="P157" s="222">
        <v>715830.0</v>
      </c>
      <c r="Q157" s="222">
        <v>715830.0</v>
      </c>
      <c r="R157" s="222">
        <v>715830.0</v>
      </c>
      <c r="S157" s="222">
        <v>537249.5</v>
      </c>
    </row>
    <row r="158">
      <c r="A158" s="218" t="s">
        <v>781</v>
      </c>
      <c r="B158" s="218" t="s">
        <v>11990</v>
      </c>
      <c r="C158" s="456">
        <v>44589.0</v>
      </c>
      <c r="D158" s="218">
        <v>3.0</v>
      </c>
      <c r="E158" s="218">
        <v>401091.0</v>
      </c>
      <c r="G158" s="218" t="s">
        <v>11991</v>
      </c>
      <c r="H158" s="218">
        <v>7.9929774000151E13</v>
      </c>
      <c r="I158" s="218" t="s">
        <v>11992</v>
      </c>
      <c r="J158" s="218">
        <v>15113.0</v>
      </c>
      <c r="K158" s="218">
        <v>168105.0</v>
      </c>
      <c r="L158" s="218">
        <v>1.0E8</v>
      </c>
      <c r="M158" s="218">
        <v>339037.0</v>
      </c>
      <c r="N158" s="218" t="s">
        <v>9877</v>
      </c>
      <c r="O158" s="218">
        <v>1.51132022000054E14</v>
      </c>
      <c r="P158" s="222">
        <v>241782.0</v>
      </c>
      <c r="Q158" s="222">
        <v>241782.0</v>
      </c>
      <c r="R158" s="222">
        <v>241782.0</v>
      </c>
      <c r="S158" s="222">
        <v>201485.0</v>
      </c>
    </row>
    <row r="159">
      <c r="A159" s="218" t="s">
        <v>11704</v>
      </c>
      <c r="B159" s="218" t="s">
        <v>11993</v>
      </c>
      <c r="C159" s="456">
        <v>44589.0</v>
      </c>
      <c r="D159" s="218">
        <v>3.0</v>
      </c>
      <c r="E159" s="218">
        <v>401091.0</v>
      </c>
      <c r="G159" s="218" t="s">
        <v>11994</v>
      </c>
      <c r="H159" s="218">
        <v>7.9283065000141E13</v>
      </c>
      <c r="I159" s="218" t="s">
        <v>11995</v>
      </c>
      <c r="J159" s="218">
        <v>15113.0</v>
      </c>
      <c r="K159" s="218">
        <v>168105.0</v>
      </c>
      <c r="L159" s="218">
        <v>1.0E8</v>
      </c>
      <c r="M159" s="218">
        <v>339037.0</v>
      </c>
      <c r="N159" s="218" t="s">
        <v>11472</v>
      </c>
      <c r="O159" s="218">
        <v>1.51132022000035E14</v>
      </c>
      <c r="P159" s="222">
        <v>369204.72</v>
      </c>
      <c r="Q159" s="222">
        <v>369204.72</v>
      </c>
      <c r="R159" s="222">
        <v>369204.72</v>
      </c>
      <c r="S159" s="222">
        <v>307670.52</v>
      </c>
    </row>
    <row r="160">
      <c r="A160" s="218" t="s">
        <v>781</v>
      </c>
      <c r="B160" s="218" t="s">
        <v>11996</v>
      </c>
      <c r="C160" s="456">
        <v>44589.0</v>
      </c>
      <c r="D160" s="218">
        <v>3.0</v>
      </c>
      <c r="E160" s="218">
        <v>401091.0</v>
      </c>
      <c r="G160" s="218" t="s">
        <v>11997</v>
      </c>
      <c r="H160" s="218">
        <v>5.0668722001916E13</v>
      </c>
      <c r="I160" s="218" t="s">
        <v>11998</v>
      </c>
      <c r="J160" s="218">
        <v>15113.0</v>
      </c>
      <c r="K160" s="218">
        <v>168105.0</v>
      </c>
      <c r="L160" s="218">
        <v>1.0E8</v>
      </c>
      <c r="M160" s="218">
        <v>339039.0</v>
      </c>
      <c r="N160" s="218" t="s">
        <v>9549</v>
      </c>
      <c r="O160" s="218">
        <v>1.51132022000031E14</v>
      </c>
      <c r="P160" s="222">
        <v>14064.72</v>
      </c>
      <c r="Q160" s="222">
        <v>14064.72</v>
      </c>
      <c r="R160" s="222">
        <v>14064.72</v>
      </c>
      <c r="S160" s="222">
        <v>11720.6</v>
      </c>
    </row>
    <row r="161">
      <c r="A161" s="218" t="s">
        <v>781</v>
      </c>
      <c r="B161" s="218" t="s">
        <v>11999</v>
      </c>
      <c r="C161" s="456">
        <v>44589.0</v>
      </c>
      <c r="D161" s="218">
        <v>3.0</v>
      </c>
      <c r="E161" s="218">
        <v>401091.0</v>
      </c>
      <c r="G161" s="218" t="s">
        <v>12000</v>
      </c>
      <c r="H161" s="218">
        <v>3.877288000175E12</v>
      </c>
      <c r="I161" s="218" t="s">
        <v>12001</v>
      </c>
      <c r="J161" s="218">
        <v>15113.0</v>
      </c>
      <c r="K161" s="218">
        <v>168105.0</v>
      </c>
      <c r="L161" s="218">
        <v>1.0E8</v>
      </c>
      <c r="M161" s="218">
        <v>339030.0</v>
      </c>
      <c r="N161" s="218" t="s">
        <v>9749</v>
      </c>
      <c r="O161" s="218">
        <v>1.51132022000063E14</v>
      </c>
      <c r="P161" s="222">
        <v>30000.0</v>
      </c>
      <c r="Q161" s="222">
        <v>30000.0</v>
      </c>
      <c r="R161" s="222">
        <v>30000.0</v>
      </c>
      <c r="S161" s="222">
        <v>18345.06</v>
      </c>
    </row>
    <row r="162">
      <c r="A162" s="218" t="s">
        <v>782</v>
      </c>
      <c r="B162" s="218" t="s">
        <v>12002</v>
      </c>
      <c r="C162" s="456">
        <v>44589.0</v>
      </c>
      <c r="D162" s="218">
        <v>3.0</v>
      </c>
      <c r="E162" s="218">
        <v>401091.0</v>
      </c>
      <c r="G162" s="218" t="s">
        <v>12003</v>
      </c>
      <c r="H162" s="218">
        <v>3.5636034000151E13</v>
      </c>
      <c r="I162" s="218" t="s">
        <v>12004</v>
      </c>
      <c r="J162" s="218">
        <v>15113.0</v>
      </c>
      <c r="K162" s="218">
        <v>168105.0</v>
      </c>
      <c r="L162" s="218">
        <v>1.0E8</v>
      </c>
      <c r="M162" s="218">
        <v>339039.0</v>
      </c>
      <c r="N162" s="218" t="s">
        <v>9731</v>
      </c>
      <c r="O162" s="218">
        <v>1.51132022000013E14</v>
      </c>
      <c r="P162" s="218">
        <v>1.0</v>
      </c>
      <c r="Q162" s="218">
        <v>1.0</v>
      </c>
      <c r="R162" s="218">
        <v>1.0</v>
      </c>
      <c r="S162" s="218">
        <v>0.78</v>
      </c>
    </row>
    <row r="163">
      <c r="A163" s="218" t="s">
        <v>782</v>
      </c>
      <c r="B163" s="218" t="s">
        <v>12005</v>
      </c>
      <c r="C163" s="456">
        <v>44589.0</v>
      </c>
      <c r="D163" s="218">
        <v>3.0</v>
      </c>
      <c r="E163" s="218">
        <v>401091.0</v>
      </c>
      <c r="G163" s="218" t="s">
        <v>12003</v>
      </c>
      <c r="H163" s="218">
        <v>3.5636034000151E13</v>
      </c>
      <c r="I163" s="218" t="s">
        <v>12006</v>
      </c>
      <c r="J163" s="218">
        <v>15113.0</v>
      </c>
      <c r="K163" s="218">
        <v>168105.0</v>
      </c>
      <c r="L163" s="218">
        <v>1.0E8</v>
      </c>
      <c r="M163" s="218">
        <v>339033.0</v>
      </c>
      <c r="N163" s="218" t="s">
        <v>9731</v>
      </c>
      <c r="O163" s="218">
        <v>1.51132022000061E14</v>
      </c>
      <c r="P163" s="222">
        <v>150000.0</v>
      </c>
      <c r="Q163" s="222">
        <v>150000.0</v>
      </c>
      <c r="R163" s="222">
        <v>150000.0</v>
      </c>
      <c r="S163" s="222">
        <v>121604.84</v>
      </c>
    </row>
    <row r="164">
      <c r="A164" s="218" t="s">
        <v>781</v>
      </c>
      <c r="B164" s="218" t="s">
        <v>12007</v>
      </c>
      <c r="C164" s="456">
        <v>44589.0</v>
      </c>
      <c r="D164" s="218">
        <v>3.0</v>
      </c>
      <c r="E164" s="218">
        <v>401091.0</v>
      </c>
      <c r="G164" s="218" t="s">
        <v>12008</v>
      </c>
      <c r="H164" s="218">
        <v>7.5092593001304E13</v>
      </c>
      <c r="I164" s="218" t="s">
        <v>12009</v>
      </c>
      <c r="J164" s="218">
        <v>15113.0</v>
      </c>
      <c r="K164" s="218">
        <v>168105.0</v>
      </c>
      <c r="L164" s="218">
        <v>1.0E8</v>
      </c>
      <c r="M164" s="218">
        <v>339039.0</v>
      </c>
      <c r="N164" s="218" t="s">
        <v>9888</v>
      </c>
      <c r="O164" s="218">
        <v>1.51132022000041E14</v>
      </c>
      <c r="P164" s="222">
        <v>44920.92</v>
      </c>
      <c r="Q164" s="222">
        <v>44920.92</v>
      </c>
      <c r="R164" s="222">
        <v>44920.92</v>
      </c>
      <c r="S164" s="222">
        <v>33811.52</v>
      </c>
    </row>
    <row r="165">
      <c r="A165" s="218" t="s">
        <v>781</v>
      </c>
      <c r="B165" s="218" t="s">
        <v>12010</v>
      </c>
      <c r="C165" s="456">
        <v>44589.0</v>
      </c>
      <c r="D165" s="218">
        <v>3.0</v>
      </c>
      <c r="E165" s="218">
        <v>401091.0</v>
      </c>
      <c r="F165" s="218"/>
      <c r="G165" s="218" t="s">
        <v>12011</v>
      </c>
      <c r="H165" s="218">
        <v>8.3930214000194E13</v>
      </c>
      <c r="I165" s="218" t="s">
        <v>12009</v>
      </c>
      <c r="J165" s="218">
        <v>15113.0</v>
      </c>
      <c r="K165" s="218">
        <v>168105.0</v>
      </c>
      <c r="L165" s="218">
        <v>1.0E8</v>
      </c>
      <c r="M165" s="218">
        <v>339039.0</v>
      </c>
      <c r="N165" s="218" t="s">
        <v>9888</v>
      </c>
      <c r="O165" s="218">
        <v>1.51132022000041E14</v>
      </c>
      <c r="P165" s="222">
        <v>29012.4</v>
      </c>
      <c r="Q165" s="222">
        <v>29012.4</v>
      </c>
      <c r="R165" s="222">
        <v>29012.4</v>
      </c>
      <c r="S165" s="222">
        <v>21826.63</v>
      </c>
    </row>
    <row r="166">
      <c r="A166" s="218" t="s">
        <v>781</v>
      </c>
      <c r="B166" s="218" t="s">
        <v>12012</v>
      </c>
      <c r="C166" s="456">
        <v>44589.0</v>
      </c>
      <c r="D166" s="218">
        <v>3.0</v>
      </c>
      <c r="E166" s="218">
        <v>401091.0</v>
      </c>
      <c r="G166" s="218" t="s">
        <v>223</v>
      </c>
      <c r="H166" s="218">
        <v>4.0432544000147E13</v>
      </c>
      <c r="I166" s="218" t="s">
        <v>12013</v>
      </c>
      <c r="J166" s="218">
        <v>15113.0</v>
      </c>
      <c r="K166" s="218">
        <v>168105.0</v>
      </c>
      <c r="L166" s="218">
        <v>1.0E8</v>
      </c>
      <c r="M166" s="218">
        <v>339040.0</v>
      </c>
      <c r="N166" s="218" t="s">
        <v>10427</v>
      </c>
      <c r="O166" s="218">
        <v>1.51132022000036E14</v>
      </c>
      <c r="P166" s="222">
        <v>35550.0</v>
      </c>
      <c r="Q166" s="222">
        <v>35550.0</v>
      </c>
      <c r="R166" s="222">
        <v>35550.0</v>
      </c>
      <c r="S166" s="222">
        <v>32269.95</v>
      </c>
    </row>
    <row r="167">
      <c r="A167" s="218" t="s">
        <v>11704</v>
      </c>
      <c r="B167" s="218" t="s">
        <v>12014</v>
      </c>
      <c r="C167" s="456">
        <v>44589.0</v>
      </c>
      <c r="D167" s="218">
        <v>3.0</v>
      </c>
      <c r="E167" s="218">
        <v>401091.0</v>
      </c>
      <c r="G167" s="218" t="s">
        <v>12015</v>
      </c>
      <c r="H167" s="218">
        <v>4.17608200018E12</v>
      </c>
      <c r="I167" s="218" t="s">
        <v>12016</v>
      </c>
      <c r="J167" s="218">
        <v>15113.0</v>
      </c>
      <c r="K167" s="218">
        <v>168105.0</v>
      </c>
      <c r="L167" s="218">
        <v>1.0E8</v>
      </c>
      <c r="M167" s="218">
        <v>339039.0</v>
      </c>
      <c r="N167" s="218" t="s">
        <v>12017</v>
      </c>
      <c r="O167" s="218">
        <v>1.51132022000045E14</v>
      </c>
      <c r="P167" s="222">
        <v>50000.0</v>
      </c>
      <c r="Q167" s="222">
        <v>50000.0</v>
      </c>
      <c r="R167" s="222">
        <v>50000.0</v>
      </c>
      <c r="S167" s="222">
        <v>46148.5</v>
      </c>
    </row>
    <row r="168">
      <c r="A168" s="218" t="s">
        <v>781</v>
      </c>
      <c r="B168" s="218" t="s">
        <v>12018</v>
      </c>
      <c r="C168" s="456">
        <v>44589.0</v>
      </c>
      <c r="D168" s="218">
        <v>3.0</v>
      </c>
      <c r="E168" s="218">
        <v>401091.0</v>
      </c>
      <c r="G168" s="218" t="s">
        <v>12019</v>
      </c>
      <c r="H168" s="218">
        <v>8.5241693000167E13</v>
      </c>
      <c r="I168" s="218" t="s">
        <v>12020</v>
      </c>
      <c r="J168" s="218">
        <v>15113.0</v>
      </c>
      <c r="K168" s="218">
        <v>168105.0</v>
      </c>
      <c r="L168" s="218">
        <v>1.0E8</v>
      </c>
      <c r="M168" s="218">
        <v>339039.0</v>
      </c>
      <c r="N168" s="218" t="s">
        <v>9775</v>
      </c>
      <c r="O168" s="218">
        <v>1.51132022000042E14</v>
      </c>
      <c r="P168" s="222">
        <v>63462.0</v>
      </c>
      <c r="Q168" s="222">
        <v>63462.0</v>
      </c>
      <c r="R168" s="222">
        <v>63462.0</v>
      </c>
      <c r="S168" s="222">
        <v>63462.0</v>
      </c>
    </row>
    <row r="169">
      <c r="A169" s="218" t="s">
        <v>781</v>
      </c>
      <c r="B169" s="218" t="s">
        <v>12021</v>
      </c>
      <c r="C169" s="456">
        <v>44589.0</v>
      </c>
      <c r="D169" s="218">
        <v>3.0</v>
      </c>
      <c r="E169" s="218">
        <v>401091.0</v>
      </c>
      <c r="G169" s="218" t="s">
        <v>12022</v>
      </c>
      <c r="H169" s="218">
        <v>7.6340132000124E13</v>
      </c>
      <c r="I169" s="218" t="s">
        <v>12023</v>
      </c>
      <c r="J169" s="218">
        <v>15113.0</v>
      </c>
      <c r="K169" s="218">
        <v>168105.0</v>
      </c>
      <c r="L169" s="218">
        <v>1.0E8</v>
      </c>
      <c r="M169" s="218">
        <v>339039.0</v>
      </c>
      <c r="N169" s="218" t="s">
        <v>9624</v>
      </c>
      <c r="O169" s="218">
        <v>1.51132022000012E14</v>
      </c>
      <c r="P169" s="222">
        <v>9786.6</v>
      </c>
      <c r="Q169" s="222">
        <v>9786.6</v>
      </c>
      <c r="R169" s="222">
        <v>9786.6</v>
      </c>
      <c r="S169" s="222">
        <v>8195.05</v>
      </c>
    </row>
    <row r="170">
      <c r="A170" s="218" t="s">
        <v>11704</v>
      </c>
      <c r="B170" s="218" t="s">
        <v>12024</v>
      </c>
      <c r="C170" s="456">
        <v>44589.0</v>
      </c>
      <c r="D170" s="218">
        <v>3.0</v>
      </c>
      <c r="E170" s="218">
        <v>401091.0</v>
      </c>
      <c r="G170" s="218" t="s">
        <v>11740</v>
      </c>
      <c r="H170" s="218">
        <v>3.2196811000104E13</v>
      </c>
      <c r="I170" s="218" t="s">
        <v>12025</v>
      </c>
      <c r="J170" s="218">
        <v>15113.0</v>
      </c>
      <c r="K170" s="218">
        <v>168105.0</v>
      </c>
      <c r="L170" s="218">
        <v>1.0E8</v>
      </c>
      <c r="M170" s="218">
        <v>339039.0</v>
      </c>
      <c r="N170" s="218" t="s">
        <v>11742</v>
      </c>
      <c r="O170" s="218">
        <v>1.51132022000038E14</v>
      </c>
      <c r="P170" s="222">
        <v>46850.0</v>
      </c>
      <c r="Q170" s="222">
        <v>46850.0</v>
      </c>
      <c r="R170" s="222">
        <v>46850.0</v>
      </c>
      <c r="S170" s="222">
        <v>35924.03</v>
      </c>
    </row>
    <row r="171">
      <c r="A171" s="218" t="s">
        <v>11704</v>
      </c>
      <c r="B171" s="218" t="s">
        <v>12026</v>
      </c>
      <c r="C171" s="456">
        <v>44589.0</v>
      </c>
      <c r="D171" s="218">
        <v>3.0</v>
      </c>
      <c r="E171" s="218">
        <v>401091.0</v>
      </c>
      <c r="G171" s="218" t="s">
        <v>11740</v>
      </c>
      <c r="H171" s="218">
        <v>3.2196811000104E13</v>
      </c>
      <c r="I171" s="218" t="s">
        <v>12027</v>
      </c>
      <c r="J171" s="218">
        <v>15113.0</v>
      </c>
      <c r="K171" s="218">
        <v>168105.0</v>
      </c>
      <c r="L171" s="218">
        <v>1.0E8</v>
      </c>
      <c r="M171" s="218">
        <v>339030.0</v>
      </c>
      <c r="N171" s="218" t="s">
        <v>11742</v>
      </c>
      <c r="O171" s="218">
        <v>1.51132022000068E14</v>
      </c>
      <c r="P171" s="222">
        <v>5000.0</v>
      </c>
      <c r="Q171" s="222">
        <v>5000.0</v>
      </c>
      <c r="R171" s="222">
        <v>5000.0</v>
      </c>
      <c r="S171" s="222">
        <v>4862.9</v>
      </c>
    </row>
    <row r="172">
      <c r="A172" s="218" t="s">
        <v>781</v>
      </c>
      <c r="B172" s="218" t="s">
        <v>12028</v>
      </c>
      <c r="C172" s="456">
        <v>44589.0</v>
      </c>
      <c r="D172" s="218">
        <v>3.0</v>
      </c>
      <c r="E172" s="218">
        <v>401091.0</v>
      </c>
      <c r="G172" s="218" t="s">
        <v>12029</v>
      </c>
      <c r="H172" s="218">
        <v>3.8346700001E12</v>
      </c>
      <c r="I172" s="218" t="s">
        <v>12030</v>
      </c>
      <c r="J172" s="218">
        <v>15113.0</v>
      </c>
      <c r="K172" s="218">
        <v>168105.0</v>
      </c>
      <c r="L172" s="218">
        <v>1.0E8</v>
      </c>
      <c r="M172" s="218">
        <v>339039.0</v>
      </c>
      <c r="N172" s="218" t="s">
        <v>9628</v>
      </c>
      <c r="O172" s="218">
        <v>1.51132022000016E14</v>
      </c>
      <c r="P172" s="222">
        <v>24583.8</v>
      </c>
      <c r="Q172" s="222">
        <v>24583.8</v>
      </c>
      <c r="R172" s="222">
        <v>24583.8</v>
      </c>
      <c r="S172" s="222">
        <v>18437.85</v>
      </c>
    </row>
    <row r="173">
      <c r="A173" s="218" t="s">
        <v>781</v>
      </c>
      <c r="B173" s="218" t="s">
        <v>12031</v>
      </c>
      <c r="C173" s="456">
        <v>44589.0</v>
      </c>
      <c r="D173" s="218">
        <v>3.0</v>
      </c>
      <c r="E173" s="218">
        <v>401091.0</v>
      </c>
      <c r="G173" s="218" t="s">
        <v>12032</v>
      </c>
      <c r="H173" s="218">
        <v>7.6535764000143E13</v>
      </c>
      <c r="I173" s="218" t="s">
        <v>12033</v>
      </c>
      <c r="J173" s="218">
        <v>15113.0</v>
      </c>
      <c r="K173" s="218">
        <v>168105.0</v>
      </c>
      <c r="L173" s="218">
        <v>1.0E8</v>
      </c>
      <c r="M173" s="218">
        <v>339039.0</v>
      </c>
      <c r="N173" s="218" t="s">
        <v>9753</v>
      </c>
      <c r="O173" s="218">
        <v>1.51132022000018E14</v>
      </c>
      <c r="P173" s="222">
        <v>50000.0</v>
      </c>
      <c r="Q173" s="222">
        <v>50000.0</v>
      </c>
      <c r="R173" s="222">
        <v>50000.0</v>
      </c>
      <c r="S173" s="222">
        <v>50000.0</v>
      </c>
    </row>
    <row r="174">
      <c r="A174" s="218" t="s">
        <v>9430</v>
      </c>
      <c r="B174" s="218" t="s">
        <v>12034</v>
      </c>
      <c r="C174" s="456">
        <v>44589.0</v>
      </c>
      <c r="D174" s="218">
        <v>3.0</v>
      </c>
      <c r="E174" s="218">
        <v>401091.0</v>
      </c>
      <c r="G174" s="218" t="s">
        <v>12035</v>
      </c>
      <c r="H174" s="218">
        <v>3.3795785000195E13</v>
      </c>
      <c r="I174" s="218" t="s">
        <v>12036</v>
      </c>
      <c r="J174" s="218">
        <v>15113.0</v>
      </c>
      <c r="K174" s="218">
        <v>168105.0</v>
      </c>
      <c r="L174" s="218">
        <v>1.0E8</v>
      </c>
      <c r="M174" s="218">
        <v>339039.0</v>
      </c>
      <c r="N174" s="218" t="s">
        <v>9779</v>
      </c>
      <c r="O174" s="218">
        <v>1.51132022000048E14</v>
      </c>
      <c r="P174" s="222">
        <v>14980.34</v>
      </c>
      <c r="Q174" s="222">
        <v>14980.34</v>
      </c>
      <c r="R174" s="222">
        <v>14980.34</v>
      </c>
      <c r="S174" s="222">
        <v>14980.34</v>
      </c>
    </row>
    <row r="175">
      <c r="A175" s="218" t="s">
        <v>781</v>
      </c>
      <c r="B175" s="218" t="s">
        <v>12037</v>
      </c>
      <c r="C175" s="456">
        <v>44589.0</v>
      </c>
      <c r="D175" s="218">
        <v>3.0</v>
      </c>
      <c r="E175" s="218">
        <v>401091.0</v>
      </c>
      <c r="G175" s="218" t="s">
        <v>12038</v>
      </c>
      <c r="H175" s="218">
        <v>9.0180605000102E13</v>
      </c>
      <c r="I175" s="218" t="s">
        <v>12039</v>
      </c>
      <c r="J175" s="218">
        <v>15113.0</v>
      </c>
      <c r="K175" s="218">
        <v>168105.0</v>
      </c>
      <c r="L175" s="218">
        <v>1.0E8</v>
      </c>
      <c r="M175" s="218">
        <v>339039.0</v>
      </c>
      <c r="N175" s="218" t="s">
        <v>11307</v>
      </c>
      <c r="O175" s="218">
        <v>1.51132022000039E14</v>
      </c>
      <c r="P175" s="222">
        <v>30000.0</v>
      </c>
      <c r="Q175" s="222">
        <v>30000.0</v>
      </c>
      <c r="R175" s="222">
        <v>30000.0</v>
      </c>
      <c r="S175" s="222">
        <v>30000.0</v>
      </c>
    </row>
    <row r="176">
      <c r="A176" s="218" t="s">
        <v>11704</v>
      </c>
      <c r="B176" s="218" t="s">
        <v>12040</v>
      </c>
      <c r="C176" s="456">
        <v>44589.0</v>
      </c>
      <c r="D176" s="218">
        <v>3.0</v>
      </c>
      <c r="E176" s="218">
        <v>401091.0</v>
      </c>
      <c r="G176" s="218" t="s">
        <v>12041</v>
      </c>
      <c r="H176" s="218">
        <v>3.7381902000125E13</v>
      </c>
      <c r="I176" s="218" t="s">
        <v>12042</v>
      </c>
      <c r="J176" s="218">
        <v>15113.0</v>
      </c>
      <c r="K176" s="218">
        <v>168105.0</v>
      </c>
      <c r="L176" s="218">
        <v>1.0E8</v>
      </c>
      <c r="M176" s="218">
        <v>339037.0</v>
      </c>
      <c r="N176" s="218" t="s">
        <v>12043</v>
      </c>
      <c r="O176" s="218">
        <v>1.51132022000213E14</v>
      </c>
      <c r="P176" s="222">
        <v>188017.2</v>
      </c>
      <c r="Q176" s="222">
        <v>188017.2</v>
      </c>
      <c r="R176" s="222">
        <v>188017.2</v>
      </c>
      <c r="S176" s="222">
        <v>188017.2</v>
      </c>
    </row>
    <row r="177">
      <c r="A177" s="218" t="s">
        <v>781</v>
      </c>
      <c r="B177" s="218" t="s">
        <v>12044</v>
      </c>
      <c r="C177" s="456">
        <v>44589.0</v>
      </c>
      <c r="D177" s="218">
        <v>3.0</v>
      </c>
      <c r="E177" s="218">
        <v>401091.0</v>
      </c>
      <c r="G177" s="218" t="s">
        <v>12045</v>
      </c>
      <c r="H177" s="218">
        <v>5.818625000189E12</v>
      </c>
      <c r="I177" s="218" t="s">
        <v>12046</v>
      </c>
      <c r="J177" s="218">
        <v>15113.0</v>
      </c>
      <c r="K177" s="218">
        <v>168105.0</v>
      </c>
      <c r="L177" s="218">
        <v>1.0E8</v>
      </c>
      <c r="M177" s="218">
        <v>339039.0</v>
      </c>
      <c r="N177" s="218" t="s">
        <v>9609</v>
      </c>
      <c r="O177" s="218">
        <v>1.51132022000015E14</v>
      </c>
      <c r="P177" s="222">
        <v>248761.77</v>
      </c>
      <c r="Q177" s="222">
        <v>248761.77</v>
      </c>
      <c r="R177" s="222">
        <v>248761.77</v>
      </c>
      <c r="S177" s="222">
        <v>185784.09</v>
      </c>
    </row>
    <row r="178">
      <c r="A178" s="218" t="s">
        <v>11704</v>
      </c>
      <c r="B178" s="218" t="s">
        <v>12047</v>
      </c>
      <c r="C178" s="456">
        <v>44589.0</v>
      </c>
      <c r="D178" s="218">
        <v>3.0</v>
      </c>
      <c r="E178" s="218">
        <v>401091.0</v>
      </c>
      <c r="F178" s="218"/>
      <c r="G178" s="218" t="s">
        <v>12048</v>
      </c>
      <c r="H178" s="218">
        <v>9.134633000167E12</v>
      </c>
      <c r="I178" s="218" t="s">
        <v>12025</v>
      </c>
      <c r="J178" s="218">
        <v>15113.0</v>
      </c>
      <c r="K178" s="218">
        <v>168105.0</v>
      </c>
      <c r="L178" s="218">
        <v>1.0E8</v>
      </c>
      <c r="M178" s="218">
        <v>339039.0</v>
      </c>
      <c r="N178" s="218" t="s">
        <v>12049</v>
      </c>
      <c r="O178" s="218">
        <v>1.51132022000038E14</v>
      </c>
      <c r="P178" s="222">
        <v>56090.0</v>
      </c>
      <c r="Q178" s="222">
        <v>56090.0</v>
      </c>
      <c r="R178" s="222">
        <v>56090.0</v>
      </c>
      <c r="S178" s="222">
        <v>43402.65</v>
      </c>
    </row>
    <row r="179">
      <c r="A179" s="218" t="s">
        <v>11704</v>
      </c>
      <c r="B179" s="218" t="s">
        <v>12050</v>
      </c>
      <c r="C179" s="456">
        <v>44589.0</v>
      </c>
      <c r="D179" s="218">
        <v>3.0</v>
      </c>
      <c r="E179" s="218">
        <v>401091.0</v>
      </c>
      <c r="G179" s="218" t="s">
        <v>12048</v>
      </c>
      <c r="H179" s="218">
        <v>9.134633000167E12</v>
      </c>
      <c r="I179" s="218" t="s">
        <v>12027</v>
      </c>
      <c r="J179" s="218">
        <v>15113.0</v>
      </c>
      <c r="K179" s="218">
        <v>168105.0</v>
      </c>
      <c r="L179" s="218">
        <v>1.0E8</v>
      </c>
      <c r="M179" s="218">
        <v>339030.0</v>
      </c>
      <c r="N179" s="218" t="s">
        <v>12049</v>
      </c>
      <c r="O179" s="218">
        <v>1.51132022000068E14</v>
      </c>
      <c r="P179" s="222">
        <v>5000.0</v>
      </c>
      <c r="Q179" s="222">
        <v>5000.0</v>
      </c>
      <c r="R179" s="222">
        <v>5000.0</v>
      </c>
      <c r="S179" s="222">
        <v>4349.7</v>
      </c>
    </row>
    <row r="180">
      <c r="A180" s="218" t="s">
        <v>11704</v>
      </c>
      <c r="B180" s="218" t="s">
        <v>12051</v>
      </c>
      <c r="C180" s="456">
        <v>44589.0</v>
      </c>
      <c r="D180" s="218">
        <v>1.0</v>
      </c>
      <c r="E180" s="218">
        <v>401091.0</v>
      </c>
      <c r="G180" s="218" t="s">
        <v>1462</v>
      </c>
      <c r="H180" s="218">
        <v>3.094629000136E12</v>
      </c>
      <c r="I180" s="218" t="s">
        <v>12052</v>
      </c>
      <c r="J180" s="218">
        <v>15113.0</v>
      </c>
      <c r="K180" s="218">
        <v>168105.0</v>
      </c>
      <c r="L180" s="218">
        <v>1.0E8</v>
      </c>
      <c r="M180" s="218">
        <v>339039.0</v>
      </c>
      <c r="N180" s="218" t="s">
        <v>12053</v>
      </c>
      <c r="O180" s="218">
        <v>1.51132022000027E14</v>
      </c>
      <c r="P180" s="218">
        <v>765.86</v>
      </c>
      <c r="Q180" s="218">
        <v>765.86</v>
      </c>
      <c r="R180" s="218">
        <v>765.86</v>
      </c>
      <c r="S180" s="218">
        <v>0.0</v>
      </c>
    </row>
    <row r="181">
      <c r="A181" s="218" t="s">
        <v>781</v>
      </c>
      <c r="B181" s="218" t="s">
        <v>12054</v>
      </c>
      <c r="C181" s="456">
        <v>44589.0</v>
      </c>
      <c r="D181" s="218">
        <v>3.0</v>
      </c>
      <c r="E181" s="218">
        <v>401091.0</v>
      </c>
      <c r="G181" s="218" t="s">
        <v>175</v>
      </c>
      <c r="H181" s="218">
        <v>8.33678300019E12</v>
      </c>
      <c r="I181" s="218" t="s">
        <v>12055</v>
      </c>
      <c r="J181" s="218">
        <v>15113.0</v>
      </c>
      <c r="K181" s="218">
        <v>168105.0</v>
      </c>
      <c r="L181" s="218">
        <v>1.27E8</v>
      </c>
      <c r="M181" s="218">
        <v>339039.0</v>
      </c>
      <c r="N181" s="218" t="s">
        <v>9802</v>
      </c>
      <c r="O181" s="218">
        <v>1.51132022000071E14</v>
      </c>
      <c r="P181" s="222">
        <v>1238950.0</v>
      </c>
      <c r="Q181" s="222">
        <v>1238950.0</v>
      </c>
      <c r="R181" s="222">
        <v>1238950.0</v>
      </c>
      <c r="S181" s="222">
        <v>800949.99</v>
      </c>
    </row>
    <row r="182">
      <c r="A182" s="218" t="s">
        <v>781</v>
      </c>
      <c r="B182" s="218" t="s">
        <v>12056</v>
      </c>
      <c r="C182" s="456">
        <v>44589.0</v>
      </c>
      <c r="D182" s="218">
        <v>3.0</v>
      </c>
      <c r="E182" s="218">
        <v>401091.0</v>
      </c>
      <c r="F182" s="218"/>
      <c r="G182" s="218" t="s">
        <v>175</v>
      </c>
      <c r="H182" s="218">
        <v>8.33678300019E12</v>
      </c>
      <c r="I182" s="218" t="s">
        <v>12057</v>
      </c>
      <c r="J182" s="218">
        <v>15113.0</v>
      </c>
      <c r="K182" s="218">
        <v>168105.0</v>
      </c>
      <c r="L182" s="218">
        <v>1.27E8</v>
      </c>
      <c r="M182" s="218">
        <v>339047.0</v>
      </c>
      <c r="N182" s="218" t="s">
        <v>9802</v>
      </c>
      <c r="O182" s="218">
        <v>1.51132022000029E14</v>
      </c>
      <c r="P182" s="222">
        <v>47250.0</v>
      </c>
      <c r="Q182" s="222">
        <v>47250.0</v>
      </c>
      <c r="R182" s="222">
        <v>47250.0</v>
      </c>
      <c r="S182" s="222">
        <v>37379.3</v>
      </c>
    </row>
    <row r="183">
      <c r="A183" s="218" t="s">
        <v>11704</v>
      </c>
      <c r="B183" s="218" t="s">
        <v>12058</v>
      </c>
      <c r="C183" s="456">
        <v>44593.0</v>
      </c>
      <c r="D183" s="218">
        <v>1.0</v>
      </c>
      <c r="E183" s="218">
        <v>401091.0</v>
      </c>
      <c r="G183" s="218" t="s">
        <v>1462</v>
      </c>
      <c r="H183" s="218">
        <v>3.094629000136E12</v>
      </c>
      <c r="I183" s="218" t="s">
        <v>12059</v>
      </c>
      <c r="J183" s="218">
        <v>15113.0</v>
      </c>
      <c r="K183" s="218">
        <v>168105.0</v>
      </c>
      <c r="L183" s="218">
        <v>1.0E8</v>
      </c>
      <c r="M183" s="218">
        <v>339039.0</v>
      </c>
      <c r="N183" s="218" t="s">
        <v>12060</v>
      </c>
      <c r="O183" s="218">
        <v>1.51132022000027E14</v>
      </c>
      <c r="P183" s="222">
        <v>20703.68</v>
      </c>
      <c r="Q183" s="222">
        <v>20703.68</v>
      </c>
      <c r="R183" s="222">
        <v>20703.68</v>
      </c>
      <c r="S183" s="218">
        <v>0.0</v>
      </c>
    </row>
    <row r="184">
      <c r="A184" s="218" t="s">
        <v>781</v>
      </c>
      <c r="B184" s="218" t="s">
        <v>12061</v>
      </c>
      <c r="C184" s="456">
        <v>44593.0</v>
      </c>
      <c r="D184" s="218">
        <v>3.0</v>
      </c>
      <c r="E184" s="218">
        <v>401091.0</v>
      </c>
      <c r="G184" s="218" t="s">
        <v>12062</v>
      </c>
      <c r="H184" s="218">
        <v>2.797782000167E12</v>
      </c>
      <c r="I184" s="218" t="s">
        <v>12063</v>
      </c>
      <c r="J184" s="218">
        <v>15113.0</v>
      </c>
      <c r="K184" s="218">
        <v>168105.0</v>
      </c>
      <c r="L184" s="218">
        <v>1.0E8</v>
      </c>
      <c r="M184" s="218">
        <v>339030.0</v>
      </c>
      <c r="N184" s="218" t="s">
        <v>9635</v>
      </c>
      <c r="O184" s="218">
        <v>1.51132022000059E14</v>
      </c>
      <c r="P184" s="218">
        <v>500.0</v>
      </c>
      <c r="Q184" s="218">
        <v>500.0</v>
      </c>
      <c r="R184" s="218">
        <v>500.0</v>
      </c>
      <c r="S184" s="218">
        <v>500.0</v>
      </c>
    </row>
    <row r="185">
      <c r="A185" s="218" t="s">
        <v>781</v>
      </c>
      <c r="B185" s="218" t="s">
        <v>12064</v>
      </c>
      <c r="C185" s="456">
        <v>44593.0</v>
      </c>
      <c r="D185" s="218">
        <v>3.0</v>
      </c>
      <c r="E185" s="218">
        <v>401091.0</v>
      </c>
      <c r="F185" s="218"/>
      <c r="G185" s="218" t="s">
        <v>12062</v>
      </c>
      <c r="H185" s="218">
        <v>2.797782000167E12</v>
      </c>
      <c r="I185" s="218" t="s">
        <v>12065</v>
      </c>
      <c r="J185" s="218">
        <v>15113.0</v>
      </c>
      <c r="K185" s="218">
        <v>168105.0</v>
      </c>
      <c r="L185" s="218">
        <v>1.0E8</v>
      </c>
      <c r="M185" s="218">
        <v>339039.0</v>
      </c>
      <c r="N185" s="218" t="s">
        <v>9635</v>
      </c>
      <c r="O185" s="218">
        <v>1.51132022000012E14</v>
      </c>
      <c r="P185" s="222">
        <v>97138.92</v>
      </c>
      <c r="Q185" s="222">
        <v>97138.92</v>
      </c>
      <c r="R185" s="222">
        <v>97138.92</v>
      </c>
      <c r="S185" s="222">
        <v>80949.1</v>
      </c>
    </row>
    <row r="186">
      <c r="A186" s="218" t="s">
        <v>11704</v>
      </c>
      <c r="B186" s="218" t="s">
        <v>12066</v>
      </c>
      <c r="C186" s="456">
        <v>44593.0</v>
      </c>
      <c r="D186" s="218">
        <v>3.0</v>
      </c>
      <c r="E186" s="218">
        <v>401091.0</v>
      </c>
      <c r="G186" s="218" t="s">
        <v>12067</v>
      </c>
      <c r="H186" s="218">
        <v>2.482005000123E12</v>
      </c>
      <c r="I186" s="218" t="s">
        <v>12068</v>
      </c>
      <c r="J186" s="218">
        <v>15113.0</v>
      </c>
      <c r="K186" s="218">
        <v>168105.0</v>
      </c>
      <c r="L186" s="218">
        <v>1.0E8</v>
      </c>
      <c r="M186" s="218">
        <v>339037.0</v>
      </c>
      <c r="N186" s="218" t="s">
        <v>12069</v>
      </c>
      <c r="O186" s="218">
        <v>1.51132022000051E14</v>
      </c>
      <c r="P186" s="218">
        <v>0.0</v>
      </c>
      <c r="Q186" s="218">
        <v>0.0</v>
      </c>
      <c r="R186" s="218">
        <v>0.0</v>
      </c>
      <c r="S186" s="218">
        <v>0.0</v>
      </c>
    </row>
    <row r="187">
      <c r="A187" s="218" t="s">
        <v>11704</v>
      </c>
      <c r="B187" s="218" t="s">
        <v>12070</v>
      </c>
      <c r="C187" s="456">
        <v>44593.0</v>
      </c>
      <c r="D187" s="218">
        <v>3.0</v>
      </c>
      <c r="E187" s="218">
        <v>401091.0</v>
      </c>
      <c r="G187" s="218" t="s">
        <v>12071</v>
      </c>
      <c r="H187" s="218">
        <v>2.0599605000158E13</v>
      </c>
      <c r="I187" s="218" t="s">
        <v>12068</v>
      </c>
      <c r="J187" s="218">
        <v>15113.0</v>
      </c>
      <c r="K187" s="218">
        <v>168105.0</v>
      </c>
      <c r="L187" s="218">
        <v>1.0E8</v>
      </c>
      <c r="M187" s="218">
        <v>339037.0</v>
      </c>
      <c r="N187" s="218" t="s">
        <v>12069</v>
      </c>
      <c r="O187" s="218">
        <v>1.51132022000051E14</v>
      </c>
      <c r="P187" s="222">
        <v>126203.04</v>
      </c>
      <c r="Q187" s="222">
        <v>126203.04</v>
      </c>
      <c r="R187" s="222">
        <v>126203.04</v>
      </c>
      <c r="S187" s="222">
        <v>105169.2</v>
      </c>
    </row>
    <row r="188">
      <c r="A188" s="218" t="s">
        <v>11704</v>
      </c>
      <c r="B188" s="218" t="s">
        <v>12072</v>
      </c>
      <c r="C188" s="456">
        <v>44593.0</v>
      </c>
      <c r="D188" s="218">
        <v>3.0</v>
      </c>
      <c r="E188" s="218">
        <v>401091.0</v>
      </c>
      <c r="G188" s="218" t="s">
        <v>12071</v>
      </c>
      <c r="H188" s="218">
        <v>2.0599605000158E13</v>
      </c>
      <c r="I188" s="218" t="s">
        <v>12073</v>
      </c>
      <c r="J188" s="218">
        <v>15113.0</v>
      </c>
      <c r="K188" s="218">
        <v>168105.0</v>
      </c>
      <c r="L188" s="218">
        <v>1.0E8</v>
      </c>
      <c r="M188" s="218">
        <v>339037.0</v>
      </c>
      <c r="N188" s="218" t="s">
        <v>12074</v>
      </c>
      <c r="O188" s="218">
        <v>1.51132022000052E14</v>
      </c>
      <c r="P188" s="222">
        <v>50469.84</v>
      </c>
      <c r="Q188" s="222">
        <v>50469.84</v>
      </c>
      <c r="R188" s="222">
        <v>50469.84</v>
      </c>
      <c r="S188" s="222">
        <v>42058.2</v>
      </c>
    </row>
    <row r="189">
      <c r="A189" s="218" t="s">
        <v>11704</v>
      </c>
      <c r="B189" s="218" t="s">
        <v>12075</v>
      </c>
      <c r="C189" s="456">
        <v>44593.0</v>
      </c>
      <c r="D189" s="218">
        <v>3.0</v>
      </c>
      <c r="E189" s="218">
        <v>401091.0</v>
      </c>
      <c r="F189" s="218"/>
      <c r="G189" s="218" t="s">
        <v>11845</v>
      </c>
      <c r="H189" s="218">
        <v>2.0810747000112E13</v>
      </c>
      <c r="I189" s="218" t="s">
        <v>12076</v>
      </c>
      <c r="J189" s="218">
        <v>15113.0</v>
      </c>
      <c r="K189" s="218">
        <v>168105.0</v>
      </c>
      <c r="L189" s="218">
        <v>1.0E8</v>
      </c>
      <c r="M189" s="218">
        <v>339039.0</v>
      </c>
      <c r="N189" s="218" t="s">
        <v>12077</v>
      </c>
      <c r="O189" s="218">
        <v>1.51132022000012E14</v>
      </c>
      <c r="P189" s="222">
        <v>47988.0</v>
      </c>
      <c r="Q189" s="222">
        <v>47988.0</v>
      </c>
      <c r="R189" s="222">
        <v>47988.0</v>
      </c>
      <c r="S189" s="222">
        <v>40949.76</v>
      </c>
    </row>
    <row r="190">
      <c r="A190" s="218" t="s">
        <v>11704</v>
      </c>
      <c r="B190" s="218" t="s">
        <v>12078</v>
      </c>
      <c r="C190" s="456">
        <v>44593.0</v>
      </c>
      <c r="D190" s="218">
        <v>1.0</v>
      </c>
      <c r="E190" s="218">
        <v>401091.0</v>
      </c>
      <c r="G190" s="218" t="s">
        <v>4457</v>
      </c>
      <c r="H190" s="218">
        <v>8.30242570001E13</v>
      </c>
      <c r="I190" s="218" t="s">
        <v>12079</v>
      </c>
      <c r="J190" s="218">
        <v>15113.0</v>
      </c>
      <c r="K190" s="218">
        <v>168105.0</v>
      </c>
      <c r="L190" s="218">
        <v>1.0E8</v>
      </c>
      <c r="M190" s="218">
        <v>339047.0</v>
      </c>
      <c r="N190" s="218" t="s">
        <v>12080</v>
      </c>
      <c r="O190" s="218">
        <v>1.5113202200003E14</v>
      </c>
      <c r="P190" s="218">
        <v>362.29</v>
      </c>
      <c r="Q190" s="218">
        <v>362.29</v>
      </c>
      <c r="R190" s="218">
        <v>362.29</v>
      </c>
      <c r="S190" s="218">
        <v>0.0</v>
      </c>
    </row>
    <row r="191">
      <c r="A191" s="218" t="s">
        <v>116</v>
      </c>
      <c r="B191" s="218" t="s">
        <v>421</v>
      </c>
      <c r="C191" s="456">
        <v>44594.0</v>
      </c>
      <c r="D191" s="218">
        <v>3.0</v>
      </c>
      <c r="E191" s="218">
        <v>401091.0</v>
      </c>
      <c r="G191" s="218" t="s">
        <v>420</v>
      </c>
      <c r="H191" s="218">
        <v>8.2743287003553E13</v>
      </c>
      <c r="I191" s="218" t="s">
        <v>12081</v>
      </c>
      <c r="J191" s="218">
        <v>15113.0</v>
      </c>
      <c r="K191" s="218">
        <v>168105.0</v>
      </c>
      <c r="L191" s="218">
        <v>1.0E8</v>
      </c>
      <c r="M191" s="218">
        <v>339040.0</v>
      </c>
      <c r="N191" s="218" t="s">
        <v>419</v>
      </c>
      <c r="O191" s="218">
        <v>1.51132022000086E14</v>
      </c>
      <c r="P191" s="222">
        <v>65100.0</v>
      </c>
      <c r="Q191" s="222">
        <v>65100.0</v>
      </c>
      <c r="R191" s="222">
        <v>65100.0</v>
      </c>
      <c r="S191" s="222">
        <v>61510.12</v>
      </c>
    </row>
    <row r="192">
      <c r="A192" s="218" t="s">
        <v>116</v>
      </c>
      <c r="B192" s="218" t="s">
        <v>275</v>
      </c>
      <c r="C192" s="456">
        <v>44596.0</v>
      </c>
      <c r="D192" s="218">
        <v>1.0</v>
      </c>
      <c r="E192" s="218">
        <v>401091.0</v>
      </c>
      <c r="G192" s="218" t="s">
        <v>274</v>
      </c>
      <c r="H192" s="218">
        <v>4.198254000117E12</v>
      </c>
      <c r="I192" s="218" t="s">
        <v>12082</v>
      </c>
      <c r="J192" s="218">
        <v>15113.0</v>
      </c>
      <c r="K192" s="218">
        <v>168107.0</v>
      </c>
      <c r="L192" s="218">
        <v>1.0E8</v>
      </c>
      <c r="M192" s="218">
        <v>339040.0</v>
      </c>
      <c r="N192" s="218" t="s">
        <v>273</v>
      </c>
      <c r="O192" s="218">
        <v>1.51132022000098E14</v>
      </c>
      <c r="P192" s="222">
        <v>59760.0</v>
      </c>
      <c r="Q192" s="222">
        <v>59760.0</v>
      </c>
      <c r="R192" s="222">
        <v>59760.0</v>
      </c>
      <c r="S192" s="218">
        <v>0.0</v>
      </c>
    </row>
    <row r="193">
      <c r="A193" s="218" t="s">
        <v>11704</v>
      </c>
      <c r="B193" s="218" t="s">
        <v>12083</v>
      </c>
      <c r="C193" s="456">
        <v>44596.0</v>
      </c>
      <c r="D193" s="218">
        <v>3.0</v>
      </c>
      <c r="E193" s="218">
        <v>401091.0</v>
      </c>
      <c r="F193" s="218"/>
      <c r="G193" s="218" t="s">
        <v>11979</v>
      </c>
      <c r="H193" s="218">
        <v>4.82840000138E11</v>
      </c>
      <c r="I193" s="218" t="s">
        <v>12084</v>
      </c>
      <c r="J193" s="218">
        <v>15113.0</v>
      </c>
      <c r="K193" s="218">
        <v>168105.0</v>
      </c>
      <c r="L193" s="218">
        <v>1.0E8</v>
      </c>
      <c r="M193" s="218">
        <v>339037.0</v>
      </c>
      <c r="N193" s="218" t="s">
        <v>11474</v>
      </c>
      <c r="O193" s="218">
        <v>1.51132022000035E14</v>
      </c>
      <c r="P193" s="222">
        <v>846331.68</v>
      </c>
      <c r="Q193" s="222">
        <v>846331.68</v>
      </c>
      <c r="R193" s="222">
        <v>846331.68</v>
      </c>
      <c r="S193" s="222">
        <v>706097.57</v>
      </c>
    </row>
    <row r="194">
      <c r="A194" s="218" t="s">
        <v>11704</v>
      </c>
      <c r="B194" s="218" t="s">
        <v>12085</v>
      </c>
      <c r="C194" s="456">
        <v>44596.0</v>
      </c>
      <c r="D194" s="218">
        <v>3.0</v>
      </c>
      <c r="E194" s="218">
        <v>401091.0</v>
      </c>
      <c r="G194" s="218" t="s">
        <v>4880</v>
      </c>
      <c r="H194" s="218">
        <v>7.8533312000158E13</v>
      </c>
      <c r="I194" s="218" t="s">
        <v>12086</v>
      </c>
      <c r="J194" s="218">
        <v>15113.0</v>
      </c>
      <c r="K194" s="218">
        <v>168105.0</v>
      </c>
      <c r="L194" s="218">
        <v>1.0E8</v>
      </c>
      <c r="M194" s="218">
        <v>339037.0</v>
      </c>
      <c r="N194" s="218" t="s">
        <v>11909</v>
      </c>
      <c r="O194" s="218">
        <v>1.51132022000035E14</v>
      </c>
      <c r="P194" s="222">
        <v>812215.23</v>
      </c>
      <c r="Q194" s="222">
        <v>812215.23</v>
      </c>
      <c r="R194" s="222">
        <v>812215.23</v>
      </c>
      <c r="S194" s="222">
        <v>673395.37</v>
      </c>
    </row>
    <row r="195">
      <c r="A195" s="218" t="s">
        <v>781</v>
      </c>
      <c r="B195" s="218" t="s">
        <v>12087</v>
      </c>
      <c r="C195" s="456">
        <v>44588.0</v>
      </c>
      <c r="D195" s="218">
        <v>3.0</v>
      </c>
      <c r="E195" s="218">
        <v>401091.0</v>
      </c>
      <c r="F195" s="218"/>
      <c r="G195" s="218" t="s">
        <v>12088</v>
      </c>
      <c r="H195" s="218">
        <v>7.6361492000102E13</v>
      </c>
      <c r="I195" s="218" t="s">
        <v>12089</v>
      </c>
      <c r="J195" s="218">
        <v>15113.0</v>
      </c>
      <c r="K195" s="218">
        <v>168105.0</v>
      </c>
      <c r="L195" s="218">
        <v>1.0E8</v>
      </c>
      <c r="M195" s="218">
        <v>339039.0</v>
      </c>
      <c r="N195" s="218" t="s">
        <v>9632</v>
      </c>
      <c r="O195" s="218">
        <v>1.5113202200002E14</v>
      </c>
      <c r="P195" s="222">
        <v>426774.42</v>
      </c>
      <c r="Q195" s="222">
        <v>426774.42</v>
      </c>
      <c r="R195" s="222">
        <v>426774.42</v>
      </c>
      <c r="S195" s="222">
        <v>306228.0</v>
      </c>
    </row>
    <row r="196">
      <c r="A196" s="218" t="s">
        <v>781</v>
      </c>
      <c r="B196" s="218" t="s">
        <v>12090</v>
      </c>
      <c r="C196" s="456">
        <v>44596.0</v>
      </c>
      <c r="D196" s="218">
        <v>3.0</v>
      </c>
      <c r="E196" s="218">
        <v>401091.0</v>
      </c>
      <c r="F196" s="218"/>
      <c r="G196" s="218" t="s">
        <v>12091</v>
      </c>
      <c r="H196" s="218">
        <v>1.1955729000138E13</v>
      </c>
      <c r="I196" s="218" t="s">
        <v>12025</v>
      </c>
      <c r="J196" s="218">
        <v>15113.0</v>
      </c>
      <c r="K196" s="218">
        <v>168105.0</v>
      </c>
      <c r="L196" s="218">
        <v>1.0E8</v>
      </c>
      <c r="M196" s="218">
        <v>339039.0</v>
      </c>
      <c r="N196" s="218" t="s">
        <v>9816</v>
      </c>
      <c r="O196" s="218">
        <v>1.51132022000038E14</v>
      </c>
      <c r="P196" s="222">
        <v>116071.8</v>
      </c>
      <c r="Q196" s="222">
        <v>116071.8</v>
      </c>
      <c r="R196" s="222">
        <v>116071.8</v>
      </c>
      <c r="S196" s="222">
        <v>52957.6</v>
      </c>
    </row>
    <row r="197">
      <c r="A197" s="218" t="s">
        <v>781</v>
      </c>
      <c r="B197" s="218" t="s">
        <v>12092</v>
      </c>
      <c r="C197" s="456">
        <v>44596.0</v>
      </c>
      <c r="D197" s="218">
        <v>3.0</v>
      </c>
      <c r="E197" s="218">
        <v>401091.0</v>
      </c>
      <c r="G197" s="218" t="s">
        <v>12091</v>
      </c>
      <c r="H197" s="218">
        <v>1.1955729000138E13</v>
      </c>
      <c r="I197" s="218" t="s">
        <v>12027</v>
      </c>
      <c r="J197" s="218">
        <v>15113.0</v>
      </c>
      <c r="K197" s="218">
        <v>168105.0</v>
      </c>
      <c r="L197" s="218">
        <v>1.0E8</v>
      </c>
      <c r="M197" s="218">
        <v>339030.0</v>
      </c>
      <c r="N197" s="218" t="s">
        <v>9816</v>
      </c>
      <c r="O197" s="218">
        <v>1.51132022000068E14</v>
      </c>
      <c r="P197" s="222">
        <v>20000.0</v>
      </c>
      <c r="Q197" s="222">
        <v>20000.0</v>
      </c>
      <c r="R197" s="222">
        <v>20000.0</v>
      </c>
      <c r="S197" s="222">
        <v>20000.0</v>
      </c>
    </row>
    <row r="198">
      <c r="A198" s="218" t="s">
        <v>781</v>
      </c>
      <c r="B198" s="218" t="s">
        <v>12093</v>
      </c>
      <c r="C198" s="456">
        <v>44596.0</v>
      </c>
      <c r="D198" s="218">
        <v>3.0</v>
      </c>
      <c r="E198" s="218">
        <v>401091.0</v>
      </c>
      <c r="G198" s="218" t="s">
        <v>4880</v>
      </c>
      <c r="H198" s="218">
        <v>7.8533312000158E13</v>
      </c>
      <c r="I198" s="218" t="s">
        <v>12094</v>
      </c>
      <c r="J198" s="218">
        <v>15113.0</v>
      </c>
      <c r="K198" s="218">
        <v>168105.0</v>
      </c>
      <c r="L198" s="218">
        <v>1.27E8</v>
      </c>
      <c r="M198" s="218">
        <v>339037.0</v>
      </c>
      <c r="N198" s="218" t="s">
        <v>9783</v>
      </c>
      <c r="O198" s="218">
        <v>1.51132022000053E14</v>
      </c>
      <c r="P198" s="222">
        <v>2540000.0</v>
      </c>
      <c r="Q198" s="222">
        <v>2540000.0</v>
      </c>
      <c r="R198" s="222">
        <v>2540000.0</v>
      </c>
      <c r="S198" s="222">
        <v>2161803.56</v>
      </c>
    </row>
    <row r="199">
      <c r="A199" s="218" t="s">
        <v>343</v>
      </c>
      <c r="B199" s="218" t="s">
        <v>12095</v>
      </c>
      <c r="C199" s="456">
        <v>44596.0</v>
      </c>
      <c r="D199" s="218">
        <v>1.0</v>
      </c>
      <c r="E199" s="218">
        <v>401091.0</v>
      </c>
      <c r="G199" s="218" t="s">
        <v>12096</v>
      </c>
      <c r="H199" s="218">
        <v>8.3108357000115E13</v>
      </c>
      <c r="I199" s="218" t="s">
        <v>12097</v>
      </c>
      <c r="J199" s="218">
        <v>15113.0</v>
      </c>
      <c r="K199" s="218">
        <v>168105.0</v>
      </c>
      <c r="L199" s="218">
        <v>1.0E8</v>
      </c>
      <c r="M199" s="218">
        <v>339047.0</v>
      </c>
      <c r="N199" s="218" t="s">
        <v>12098</v>
      </c>
      <c r="O199" s="218">
        <v>1.51132022000004E14</v>
      </c>
      <c r="P199" s="218">
        <v>523.62</v>
      </c>
      <c r="Q199" s="218">
        <v>523.62</v>
      </c>
      <c r="R199" s="218">
        <v>523.62</v>
      </c>
      <c r="S199" s="218">
        <v>0.0</v>
      </c>
    </row>
    <row r="200">
      <c r="A200" s="218" t="s">
        <v>11704</v>
      </c>
      <c r="B200" s="218" t="s">
        <v>12099</v>
      </c>
      <c r="C200" s="456">
        <v>44596.0</v>
      </c>
      <c r="D200" s="218">
        <v>3.0</v>
      </c>
      <c r="E200" s="218">
        <v>401091.0</v>
      </c>
      <c r="G200" s="218" t="s">
        <v>11953</v>
      </c>
      <c r="H200" s="218">
        <v>4.0089450001E12</v>
      </c>
      <c r="I200" s="218" t="s">
        <v>12100</v>
      </c>
      <c r="J200" s="218">
        <v>15113.0</v>
      </c>
      <c r="K200" s="218">
        <v>168105.0</v>
      </c>
      <c r="L200" s="218">
        <v>1.0E8</v>
      </c>
      <c r="M200" s="218">
        <v>339030.0</v>
      </c>
      <c r="N200" s="218" t="s">
        <v>11955</v>
      </c>
      <c r="O200" s="218">
        <v>1.51132022000064E14</v>
      </c>
      <c r="P200" s="222">
        <v>2500.0</v>
      </c>
      <c r="Q200" s="222">
        <v>2500.0</v>
      </c>
      <c r="R200" s="222">
        <v>2500.0</v>
      </c>
      <c r="S200" s="222">
        <v>2500.0</v>
      </c>
    </row>
    <row r="201">
      <c r="A201" s="218" t="s">
        <v>11704</v>
      </c>
      <c r="B201" s="218" t="s">
        <v>12101</v>
      </c>
      <c r="C201" s="456">
        <v>44599.0</v>
      </c>
      <c r="D201" s="218">
        <v>3.0</v>
      </c>
      <c r="E201" s="218">
        <v>401091.0</v>
      </c>
      <c r="F201" s="218"/>
      <c r="G201" s="218" t="s">
        <v>12102</v>
      </c>
      <c r="H201" s="218">
        <v>8.044656000118E12</v>
      </c>
      <c r="I201" s="218" t="s">
        <v>12103</v>
      </c>
      <c r="J201" s="218">
        <v>15113.0</v>
      </c>
      <c r="K201" s="218">
        <v>168105.0</v>
      </c>
      <c r="L201" s="218">
        <v>1.0E8</v>
      </c>
      <c r="M201" s="218">
        <v>339030.0</v>
      </c>
      <c r="N201" s="218" t="s">
        <v>12104</v>
      </c>
      <c r="O201" s="218">
        <v>1.51132022000062E14</v>
      </c>
      <c r="P201" s="218">
        <v>0.0</v>
      </c>
      <c r="Q201" s="218">
        <v>0.0</v>
      </c>
      <c r="R201" s="218">
        <v>0.0</v>
      </c>
      <c r="S201" s="218">
        <v>0.0</v>
      </c>
    </row>
    <row r="202">
      <c r="A202" s="218" t="s">
        <v>11704</v>
      </c>
      <c r="B202" s="218" t="s">
        <v>12105</v>
      </c>
      <c r="C202" s="456">
        <v>44599.0</v>
      </c>
      <c r="D202" s="218">
        <v>3.0</v>
      </c>
      <c r="E202" s="218">
        <v>401091.0</v>
      </c>
      <c r="G202" s="218" t="s">
        <v>12106</v>
      </c>
      <c r="H202" s="218">
        <v>2.1347447000101E13</v>
      </c>
      <c r="I202" s="218" t="s">
        <v>12107</v>
      </c>
      <c r="J202" s="218">
        <v>15113.0</v>
      </c>
      <c r="K202" s="218">
        <v>168105.0</v>
      </c>
      <c r="L202" s="218">
        <v>1.0E8</v>
      </c>
      <c r="M202" s="218">
        <v>339030.0</v>
      </c>
      <c r="N202" s="218" t="s">
        <v>12108</v>
      </c>
      <c r="O202" s="218">
        <v>1.51132022000067E14</v>
      </c>
      <c r="P202" s="222">
        <v>54284.28</v>
      </c>
      <c r="Q202" s="222">
        <v>54284.28</v>
      </c>
      <c r="R202" s="222">
        <v>54284.28</v>
      </c>
      <c r="S202" s="222">
        <v>54284.28</v>
      </c>
    </row>
    <row r="203">
      <c r="A203" s="218" t="s">
        <v>781</v>
      </c>
      <c r="B203" s="218" t="s">
        <v>12109</v>
      </c>
      <c r="C203" s="456">
        <v>44599.0</v>
      </c>
      <c r="D203" s="218">
        <v>1.0</v>
      </c>
      <c r="E203" s="218">
        <v>401091.0</v>
      </c>
      <c r="G203" s="218" t="s">
        <v>12110</v>
      </c>
      <c r="H203" s="218">
        <v>191.0</v>
      </c>
      <c r="I203" s="218" t="s">
        <v>12111</v>
      </c>
      <c r="J203" s="218">
        <v>15113.0</v>
      </c>
      <c r="K203" s="218">
        <v>168105.0</v>
      </c>
      <c r="L203" s="218">
        <v>1.0E8</v>
      </c>
      <c r="M203" s="218">
        <v>339092.0</v>
      </c>
      <c r="N203" s="218" t="s">
        <v>9413</v>
      </c>
      <c r="O203" s="218">
        <v>1.51132022000044E14</v>
      </c>
      <c r="P203" s="222">
        <v>3222.16</v>
      </c>
      <c r="Q203" s="222">
        <v>3222.16</v>
      </c>
      <c r="R203" s="222">
        <v>3222.16</v>
      </c>
      <c r="S203" s="218">
        <v>0.0</v>
      </c>
    </row>
    <row r="204">
      <c r="A204" s="218" t="s">
        <v>787</v>
      </c>
      <c r="B204" s="218" t="s">
        <v>12112</v>
      </c>
      <c r="C204" s="456">
        <v>44600.0</v>
      </c>
      <c r="D204" s="218">
        <v>3.0</v>
      </c>
      <c r="E204" s="218">
        <v>401091.0</v>
      </c>
      <c r="G204" s="218" t="s">
        <v>11650</v>
      </c>
      <c r="H204" s="218">
        <v>510001.0</v>
      </c>
      <c r="I204" s="218" t="s">
        <v>12113</v>
      </c>
      <c r="J204" s="218">
        <v>15113.0</v>
      </c>
      <c r="K204" s="218">
        <v>168108.0</v>
      </c>
      <c r="L204" s="218">
        <v>1.0E8</v>
      </c>
      <c r="M204" s="218">
        <v>339147.0</v>
      </c>
      <c r="N204" s="218" t="s">
        <v>12114</v>
      </c>
      <c r="O204" s="218">
        <v>1.51132022000125E14</v>
      </c>
      <c r="P204" s="222">
        <v>1000.0</v>
      </c>
      <c r="Q204" s="222">
        <v>1000.0</v>
      </c>
      <c r="R204" s="222">
        <v>1000.0</v>
      </c>
      <c r="S204" s="218">
        <v>500.0</v>
      </c>
    </row>
    <row r="205">
      <c r="A205" s="218" t="s">
        <v>9920</v>
      </c>
      <c r="B205" s="218" t="s">
        <v>12115</v>
      </c>
      <c r="C205" s="456">
        <v>44600.0</v>
      </c>
      <c r="D205" s="218">
        <v>1.0</v>
      </c>
      <c r="E205" s="218">
        <v>401091.0</v>
      </c>
      <c r="F205" s="218"/>
      <c r="G205" s="218" t="s">
        <v>12116</v>
      </c>
      <c r="H205" s="218">
        <v>2.775201900014E13</v>
      </c>
      <c r="I205" s="218" t="s">
        <v>12117</v>
      </c>
      <c r="J205" s="218">
        <v>15113.0</v>
      </c>
      <c r="K205" s="218">
        <v>168105.0</v>
      </c>
      <c r="L205" s="218">
        <v>1.7015113E8</v>
      </c>
      <c r="M205" s="218">
        <v>339092.0</v>
      </c>
      <c r="N205" s="218" t="s">
        <v>12118</v>
      </c>
      <c r="O205" s="218">
        <v>1.51132022000212E14</v>
      </c>
      <c r="P205" s="222">
        <v>8195.0</v>
      </c>
      <c r="Q205" s="222">
        <v>8195.0</v>
      </c>
      <c r="R205" s="222">
        <v>8195.0</v>
      </c>
      <c r="S205" s="218">
        <v>0.0</v>
      </c>
    </row>
    <row r="206">
      <c r="A206" s="218" t="s">
        <v>11704</v>
      </c>
      <c r="B206" s="218" t="s">
        <v>12119</v>
      </c>
      <c r="C206" s="456">
        <v>44600.0</v>
      </c>
      <c r="D206" s="218">
        <v>1.0</v>
      </c>
      <c r="E206" s="218">
        <v>401091.0</v>
      </c>
      <c r="G206" s="218" t="s">
        <v>11784</v>
      </c>
      <c r="H206" s="218">
        <v>3.104953500018E13</v>
      </c>
      <c r="I206" s="218" t="s">
        <v>12120</v>
      </c>
      <c r="J206" s="218">
        <v>15113.0</v>
      </c>
      <c r="K206" s="218">
        <v>168105.0</v>
      </c>
      <c r="L206" s="218">
        <v>1.0E8</v>
      </c>
      <c r="M206" s="218">
        <v>339047.0</v>
      </c>
      <c r="N206" s="218" t="s">
        <v>9504</v>
      </c>
      <c r="O206" s="218">
        <v>1.5113202200003E14</v>
      </c>
      <c r="P206" s="218">
        <v>33.58</v>
      </c>
      <c r="Q206" s="218">
        <v>33.58</v>
      </c>
      <c r="R206" s="218">
        <v>33.58</v>
      </c>
      <c r="S206" s="218">
        <v>0.0</v>
      </c>
    </row>
    <row r="207">
      <c r="A207" s="218" t="s">
        <v>324</v>
      </c>
      <c r="B207" s="218" t="s">
        <v>12121</v>
      </c>
      <c r="C207" s="456">
        <v>44601.0</v>
      </c>
      <c r="D207" s="218">
        <v>1.0</v>
      </c>
      <c r="E207" s="218">
        <v>401091.0</v>
      </c>
      <c r="G207" s="218" t="s">
        <v>12122</v>
      </c>
      <c r="H207" s="218">
        <v>8.006773900015E13</v>
      </c>
      <c r="I207" s="218" t="s">
        <v>12123</v>
      </c>
      <c r="J207" s="218">
        <v>15113.0</v>
      </c>
      <c r="K207" s="218">
        <v>168105.0</v>
      </c>
      <c r="L207" s="218">
        <v>1.0E8</v>
      </c>
      <c r="M207" s="218">
        <v>339039.0</v>
      </c>
      <c r="N207" s="218" t="s">
        <v>12124</v>
      </c>
      <c r="O207" s="218">
        <v>1.51132022000211E14</v>
      </c>
      <c r="P207" s="222">
        <v>3500.0</v>
      </c>
      <c r="Q207" s="222">
        <v>3500.0</v>
      </c>
      <c r="R207" s="222">
        <v>3500.0</v>
      </c>
      <c r="S207" s="218">
        <v>0.0</v>
      </c>
    </row>
    <row r="208">
      <c r="A208" s="218" t="s">
        <v>781</v>
      </c>
      <c r="B208" s="218" t="s">
        <v>12125</v>
      </c>
      <c r="C208" s="456">
        <v>44602.0</v>
      </c>
      <c r="D208" s="218">
        <v>1.0</v>
      </c>
      <c r="E208" s="218">
        <v>401091.0</v>
      </c>
      <c r="G208" s="218" t="s">
        <v>12110</v>
      </c>
      <c r="H208" s="218">
        <v>466638.0</v>
      </c>
      <c r="I208" s="218" t="s">
        <v>12126</v>
      </c>
      <c r="J208" s="218">
        <v>15113.0</v>
      </c>
      <c r="K208" s="218">
        <v>168105.0</v>
      </c>
      <c r="L208" s="218">
        <v>1.0E8</v>
      </c>
      <c r="M208" s="218">
        <v>339092.0</v>
      </c>
      <c r="N208" s="218" t="s">
        <v>10071</v>
      </c>
      <c r="O208" s="218">
        <v>1.51132022000044E14</v>
      </c>
      <c r="P208" s="222">
        <v>7465.12</v>
      </c>
      <c r="Q208" s="222">
        <v>7465.12</v>
      </c>
      <c r="R208" s="222">
        <v>7465.12</v>
      </c>
      <c r="S208" s="218">
        <v>0.0</v>
      </c>
    </row>
    <row r="209">
      <c r="A209" s="218" t="s">
        <v>11704</v>
      </c>
      <c r="B209" s="218" t="s">
        <v>12127</v>
      </c>
      <c r="C209" s="456">
        <v>44606.0</v>
      </c>
      <c r="D209" s="218">
        <v>1.0</v>
      </c>
      <c r="E209" s="218">
        <v>401091.0</v>
      </c>
      <c r="G209" s="218" t="s">
        <v>12128</v>
      </c>
      <c r="H209" s="218">
        <v>7.797967000195E12</v>
      </c>
      <c r="I209" s="218" t="s">
        <v>12129</v>
      </c>
      <c r="J209" s="218">
        <v>15113.0</v>
      </c>
      <c r="K209" s="218">
        <v>168105.0</v>
      </c>
      <c r="L209" s="218">
        <v>1.0E8</v>
      </c>
      <c r="M209" s="218">
        <v>339039.0</v>
      </c>
      <c r="N209" s="218" t="s">
        <v>12130</v>
      </c>
      <c r="O209" s="218">
        <v>1.51132022000047E14</v>
      </c>
      <c r="P209" s="222">
        <v>8700.0</v>
      </c>
      <c r="Q209" s="222">
        <v>8700.0</v>
      </c>
      <c r="R209" s="222">
        <v>8700.0</v>
      </c>
      <c r="S209" s="218">
        <v>0.0</v>
      </c>
    </row>
    <row r="210">
      <c r="A210" s="218" t="s">
        <v>11704</v>
      </c>
      <c r="B210" s="218" t="s">
        <v>12131</v>
      </c>
      <c r="C210" s="456">
        <v>44606.0</v>
      </c>
      <c r="D210" s="218">
        <v>1.0</v>
      </c>
      <c r="E210" s="218">
        <v>401091.0</v>
      </c>
      <c r="F210" s="218"/>
      <c r="G210" s="218" t="s">
        <v>6856</v>
      </c>
      <c r="H210" s="218">
        <v>7.6334880934E10</v>
      </c>
      <c r="I210" s="218" t="s">
        <v>12132</v>
      </c>
      <c r="J210" s="218">
        <v>15113.0</v>
      </c>
      <c r="K210" s="218">
        <v>168105.0</v>
      </c>
      <c r="L210" s="218">
        <v>1.0E8</v>
      </c>
      <c r="M210" s="218">
        <v>339030.0</v>
      </c>
      <c r="N210" s="218" t="s">
        <v>12133</v>
      </c>
      <c r="O210" s="218">
        <v>1.51132022000062E14</v>
      </c>
      <c r="P210" s="218">
        <v>52.0</v>
      </c>
      <c r="Q210" s="218">
        <v>52.0</v>
      </c>
      <c r="R210" s="218">
        <v>52.0</v>
      </c>
      <c r="S210" s="218">
        <v>0.0</v>
      </c>
    </row>
    <row r="211">
      <c r="A211" s="218" t="s">
        <v>343</v>
      </c>
      <c r="B211" s="218" t="s">
        <v>12134</v>
      </c>
      <c r="C211" s="456">
        <v>44606.0</v>
      </c>
      <c r="D211" s="218">
        <v>1.0</v>
      </c>
      <c r="E211" s="218">
        <v>401091.0</v>
      </c>
      <c r="F211" s="218"/>
      <c r="G211" s="218" t="s">
        <v>3057</v>
      </c>
      <c r="H211" s="218">
        <v>8.2951310000156E13</v>
      </c>
      <c r="I211" s="218" t="s">
        <v>12135</v>
      </c>
      <c r="J211" s="218">
        <v>15113.0</v>
      </c>
      <c r="K211" s="218">
        <v>168105.0</v>
      </c>
      <c r="L211" s="218">
        <v>1.0E8</v>
      </c>
      <c r="M211" s="218">
        <v>339047.0</v>
      </c>
      <c r="N211" s="218" t="s">
        <v>12136</v>
      </c>
      <c r="O211" s="218">
        <v>1.51132022000003E14</v>
      </c>
      <c r="P211" s="222">
        <v>2711.11</v>
      </c>
      <c r="Q211" s="222">
        <v>2711.11</v>
      </c>
      <c r="R211" s="222">
        <v>2711.11</v>
      </c>
      <c r="S211" s="218">
        <v>0.0</v>
      </c>
    </row>
    <row r="212">
      <c r="A212" s="218" t="s">
        <v>11704</v>
      </c>
      <c r="B212" s="218" t="s">
        <v>12137</v>
      </c>
      <c r="C212" s="456">
        <v>44606.0</v>
      </c>
      <c r="D212" s="218">
        <v>1.0</v>
      </c>
      <c r="E212" s="218">
        <v>401091.0</v>
      </c>
      <c r="F212" s="218"/>
      <c r="G212" s="218" t="s">
        <v>12138</v>
      </c>
      <c r="H212" s="218">
        <v>8.3021808000182E13</v>
      </c>
      <c r="I212" s="218" t="s">
        <v>12139</v>
      </c>
      <c r="J212" s="218">
        <v>15113.0</v>
      </c>
      <c r="K212" s="218">
        <v>168105.0</v>
      </c>
      <c r="L212" s="218">
        <v>1.0E8</v>
      </c>
      <c r="M212" s="218">
        <v>339047.0</v>
      </c>
      <c r="N212" s="218" t="s">
        <v>12140</v>
      </c>
      <c r="O212" s="218">
        <v>1.5113202200003E14</v>
      </c>
      <c r="P212" s="222">
        <v>1095.76</v>
      </c>
      <c r="Q212" s="222">
        <v>1095.76</v>
      </c>
      <c r="R212" s="222">
        <v>1095.76</v>
      </c>
      <c r="S212" s="218">
        <v>0.0</v>
      </c>
    </row>
    <row r="213">
      <c r="A213" s="218" t="s">
        <v>787</v>
      </c>
      <c r="B213" s="218" t="s">
        <v>12141</v>
      </c>
      <c r="C213" s="456">
        <v>44610.0</v>
      </c>
      <c r="D213" s="218">
        <v>1.0</v>
      </c>
      <c r="E213" s="218">
        <v>401091.0</v>
      </c>
      <c r="G213" s="218" t="s">
        <v>12142</v>
      </c>
      <c r="H213" s="218">
        <v>7.649811000167E12</v>
      </c>
      <c r="I213" s="218" t="s">
        <v>12143</v>
      </c>
      <c r="J213" s="218">
        <v>15113.0</v>
      </c>
      <c r="K213" s="218">
        <v>168108.0</v>
      </c>
      <c r="L213" s="218">
        <v>1.0E8</v>
      </c>
      <c r="M213" s="218">
        <v>339039.0</v>
      </c>
      <c r="N213" s="218" t="s">
        <v>12144</v>
      </c>
      <c r="O213" s="218">
        <v>1.51132022000127E14</v>
      </c>
      <c r="P213" s="222">
        <v>1797.3</v>
      </c>
      <c r="Q213" s="222">
        <v>1797.3</v>
      </c>
      <c r="R213" s="222">
        <v>1797.3</v>
      </c>
      <c r="S213" s="218">
        <v>0.0</v>
      </c>
    </row>
    <row r="214">
      <c r="A214" s="218" t="s">
        <v>11704</v>
      </c>
      <c r="B214" s="218" t="s">
        <v>12145</v>
      </c>
      <c r="C214" s="456">
        <v>44610.0</v>
      </c>
      <c r="D214" s="218">
        <v>3.0</v>
      </c>
      <c r="E214" s="218">
        <v>401091.0</v>
      </c>
      <c r="G214" s="218" t="s">
        <v>12146</v>
      </c>
      <c r="H214" s="218">
        <v>3.3154265000101E13</v>
      </c>
      <c r="I214" s="218" t="s">
        <v>12147</v>
      </c>
      <c r="J214" s="218">
        <v>15113.0</v>
      </c>
      <c r="K214" s="218">
        <v>168105.0</v>
      </c>
      <c r="L214" s="218">
        <v>1.0E8</v>
      </c>
      <c r="M214" s="218">
        <v>339039.0</v>
      </c>
      <c r="N214" s="218" t="s">
        <v>12148</v>
      </c>
      <c r="O214" s="218">
        <v>1.51132022000057E14</v>
      </c>
      <c r="P214" s="222">
        <v>9069.6</v>
      </c>
      <c r="Q214" s="222">
        <v>9069.6</v>
      </c>
      <c r="R214" s="222">
        <v>9069.6</v>
      </c>
      <c r="S214" s="222">
        <v>7149.6</v>
      </c>
    </row>
    <row r="215">
      <c r="A215" s="218" t="s">
        <v>11355</v>
      </c>
      <c r="B215" s="218" t="s">
        <v>12149</v>
      </c>
      <c r="C215" s="456">
        <v>44613.0</v>
      </c>
      <c r="D215" s="218">
        <v>3.0</v>
      </c>
      <c r="E215" s="218">
        <v>401091.0</v>
      </c>
      <c r="F215" s="218"/>
      <c r="G215" s="218" t="s">
        <v>11642</v>
      </c>
      <c r="H215" s="218">
        <v>80013.0</v>
      </c>
      <c r="I215" s="218" t="s">
        <v>12150</v>
      </c>
      <c r="J215" s="218">
        <v>15113.0</v>
      </c>
      <c r="K215" s="218">
        <v>168099.0</v>
      </c>
      <c r="L215" s="218">
        <v>1.56E8</v>
      </c>
      <c r="M215" s="218">
        <v>319092.0</v>
      </c>
      <c r="N215" s="218" t="s">
        <v>11644</v>
      </c>
      <c r="O215" s="218">
        <v>1.5113202200018E14</v>
      </c>
      <c r="P215" s="222">
        <v>286895.01</v>
      </c>
      <c r="Q215" s="222">
        <v>286895.01</v>
      </c>
      <c r="R215" s="222">
        <v>286895.01</v>
      </c>
      <c r="S215" s="218">
        <v>0.0</v>
      </c>
    </row>
    <row r="216">
      <c r="A216" s="218" t="s">
        <v>499</v>
      </c>
      <c r="B216" s="218" t="s">
        <v>12151</v>
      </c>
      <c r="C216" s="456">
        <v>44613.0</v>
      </c>
      <c r="D216" s="218">
        <v>3.0</v>
      </c>
      <c r="E216" s="218">
        <v>401091.0</v>
      </c>
      <c r="G216" s="218" t="s">
        <v>12152</v>
      </c>
      <c r="H216" s="218">
        <v>5.969672000123E12</v>
      </c>
      <c r="I216" s="218" t="s">
        <v>12153</v>
      </c>
      <c r="J216" s="218">
        <v>15113.0</v>
      </c>
      <c r="K216" s="218">
        <v>168106.0</v>
      </c>
      <c r="L216" s="218">
        <v>1.0E8</v>
      </c>
      <c r="M216" s="218">
        <v>339037.0</v>
      </c>
      <c r="N216" s="218" t="s">
        <v>12154</v>
      </c>
      <c r="O216" s="218">
        <v>1.51132022000141E14</v>
      </c>
      <c r="P216" s="218">
        <v>0.0</v>
      </c>
      <c r="Q216" s="218">
        <v>0.0</v>
      </c>
      <c r="R216" s="218">
        <v>0.0</v>
      </c>
      <c r="S216" s="218">
        <v>0.0</v>
      </c>
    </row>
    <row r="217">
      <c r="A217" s="218" t="s">
        <v>9331</v>
      </c>
      <c r="B217" s="218" t="s">
        <v>12155</v>
      </c>
      <c r="C217" s="456">
        <v>44613.0</v>
      </c>
      <c r="D217" s="218">
        <v>1.0</v>
      </c>
      <c r="E217" s="218">
        <v>401091.0</v>
      </c>
      <c r="F217" s="218"/>
      <c r="G217" s="218" t="s">
        <v>11890</v>
      </c>
      <c r="H217" s="218" t="s">
        <v>11891</v>
      </c>
      <c r="I217" s="218" t="s">
        <v>12156</v>
      </c>
      <c r="J217" s="218">
        <v>71103.0</v>
      </c>
      <c r="K217" s="218">
        <v>90162.0</v>
      </c>
      <c r="L217" s="218">
        <v>1.0E8</v>
      </c>
      <c r="M217" s="218">
        <v>319091.0</v>
      </c>
      <c r="N217" s="218" t="s">
        <v>12157</v>
      </c>
      <c r="O217" s="218">
        <v>1.5113202200021E14</v>
      </c>
      <c r="P217" s="222">
        <v>90413.75</v>
      </c>
      <c r="Q217" s="222">
        <v>90413.75</v>
      </c>
      <c r="R217" s="222">
        <v>90413.75</v>
      </c>
      <c r="S217" s="218">
        <v>0.0</v>
      </c>
    </row>
    <row r="218">
      <c r="A218" s="218" t="s">
        <v>343</v>
      </c>
      <c r="B218" s="218" t="s">
        <v>12158</v>
      </c>
      <c r="C218" s="456">
        <v>44614.0</v>
      </c>
      <c r="D218" s="218">
        <v>1.0</v>
      </c>
      <c r="E218" s="218">
        <v>401091.0</v>
      </c>
      <c r="G218" s="218" t="s">
        <v>12159</v>
      </c>
      <c r="H218" s="218">
        <v>8.277730100019E13</v>
      </c>
      <c r="I218" s="218" t="s">
        <v>12160</v>
      </c>
      <c r="J218" s="218">
        <v>15113.0</v>
      </c>
      <c r="K218" s="218">
        <v>168105.0</v>
      </c>
      <c r="L218" s="218">
        <v>1.0E8</v>
      </c>
      <c r="M218" s="218">
        <v>339047.0</v>
      </c>
      <c r="N218" s="218" t="s">
        <v>12161</v>
      </c>
      <c r="O218" s="218">
        <v>1.51132022000004E14</v>
      </c>
      <c r="P218" s="218">
        <v>603.04</v>
      </c>
      <c r="Q218" s="218">
        <v>603.04</v>
      </c>
      <c r="R218" s="218">
        <v>603.04</v>
      </c>
      <c r="S218" s="218">
        <v>0.0</v>
      </c>
    </row>
    <row r="219">
      <c r="A219" s="218" t="s">
        <v>343</v>
      </c>
      <c r="B219" s="218" t="s">
        <v>12162</v>
      </c>
      <c r="C219" s="456">
        <v>44614.0</v>
      </c>
      <c r="D219" s="218">
        <v>1.0</v>
      </c>
      <c r="E219" s="218">
        <v>401091.0</v>
      </c>
      <c r="G219" s="218" t="s">
        <v>11920</v>
      </c>
      <c r="H219" s="218">
        <v>8.2892282000143E13</v>
      </c>
      <c r="I219" s="218" t="s">
        <v>12163</v>
      </c>
      <c r="J219" s="218">
        <v>15113.0</v>
      </c>
      <c r="K219" s="218">
        <v>168105.0</v>
      </c>
      <c r="L219" s="218">
        <v>1.0E8</v>
      </c>
      <c r="M219" s="218">
        <v>339047.0</v>
      </c>
      <c r="N219" s="218" t="s">
        <v>12161</v>
      </c>
      <c r="O219" s="218">
        <v>1.51132022000004E14</v>
      </c>
      <c r="P219" s="222">
        <v>3632.18</v>
      </c>
      <c r="Q219" s="222">
        <v>3632.18</v>
      </c>
      <c r="R219" s="222">
        <v>3632.18</v>
      </c>
      <c r="S219" s="218">
        <v>0.0</v>
      </c>
    </row>
    <row r="220">
      <c r="A220" s="218" t="s">
        <v>343</v>
      </c>
      <c r="B220" s="218" t="s">
        <v>12164</v>
      </c>
      <c r="C220" s="456">
        <v>44614.0</v>
      </c>
      <c r="D220" s="218">
        <v>1.0</v>
      </c>
      <c r="E220" s="218">
        <v>401091.0</v>
      </c>
      <c r="G220" s="218" t="s">
        <v>12165</v>
      </c>
      <c r="H220" s="218">
        <v>8.2928656000133E13</v>
      </c>
      <c r="I220" s="218" t="s">
        <v>12166</v>
      </c>
      <c r="J220" s="218">
        <v>15113.0</v>
      </c>
      <c r="K220" s="218">
        <v>168105.0</v>
      </c>
      <c r="L220" s="218">
        <v>1.0E8</v>
      </c>
      <c r="M220" s="218">
        <v>339047.0</v>
      </c>
      <c r="N220" s="218" t="s">
        <v>12161</v>
      </c>
      <c r="O220" s="218">
        <v>1.51132022000004E14</v>
      </c>
      <c r="P220" s="218">
        <v>311.04</v>
      </c>
      <c r="Q220" s="218">
        <v>311.04</v>
      </c>
      <c r="R220" s="218">
        <v>311.04</v>
      </c>
      <c r="S220" s="218">
        <v>0.0</v>
      </c>
    </row>
    <row r="221">
      <c r="A221" s="218" t="s">
        <v>343</v>
      </c>
      <c r="B221" s="218" t="s">
        <v>12167</v>
      </c>
      <c r="C221" s="456">
        <v>44614.0</v>
      </c>
      <c r="D221" s="218">
        <v>1.0</v>
      </c>
      <c r="E221" s="218">
        <v>401091.0</v>
      </c>
      <c r="G221" s="218" t="s">
        <v>12138</v>
      </c>
      <c r="H221" s="218">
        <v>8.3021808000182E13</v>
      </c>
      <c r="I221" s="218" t="s">
        <v>12168</v>
      </c>
      <c r="J221" s="218">
        <v>15113.0</v>
      </c>
      <c r="K221" s="218">
        <v>168105.0</v>
      </c>
      <c r="L221" s="218">
        <v>1.0E8</v>
      </c>
      <c r="M221" s="218">
        <v>339047.0</v>
      </c>
      <c r="N221" s="218" t="s">
        <v>12161</v>
      </c>
      <c r="O221" s="218">
        <v>1.51132022000004E14</v>
      </c>
      <c r="P221" s="222">
        <v>1605.8</v>
      </c>
      <c r="Q221" s="222">
        <v>1605.8</v>
      </c>
      <c r="R221" s="222">
        <v>1605.8</v>
      </c>
      <c r="S221" s="218">
        <v>0.0</v>
      </c>
    </row>
    <row r="222">
      <c r="A222" s="218" t="s">
        <v>9331</v>
      </c>
      <c r="B222" s="218" t="s">
        <v>12169</v>
      </c>
      <c r="C222" s="456">
        <v>44614.0</v>
      </c>
      <c r="D222" s="218">
        <v>1.0</v>
      </c>
      <c r="E222" s="218">
        <v>401091.0</v>
      </c>
      <c r="G222" s="218" t="s">
        <v>11642</v>
      </c>
      <c r="H222" s="218">
        <v>80013.0</v>
      </c>
      <c r="I222" s="218" t="s">
        <v>12170</v>
      </c>
      <c r="J222" s="218">
        <v>15113.0</v>
      </c>
      <c r="K222" s="218">
        <v>168098.0</v>
      </c>
      <c r="L222" s="218">
        <v>1.0E8</v>
      </c>
      <c r="M222" s="218">
        <v>319092.0</v>
      </c>
      <c r="N222" s="218" t="s">
        <v>12171</v>
      </c>
      <c r="O222" s="218">
        <v>1.51132022000214E14</v>
      </c>
      <c r="P222" s="222">
        <v>4957072.19</v>
      </c>
      <c r="Q222" s="222">
        <v>4957072.19</v>
      </c>
      <c r="R222" s="222">
        <v>4957072.19</v>
      </c>
      <c r="S222" s="218">
        <v>0.0</v>
      </c>
    </row>
    <row r="223">
      <c r="A223" s="218" t="s">
        <v>11704</v>
      </c>
      <c r="B223" s="218" t="s">
        <v>12172</v>
      </c>
      <c r="C223" s="456">
        <v>44615.0</v>
      </c>
      <c r="D223" s="218">
        <v>3.0</v>
      </c>
      <c r="E223" s="218">
        <v>401091.0</v>
      </c>
      <c r="G223" s="218" t="s">
        <v>11852</v>
      </c>
      <c r="H223" s="218">
        <v>3.82380000176E11</v>
      </c>
      <c r="I223" s="218" t="s">
        <v>12173</v>
      </c>
      <c r="J223" s="218">
        <v>15113.0</v>
      </c>
      <c r="K223" s="218">
        <v>168109.0</v>
      </c>
      <c r="L223" s="218">
        <v>1.0E8</v>
      </c>
      <c r="M223" s="218">
        <v>339039.0</v>
      </c>
      <c r="N223" s="218" t="s">
        <v>11854</v>
      </c>
      <c r="O223" s="218">
        <v>1.51132022000114E14</v>
      </c>
      <c r="P223" s="218">
        <v>800.0</v>
      </c>
      <c r="Q223" s="218">
        <v>800.0</v>
      </c>
      <c r="R223" s="218">
        <v>800.0</v>
      </c>
      <c r="S223" s="218">
        <v>630.0</v>
      </c>
    </row>
    <row r="224">
      <c r="A224" s="218" t="s">
        <v>11704</v>
      </c>
      <c r="B224" s="218" t="s">
        <v>12174</v>
      </c>
      <c r="C224" s="456">
        <v>44616.0</v>
      </c>
      <c r="D224" s="218">
        <v>1.0</v>
      </c>
      <c r="E224" s="218">
        <v>401091.0</v>
      </c>
      <c r="G224" s="218" t="s">
        <v>12175</v>
      </c>
      <c r="H224" s="218">
        <v>8.3754044000134E13</v>
      </c>
      <c r="I224" s="218" t="s">
        <v>12176</v>
      </c>
      <c r="J224" s="218">
        <v>15113.0</v>
      </c>
      <c r="K224" s="218">
        <v>168105.0</v>
      </c>
      <c r="L224" s="218">
        <v>1.0E8</v>
      </c>
      <c r="M224" s="218">
        <v>339047.0</v>
      </c>
      <c r="N224" s="218" t="s">
        <v>12177</v>
      </c>
      <c r="O224" s="218">
        <v>1.5113202200003E14</v>
      </c>
      <c r="P224" s="218">
        <v>115.44</v>
      </c>
      <c r="Q224" s="218">
        <v>115.44</v>
      </c>
      <c r="R224" s="218">
        <v>115.44</v>
      </c>
      <c r="S224" s="218">
        <v>0.0</v>
      </c>
    </row>
    <row r="225">
      <c r="A225" s="218" t="s">
        <v>781</v>
      </c>
      <c r="B225" s="218" t="s">
        <v>12178</v>
      </c>
      <c r="C225" s="456">
        <v>44617.0</v>
      </c>
      <c r="D225" s="218">
        <v>1.0</v>
      </c>
      <c r="E225" s="218">
        <v>401091.0</v>
      </c>
      <c r="F225" s="218"/>
      <c r="G225" s="218" t="s">
        <v>11787</v>
      </c>
      <c r="H225" s="218">
        <v>8.2508433000117E13</v>
      </c>
      <c r="I225" s="218" t="s">
        <v>12179</v>
      </c>
      <c r="J225" s="218">
        <v>15113.0</v>
      </c>
      <c r="K225" s="218">
        <v>168105.0</v>
      </c>
      <c r="L225" s="218">
        <v>1.0E8</v>
      </c>
      <c r="M225" s="218">
        <v>339047.0</v>
      </c>
      <c r="N225" s="218" t="s">
        <v>9497</v>
      </c>
      <c r="O225" s="218">
        <v>1.5113202200003E14</v>
      </c>
      <c r="P225" s="222">
        <v>4397.4</v>
      </c>
      <c r="Q225" s="222">
        <v>4397.4</v>
      </c>
      <c r="R225" s="222">
        <v>4397.4</v>
      </c>
      <c r="S225" s="222">
        <v>3644.2</v>
      </c>
    </row>
    <row r="226">
      <c r="A226" s="218" t="s">
        <v>11704</v>
      </c>
      <c r="B226" s="218" t="s">
        <v>12180</v>
      </c>
      <c r="C226" s="456">
        <v>44617.0</v>
      </c>
      <c r="D226" s="218">
        <v>3.0</v>
      </c>
      <c r="E226" s="218">
        <v>401091.0</v>
      </c>
      <c r="G226" s="218" t="s">
        <v>12181</v>
      </c>
      <c r="H226" s="218">
        <v>1.4744431000177E13</v>
      </c>
      <c r="I226" s="218" t="s">
        <v>12182</v>
      </c>
      <c r="J226" s="218">
        <v>15113.0</v>
      </c>
      <c r="K226" s="218">
        <v>168105.0</v>
      </c>
      <c r="L226" s="218">
        <v>1.0E8</v>
      </c>
      <c r="M226" s="218">
        <v>339039.0</v>
      </c>
      <c r="N226" s="218" t="s">
        <v>12183</v>
      </c>
      <c r="O226" s="218">
        <v>1.51132022000043E14</v>
      </c>
      <c r="P226" s="218">
        <v>0.0</v>
      </c>
      <c r="Q226" s="218">
        <v>0.0</v>
      </c>
      <c r="R226" s="218">
        <v>0.0</v>
      </c>
      <c r="S226" s="218">
        <v>0.0</v>
      </c>
    </row>
    <row r="227">
      <c r="A227" s="218" t="s">
        <v>781</v>
      </c>
      <c r="B227" s="218" t="s">
        <v>12184</v>
      </c>
      <c r="C227" s="456">
        <v>44617.0</v>
      </c>
      <c r="D227" s="218">
        <v>1.0</v>
      </c>
      <c r="E227" s="218">
        <v>401091.0</v>
      </c>
      <c r="G227" s="218" t="s">
        <v>12185</v>
      </c>
      <c r="H227" s="218">
        <v>8.290940900019E13</v>
      </c>
      <c r="I227" s="218" t="s">
        <v>12186</v>
      </c>
      <c r="J227" s="218">
        <v>15113.0</v>
      </c>
      <c r="K227" s="218">
        <v>168105.0</v>
      </c>
      <c r="L227" s="218">
        <v>1.0E8</v>
      </c>
      <c r="M227" s="218">
        <v>339039.0</v>
      </c>
      <c r="N227" s="218" t="s">
        <v>9504</v>
      </c>
      <c r="O227" s="218">
        <v>1.51132022000024E14</v>
      </c>
      <c r="P227" s="222">
        <v>2205.0</v>
      </c>
      <c r="Q227" s="222">
        <v>2205.0</v>
      </c>
      <c r="R227" s="222">
        <v>2205.0</v>
      </c>
      <c r="S227" s="222">
        <v>1884.44</v>
      </c>
    </row>
    <row r="228">
      <c r="A228" s="218" t="s">
        <v>781</v>
      </c>
      <c r="B228" s="218" t="s">
        <v>12187</v>
      </c>
      <c r="C228" s="456">
        <v>44617.0</v>
      </c>
      <c r="D228" s="218">
        <v>1.0</v>
      </c>
      <c r="E228" s="218">
        <v>401091.0</v>
      </c>
      <c r="G228" s="218" t="s">
        <v>12185</v>
      </c>
      <c r="H228" s="218">
        <v>8.290940900019E13</v>
      </c>
      <c r="I228" s="218" t="s">
        <v>12188</v>
      </c>
      <c r="J228" s="218">
        <v>15113.0</v>
      </c>
      <c r="K228" s="218">
        <v>168105.0</v>
      </c>
      <c r="L228" s="218">
        <v>1.0E8</v>
      </c>
      <c r="M228" s="218">
        <v>339047.0</v>
      </c>
      <c r="N228" s="218" t="s">
        <v>9504</v>
      </c>
      <c r="O228" s="218">
        <v>1.5113202200003E14</v>
      </c>
      <c r="P228" s="218">
        <v>369.38</v>
      </c>
      <c r="Q228" s="218">
        <v>369.38</v>
      </c>
      <c r="R228" s="218">
        <v>369.38</v>
      </c>
      <c r="S228" s="218">
        <v>302.22</v>
      </c>
    </row>
    <row r="229">
      <c r="A229" s="218" t="s">
        <v>11704</v>
      </c>
      <c r="B229" s="218" t="s">
        <v>12189</v>
      </c>
      <c r="C229" s="456">
        <v>44623.0</v>
      </c>
      <c r="D229" s="218">
        <v>1.0</v>
      </c>
      <c r="E229" s="218">
        <v>401091.0</v>
      </c>
      <c r="G229" s="218" t="s">
        <v>11920</v>
      </c>
      <c r="H229" s="218">
        <v>8.2892282000143E13</v>
      </c>
      <c r="I229" s="218" t="s">
        <v>12190</v>
      </c>
      <c r="J229" s="218">
        <v>15113.0</v>
      </c>
      <c r="K229" s="218">
        <v>168105.0</v>
      </c>
      <c r="L229" s="218">
        <v>1.0E8</v>
      </c>
      <c r="M229" s="218">
        <v>339047.0</v>
      </c>
      <c r="N229" s="218" t="s">
        <v>12191</v>
      </c>
      <c r="O229" s="218">
        <v>1.51132022000028E14</v>
      </c>
      <c r="P229" s="222">
        <v>163560.3</v>
      </c>
      <c r="Q229" s="222">
        <v>163560.3</v>
      </c>
      <c r="R229" s="222">
        <v>163560.3</v>
      </c>
      <c r="S229" s="218">
        <v>0.0</v>
      </c>
    </row>
    <row r="230">
      <c r="A230" s="218" t="s">
        <v>116</v>
      </c>
      <c r="B230" s="218" t="s">
        <v>351</v>
      </c>
      <c r="C230" s="456">
        <v>44624.0</v>
      </c>
      <c r="D230" s="218">
        <v>3.0</v>
      </c>
      <c r="E230" s="218">
        <v>401091.0</v>
      </c>
      <c r="F230" s="218"/>
      <c r="G230" s="218" t="s">
        <v>169</v>
      </c>
      <c r="H230" s="218">
        <v>7.108509000282E12</v>
      </c>
      <c r="I230" s="218" t="s">
        <v>12192</v>
      </c>
      <c r="J230" s="218">
        <v>15113.0</v>
      </c>
      <c r="K230" s="218">
        <v>168105.0</v>
      </c>
      <c r="L230" s="218">
        <v>1.0E8</v>
      </c>
      <c r="M230" s="218">
        <v>339040.0</v>
      </c>
      <c r="N230" s="218" t="s">
        <v>350</v>
      </c>
      <c r="O230" s="218">
        <v>1.51132022000074E14</v>
      </c>
      <c r="P230" s="222">
        <v>8886.37</v>
      </c>
      <c r="Q230" s="222">
        <v>8886.37</v>
      </c>
      <c r="R230" s="222">
        <v>8886.37</v>
      </c>
      <c r="S230" s="218">
        <v>0.0</v>
      </c>
    </row>
    <row r="231">
      <c r="A231" s="218" t="s">
        <v>781</v>
      </c>
      <c r="B231" s="218" t="s">
        <v>12193</v>
      </c>
      <c r="C231" s="456">
        <v>44627.0</v>
      </c>
      <c r="D231" s="218">
        <v>3.0</v>
      </c>
      <c r="E231" s="218">
        <v>401091.0</v>
      </c>
      <c r="G231" s="218" t="s">
        <v>12194</v>
      </c>
      <c r="H231" s="218">
        <v>3.064330000139E12</v>
      </c>
      <c r="I231" s="218" t="s">
        <v>12195</v>
      </c>
      <c r="J231" s="218">
        <v>15113.0</v>
      </c>
      <c r="K231" s="218">
        <v>168105.0</v>
      </c>
      <c r="L231" s="218">
        <v>1.7015113E8</v>
      </c>
      <c r="M231" s="218">
        <v>339030.0</v>
      </c>
      <c r="N231" s="218" t="s">
        <v>9940</v>
      </c>
      <c r="O231" s="218">
        <v>1.51132022000187E14</v>
      </c>
      <c r="P231" s="222">
        <v>500000.0</v>
      </c>
      <c r="Q231" s="222">
        <v>500000.0</v>
      </c>
      <c r="R231" s="222">
        <v>500000.0</v>
      </c>
      <c r="S231" s="222">
        <v>461362.8</v>
      </c>
    </row>
    <row r="232">
      <c r="A232" s="218" t="s">
        <v>781</v>
      </c>
      <c r="B232" s="218" t="s">
        <v>12196</v>
      </c>
      <c r="C232" s="456">
        <v>44627.0</v>
      </c>
      <c r="D232" s="218">
        <v>3.0</v>
      </c>
      <c r="E232" s="218">
        <v>401091.0</v>
      </c>
      <c r="G232" s="218" t="s">
        <v>12194</v>
      </c>
      <c r="H232" s="218">
        <v>3.064330000139E12</v>
      </c>
      <c r="I232" s="218" t="s">
        <v>12197</v>
      </c>
      <c r="J232" s="218">
        <v>15113.0</v>
      </c>
      <c r="K232" s="218">
        <v>168105.0</v>
      </c>
      <c r="L232" s="218">
        <v>1.7015113E8</v>
      </c>
      <c r="M232" s="218">
        <v>339039.0</v>
      </c>
      <c r="N232" s="218" t="s">
        <v>9940</v>
      </c>
      <c r="O232" s="218">
        <v>1.51132022000188E14</v>
      </c>
      <c r="P232" s="222">
        <v>500000.0</v>
      </c>
      <c r="Q232" s="222">
        <v>500000.0</v>
      </c>
      <c r="R232" s="222">
        <v>500000.0</v>
      </c>
      <c r="S232" s="222">
        <v>447045.61</v>
      </c>
    </row>
    <row r="233">
      <c r="A233" s="218" t="s">
        <v>10001</v>
      </c>
      <c r="B233" s="218" t="s">
        <v>12198</v>
      </c>
      <c r="C233" s="456">
        <v>44627.0</v>
      </c>
      <c r="D233" s="218">
        <v>1.0</v>
      </c>
      <c r="E233" s="218">
        <v>401091.0</v>
      </c>
      <c r="G233" s="218" t="s">
        <v>12199</v>
      </c>
      <c r="H233" s="218">
        <v>3.818818000104E12</v>
      </c>
      <c r="I233" s="218" t="s">
        <v>12200</v>
      </c>
      <c r="J233" s="218">
        <v>15113.0</v>
      </c>
      <c r="K233" s="218">
        <v>168105.0</v>
      </c>
      <c r="L233" s="218">
        <v>1.0E8</v>
      </c>
      <c r="M233" s="218">
        <v>339039.0</v>
      </c>
      <c r="N233" s="218" t="s">
        <v>12201</v>
      </c>
      <c r="O233" s="218">
        <v>1.51132022000144E14</v>
      </c>
      <c r="P233" s="222">
        <v>12700.0</v>
      </c>
      <c r="Q233" s="222">
        <v>12700.0</v>
      </c>
      <c r="R233" s="222">
        <v>12700.0</v>
      </c>
      <c r="S233" s="218">
        <v>0.0</v>
      </c>
    </row>
    <row r="234">
      <c r="A234" s="218" t="s">
        <v>787</v>
      </c>
      <c r="B234" s="218" t="s">
        <v>12202</v>
      </c>
      <c r="C234" s="456">
        <v>44627.0</v>
      </c>
      <c r="D234" s="218">
        <v>1.0</v>
      </c>
      <c r="E234" s="218">
        <v>401091.0</v>
      </c>
      <c r="G234" s="218" t="s">
        <v>12203</v>
      </c>
      <c r="H234" s="218">
        <v>1.8133018000127E13</v>
      </c>
      <c r="I234" s="218" t="s">
        <v>12204</v>
      </c>
      <c r="J234" s="218">
        <v>15113.0</v>
      </c>
      <c r="K234" s="218">
        <v>168108.0</v>
      </c>
      <c r="L234" s="218">
        <v>1.0E8</v>
      </c>
      <c r="M234" s="218">
        <v>339039.0</v>
      </c>
      <c r="N234" s="218" t="s">
        <v>12205</v>
      </c>
      <c r="O234" s="218">
        <v>1.51132022000127E14</v>
      </c>
      <c r="P234" s="222">
        <v>3380.0</v>
      </c>
      <c r="Q234" s="222">
        <v>3380.0</v>
      </c>
      <c r="R234" s="222">
        <v>3380.0</v>
      </c>
      <c r="S234" s="218">
        <v>0.0</v>
      </c>
    </row>
    <row r="235">
      <c r="A235" s="218" t="s">
        <v>10001</v>
      </c>
      <c r="B235" s="218" t="s">
        <v>12206</v>
      </c>
      <c r="C235" s="456">
        <v>44627.0</v>
      </c>
      <c r="D235" s="218">
        <v>3.0</v>
      </c>
      <c r="E235" s="218">
        <v>401091.0</v>
      </c>
      <c r="G235" s="218" t="s">
        <v>12207</v>
      </c>
      <c r="H235" s="218">
        <v>9.216620000137E12</v>
      </c>
      <c r="I235" s="218" t="s">
        <v>12208</v>
      </c>
      <c r="J235" s="218">
        <v>15113.0</v>
      </c>
      <c r="K235" s="218">
        <v>168105.0</v>
      </c>
      <c r="L235" s="218">
        <v>1.0E8</v>
      </c>
      <c r="M235" s="218">
        <v>339039.0</v>
      </c>
      <c r="N235" s="218" t="s">
        <v>12209</v>
      </c>
      <c r="O235" s="218">
        <v>1.51132022000217E14</v>
      </c>
      <c r="P235" s="222">
        <v>80000.0</v>
      </c>
      <c r="Q235" s="222">
        <v>80000.0</v>
      </c>
      <c r="R235" s="222">
        <v>80000.0</v>
      </c>
      <c r="S235" s="222">
        <v>80000.0</v>
      </c>
    </row>
    <row r="236">
      <c r="A236" s="218" t="s">
        <v>781</v>
      </c>
      <c r="B236" s="218" t="s">
        <v>12210</v>
      </c>
      <c r="C236" s="456">
        <v>44627.0</v>
      </c>
      <c r="D236" s="218">
        <v>1.0</v>
      </c>
      <c r="E236" s="218">
        <v>401091.0</v>
      </c>
      <c r="G236" s="218" t="s">
        <v>12091</v>
      </c>
      <c r="H236" s="218">
        <v>1.1955729000138E13</v>
      </c>
      <c r="I236" s="218" t="s">
        <v>12211</v>
      </c>
      <c r="J236" s="218">
        <v>15113.0</v>
      </c>
      <c r="K236" s="218">
        <v>168105.0</v>
      </c>
      <c r="L236" s="218">
        <v>1.5015113E8</v>
      </c>
      <c r="M236" s="218">
        <v>339092.0</v>
      </c>
      <c r="N236" s="218" t="s">
        <v>9816</v>
      </c>
      <c r="O236" s="218">
        <v>1.51132022000038E14</v>
      </c>
      <c r="P236" s="222">
        <v>1165.34</v>
      </c>
      <c r="Q236" s="222">
        <v>1165.34</v>
      </c>
      <c r="R236" s="222">
        <v>1165.34</v>
      </c>
      <c r="S236" s="218">
        <v>0.0</v>
      </c>
    </row>
    <row r="237">
      <c r="A237" s="218" t="s">
        <v>11704</v>
      </c>
      <c r="B237" s="218" t="s">
        <v>12212</v>
      </c>
      <c r="C237" s="456">
        <v>44627.0</v>
      </c>
      <c r="D237" s="218">
        <v>1.0</v>
      </c>
      <c r="E237" s="218">
        <v>401091.0</v>
      </c>
      <c r="G237" s="218" t="s">
        <v>11740</v>
      </c>
      <c r="H237" s="218">
        <v>3.2196811000104E13</v>
      </c>
      <c r="I237" s="218" t="s">
        <v>12213</v>
      </c>
      <c r="J237" s="218">
        <v>15113.0</v>
      </c>
      <c r="K237" s="218">
        <v>168105.0</v>
      </c>
      <c r="L237" s="218">
        <v>1.5015113E8</v>
      </c>
      <c r="M237" s="218">
        <v>339092.0</v>
      </c>
      <c r="N237" s="218" t="s">
        <v>11742</v>
      </c>
      <c r="O237" s="218">
        <v>1.51132022000068E14</v>
      </c>
      <c r="P237" s="218">
        <v>914.5</v>
      </c>
      <c r="Q237" s="218">
        <v>914.5</v>
      </c>
      <c r="R237" s="218">
        <v>914.5</v>
      </c>
      <c r="S237" s="218">
        <v>0.0</v>
      </c>
    </row>
    <row r="238">
      <c r="A238" s="218" t="s">
        <v>116</v>
      </c>
      <c r="B238" s="218" t="s">
        <v>358</v>
      </c>
      <c r="C238" s="456">
        <v>44627.0</v>
      </c>
      <c r="D238" s="218">
        <v>3.0</v>
      </c>
      <c r="E238" s="218">
        <v>401091.0</v>
      </c>
      <c r="F238" s="218"/>
      <c r="G238" s="218" t="s">
        <v>299</v>
      </c>
      <c r="H238" s="218">
        <v>1.554285000175E12</v>
      </c>
      <c r="I238" s="218" t="s">
        <v>12214</v>
      </c>
      <c r="J238" s="218">
        <v>15113.0</v>
      </c>
      <c r="K238" s="218">
        <v>168105.0</v>
      </c>
      <c r="L238" s="218">
        <v>1.0E8</v>
      </c>
      <c r="M238" s="218">
        <v>339040.0</v>
      </c>
      <c r="N238" s="218" t="s">
        <v>356</v>
      </c>
      <c r="O238" s="218">
        <v>1.51132022000112E14</v>
      </c>
      <c r="P238" s="222">
        <v>6375.0</v>
      </c>
      <c r="Q238" s="222">
        <v>6375.0</v>
      </c>
      <c r="R238" s="222">
        <v>6375.0</v>
      </c>
      <c r="S238" s="222">
        <v>2320.0</v>
      </c>
    </row>
    <row r="239">
      <c r="A239" s="218" t="s">
        <v>11704</v>
      </c>
      <c r="B239" s="218" t="s">
        <v>12215</v>
      </c>
      <c r="C239" s="456">
        <v>44627.0</v>
      </c>
      <c r="D239" s="218">
        <v>3.0</v>
      </c>
      <c r="E239" s="218">
        <v>401091.0</v>
      </c>
      <c r="F239" s="218"/>
      <c r="G239" s="218" t="s">
        <v>12216</v>
      </c>
      <c r="H239" s="218">
        <v>2.7785481000144E13</v>
      </c>
      <c r="I239" s="218" t="s">
        <v>12217</v>
      </c>
      <c r="J239" s="218">
        <v>15113.0</v>
      </c>
      <c r="K239" s="218">
        <v>168105.0</v>
      </c>
      <c r="L239" s="218">
        <v>1.0E8</v>
      </c>
      <c r="M239" s="218">
        <v>339039.0</v>
      </c>
      <c r="N239" s="218" t="s">
        <v>12218</v>
      </c>
      <c r="O239" s="218">
        <v>1.51132022000057E14</v>
      </c>
      <c r="P239" s="222">
        <v>6200.0</v>
      </c>
      <c r="Q239" s="222">
        <v>6200.0</v>
      </c>
      <c r="R239" s="222">
        <v>6200.0</v>
      </c>
      <c r="S239" s="222">
        <v>6200.0</v>
      </c>
    </row>
    <row r="240">
      <c r="A240" s="218" t="s">
        <v>787</v>
      </c>
      <c r="B240" s="218" t="s">
        <v>12219</v>
      </c>
      <c r="C240" s="456">
        <v>44627.0</v>
      </c>
      <c r="D240" s="218">
        <v>1.0</v>
      </c>
      <c r="E240" s="218">
        <v>401091.0</v>
      </c>
      <c r="G240" s="218" t="s">
        <v>3121</v>
      </c>
      <c r="H240" s="218">
        <v>3.603739001824E12</v>
      </c>
      <c r="I240" s="218" t="s">
        <v>12220</v>
      </c>
      <c r="J240" s="218">
        <v>15113.0</v>
      </c>
      <c r="K240" s="218">
        <v>168108.0</v>
      </c>
      <c r="L240" s="218">
        <v>1.0E8</v>
      </c>
      <c r="M240" s="218">
        <v>339039.0</v>
      </c>
      <c r="N240" s="218" t="s">
        <v>12221</v>
      </c>
      <c r="O240" s="218">
        <v>1.51132022000127E14</v>
      </c>
      <c r="P240" s="218">
        <v>286.8</v>
      </c>
      <c r="Q240" s="218">
        <v>286.8</v>
      </c>
      <c r="R240" s="218">
        <v>286.8</v>
      </c>
      <c r="S240" s="218">
        <v>286.8</v>
      </c>
    </row>
    <row r="241">
      <c r="A241" s="218" t="s">
        <v>11704</v>
      </c>
      <c r="B241" s="218" t="s">
        <v>12222</v>
      </c>
      <c r="C241" s="456">
        <v>44627.0</v>
      </c>
      <c r="D241" s="218">
        <v>1.0</v>
      </c>
      <c r="E241" s="218">
        <v>401091.0</v>
      </c>
      <c r="G241" s="218" t="s">
        <v>12223</v>
      </c>
      <c r="H241" s="218">
        <v>8.3102574000106E13</v>
      </c>
      <c r="I241" s="218" t="s">
        <v>12224</v>
      </c>
      <c r="J241" s="218">
        <v>15113.0</v>
      </c>
      <c r="K241" s="218">
        <v>168105.0</v>
      </c>
      <c r="L241" s="218">
        <v>1.0E8</v>
      </c>
      <c r="M241" s="218">
        <v>339047.0</v>
      </c>
      <c r="N241" s="218" t="s">
        <v>12225</v>
      </c>
      <c r="O241" s="218">
        <v>1.5113202200003E14</v>
      </c>
      <c r="P241" s="218">
        <v>307.13</v>
      </c>
      <c r="Q241" s="218">
        <v>307.13</v>
      </c>
      <c r="R241" s="218">
        <v>307.13</v>
      </c>
      <c r="S241" s="218">
        <v>0.0</v>
      </c>
    </row>
    <row r="242">
      <c r="A242" s="218" t="s">
        <v>782</v>
      </c>
      <c r="B242" s="218" t="s">
        <v>12226</v>
      </c>
      <c r="C242" s="456">
        <v>44629.0</v>
      </c>
      <c r="D242" s="218">
        <v>1.0</v>
      </c>
      <c r="E242" s="218">
        <v>401091.0</v>
      </c>
      <c r="F242" s="218"/>
      <c r="G242" s="218" t="s">
        <v>12003</v>
      </c>
      <c r="H242" s="218">
        <v>3.5636034000151E13</v>
      </c>
      <c r="I242" s="218" t="s">
        <v>12227</v>
      </c>
      <c r="J242" s="218">
        <v>15113.0</v>
      </c>
      <c r="K242" s="218">
        <v>168109.0</v>
      </c>
      <c r="L242" s="218">
        <v>1.0E8</v>
      </c>
      <c r="M242" s="218">
        <v>339033.0</v>
      </c>
      <c r="N242" s="218" t="s">
        <v>9731</v>
      </c>
      <c r="O242" s="218">
        <v>1.5113202200012E14</v>
      </c>
      <c r="P242" s="222">
        <v>44000.0</v>
      </c>
      <c r="Q242" s="222">
        <v>44000.0</v>
      </c>
      <c r="R242" s="222">
        <v>44000.0</v>
      </c>
      <c r="S242" s="222">
        <v>25682.37</v>
      </c>
    </row>
    <row r="243">
      <c r="A243" s="218" t="s">
        <v>782</v>
      </c>
      <c r="B243" s="218" t="s">
        <v>12228</v>
      </c>
      <c r="C243" s="456">
        <v>44629.0</v>
      </c>
      <c r="D243" s="218">
        <v>1.0</v>
      </c>
      <c r="E243" s="218">
        <v>401091.0</v>
      </c>
      <c r="G243" s="218" t="s">
        <v>12003</v>
      </c>
      <c r="H243" s="218">
        <v>3.5636034000151E13</v>
      </c>
      <c r="I243" s="218" t="s">
        <v>12229</v>
      </c>
      <c r="J243" s="218">
        <v>15113.0</v>
      </c>
      <c r="K243" s="218">
        <v>168109.0</v>
      </c>
      <c r="L243" s="218">
        <v>1.0E8</v>
      </c>
      <c r="M243" s="218">
        <v>339039.0</v>
      </c>
      <c r="N243" s="218" t="s">
        <v>9731</v>
      </c>
      <c r="O243" s="218">
        <v>1.5113202200012E14</v>
      </c>
      <c r="P243" s="218">
        <v>1.0</v>
      </c>
      <c r="Q243" s="218">
        <v>1.0</v>
      </c>
      <c r="R243" s="218">
        <v>1.0</v>
      </c>
      <c r="S243" s="218">
        <v>0.92</v>
      </c>
    </row>
    <row r="244">
      <c r="A244" s="218" t="s">
        <v>787</v>
      </c>
      <c r="B244" s="218" t="s">
        <v>12230</v>
      </c>
      <c r="C244" s="456">
        <v>44629.0</v>
      </c>
      <c r="D244" s="218">
        <v>1.0</v>
      </c>
      <c r="E244" s="218">
        <v>401091.0</v>
      </c>
      <c r="G244" s="218" t="s">
        <v>12231</v>
      </c>
      <c r="H244" s="218">
        <v>1.208879162E9</v>
      </c>
      <c r="I244" s="218" t="s">
        <v>12232</v>
      </c>
      <c r="J244" s="218">
        <v>15113.0</v>
      </c>
      <c r="K244" s="218">
        <v>168108.0</v>
      </c>
      <c r="L244" s="218">
        <v>1.0E8</v>
      </c>
      <c r="M244" s="218">
        <v>339036.0</v>
      </c>
      <c r="N244" s="218" t="s">
        <v>12233</v>
      </c>
      <c r="O244" s="218">
        <v>1.51132022000129E14</v>
      </c>
      <c r="P244" s="222">
        <v>1000.0</v>
      </c>
      <c r="Q244" s="222">
        <v>1000.0</v>
      </c>
      <c r="R244" s="222">
        <v>1000.0</v>
      </c>
      <c r="S244" s="222">
        <v>1000.0</v>
      </c>
    </row>
    <row r="245">
      <c r="A245" s="218" t="s">
        <v>324</v>
      </c>
      <c r="B245" s="218" t="s">
        <v>12234</v>
      </c>
      <c r="C245" s="456">
        <v>44631.0</v>
      </c>
      <c r="D245" s="218">
        <v>1.0</v>
      </c>
      <c r="E245" s="218">
        <v>401091.0</v>
      </c>
      <c r="G245" s="218" t="s">
        <v>12235</v>
      </c>
      <c r="H245" s="218">
        <v>8.310238400018E13</v>
      </c>
      <c r="I245" s="218" t="s">
        <v>12236</v>
      </c>
      <c r="J245" s="218">
        <v>15113.0</v>
      </c>
      <c r="K245" s="218">
        <v>168105.0</v>
      </c>
      <c r="L245" s="218">
        <v>1.0E8</v>
      </c>
      <c r="M245" s="218">
        <v>339047.0</v>
      </c>
      <c r="N245" s="218" t="s">
        <v>12237</v>
      </c>
      <c r="O245" s="218">
        <v>1.51132022000216E14</v>
      </c>
      <c r="P245" s="218">
        <v>480.36</v>
      </c>
      <c r="Q245" s="218">
        <v>480.36</v>
      </c>
      <c r="R245" s="218">
        <v>480.36</v>
      </c>
      <c r="S245" s="218">
        <v>0.0</v>
      </c>
    </row>
    <row r="246">
      <c r="A246" s="218" t="s">
        <v>324</v>
      </c>
      <c r="B246" s="218" t="s">
        <v>12238</v>
      </c>
      <c r="C246" s="456">
        <v>44634.0</v>
      </c>
      <c r="D246" s="218">
        <v>5.0</v>
      </c>
      <c r="E246" s="218">
        <v>401091.0</v>
      </c>
      <c r="G246" s="218" t="s">
        <v>12239</v>
      </c>
      <c r="H246" s="218">
        <v>1.540239800016E13</v>
      </c>
      <c r="I246" s="218" t="s">
        <v>12240</v>
      </c>
      <c r="J246" s="218">
        <v>15113.0</v>
      </c>
      <c r="K246" s="218">
        <v>168105.0</v>
      </c>
      <c r="L246" s="218">
        <v>1.7015113E8</v>
      </c>
      <c r="M246" s="218">
        <v>339039.0</v>
      </c>
      <c r="N246" s="218" t="s">
        <v>12241</v>
      </c>
      <c r="O246" s="218">
        <v>1.51132022000215E14</v>
      </c>
      <c r="P246" s="222">
        <v>686601.44</v>
      </c>
      <c r="Q246" s="222">
        <v>686601.44</v>
      </c>
      <c r="R246" s="222">
        <v>686601.44</v>
      </c>
      <c r="S246" s="222">
        <v>686601.44</v>
      </c>
    </row>
    <row r="247">
      <c r="A247" s="218" t="s">
        <v>11355</v>
      </c>
      <c r="B247" s="218" t="s">
        <v>12242</v>
      </c>
      <c r="C247" s="456">
        <v>44634.0</v>
      </c>
      <c r="D247" s="218">
        <v>1.0</v>
      </c>
      <c r="E247" s="218">
        <v>401091.0</v>
      </c>
      <c r="G247" s="218" t="s">
        <v>7596</v>
      </c>
      <c r="H247" s="218">
        <v>9.233562492E10</v>
      </c>
      <c r="I247" s="218" t="s">
        <v>12243</v>
      </c>
      <c r="J247" s="218">
        <v>15113.0</v>
      </c>
      <c r="K247" s="218">
        <v>168105.0</v>
      </c>
      <c r="L247" s="218">
        <v>1.0E8</v>
      </c>
      <c r="M247" s="218">
        <v>339092.0</v>
      </c>
      <c r="N247" s="218" t="s">
        <v>12244</v>
      </c>
      <c r="O247" s="218">
        <v>1.51132022000199E14</v>
      </c>
      <c r="P247" s="218">
        <v>76.89</v>
      </c>
      <c r="Q247" s="218">
        <v>76.89</v>
      </c>
      <c r="R247" s="218">
        <v>76.89</v>
      </c>
      <c r="S247" s="218">
        <v>0.0</v>
      </c>
    </row>
    <row r="248">
      <c r="A248" s="218" t="s">
        <v>11355</v>
      </c>
      <c r="B248" s="218" t="s">
        <v>12245</v>
      </c>
      <c r="C248" s="456">
        <v>44634.0</v>
      </c>
      <c r="D248" s="218">
        <v>1.0</v>
      </c>
      <c r="E248" s="218">
        <v>401091.0</v>
      </c>
      <c r="G248" s="218" t="s">
        <v>7500</v>
      </c>
      <c r="H248" s="218">
        <v>2.96386499E9</v>
      </c>
      <c r="I248" s="218" t="s">
        <v>12243</v>
      </c>
      <c r="J248" s="218">
        <v>15113.0</v>
      </c>
      <c r="K248" s="218">
        <v>168105.0</v>
      </c>
      <c r="L248" s="218">
        <v>1.0E8</v>
      </c>
      <c r="M248" s="218">
        <v>339092.0</v>
      </c>
      <c r="N248" s="218" t="s">
        <v>12246</v>
      </c>
      <c r="O248" s="218">
        <v>1.51132022000199E14</v>
      </c>
      <c r="P248" s="218">
        <v>76.89</v>
      </c>
      <c r="Q248" s="218">
        <v>76.89</v>
      </c>
      <c r="R248" s="218">
        <v>76.89</v>
      </c>
      <c r="S248" s="218">
        <v>0.0</v>
      </c>
    </row>
    <row r="249">
      <c r="A249" s="218" t="s">
        <v>787</v>
      </c>
      <c r="B249" s="218" t="s">
        <v>12247</v>
      </c>
      <c r="C249" s="456">
        <v>44636.0</v>
      </c>
      <c r="D249" s="218">
        <v>1.0</v>
      </c>
      <c r="E249" s="218">
        <v>401091.0</v>
      </c>
      <c r="F249" s="218"/>
      <c r="G249" s="218" t="s">
        <v>12248</v>
      </c>
      <c r="H249" s="218">
        <v>3.3911095805E10</v>
      </c>
      <c r="I249" s="218" t="s">
        <v>12249</v>
      </c>
      <c r="J249" s="218">
        <v>15113.0</v>
      </c>
      <c r="K249" s="218">
        <v>168108.0</v>
      </c>
      <c r="L249" s="218">
        <v>1.0E8</v>
      </c>
      <c r="M249" s="218">
        <v>339092.0</v>
      </c>
      <c r="N249" s="218" t="s">
        <v>12250</v>
      </c>
      <c r="O249" s="218">
        <v>1.51132022000126E14</v>
      </c>
      <c r="P249" s="222">
        <v>2500.0</v>
      </c>
      <c r="Q249" s="222">
        <v>2500.0</v>
      </c>
      <c r="R249" s="222">
        <v>2500.0</v>
      </c>
      <c r="S249" s="218">
        <v>0.0</v>
      </c>
    </row>
    <row r="250">
      <c r="A250" s="218" t="s">
        <v>787</v>
      </c>
      <c r="B250" s="218" t="s">
        <v>12251</v>
      </c>
      <c r="C250" s="456">
        <v>44637.0</v>
      </c>
      <c r="D250" s="218">
        <v>1.0</v>
      </c>
      <c r="E250" s="218">
        <v>401091.0</v>
      </c>
      <c r="F250" s="218"/>
      <c r="G250" s="218" t="s">
        <v>5905</v>
      </c>
      <c r="H250" s="218">
        <v>4.3147693000152E13</v>
      </c>
      <c r="I250" s="218" t="s">
        <v>12252</v>
      </c>
      <c r="J250" s="218">
        <v>15113.0</v>
      </c>
      <c r="K250" s="218">
        <v>168108.0</v>
      </c>
      <c r="L250" s="218">
        <v>1.0E8</v>
      </c>
      <c r="M250" s="218">
        <v>339039.0</v>
      </c>
      <c r="N250" s="218" t="s">
        <v>12253</v>
      </c>
      <c r="O250" s="218">
        <v>1.51132022000127E14</v>
      </c>
      <c r="P250" s="222">
        <v>1312.5</v>
      </c>
      <c r="Q250" s="222">
        <v>1312.5</v>
      </c>
      <c r="R250" s="222">
        <v>1312.5</v>
      </c>
      <c r="S250" s="222">
        <v>1312.5</v>
      </c>
    </row>
    <row r="251">
      <c r="A251" s="218" t="s">
        <v>116</v>
      </c>
      <c r="B251" s="218" t="s">
        <v>520</v>
      </c>
      <c r="C251" s="456">
        <v>44637.0</v>
      </c>
      <c r="D251" s="218">
        <v>1.0</v>
      </c>
      <c r="E251" s="218">
        <v>401091.0</v>
      </c>
      <c r="G251" s="218" t="s">
        <v>392</v>
      </c>
      <c r="H251" s="218">
        <v>2.3518065000129E13</v>
      </c>
      <c r="I251" s="218" t="s">
        <v>12254</v>
      </c>
      <c r="J251" s="218">
        <v>15113.0</v>
      </c>
      <c r="K251" s="218">
        <v>168107.0</v>
      </c>
      <c r="L251" s="218">
        <v>1.0E8</v>
      </c>
      <c r="M251" s="218">
        <v>339092.0</v>
      </c>
      <c r="N251" s="218" t="s">
        <v>391</v>
      </c>
      <c r="O251" s="218">
        <v>1.51132022000089E14</v>
      </c>
      <c r="P251" s="218">
        <v>484.45</v>
      </c>
      <c r="Q251" s="218">
        <v>484.45</v>
      </c>
      <c r="R251" s="218">
        <v>484.45</v>
      </c>
      <c r="S251" s="218">
        <v>0.0</v>
      </c>
    </row>
    <row r="252">
      <c r="A252" s="218" t="s">
        <v>9331</v>
      </c>
      <c r="B252" s="218" t="s">
        <v>12255</v>
      </c>
      <c r="C252" s="456">
        <v>44641.0</v>
      </c>
      <c r="D252" s="218">
        <v>1.0</v>
      </c>
      <c r="E252" s="218">
        <v>401091.0</v>
      </c>
      <c r="G252" s="218" t="s">
        <v>11890</v>
      </c>
      <c r="H252" s="218" t="s">
        <v>11891</v>
      </c>
      <c r="I252" s="218" t="s">
        <v>12256</v>
      </c>
      <c r="J252" s="218">
        <v>71103.0</v>
      </c>
      <c r="K252" s="218">
        <v>90162.0</v>
      </c>
      <c r="L252" s="218">
        <v>1.0E8</v>
      </c>
      <c r="M252" s="218">
        <v>319091.0</v>
      </c>
      <c r="N252" s="218" t="s">
        <v>12257</v>
      </c>
      <c r="O252" s="218">
        <v>1.5113202200021E14</v>
      </c>
      <c r="P252" s="222">
        <v>111410.43</v>
      </c>
      <c r="Q252" s="222">
        <v>111410.43</v>
      </c>
      <c r="R252" s="222">
        <v>111410.43</v>
      </c>
      <c r="S252" s="218">
        <v>0.0</v>
      </c>
    </row>
    <row r="253">
      <c r="A253" s="218" t="s">
        <v>787</v>
      </c>
      <c r="B253" s="218" t="s">
        <v>12258</v>
      </c>
      <c r="C253" s="456">
        <v>44641.0</v>
      </c>
      <c r="D253" s="218">
        <v>1.0</v>
      </c>
      <c r="E253" s="218">
        <v>401091.0</v>
      </c>
      <c r="G253" s="218" t="s">
        <v>12259</v>
      </c>
      <c r="H253" s="218">
        <v>5.533015000139E12</v>
      </c>
      <c r="I253" s="218" t="s">
        <v>12260</v>
      </c>
      <c r="J253" s="218">
        <v>15113.0</v>
      </c>
      <c r="K253" s="218">
        <v>168108.0</v>
      </c>
      <c r="L253" s="218">
        <v>1.0E8</v>
      </c>
      <c r="M253" s="218">
        <v>339039.0</v>
      </c>
      <c r="N253" s="218" t="s">
        <v>12261</v>
      </c>
      <c r="O253" s="218">
        <v>1.51132022000127E14</v>
      </c>
      <c r="P253" s="218">
        <v>885.0</v>
      </c>
      <c r="Q253" s="218">
        <v>885.0</v>
      </c>
      <c r="R253" s="218">
        <v>885.0</v>
      </c>
      <c r="S253" s="218">
        <v>0.0</v>
      </c>
    </row>
    <row r="254">
      <c r="A254" s="218" t="s">
        <v>11355</v>
      </c>
      <c r="B254" s="218" t="s">
        <v>12262</v>
      </c>
      <c r="C254" s="456">
        <v>44642.0</v>
      </c>
      <c r="D254" s="218">
        <v>1.0</v>
      </c>
      <c r="E254" s="218">
        <v>401091.0</v>
      </c>
      <c r="G254" s="218" t="s">
        <v>8457</v>
      </c>
      <c r="H254" s="218">
        <v>5.2831191904E10</v>
      </c>
      <c r="I254" s="218" t="s">
        <v>12263</v>
      </c>
      <c r="J254" s="218">
        <v>15113.0</v>
      </c>
      <c r="K254" s="218">
        <v>168105.0</v>
      </c>
      <c r="L254" s="218">
        <v>1.0E8</v>
      </c>
      <c r="M254" s="218">
        <v>339092.0</v>
      </c>
      <c r="N254" s="218" t="s">
        <v>12264</v>
      </c>
      <c r="O254" s="218">
        <v>1.51132022000199E14</v>
      </c>
      <c r="P254" s="218">
        <v>153.79</v>
      </c>
      <c r="Q254" s="218">
        <v>153.79</v>
      </c>
      <c r="R254" s="218">
        <v>153.79</v>
      </c>
      <c r="S254" s="218">
        <v>0.0</v>
      </c>
    </row>
    <row r="255">
      <c r="A255" s="218" t="s">
        <v>9331</v>
      </c>
      <c r="B255" s="218" t="s">
        <v>12265</v>
      </c>
      <c r="C255" s="456">
        <v>44642.0</v>
      </c>
      <c r="D255" s="218">
        <v>1.0</v>
      </c>
      <c r="E255" s="218">
        <v>401091.0</v>
      </c>
      <c r="G255" s="218" t="s">
        <v>11642</v>
      </c>
      <c r="H255" s="218">
        <v>80013.0</v>
      </c>
      <c r="I255" s="218" t="s">
        <v>12266</v>
      </c>
      <c r="J255" s="218">
        <v>15113.0</v>
      </c>
      <c r="K255" s="218">
        <v>168098.0</v>
      </c>
      <c r="L255" s="218">
        <v>1.0E8</v>
      </c>
      <c r="M255" s="218">
        <v>319092.0</v>
      </c>
      <c r="N255" s="218" t="s">
        <v>12171</v>
      </c>
      <c r="O255" s="218">
        <v>1.51132022000214E14</v>
      </c>
      <c r="P255" s="222">
        <v>53664.62</v>
      </c>
      <c r="Q255" s="222">
        <v>53664.62</v>
      </c>
      <c r="R255" s="222">
        <v>53664.62</v>
      </c>
      <c r="S255" s="218">
        <v>0.0</v>
      </c>
    </row>
    <row r="256">
      <c r="A256" s="218" t="s">
        <v>343</v>
      </c>
      <c r="B256" s="218" t="s">
        <v>12267</v>
      </c>
      <c r="C256" s="456">
        <v>44642.0</v>
      </c>
      <c r="D256" s="218">
        <v>1.0</v>
      </c>
      <c r="E256" s="218">
        <v>401091.0</v>
      </c>
      <c r="G256" s="218" t="s">
        <v>12268</v>
      </c>
      <c r="H256" s="218">
        <v>413013.0</v>
      </c>
      <c r="I256" s="218" t="s">
        <v>12269</v>
      </c>
      <c r="J256" s="218">
        <v>15113.0</v>
      </c>
      <c r="K256" s="218">
        <v>168105.0</v>
      </c>
      <c r="L256" s="218">
        <v>1.0E8</v>
      </c>
      <c r="M256" s="218">
        <v>339147.0</v>
      </c>
      <c r="N256" s="218" t="s">
        <v>12270</v>
      </c>
      <c r="O256" s="218">
        <v>1.51132022000004E14</v>
      </c>
      <c r="P256" s="218">
        <v>442.67</v>
      </c>
      <c r="Q256" s="218">
        <v>442.67</v>
      </c>
      <c r="R256" s="218">
        <v>442.67</v>
      </c>
      <c r="S256" s="218">
        <v>0.0</v>
      </c>
    </row>
    <row r="257">
      <c r="A257" s="218" t="s">
        <v>343</v>
      </c>
      <c r="B257" s="218" t="s">
        <v>12271</v>
      </c>
      <c r="C257" s="456">
        <v>44642.0</v>
      </c>
      <c r="D257" s="218">
        <v>1.0</v>
      </c>
      <c r="E257" s="218">
        <v>401091.0</v>
      </c>
      <c r="G257" s="218" t="s">
        <v>12272</v>
      </c>
      <c r="H257" s="218">
        <v>413001.0</v>
      </c>
      <c r="I257" s="218" t="s">
        <v>12273</v>
      </c>
      <c r="J257" s="218">
        <v>15113.0</v>
      </c>
      <c r="K257" s="218">
        <v>168105.0</v>
      </c>
      <c r="L257" s="218">
        <v>1.0E8</v>
      </c>
      <c r="M257" s="218">
        <v>339147.0</v>
      </c>
      <c r="N257" s="218" t="s">
        <v>12270</v>
      </c>
      <c r="O257" s="218">
        <v>1.51132022000004E14</v>
      </c>
      <c r="P257" s="218">
        <v>134.0</v>
      </c>
      <c r="Q257" s="218">
        <v>134.0</v>
      </c>
      <c r="R257" s="218">
        <v>134.0</v>
      </c>
      <c r="S257" s="218">
        <v>0.0</v>
      </c>
    </row>
    <row r="258">
      <c r="A258" s="218" t="s">
        <v>11355</v>
      </c>
      <c r="B258" s="218" t="s">
        <v>12274</v>
      </c>
      <c r="C258" s="456">
        <v>44642.0</v>
      </c>
      <c r="D258" s="218">
        <v>3.0</v>
      </c>
      <c r="E258" s="218">
        <v>401091.0</v>
      </c>
      <c r="F258" s="218"/>
      <c r="G258" s="218" t="s">
        <v>11642</v>
      </c>
      <c r="H258" s="218">
        <v>80013.0</v>
      </c>
      <c r="I258" s="218" t="s">
        <v>12275</v>
      </c>
      <c r="J258" s="218">
        <v>15113.0</v>
      </c>
      <c r="K258" s="218">
        <v>192126.0</v>
      </c>
      <c r="L258" s="218">
        <v>1.0E8</v>
      </c>
      <c r="M258" s="218">
        <v>339092.0</v>
      </c>
      <c r="N258" s="218" t="s">
        <v>11644</v>
      </c>
      <c r="O258" s="218">
        <v>1.51132022000184E14</v>
      </c>
      <c r="P258" s="218">
        <v>95.05</v>
      </c>
      <c r="Q258" s="218">
        <v>95.05</v>
      </c>
      <c r="R258" s="218">
        <v>95.05</v>
      </c>
      <c r="S258" s="218">
        <v>0.0</v>
      </c>
    </row>
    <row r="259">
      <c r="A259" s="218" t="s">
        <v>787</v>
      </c>
      <c r="B259" s="218" t="s">
        <v>12276</v>
      </c>
      <c r="C259" s="456">
        <v>44644.0</v>
      </c>
      <c r="D259" s="218">
        <v>1.0</v>
      </c>
      <c r="E259" s="218">
        <v>401091.0</v>
      </c>
      <c r="G259" s="218" t="s">
        <v>6171</v>
      </c>
      <c r="H259" s="218">
        <v>2.985110600018E13</v>
      </c>
      <c r="I259" s="218" t="s">
        <v>12277</v>
      </c>
      <c r="J259" s="218">
        <v>15113.0</v>
      </c>
      <c r="K259" s="218">
        <v>168108.0</v>
      </c>
      <c r="L259" s="218">
        <v>1.0E8</v>
      </c>
      <c r="M259" s="218">
        <v>339039.0</v>
      </c>
      <c r="N259" s="218" t="s">
        <v>12278</v>
      </c>
      <c r="O259" s="218">
        <v>1.51132022000126E14</v>
      </c>
      <c r="P259" s="222">
        <v>28070.0</v>
      </c>
      <c r="Q259" s="222">
        <v>28070.0</v>
      </c>
      <c r="R259" s="222">
        <v>28070.0</v>
      </c>
      <c r="S259" s="222">
        <v>28070.0</v>
      </c>
    </row>
    <row r="260">
      <c r="A260" s="218" t="s">
        <v>324</v>
      </c>
      <c r="B260" s="218" t="s">
        <v>12279</v>
      </c>
      <c r="C260" s="456">
        <v>44649.0</v>
      </c>
      <c r="D260" s="218">
        <v>3.0</v>
      </c>
      <c r="E260" s="218">
        <v>401091.0</v>
      </c>
      <c r="G260" s="218" t="s">
        <v>6037</v>
      </c>
      <c r="H260" s="218">
        <v>9.420914500014E13</v>
      </c>
      <c r="I260" s="218" t="s">
        <v>12280</v>
      </c>
      <c r="J260" s="218">
        <v>15113.0</v>
      </c>
      <c r="K260" s="218">
        <v>168105.0</v>
      </c>
      <c r="L260" s="218">
        <v>1.7015113E8</v>
      </c>
      <c r="M260" s="218">
        <v>339039.0</v>
      </c>
      <c r="N260" s="218" t="s">
        <v>11254</v>
      </c>
      <c r="O260" s="218">
        <v>1.51132022000159E14</v>
      </c>
      <c r="P260" s="222">
        <v>400000.0</v>
      </c>
      <c r="Q260" s="222">
        <v>400000.0</v>
      </c>
      <c r="R260" s="222">
        <v>400000.0</v>
      </c>
      <c r="S260" s="222">
        <v>384014.75</v>
      </c>
    </row>
    <row r="261">
      <c r="A261" s="218" t="s">
        <v>10001</v>
      </c>
      <c r="B261" s="218" t="s">
        <v>12281</v>
      </c>
      <c r="C261" s="456">
        <v>44649.0</v>
      </c>
      <c r="D261" s="218">
        <v>3.0</v>
      </c>
      <c r="E261" s="218">
        <v>401091.0</v>
      </c>
      <c r="G261" s="218" t="s">
        <v>12282</v>
      </c>
      <c r="H261" s="218">
        <v>2.7484685000145E13</v>
      </c>
      <c r="I261" s="218" t="s">
        <v>12283</v>
      </c>
      <c r="J261" s="218">
        <v>15113.0</v>
      </c>
      <c r="K261" s="218">
        <v>168105.0</v>
      </c>
      <c r="L261" s="218">
        <v>1.0E8</v>
      </c>
      <c r="M261" s="218">
        <v>339039.0</v>
      </c>
      <c r="N261" s="218" t="s">
        <v>10240</v>
      </c>
      <c r="O261" s="218">
        <v>1.51132022000043E14</v>
      </c>
      <c r="P261" s="218">
        <v>86.4</v>
      </c>
      <c r="Q261" s="218">
        <v>86.4</v>
      </c>
      <c r="R261" s="218">
        <v>86.4</v>
      </c>
      <c r="S261" s="218">
        <v>0.0</v>
      </c>
    </row>
    <row r="262">
      <c r="A262" s="218" t="s">
        <v>11704</v>
      </c>
      <c r="B262" s="218" t="s">
        <v>12284</v>
      </c>
      <c r="C262" s="456">
        <v>44649.0</v>
      </c>
      <c r="D262" s="218">
        <v>1.0</v>
      </c>
      <c r="E262" s="218">
        <v>401091.0</v>
      </c>
      <c r="G262" s="218" t="s">
        <v>12285</v>
      </c>
      <c r="H262" s="218">
        <v>8.3009860000113E13</v>
      </c>
      <c r="I262" s="218" t="s">
        <v>12286</v>
      </c>
      <c r="J262" s="218">
        <v>15113.0</v>
      </c>
      <c r="K262" s="218">
        <v>168105.0</v>
      </c>
      <c r="L262" s="218">
        <v>1.0E8</v>
      </c>
      <c r="M262" s="218">
        <v>339047.0</v>
      </c>
      <c r="N262" s="218" t="s">
        <v>12287</v>
      </c>
      <c r="O262" s="218">
        <v>1.5113202200003E14</v>
      </c>
      <c r="P262" s="218">
        <v>984.38</v>
      </c>
      <c r="Q262" s="218">
        <v>984.38</v>
      </c>
      <c r="R262" s="218">
        <v>984.38</v>
      </c>
      <c r="S262" s="218">
        <v>0.0</v>
      </c>
    </row>
    <row r="263">
      <c r="A263" s="218" t="s">
        <v>9920</v>
      </c>
      <c r="B263" s="218" t="s">
        <v>12288</v>
      </c>
      <c r="C263" s="456">
        <v>44649.0</v>
      </c>
      <c r="D263" s="218">
        <v>1.0</v>
      </c>
      <c r="E263" s="218">
        <v>401091.0</v>
      </c>
      <c r="F263" s="218"/>
      <c r="G263" s="218" t="s">
        <v>11920</v>
      </c>
      <c r="H263" s="218">
        <v>8.2892282000143E13</v>
      </c>
      <c r="I263" s="218" t="s">
        <v>12289</v>
      </c>
      <c r="J263" s="218">
        <v>15113.0</v>
      </c>
      <c r="K263" s="218">
        <v>168105.0</v>
      </c>
      <c r="L263" s="218">
        <v>1.0E8</v>
      </c>
      <c r="M263" s="218">
        <v>339047.0</v>
      </c>
      <c r="N263" s="218" t="s">
        <v>12290</v>
      </c>
      <c r="O263" s="218">
        <v>1.51132022000218E14</v>
      </c>
      <c r="P263" s="218">
        <v>63.58</v>
      </c>
      <c r="Q263" s="218">
        <v>63.58</v>
      </c>
      <c r="R263" s="218">
        <v>63.58</v>
      </c>
      <c r="S263" s="218">
        <v>63.58</v>
      </c>
    </row>
    <row r="264">
      <c r="A264" s="218" t="s">
        <v>11704</v>
      </c>
      <c r="B264" s="218" t="s">
        <v>12291</v>
      </c>
      <c r="C264" s="456">
        <v>44650.0</v>
      </c>
      <c r="D264" s="218">
        <v>1.0</v>
      </c>
      <c r="E264" s="218">
        <v>401091.0</v>
      </c>
      <c r="F264" s="218"/>
      <c r="G264" s="218" t="s">
        <v>12292</v>
      </c>
      <c r="H264" s="218">
        <v>9.5886735000502E13</v>
      </c>
      <c r="I264" s="218" t="s">
        <v>12293</v>
      </c>
      <c r="J264" s="218">
        <v>15113.0</v>
      </c>
      <c r="K264" s="218">
        <v>168105.0</v>
      </c>
      <c r="L264" s="218">
        <v>1.0E8</v>
      </c>
      <c r="M264" s="218">
        <v>339039.0</v>
      </c>
      <c r="N264" s="218" t="s">
        <v>12294</v>
      </c>
      <c r="O264" s="218">
        <v>1.51132022000027E14</v>
      </c>
      <c r="P264" s="218">
        <v>514.37</v>
      </c>
      <c r="Q264" s="218">
        <v>514.37</v>
      </c>
      <c r="R264" s="218">
        <v>514.37</v>
      </c>
      <c r="S264" s="218">
        <v>0.0</v>
      </c>
    </row>
    <row r="265">
      <c r="A265" s="218" t="s">
        <v>10001</v>
      </c>
      <c r="B265" s="218" t="s">
        <v>12295</v>
      </c>
      <c r="C265" s="456">
        <v>44650.0</v>
      </c>
      <c r="D265" s="218">
        <v>1.0</v>
      </c>
      <c r="E265" s="218">
        <v>401091.0</v>
      </c>
      <c r="F265" s="218"/>
      <c r="G265" s="218" t="s">
        <v>12296</v>
      </c>
      <c r="H265" s="218">
        <v>8.760659000158E12</v>
      </c>
      <c r="I265" s="218" t="s">
        <v>12297</v>
      </c>
      <c r="J265" s="218">
        <v>15113.0</v>
      </c>
      <c r="K265" s="218">
        <v>168105.0</v>
      </c>
      <c r="L265" s="218">
        <v>1.0E8</v>
      </c>
      <c r="M265" s="218">
        <v>339039.0</v>
      </c>
      <c r="N265" s="218" t="s">
        <v>12298</v>
      </c>
      <c r="O265" s="218">
        <v>1.51132022000144E14</v>
      </c>
      <c r="P265" s="222">
        <v>1830.0</v>
      </c>
      <c r="Q265" s="222">
        <v>1830.0</v>
      </c>
      <c r="R265" s="222">
        <v>1830.0</v>
      </c>
      <c r="S265" s="222">
        <v>1830.0</v>
      </c>
    </row>
    <row r="266">
      <c r="A266" s="218" t="s">
        <v>787</v>
      </c>
      <c r="B266" s="218" t="s">
        <v>12299</v>
      </c>
      <c r="C266" s="456">
        <v>44650.0</v>
      </c>
      <c r="D266" s="218">
        <v>1.0</v>
      </c>
      <c r="E266" s="218">
        <v>401091.0</v>
      </c>
      <c r="F266" s="218"/>
      <c r="G266" s="218" t="s">
        <v>12300</v>
      </c>
      <c r="H266" s="218">
        <v>2.7221329000139E13</v>
      </c>
      <c r="I266" s="218" t="s">
        <v>12301</v>
      </c>
      <c r="J266" s="218">
        <v>15113.0</v>
      </c>
      <c r="K266" s="218">
        <v>168108.0</v>
      </c>
      <c r="L266" s="218">
        <v>1.0E8</v>
      </c>
      <c r="M266" s="218">
        <v>339039.0</v>
      </c>
      <c r="N266" s="218" t="s">
        <v>12302</v>
      </c>
      <c r="O266" s="218">
        <v>1.51132022000126E14</v>
      </c>
      <c r="P266" s="222">
        <v>35142.0</v>
      </c>
      <c r="Q266" s="222">
        <v>35142.0</v>
      </c>
      <c r="R266" s="222">
        <v>35142.0</v>
      </c>
      <c r="S266" s="222">
        <v>35142.0</v>
      </c>
    </row>
    <row r="267">
      <c r="A267" s="218" t="s">
        <v>116</v>
      </c>
      <c r="B267" s="218" t="s">
        <v>300</v>
      </c>
      <c r="C267" s="456">
        <v>44650.0</v>
      </c>
      <c r="D267" s="218">
        <v>1.0</v>
      </c>
      <c r="E267" s="218">
        <v>401091.0</v>
      </c>
      <c r="F267" s="218"/>
      <c r="G267" s="218" t="s">
        <v>299</v>
      </c>
      <c r="H267" s="218">
        <v>1.554285000175E12</v>
      </c>
      <c r="I267" s="218" t="s">
        <v>12303</v>
      </c>
      <c r="J267" s="218">
        <v>15113.0</v>
      </c>
      <c r="K267" s="218">
        <v>168105.0</v>
      </c>
      <c r="L267" s="218">
        <v>1.0E8</v>
      </c>
      <c r="M267" s="218">
        <v>339040.0</v>
      </c>
      <c r="N267" s="218" t="s">
        <v>298</v>
      </c>
      <c r="O267" s="218">
        <v>1.51132022000111E14</v>
      </c>
      <c r="P267" s="222">
        <v>1890.0</v>
      </c>
      <c r="Q267" s="222">
        <v>1890.0</v>
      </c>
      <c r="R267" s="222">
        <v>1890.0</v>
      </c>
      <c r="S267" s="222">
        <v>1890.0</v>
      </c>
    </row>
    <row r="268">
      <c r="A268" s="218" t="s">
        <v>116</v>
      </c>
      <c r="B268" s="218" t="s">
        <v>527</v>
      </c>
      <c r="C268" s="456">
        <v>44650.0</v>
      </c>
      <c r="D268" s="218">
        <v>1.0</v>
      </c>
      <c r="E268" s="218">
        <v>401091.0</v>
      </c>
      <c r="G268" s="218" t="s">
        <v>526</v>
      </c>
      <c r="H268" s="218">
        <v>3.727926500018E13</v>
      </c>
      <c r="I268" s="218" t="s">
        <v>12304</v>
      </c>
      <c r="J268" s="218">
        <v>15113.0</v>
      </c>
      <c r="K268" s="218">
        <v>168105.0</v>
      </c>
      <c r="L268" s="218">
        <v>1.0E8</v>
      </c>
      <c r="M268" s="218">
        <v>339040.0</v>
      </c>
      <c r="N268" s="218" t="s">
        <v>298</v>
      </c>
      <c r="O268" s="218">
        <v>1.51132022000111E14</v>
      </c>
      <c r="P268" s="222">
        <v>1265.4</v>
      </c>
      <c r="Q268" s="222">
        <v>1265.4</v>
      </c>
      <c r="R268" s="222">
        <v>1265.4</v>
      </c>
      <c r="S268" s="222">
        <v>1265.4</v>
      </c>
    </row>
    <row r="269">
      <c r="A269" s="218" t="s">
        <v>10001</v>
      </c>
      <c r="B269" s="218" t="s">
        <v>12305</v>
      </c>
      <c r="C269" s="456">
        <v>44652.0</v>
      </c>
      <c r="D269" s="218">
        <v>1.0</v>
      </c>
      <c r="E269" s="218">
        <v>401091.0</v>
      </c>
      <c r="G269" s="218" t="s">
        <v>12306</v>
      </c>
      <c r="H269" s="218">
        <v>8.538675300013E13</v>
      </c>
      <c r="I269" s="218" t="s">
        <v>12307</v>
      </c>
      <c r="J269" s="218">
        <v>15113.0</v>
      </c>
      <c r="K269" s="218">
        <v>168105.0</v>
      </c>
      <c r="L269" s="218">
        <v>1.0E8</v>
      </c>
      <c r="M269" s="218">
        <v>339030.0</v>
      </c>
      <c r="N269" s="218" t="s">
        <v>12308</v>
      </c>
      <c r="O269" s="218">
        <v>1.51132022000149E14</v>
      </c>
      <c r="P269" s="218">
        <v>379.5</v>
      </c>
      <c r="Q269" s="218">
        <v>379.5</v>
      </c>
      <c r="R269" s="218">
        <v>379.5</v>
      </c>
      <c r="S269" s="218">
        <v>379.5</v>
      </c>
    </row>
    <row r="270">
      <c r="A270" s="218" t="s">
        <v>9920</v>
      </c>
      <c r="B270" s="218" t="s">
        <v>12309</v>
      </c>
      <c r="C270" s="456">
        <v>44652.0</v>
      </c>
      <c r="D270" s="218">
        <v>1.0</v>
      </c>
      <c r="E270" s="218">
        <v>401091.0</v>
      </c>
      <c r="G270" s="218" t="s">
        <v>12310</v>
      </c>
      <c r="H270" s="218">
        <v>4.2801107000189E13</v>
      </c>
      <c r="I270" s="218" t="s">
        <v>12311</v>
      </c>
      <c r="J270" s="218">
        <v>15113.0</v>
      </c>
      <c r="K270" s="218">
        <v>168105.0</v>
      </c>
      <c r="L270" s="218">
        <v>1.0E8</v>
      </c>
      <c r="M270" s="218">
        <v>339039.0</v>
      </c>
      <c r="N270" s="218" t="s">
        <v>12312</v>
      </c>
      <c r="O270" s="218">
        <v>1.51132022000188E14</v>
      </c>
      <c r="P270" s="222">
        <v>9500.0</v>
      </c>
      <c r="Q270" s="222">
        <v>9500.0</v>
      </c>
      <c r="R270" s="222">
        <v>9500.0</v>
      </c>
      <c r="S270" s="222">
        <v>9500.0</v>
      </c>
    </row>
    <row r="271">
      <c r="A271" s="218" t="s">
        <v>9920</v>
      </c>
      <c r="B271" s="218" t="s">
        <v>12313</v>
      </c>
      <c r="C271" s="456">
        <v>44652.0</v>
      </c>
      <c r="D271" s="218">
        <v>1.0</v>
      </c>
      <c r="E271" s="218">
        <v>401091.0</v>
      </c>
      <c r="G271" s="218" t="s">
        <v>12314</v>
      </c>
      <c r="H271" s="218">
        <v>5.294407000192E12</v>
      </c>
      <c r="I271" s="218" t="s">
        <v>12315</v>
      </c>
      <c r="J271" s="218">
        <v>15113.0</v>
      </c>
      <c r="K271" s="218">
        <v>168105.0</v>
      </c>
      <c r="L271" s="218">
        <v>1.0E8</v>
      </c>
      <c r="M271" s="218">
        <v>339039.0</v>
      </c>
      <c r="N271" s="218" t="s">
        <v>12316</v>
      </c>
      <c r="O271" s="218">
        <v>1.51132022000219E14</v>
      </c>
      <c r="P271" s="222">
        <v>2445.0</v>
      </c>
      <c r="Q271" s="222">
        <v>2445.0</v>
      </c>
      <c r="R271" s="222">
        <v>2445.0</v>
      </c>
      <c r="S271" s="222">
        <v>2445.0</v>
      </c>
    </row>
    <row r="272">
      <c r="A272" s="218" t="s">
        <v>11704</v>
      </c>
      <c r="B272" s="218" t="s">
        <v>12317</v>
      </c>
      <c r="C272" s="456">
        <v>44652.0</v>
      </c>
      <c r="D272" s="218">
        <v>3.0</v>
      </c>
      <c r="E272" s="218">
        <v>401091.0</v>
      </c>
      <c r="F272" s="218"/>
      <c r="G272" s="218" t="s">
        <v>12102</v>
      </c>
      <c r="H272" s="218">
        <v>8.044656000118E12</v>
      </c>
      <c r="I272" s="218" t="s">
        <v>12318</v>
      </c>
      <c r="J272" s="218">
        <v>15113.0</v>
      </c>
      <c r="K272" s="218">
        <v>168105.0</v>
      </c>
      <c r="L272" s="218">
        <v>1.0E8</v>
      </c>
      <c r="M272" s="218">
        <v>339030.0</v>
      </c>
      <c r="N272" s="218" t="s">
        <v>12104</v>
      </c>
      <c r="O272" s="218">
        <v>1.51132022000062E14</v>
      </c>
      <c r="P272" s="218">
        <v>650.0</v>
      </c>
      <c r="Q272" s="218">
        <v>650.0</v>
      </c>
      <c r="R272" s="218">
        <v>650.0</v>
      </c>
      <c r="S272" s="218">
        <v>650.0</v>
      </c>
    </row>
    <row r="273">
      <c r="A273" s="218" t="s">
        <v>11704</v>
      </c>
      <c r="B273" s="218" t="s">
        <v>12319</v>
      </c>
      <c r="C273" s="456">
        <v>44655.0</v>
      </c>
      <c r="D273" s="218">
        <v>3.0</v>
      </c>
      <c r="E273" s="218">
        <v>401091.0</v>
      </c>
      <c r="G273" s="218" t="s">
        <v>11835</v>
      </c>
      <c r="H273" s="218">
        <v>1.0571929000124E13</v>
      </c>
      <c r="I273" s="218" t="s">
        <v>12320</v>
      </c>
      <c r="J273" s="218">
        <v>15113.0</v>
      </c>
      <c r="K273" s="218">
        <v>168105.0</v>
      </c>
      <c r="L273" s="218">
        <v>1.0E8</v>
      </c>
      <c r="M273" s="218">
        <v>339039.0</v>
      </c>
      <c r="N273" s="218" t="s">
        <v>12321</v>
      </c>
      <c r="O273" s="218">
        <v>1.51132022000012E14</v>
      </c>
      <c r="P273" s="222">
        <v>6389.91</v>
      </c>
      <c r="Q273" s="222">
        <v>6389.91</v>
      </c>
      <c r="R273" s="222">
        <v>6389.91</v>
      </c>
      <c r="S273" s="222">
        <v>6389.91</v>
      </c>
    </row>
    <row r="274">
      <c r="A274" s="218" t="s">
        <v>116</v>
      </c>
      <c r="B274" s="218" t="s">
        <v>488</v>
      </c>
      <c r="C274" s="456">
        <v>44655.0</v>
      </c>
      <c r="D274" s="218">
        <v>3.0</v>
      </c>
      <c r="E274" s="218">
        <v>401091.0</v>
      </c>
      <c r="G274" s="218" t="s">
        <v>200</v>
      </c>
      <c r="H274" s="218">
        <v>1.479874000012E13</v>
      </c>
      <c r="I274" s="218" t="s">
        <v>11887</v>
      </c>
      <c r="J274" s="218">
        <v>15113.0</v>
      </c>
      <c r="K274" s="218">
        <v>168105.0</v>
      </c>
      <c r="L274" s="218">
        <v>1.0E8</v>
      </c>
      <c r="M274" s="218">
        <v>339040.0</v>
      </c>
      <c r="N274" s="218" t="s">
        <v>487</v>
      </c>
      <c r="O274" s="218">
        <v>1.51132022000093E14</v>
      </c>
      <c r="P274" s="222">
        <v>22800.0</v>
      </c>
      <c r="Q274" s="222">
        <v>22800.0</v>
      </c>
      <c r="R274" s="222">
        <v>22800.0</v>
      </c>
      <c r="S274" s="222">
        <v>17100.0</v>
      </c>
    </row>
    <row r="275">
      <c r="A275" s="218" t="s">
        <v>10001</v>
      </c>
      <c r="B275" s="218" t="s">
        <v>12322</v>
      </c>
      <c r="C275" s="456">
        <v>44655.0</v>
      </c>
      <c r="D275" s="218">
        <v>3.0</v>
      </c>
      <c r="E275" s="218">
        <v>401091.0</v>
      </c>
      <c r="G275" s="218" t="s">
        <v>12181</v>
      </c>
      <c r="H275" s="218">
        <v>1.4744431000177E13</v>
      </c>
      <c r="I275" s="218" t="s">
        <v>12182</v>
      </c>
      <c r="J275" s="218">
        <v>15113.0</v>
      </c>
      <c r="K275" s="218">
        <v>168105.0</v>
      </c>
      <c r="L275" s="218">
        <v>1.0E8</v>
      </c>
      <c r="M275" s="218">
        <v>339039.0</v>
      </c>
      <c r="N275" s="218" t="s">
        <v>10296</v>
      </c>
      <c r="O275" s="218">
        <v>1.51132022000043E14</v>
      </c>
      <c r="P275" s="222">
        <v>1000.0</v>
      </c>
      <c r="Q275" s="222">
        <v>1000.0</v>
      </c>
      <c r="R275" s="222">
        <v>1000.0</v>
      </c>
      <c r="S275" s="218">
        <v>904.0</v>
      </c>
    </row>
    <row r="276">
      <c r="A276" s="218" t="s">
        <v>499</v>
      </c>
      <c r="B276" s="218" t="s">
        <v>12323</v>
      </c>
      <c r="C276" s="456">
        <v>44655.0</v>
      </c>
      <c r="D276" s="218">
        <v>3.0</v>
      </c>
      <c r="E276" s="218">
        <v>401091.0</v>
      </c>
      <c r="G276" s="218" t="s">
        <v>12152</v>
      </c>
      <c r="H276" s="218">
        <v>5.969672000123E12</v>
      </c>
      <c r="I276" s="218" t="s">
        <v>12153</v>
      </c>
      <c r="J276" s="218">
        <v>15113.0</v>
      </c>
      <c r="K276" s="218">
        <v>168106.0</v>
      </c>
      <c r="L276" s="218">
        <v>1.0E8</v>
      </c>
      <c r="M276" s="218">
        <v>339037.0</v>
      </c>
      <c r="N276" s="218" t="s">
        <v>9980</v>
      </c>
      <c r="O276" s="218">
        <v>1.51132022000141E14</v>
      </c>
      <c r="P276" s="222">
        <v>92846.64</v>
      </c>
      <c r="Q276" s="222">
        <v>92846.64</v>
      </c>
      <c r="R276" s="222">
        <v>92846.64</v>
      </c>
      <c r="S276" s="222">
        <v>77736.2</v>
      </c>
    </row>
    <row r="277">
      <c r="A277" s="218" t="s">
        <v>9430</v>
      </c>
      <c r="B277" s="218" t="s">
        <v>12324</v>
      </c>
      <c r="C277" s="456">
        <v>44656.0</v>
      </c>
      <c r="D277" s="218">
        <v>1.0</v>
      </c>
      <c r="E277" s="218">
        <v>401091.0</v>
      </c>
      <c r="G277" s="218" t="s">
        <v>962</v>
      </c>
      <c r="H277" s="218">
        <v>2.093733000143E12</v>
      </c>
      <c r="I277" s="218" t="s">
        <v>12325</v>
      </c>
      <c r="J277" s="218">
        <v>15113.0</v>
      </c>
      <c r="K277" s="218">
        <v>168105.0</v>
      </c>
      <c r="L277" s="218">
        <v>1.0E8</v>
      </c>
      <c r="M277" s="218">
        <v>339030.0</v>
      </c>
      <c r="N277" s="218" t="s">
        <v>12326</v>
      </c>
      <c r="O277" s="218">
        <v>1.51132022000133E14</v>
      </c>
      <c r="P277" s="222">
        <v>5221.0</v>
      </c>
      <c r="Q277" s="222">
        <v>5221.0</v>
      </c>
      <c r="R277" s="222">
        <v>5221.0</v>
      </c>
      <c r="S277" s="218">
        <v>0.0</v>
      </c>
    </row>
    <row r="278">
      <c r="A278" s="218" t="s">
        <v>9430</v>
      </c>
      <c r="B278" s="218" t="s">
        <v>12327</v>
      </c>
      <c r="C278" s="456">
        <v>44656.0</v>
      </c>
      <c r="D278" s="218">
        <v>1.0</v>
      </c>
      <c r="E278" s="218">
        <v>401091.0</v>
      </c>
      <c r="G278" s="218" t="s">
        <v>12328</v>
      </c>
      <c r="H278" s="218">
        <v>9.006278000221E12</v>
      </c>
      <c r="I278" s="218" t="s">
        <v>12325</v>
      </c>
      <c r="J278" s="218">
        <v>15113.0</v>
      </c>
      <c r="K278" s="218">
        <v>168105.0</v>
      </c>
      <c r="L278" s="218">
        <v>1.0E8</v>
      </c>
      <c r="M278" s="218">
        <v>339030.0</v>
      </c>
      <c r="N278" s="218" t="s">
        <v>12326</v>
      </c>
      <c r="O278" s="218">
        <v>1.51132022000133E14</v>
      </c>
      <c r="P278" s="218">
        <v>374.5</v>
      </c>
      <c r="Q278" s="218">
        <v>374.5</v>
      </c>
      <c r="R278" s="218">
        <v>374.5</v>
      </c>
      <c r="S278" s="218">
        <v>0.0</v>
      </c>
    </row>
    <row r="279">
      <c r="A279" s="218" t="s">
        <v>11704</v>
      </c>
      <c r="B279" s="218" t="s">
        <v>12329</v>
      </c>
      <c r="C279" s="456">
        <v>44656.0</v>
      </c>
      <c r="D279" s="218">
        <v>1.0</v>
      </c>
      <c r="E279" s="218">
        <v>401091.0</v>
      </c>
      <c r="G279" s="218" t="s">
        <v>12330</v>
      </c>
      <c r="H279" s="218">
        <v>8.3074302000131E13</v>
      </c>
      <c r="I279" s="218" t="s">
        <v>12331</v>
      </c>
      <c r="J279" s="218">
        <v>15113.0</v>
      </c>
      <c r="K279" s="218">
        <v>168105.0</v>
      </c>
      <c r="L279" s="218">
        <v>1.0E8</v>
      </c>
      <c r="M279" s="218">
        <v>339047.0</v>
      </c>
      <c r="N279" s="218" t="s">
        <v>12332</v>
      </c>
      <c r="O279" s="218">
        <v>1.5113202200003E14</v>
      </c>
      <c r="P279" s="218">
        <v>671.19</v>
      </c>
      <c r="Q279" s="218">
        <v>671.19</v>
      </c>
      <c r="R279" s="218">
        <v>671.19</v>
      </c>
      <c r="S279" s="218">
        <v>0.0</v>
      </c>
    </row>
    <row r="280">
      <c r="A280" s="218" t="s">
        <v>499</v>
      </c>
      <c r="B280" s="218" t="s">
        <v>12333</v>
      </c>
      <c r="C280" s="456">
        <v>44657.0</v>
      </c>
      <c r="D280" s="218">
        <v>1.0</v>
      </c>
      <c r="E280" s="218">
        <v>401091.0</v>
      </c>
      <c r="F280" s="218"/>
      <c r="G280" s="218" t="s">
        <v>12334</v>
      </c>
      <c r="H280" s="218">
        <v>9.363632000194E12</v>
      </c>
      <c r="I280" s="218" t="s">
        <v>12335</v>
      </c>
      <c r="J280" s="218">
        <v>15113.0</v>
      </c>
      <c r="K280" s="218">
        <v>168106.0</v>
      </c>
      <c r="L280" s="218">
        <v>1.0E8</v>
      </c>
      <c r="M280" s="218">
        <v>339039.0</v>
      </c>
      <c r="N280" s="218" t="s">
        <v>12336</v>
      </c>
      <c r="O280" s="218">
        <v>1.51132022000137E14</v>
      </c>
      <c r="P280" s="222">
        <v>3751.56</v>
      </c>
      <c r="Q280" s="222">
        <v>3751.56</v>
      </c>
      <c r="R280" s="222">
        <v>3751.56</v>
      </c>
      <c r="S280" s="222">
        <v>3751.56</v>
      </c>
    </row>
    <row r="281">
      <c r="A281" s="218" t="s">
        <v>343</v>
      </c>
      <c r="B281" s="218" t="s">
        <v>12337</v>
      </c>
      <c r="C281" s="456">
        <v>44658.0</v>
      </c>
      <c r="D281" s="218">
        <v>1.0</v>
      </c>
      <c r="E281" s="218">
        <v>401091.0</v>
      </c>
      <c r="G281" s="218" t="s">
        <v>12338</v>
      </c>
      <c r="H281" s="218">
        <v>4.0564147000129E13</v>
      </c>
      <c r="I281" s="218" t="s">
        <v>12339</v>
      </c>
      <c r="J281" s="218">
        <v>15113.0</v>
      </c>
      <c r="K281" s="218">
        <v>168105.0</v>
      </c>
      <c r="L281" s="218">
        <v>1.0E8</v>
      </c>
      <c r="M281" s="218">
        <v>449052.0</v>
      </c>
      <c r="N281" s="218" t="s">
        <v>12340</v>
      </c>
      <c r="O281" s="218">
        <v>1.51132022000002E14</v>
      </c>
      <c r="P281" s="222">
        <v>16976.3</v>
      </c>
      <c r="Q281" s="222">
        <v>16976.3</v>
      </c>
      <c r="R281" s="222">
        <v>16976.3</v>
      </c>
      <c r="S281" s="222">
        <v>16976.3</v>
      </c>
    </row>
    <row r="282">
      <c r="A282" s="218" t="s">
        <v>343</v>
      </c>
      <c r="B282" s="218" t="s">
        <v>12341</v>
      </c>
      <c r="C282" s="456">
        <v>44658.0</v>
      </c>
      <c r="D282" s="218">
        <v>1.0</v>
      </c>
      <c r="E282" s="218">
        <v>401091.0</v>
      </c>
      <c r="G282" s="218" t="s">
        <v>11920</v>
      </c>
      <c r="H282" s="218">
        <v>8.2892282000143E13</v>
      </c>
      <c r="I282" s="218" t="s">
        <v>12342</v>
      </c>
      <c r="J282" s="218">
        <v>15113.0</v>
      </c>
      <c r="K282" s="218">
        <v>168105.0</v>
      </c>
      <c r="L282" s="218">
        <v>1.0E8</v>
      </c>
      <c r="M282" s="218">
        <v>339047.0</v>
      </c>
      <c r="N282" s="218" t="s">
        <v>12343</v>
      </c>
      <c r="O282" s="218">
        <v>1.51132022000004E14</v>
      </c>
      <c r="P282" s="222">
        <v>1013.06</v>
      </c>
      <c r="Q282" s="222">
        <v>1013.06</v>
      </c>
      <c r="R282" s="222">
        <v>1013.06</v>
      </c>
      <c r="S282" s="218">
        <v>0.0</v>
      </c>
    </row>
    <row r="283">
      <c r="A283" s="218" t="s">
        <v>9430</v>
      </c>
      <c r="B283" s="218" t="s">
        <v>12344</v>
      </c>
      <c r="C283" s="456">
        <v>44658.0</v>
      </c>
      <c r="D283" s="218">
        <v>1.0</v>
      </c>
      <c r="E283" s="218">
        <v>401091.0</v>
      </c>
      <c r="F283" s="218"/>
      <c r="G283" s="218" t="s">
        <v>7031</v>
      </c>
      <c r="H283" s="218">
        <v>6.5633504968E10</v>
      </c>
      <c r="I283" s="218" t="s">
        <v>12345</v>
      </c>
      <c r="J283" s="218">
        <v>15113.0</v>
      </c>
      <c r="K283" s="218">
        <v>168105.0</v>
      </c>
      <c r="L283" s="218">
        <v>1.0E8</v>
      </c>
      <c r="M283" s="218">
        <v>339030.0</v>
      </c>
      <c r="N283" s="218" t="s">
        <v>12346</v>
      </c>
      <c r="O283" s="218">
        <v>1.51132022000132E14</v>
      </c>
      <c r="P283" s="218">
        <v>380.0</v>
      </c>
      <c r="Q283" s="218">
        <v>380.0</v>
      </c>
      <c r="R283" s="218">
        <v>380.0</v>
      </c>
      <c r="S283" s="218">
        <v>0.0</v>
      </c>
    </row>
    <row r="284">
      <c r="A284" s="218" t="s">
        <v>781</v>
      </c>
      <c r="B284" s="218" t="s">
        <v>12347</v>
      </c>
      <c r="C284" s="456">
        <v>44658.0</v>
      </c>
      <c r="D284" s="218">
        <v>3.0</v>
      </c>
      <c r="E284" s="218">
        <v>401091.0</v>
      </c>
      <c r="G284" s="218" t="s">
        <v>11937</v>
      </c>
      <c r="H284" s="218">
        <v>8.1006272000109E13</v>
      </c>
      <c r="I284" s="218" t="s">
        <v>12348</v>
      </c>
      <c r="J284" s="218">
        <v>15113.0</v>
      </c>
      <c r="K284" s="218">
        <v>168105.0</v>
      </c>
      <c r="L284" s="218">
        <v>1.0E8</v>
      </c>
      <c r="M284" s="218">
        <v>339030.0</v>
      </c>
      <c r="N284" s="218" t="s">
        <v>9725</v>
      </c>
      <c r="O284" s="218">
        <v>1.51132022000068E14</v>
      </c>
      <c r="P284" s="218">
        <v>250.0</v>
      </c>
      <c r="Q284" s="218">
        <v>250.0</v>
      </c>
      <c r="R284" s="218">
        <v>250.0</v>
      </c>
      <c r="S284" s="218">
        <v>0.0</v>
      </c>
    </row>
    <row r="285">
      <c r="A285" s="218" t="s">
        <v>787</v>
      </c>
      <c r="B285" s="218" t="s">
        <v>12349</v>
      </c>
      <c r="C285" s="456">
        <v>44658.0</v>
      </c>
      <c r="D285" s="218">
        <v>1.0</v>
      </c>
      <c r="E285" s="218">
        <v>401091.0</v>
      </c>
      <c r="G285" s="218" t="s">
        <v>12350</v>
      </c>
      <c r="H285" s="218">
        <v>2.3880650000174E13</v>
      </c>
      <c r="I285" s="218" t="s">
        <v>12351</v>
      </c>
      <c r="J285" s="218">
        <v>15113.0</v>
      </c>
      <c r="K285" s="218">
        <v>168108.0</v>
      </c>
      <c r="L285" s="218">
        <v>1.0E8</v>
      </c>
      <c r="M285" s="218">
        <v>339039.0</v>
      </c>
      <c r="N285" s="218" t="s">
        <v>12352</v>
      </c>
      <c r="O285" s="218">
        <v>1.51132022000127E14</v>
      </c>
      <c r="P285" s="222">
        <v>1390.0</v>
      </c>
      <c r="Q285" s="222">
        <v>1390.0</v>
      </c>
      <c r="R285" s="222">
        <v>1390.0</v>
      </c>
      <c r="S285" s="218">
        <v>0.0</v>
      </c>
    </row>
    <row r="286">
      <c r="A286" s="218" t="s">
        <v>787</v>
      </c>
      <c r="B286" s="218" t="s">
        <v>12353</v>
      </c>
      <c r="C286" s="456">
        <v>44662.0</v>
      </c>
      <c r="D286" s="218">
        <v>1.0</v>
      </c>
      <c r="E286" s="218">
        <v>401091.0</v>
      </c>
      <c r="G286" s="218" t="s">
        <v>12354</v>
      </c>
      <c r="H286" s="218">
        <v>2.1922841000126E13</v>
      </c>
      <c r="I286" s="218" t="s">
        <v>12355</v>
      </c>
      <c r="J286" s="218">
        <v>15113.0</v>
      </c>
      <c r="K286" s="218">
        <v>168108.0</v>
      </c>
      <c r="L286" s="218">
        <v>1.0E8</v>
      </c>
      <c r="M286" s="218">
        <v>339039.0</v>
      </c>
      <c r="N286" s="218" t="s">
        <v>12356</v>
      </c>
      <c r="O286" s="218">
        <v>1.51132022000127E14</v>
      </c>
      <c r="P286" s="222">
        <v>4000.0</v>
      </c>
      <c r="Q286" s="222">
        <v>4000.0</v>
      </c>
      <c r="R286" s="222">
        <v>4000.0</v>
      </c>
      <c r="S286" s="222">
        <v>4000.0</v>
      </c>
    </row>
    <row r="287">
      <c r="A287" s="218" t="s">
        <v>116</v>
      </c>
      <c r="B287" s="218" t="s">
        <v>12357</v>
      </c>
      <c r="C287" s="456">
        <v>44663.0</v>
      </c>
      <c r="D287" s="218">
        <v>3.0</v>
      </c>
      <c r="E287" s="218">
        <v>401091.0</v>
      </c>
      <c r="F287" s="218"/>
      <c r="G287" s="218" t="s">
        <v>308</v>
      </c>
      <c r="H287" s="218">
        <v>2.255187000108E12</v>
      </c>
      <c r="I287" s="218" t="s">
        <v>12358</v>
      </c>
      <c r="J287" s="218">
        <v>15113.0</v>
      </c>
      <c r="K287" s="218">
        <v>168105.0</v>
      </c>
      <c r="L287" s="218">
        <v>1.0E8</v>
      </c>
      <c r="M287" s="218">
        <v>339040.0</v>
      </c>
      <c r="N287" s="218" t="s">
        <v>457</v>
      </c>
      <c r="O287" s="218">
        <v>1.51132022000093E14</v>
      </c>
      <c r="P287" s="222">
        <v>12453.0</v>
      </c>
      <c r="Q287" s="222">
        <v>12453.0</v>
      </c>
      <c r="R287" s="222">
        <v>12453.0</v>
      </c>
      <c r="S287" s="222">
        <v>12453.0</v>
      </c>
    </row>
    <row r="288">
      <c r="A288" s="218" t="s">
        <v>11704</v>
      </c>
      <c r="B288" s="218" t="s">
        <v>12359</v>
      </c>
      <c r="C288" s="456">
        <v>44663.0</v>
      </c>
      <c r="D288" s="218">
        <v>3.0</v>
      </c>
      <c r="E288" s="218">
        <v>401091.0</v>
      </c>
      <c r="F288" s="218"/>
      <c r="G288" s="218" t="s">
        <v>5033</v>
      </c>
      <c r="H288" s="218">
        <v>2.558157000162E12</v>
      </c>
      <c r="I288" s="218" t="s">
        <v>12360</v>
      </c>
      <c r="J288" s="218">
        <v>15113.0</v>
      </c>
      <c r="K288" s="218">
        <v>168105.0</v>
      </c>
      <c r="L288" s="218">
        <v>1.0E8</v>
      </c>
      <c r="M288" s="218">
        <v>339039.0</v>
      </c>
      <c r="N288" s="218" t="s">
        <v>12361</v>
      </c>
      <c r="O288" s="218">
        <v>1.51132022000036E14</v>
      </c>
      <c r="P288" s="222">
        <v>97552.0</v>
      </c>
      <c r="Q288" s="222">
        <v>97552.0</v>
      </c>
      <c r="R288" s="222">
        <v>97552.0</v>
      </c>
      <c r="S288" s="222">
        <v>97552.0</v>
      </c>
    </row>
    <row r="289">
      <c r="A289" s="218" t="s">
        <v>787</v>
      </c>
      <c r="B289" s="218" t="s">
        <v>12362</v>
      </c>
      <c r="C289" s="456">
        <v>44663.0</v>
      </c>
      <c r="D289" s="218">
        <v>1.0</v>
      </c>
      <c r="E289" s="218">
        <v>401091.0</v>
      </c>
      <c r="F289" s="218"/>
      <c r="G289" s="218" t="s">
        <v>3640</v>
      </c>
      <c r="H289" s="218">
        <v>3.6003671000153E13</v>
      </c>
      <c r="I289" s="218" t="s">
        <v>12363</v>
      </c>
      <c r="J289" s="218">
        <v>15113.0</v>
      </c>
      <c r="K289" s="218">
        <v>168108.0</v>
      </c>
      <c r="L289" s="218">
        <v>1.0E8</v>
      </c>
      <c r="M289" s="218">
        <v>339039.0</v>
      </c>
      <c r="N289" s="218" t="s">
        <v>12364</v>
      </c>
      <c r="O289" s="218">
        <v>1.51132022000127E14</v>
      </c>
      <c r="P289" s="222">
        <v>3970.0</v>
      </c>
      <c r="Q289" s="222">
        <v>3970.0</v>
      </c>
      <c r="R289" s="222">
        <v>3970.0</v>
      </c>
      <c r="S289" s="222">
        <v>3970.0</v>
      </c>
    </row>
    <row r="290">
      <c r="A290" s="218" t="s">
        <v>116</v>
      </c>
      <c r="B290" s="218" t="s">
        <v>533</v>
      </c>
      <c r="C290" s="456">
        <v>44669.0</v>
      </c>
      <c r="D290" s="218">
        <v>3.0</v>
      </c>
      <c r="E290" s="218">
        <v>401091.0</v>
      </c>
      <c r="F290" s="218"/>
      <c r="G290" s="218" t="s">
        <v>420</v>
      </c>
      <c r="H290" s="218">
        <v>8.2743287003553E13</v>
      </c>
      <c r="I290" s="218" t="s">
        <v>12365</v>
      </c>
      <c r="J290" s="218">
        <v>15113.0</v>
      </c>
      <c r="K290" s="218">
        <v>168105.0</v>
      </c>
      <c r="L290" s="218">
        <v>1.0E8</v>
      </c>
      <c r="M290" s="218">
        <v>339040.0</v>
      </c>
      <c r="N290" s="218" t="s">
        <v>350</v>
      </c>
      <c r="O290" s="218">
        <v>1.51132022000074E14</v>
      </c>
      <c r="P290" s="222">
        <v>44431.85</v>
      </c>
      <c r="Q290" s="222">
        <v>44431.85</v>
      </c>
      <c r="R290" s="222">
        <v>44431.85</v>
      </c>
      <c r="S290" s="222">
        <v>44431.85</v>
      </c>
    </row>
    <row r="291">
      <c r="A291" s="218" t="s">
        <v>10001</v>
      </c>
      <c r="B291" s="218" t="s">
        <v>12366</v>
      </c>
      <c r="C291" s="456">
        <v>44670.0</v>
      </c>
      <c r="D291" s="218">
        <v>1.0</v>
      </c>
      <c r="E291" s="218">
        <v>401091.0</v>
      </c>
      <c r="F291" s="218"/>
      <c r="G291" s="218" t="s">
        <v>12367</v>
      </c>
      <c r="H291" s="218">
        <v>2.4062307000185E13</v>
      </c>
      <c r="I291" s="218" t="s">
        <v>12368</v>
      </c>
      <c r="J291" s="218">
        <v>15113.0</v>
      </c>
      <c r="K291" s="218">
        <v>168105.0</v>
      </c>
      <c r="L291" s="218">
        <v>1.0E8</v>
      </c>
      <c r="M291" s="218">
        <v>449052.0</v>
      </c>
      <c r="N291" s="218" t="s">
        <v>12369</v>
      </c>
      <c r="O291" s="218">
        <v>1.51132022000151E14</v>
      </c>
      <c r="P291" s="222">
        <v>2750.0</v>
      </c>
      <c r="Q291" s="222">
        <v>2750.0</v>
      </c>
      <c r="R291" s="222">
        <v>2750.0</v>
      </c>
      <c r="S291" s="222">
        <v>2750.0</v>
      </c>
    </row>
    <row r="292">
      <c r="A292" s="218"/>
      <c r="B292" s="218" t="s">
        <v>12370</v>
      </c>
      <c r="C292" s="456">
        <v>44671.0</v>
      </c>
      <c r="D292" s="218">
        <v>1.0</v>
      </c>
      <c r="E292" s="218">
        <v>401091.0</v>
      </c>
      <c r="G292" s="218" t="s">
        <v>12371</v>
      </c>
      <c r="H292" s="218">
        <v>1.276715102E9</v>
      </c>
      <c r="I292" s="218" t="s">
        <v>12372</v>
      </c>
      <c r="J292" s="218">
        <v>15113.0</v>
      </c>
      <c r="K292" s="218">
        <v>168108.0</v>
      </c>
      <c r="L292" s="218">
        <v>1.0E8</v>
      </c>
      <c r="M292" s="218">
        <v>339036.0</v>
      </c>
      <c r="N292" s="218" t="s">
        <v>12373</v>
      </c>
      <c r="O292" s="218"/>
      <c r="P292" s="222">
        <v>2948.8</v>
      </c>
      <c r="Q292" s="222">
        <v>2948.8</v>
      </c>
      <c r="R292" s="222">
        <v>2948.8</v>
      </c>
      <c r="S292" s="222">
        <v>2948.8</v>
      </c>
    </row>
    <row r="293">
      <c r="A293" s="218"/>
      <c r="B293" s="218" t="s">
        <v>12374</v>
      </c>
      <c r="C293" s="456">
        <v>44671.0</v>
      </c>
      <c r="D293" s="218">
        <v>3.0</v>
      </c>
      <c r="E293" s="218">
        <v>401091.0</v>
      </c>
      <c r="G293" s="218" t="s">
        <v>11642</v>
      </c>
      <c r="H293" s="218">
        <v>80013.0</v>
      </c>
      <c r="I293" s="218" t="s">
        <v>12375</v>
      </c>
      <c r="J293" s="218">
        <v>15113.0</v>
      </c>
      <c r="K293" s="218">
        <v>168101.0</v>
      </c>
      <c r="L293" s="218">
        <v>1.51E8</v>
      </c>
      <c r="M293" s="218">
        <v>339093.0</v>
      </c>
      <c r="N293" s="218" t="s">
        <v>12376</v>
      </c>
      <c r="O293" s="218"/>
      <c r="P293" s="222">
        <v>99000.0</v>
      </c>
      <c r="Q293" s="222">
        <v>99000.0</v>
      </c>
      <c r="R293" s="222">
        <v>99000.0</v>
      </c>
      <c r="S293" s="222">
        <v>99000.0</v>
      </c>
    </row>
    <row r="294">
      <c r="A294" s="218"/>
      <c r="B294" s="218" t="s">
        <v>12377</v>
      </c>
      <c r="C294" s="456">
        <v>44673.0</v>
      </c>
      <c r="D294" s="218">
        <v>1.0</v>
      </c>
      <c r="E294" s="218">
        <v>401091.0</v>
      </c>
      <c r="G294" s="218" t="s">
        <v>12378</v>
      </c>
      <c r="H294" s="218">
        <v>3.5439466000172E13</v>
      </c>
      <c r="I294" s="218" t="s">
        <v>12379</v>
      </c>
      <c r="J294" s="218">
        <v>15113.0</v>
      </c>
      <c r="K294" s="218">
        <v>168105.0</v>
      </c>
      <c r="L294" s="218">
        <v>1.0E8</v>
      </c>
      <c r="M294" s="218">
        <v>449052.0</v>
      </c>
      <c r="N294" s="218" t="s">
        <v>12380</v>
      </c>
      <c r="O294" s="218"/>
      <c r="P294" s="218">
        <v>0.0</v>
      </c>
      <c r="Q294" s="218">
        <v>0.0</v>
      </c>
      <c r="R294" s="218">
        <v>0.0</v>
      </c>
      <c r="S294" s="218">
        <v>0.0</v>
      </c>
    </row>
    <row r="295">
      <c r="A295" s="218"/>
      <c r="B295" s="218" t="s">
        <v>12381</v>
      </c>
      <c r="C295" s="456">
        <v>44673.0</v>
      </c>
      <c r="D295" s="218">
        <v>1.0</v>
      </c>
      <c r="E295" s="218">
        <v>401091.0</v>
      </c>
      <c r="F295" s="218"/>
      <c r="G295" s="218" t="s">
        <v>12378</v>
      </c>
      <c r="H295" s="218">
        <v>3.5439466000172E13</v>
      </c>
      <c r="I295" s="218" t="s">
        <v>12379</v>
      </c>
      <c r="J295" s="218">
        <v>15113.0</v>
      </c>
      <c r="K295" s="218">
        <v>168105.0</v>
      </c>
      <c r="L295" s="218">
        <v>1.0E8</v>
      </c>
      <c r="M295" s="218">
        <v>449052.0</v>
      </c>
      <c r="N295" s="218" t="s">
        <v>480</v>
      </c>
      <c r="O295" s="218"/>
      <c r="P295" s="222">
        <v>334000.0</v>
      </c>
      <c r="Q295" s="222">
        <v>334000.0</v>
      </c>
      <c r="R295" s="222">
        <v>334000.0</v>
      </c>
      <c r="S295" s="222">
        <v>334000.0</v>
      </c>
    </row>
    <row r="296">
      <c r="A296" s="218"/>
      <c r="B296" s="218" t="s">
        <v>12382</v>
      </c>
      <c r="C296" s="456">
        <v>44673.0</v>
      </c>
      <c r="D296" s="218">
        <v>1.0</v>
      </c>
      <c r="E296" s="218">
        <v>401091.0</v>
      </c>
      <c r="G296" s="218" t="s">
        <v>11890</v>
      </c>
      <c r="H296" s="218" t="s">
        <v>11891</v>
      </c>
      <c r="I296" s="218" t="s">
        <v>12383</v>
      </c>
      <c r="J296" s="218">
        <v>71103.0</v>
      </c>
      <c r="K296" s="218">
        <v>90162.0</v>
      </c>
      <c r="L296" s="218">
        <v>1.0E8</v>
      </c>
      <c r="M296" s="218">
        <v>319091.0</v>
      </c>
      <c r="N296" s="218" t="s">
        <v>12384</v>
      </c>
      <c r="O296" s="218"/>
      <c r="P296" s="222">
        <v>69836.77</v>
      </c>
      <c r="Q296" s="222">
        <v>69836.77</v>
      </c>
      <c r="R296" s="222">
        <v>69836.77</v>
      </c>
      <c r="S296" s="222">
        <v>69836.77</v>
      </c>
    </row>
    <row r="297">
      <c r="A297" s="218"/>
      <c r="B297" s="218"/>
      <c r="C297" s="456"/>
      <c r="D297" s="218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22"/>
      <c r="Q297" s="222"/>
      <c r="R297" s="222"/>
      <c r="S297" s="222"/>
    </row>
    <row r="298">
      <c r="A298" s="218"/>
      <c r="B298" s="218"/>
      <c r="C298" s="456"/>
      <c r="D298" s="218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22"/>
      <c r="Q298" s="222"/>
      <c r="R298" s="222"/>
      <c r="S298" s="218"/>
    </row>
    <row r="299">
      <c r="A299" s="218"/>
      <c r="B299" s="218"/>
      <c r="C299" s="456"/>
      <c r="D299" s="218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22"/>
      <c r="Q299" s="222"/>
      <c r="R299" s="222"/>
      <c r="S299" s="222"/>
    </row>
    <row r="300">
      <c r="A300" s="218"/>
      <c r="B300" s="218"/>
      <c r="C300" s="456"/>
      <c r="D300" s="218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22"/>
      <c r="Q300" s="222"/>
      <c r="R300" s="222"/>
      <c r="S300" s="218"/>
    </row>
    <row r="301">
      <c r="A301" s="218"/>
      <c r="B301" s="218"/>
      <c r="C301" s="456"/>
      <c r="D301" s="218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22"/>
      <c r="Q301" s="222"/>
      <c r="R301" s="222"/>
      <c r="S301" s="218"/>
    </row>
    <row r="302">
      <c r="A302" s="218"/>
      <c r="B302" s="218"/>
      <c r="C302" s="456"/>
      <c r="D302" s="218"/>
      <c r="E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22"/>
      <c r="Q302" s="222"/>
      <c r="R302" s="222"/>
      <c r="S302" s="222"/>
    </row>
    <row r="303">
      <c r="A303" s="218"/>
      <c r="B303" s="218"/>
      <c r="C303" s="456"/>
      <c r="D303" s="218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22"/>
      <c r="Q303" s="222"/>
      <c r="R303" s="222"/>
      <c r="S303" s="222"/>
    </row>
    <row r="304">
      <c r="A304" s="218"/>
      <c r="B304" s="218"/>
      <c r="C304" s="456"/>
      <c r="D304" s="218"/>
      <c r="E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22"/>
      <c r="Q304" s="222"/>
      <c r="R304" s="222"/>
      <c r="S304" s="222"/>
    </row>
    <row r="305">
      <c r="A305" s="218"/>
      <c r="B305" s="218"/>
      <c r="C305" s="456"/>
      <c r="D305" s="218"/>
      <c r="E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22"/>
      <c r="Q305" s="222"/>
      <c r="R305" s="222"/>
      <c r="S305" s="222"/>
    </row>
    <row r="306">
      <c r="A306" s="218"/>
      <c r="B306" s="218"/>
      <c r="C306" s="456"/>
      <c r="D306" s="218"/>
      <c r="E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22"/>
      <c r="Q306" s="222"/>
      <c r="R306" s="222"/>
      <c r="S306" s="218"/>
    </row>
    <row r="307">
      <c r="A307" s="218"/>
      <c r="B307" s="218"/>
      <c r="C307" s="456"/>
      <c r="D307" s="218"/>
      <c r="E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22"/>
      <c r="Q307" s="222"/>
      <c r="R307" s="222"/>
      <c r="S307" s="222"/>
    </row>
    <row r="308">
      <c r="A308" s="218"/>
      <c r="B308" s="218"/>
      <c r="C308" s="456"/>
      <c r="D308" s="218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22"/>
      <c r="Q308" s="222"/>
      <c r="R308" s="222"/>
      <c r="S308" s="222"/>
    </row>
    <row r="309">
      <c r="A309" s="218"/>
      <c r="B309" s="218"/>
      <c r="C309" s="456"/>
      <c r="D309" s="218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22"/>
      <c r="Q309" s="222"/>
      <c r="R309" s="222"/>
      <c r="S309" s="218"/>
    </row>
    <row r="310">
      <c r="A310" s="218"/>
      <c r="B310" s="218"/>
      <c r="C310" s="456"/>
      <c r="D310" s="218"/>
      <c r="E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22"/>
      <c r="Q310" s="222"/>
      <c r="R310" s="222"/>
      <c r="S310" s="218"/>
    </row>
    <row r="311">
      <c r="A311" s="218"/>
      <c r="B311" s="218"/>
      <c r="C311" s="456"/>
      <c r="D311" s="218"/>
      <c r="E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22"/>
      <c r="Q311" s="222"/>
      <c r="R311" s="222"/>
      <c r="S311" s="218"/>
    </row>
    <row r="312">
      <c r="A312" s="218"/>
      <c r="B312" s="218"/>
      <c r="C312" s="456"/>
      <c r="D312" s="218"/>
      <c r="E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22"/>
      <c r="Q312" s="222"/>
      <c r="R312" s="222"/>
      <c r="S312" s="222"/>
    </row>
    <row r="313">
      <c r="A313" s="218"/>
      <c r="B313" s="218"/>
      <c r="C313" s="456"/>
      <c r="D313" s="218"/>
      <c r="E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22"/>
      <c r="Q313" s="222"/>
      <c r="R313" s="222"/>
      <c r="S313" s="218"/>
    </row>
    <row r="314">
      <c r="A314" s="218"/>
      <c r="B314" s="218"/>
      <c r="C314" s="456"/>
      <c r="D314" s="218"/>
      <c r="E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22"/>
      <c r="Q314" s="222"/>
      <c r="R314" s="222"/>
      <c r="S314" s="218"/>
    </row>
    <row r="315">
      <c r="A315" s="218"/>
      <c r="B315" s="218"/>
      <c r="C315" s="456"/>
      <c r="D315" s="218"/>
      <c r="E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22"/>
      <c r="Q315" s="222"/>
      <c r="R315" s="222"/>
      <c r="S315" s="218"/>
    </row>
    <row r="316">
      <c r="A316" s="218"/>
      <c r="B316" s="218"/>
      <c r="C316" s="456"/>
      <c r="D316" s="218"/>
      <c r="E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22"/>
      <c r="Q316" s="222"/>
      <c r="R316" s="222"/>
      <c r="S316" s="218"/>
    </row>
    <row r="317">
      <c r="A317" s="218"/>
      <c r="B317" s="218"/>
      <c r="C317" s="456"/>
      <c r="D317" s="218"/>
      <c r="E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</row>
    <row r="318">
      <c r="A318" s="218"/>
      <c r="B318" s="218"/>
      <c r="C318" s="456"/>
      <c r="D318" s="218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22"/>
      <c r="Q318" s="222"/>
      <c r="R318" s="222"/>
      <c r="S318" s="218"/>
    </row>
    <row r="319">
      <c r="A319" s="218"/>
      <c r="B319" s="218"/>
      <c r="C319" s="456"/>
      <c r="D319" s="218"/>
      <c r="E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22"/>
      <c r="Q319" s="222"/>
      <c r="R319" s="222"/>
      <c r="S319" s="218"/>
    </row>
    <row r="320">
      <c r="A320" s="218"/>
      <c r="B320" s="218"/>
      <c r="C320" s="456"/>
      <c r="D320" s="218"/>
      <c r="E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22"/>
      <c r="Q320" s="222"/>
      <c r="R320" s="222"/>
      <c r="S320" s="222"/>
    </row>
    <row r="321">
      <c r="A321" s="218"/>
      <c r="B321" s="218"/>
      <c r="C321" s="456"/>
      <c r="D321" s="218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22"/>
      <c r="Q321" s="222"/>
      <c r="R321" s="222"/>
      <c r="S321" s="218"/>
    </row>
    <row r="322">
      <c r="A322" s="218"/>
      <c r="B322" s="218"/>
      <c r="C322" s="456"/>
      <c r="D322" s="218"/>
      <c r="E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22"/>
      <c r="Q322" s="222"/>
      <c r="R322" s="222"/>
      <c r="S322" s="222"/>
    </row>
    <row r="323">
      <c r="A323" s="218"/>
      <c r="B323" s="218"/>
      <c r="C323" s="456"/>
      <c r="D323" s="218"/>
      <c r="E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22"/>
      <c r="Q323" s="222"/>
      <c r="R323" s="222"/>
      <c r="S323" s="222"/>
    </row>
    <row r="324">
      <c r="A324" s="218"/>
      <c r="B324" s="218"/>
      <c r="C324" s="456"/>
      <c r="D324" s="218"/>
      <c r="E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22"/>
      <c r="Q324" s="222"/>
      <c r="R324" s="222"/>
      <c r="S324" s="218"/>
    </row>
    <row r="325">
      <c r="A325" s="218"/>
      <c r="B325" s="218"/>
      <c r="C325" s="456"/>
      <c r="D325" s="218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22"/>
      <c r="Q325" s="222"/>
      <c r="R325" s="222"/>
      <c r="S325" s="218"/>
    </row>
    <row r="326">
      <c r="A326" s="218"/>
      <c r="B326" s="218"/>
      <c r="C326" s="456"/>
      <c r="D326" s="218"/>
      <c r="E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22"/>
      <c r="Q326" s="222"/>
      <c r="R326" s="222"/>
      <c r="S326" s="222"/>
    </row>
    <row r="327">
      <c r="A327" s="218"/>
      <c r="B327" s="218"/>
      <c r="C327" s="456"/>
      <c r="D327" s="218"/>
      <c r="E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22"/>
      <c r="Q327" s="222"/>
      <c r="R327" s="222"/>
      <c r="S327" s="218"/>
    </row>
    <row r="328">
      <c r="A328" s="218"/>
      <c r="B328" s="218"/>
      <c r="C328" s="456"/>
      <c r="D328" s="218"/>
      <c r="E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22"/>
      <c r="Q328" s="222"/>
      <c r="R328" s="222"/>
      <c r="S328" s="218"/>
    </row>
    <row r="329">
      <c r="A329" s="218"/>
      <c r="B329" s="218"/>
      <c r="C329" s="456"/>
      <c r="D329" s="218"/>
      <c r="E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22"/>
      <c r="Q329" s="222"/>
      <c r="R329" s="222"/>
      <c r="S329" s="222"/>
    </row>
    <row r="330">
      <c r="A330" s="218"/>
      <c r="B330" s="218"/>
      <c r="C330" s="456"/>
      <c r="D330" s="218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22"/>
      <c r="Q330" s="222"/>
      <c r="R330" s="222"/>
      <c r="S330" s="218"/>
    </row>
    <row r="331">
      <c r="A331" s="218"/>
      <c r="B331" s="218"/>
      <c r="C331" s="456"/>
      <c r="D331" s="218"/>
      <c r="E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22"/>
      <c r="Q331" s="222"/>
      <c r="R331" s="222"/>
      <c r="S331" s="222"/>
    </row>
    <row r="332">
      <c r="A332" s="218"/>
      <c r="B332" s="218"/>
      <c r="C332" s="456"/>
      <c r="D332" s="218"/>
      <c r="E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22"/>
      <c r="Q332" s="222"/>
      <c r="R332" s="222"/>
      <c r="S332" s="222"/>
    </row>
    <row r="333">
      <c r="A333" s="218"/>
      <c r="B333" s="218"/>
      <c r="C333" s="456"/>
      <c r="D333" s="218"/>
      <c r="E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22"/>
      <c r="Q333" s="222"/>
      <c r="R333" s="222"/>
      <c r="S333" s="222"/>
    </row>
    <row r="334">
      <c r="A334" s="218"/>
      <c r="B334" s="218"/>
      <c r="C334" s="456"/>
      <c r="D334" s="218"/>
      <c r="E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22"/>
      <c r="Q334" s="222"/>
      <c r="R334" s="222"/>
      <c r="S334" s="218"/>
    </row>
    <row r="335">
      <c r="A335" s="218"/>
      <c r="B335" s="218"/>
      <c r="C335" s="456"/>
      <c r="D335" s="218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22"/>
      <c r="Q335" s="222"/>
      <c r="R335" s="222"/>
      <c r="S335" s="218"/>
    </row>
    <row r="336">
      <c r="A336" s="218"/>
      <c r="B336" s="218"/>
      <c r="C336" s="456"/>
      <c r="D336" s="218"/>
      <c r="E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22"/>
      <c r="Q336" s="222"/>
      <c r="R336" s="222"/>
      <c r="S336" s="218"/>
    </row>
    <row r="337">
      <c r="A337" s="218"/>
      <c r="B337" s="218"/>
      <c r="C337" s="456"/>
      <c r="D337" s="218"/>
      <c r="E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22"/>
      <c r="Q337" s="222"/>
      <c r="R337" s="222"/>
      <c r="S337" s="218"/>
    </row>
    <row r="338">
      <c r="A338" s="218"/>
      <c r="B338" s="218"/>
      <c r="C338" s="456"/>
      <c r="D338" s="218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22"/>
      <c r="Q338" s="222"/>
      <c r="R338" s="222"/>
      <c r="S338" s="218"/>
    </row>
    <row r="339">
      <c r="A339" s="218"/>
      <c r="B339" s="218"/>
      <c r="C339" s="456"/>
      <c r="D339" s="218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22"/>
      <c r="Q339" s="222"/>
      <c r="R339" s="222"/>
      <c r="S339" s="218"/>
    </row>
    <row r="340">
      <c r="A340" s="218"/>
      <c r="B340" s="218"/>
      <c r="C340" s="456"/>
      <c r="D340" s="218"/>
      <c r="E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22"/>
      <c r="Q340" s="222"/>
      <c r="R340" s="222"/>
      <c r="S340" s="218"/>
    </row>
    <row r="341">
      <c r="A341" s="218"/>
      <c r="B341" s="218"/>
      <c r="C341" s="456"/>
      <c r="D341" s="218"/>
      <c r="E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22"/>
      <c r="Q341" s="222"/>
      <c r="R341" s="222"/>
      <c r="S341" s="218"/>
    </row>
    <row r="342">
      <c r="A342" s="218"/>
      <c r="B342" s="218"/>
      <c r="C342" s="456"/>
      <c r="D342" s="218"/>
      <c r="E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22"/>
      <c r="Q342" s="222"/>
      <c r="R342" s="222"/>
      <c r="S342" s="218"/>
    </row>
    <row r="343">
      <c r="A343" s="218"/>
      <c r="B343" s="218"/>
      <c r="C343" s="456"/>
      <c r="D343" s="218"/>
      <c r="E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22"/>
      <c r="Q343" s="222"/>
      <c r="R343" s="222"/>
      <c r="S343" s="222"/>
    </row>
    <row r="344">
      <c r="A344" s="218"/>
      <c r="B344" s="218"/>
      <c r="C344" s="456"/>
      <c r="D344" s="218"/>
      <c r="E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22"/>
      <c r="Q344" s="222"/>
      <c r="R344" s="222"/>
      <c r="S344" s="218"/>
    </row>
    <row r="345">
      <c r="A345" s="218"/>
      <c r="B345" s="218"/>
      <c r="C345" s="456"/>
      <c r="D345" s="218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22"/>
      <c r="Q345" s="222"/>
      <c r="R345" s="222"/>
      <c r="S345" s="218"/>
    </row>
    <row r="346">
      <c r="A346" s="218"/>
      <c r="B346" s="218"/>
      <c r="C346" s="456"/>
      <c r="D346" s="218"/>
      <c r="E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22"/>
      <c r="Q346" s="222"/>
      <c r="R346" s="222"/>
      <c r="S346" s="222"/>
    </row>
    <row r="347">
      <c r="A347" s="218"/>
      <c r="B347" s="218"/>
      <c r="C347" s="456"/>
      <c r="D347" s="218"/>
      <c r="E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22"/>
      <c r="Q347" s="222"/>
      <c r="R347" s="222"/>
      <c r="S347" s="222"/>
    </row>
    <row r="348">
      <c r="A348" s="218"/>
      <c r="B348" s="218"/>
      <c r="C348" s="456"/>
      <c r="D348" s="218"/>
      <c r="E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22"/>
      <c r="Q348" s="222"/>
      <c r="R348" s="222"/>
      <c r="S348" s="218"/>
    </row>
    <row r="349">
      <c r="A349" s="218"/>
      <c r="B349" s="218"/>
      <c r="C349" s="456"/>
      <c r="D349" s="218"/>
      <c r="E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22"/>
      <c r="Q349" s="222"/>
      <c r="R349" s="222"/>
      <c r="S349" s="218"/>
    </row>
    <row r="350">
      <c r="A350" s="218"/>
      <c r="B350" s="218"/>
      <c r="C350" s="456"/>
      <c r="D350" s="218"/>
      <c r="E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22"/>
      <c r="Q350" s="222"/>
      <c r="R350" s="222"/>
      <c r="S350" s="218"/>
    </row>
    <row r="351">
      <c r="A351" s="218"/>
      <c r="B351" s="218"/>
      <c r="C351" s="456"/>
      <c r="D351" s="218"/>
      <c r="E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22"/>
      <c r="Q351" s="222"/>
      <c r="R351" s="222"/>
      <c r="S351" s="218"/>
    </row>
    <row r="352">
      <c r="A352" s="218"/>
      <c r="B352" s="218"/>
      <c r="C352" s="456"/>
      <c r="D352" s="218"/>
      <c r="E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22"/>
      <c r="Q352" s="222"/>
      <c r="R352" s="222"/>
      <c r="S352" s="218"/>
    </row>
    <row r="353">
      <c r="A353" s="218"/>
      <c r="B353" s="218"/>
      <c r="C353" s="456"/>
      <c r="D353" s="218"/>
      <c r="E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22"/>
      <c r="Q353" s="222"/>
      <c r="R353" s="222"/>
      <c r="S353" s="218"/>
    </row>
    <row r="354">
      <c r="A354" s="218"/>
      <c r="B354" s="218"/>
      <c r="C354" s="456"/>
      <c r="D354" s="218"/>
      <c r="E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22"/>
      <c r="Q354" s="222"/>
      <c r="R354" s="222"/>
      <c r="S354" s="218"/>
    </row>
    <row r="355">
      <c r="A355" s="218"/>
      <c r="B355" s="218"/>
      <c r="C355" s="456"/>
      <c r="D355" s="218"/>
      <c r="E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22"/>
      <c r="Q355" s="222"/>
      <c r="R355" s="222"/>
      <c r="S355" s="222"/>
    </row>
    <row r="356">
      <c r="A356" s="218"/>
      <c r="B356" s="218"/>
      <c r="C356" s="456"/>
      <c r="D356" s="218"/>
      <c r="E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22"/>
      <c r="Q356" s="222"/>
      <c r="R356" s="222"/>
      <c r="S356" s="222"/>
    </row>
    <row r="357">
      <c r="A357" s="218"/>
      <c r="B357" s="218"/>
      <c r="C357" s="456"/>
      <c r="D357" s="218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22"/>
      <c r="Q357" s="222"/>
      <c r="R357" s="222"/>
      <c r="S357" s="218"/>
    </row>
    <row r="358">
      <c r="A358" s="218"/>
      <c r="B358" s="218"/>
      <c r="C358" s="456"/>
      <c r="D358" s="218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22"/>
      <c r="Q358" s="222"/>
      <c r="R358" s="222"/>
      <c r="S358" s="218"/>
    </row>
    <row r="359">
      <c r="A359" s="218"/>
      <c r="B359" s="218"/>
      <c r="C359" s="456"/>
      <c r="D359" s="218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22"/>
      <c r="Q359" s="222"/>
      <c r="R359" s="222"/>
      <c r="S359" s="218"/>
    </row>
    <row r="360">
      <c r="A360" s="218"/>
      <c r="B360" s="218"/>
      <c r="C360" s="456"/>
      <c r="D360" s="218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22"/>
      <c r="Q360" s="222"/>
      <c r="R360" s="222"/>
      <c r="S360" s="218"/>
    </row>
    <row r="361">
      <c r="A361" s="218"/>
      <c r="B361" s="218"/>
      <c r="C361" s="456"/>
      <c r="D361" s="218"/>
      <c r="E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22"/>
      <c r="Q361" s="222"/>
      <c r="R361" s="222"/>
      <c r="S361" s="218"/>
    </row>
    <row r="362">
      <c r="A362" s="218"/>
      <c r="B362" s="218"/>
      <c r="C362" s="456"/>
      <c r="D362" s="218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22"/>
      <c r="Q362" s="222"/>
      <c r="R362" s="222"/>
      <c r="S362" s="218"/>
    </row>
    <row r="363">
      <c r="A363" s="218"/>
      <c r="B363" s="218"/>
      <c r="C363" s="456"/>
      <c r="D363" s="218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22"/>
      <c r="Q363" s="222"/>
      <c r="R363" s="222"/>
      <c r="S363" s="222"/>
    </row>
    <row r="364">
      <c r="A364" s="218"/>
      <c r="B364" s="218"/>
      <c r="C364" s="456"/>
      <c r="D364" s="218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22"/>
      <c r="Q364" s="222"/>
      <c r="R364" s="222"/>
      <c r="S364" s="222"/>
    </row>
    <row r="365">
      <c r="A365" s="218"/>
      <c r="B365" s="218"/>
      <c r="C365" s="456"/>
      <c r="D365" s="218"/>
      <c r="E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22"/>
      <c r="Q365" s="222"/>
      <c r="R365" s="222"/>
      <c r="S365" s="218"/>
    </row>
    <row r="366">
      <c r="A366" s="218"/>
      <c r="B366" s="218"/>
      <c r="C366" s="456"/>
      <c r="D366" s="218"/>
      <c r="E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22"/>
      <c r="Q366" s="222"/>
      <c r="R366" s="222"/>
      <c r="S366" s="218"/>
    </row>
    <row r="367">
      <c r="A367" s="218"/>
      <c r="B367" s="218"/>
      <c r="C367" s="456"/>
      <c r="D367" s="218"/>
      <c r="E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22"/>
      <c r="Q367" s="222"/>
      <c r="R367" s="222"/>
      <c r="S367" s="222"/>
    </row>
    <row r="368">
      <c r="A368" s="218"/>
      <c r="B368" s="218"/>
      <c r="C368" s="456"/>
      <c r="D368" s="218"/>
      <c r="E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22"/>
      <c r="Q368" s="222"/>
      <c r="R368" s="222"/>
      <c r="S368" s="222"/>
    </row>
    <row r="369">
      <c r="A369" s="218"/>
      <c r="B369" s="218"/>
      <c r="C369" s="456"/>
      <c r="D369" s="218"/>
      <c r="E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22"/>
      <c r="Q369" s="222"/>
      <c r="R369" s="222"/>
      <c r="S369" s="222"/>
    </row>
    <row r="370">
      <c r="A370" s="218"/>
      <c r="B370" s="218"/>
      <c r="C370" s="456"/>
      <c r="D370" s="218"/>
      <c r="E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22"/>
      <c r="Q370" s="222"/>
      <c r="R370" s="222"/>
      <c r="S370" s="222"/>
    </row>
    <row r="371">
      <c r="A371" s="218"/>
      <c r="B371" s="218"/>
      <c r="C371" s="456"/>
      <c r="D371" s="218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22"/>
      <c r="Q371" s="222"/>
      <c r="R371" s="222"/>
      <c r="S371" s="222"/>
    </row>
    <row r="372">
      <c r="A372" s="218"/>
      <c r="B372" s="218"/>
      <c r="C372" s="456"/>
      <c r="D372" s="218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22"/>
      <c r="Q372" s="222"/>
      <c r="R372" s="222"/>
      <c r="S372" s="218"/>
    </row>
    <row r="373">
      <c r="A373" s="218"/>
      <c r="B373" s="218"/>
      <c r="C373" s="456"/>
      <c r="D373" s="218"/>
      <c r="E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22"/>
      <c r="Q373" s="222"/>
      <c r="R373" s="222"/>
      <c r="S373" s="218"/>
    </row>
    <row r="374">
      <c r="A374" s="218"/>
      <c r="B374" s="218"/>
      <c r="C374" s="456"/>
      <c r="D374" s="218"/>
      <c r="E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22"/>
      <c r="Q374" s="222"/>
      <c r="R374" s="222"/>
      <c r="S374" s="222"/>
    </row>
    <row r="375">
      <c r="A375" s="218"/>
      <c r="B375" s="218"/>
      <c r="C375" s="456"/>
      <c r="D375" s="218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22"/>
      <c r="Q375" s="222"/>
      <c r="R375" s="222"/>
      <c r="S375" s="222"/>
    </row>
    <row r="376">
      <c r="A376" s="218"/>
      <c r="B376" s="218"/>
      <c r="C376" s="456"/>
      <c r="D376" s="218"/>
      <c r="E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22"/>
      <c r="Q376" s="222"/>
      <c r="R376" s="222"/>
      <c r="S376" s="222"/>
    </row>
    <row r="377">
      <c r="A377" s="218"/>
      <c r="B377" s="218"/>
      <c r="C377" s="456"/>
      <c r="D377" s="218"/>
      <c r="E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22"/>
      <c r="Q377" s="222"/>
      <c r="R377" s="222"/>
      <c r="S377" s="218"/>
    </row>
    <row r="378">
      <c r="A378" s="218"/>
      <c r="B378" s="218"/>
      <c r="C378" s="456"/>
      <c r="D378" s="218"/>
      <c r="E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22"/>
      <c r="Q378" s="222"/>
      <c r="R378" s="222"/>
      <c r="S378" s="222"/>
    </row>
    <row r="379">
      <c r="A379" s="218"/>
      <c r="B379" s="218"/>
      <c r="C379" s="456"/>
      <c r="D379" s="218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22"/>
      <c r="Q379" s="222"/>
      <c r="R379" s="222"/>
      <c r="S379" s="218"/>
    </row>
    <row r="380">
      <c r="A380" s="218"/>
      <c r="B380" s="218"/>
      <c r="C380" s="456"/>
      <c r="D380" s="218"/>
      <c r="E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22"/>
      <c r="Q380" s="222"/>
      <c r="R380" s="222"/>
      <c r="S380" s="218"/>
    </row>
    <row r="381">
      <c r="A381" s="218"/>
      <c r="B381" s="218"/>
      <c r="C381" s="456"/>
      <c r="D381" s="218"/>
      <c r="E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22"/>
      <c r="Q381" s="222"/>
      <c r="R381" s="222"/>
      <c r="S381" s="218"/>
    </row>
    <row r="382">
      <c r="A382" s="218"/>
      <c r="B382" s="218"/>
      <c r="C382" s="456"/>
      <c r="D382" s="218"/>
      <c r="E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22"/>
      <c r="Q382" s="222"/>
      <c r="R382" s="222"/>
      <c r="S382" s="218"/>
    </row>
    <row r="383">
      <c r="A383" s="218"/>
      <c r="B383" s="218"/>
      <c r="C383" s="456"/>
      <c r="D383" s="218"/>
      <c r="E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22"/>
      <c r="Q383" s="222"/>
      <c r="R383" s="222"/>
      <c r="S383" s="218"/>
    </row>
    <row r="384">
      <c r="A384" s="218"/>
      <c r="B384" s="218"/>
      <c r="C384" s="456"/>
      <c r="D384" s="218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22"/>
      <c r="Q384" s="222"/>
      <c r="R384" s="222"/>
      <c r="S384" s="218"/>
    </row>
    <row r="385">
      <c r="A385" s="218"/>
      <c r="B385" s="218"/>
      <c r="C385" s="456"/>
      <c r="D385" s="218"/>
      <c r="E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22"/>
      <c r="Q385" s="222"/>
      <c r="R385" s="222"/>
      <c r="S385" s="218"/>
    </row>
    <row r="386">
      <c r="A386" s="218"/>
      <c r="B386" s="218"/>
      <c r="C386" s="456"/>
      <c r="D386" s="21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22"/>
      <c r="Q386" s="222"/>
      <c r="R386" s="222"/>
      <c r="S386" s="218"/>
    </row>
    <row r="387">
      <c r="A387" s="218"/>
      <c r="B387" s="218"/>
      <c r="C387" s="456"/>
      <c r="D387" s="218"/>
      <c r="E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22"/>
      <c r="Q387" s="222"/>
      <c r="R387" s="222"/>
      <c r="S387" s="218"/>
    </row>
    <row r="388">
      <c r="A388" s="218"/>
      <c r="B388" s="218"/>
      <c r="C388" s="456"/>
      <c r="D388" s="218"/>
      <c r="E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22"/>
      <c r="Q388" s="222"/>
      <c r="R388" s="222"/>
      <c r="S388" s="218"/>
    </row>
    <row r="389">
      <c r="A389" s="218"/>
      <c r="B389" s="218"/>
      <c r="C389" s="456"/>
      <c r="D389" s="218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22"/>
      <c r="Q389" s="222"/>
      <c r="R389" s="218"/>
      <c r="S389" s="218"/>
    </row>
    <row r="390">
      <c r="A390" s="218"/>
      <c r="B390" s="218"/>
      <c r="C390" s="456"/>
      <c r="D390" s="218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22"/>
      <c r="Q390" s="222"/>
      <c r="R390" s="222"/>
      <c r="S390" s="218"/>
    </row>
    <row r="391">
      <c r="A391" s="218"/>
      <c r="B391" s="218"/>
      <c r="C391" s="456"/>
      <c r="D391" s="218"/>
      <c r="E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22"/>
      <c r="Q391" s="222"/>
      <c r="R391" s="222"/>
      <c r="S391" s="218"/>
    </row>
    <row r="392">
      <c r="A392" s="218"/>
      <c r="B392" s="218"/>
      <c r="C392" s="456"/>
      <c r="D392" s="218"/>
      <c r="E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22"/>
      <c r="Q392" s="222"/>
      <c r="R392" s="222"/>
      <c r="S392" s="218"/>
    </row>
    <row r="393">
      <c r="A393" s="218"/>
      <c r="B393" s="218"/>
      <c r="C393" s="456"/>
      <c r="D393" s="218"/>
      <c r="E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22"/>
      <c r="Q393" s="222"/>
      <c r="R393" s="222"/>
      <c r="S393" s="218"/>
    </row>
    <row r="394">
      <c r="A394" s="218"/>
      <c r="B394" s="218"/>
      <c r="C394" s="456"/>
      <c r="D394" s="218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22"/>
      <c r="Q394" s="222"/>
      <c r="R394" s="222"/>
      <c r="S394" s="222"/>
    </row>
    <row r="395">
      <c r="A395" s="218"/>
      <c r="B395" s="218"/>
      <c r="C395" s="456"/>
      <c r="D395" s="218"/>
      <c r="E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22"/>
      <c r="Q395" s="222"/>
      <c r="R395" s="222"/>
      <c r="S395" s="222"/>
    </row>
    <row r="396">
      <c r="A396" s="218"/>
      <c r="B396" s="218"/>
      <c r="C396" s="456"/>
      <c r="D396" s="218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22"/>
      <c r="Q396" s="222"/>
      <c r="R396" s="222"/>
      <c r="S396" s="218"/>
    </row>
    <row r="397">
      <c r="A397" s="218"/>
      <c r="B397" s="218"/>
      <c r="C397" s="456"/>
      <c r="D397" s="218"/>
      <c r="E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22"/>
      <c r="Q397" s="222"/>
      <c r="R397" s="222"/>
      <c r="S397" s="218"/>
    </row>
    <row r="398">
      <c r="A398" s="218"/>
      <c r="B398" s="218"/>
      <c r="C398" s="456"/>
      <c r="D398" s="218"/>
      <c r="E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22"/>
      <c r="Q398" s="222"/>
      <c r="R398" s="222"/>
      <c r="S398" s="218"/>
    </row>
    <row r="399">
      <c r="A399" s="218"/>
      <c r="B399" s="218"/>
      <c r="C399" s="456"/>
      <c r="D399" s="218"/>
      <c r="E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22"/>
      <c r="Q399" s="222"/>
      <c r="R399" s="222"/>
      <c r="S399" s="222"/>
    </row>
    <row r="400">
      <c r="A400" s="218"/>
      <c r="B400" s="218"/>
      <c r="C400" s="456"/>
      <c r="D400" s="218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22"/>
      <c r="Q400" s="222"/>
      <c r="R400" s="222"/>
      <c r="S400" s="218"/>
    </row>
    <row r="401">
      <c r="A401" s="218"/>
      <c r="B401" s="218"/>
      <c r="C401" s="456"/>
      <c r="D401" s="218"/>
      <c r="E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22"/>
      <c r="Q401" s="222"/>
      <c r="R401" s="222"/>
      <c r="S401" s="218"/>
    </row>
    <row r="402">
      <c r="A402" s="218"/>
      <c r="B402" s="218"/>
      <c r="C402" s="456"/>
      <c r="D402" s="218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22"/>
      <c r="Q402" s="222"/>
      <c r="R402" s="222"/>
      <c r="S402" s="218"/>
    </row>
    <row r="403">
      <c r="A403" s="218"/>
      <c r="B403" s="218"/>
      <c r="C403" s="456"/>
      <c r="D403" s="218"/>
      <c r="E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22"/>
      <c r="Q403" s="222"/>
      <c r="R403" s="222"/>
      <c r="S403" s="218"/>
    </row>
    <row r="404">
      <c r="A404" s="218"/>
      <c r="B404" s="218"/>
      <c r="C404" s="456"/>
      <c r="D404" s="218"/>
      <c r="E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22"/>
      <c r="Q404" s="222"/>
      <c r="R404" s="222"/>
      <c r="S404" s="222"/>
    </row>
    <row r="405">
      <c r="A405" s="218"/>
      <c r="B405" s="218"/>
      <c r="C405" s="456"/>
      <c r="D405" s="218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22"/>
      <c r="Q405" s="222"/>
      <c r="R405" s="222"/>
      <c r="S405" s="218"/>
    </row>
    <row r="406">
      <c r="A406" s="218"/>
      <c r="B406" s="218"/>
      <c r="C406" s="456"/>
      <c r="D406" s="218"/>
      <c r="E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22"/>
      <c r="Q406" s="222"/>
      <c r="R406" s="222"/>
      <c r="S406" s="218"/>
    </row>
    <row r="407">
      <c r="A407" s="218"/>
      <c r="B407" s="218"/>
      <c r="C407" s="456"/>
      <c r="D407" s="218"/>
      <c r="E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22"/>
      <c r="Q407" s="222"/>
      <c r="R407" s="222"/>
      <c r="S407" s="218"/>
    </row>
    <row r="408">
      <c r="A408" s="218"/>
      <c r="B408" s="218"/>
      <c r="C408" s="456"/>
      <c r="D408" s="218"/>
      <c r="E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22"/>
      <c r="Q408" s="222"/>
      <c r="R408" s="222"/>
      <c r="S408" s="218"/>
    </row>
    <row r="409">
      <c r="A409" s="218"/>
      <c r="B409" s="218"/>
      <c r="C409" s="456"/>
      <c r="D409" s="218"/>
      <c r="E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22"/>
      <c r="Q409" s="222"/>
      <c r="R409" s="222"/>
      <c r="S409" s="218"/>
    </row>
    <row r="410">
      <c r="A410" s="218"/>
      <c r="B410" s="218"/>
      <c r="C410" s="456"/>
      <c r="D410" s="218"/>
      <c r="E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22"/>
      <c r="Q410" s="222"/>
      <c r="R410" s="222"/>
      <c r="S410" s="218"/>
    </row>
    <row r="411">
      <c r="A411" s="218"/>
      <c r="B411" s="218"/>
      <c r="C411" s="456"/>
      <c r="D411" s="218"/>
      <c r="E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22"/>
      <c r="Q411" s="222"/>
      <c r="R411" s="222"/>
      <c r="S411" s="218"/>
    </row>
    <row r="412">
      <c r="A412" s="218"/>
      <c r="B412" s="218"/>
      <c r="C412" s="456"/>
      <c r="D412" s="218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22"/>
      <c r="Q412" s="222"/>
      <c r="R412" s="222"/>
      <c r="S412" s="218"/>
    </row>
    <row r="413">
      <c r="A413" s="218"/>
      <c r="B413" s="218"/>
      <c r="C413" s="456"/>
      <c r="D413" s="218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22"/>
      <c r="Q413" s="222"/>
      <c r="R413" s="222"/>
      <c r="S413" s="218"/>
    </row>
    <row r="414">
      <c r="A414" s="218"/>
      <c r="B414" s="218"/>
      <c r="C414" s="456"/>
      <c r="D414" s="218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22"/>
      <c r="Q414" s="222"/>
      <c r="R414" s="222"/>
      <c r="S414" s="218"/>
    </row>
    <row r="415">
      <c r="A415" s="218"/>
      <c r="B415" s="218"/>
      <c r="C415" s="456"/>
      <c r="D415" s="218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22"/>
      <c r="Q415" s="222"/>
      <c r="R415" s="222"/>
      <c r="S415" s="218"/>
    </row>
    <row r="416">
      <c r="A416" s="218"/>
      <c r="B416" s="218"/>
      <c r="C416" s="456"/>
      <c r="D416" s="218"/>
      <c r="E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22"/>
      <c r="Q416" s="222"/>
      <c r="R416" s="222"/>
      <c r="S416" s="222"/>
    </row>
    <row r="417">
      <c r="A417" s="218"/>
      <c r="B417" s="218"/>
      <c r="C417" s="456"/>
      <c r="D417" s="218"/>
      <c r="E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22"/>
      <c r="Q417" s="222"/>
      <c r="R417" s="222"/>
      <c r="S417" s="222"/>
    </row>
    <row r="418">
      <c r="A418" s="218"/>
      <c r="B418" s="218"/>
      <c r="C418" s="456"/>
      <c r="D418" s="218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22"/>
      <c r="Q418" s="222"/>
      <c r="R418" s="222"/>
      <c r="S418" s="218"/>
    </row>
    <row r="419">
      <c r="A419" s="218"/>
      <c r="B419" s="218"/>
      <c r="C419" s="456"/>
      <c r="D419" s="218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22"/>
      <c r="Q419" s="222"/>
      <c r="R419" s="222"/>
      <c r="S419" s="218"/>
    </row>
    <row r="420">
      <c r="A420" s="218"/>
      <c r="B420" s="218"/>
      <c r="C420" s="456"/>
      <c r="D420" s="218"/>
      <c r="E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22"/>
      <c r="Q420" s="222"/>
      <c r="R420" s="222"/>
      <c r="S420" s="222"/>
    </row>
    <row r="421">
      <c r="A421" s="218"/>
      <c r="B421" s="218"/>
      <c r="C421" s="456"/>
      <c r="D421" s="218"/>
      <c r="E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22"/>
      <c r="Q421" s="222"/>
      <c r="R421" s="222"/>
      <c r="S421" s="222"/>
    </row>
    <row r="422">
      <c r="A422" s="218"/>
      <c r="B422" s="218"/>
      <c r="C422" s="456"/>
      <c r="D422" s="218"/>
      <c r="E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22"/>
      <c r="Q422" s="222"/>
      <c r="R422" s="222"/>
      <c r="S422" s="218"/>
    </row>
    <row r="423">
      <c r="A423" s="218"/>
      <c r="B423" s="218"/>
      <c r="C423" s="456"/>
      <c r="D423" s="218"/>
      <c r="E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22"/>
      <c r="Q423" s="222"/>
      <c r="R423" s="222"/>
      <c r="S423" s="218"/>
    </row>
    <row r="424">
      <c r="A424" s="218"/>
      <c r="B424" s="218"/>
      <c r="C424" s="456"/>
      <c r="D424" s="218"/>
      <c r="E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22"/>
      <c r="Q424" s="222"/>
      <c r="R424" s="222"/>
      <c r="S424" s="218"/>
    </row>
    <row r="425">
      <c r="A425" s="218"/>
      <c r="B425" s="218"/>
      <c r="C425" s="456"/>
      <c r="D425" s="218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22"/>
      <c r="Q425" s="222"/>
      <c r="R425" s="222"/>
      <c r="S425" s="218"/>
    </row>
    <row r="426">
      <c r="A426" s="218"/>
      <c r="B426" s="218"/>
      <c r="C426" s="456"/>
      <c r="D426" s="218"/>
      <c r="E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22"/>
      <c r="Q426" s="222"/>
      <c r="R426" s="222"/>
      <c r="S426" s="222"/>
    </row>
    <row r="427">
      <c r="A427" s="218"/>
      <c r="B427" s="218"/>
      <c r="C427" s="456"/>
      <c r="D427" s="218"/>
      <c r="E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22"/>
      <c r="Q427" s="222"/>
      <c r="R427" s="222"/>
      <c r="S427" s="222"/>
    </row>
    <row r="428">
      <c r="A428" s="218"/>
      <c r="B428" s="218"/>
      <c r="C428" s="456"/>
      <c r="D428" s="218"/>
      <c r="E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22"/>
      <c r="Q428" s="222"/>
      <c r="R428" s="222"/>
      <c r="S428" s="222"/>
    </row>
    <row r="429">
      <c r="A429" s="218"/>
      <c r="B429" s="218"/>
      <c r="C429" s="456"/>
      <c r="D429" s="218"/>
      <c r="E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22"/>
      <c r="Q429" s="222"/>
      <c r="R429" s="222"/>
      <c r="S429" s="218"/>
    </row>
    <row r="430">
      <c r="A430" s="218"/>
      <c r="B430" s="218"/>
      <c r="C430" s="456"/>
      <c r="D430" s="218"/>
      <c r="E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22"/>
      <c r="Q430" s="222"/>
      <c r="R430" s="222"/>
      <c r="S430" s="222"/>
    </row>
    <row r="431">
      <c r="A431" s="218"/>
      <c r="B431" s="218"/>
      <c r="C431" s="456"/>
      <c r="D431" s="218"/>
      <c r="E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22"/>
      <c r="Q431" s="222"/>
      <c r="R431" s="222"/>
      <c r="S431" s="218"/>
    </row>
    <row r="432">
      <c r="A432" s="218"/>
      <c r="B432" s="218"/>
      <c r="C432" s="456"/>
      <c r="D432" s="218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22"/>
      <c r="Q432" s="222"/>
      <c r="R432" s="222"/>
      <c r="S432" s="218"/>
    </row>
    <row r="433">
      <c r="A433" s="218"/>
      <c r="B433" s="218"/>
      <c r="C433" s="456"/>
      <c r="D433" s="218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22"/>
      <c r="Q433" s="222"/>
      <c r="R433" s="222"/>
      <c r="S433" s="222"/>
    </row>
    <row r="434">
      <c r="A434" s="218"/>
      <c r="B434" s="218"/>
      <c r="C434" s="456"/>
      <c r="D434" s="218"/>
      <c r="E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22"/>
      <c r="Q434" s="222"/>
      <c r="R434" s="222"/>
      <c r="S434" s="222"/>
    </row>
    <row r="435">
      <c r="A435" s="218"/>
      <c r="B435" s="218"/>
      <c r="C435" s="456"/>
      <c r="D435" s="218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22"/>
      <c r="Q435" s="222"/>
      <c r="R435" s="222"/>
      <c r="S435" s="218"/>
    </row>
    <row r="436">
      <c r="A436" s="218"/>
      <c r="B436" s="218"/>
      <c r="C436" s="456"/>
      <c r="D436" s="218"/>
      <c r="E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22"/>
      <c r="Q436" s="222"/>
      <c r="R436" s="222"/>
      <c r="S436" s="218"/>
    </row>
    <row r="437">
      <c r="A437" s="218"/>
      <c r="B437" s="218"/>
      <c r="C437" s="456"/>
      <c r="D437" s="218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22"/>
      <c r="Q437" s="222"/>
      <c r="R437" s="222"/>
      <c r="S437" s="218"/>
    </row>
    <row r="438">
      <c r="A438" s="218"/>
      <c r="B438" s="218"/>
      <c r="C438" s="456"/>
      <c r="D438" s="218"/>
      <c r="E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22"/>
      <c r="Q438" s="222"/>
      <c r="R438" s="222"/>
      <c r="S438" s="218"/>
    </row>
    <row r="439">
      <c r="A439" s="218"/>
      <c r="B439" s="218"/>
      <c r="C439" s="456"/>
      <c r="D439" s="218"/>
      <c r="E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22"/>
      <c r="Q439" s="222"/>
      <c r="R439" s="222"/>
      <c r="S439" s="222"/>
    </row>
    <row r="440">
      <c r="A440" s="218"/>
      <c r="B440" s="218"/>
      <c r="C440" s="456"/>
      <c r="D440" s="218"/>
      <c r="E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22"/>
      <c r="Q440" s="222"/>
      <c r="R440" s="222"/>
      <c r="S440" s="218"/>
    </row>
    <row r="441">
      <c r="A441" s="218"/>
      <c r="B441" s="218"/>
      <c r="C441" s="456"/>
      <c r="D441" s="218"/>
      <c r="E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22"/>
      <c r="Q441" s="222"/>
      <c r="R441" s="222"/>
      <c r="S441" s="222"/>
    </row>
    <row r="442">
      <c r="A442" s="218"/>
      <c r="B442" s="218"/>
      <c r="C442" s="456"/>
      <c r="D442" s="218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22"/>
      <c r="Q442" s="222"/>
      <c r="R442" s="222"/>
      <c r="S442" s="218"/>
    </row>
    <row r="443">
      <c r="A443" s="218"/>
      <c r="B443" s="218"/>
      <c r="C443" s="456"/>
      <c r="D443" s="218"/>
      <c r="E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22"/>
      <c r="Q443" s="222"/>
      <c r="R443" s="222"/>
      <c r="S443" s="218"/>
    </row>
    <row r="444">
      <c r="A444" s="218"/>
      <c r="B444" s="218"/>
      <c r="C444" s="456"/>
      <c r="D444" s="218"/>
      <c r="E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22"/>
      <c r="Q444" s="222"/>
      <c r="R444" s="222"/>
      <c r="S444" s="222"/>
    </row>
    <row r="445">
      <c r="A445" s="218"/>
      <c r="B445" s="218"/>
      <c r="C445" s="456"/>
      <c r="D445" s="218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22"/>
      <c r="Q445" s="222"/>
      <c r="R445" s="222"/>
      <c r="S445" s="222"/>
    </row>
    <row r="446">
      <c r="A446" s="218"/>
      <c r="B446" s="218"/>
      <c r="C446" s="456"/>
      <c r="D446" s="218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22"/>
      <c r="Q446" s="222"/>
      <c r="R446" s="222"/>
      <c r="S446" s="222"/>
    </row>
    <row r="447">
      <c r="A447" s="218"/>
      <c r="B447" s="218"/>
      <c r="C447" s="456"/>
      <c r="D447" s="218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22"/>
      <c r="Q447" s="222"/>
      <c r="R447" s="218"/>
      <c r="S447" s="218"/>
    </row>
    <row r="448">
      <c r="A448" s="218"/>
      <c r="B448" s="218"/>
      <c r="C448" s="456"/>
      <c r="D448" s="218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22"/>
      <c r="Q448" s="222"/>
      <c r="R448" s="218"/>
      <c r="S448" s="218"/>
    </row>
    <row r="449">
      <c r="A449" s="218"/>
      <c r="B449" s="218"/>
      <c r="C449" s="456"/>
      <c r="D449" s="218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22"/>
      <c r="Q449" s="222"/>
      <c r="R449" s="222"/>
      <c r="S449" s="218"/>
    </row>
    <row r="450">
      <c r="A450" s="218"/>
      <c r="B450" s="218"/>
      <c r="C450" s="456"/>
      <c r="D450" s="218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22"/>
      <c r="Q450" s="222"/>
      <c r="R450" s="222"/>
      <c r="S450" s="218"/>
    </row>
    <row r="451">
      <c r="A451" s="218"/>
      <c r="B451" s="218"/>
      <c r="C451" s="456"/>
      <c r="D451" s="218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22"/>
      <c r="Q451" s="222"/>
      <c r="R451" s="222"/>
      <c r="S451" s="218"/>
    </row>
    <row r="452">
      <c r="A452" s="218"/>
      <c r="B452" s="218"/>
      <c r="C452" s="456"/>
      <c r="D452" s="218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22"/>
      <c r="Q452" s="222"/>
      <c r="R452" s="222"/>
      <c r="S452" s="218"/>
    </row>
    <row r="453">
      <c r="A453" s="218"/>
      <c r="B453" s="218"/>
      <c r="C453" s="456"/>
      <c r="D453" s="218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22"/>
      <c r="Q453" s="222"/>
      <c r="R453" s="222"/>
      <c r="S453" s="218"/>
    </row>
    <row r="454">
      <c r="A454" s="218"/>
      <c r="B454" s="218"/>
      <c r="C454" s="456"/>
      <c r="D454" s="218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22"/>
      <c r="Q454" s="222"/>
      <c r="R454" s="222"/>
      <c r="S454" s="222"/>
    </row>
    <row r="455">
      <c r="A455" s="218"/>
      <c r="B455" s="218"/>
      <c r="C455" s="456"/>
      <c r="D455" s="218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22"/>
      <c r="Q455" s="222"/>
      <c r="R455" s="222"/>
      <c r="S455" s="218"/>
    </row>
    <row r="456">
      <c r="A456" s="218"/>
      <c r="B456" s="218"/>
      <c r="C456" s="456"/>
      <c r="D456" s="218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22"/>
      <c r="Q456" s="222"/>
      <c r="R456" s="222"/>
      <c r="S456" s="222"/>
    </row>
    <row r="457">
      <c r="A457" s="218"/>
      <c r="B457" s="218"/>
      <c r="C457" s="456"/>
      <c r="D457" s="218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22"/>
      <c r="Q457" s="222"/>
      <c r="R457" s="218"/>
      <c r="S457" s="218"/>
    </row>
    <row r="458">
      <c r="A458" s="218"/>
      <c r="B458" s="218"/>
      <c r="C458" s="456"/>
      <c r="D458" s="218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22"/>
      <c r="Q458" s="222"/>
      <c r="R458" s="222"/>
      <c r="S458" s="218"/>
    </row>
    <row r="459">
      <c r="A459" s="218"/>
      <c r="B459" s="218"/>
      <c r="C459" s="456"/>
      <c r="D459" s="218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22"/>
      <c r="Q459" s="222"/>
      <c r="R459" s="222"/>
      <c r="S459" s="218"/>
    </row>
    <row r="460">
      <c r="A460" s="218"/>
      <c r="B460" s="218"/>
      <c r="C460" s="456"/>
      <c r="D460" s="218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22"/>
      <c r="Q460" s="222"/>
      <c r="R460" s="222"/>
      <c r="S460" s="218"/>
    </row>
    <row r="461">
      <c r="A461" s="218"/>
      <c r="B461" s="218"/>
      <c r="C461" s="456"/>
      <c r="D461" s="218"/>
      <c r="E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22"/>
      <c r="Q461" s="222"/>
      <c r="R461" s="222"/>
      <c r="S461" s="222"/>
    </row>
    <row r="462">
      <c r="A462" s="218"/>
      <c r="B462" s="218"/>
      <c r="C462" s="456"/>
      <c r="D462" s="218"/>
      <c r="E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22"/>
      <c r="Q462" s="222"/>
      <c r="R462" s="222"/>
      <c r="S462" s="218"/>
    </row>
    <row r="463">
      <c r="A463" s="218"/>
      <c r="B463" s="218"/>
      <c r="C463" s="456"/>
      <c r="D463" s="218"/>
      <c r="E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22"/>
      <c r="Q463" s="222"/>
      <c r="R463" s="222"/>
      <c r="S463" s="222"/>
    </row>
    <row r="464">
      <c r="A464" s="218"/>
      <c r="B464" s="218"/>
      <c r="C464" s="456"/>
      <c r="D464" s="218"/>
      <c r="E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22"/>
      <c r="Q464" s="222"/>
      <c r="R464" s="222"/>
      <c r="S464" s="222"/>
    </row>
    <row r="465">
      <c r="A465" s="218"/>
      <c r="B465" s="218"/>
      <c r="C465" s="456"/>
      <c r="D465" s="218"/>
      <c r="E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22"/>
      <c r="Q465" s="222"/>
      <c r="R465" s="222"/>
      <c r="S465" s="218"/>
    </row>
    <row r="466">
      <c r="A466" s="218"/>
      <c r="B466" s="218"/>
      <c r="C466" s="456"/>
      <c r="D466" s="218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22"/>
      <c r="Q466" s="222"/>
      <c r="R466" s="222"/>
      <c r="S466" s="218"/>
    </row>
    <row r="467">
      <c r="A467" s="218"/>
      <c r="B467" s="218"/>
      <c r="C467" s="456"/>
      <c r="D467" s="218"/>
      <c r="E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22"/>
      <c r="Q467" s="222"/>
      <c r="R467" s="222"/>
      <c r="S467" s="222"/>
    </row>
    <row r="468">
      <c r="A468" s="218"/>
      <c r="B468" s="218"/>
      <c r="C468" s="456"/>
      <c r="D468" s="218"/>
      <c r="E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22"/>
      <c r="Q468" s="222"/>
      <c r="R468" s="222"/>
      <c r="S468" s="218"/>
    </row>
    <row r="469">
      <c r="A469" s="218"/>
      <c r="B469" s="218"/>
      <c r="C469" s="456"/>
      <c r="D469" s="218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22"/>
      <c r="Q469" s="222"/>
      <c r="R469" s="222"/>
      <c r="S469" s="218"/>
    </row>
    <row r="470">
      <c r="A470" s="218"/>
      <c r="B470" s="218"/>
      <c r="C470" s="456"/>
      <c r="D470" s="218"/>
      <c r="E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22"/>
      <c r="Q470" s="222"/>
      <c r="R470" s="222"/>
      <c r="S470" s="218"/>
    </row>
    <row r="471">
      <c r="A471" s="218"/>
      <c r="B471" s="218"/>
      <c r="C471" s="456"/>
      <c r="D471" s="218"/>
      <c r="E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22"/>
      <c r="Q471" s="222"/>
      <c r="R471" s="222"/>
      <c r="S471" s="218"/>
    </row>
    <row r="472">
      <c r="A472" s="218"/>
      <c r="B472" s="218"/>
      <c r="C472" s="456"/>
      <c r="D472" s="218"/>
      <c r="E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22"/>
      <c r="Q472" s="222"/>
      <c r="R472" s="222"/>
      <c r="S472" s="218"/>
    </row>
    <row r="473">
      <c r="A473" s="218"/>
      <c r="B473" s="218"/>
      <c r="C473" s="456"/>
      <c r="D473" s="218"/>
      <c r="E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</row>
    <row r="474">
      <c r="A474" s="218"/>
      <c r="B474" s="218"/>
      <c r="C474" s="456"/>
      <c r="D474" s="218"/>
      <c r="E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22"/>
      <c r="Q474" s="222"/>
      <c r="R474" s="222"/>
      <c r="S474" s="218"/>
    </row>
    <row r="475">
      <c r="A475" s="218"/>
      <c r="B475" s="218"/>
      <c r="C475" s="456"/>
      <c r="D475" s="218"/>
      <c r="E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22"/>
      <c r="Q475" s="222"/>
      <c r="R475" s="222"/>
      <c r="S475" s="222"/>
    </row>
    <row r="476">
      <c r="A476" s="218"/>
      <c r="B476" s="218"/>
      <c r="C476" s="456"/>
      <c r="D476" s="218"/>
      <c r="E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22"/>
      <c r="Q476" s="222"/>
      <c r="R476" s="222"/>
      <c r="S476" s="222"/>
    </row>
    <row r="477">
      <c r="A477" s="218"/>
      <c r="B477" s="218"/>
      <c r="C477" s="456"/>
      <c r="D477" s="218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22"/>
      <c r="Q477" s="222"/>
      <c r="R477" s="222"/>
      <c r="S477" s="222"/>
    </row>
    <row r="478">
      <c r="A478" s="218"/>
      <c r="B478" s="218"/>
      <c r="C478" s="456"/>
      <c r="D478" s="218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22"/>
      <c r="Q478" s="222"/>
      <c r="R478" s="222"/>
      <c r="S478" s="222"/>
    </row>
    <row r="479">
      <c r="A479" s="218"/>
      <c r="B479" s="218"/>
      <c r="C479" s="456"/>
      <c r="D479" s="218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22"/>
      <c r="Q479" s="222"/>
      <c r="R479" s="222"/>
      <c r="S479" s="218"/>
    </row>
    <row r="480">
      <c r="A480" s="218"/>
      <c r="B480" s="218"/>
      <c r="C480" s="456"/>
      <c r="D480" s="218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22"/>
      <c r="Q480" s="222"/>
      <c r="R480" s="218"/>
      <c r="S480" s="218"/>
    </row>
    <row r="481">
      <c r="A481" s="218"/>
      <c r="B481" s="218"/>
      <c r="C481" s="456"/>
      <c r="D481" s="218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22"/>
      <c r="Q481" s="222"/>
      <c r="R481" s="218"/>
      <c r="S481" s="218"/>
    </row>
    <row r="482">
      <c r="A482" s="218"/>
      <c r="B482" s="218"/>
      <c r="C482" s="456"/>
      <c r="D482" s="21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22"/>
      <c r="Q482" s="222"/>
      <c r="R482" s="222"/>
      <c r="S482" s="222"/>
    </row>
    <row r="483">
      <c r="A483" s="218"/>
      <c r="B483" s="218"/>
      <c r="C483" s="456"/>
      <c r="D483" s="21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22"/>
      <c r="Q483" s="222"/>
      <c r="R483" s="222"/>
      <c r="S483" s="222"/>
    </row>
    <row r="484">
      <c r="A484" s="218"/>
      <c r="B484" s="218"/>
      <c r="C484" s="456"/>
      <c r="D484" s="218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22"/>
      <c r="Q484" s="222"/>
      <c r="R484" s="222"/>
      <c r="S484" s="222"/>
    </row>
    <row r="485">
      <c r="A485" s="218"/>
      <c r="B485" s="218"/>
      <c r="C485" s="456"/>
      <c r="D485" s="218"/>
      <c r="E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22"/>
      <c r="Q485" s="222"/>
      <c r="R485" s="222"/>
      <c r="S485" s="222"/>
    </row>
    <row r="486">
      <c r="A486" s="218"/>
      <c r="B486" s="218"/>
      <c r="C486" s="456"/>
      <c r="D486" s="218"/>
      <c r="E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22"/>
      <c r="Q486" s="222"/>
      <c r="R486" s="222"/>
      <c r="S486" s="218"/>
    </row>
    <row r="487">
      <c r="A487" s="218"/>
      <c r="B487" s="218"/>
      <c r="C487" s="456"/>
      <c r="D487" s="218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22"/>
      <c r="Q487" s="222"/>
      <c r="R487" s="222"/>
      <c r="S487" s="222"/>
    </row>
    <row r="488">
      <c r="A488" s="218"/>
      <c r="B488" s="218"/>
      <c r="C488" s="456"/>
      <c r="D488" s="218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22"/>
      <c r="Q488" s="222"/>
      <c r="R488" s="222"/>
      <c r="S488" s="218"/>
    </row>
    <row r="489">
      <c r="A489" s="218"/>
      <c r="B489" s="218"/>
      <c r="C489" s="456"/>
      <c r="D489" s="218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22"/>
      <c r="Q489" s="222"/>
      <c r="R489" s="222"/>
      <c r="S489" s="218"/>
    </row>
    <row r="490">
      <c r="A490" s="218"/>
      <c r="B490" s="218"/>
      <c r="C490" s="456"/>
      <c r="D490" s="218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22"/>
      <c r="Q490" s="222"/>
      <c r="R490" s="222"/>
      <c r="S490" s="218"/>
    </row>
    <row r="491">
      <c r="A491" s="218"/>
      <c r="B491" s="218"/>
      <c r="C491" s="456"/>
      <c r="D491" s="218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22"/>
      <c r="Q491" s="222"/>
      <c r="R491" s="222"/>
      <c r="S491" s="218"/>
    </row>
    <row r="492">
      <c r="A492" s="218"/>
      <c r="B492" s="218"/>
      <c r="C492" s="456"/>
      <c r="D492" s="218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22"/>
      <c r="Q492" s="222"/>
      <c r="R492" s="222"/>
      <c r="S492" s="218"/>
    </row>
    <row r="493">
      <c r="A493" s="218"/>
      <c r="B493" s="218"/>
      <c r="C493" s="456"/>
      <c r="D493" s="218"/>
      <c r="E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22"/>
      <c r="Q493" s="222"/>
      <c r="R493" s="222"/>
      <c r="S493" s="218"/>
    </row>
    <row r="494">
      <c r="A494" s="218"/>
      <c r="B494" s="218"/>
      <c r="C494" s="456"/>
      <c r="D494" s="218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22"/>
      <c r="Q494" s="222"/>
      <c r="R494" s="222"/>
      <c r="S494" s="222"/>
    </row>
    <row r="495">
      <c r="A495" s="218"/>
      <c r="B495" s="218"/>
      <c r="C495" s="456"/>
      <c r="D495" s="218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22"/>
      <c r="Q495" s="222"/>
      <c r="R495" s="222"/>
      <c r="S495" s="218"/>
    </row>
    <row r="496">
      <c r="A496" s="218"/>
      <c r="B496" s="218"/>
      <c r="C496" s="456"/>
      <c r="D496" s="218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22"/>
      <c r="Q496" s="222"/>
      <c r="R496" s="222"/>
      <c r="S496" s="218"/>
    </row>
    <row r="497">
      <c r="A497" s="218"/>
      <c r="B497" s="218"/>
      <c r="C497" s="456"/>
      <c r="D497" s="218"/>
      <c r="E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22"/>
      <c r="Q497" s="222"/>
      <c r="R497" s="222"/>
      <c r="S497" s="218"/>
    </row>
    <row r="498">
      <c r="A498" s="218"/>
      <c r="B498" s="218"/>
      <c r="C498" s="456"/>
      <c r="D498" s="218"/>
      <c r="E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22"/>
      <c r="Q498" s="222"/>
      <c r="R498" s="222"/>
      <c r="S498" s="218"/>
    </row>
    <row r="499">
      <c r="A499" s="218"/>
      <c r="B499" s="218"/>
      <c r="C499" s="456"/>
      <c r="D499" s="218"/>
      <c r="E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22"/>
      <c r="Q499" s="222"/>
      <c r="R499" s="222"/>
      <c r="S499" s="218"/>
    </row>
    <row r="500">
      <c r="A500" s="218"/>
      <c r="B500" s="218"/>
      <c r="C500" s="456"/>
      <c r="D500" s="218"/>
      <c r="E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22"/>
      <c r="Q500" s="222"/>
      <c r="R500" s="222"/>
      <c r="S500" s="218"/>
    </row>
    <row r="501">
      <c r="A501" s="218"/>
      <c r="B501" s="218"/>
      <c r="C501" s="456"/>
      <c r="D501" s="21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22"/>
      <c r="Q501" s="222"/>
      <c r="R501" s="222"/>
      <c r="S501" s="218"/>
    </row>
    <row r="502">
      <c r="A502" s="218"/>
      <c r="B502" s="218"/>
      <c r="C502" s="456"/>
      <c r="D502" s="218"/>
      <c r="E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22"/>
      <c r="Q502" s="222"/>
      <c r="R502" s="222"/>
      <c r="S502" s="218"/>
    </row>
    <row r="503">
      <c r="A503" s="218"/>
      <c r="B503" s="218"/>
      <c r="C503" s="456"/>
      <c r="D503" s="218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22"/>
      <c r="Q503" s="222"/>
      <c r="R503" s="222"/>
      <c r="S503" s="218"/>
    </row>
    <row r="504">
      <c r="A504" s="218"/>
      <c r="B504" s="218"/>
      <c r="C504" s="456"/>
      <c r="D504" s="218"/>
      <c r="E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22"/>
      <c r="Q504" s="222"/>
      <c r="R504" s="222"/>
      <c r="S504" s="218"/>
    </row>
    <row r="505">
      <c r="A505" s="218"/>
      <c r="B505" s="218"/>
      <c r="C505" s="456"/>
      <c r="D505" s="218"/>
      <c r="E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22"/>
      <c r="Q505" s="222"/>
      <c r="R505" s="222"/>
      <c r="S505" s="218"/>
    </row>
    <row r="506">
      <c r="A506" s="218"/>
      <c r="B506" s="218"/>
      <c r="C506" s="456"/>
      <c r="D506" s="218"/>
      <c r="E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22"/>
      <c r="Q506" s="222"/>
      <c r="R506" s="222"/>
      <c r="S506" s="218"/>
    </row>
    <row r="507">
      <c r="A507" s="218"/>
      <c r="B507" s="218"/>
      <c r="C507" s="456"/>
      <c r="D507" s="218"/>
      <c r="E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22"/>
      <c r="Q507" s="222"/>
      <c r="R507" s="222"/>
      <c r="S507" s="218"/>
    </row>
    <row r="508">
      <c r="A508" s="218"/>
      <c r="B508" s="218"/>
      <c r="C508" s="456"/>
      <c r="D508" s="218"/>
      <c r="E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22"/>
      <c r="Q508" s="222"/>
      <c r="R508" s="222"/>
      <c r="S508" s="218"/>
    </row>
    <row r="509">
      <c r="A509" s="218"/>
      <c r="B509" s="218"/>
      <c r="C509" s="456"/>
      <c r="D509" s="218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</row>
    <row r="510">
      <c r="A510" s="218"/>
      <c r="B510" s="218"/>
      <c r="C510" s="456"/>
      <c r="D510" s="218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22"/>
      <c r="Q510" s="222"/>
      <c r="R510" s="218"/>
      <c r="S510" s="218"/>
    </row>
    <row r="511">
      <c r="A511" s="218"/>
      <c r="B511" s="218"/>
      <c r="C511" s="456"/>
      <c r="D511" s="218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22"/>
      <c r="Q511" s="222"/>
      <c r="R511" s="218"/>
      <c r="S511" s="218"/>
    </row>
    <row r="512">
      <c r="A512" s="218"/>
      <c r="B512" s="218"/>
      <c r="C512" s="456"/>
      <c r="D512" s="218"/>
      <c r="E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</row>
    <row r="513">
      <c r="A513" s="218"/>
      <c r="B513" s="218"/>
      <c r="C513" s="456"/>
      <c r="D513" s="218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22"/>
      <c r="Q513" s="222"/>
      <c r="R513" s="218"/>
      <c r="S513" s="218"/>
    </row>
    <row r="514">
      <c r="A514" s="218"/>
      <c r="B514" s="218"/>
      <c r="C514" s="456"/>
      <c r="D514" s="218"/>
      <c r="E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22"/>
      <c r="Q514" s="222"/>
      <c r="R514" s="222"/>
      <c r="S514" s="218"/>
    </row>
    <row r="515">
      <c r="A515" s="218"/>
      <c r="B515" s="218"/>
      <c r="C515" s="456"/>
      <c r="D515" s="218"/>
      <c r="E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</row>
    <row r="516">
      <c r="A516" s="218"/>
      <c r="B516" s="218"/>
      <c r="C516" s="456"/>
      <c r="D516" s="218"/>
      <c r="E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22"/>
      <c r="Q516" s="222"/>
      <c r="R516" s="222"/>
      <c r="S516" s="222"/>
    </row>
    <row r="517">
      <c r="A517" s="218"/>
      <c r="B517" s="218"/>
      <c r="C517" s="456"/>
      <c r="D517" s="218"/>
      <c r="E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22"/>
      <c r="Q517" s="222"/>
      <c r="R517" s="222"/>
      <c r="S517" s="218"/>
    </row>
    <row r="518">
      <c r="A518" s="218"/>
      <c r="B518" s="218"/>
      <c r="C518" s="456"/>
      <c r="D518" s="218"/>
      <c r="E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22"/>
      <c r="Q518" s="222"/>
      <c r="R518" s="222"/>
      <c r="S518" s="218"/>
    </row>
    <row r="519">
      <c r="A519" s="218"/>
      <c r="B519" s="218"/>
      <c r="C519" s="456"/>
      <c r="D519" s="218"/>
      <c r="E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22"/>
      <c r="Q519" s="222"/>
      <c r="R519" s="222"/>
      <c r="S519" s="218"/>
    </row>
    <row r="520">
      <c r="A520" s="218"/>
      <c r="B520" s="218"/>
      <c r="C520" s="456"/>
      <c r="D520" s="218"/>
      <c r="E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22"/>
      <c r="Q520" s="222"/>
      <c r="R520" s="222"/>
      <c r="S520" s="218"/>
    </row>
    <row r="521">
      <c r="A521" s="218"/>
      <c r="B521" s="218"/>
      <c r="C521" s="456"/>
      <c r="D521" s="218"/>
      <c r="E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22"/>
      <c r="Q521" s="222"/>
      <c r="R521" s="222"/>
      <c r="S521" s="218"/>
    </row>
    <row r="522">
      <c r="A522" s="218"/>
      <c r="B522" s="218"/>
      <c r="C522" s="456"/>
      <c r="D522" s="218"/>
      <c r="E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22"/>
      <c r="Q522" s="222"/>
      <c r="R522" s="222"/>
      <c r="S522" s="218"/>
    </row>
    <row r="523">
      <c r="A523" s="218"/>
      <c r="B523" s="218"/>
      <c r="C523" s="456"/>
      <c r="D523" s="218"/>
      <c r="E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22"/>
      <c r="Q523" s="222"/>
      <c r="R523" s="222"/>
      <c r="S523" s="218"/>
    </row>
    <row r="524">
      <c r="A524" s="218"/>
      <c r="B524" s="218"/>
      <c r="C524" s="456"/>
      <c r="D524" s="218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22"/>
      <c r="Q524" s="222"/>
      <c r="R524" s="218"/>
      <c r="S524" s="218"/>
    </row>
    <row r="525">
      <c r="A525" s="218"/>
      <c r="B525" s="218"/>
      <c r="C525" s="456"/>
      <c r="D525" s="218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22"/>
      <c r="Q525" s="222"/>
      <c r="R525" s="218"/>
      <c r="S525" s="218"/>
    </row>
    <row r="526">
      <c r="A526" s="218"/>
      <c r="B526" s="218"/>
      <c r="C526" s="456"/>
      <c r="D526" s="218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22"/>
      <c r="Q526" s="222"/>
      <c r="R526" s="222"/>
      <c r="S526" s="218"/>
    </row>
    <row r="527">
      <c r="A527" s="218"/>
      <c r="B527" s="218"/>
      <c r="C527" s="456"/>
      <c r="D527" s="218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22"/>
      <c r="Q527" s="222"/>
      <c r="R527" s="218"/>
      <c r="S527" s="218"/>
    </row>
    <row r="528">
      <c r="A528" s="218"/>
      <c r="B528" s="218"/>
      <c r="C528" s="456"/>
      <c r="D528" s="218"/>
      <c r="E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22"/>
      <c r="Q528" s="222"/>
      <c r="R528" s="222"/>
      <c r="S528" s="218"/>
    </row>
    <row r="529">
      <c r="A529" s="218"/>
      <c r="B529" s="218"/>
      <c r="C529" s="456"/>
      <c r="D529" s="218"/>
      <c r="E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22"/>
      <c r="Q529" s="222"/>
      <c r="R529" s="222"/>
      <c r="S529" s="222"/>
    </row>
    <row r="530">
      <c r="A530" s="218"/>
      <c r="B530" s="218"/>
      <c r="C530" s="456"/>
      <c r="D530" s="218"/>
      <c r="E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22"/>
      <c r="Q530" s="222"/>
      <c r="R530" s="222"/>
      <c r="S530" s="218"/>
    </row>
    <row r="531">
      <c r="A531" s="218"/>
      <c r="B531" s="218"/>
      <c r="C531" s="456"/>
      <c r="D531" s="218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22"/>
      <c r="Q531" s="222"/>
      <c r="R531" s="222"/>
      <c r="S531" s="218"/>
    </row>
    <row r="532">
      <c r="A532" s="218"/>
      <c r="B532" s="218"/>
      <c r="C532" s="456"/>
      <c r="D532" s="218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22"/>
      <c r="Q532" s="222"/>
      <c r="R532" s="218"/>
      <c r="S532" s="218"/>
    </row>
    <row r="533">
      <c r="A533" s="218"/>
      <c r="B533" s="218"/>
      <c r="C533" s="456"/>
      <c r="D533" s="218"/>
      <c r="E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22"/>
      <c r="Q533" s="222"/>
      <c r="R533" s="222"/>
      <c r="S533" s="218"/>
    </row>
    <row r="534">
      <c r="A534" s="218"/>
      <c r="B534" s="218"/>
      <c r="C534" s="456"/>
      <c r="D534" s="218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22"/>
      <c r="Q534" s="222"/>
      <c r="R534" s="222"/>
      <c r="S534" s="218"/>
    </row>
    <row r="535">
      <c r="A535" s="218"/>
      <c r="B535" s="218"/>
      <c r="C535" s="456"/>
      <c r="D535" s="218"/>
      <c r="E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22"/>
      <c r="Q535" s="222"/>
      <c r="R535" s="222"/>
      <c r="S535" s="218"/>
    </row>
    <row r="536">
      <c r="A536" s="218"/>
      <c r="B536" s="218"/>
      <c r="C536" s="456"/>
      <c r="D536" s="218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22"/>
      <c r="Q536" s="222"/>
      <c r="R536" s="218"/>
      <c r="S536" s="218"/>
    </row>
    <row r="537">
      <c r="A537" s="218"/>
      <c r="B537" s="218"/>
      <c r="C537" s="456"/>
      <c r="D537" s="218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22"/>
      <c r="Q537" s="222"/>
      <c r="R537" s="222"/>
      <c r="S537" s="218"/>
    </row>
    <row r="538">
      <c r="A538" s="218"/>
      <c r="B538" s="218"/>
      <c r="C538" s="456"/>
      <c r="D538" s="218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22"/>
      <c r="Q538" s="222"/>
      <c r="R538" s="222"/>
      <c r="S538" s="222"/>
    </row>
    <row r="539">
      <c r="A539" s="218"/>
      <c r="B539" s="218"/>
      <c r="C539" s="456"/>
      <c r="D539" s="218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22"/>
      <c r="Q539" s="222"/>
      <c r="R539" s="222"/>
      <c r="S539" s="218"/>
    </row>
    <row r="540">
      <c r="A540" s="218"/>
      <c r="B540" s="218"/>
      <c r="C540" s="456"/>
      <c r="D540" s="218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22"/>
      <c r="Q540" s="222"/>
      <c r="R540" s="222"/>
      <c r="S540" s="222"/>
    </row>
    <row r="541">
      <c r="A541" s="218"/>
      <c r="B541" s="218"/>
      <c r="C541" s="456"/>
      <c r="D541" s="218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22"/>
      <c r="Q541" s="222"/>
      <c r="R541" s="222"/>
      <c r="S541" s="218"/>
    </row>
    <row r="542">
      <c r="A542" s="218"/>
      <c r="B542" s="218"/>
      <c r="C542" s="456"/>
      <c r="D542" s="218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22"/>
      <c r="Q542" s="222"/>
      <c r="R542" s="222"/>
      <c r="S542" s="222"/>
    </row>
    <row r="543">
      <c r="A543" s="218"/>
      <c r="B543" s="218"/>
      <c r="C543" s="456"/>
      <c r="D543" s="218"/>
      <c r="E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22"/>
      <c r="Q543" s="222"/>
      <c r="R543" s="222"/>
      <c r="S543" s="218"/>
    </row>
    <row r="544">
      <c r="A544" s="218"/>
      <c r="B544" s="218"/>
      <c r="C544" s="456"/>
      <c r="D544" s="218"/>
      <c r="E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22"/>
      <c r="Q544" s="222"/>
      <c r="R544" s="222"/>
      <c r="S544" s="222"/>
    </row>
    <row r="545">
      <c r="A545" s="218"/>
      <c r="B545" s="218"/>
      <c r="C545" s="456"/>
      <c r="D545" s="218"/>
      <c r="E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22"/>
      <c r="Q545" s="222"/>
      <c r="R545" s="222"/>
      <c r="S545" s="222"/>
    </row>
    <row r="546">
      <c r="A546" s="218"/>
      <c r="B546" s="218"/>
      <c r="C546" s="456"/>
      <c r="D546" s="218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22"/>
      <c r="Q546" s="222"/>
      <c r="R546" s="222"/>
      <c r="S546" s="218"/>
    </row>
    <row r="547">
      <c r="A547" s="218"/>
      <c r="B547" s="218"/>
      <c r="C547" s="456"/>
      <c r="D547" s="218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22"/>
      <c r="Q547" s="222"/>
      <c r="R547" s="218"/>
      <c r="S547" s="218"/>
    </row>
    <row r="548">
      <c r="A548" s="218"/>
      <c r="B548" s="218"/>
      <c r="C548" s="456"/>
      <c r="D548" s="218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22"/>
      <c r="Q548" s="222"/>
      <c r="R548" s="222"/>
      <c r="S548" s="218"/>
    </row>
    <row r="549">
      <c r="A549" s="218"/>
      <c r="B549" s="218"/>
      <c r="C549" s="456"/>
      <c r="D549" s="218"/>
      <c r="E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22"/>
      <c r="Q549" s="222"/>
      <c r="R549" s="222"/>
      <c r="S549" s="218"/>
    </row>
    <row r="550">
      <c r="A550" s="218"/>
      <c r="B550" s="218"/>
      <c r="C550" s="456"/>
      <c r="D550" s="218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22"/>
      <c r="Q550" s="222"/>
      <c r="R550" s="218"/>
      <c r="S550" s="218"/>
    </row>
    <row r="551">
      <c r="A551" s="218"/>
      <c r="B551" s="218"/>
      <c r="C551" s="456"/>
      <c r="D551" s="218"/>
      <c r="E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22"/>
      <c r="Q551" s="222"/>
      <c r="R551" s="222"/>
      <c r="S551" s="222"/>
    </row>
    <row r="552">
      <c r="A552" s="218"/>
      <c r="B552" s="218"/>
      <c r="C552" s="456"/>
      <c r="D552" s="21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22"/>
      <c r="Q552" s="222"/>
      <c r="R552" s="222"/>
      <c r="S552" s="218"/>
    </row>
    <row r="553">
      <c r="A553" s="218"/>
      <c r="B553" s="218"/>
      <c r="C553" s="456"/>
      <c r="D553" s="218"/>
      <c r="E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22"/>
      <c r="Q553" s="222"/>
      <c r="R553" s="222"/>
      <c r="S553" s="222"/>
    </row>
    <row r="554">
      <c r="A554" s="218"/>
      <c r="B554" s="218"/>
      <c r="C554" s="456"/>
      <c r="D554" s="218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22"/>
      <c r="Q554" s="222"/>
      <c r="R554" s="222"/>
      <c r="S554" s="218"/>
    </row>
    <row r="555">
      <c r="A555" s="218"/>
      <c r="B555" s="218"/>
      <c r="C555" s="456"/>
      <c r="D555" s="218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22"/>
      <c r="Q555" s="222"/>
      <c r="R555" s="222"/>
      <c r="S555" s="218"/>
    </row>
    <row r="556">
      <c r="A556" s="218"/>
      <c r="B556" s="218"/>
      <c r="C556" s="456"/>
      <c r="D556" s="218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22"/>
      <c r="Q556" s="222"/>
      <c r="R556" s="222"/>
      <c r="S556" s="222"/>
    </row>
    <row r="557">
      <c r="A557" s="218"/>
      <c r="B557" s="218"/>
      <c r="C557" s="456"/>
      <c r="D557" s="218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22"/>
      <c r="Q557" s="222"/>
      <c r="R557" s="222"/>
      <c r="S557" s="218"/>
    </row>
    <row r="558">
      <c r="A558" s="218"/>
      <c r="B558" s="218"/>
      <c r="C558" s="456"/>
      <c r="D558" s="218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22"/>
      <c r="Q558" s="222"/>
      <c r="R558" s="222"/>
      <c r="S558" s="222"/>
    </row>
    <row r="559">
      <c r="A559" s="218"/>
      <c r="B559" s="218"/>
      <c r="C559" s="456"/>
      <c r="D559" s="218"/>
      <c r="E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22"/>
      <c r="Q559" s="222"/>
      <c r="R559" s="222"/>
      <c r="S559" s="218"/>
    </row>
    <row r="560">
      <c r="A560" s="218"/>
      <c r="B560" s="218"/>
      <c r="C560" s="456"/>
      <c r="D560" s="218"/>
      <c r="E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22"/>
      <c r="Q560" s="222"/>
      <c r="R560" s="218"/>
      <c r="S560" s="218"/>
    </row>
    <row r="561">
      <c r="A561" s="218"/>
      <c r="B561" s="218"/>
      <c r="C561" s="456"/>
      <c r="D561" s="218"/>
      <c r="E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22"/>
      <c r="Q561" s="222"/>
      <c r="R561" s="222"/>
      <c r="S561" s="218"/>
    </row>
    <row r="562">
      <c r="A562" s="218"/>
      <c r="B562" s="218"/>
      <c r="C562" s="456"/>
      <c r="D562" s="218"/>
      <c r="E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22"/>
      <c r="Q562" s="222"/>
      <c r="R562" s="222"/>
      <c r="S562" s="222"/>
    </row>
    <row r="563">
      <c r="A563" s="218"/>
      <c r="B563" s="218"/>
      <c r="C563" s="456"/>
      <c r="D563" s="218"/>
      <c r="E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22"/>
      <c r="Q563" s="222"/>
      <c r="R563" s="222"/>
      <c r="S563" s="218"/>
    </row>
    <row r="564">
      <c r="A564" s="218"/>
      <c r="B564" s="218"/>
      <c r="C564" s="456"/>
      <c r="D564" s="218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22"/>
      <c r="Q564" s="222"/>
      <c r="R564" s="218"/>
      <c r="S564" s="218"/>
    </row>
    <row r="565">
      <c r="A565" s="218"/>
      <c r="B565" s="218"/>
      <c r="C565" s="456"/>
      <c r="D565" s="218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22"/>
      <c r="Q565" s="222"/>
      <c r="R565" s="222"/>
      <c r="S565" s="218"/>
    </row>
    <row r="566">
      <c r="A566" s="218"/>
      <c r="B566" s="218"/>
      <c r="C566" s="456"/>
      <c r="D566" s="218"/>
      <c r="E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22"/>
      <c r="Q566" s="222"/>
      <c r="R566" s="222"/>
      <c r="S566" s="222"/>
    </row>
    <row r="567">
      <c r="A567" s="218"/>
      <c r="B567" s="218"/>
      <c r="C567" s="456"/>
      <c r="D567" s="218"/>
      <c r="E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22"/>
      <c r="Q567" s="222"/>
      <c r="R567" s="222"/>
      <c r="S567" s="218"/>
    </row>
    <row r="568">
      <c r="A568" s="218"/>
      <c r="B568" s="218"/>
      <c r="C568" s="456"/>
      <c r="D568" s="218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22"/>
      <c r="Q568" s="222"/>
      <c r="R568" s="222"/>
      <c r="S568" s="222"/>
    </row>
    <row r="569">
      <c r="A569" s="218"/>
      <c r="B569" s="218"/>
      <c r="C569" s="456"/>
      <c r="D569" s="218"/>
      <c r="E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22"/>
      <c r="Q569" s="222"/>
      <c r="R569" s="222"/>
      <c r="S569" s="218"/>
    </row>
    <row r="570">
      <c r="A570" s="218"/>
      <c r="B570" s="218"/>
      <c r="C570" s="456"/>
      <c r="D570" s="218"/>
      <c r="E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22"/>
      <c r="Q570" s="222"/>
      <c r="R570" s="222"/>
      <c r="S570" s="218"/>
    </row>
    <row r="571">
      <c r="A571" s="218"/>
      <c r="B571" s="218"/>
      <c r="C571" s="456"/>
      <c r="D571" s="218"/>
      <c r="E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</row>
    <row r="572">
      <c r="A572" s="218"/>
      <c r="B572" s="218"/>
      <c r="C572" s="456"/>
      <c r="D572" s="218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22"/>
      <c r="Q572" s="222"/>
      <c r="R572" s="218"/>
      <c r="S572" s="218"/>
    </row>
    <row r="573">
      <c r="A573" s="218"/>
      <c r="B573" s="218"/>
      <c r="C573" s="456"/>
      <c r="D573" s="218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22"/>
      <c r="Q573" s="222"/>
      <c r="R573" s="222"/>
      <c r="S573" s="222"/>
    </row>
    <row r="574">
      <c r="A574" s="218"/>
      <c r="B574" s="218"/>
      <c r="C574" s="456"/>
      <c r="D574" s="218"/>
      <c r="E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22"/>
      <c r="Q574" s="222"/>
      <c r="R574" s="222"/>
      <c r="S574" s="218"/>
    </row>
    <row r="575">
      <c r="A575" s="218"/>
      <c r="B575" s="218"/>
      <c r="C575" s="456"/>
      <c r="D575" s="218"/>
      <c r="E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22"/>
      <c r="Q575" s="222"/>
      <c r="R575" s="222"/>
      <c r="S575" s="222"/>
    </row>
    <row r="576">
      <c r="A576" s="218"/>
      <c r="B576" s="218"/>
      <c r="C576" s="456"/>
      <c r="D576" s="218"/>
      <c r="E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22"/>
      <c r="Q576" s="222"/>
      <c r="R576" s="222"/>
      <c r="S576" s="222"/>
    </row>
    <row r="577">
      <c r="A577" s="218"/>
      <c r="B577" s="218"/>
      <c r="C577" s="456"/>
      <c r="D577" s="218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22"/>
      <c r="Q577" s="222"/>
      <c r="R577" s="222"/>
      <c r="S577" s="218"/>
    </row>
    <row r="578">
      <c r="A578" s="218"/>
      <c r="B578" s="218"/>
      <c r="C578" s="456"/>
      <c r="D578" s="218"/>
      <c r="E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</row>
    <row r="579">
      <c r="A579" s="218"/>
      <c r="B579" s="218"/>
      <c r="C579" s="456"/>
      <c r="D579" s="218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22"/>
      <c r="Q579" s="222"/>
      <c r="R579" s="218"/>
      <c r="S579" s="218"/>
    </row>
    <row r="580">
      <c r="A580" s="218"/>
      <c r="B580" s="218"/>
      <c r="C580" s="456"/>
      <c r="D580" s="218"/>
      <c r="E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22"/>
      <c r="Q580" s="222"/>
      <c r="R580" s="222"/>
      <c r="S580" s="218"/>
    </row>
    <row r="581">
      <c r="A581" s="218"/>
      <c r="B581" s="218"/>
      <c r="C581" s="456"/>
      <c r="D581" s="218"/>
      <c r="E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22"/>
      <c r="Q581" s="222"/>
      <c r="R581" s="222"/>
      <c r="S581" s="218"/>
    </row>
    <row r="582">
      <c r="A582" s="218"/>
      <c r="B582" s="218"/>
      <c r="C582" s="456"/>
      <c r="D582" s="218"/>
      <c r="E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22"/>
      <c r="Q582" s="222"/>
      <c r="R582" s="222"/>
      <c r="S582" s="218"/>
    </row>
    <row r="583">
      <c r="A583" s="218"/>
      <c r="B583" s="218"/>
      <c r="C583" s="456"/>
      <c r="D583" s="218"/>
      <c r="E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22"/>
      <c r="Q583" s="222"/>
      <c r="R583" s="222"/>
      <c r="S583" s="218"/>
    </row>
    <row r="584">
      <c r="A584" s="218"/>
      <c r="B584" s="218"/>
      <c r="C584" s="456"/>
      <c r="D584" s="218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22"/>
      <c r="Q584" s="222"/>
      <c r="R584" s="218"/>
      <c r="S584" s="218"/>
    </row>
    <row r="585">
      <c r="A585" s="218"/>
      <c r="B585" s="218"/>
      <c r="C585" s="456"/>
      <c r="D585" s="218"/>
      <c r="E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22"/>
      <c r="Q585" s="222"/>
      <c r="R585" s="222"/>
      <c r="S585" s="218"/>
    </row>
    <row r="586">
      <c r="A586" s="218"/>
      <c r="B586" s="218"/>
      <c r="C586" s="456"/>
      <c r="D586" s="218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22"/>
      <c r="Q586" s="222"/>
      <c r="R586" s="222"/>
      <c r="S586" s="218"/>
    </row>
    <row r="587">
      <c r="A587" s="218"/>
      <c r="B587" s="218"/>
      <c r="C587" s="456"/>
      <c r="D587" s="218"/>
      <c r="E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22"/>
      <c r="Q587" s="222"/>
      <c r="R587" s="222"/>
      <c r="S587" s="222"/>
    </row>
    <row r="588">
      <c r="A588" s="218"/>
      <c r="B588" s="218"/>
      <c r="C588" s="456"/>
      <c r="D588" s="218"/>
      <c r="E588" s="218"/>
      <c r="G588" s="218"/>
      <c r="H588" s="218"/>
      <c r="I588" s="218"/>
      <c r="J588" s="218"/>
      <c r="K588" s="218"/>
      <c r="L588" s="218"/>
      <c r="M588" s="218"/>
      <c r="N588" s="218"/>
      <c r="O588" s="218"/>
      <c r="P588" s="222"/>
      <c r="Q588" s="222"/>
      <c r="R588" s="222"/>
      <c r="S588" s="222"/>
    </row>
    <row r="589">
      <c r="A589" s="218"/>
      <c r="B589" s="218"/>
      <c r="C589" s="456"/>
      <c r="D589" s="218"/>
      <c r="E589" s="218"/>
      <c r="F589" s="218"/>
      <c r="G589" s="218"/>
      <c r="H589" s="218"/>
      <c r="I589" s="218"/>
      <c r="J589" s="218"/>
      <c r="K589" s="218"/>
      <c r="L589" s="218"/>
      <c r="M589" s="218"/>
      <c r="N589" s="218"/>
      <c r="O589" s="218"/>
      <c r="P589" s="222"/>
      <c r="Q589" s="222"/>
      <c r="R589" s="222"/>
      <c r="S589" s="222"/>
    </row>
    <row r="590">
      <c r="A590" s="218"/>
      <c r="B590" s="218"/>
      <c r="C590" s="456"/>
      <c r="D590" s="218"/>
      <c r="E590" s="218"/>
      <c r="F590" s="218"/>
      <c r="G590" s="218"/>
      <c r="H590" s="218"/>
      <c r="I590" s="218"/>
      <c r="J590" s="218"/>
      <c r="K590" s="218"/>
      <c r="L590" s="218"/>
      <c r="M590" s="218"/>
      <c r="N590" s="218"/>
      <c r="O590" s="218"/>
      <c r="P590" s="222"/>
      <c r="Q590" s="222"/>
      <c r="R590" s="222"/>
      <c r="S590" s="222"/>
    </row>
    <row r="591">
      <c r="A591" s="218"/>
      <c r="B591" s="218"/>
      <c r="C591" s="456"/>
      <c r="D591" s="218"/>
      <c r="E591" s="218"/>
      <c r="G591" s="218"/>
      <c r="H591" s="218"/>
      <c r="I591" s="218"/>
      <c r="J591" s="218"/>
      <c r="K591" s="218"/>
      <c r="L591" s="218"/>
      <c r="M591" s="218"/>
      <c r="N591" s="218"/>
      <c r="O591" s="218"/>
      <c r="P591" s="222"/>
      <c r="Q591" s="222"/>
      <c r="R591" s="222"/>
      <c r="S591" s="222"/>
    </row>
    <row r="592">
      <c r="A592" s="218"/>
      <c r="B592" s="218"/>
      <c r="C592" s="456"/>
      <c r="D592" s="218"/>
      <c r="E592" s="218"/>
      <c r="G592" s="218"/>
      <c r="H592" s="218"/>
      <c r="I592" s="218"/>
      <c r="J592" s="218"/>
      <c r="K592" s="218"/>
      <c r="L592" s="218"/>
      <c r="M592" s="218"/>
      <c r="N592" s="218"/>
      <c r="O592" s="218"/>
      <c r="P592" s="222"/>
      <c r="Q592" s="222"/>
      <c r="R592" s="222"/>
      <c r="S592" s="218"/>
    </row>
    <row r="593">
      <c r="A593" s="218"/>
      <c r="B593" s="218"/>
      <c r="C593" s="456"/>
      <c r="D593" s="218"/>
      <c r="E593" s="218"/>
      <c r="G593" s="218"/>
      <c r="H593" s="218"/>
      <c r="I593" s="218"/>
      <c r="J593" s="218"/>
      <c r="K593" s="218"/>
      <c r="L593" s="218"/>
      <c r="M593" s="218"/>
      <c r="N593" s="218"/>
      <c r="O593" s="218"/>
      <c r="P593" s="222"/>
      <c r="Q593" s="222"/>
      <c r="R593" s="222"/>
      <c r="S593" s="218"/>
    </row>
    <row r="594">
      <c r="A594" s="218"/>
      <c r="B594" s="218"/>
      <c r="C594" s="456"/>
      <c r="D594" s="218"/>
      <c r="E594" s="218"/>
      <c r="F594" s="218"/>
      <c r="G594" s="218"/>
      <c r="H594" s="218"/>
      <c r="I594" s="218"/>
      <c r="J594" s="218"/>
      <c r="K594" s="218"/>
      <c r="L594" s="218"/>
      <c r="M594" s="218"/>
      <c r="N594" s="218"/>
      <c r="O594" s="218"/>
      <c r="P594" s="222"/>
      <c r="Q594" s="222"/>
      <c r="R594" s="222"/>
      <c r="S594" s="222"/>
    </row>
    <row r="595">
      <c r="A595" s="218"/>
      <c r="B595" s="218"/>
      <c r="C595" s="456"/>
      <c r="D595" s="218"/>
      <c r="E595" s="218"/>
      <c r="F595" s="218"/>
      <c r="G595" s="218"/>
      <c r="H595" s="218"/>
      <c r="I595" s="218"/>
      <c r="J595" s="218"/>
      <c r="K595" s="218"/>
      <c r="L595" s="218"/>
      <c r="M595" s="218"/>
      <c r="N595" s="218"/>
      <c r="O595" s="218"/>
      <c r="P595" s="222"/>
      <c r="Q595" s="222"/>
      <c r="R595" s="222"/>
      <c r="S595" s="222"/>
    </row>
    <row r="596">
      <c r="A596" s="218"/>
      <c r="B596" s="218"/>
      <c r="C596" s="456"/>
      <c r="D596" s="218"/>
      <c r="E596" s="218"/>
      <c r="G596" s="218"/>
      <c r="H596" s="218"/>
      <c r="I596" s="218"/>
      <c r="J596" s="218"/>
      <c r="K596" s="218"/>
      <c r="L596" s="218"/>
      <c r="M596" s="218"/>
      <c r="N596" s="218"/>
      <c r="O596" s="218"/>
      <c r="P596" s="222"/>
      <c r="Q596" s="222"/>
      <c r="R596" s="222"/>
      <c r="S596" s="222"/>
    </row>
    <row r="597">
      <c r="A597" s="218"/>
      <c r="B597" s="218"/>
      <c r="C597" s="456"/>
      <c r="D597" s="218"/>
      <c r="E597" s="218"/>
      <c r="F597" s="218"/>
      <c r="G597" s="218"/>
      <c r="H597" s="218"/>
      <c r="I597" s="218"/>
      <c r="J597" s="218"/>
      <c r="K597" s="218"/>
      <c r="L597" s="218"/>
      <c r="M597" s="218"/>
      <c r="N597" s="218"/>
      <c r="O597" s="218"/>
      <c r="P597" s="222"/>
      <c r="Q597" s="222"/>
      <c r="R597" s="222"/>
      <c r="S597" s="222"/>
    </row>
    <row r="598">
      <c r="A598" s="218"/>
      <c r="B598" s="218"/>
      <c r="C598" s="456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218"/>
      <c r="O598" s="218"/>
      <c r="P598" s="222"/>
      <c r="Q598" s="222"/>
      <c r="R598" s="222"/>
      <c r="S598" s="222"/>
    </row>
    <row r="599">
      <c r="A599" s="218"/>
      <c r="B599" s="218"/>
      <c r="C599" s="456"/>
      <c r="D599" s="218"/>
      <c r="E599" s="218"/>
      <c r="F599" s="218"/>
      <c r="G599" s="218"/>
      <c r="H599" s="218"/>
      <c r="I599" s="218"/>
      <c r="J599" s="218"/>
      <c r="K599" s="218"/>
      <c r="L599" s="218"/>
      <c r="M599" s="218"/>
      <c r="N599" s="218"/>
      <c r="O599" s="218"/>
      <c r="P599" s="222"/>
      <c r="Q599" s="222"/>
      <c r="R599" s="222"/>
      <c r="S599" s="222"/>
    </row>
    <row r="600">
      <c r="A600" s="218"/>
      <c r="B600" s="218"/>
      <c r="C600" s="456"/>
      <c r="D600" s="218"/>
      <c r="E600" s="218"/>
      <c r="F600" s="218"/>
      <c r="G600" s="218"/>
      <c r="H600" s="218"/>
      <c r="I600" s="218"/>
      <c r="J600" s="218"/>
      <c r="K600" s="218"/>
      <c r="L600" s="218"/>
      <c r="M600" s="218"/>
      <c r="N600" s="218"/>
      <c r="O600" s="218"/>
      <c r="P600" s="222"/>
      <c r="Q600" s="222"/>
      <c r="R600" s="218"/>
      <c r="S600" s="218"/>
    </row>
    <row r="601">
      <c r="A601" s="218"/>
      <c r="B601" s="218"/>
      <c r="C601" s="456"/>
      <c r="D601" s="218"/>
      <c r="E601" s="218"/>
      <c r="F601" s="218"/>
      <c r="G601" s="218"/>
      <c r="H601" s="218"/>
      <c r="I601" s="218"/>
      <c r="J601" s="218"/>
      <c r="K601" s="218"/>
      <c r="L601" s="218"/>
      <c r="M601" s="218"/>
      <c r="N601" s="218"/>
      <c r="O601" s="218"/>
      <c r="P601" s="222"/>
      <c r="Q601" s="222"/>
      <c r="R601" s="222"/>
      <c r="S601" s="218"/>
    </row>
    <row r="602">
      <c r="A602" s="218"/>
      <c r="B602" s="218"/>
      <c r="C602" s="456"/>
      <c r="D602" s="218"/>
      <c r="E602" s="218"/>
      <c r="F602" s="218"/>
      <c r="G602" s="218"/>
      <c r="H602" s="218"/>
      <c r="I602" s="218"/>
      <c r="J602" s="218"/>
      <c r="K602" s="218"/>
      <c r="L602" s="218"/>
      <c r="M602" s="218"/>
      <c r="N602" s="218"/>
      <c r="O602" s="218"/>
      <c r="P602" s="222"/>
      <c r="Q602" s="222"/>
      <c r="R602" s="222"/>
      <c r="S602" s="222"/>
    </row>
    <row r="603">
      <c r="A603" s="218"/>
      <c r="B603" s="218"/>
      <c r="C603" s="456"/>
      <c r="D603" s="218"/>
      <c r="E603" s="218"/>
      <c r="F603" s="218"/>
      <c r="G603" s="218"/>
      <c r="H603" s="218"/>
      <c r="I603" s="218"/>
      <c r="J603" s="218"/>
      <c r="K603" s="218"/>
      <c r="L603" s="218"/>
      <c r="M603" s="218"/>
      <c r="N603" s="218"/>
      <c r="O603" s="218"/>
      <c r="P603" s="222"/>
      <c r="Q603" s="222"/>
      <c r="R603" s="222"/>
      <c r="S603" s="218"/>
    </row>
    <row r="604">
      <c r="A604" s="218"/>
      <c r="B604" s="218"/>
      <c r="C604" s="456"/>
      <c r="D604" s="218"/>
      <c r="E604" s="218"/>
      <c r="G604" s="218"/>
      <c r="H604" s="218"/>
      <c r="I604" s="218"/>
      <c r="J604" s="218"/>
      <c r="K604" s="218"/>
      <c r="L604" s="218"/>
      <c r="M604" s="218"/>
      <c r="N604" s="218"/>
      <c r="O604" s="218"/>
      <c r="P604" s="222"/>
      <c r="Q604" s="222"/>
      <c r="R604" s="222"/>
      <c r="S604" s="218"/>
    </row>
    <row r="605">
      <c r="A605" s="218"/>
      <c r="B605" s="218"/>
      <c r="C605" s="456"/>
      <c r="D605" s="218"/>
      <c r="E605" s="218"/>
      <c r="G605" s="218"/>
      <c r="H605" s="218"/>
      <c r="I605" s="218"/>
      <c r="J605" s="218"/>
      <c r="K605" s="218"/>
      <c r="L605" s="218"/>
      <c r="M605" s="218"/>
      <c r="N605" s="218"/>
      <c r="O605" s="218"/>
      <c r="P605" s="222"/>
      <c r="Q605" s="222"/>
      <c r="R605" s="222"/>
      <c r="S605" s="222"/>
    </row>
    <row r="606">
      <c r="A606" s="218"/>
      <c r="B606" s="218"/>
      <c r="C606" s="456"/>
      <c r="D606" s="218"/>
      <c r="E606" s="218"/>
      <c r="F606" s="218"/>
      <c r="G606" s="218"/>
      <c r="H606" s="218"/>
      <c r="I606" s="218"/>
      <c r="J606" s="218"/>
      <c r="K606" s="218"/>
      <c r="L606" s="218"/>
      <c r="M606" s="218"/>
      <c r="N606" s="218"/>
      <c r="O606" s="218"/>
      <c r="P606" s="222"/>
      <c r="Q606" s="222"/>
      <c r="R606" s="222"/>
      <c r="S606" s="222"/>
    </row>
    <row r="607">
      <c r="A607" s="218"/>
      <c r="B607" s="218"/>
      <c r="C607" s="456"/>
      <c r="D607" s="218"/>
      <c r="E607" s="218"/>
      <c r="G607" s="218"/>
      <c r="H607" s="218"/>
      <c r="I607" s="218"/>
      <c r="J607" s="218"/>
      <c r="K607" s="218"/>
      <c r="L607" s="218"/>
      <c r="M607" s="218"/>
      <c r="N607" s="218"/>
      <c r="O607" s="218"/>
      <c r="P607" s="222"/>
      <c r="Q607" s="222"/>
      <c r="R607" s="222"/>
      <c r="S607" s="218"/>
    </row>
    <row r="608">
      <c r="A608" s="218"/>
      <c r="B608" s="218"/>
      <c r="C608" s="456"/>
      <c r="D608" s="218"/>
      <c r="E608" s="218"/>
      <c r="G608" s="218"/>
      <c r="H608" s="218"/>
      <c r="I608" s="218"/>
      <c r="J608" s="218"/>
      <c r="K608" s="218"/>
      <c r="L608" s="218"/>
      <c r="M608" s="218"/>
      <c r="N608" s="218"/>
      <c r="O608" s="218"/>
      <c r="P608" s="222"/>
      <c r="Q608" s="222"/>
      <c r="R608" s="222"/>
      <c r="S608" s="218"/>
    </row>
    <row r="609">
      <c r="A609" s="218"/>
      <c r="B609" s="218"/>
      <c r="C609" s="456"/>
      <c r="D609" s="218"/>
      <c r="E609" s="218"/>
      <c r="G609" s="218"/>
      <c r="H609" s="218"/>
      <c r="I609" s="218"/>
      <c r="J609" s="218"/>
      <c r="K609" s="218"/>
      <c r="L609" s="218"/>
      <c r="M609" s="218"/>
      <c r="N609" s="218"/>
      <c r="O609" s="218"/>
      <c r="P609" s="222"/>
      <c r="Q609" s="222"/>
      <c r="R609" s="222"/>
      <c r="S609" s="218"/>
    </row>
    <row r="610">
      <c r="A610" s="218"/>
      <c r="B610" s="218"/>
      <c r="C610" s="456"/>
      <c r="D610" s="218"/>
      <c r="E610" s="218"/>
      <c r="G610" s="218"/>
      <c r="H610" s="218"/>
      <c r="I610" s="218"/>
      <c r="J610" s="218"/>
      <c r="K610" s="218"/>
      <c r="L610" s="218"/>
      <c r="M610" s="218"/>
      <c r="N610" s="218"/>
      <c r="O610" s="218"/>
      <c r="P610" s="222"/>
      <c r="Q610" s="222"/>
      <c r="R610" s="222"/>
      <c r="S610" s="218"/>
    </row>
    <row r="611">
      <c r="A611" s="218"/>
      <c r="B611" s="218"/>
      <c r="C611" s="456"/>
      <c r="D611" s="218"/>
      <c r="E611" s="218"/>
      <c r="G611" s="218"/>
      <c r="H611" s="218"/>
      <c r="I611" s="218"/>
      <c r="J611" s="218"/>
      <c r="K611" s="218"/>
      <c r="L611" s="218"/>
      <c r="M611" s="218"/>
      <c r="N611" s="218"/>
      <c r="O611" s="218"/>
      <c r="P611" s="222"/>
      <c r="Q611" s="222"/>
      <c r="R611" s="222"/>
      <c r="S611" s="222"/>
    </row>
    <row r="612">
      <c r="A612" s="218"/>
      <c r="B612" s="218"/>
      <c r="C612" s="456"/>
      <c r="D612" s="218"/>
      <c r="E612" s="218"/>
      <c r="F612" s="218"/>
      <c r="G612" s="218"/>
      <c r="H612" s="218"/>
      <c r="I612" s="218"/>
      <c r="J612" s="218"/>
      <c r="K612" s="218"/>
      <c r="L612" s="218"/>
      <c r="M612" s="218"/>
      <c r="N612" s="218"/>
      <c r="O612" s="218"/>
      <c r="P612" s="222"/>
      <c r="Q612" s="222"/>
      <c r="R612" s="222"/>
      <c r="S612" s="218"/>
    </row>
    <row r="613">
      <c r="A613" s="218"/>
      <c r="B613" s="218"/>
      <c r="C613" s="456"/>
      <c r="D613" s="218"/>
      <c r="E613" s="218"/>
      <c r="G613" s="218"/>
      <c r="H613" s="218"/>
      <c r="I613" s="218"/>
      <c r="J613" s="218"/>
      <c r="K613" s="218"/>
      <c r="L613" s="218"/>
      <c r="M613" s="218"/>
      <c r="N613" s="218"/>
      <c r="O613" s="218"/>
      <c r="P613" s="222"/>
      <c r="Q613" s="222"/>
      <c r="R613" s="222"/>
      <c r="S613" s="218"/>
    </row>
    <row r="614">
      <c r="A614" s="218"/>
      <c r="B614" s="218"/>
      <c r="C614" s="456"/>
      <c r="D614" s="218"/>
      <c r="E614" s="218"/>
      <c r="G614" s="218"/>
      <c r="H614" s="218"/>
      <c r="I614" s="218"/>
      <c r="J614" s="218"/>
      <c r="K614" s="218"/>
      <c r="L614" s="218"/>
      <c r="M614" s="218"/>
      <c r="N614" s="218"/>
      <c r="O614" s="218"/>
      <c r="P614" s="222"/>
      <c r="Q614" s="222"/>
      <c r="R614" s="222"/>
      <c r="S614" s="218"/>
    </row>
    <row r="615">
      <c r="A615" s="218"/>
      <c r="B615" s="218"/>
      <c r="C615" s="456"/>
      <c r="D615" s="218"/>
      <c r="E615" s="218"/>
      <c r="G615" s="218"/>
      <c r="H615" s="218"/>
      <c r="I615" s="218"/>
      <c r="J615" s="218"/>
      <c r="K615" s="218"/>
      <c r="L615" s="218"/>
      <c r="M615" s="218"/>
      <c r="N615" s="218"/>
      <c r="O615" s="218"/>
      <c r="P615" s="222"/>
      <c r="Q615" s="222"/>
      <c r="R615" s="222"/>
      <c r="S615" s="218"/>
    </row>
    <row r="616">
      <c r="A616" s="218"/>
      <c r="B616" s="218"/>
      <c r="C616" s="456"/>
      <c r="D616" s="218"/>
      <c r="E616" s="218"/>
      <c r="G616" s="218"/>
      <c r="H616" s="218"/>
      <c r="I616" s="218"/>
      <c r="J616" s="218"/>
      <c r="K616" s="218"/>
      <c r="L616" s="218"/>
      <c r="M616" s="218"/>
      <c r="N616" s="218"/>
      <c r="O616" s="218"/>
      <c r="P616" s="222"/>
      <c r="Q616" s="222"/>
      <c r="R616" s="222"/>
      <c r="S616" s="218"/>
    </row>
    <row r="617">
      <c r="A617" s="218"/>
      <c r="B617" s="218"/>
      <c r="C617" s="456"/>
      <c r="D617" s="218"/>
      <c r="E617" s="218"/>
      <c r="G617" s="218"/>
      <c r="H617" s="218"/>
      <c r="I617" s="218"/>
      <c r="J617" s="218"/>
      <c r="K617" s="218"/>
      <c r="L617" s="218"/>
      <c r="M617" s="218"/>
      <c r="N617" s="218"/>
      <c r="O617" s="218"/>
      <c r="P617" s="222"/>
      <c r="Q617" s="222"/>
      <c r="R617" s="222"/>
      <c r="S617" s="218"/>
    </row>
    <row r="618">
      <c r="A618" s="218"/>
      <c r="B618" s="218"/>
      <c r="C618" s="456"/>
      <c r="D618" s="218"/>
      <c r="E618" s="218"/>
      <c r="G618" s="218"/>
      <c r="H618" s="218"/>
      <c r="I618" s="218"/>
      <c r="J618" s="218"/>
      <c r="K618" s="218"/>
      <c r="L618" s="218"/>
      <c r="M618" s="218"/>
      <c r="N618" s="218"/>
      <c r="O618" s="218"/>
      <c r="P618" s="222"/>
      <c r="Q618" s="222"/>
      <c r="R618" s="222"/>
      <c r="S618" s="218"/>
    </row>
    <row r="619">
      <c r="A619" s="218"/>
      <c r="B619" s="218"/>
      <c r="C619" s="456"/>
      <c r="D619" s="218"/>
      <c r="E619" s="218"/>
      <c r="G619" s="218"/>
      <c r="H619" s="218"/>
      <c r="I619" s="218"/>
      <c r="J619" s="218"/>
      <c r="K619" s="218"/>
      <c r="L619" s="218"/>
      <c r="M619" s="218"/>
      <c r="N619" s="218"/>
      <c r="O619" s="218"/>
      <c r="P619" s="222"/>
      <c r="Q619" s="222"/>
      <c r="R619" s="222"/>
      <c r="S619" s="218"/>
    </row>
    <row r="620">
      <c r="A620" s="218"/>
      <c r="B620" s="218"/>
      <c r="C620" s="456"/>
      <c r="D620" s="218"/>
      <c r="E620" s="218"/>
      <c r="G620" s="218"/>
      <c r="H620" s="218"/>
      <c r="I620" s="218"/>
      <c r="J620" s="218"/>
      <c r="K620" s="218"/>
      <c r="L620" s="218"/>
      <c r="M620" s="218"/>
      <c r="N620" s="218"/>
      <c r="O620" s="218"/>
      <c r="P620" s="218"/>
      <c r="Q620" s="218"/>
      <c r="R620" s="218"/>
      <c r="S620" s="218"/>
    </row>
    <row r="621">
      <c r="A621" s="218"/>
      <c r="B621" s="218"/>
      <c r="C621" s="456"/>
      <c r="D621" s="218"/>
      <c r="E621" s="218"/>
      <c r="G621" s="218"/>
      <c r="H621" s="218"/>
      <c r="I621" s="218"/>
      <c r="J621" s="218"/>
      <c r="K621" s="218"/>
      <c r="L621" s="218"/>
      <c r="M621" s="218"/>
      <c r="N621" s="218"/>
      <c r="O621" s="218"/>
      <c r="P621" s="222"/>
      <c r="Q621" s="222"/>
      <c r="R621" s="222"/>
      <c r="S621" s="218"/>
    </row>
    <row r="622">
      <c r="A622" s="218"/>
      <c r="B622" s="218"/>
      <c r="C622" s="456"/>
      <c r="E622" s="218"/>
      <c r="F622" s="218"/>
      <c r="G622" s="218"/>
      <c r="H622" s="218"/>
      <c r="I622" s="218"/>
      <c r="J622" s="218"/>
      <c r="K622" s="218"/>
      <c r="L622" s="218"/>
      <c r="M622" s="218"/>
      <c r="N622" s="218"/>
      <c r="O622" s="218"/>
      <c r="P622" s="222"/>
      <c r="Q622" s="222"/>
      <c r="R622" s="218"/>
      <c r="S622" s="218"/>
    </row>
    <row r="623">
      <c r="A623" s="218"/>
      <c r="B623" s="218"/>
      <c r="C623" s="456"/>
      <c r="E623" s="218"/>
      <c r="F623" s="218"/>
      <c r="G623" s="218"/>
      <c r="H623" s="218"/>
      <c r="I623" s="218"/>
      <c r="J623" s="218"/>
      <c r="K623" s="218"/>
      <c r="L623" s="218"/>
      <c r="M623" s="218"/>
      <c r="N623" s="218"/>
      <c r="O623" s="218"/>
      <c r="P623" s="222"/>
      <c r="Q623" s="222"/>
      <c r="R623" s="218"/>
      <c r="S623" s="218"/>
    </row>
    <row r="624">
      <c r="A624" s="218"/>
      <c r="B624" s="218"/>
      <c r="C624" s="456"/>
      <c r="D624" s="218"/>
      <c r="E624" s="218"/>
      <c r="G624" s="218"/>
      <c r="H624" s="218"/>
      <c r="I624" s="218"/>
      <c r="J624" s="218"/>
      <c r="K624" s="218"/>
      <c r="L624" s="218"/>
      <c r="M624" s="218"/>
      <c r="N624" s="218"/>
      <c r="O624" s="218"/>
      <c r="P624" s="222"/>
      <c r="Q624" s="222"/>
      <c r="R624" s="222"/>
      <c r="S624" s="218"/>
    </row>
    <row r="625">
      <c r="A625" s="218"/>
      <c r="B625" s="218"/>
      <c r="C625" s="456"/>
      <c r="D625" s="218"/>
      <c r="E625" s="218"/>
      <c r="G625" s="218"/>
      <c r="H625" s="218"/>
      <c r="I625" s="218"/>
      <c r="J625" s="218"/>
      <c r="K625" s="218"/>
      <c r="L625" s="218"/>
      <c r="M625" s="218"/>
      <c r="N625" s="218"/>
      <c r="O625" s="218"/>
      <c r="P625" s="222"/>
      <c r="Q625" s="222"/>
      <c r="R625" s="222"/>
      <c r="S625" s="218"/>
    </row>
    <row r="626">
      <c r="A626" s="218"/>
      <c r="B626" s="218"/>
      <c r="C626" s="456"/>
      <c r="E626" s="218"/>
      <c r="F626" s="218"/>
      <c r="G626" s="218"/>
      <c r="H626" s="218"/>
      <c r="I626" s="218"/>
      <c r="J626" s="218"/>
      <c r="K626" s="218"/>
      <c r="L626" s="218"/>
      <c r="M626" s="218"/>
      <c r="N626" s="218"/>
      <c r="O626" s="218"/>
      <c r="P626" s="222"/>
      <c r="Q626" s="222"/>
      <c r="R626" s="218"/>
      <c r="S626" s="218"/>
    </row>
    <row r="627">
      <c r="A627" s="218"/>
      <c r="B627" s="218"/>
      <c r="C627" s="456"/>
      <c r="E627" s="218"/>
      <c r="F627" s="218"/>
      <c r="G627" s="218"/>
      <c r="H627" s="218"/>
      <c r="I627" s="218"/>
      <c r="J627" s="218"/>
      <c r="K627" s="218"/>
      <c r="L627" s="218"/>
      <c r="M627" s="218"/>
      <c r="N627" s="218"/>
      <c r="O627" s="218"/>
      <c r="P627" s="222"/>
      <c r="Q627" s="222"/>
      <c r="R627" s="218"/>
      <c r="S627" s="218"/>
    </row>
    <row r="628">
      <c r="A628" s="218"/>
      <c r="B628" s="218"/>
      <c r="C628" s="456"/>
      <c r="D628" s="218"/>
      <c r="E628" s="218"/>
      <c r="G628" s="218"/>
      <c r="H628" s="218"/>
      <c r="I628" s="218"/>
      <c r="J628" s="218"/>
      <c r="K628" s="218"/>
      <c r="L628" s="218"/>
      <c r="M628" s="218"/>
      <c r="N628" s="218"/>
      <c r="O628" s="218"/>
      <c r="P628" s="222"/>
      <c r="Q628" s="222"/>
      <c r="R628" s="222"/>
      <c r="S628" s="222"/>
    </row>
    <row r="629">
      <c r="A629" s="218"/>
      <c r="B629" s="218"/>
      <c r="C629" s="456"/>
      <c r="E629" s="218"/>
      <c r="F629" s="218"/>
      <c r="G629" s="218"/>
      <c r="H629" s="218"/>
      <c r="I629" s="218"/>
      <c r="J629" s="218"/>
      <c r="K629" s="218"/>
      <c r="L629" s="218"/>
      <c r="M629" s="218"/>
      <c r="N629" s="218"/>
      <c r="O629" s="218"/>
      <c r="P629" s="222"/>
      <c r="Q629" s="222"/>
      <c r="R629" s="218"/>
      <c r="S629" s="218"/>
    </row>
    <row r="630">
      <c r="A630" s="218"/>
      <c r="B630" s="218"/>
      <c r="C630" s="456"/>
      <c r="E630" s="218"/>
      <c r="F630" s="218"/>
      <c r="G630" s="218"/>
      <c r="H630" s="218"/>
      <c r="I630" s="218"/>
      <c r="J630" s="218"/>
      <c r="K630" s="218"/>
      <c r="L630" s="218"/>
      <c r="M630" s="218"/>
      <c r="N630" s="218"/>
      <c r="O630" s="218"/>
      <c r="P630" s="222"/>
      <c r="Q630" s="222"/>
      <c r="R630" s="218"/>
      <c r="S630" s="218"/>
    </row>
    <row r="631">
      <c r="A631" s="218"/>
      <c r="B631" s="218"/>
      <c r="C631" s="456"/>
      <c r="E631" s="218"/>
      <c r="F631" s="218"/>
      <c r="G631" s="218"/>
      <c r="H631" s="218"/>
      <c r="I631" s="218"/>
      <c r="J631" s="218"/>
      <c r="K631" s="218"/>
      <c r="L631" s="218"/>
      <c r="M631" s="218"/>
      <c r="N631" s="218"/>
      <c r="O631" s="218"/>
      <c r="P631" s="222"/>
      <c r="Q631" s="222"/>
      <c r="R631" s="218"/>
      <c r="S631" s="218"/>
    </row>
    <row r="632">
      <c r="A632" s="218"/>
      <c r="B632" s="218"/>
      <c r="C632" s="456"/>
      <c r="E632" s="218"/>
      <c r="F632" s="218"/>
      <c r="G632" s="218"/>
      <c r="H632" s="218"/>
      <c r="I632" s="218"/>
      <c r="J632" s="218"/>
      <c r="K632" s="218"/>
      <c r="L632" s="218"/>
      <c r="M632" s="218"/>
      <c r="N632" s="218"/>
      <c r="O632" s="218"/>
      <c r="P632" s="222"/>
      <c r="Q632" s="222"/>
      <c r="R632" s="218"/>
      <c r="S632" s="218"/>
    </row>
    <row r="633">
      <c r="A633" s="218"/>
      <c r="B633" s="218"/>
      <c r="C633" s="456"/>
      <c r="D633" s="218"/>
      <c r="E633" s="218"/>
      <c r="G633" s="218"/>
      <c r="H633" s="218"/>
      <c r="I633" s="218"/>
      <c r="J633" s="218"/>
      <c r="K633" s="218"/>
      <c r="L633" s="218"/>
      <c r="M633" s="218"/>
      <c r="N633" s="218"/>
      <c r="O633" s="218"/>
      <c r="P633" s="222"/>
      <c r="Q633" s="222"/>
      <c r="R633" s="218"/>
      <c r="S633" s="218"/>
    </row>
    <row r="634">
      <c r="A634" s="218"/>
      <c r="B634" s="218"/>
      <c r="C634" s="456"/>
      <c r="E634" s="218"/>
      <c r="F634" s="218"/>
      <c r="G634" s="218"/>
      <c r="H634" s="218"/>
      <c r="I634" s="218"/>
      <c r="J634" s="218"/>
      <c r="K634" s="218"/>
      <c r="L634" s="218"/>
      <c r="M634" s="218"/>
      <c r="N634" s="218"/>
      <c r="P634" s="222"/>
      <c r="Q634" s="222"/>
      <c r="R634" s="218"/>
      <c r="S634" s="218"/>
    </row>
    <row r="635">
      <c r="A635" s="218"/>
      <c r="B635" s="218"/>
      <c r="C635" s="456"/>
      <c r="D635" s="218"/>
      <c r="E635" s="218"/>
      <c r="G635" s="218"/>
      <c r="H635" s="218"/>
      <c r="I635" s="218"/>
      <c r="J635" s="218"/>
      <c r="K635" s="218"/>
      <c r="L635" s="218"/>
      <c r="M635" s="218"/>
      <c r="N635" s="218"/>
      <c r="O635" s="218"/>
      <c r="P635" s="222"/>
      <c r="Q635" s="222"/>
      <c r="R635" s="222"/>
      <c r="S635" s="222"/>
    </row>
    <row r="636">
      <c r="A636" s="218"/>
      <c r="B636" s="218"/>
      <c r="C636" s="456"/>
      <c r="D636" s="218"/>
      <c r="E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22"/>
      <c r="Q636" s="222"/>
      <c r="R636" s="222"/>
      <c r="S636" s="218"/>
    </row>
    <row r="637">
      <c r="A637" s="218"/>
      <c r="B637" s="218"/>
      <c r="C637" s="456"/>
      <c r="D637" s="218"/>
      <c r="E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22"/>
      <c r="Q637" s="222"/>
      <c r="R637" s="222"/>
      <c r="S637" s="218"/>
    </row>
    <row r="638">
      <c r="A638" s="218"/>
      <c r="B638" s="218"/>
      <c r="C638" s="456"/>
      <c r="D638" s="218"/>
      <c r="E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22"/>
      <c r="Q638" s="222"/>
      <c r="R638" s="222"/>
      <c r="S638" s="218"/>
    </row>
    <row r="639">
      <c r="A639" s="218"/>
      <c r="B639" s="218"/>
      <c r="C639" s="456"/>
      <c r="D639" s="218"/>
      <c r="E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22"/>
      <c r="Q639" s="222"/>
      <c r="R639" s="222"/>
      <c r="S639" s="218"/>
    </row>
    <row r="640">
      <c r="A640" s="218"/>
      <c r="B640" s="218"/>
      <c r="C640" s="456"/>
      <c r="D640" s="218"/>
      <c r="E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22"/>
      <c r="Q640" s="222"/>
      <c r="R640" s="222"/>
      <c r="S640" s="218"/>
    </row>
    <row r="641">
      <c r="A641" s="218"/>
      <c r="B641" s="218"/>
      <c r="C641" s="456"/>
      <c r="E641" s="218"/>
      <c r="F641" s="218"/>
      <c r="G641" s="218"/>
      <c r="H641" s="218"/>
      <c r="I641" s="218"/>
      <c r="J641" s="218"/>
      <c r="K641" s="218"/>
      <c r="L641" s="218"/>
      <c r="M641" s="218"/>
      <c r="N641" s="218"/>
      <c r="O641" s="218"/>
      <c r="P641" s="222"/>
      <c r="Q641" s="222"/>
      <c r="R641" s="218"/>
      <c r="S641" s="218"/>
    </row>
    <row r="642">
      <c r="A642" s="218"/>
      <c r="B642" s="218"/>
      <c r="C642" s="456"/>
      <c r="D642" s="218"/>
      <c r="E642" s="218"/>
      <c r="G642" s="218"/>
      <c r="H642" s="218"/>
      <c r="I642" s="218"/>
      <c r="J642" s="218"/>
      <c r="K642" s="218"/>
      <c r="L642" s="218"/>
      <c r="M642" s="218"/>
      <c r="N642" s="218"/>
      <c r="O642" s="218"/>
      <c r="P642" s="218"/>
      <c r="Q642" s="218"/>
      <c r="R642" s="218"/>
      <c r="S642" s="218"/>
    </row>
    <row r="643">
      <c r="A643" s="218"/>
      <c r="B643" s="218"/>
      <c r="C643" s="456"/>
      <c r="D643" s="218"/>
      <c r="E643" s="218"/>
      <c r="G643" s="218"/>
      <c r="H643" s="218"/>
      <c r="I643" s="218"/>
      <c r="J643" s="218"/>
      <c r="K643" s="218"/>
      <c r="L643" s="218"/>
      <c r="M643" s="218"/>
      <c r="N643" s="218"/>
      <c r="O643" s="218"/>
      <c r="P643" s="218"/>
      <c r="Q643" s="218"/>
      <c r="R643" s="218"/>
      <c r="S643" s="218"/>
    </row>
    <row r="644">
      <c r="A644" s="218"/>
      <c r="B644" s="218"/>
      <c r="C644" s="456"/>
      <c r="D644" s="218"/>
      <c r="E644" s="218"/>
      <c r="G644" s="218"/>
      <c r="H644" s="218"/>
      <c r="I644" s="218"/>
      <c r="J644" s="218"/>
      <c r="K644" s="218"/>
      <c r="L644" s="218"/>
      <c r="M644" s="218"/>
      <c r="N644" s="218"/>
      <c r="O644" s="218"/>
      <c r="P644" s="222"/>
      <c r="Q644" s="222"/>
      <c r="R644" s="218"/>
      <c r="S644" s="218"/>
    </row>
    <row r="645">
      <c r="A645" s="218"/>
      <c r="B645" s="218"/>
      <c r="C645" s="456"/>
      <c r="E645" s="218"/>
      <c r="F645" s="218"/>
      <c r="G645" s="218"/>
      <c r="H645" s="218"/>
      <c r="I645" s="218"/>
      <c r="J645" s="218"/>
      <c r="K645" s="218"/>
      <c r="L645" s="218"/>
      <c r="M645" s="218"/>
      <c r="N645" s="218"/>
      <c r="P645" s="222"/>
      <c r="Q645" s="222"/>
      <c r="R645" s="218"/>
      <c r="S645" s="218"/>
    </row>
    <row r="646">
      <c r="A646" s="218"/>
      <c r="B646" s="218"/>
      <c r="C646" s="456"/>
      <c r="D646" s="218"/>
      <c r="E646" s="218"/>
      <c r="G646" s="218"/>
      <c r="H646" s="218"/>
      <c r="I646" s="218"/>
      <c r="J646" s="218"/>
      <c r="K646" s="218"/>
      <c r="L646" s="218"/>
      <c r="M646" s="218"/>
      <c r="N646" s="218"/>
      <c r="O646" s="218"/>
      <c r="P646" s="222"/>
      <c r="Q646" s="222"/>
      <c r="R646" s="222"/>
      <c r="S646" s="218"/>
    </row>
    <row r="647">
      <c r="A647" s="218"/>
      <c r="B647" s="218"/>
      <c r="C647" s="456"/>
      <c r="D647" s="218"/>
      <c r="E647" s="218"/>
      <c r="G647" s="218"/>
      <c r="H647" s="218"/>
      <c r="I647" s="218"/>
      <c r="J647" s="218"/>
      <c r="K647" s="218"/>
      <c r="L647" s="218"/>
      <c r="M647" s="218"/>
      <c r="N647" s="218"/>
      <c r="O647" s="218"/>
      <c r="P647" s="218"/>
      <c r="Q647" s="218"/>
      <c r="R647" s="218"/>
      <c r="S647" s="218"/>
    </row>
    <row r="648">
      <c r="A648" s="218"/>
      <c r="B648" s="218"/>
      <c r="C648" s="456"/>
      <c r="D648" s="218"/>
      <c r="E648" s="218"/>
      <c r="G648" s="218"/>
      <c r="H648" s="218"/>
      <c r="I648" s="218"/>
      <c r="J648" s="218"/>
      <c r="K648" s="218"/>
      <c r="L648" s="218"/>
      <c r="M648" s="218"/>
      <c r="N648" s="218"/>
      <c r="O648" s="218"/>
      <c r="P648" s="218"/>
      <c r="Q648" s="218"/>
      <c r="R648" s="218"/>
      <c r="S648" s="218"/>
    </row>
    <row r="649">
      <c r="A649" s="218"/>
      <c r="B649" s="218"/>
      <c r="C649" s="456"/>
      <c r="E649" s="218"/>
      <c r="F649" s="218"/>
      <c r="G649" s="218"/>
      <c r="H649" s="218"/>
      <c r="I649" s="218"/>
      <c r="J649" s="218"/>
      <c r="K649" s="218"/>
      <c r="L649" s="218"/>
      <c r="M649" s="218"/>
      <c r="N649" s="218"/>
      <c r="P649" s="222"/>
      <c r="Q649" s="222"/>
      <c r="R649" s="218"/>
      <c r="S649" s="218"/>
    </row>
    <row r="650">
      <c r="A650" s="218"/>
      <c r="B650" s="218"/>
      <c r="C650" s="456"/>
      <c r="E650" s="218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22"/>
      <c r="Q650" s="222"/>
      <c r="R650" s="218"/>
      <c r="S650" s="218"/>
    </row>
    <row r="651">
      <c r="A651" s="218"/>
      <c r="B651" s="218"/>
      <c r="C651" s="456"/>
      <c r="E651" s="218"/>
      <c r="F651" s="218"/>
      <c r="G651" s="218"/>
      <c r="H651" s="218"/>
      <c r="I651" s="218"/>
      <c r="J651" s="218"/>
      <c r="K651" s="218"/>
      <c r="L651" s="218"/>
      <c r="M651" s="218"/>
      <c r="N651" s="218"/>
      <c r="P651" s="218"/>
      <c r="Q651" s="218"/>
      <c r="R651" s="218"/>
      <c r="S651" s="218"/>
    </row>
    <row r="652">
      <c r="A652" s="218"/>
      <c r="B652" s="218"/>
      <c r="C652" s="456"/>
      <c r="E652" s="218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</row>
    <row r="653">
      <c r="A653" s="218"/>
      <c r="B653" s="218"/>
      <c r="C653" s="456"/>
      <c r="D653" s="218"/>
      <c r="E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22"/>
      <c r="Q653" s="222"/>
      <c r="R653" s="222"/>
      <c r="S653" s="218"/>
    </row>
    <row r="654">
      <c r="A654" s="218"/>
      <c r="B654" s="218"/>
      <c r="C654" s="456"/>
      <c r="D654" s="218"/>
      <c r="E654" s="218"/>
      <c r="G654" s="218"/>
      <c r="H654" s="218"/>
      <c r="I654" s="218"/>
      <c r="J654" s="218"/>
      <c r="K654" s="218"/>
      <c r="L654" s="218"/>
      <c r="M654" s="218"/>
      <c r="N654" s="218"/>
      <c r="O654" s="218"/>
      <c r="P654" s="218"/>
      <c r="Q654" s="218"/>
      <c r="R654" s="218"/>
      <c r="S654" s="218"/>
    </row>
    <row r="655">
      <c r="A655" s="218"/>
      <c r="B655" s="218"/>
      <c r="C655" s="456"/>
      <c r="D655" s="218"/>
      <c r="E655" s="218"/>
      <c r="G655" s="218"/>
      <c r="H655" s="218"/>
      <c r="I655" s="218"/>
      <c r="J655" s="218"/>
      <c r="K655" s="218"/>
      <c r="L655" s="218"/>
      <c r="M655" s="218"/>
      <c r="N655" s="218"/>
      <c r="O655" s="218"/>
      <c r="P655" s="218"/>
      <c r="Q655" s="218"/>
      <c r="R655" s="218"/>
      <c r="S655" s="218"/>
    </row>
    <row r="656">
      <c r="A656" s="218"/>
      <c r="B656" s="218"/>
      <c r="C656" s="456"/>
      <c r="D656" s="218"/>
      <c r="E656" s="218"/>
      <c r="G656" s="218"/>
      <c r="H656" s="218"/>
      <c r="I656" s="218"/>
      <c r="J656" s="218"/>
      <c r="K656" s="218"/>
      <c r="L656" s="218"/>
      <c r="M656" s="218"/>
      <c r="N656" s="218"/>
      <c r="O656" s="218"/>
      <c r="P656" s="218"/>
      <c r="Q656" s="218"/>
      <c r="R656" s="218"/>
      <c r="S656" s="218"/>
    </row>
    <row r="657">
      <c r="A657" s="218"/>
      <c r="B657" s="218"/>
      <c r="C657" s="456"/>
      <c r="D657" s="218"/>
      <c r="E657" s="218"/>
      <c r="G657" s="218"/>
      <c r="H657" s="218"/>
      <c r="I657" s="218"/>
      <c r="J657" s="218"/>
      <c r="K657" s="218"/>
      <c r="L657" s="218"/>
      <c r="M657" s="218"/>
      <c r="N657" s="218"/>
      <c r="O657" s="218"/>
      <c r="P657" s="222"/>
      <c r="Q657" s="222"/>
      <c r="R657" s="222"/>
      <c r="S657" s="218"/>
    </row>
    <row r="658">
      <c r="A658" s="218"/>
      <c r="B658" s="218"/>
      <c r="C658" s="456"/>
      <c r="E658" s="218"/>
      <c r="F658" s="218"/>
      <c r="G658" s="218"/>
      <c r="H658" s="218"/>
      <c r="I658" s="218"/>
      <c r="J658" s="218"/>
      <c r="K658" s="218"/>
      <c r="L658" s="218"/>
      <c r="M658" s="218"/>
      <c r="N658" s="218"/>
      <c r="O658" s="218"/>
      <c r="P658" s="222"/>
      <c r="Q658" s="222"/>
      <c r="R658" s="218"/>
      <c r="S658" s="218"/>
    </row>
    <row r="659">
      <c r="A659" s="218"/>
      <c r="B659" s="218"/>
      <c r="C659" s="456"/>
      <c r="D659" s="218"/>
      <c r="E659" s="218"/>
      <c r="G659" s="218"/>
      <c r="H659" s="218"/>
      <c r="I659" s="218"/>
      <c r="J659" s="218"/>
      <c r="K659" s="218"/>
      <c r="L659" s="218"/>
      <c r="M659" s="218"/>
      <c r="N659" s="218"/>
      <c r="O659" s="218"/>
      <c r="P659" s="218"/>
      <c r="Q659" s="218"/>
      <c r="R659" s="218"/>
      <c r="S659" s="218"/>
    </row>
    <row r="660">
      <c r="A660" s="218"/>
      <c r="B660" s="218"/>
      <c r="C660" s="456"/>
      <c r="E660" s="218"/>
      <c r="F660" s="218"/>
      <c r="G660" s="218"/>
      <c r="H660" s="218"/>
      <c r="I660" s="218"/>
      <c r="J660" s="218"/>
      <c r="K660" s="218"/>
      <c r="L660" s="218"/>
      <c r="M660" s="218"/>
      <c r="N660" s="218"/>
      <c r="P660" s="222"/>
      <c r="Q660" s="222"/>
      <c r="R660" s="218"/>
      <c r="S660" s="218"/>
    </row>
    <row r="661">
      <c r="A661" s="218"/>
      <c r="B661" s="218"/>
      <c r="C661" s="456"/>
      <c r="E661" s="218"/>
      <c r="F661" s="218"/>
      <c r="G661" s="218"/>
      <c r="H661" s="218"/>
      <c r="I661" s="218"/>
      <c r="J661" s="218"/>
      <c r="K661" s="218"/>
      <c r="L661" s="218"/>
      <c r="M661" s="218"/>
      <c r="N661" s="218"/>
      <c r="P661" s="222"/>
      <c r="Q661" s="222"/>
      <c r="R661" s="218"/>
      <c r="S661" s="218"/>
    </row>
    <row r="662">
      <c r="A662" s="218"/>
      <c r="B662" s="218"/>
      <c r="C662" s="456"/>
      <c r="E662" s="218"/>
      <c r="F662" s="218"/>
      <c r="G662" s="218"/>
      <c r="H662" s="218"/>
      <c r="I662" s="218"/>
      <c r="J662" s="218"/>
      <c r="K662" s="218"/>
      <c r="L662" s="218"/>
      <c r="M662" s="218"/>
      <c r="N662" s="218"/>
      <c r="O662" s="218"/>
      <c r="P662" s="222"/>
      <c r="Q662" s="222"/>
      <c r="R662" s="218"/>
      <c r="S662" s="218"/>
    </row>
    <row r="663">
      <c r="A663" s="218"/>
      <c r="B663" s="218"/>
      <c r="C663" s="456"/>
      <c r="E663" s="218"/>
      <c r="F663" s="218"/>
      <c r="G663" s="218"/>
      <c r="H663" s="218"/>
      <c r="I663" s="218"/>
      <c r="J663" s="218"/>
      <c r="K663" s="218"/>
      <c r="L663" s="218"/>
      <c r="M663" s="218"/>
      <c r="N663" s="218"/>
      <c r="O663" s="218"/>
      <c r="P663" s="222"/>
      <c r="Q663" s="222"/>
      <c r="R663" s="218"/>
      <c r="S663" s="218"/>
    </row>
    <row r="664">
      <c r="A664" s="218"/>
      <c r="B664" s="218"/>
      <c r="C664" s="456"/>
      <c r="D664" s="218"/>
      <c r="E664" s="218"/>
      <c r="G664" s="218"/>
      <c r="H664" s="218"/>
      <c r="I664" s="218"/>
      <c r="J664" s="218"/>
      <c r="K664" s="218"/>
      <c r="L664" s="218"/>
      <c r="M664" s="218"/>
      <c r="N664" s="218"/>
      <c r="O664" s="218"/>
      <c r="P664" s="222"/>
      <c r="Q664" s="222"/>
      <c r="R664" s="218"/>
      <c r="S664" s="218"/>
    </row>
    <row r="665">
      <c r="A665" s="218"/>
      <c r="B665" s="218"/>
      <c r="C665" s="456"/>
      <c r="D665" s="218"/>
      <c r="E665" s="218"/>
      <c r="G665" s="218"/>
      <c r="H665" s="218"/>
      <c r="I665" s="218"/>
      <c r="J665" s="218"/>
      <c r="K665" s="218"/>
      <c r="L665" s="218"/>
      <c r="M665" s="218"/>
      <c r="N665" s="218"/>
      <c r="O665" s="218"/>
      <c r="P665" s="222"/>
      <c r="Q665" s="222"/>
      <c r="R665" s="222"/>
      <c r="S665" s="218"/>
    </row>
    <row r="666">
      <c r="A666" s="218"/>
      <c r="B666" s="218"/>
      <c r="C666" s="456"/>
      <c r="D666" s="218"/>
      <c r="E666" s="218"/>
      <c r="G666" s="218"/>
      <c r="H666" s="218"/>
      <c r="I666" s="218"/>
      <c r="J666" s="218"/>
      <c r="K666" s="218"/>
      <c r="L666" s="218"/>
      <c r="M666" s="218"/>
      <c r="N666" s="218"/>
      <c r="O666" s="218"/>
      <c r="P666" s="218"/>
      <c r="Q666" s="218"/>
      <c r="R666" s="218"/>
      <c r="S666" s="218"/>
    </row>
    <row r="667">
      <c r="A667" s="218"/>
      <c r="B667" s="218"/>
      <c r="C667" s="456"/>
      <c r="D667" s="218"/>
      <c r="E667" s="218"/>
      <c r="G667" s="218"/>
      <c r="H667" s="218"/>
      <c r="I667" s="218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</row>
    <row r="668">
      <c r="A668" s="218"/>
      <c r="B668" s="218"/>
      <c r="C668" s="456"/>
      <c r="D668" s="218"/>
      <c r="E668" s="218"/>
      <c r="G668" s="218"/>
      <c r="H668" s="218"/>
      <c r="I668" s="218"/>
      <c r="J668" s="218"/>
      <c r="K668" s="218"/>
      <c r="L668" s="218"/>
      <c r="M668" s="218"/>
      <c r="N668" s="218"/>
      <c r="O668" s="218"/>
      <c r="P668" s="222"/>
      <c r="Q668" s="222"/>
      <c r="R668" s="222"/>
      <c r="S668" s="218"/>
    </row>
    <row r="669">
      <c r="A669" s="218"/>
      <c r="B669" s="218"/>
      <c r="C669" s="456"/>
      <c r="D669" s="218"/>
      <c r="E669" s="218"/>
      <c r="G669" s="218"/>
      <c r="H669" s="218"/>
      <c r="I669" s="218"/>
      <c r="J669" s="218"/>
      <c r="K669" s="218"/>
      <c r="L669" s="218"/>
      <c r="M669" s="218"/>
      <c r="N669" s="218"/>
      <c r="O669" s="218"/>
      <c r="P669" s="222"/>
      <c r="Q669" s="222"/>
      <c r="R669" s="222"/>
      <c r="S669" s="218"/>
    </row>
    <row r="670">
      <c r="A670" s="218"/>
      <c r="B670" s="218"/>
      <c r="C670" s="456"/>
      <c r="D670" s="218"/>
      <c r="E670" s="218"/>
      <c r="G670" s="218"/>
      <c r="H670" s="218"/>
      <c r="I670" s="218"/>
      <c r="J670" s="218"/>
      <c r="K670" s="218"/>
      <c r="L670" s="218"/>
      <c r="M670" s="218"/>
      <c r="N670" s="218"/>
      <c r="O670" s="218"/>
      <c r="P670" s="218"/>
      <c r="Q670" s="218"/>
      <c r="R670" s="218"/>
      <c r="S670" s="218"/>
    </row>
    <row r="671">
      <c r="A671" s="218"/>
      <c r="B671" s="218"/>
      <c r="C671" s="456"/>
      <c r="D671" s="218"/>
      <c r="E671" s="218"/>
      <c r="G671" s="218"/>
      <c r="H671" s="218"/>
      <c r="I671" s="218"/>
      <c r="J671" s="218"/>
      <c r="K671" s="218"/>
      <c r="L671" s="218"/>
      <c r="M671" s="218"/>
      <c r="N671" s="218"/>
      <c r="O671" s="218"/>
      <c r="P671" s="222"/>
      <c r="Q671" s="222"/>
      <c r="R671" s="222"/>
      <c r="S671" s="218"/>
    </row>
    <row r="672">
      <c r="A672" s="218"/>
      <c r="B672" s="218"/>
      <c r="C672" s="456"/>
      <c r="D672" s="218"/>
      <c r="E672" s="218"/>
      <c r="G672" s="218"/>
      <c r="H672" s="218"/>
      <c r="I672" s="218"/>
      <c r="J672" s="218"/>
      <c r="K672" s="218"/>
      <c r="L672" s="218"/>
      <c r="M672" s="218"/>
      <c r="N672" s="218"/>
      <c r="O672" s="218"/>
      <c r="P672" s="222"/>
      <c r="Q672" s="222"/>
      <c r="R672" s="222"/>
      <c r="S672" s="222"/>
    </row>
    <row r="673">
      <c r="A673" s="218"/>
      <c r="B673" s="218"/>
      <c r="C673" s="456"/>
      <c r="E673" s="218"/>
      <c r="F673" s="218"/>
      <c r="G673" s="218"/>
      <c r="H673" s="218"/>
      <c r="I673" s="218"/>
      <c r="J673" s="218"/>
      <c r="K673" s="218"/>
      <c r="L673" s="218"/>
      <c r="M673" s="218"/>
      <c r="N673" s="218"/>
      <c r="O673" s="218"/>
      <c r="P673" s="222"/>
      <c r="Q673" s="222"/>
      <c r="R673" s="218"/>
      <c r="S673" s="218"/>
    </row>
    <row r="674">
      <c r="A674" s="218"/>
      <c r="B674" s="218"/>
      <c r="C674" s="456"/>
      <c r="E674" s="218"/>
      <c r="F674" s="218"/>
      <c r="G674" s="218"/>
      <c r="H674" s="218"/>
      <c r="I674" s="218"/>
      <c r="J674" s="218"/>
      <c r="K674" s="218"/>
      <c r="L674" s="218"/>
      <c r="M674" s="218"/>
      <c r="N674" s="218"/>
      <c r="O674" s="218"/>
      <c r="P674" s="222"/>
      <c r="Q674" s="222"/>
      <c r="R674" s="218"/>
      <c r="S674" s="218"/>
    </row>
    <row r="675">
      <c r="A675" s="218"/>
      <c r="B675" s="218"/>
      <c r="C675" s="456"/>
      <c r="D675" s="218"/>
      <c r="E675" s="218"/>
      <c r="G675" s="218"/>
      <c r="H675" s="218"/>
      <c r="I675" s="218"/>
      <c r="J675" s="218"/>
      <c r="K675" s="218"/>
      <c r="L675" s="218"/>
      <c r="M675" s="218"/>
      <c r="N675" s="218"/>
      <c r="O675" s="218"/>
      <c r="P675" s="222"/>
      <c r="Q675" s="222"/>
      <c r="R675" s="218"/>
      <c r="S675" s="218"/>
    </row>
    <row r="676">
      <c r="A676" s="218"/>
      <c r="B676" s="218"/>
      <c r="C676" s="456"/>
      <c r="E676" s="218"/>
      <c r="F676" s="218"/>
      <c r="G676" s="218"/>
      <c r="H676" s="218"/>
      <c r="I676" s="218"/>
      <c r="J676" s="218"/>
      <c r="K676" s="218"/>
      <c r="L676" s="218"/>
      <c r="M676" s="218"/>
      <c r="N676" s="218"/>
      <c r="P676" s="222"/>
      <c r="Q676" s="222"/>
      <c r="R676" s="218"/>
      <c r="S676" s="218"/>
    </row>
    <row r="677">
      <c r="A677" s="218"/>
      <c r="B677" s="218"/>
      <c r="C677" s="456"/>
      <c r="D677" s="218"/>
      <c r="E677" s="218"/>
      <c r="G677" s="218"/>
      <c r="H677" s="218"/>
      <c r="I677" s="218"/>
      <c r="J677" s="218"/>
      <c r="K677" s="218"/>
      <c r="L677" s="218"/>
      <c r="M677" s="218"/>
      <c r="N677" s="218"/>
      <c r="O677" s="218"/>
      <c r="P677" s="222"/>
      <c r="Q677" s="222"/>
      <c r="R677" s="222"/>
      <c r="S677" s="218"/>
    </row>
    <row r="678">
      <c r="A678" s="218"/>
      <c r="B678" s="218"/>
      <c r="C678" s="456"/>
      <c r="E678" s="218"/>
      <c r="F678" s="218"/>
      <c r="G678" s="218"/>
      <c r="H678" s="218"/>
      <c r="I678" s="218"/>
      <c r="J678" s="218"/>
      <c r="K678" s="218"/>
      <c r="L678" s="218"/>
      <c r="M678" s="218"/>
      <c r="N678" s="218"/>
      <c r="P678" s="222"/>
      <c r="Q678" s="222"/>
      <c r="R678" s="218"/>
      <c r="S678" s="218"/>
    </row>
    <row r="679">
      <c r="A679" s="218"/>
      <c r="B679" s="218"/>
      <c r="C679" s="456"/>
      <c r="D679" s="218"/>
      <c r="E679" s="218"/>
      <c r="G679" s="218"/>
      <c r="H679" s="218"/>
      <c r="I679" s="218"/>
      <c r="J679" s="218"/>
      <c r="K679" s="218"/>
      <c r="L679" s="218"/>
      <c r="M679" s="218"/>
      <c r="N679" s="218"/>
      <c r="O679" s="218"/>
      <c r="P679" s="222"/>
      <c r="Q679" s="222"/>
      <c r="R679" s="222"/>
      <c r="S679" s="218"/>
    </row>
    <row r="680">
      <c r="A680" s="218"/>
      <c r="B680" s="218"/>
      <c r="C680" s="456"/>
      <c r="D680" s="218"/>
      <c r="E680" s="218"/>
      <c r="G680" s="218"/>
      <c r="H680" s="218"/>
      <c r="I680" s="218"/>
      <c r="J680" s="218"/>
      <c r="K680" s="218"/>
      <c r="L680" s="218"/>
      <c r="M680" s="218"/>
      <c r="N680" s="218"/>
      <c r="O680" s="218"/>
      <c r="P680" s="222"/>
      <c r="Q680" s="222"/>
      <c r="R680" s="222"/>
      <c r="S680" s="222"/>
    </row>
    <row r="681">
      <c r="A681" s="218"/>
      <c r="B681" s="218"/>
      <c r="C681" s="456"/>
      <c r="E681" s="218"/>
      <c r="F681" s="218"/>
      <c r="G681" s="218"/>
      <c r="H681" s="218"/>
      <c r="I681" s="218"/>
      <c r="J681" s="218"/>
      <c r="K681" s="218"/>
      <c r="L681" s="218"/>
      <c r="M681" s="218"/>
      <c r="N681" s="218"/>
      <c r="P681" s="222"/>
      <c r="Q681" s="222"/>
      <c r="R681" s="218"/>
      <c r="S681" s="218"/>
    </row>
    <row r="682">
      <c r="A682" s="218"/>
      <c r="B682" s="218"/>
      <c r="C682" s="456"/>
      <c r="D682" s="218"/>
      <c r="E682" s="218"/>
      <c r="G682" s="218"/>
      <c r="H682" s="218"/>
      <c r="I682" s="218"/>
      <c r="J682" s="218"/>
      <c r="K682" s="218"/>
      <c r="L682" s="218"/>
      <c r="M682" s="218"/>
      <c r="N682" s="218"/>
      <c r="O682" s="218"/>
      <c r="P682" s="222"/>
      <c r="Q682" s="222"/>
      <c r="R682" s="222"/>
      <c r="S682" s="218"/>
    </row>
    <row r="683">
      <c r="A683" s="218"/>
      <c r="B683" s="218"/>
      <c r="C683" s="457"/>
      <c r="D683" s="218"/>
      <c r="E683" s="218"/>
      <c r="G683" s="218"/>
      <c r="H683" s="218"/>
      <c r="I683" s="218"/>
      <c r="J683" s="218"/>
      <c r="K683" s="218"/>
      <c r="L683" s="218"/>
      <c r="M683" s="218"/>
      <c r="N683" s="218"/>
      <c r="O683" s="218"/>
      <c r="P683" s="222"/>
      <c r="Q683" s="222"/>
      <c r="R683" s="222"/>
      <c r="S683" s="222"/>
    </row>
    <row r="684">
      <c r="A684" s="218"/>
      <c r="B684" s="218"/>
      <c r="C684" s="457"/>
      <c r="D684" s="218"/>
      <c r="E684" s="218"/>
      <c r="G684" s="218"/>
      <c r="H684" s="218"/>
      <c r="I684" s="218"/>
      <c r="J684" s="218"/>
      <c r="K684" s="218"/>
      <c r="L684" s="218"/>
      <c r="M684" s="218"/>
      <c r="N684" s="218"/>
      <c r="O684" s="218"/>
      <c r="P684" s="218"/>
      <c r="Q684" s="218"/>
      <c r="R684" s="218"/>
      <c r="S684" s="218"/>
    </row>
    <row r="685">
      <c r="A685" s="218"/>
      <c r="B685" s="218"/>
      <c r="C685" s="457"/>
      <c r="D685" s="218"/>
      <c r="E685" s="218"/>
      <c r="G685" s="218"/>
      <c r="H685" s="218"/>
      <c r="I685" s="218"/>
      <c r="J685" s="218"/>
      <c r="K685" s="218"/>
      <c r="L685" s="218"/>
      <c r="M685" s="218"/>
      <c r="N685" s="218"/>
      <c r="O685" s="218"/>
      <c r="P685" s="222"/>
      <c r="Q685" s="222"/>
      <c r="R685" s="222"/>
      <c r="S685" s="218"/>
    </row>
    <row r="686">
      <c r="A686" s="218"/>
      <c r="B686" s="218"/>
      <c r="C686" s="457"/>
      <c r="D686" s="218"/>
      <c r="E686" s="218"/>
      <c r="G686" s="218"/>
      <c r="H686" s="218"/>
      <c r="I686" s="218"/>
      <c r="J686" s="218"/>
      <c r="K686" s="218"/>
      <c r="L686" s="218"/>
      <c r="M686" s="218"/>
      <c r="N686" s="218"/>
      <c r="O686" s="218"/>
      <c r="P686" s="222"/>
      <c r="Q686" s="222"/>
      <c r="R686" s="222"/>
      <c r="S686" s="218"/>
    </row>
    <row r="687">
      <c r="A687" s="218"/>
      <c r="B687" s="218"/>
      <c r="C687" s="457"/>
      <c r="D687" s="218"/>
      <c r="E687" s="218"/>
      <c r="G687" s="218"/>
      <c r="H687" s="218"/>
      <c r="I687" s="218"/>
      <c r="J687" s="218"/>
      <c r="K687" s="218"/>
      <c r="L687" s="218"/>
      <c r="M687" s="218"/>
      <c r="N687" s="218"/>
      <c r="O687" s="218"/>
      <c r="P687" s="218"/>
      <c r="Q687" s="218"/>
      <c r="R687" s="218"/>
      <c r="S687" s="218"/>
    </row>
    <row r="688">
      <c r="A688" s="218"/>
      <c r="B688" s="218"/>
      <c r="C688" s="457"/>
      <c r="D688" s="218"/>
      <c r="E688" s="218"/>
      <c r="G688" s="218"/>
      <c r="H688" s="218"/>
      <c r="I688" s="218"/>
      <c r="J688" s="218"/>
      <c r="K688" s="218"/>
      <c r="L688" s="218"/>
      <c r="M688" s="218"/>
      <c r="N688" s="218"/>
      <c r="O688" s="218"/>
      <c r="P688" s="218"/>
      <c r="Q688" s="218"/>
      <c r="R688" s="218"/>
      <c r="S688" s="218"/>
    </row>
    <row r="689">
      <c r="A689" s="218"/>
      <c r="B689" s="218"/>
      <c r="C689" s="457"/>
      <c r="D689" s="218"/>
      <c r="E689" s="218"/>
      <c r="G689" s="218"/>
      <c r="H689" s="218"/>
      <c r="I689" s="218"/>
      <c r="J689" s="218"/>
      <c r="K689" s="218"/>
      <c r="L689" s="218"/>
      <c r="M689" s="218"/>
      <c r="N689" s="218"/>
      <c r="O689" s="218"/>
      <c r="P689" s="218"/>
      <c r="Q689" s="218"/>
      <c r="R689" s="218"/>
      <c r="S689" s="218"/>
    </row>
    <row r="690">
      <c r="A690" s="218"/>
      <c r="B690" s="218"/>
      <c r="C690" s="457"/>
      <c r="E690" s="218"/>
      <c r="F690" s="218"/>
      <c r="G690" s="218"/>
      <c r="H690" s="218"/>
      <c r="I690" s="218"/>
      <c r="J690" s="218"/>
      <c r="K690" s="218"/>
      <c r="L690" s="218"/>
      <c r="M690" s="218"/>
      <c r="N690" s="218"/>
      <c r="O690" s="218"/>
      <c r="P690" s="222"/>
      <c r="Q690" s="222"/>
      <c r="R690" s="218"/>
      <c r="S690" s="218"/>
    </row>
    <row r="691">
      <c r="A691" s="218"/>
      <c r="B691" s="218"/>
      <c r="C691" s="457"/>
      <c r="E691" s="218"/>
      <c r="F691" s="218"/>
      <c r="G691" s="218"/>
      <c r="H691" s="218"/>
      <c r="I691" s="218"/>
      <c r="J691" s="218"/>
      <c r="K691" s="218"/>
      <c r="L691" s="218"/>
      <c r="M691" s="218"/>
      <c r="N691" s="218"/>
      <c r="O691" s="218"/>
      <c r="P691" s="222"/>
      <c r="Q691" s="222"/>
      <c r="R691" s="218"/>
      <c r="S691" s="218"/>
    </row>
    <row r="692">
      <c r="A692" s="218"/>
      <c r="B692" s="218"/>
      <c r="C692" s="457"/>
      <c r="E692" s="218"/>
      <c r="F692" s="218"/>
      <c r="G692" s="218"/>
      <c r="H692" s="218"/>
      <c r="I692" s="218"/>
      <c r="N692" s="218"/>
      <c r="P692" s="222"/>
      <c r="Q692" s="222"/>
      <c r="R692" s="218"/>
      <c r="S692" s="218"/>
    </row>
    <row r="693">
      <c r="A693" s="218"/>
      <c r="B693" s="218"/>
      <c r="C693" s="457"/>
      <c r="D693" s="218"/>
      <c r="E693" s="218"/>
      <c r="G693" s="218"/>
      <c r="H693" s="218"/>
      <c r="I693" s="218"/>
      <c r="J693" s="218"/>
      <c r="K693" s="218"/>
      <c r="L693" s="218"/>
      <c r="M693" s="218"/>
      <c r="N693" s="218"/>
      <c r="O693" s="218"/>
      <c r="P693" s="222"/>
      <c r="Q693" s="222"/>
      <c r="R693" s="222"/>
      <c r="S693" s="218"/>
    </row>
    <row r="694">
      <c r="A694" s="218"/>
      <c r="B694" s="218"/>
      <c r="C694" s="457"/>
      <c r="D694" s="218"/>
      <c r="E694" s="218"/>
      <c r="G694" s="218"/>
      <c r="H694" s="218"/>
      <c r="I694" s="218"/>
      <c r="J694" s="218"/>
      <c r="K694" s="218"/>
      <c r="L694" s="218"/>
      <c r="M694" s="218"/>
      <c r="N694" s="218"/>
      <c r="O694" s="218"/>
      <c r="P694" s="222"/>
      <c r="Q694" s="222"/>
      <c r="R694" s="222"/>
      <c r="S694" s="218"/>
    </row>
    <row r="695">
      <c r="A695" s="218"/>
      <c r="B695" s="218"/>
      <c r="C695" s="457"/>
      <c r="D695" s="218"/>
      <c r="E695" s="218"/>
      <c r="G695" s="218"/>
      <c r="H695" s="218"/>
      <c r="I695" s="218"/>
      <c r="J695" s="218"/>
      <c r="K695" s="218"/>
      <c r="L695" s="218"/>
      <c r="M695" s="218"/>
      <c r="N695" s="218"/>
      <c r="O695" s="218"/>
      <c r="P695" s="222"/>
      <c r="Q695" s="222"/>
      <c r="R695" s="222"/>
      <c r="S695" s="218"/>
    </row>
    <row r="696">
      <c r="A696" s="218"/>
      <c r="B696" s="218"/>
      <c r="C696" s="457"/>
      <c r="D696" s="218"/>
      <c r="E696" s="218"/>
      <c r="G696" s="218"/>
      <c r="H696" s="218"/>
      <c r="I696" s="218"/>
      <c r="J696" s="218"/>
      <c r="K696" s="218"/>
      <c r="L696" s="218"/>
      <c r="M696" s="218"/>
      <c r="N696" s="218"/>
      <c r="O696" s="218"/>
      <c r="P696" s="218"/>
      <c r="Q696" s="218"/>
      <c r="R696" s="218"/>
      <c r="S696" s="218"/>
    </row>
    <row r="697">
      <c r="A697" s="218"/>
      <c r="B697" s="218"/>
      <c r="C697" s="457"/>
      <c r="E697" s="218"/>
      <c r="F697" s="218"/>
      <c r="G697" s="218"/>
      <c r="H697" s="218"/>
      <c r="I697" s="218"/>
      <c r="J697" s="218"/>
      <c r="K697" s="218"/>
      <c r="L697" s="218"/>
      <c r="M697" s="218"/>
      <c r="N697" s="218"/>
      <c r="O697" s="218"/>
      <c r="P697" s="222"/>
      <c r="Q697" s="222"/>
      <c r="R697" s="218"/>
      <c r="S697" s="218"/>
    </row>
    <row r="698">
      <c r="A698" s="218"/>
      <c r="B698" s="218"/>
      <c r="C698" s="457"/>
      <c r="E698" s="218"/>
      <c r="F698" s="218"/>
      <c r="G698" s="218"/>
      <c r="H698" s="218"/>
      <c r="I698" s="218"/>
      <c r="J698" s="218"/>
      <c r="K698" s="218"/>
      <c r="L698" s="218"/>
      <c r="M698" s="218"/>
      <c r="N698" s="218"/>
      <c r="P698" s="218"/>
      <c r="Q698" s="218"/>
      <c r="R698" s="218"/>
      <c r="S698" s="218"/>
    </row>
    <row r="699">
      <c r="A699" s="218"/>
      <c r="B699" s="218"/>
      <c r="C699" s="457"/>
      <c r="D699" s="218"/>
      <c r="E699" s="218"/>
      <c r="G699" s="218"/>
      <c r="H699" s="218"/>
      <c r="I699" s="218"/>
      <c r="J699" s="218"/>
      <c r="K699" s="218"/>
      <c r="L699" s="218"/>
      <c r="M699" s="218"/>
      <c r="N699" s="218"/>
      <c r="O699" s="218"/>
      <c r="P699" s="218"/>
      <c r="Q699" s="218"/>
      <c r="R699" s="218"/>
      <c r="S699" s="218"/>
    </row>
    <row r="700">
      <c r="A700" s="218"/>
      <c r="B700" s="218"/>
      <c r="C700" s="457"/>
      <c r="E700" s="218"/>
      <c r="F700" s="218"/>
      <c r="G700" s="218"/>
      <c r="H700" s="218"/>
      <c r="I700" s="218"/>
      <c r="J700" s="218"/>
      <c r="K700" s="218"/>
      <c r="L700" s="218"/>
      <c r="M700" s="218"/>
      <c r="N700" s="218"/>
      <c r="O700" s="218"/>
      <c r="P700" s="222"/>
      <c r="Q700" s="222"/>
      <c r="R700" s="218"/>
      <c r="S700" s="218"/>
    </row>
    <row r="701">
      <c r="A701" s="218"/>
      <c r="B701" s="218"/>
      <c r="C701" s="457"/>
      <c r="D701" s="218"/>
      <c r="E701" s="218"/>
      <c r="G701" s="218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</row>
    <row r="702">
      <c r="A702" s="218"/>
      <c r="B702" s="218"/>
      <c r="C702" s="457"/>
      <c r="D702" s="218"/>
      <c r="E702" s="218"/>
      <c r="G702" s="218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</row>
    <row r="703">
      <c r="A703" s="218"/>
      <c r="B703" s="218"/>
      <c r="C703" s="457"/>
      <c r="E703" s="218"/>
      <c r="F703" s="218"/>
      <c r="G703" s="218"/>
      <c r="H703" s="218"/>
      <c r="I703" s="218"/>
      <c r="J703" s="218"/>
      <c r="K703" s="218"/>
      <c r="L703" s="218"/>
      <c r="M703" s="218"/>
      <c r="N703" s="218"/>
      <c r="O703" s="218"/>
      <c r="P703" s="222"/>
      <c r="Q703" s="222"/>
      <c r="R703" s="218"/>
      <c r="S703" s="218"/>
    </row>
    <row r="704">
      <c r="A704" s="218"/>
      <c r="B704" s="218"/>
      <c r="C704" s="457"/>
      <c r="D704" s="218"/>
      <c r="E704" s="218"/>
      <c r="G704" s="218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</row>
    <row r="705">
      <c r="A705" s="218"/>
      <c r="B705" s="218"/>
      <c r="C705" s="457"/>
      <c r="D705" s="218"/>
      <c r="E705" s="218"/>
      <c r="G705" s="218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</row>
    <row r="706">
      <c r="A706" s="218"/>
      <c r="B706" s="218"/>
      <c r="C706" s="457"/>
      <c r="D706" s="218"/>
      <c r="E706" s="218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</row>
    <row r="707">
      <c r="A707" s="218"/>
      <c r="B707" s="218"/>
      <c r="C707" s="457"/>
      <c r="E707" s="218"/>
      <c r="F707" s="218"/>
      <c r="G707" s="218"/>
      <c r="H707" s="218"/>
      <c r="I707" s="218"/>
      <c r="J707" s="218"/>
      <c r="K707" s="218"/>
      <c r="L707" s="218"/>
      <c r="M707" s="218"/>
      <c r="N707" s="218"/>
      <c r="P707" s="222"/>
      <c r="Q707" s="222"/>
      <c r="R707" s="218"/>
      <c r="S707" s="218"/>
    </row>
    <row r="708">
      <c r="A708" s="218"/>
      <c r="B708" s="218"/>
      <c r="C708" s="457"/>
      <c r="E708" s="218"/>
      <c r="F708" s="218"/>
      <c r="G708" s="218"/>
      <c r="H708" s="218"/>
      <c r="I708" s="218"/>
      <c r="J708" s="218"/>
      <c r="K708" s="218"/>
      <c r="L708" s="218"/>
      <c r="M708" s="218"/>
      <c r="N708" s="218"/>
      <c r="P708" s="222"/>
      <c r="Q708" s="222"/>
      <c r="R708" s="218"/>
      <c r="S708" s="218"/>
    </row>
    <row r="709">
      <c r="A709" s="218"/>
      <c r="B709" s="218"/>
      <c r="C709" s="457"/>
      <c r="D709" s="218"/>
      <c r="E709" s="218"/>
      <c r="G709" s="218"/>
      <c r="H709" s="218"/>
      <c r="I709" s="218"/>
      <c r="J709" s="218"/>
      <c r="K709" s="218"/>
      <c r="L709" s="218"/>
      <c r="M709" s="218"/>
      <c r="N709" s="218"/>
      <c r="O709" s="218"/>
      <c r="P709" s="222"/>
      <c r="Q709" s="222"/>
      <c r="R709" s="222"/>
      <c r="S709" s="218"/>
    </row>
    <row r="710">
      <c r="A710" s="218"/>
      <c r="B710" s="218"/>
      <c r="C710" s="457"/>
      <c r="E710" s="218"/>
      <c r="F710" s="218"/>
      <c r="G710" s="218"/>
      <c r="H710" s="218"/>
      <c r="I710" s="218"/>
      <c r="J710" s="218"/>
      <c r="K710" s="218"/>
      <c r="L710" s="218"/>
      <c r="M710" s="218"/>
      <c r="N710" s="218"/>
      <c r="P710" s="222"/>
      <c r="Q710" s="222"/>
      <c r="R710" s="218"/>
      <c r="S710" s="218"/>
    </row>
    <row r="711">
      <c r="A711" s="218"/>
      <c r="B711" s="218"/>
      <c r="C711" s="457"/>
      <c r="E711" s="218"/>
      <c r="F711" s="218"/>
      <c r="G711" s="218"/>
      <c r="H711" s="218"/>
      <c r="I711" s="218"/>
      <c r="J711" s="218"/>
      <c r="K711" s="218"/>
      <c r="L711" s="218"/>
      <c r="M711" s="218"/>
      <c r="N711" s="218"/>
      <c r="P711" s="222"/>
      <c r="Q711" s="222"/>
      <c r="R711" s="218"/>
      <c r="S711" s="218"/>
    </row>
    <row r="712">
      <c r="A712" s="218"/>
      <c r="B712" s="218"/>
      <c r="C712" s="457"/>
      <c r="D712" s="218"/>
      <c r="E712" s="218"/>
      <c r="G712" s="218"/>
      <c r="H712" s="218"/>
      <c r="I712" s="218"/>
      <c r="J712" s="218"/>
      <c r="K712" s="218"/>
      <c r="L712" s="218"/>
      <c r="M712" s="218"/>
      <c r="N712" s="218"/>
      <c r="O712" s="218"/>
      <c r="P712" s="218"/>
      <c r="Q712" s="218"/>
      <c r="R712" s="218"/>
      <c r="S712" s="218"/>
    </row>
    <row r="713">
      <c r="A713" s="218"/>
      <c r="B713" s="218"/>
      <c r="C713" s="457"/>
      <c r="D713" s="218"/>
      <c r="E713" s="218"/>
      <c r="G713" s="218"/>
      <c r="H713" s="218"/>
      <c r="I713" s="218"/>
      <c r="J713" s="218"/>
      <c r="K713" s="218"/>
      <c r="L713" s="218"/>
      <c r="M713" s="218"/>
      <c r="N713" s="218"/>
      <c r="O713" s="218"/>
      <c r="P713" s="222"/>
      <c r="Q713" s="222"/>
      <c r="R713" s="222"/>
      <c r="S713" s="222"/>
    </row>
    <row r="714">
      <c r="A714" s="218"/>
      <c r="B714" s="218"/>
      <c r="C714" s="457"/>
      <c r="E714" s="218"/>
      <c r="F714" s="218"/>
      <c r="G714" s="218"/>
      <c r="H714" s="218"/>
      <c r="I714" s="218"/>
      <c r="J714" s="218"/>
      <c r="K714" s="218"/>
      <c r="L714" s="218"/>
      <c r="M714" s="218"/>
      <c r="N714" s="218"/>
      <c r="P714" s="222"/>
      <c r="Q714" s="222"/>
      <c r="R714" s="218"/>
      <c r="S714" s="218"/>
    </row>
    <row r="715">
      <c r="A715" s="218"/>
      <c r="B715" s="218"/>
      <c r="C715" s="457"/>
      <c r="D715" s="218"/>
      <c r="E715" s="218"/>
      <c r="G715" s="218"/>
      <c r="H715" s="218"/>
      <c r="I715" s="218"/>
      <c r="J715" s="218"/>
      <c r="K715" s="218"/>
      <c r="L715" s="218"/>
      <c r="M715" s="218"/>
      <c r="N715" s="218"/>
      <c r="O715" s="218"/>
      <c r="P715" s="222"/>
      <c r="Q715" s="222"/>
      <c r="R715" s="222"/>
      <c r="S715" s="222"/>
    </row>
    <row r="716">
      <c r="A716" s="218"/>
      <c r="B716" s="218"/>
      <c r="C716" s="457"/>
      <c r="E716" s="218"/>
      <c r="F716" s="218"/>
      <c r="G716" s="218"/>
      <c r="H716" s="218"/>
      <c r="I716" s="218"/>
      <c r="J716" s="218"/>
      <c r="K716" s="218"/>
      <c r="L716" s="218"/>
      <c r="M716" s="218"/>
      <c r="N716" s="218"/>
      <c r="P716" s="222"/>
      <c r="Q716" s="222"/>
      <c r="R716" s="218"/>
      <c r="S716" s="218"/>
    </row>
    <row r="717">
      <c r="A717" s="218"/>
      <c r="B717" s="218"/>
      <c r="C717" s="457"/>
      <c r="E717" s="218"/>
      <c r="F717" s="218"/>
      <c r="G717" s="218"/>
      <c r="H717" s="218"/>
      <c r="I717" s="218"/>
      <c r="J717" s="218"/>
      <c r="K717" s="218"/>
      <c r="L717" s="218"/>
      <c r="M717" s="218"/>
      <c r="N717" s="218"/>
      <c r="P717" s="222"/>
      <c r="Q717" s="222"/>
      <c r="R717" s="218"/>
      <c r="S717" s="218"/>
    </row>
    <row r="718">
      <c r="A718" s="218"/>
      <c r="B718" s="218"/>
      <c r="C718" s="457"/>
      <c r="D718" s="218"/>
      <c r="E718" s="218"/>
      <c r="G718" s="218"/>
      <c r="H718" s="218"/>
      <c r="I718" s="218"/>
      <c r="J718" s="218"/>
      <c r="K718" s="218"/>
      <c r="L718" s="218"/>
      <c r="M718" s="218"/>
      <c r="N718" s="218"/>
      <c r="O718" s="218"/>
      <c r="P718" s="222"/>
      <c r="Q718" s="222"/>
      <c r="R718" s="222"/>
      <c r="S718" s="218"/>
    </row>
    <row r="719">
      <c r="A719" s="218"/>
      <c r="B719" s="218"/>
      <c r="C719" s="457"/>
      <c r="E719" s="218"/>
      <c r="F719" s="218"/>
      <c r="G719" s="218"/>
      <c r="H719" s="218"/>
      <c r="I719" s="218"/>
      <c r="J719" s="218"/>
      <c r="K719" s="218"/>
      <c r="L719" s="218"/>
      <c r="M719" s="218"/>
      <c r="N719" s="218"/>
      <c r="P719" s="222"/>
      <c r="Q719" s="222"/>
      <c r="R719" s="218"/>
      <c r="S719" s="218"/>
    </row>
    <row r="720">
      <c r="A720" s="218"/>
      <c r="B720" s="218"/>
      <c r="C720" s="457"/>
      <c r="D720" s="218"/>
      <c r="E720" s="218"/>
      <c r="G720" s="218"/>
      <c r="H720" s="218"/>
      <c r="I720" s="218"/>
      <c r="J720" s="218"/>
      <c r="K720" s="218"/>
      <c r="L720" s="218"/>
      <c r="M720" s="218"/>
      <c r="N720" s="218"/>
      <c r="O720" s="218"/>
      <c r="P720" s="222"/>
      <c r="Q720" s="222"/>
      <c r="R720" s="222"/>
      <c r="S720" s="222"/>
    </row>
    <row r="721">
      <c r="A721" s="218"/>
      <c r="B721" s="218"/>
      <c r="C721" s="457"/>
      <c r="E721" s="218"/>
      <c r="F721" s="218"/>
      <c r="G721" s="218"/>
      <c r="H721" s="218"/>
      <c r="I721" s="218"/>
      <c r="J721" s="218"/>
      <c r="K721" s="218"/>
      <c r="L721" s="218"/>
      <c r="M721" s="218"/>
      <c r="N721" s="218"/>
      <c r="P721" s="222"/>
      <c r="Q721" s="222"/>
      <c r="R721" s="218"/>
      <c r="S721" s="218"/>
    </row>
    <row r="722">
      <c r="A722" s="218"/>
      <c r="B722" s="218"/>
      <c r="C722" s="457"/>
      <c r="E722" s="218"/>
      <c r="F722" s="218"/>
      <c r="G722" s="218"/>
      <c r="H722" s="218"/>
      <c r="I722" s="218"/>
      <c r="J722" s="218"/>
      <c r="K722" s="218"/>
      <c r="L722" s="218"/>
      <c r="M722" s="218"/>
      <c r="N722" s="218"/>
      <c r="P722" s="218"/>
      <c r="Q722" s="218"/>
      <c r="R722" s="218"/>
      <c r="S722" s="218"/>
    </row>
    <row r="723">
      <c r="A723" s="218"/>
      <c r="B723" s="218"/>
      <c r="C723" s="457"/>
      <c r="E723" s="218"/>
      <c r="F723" s="218"/>
      <c r="G723" s="218"/>
      <c r="H723" s="218"/>
      <c r="I723" s="218"/>
      <c r="J723" s="218"/>
      <c r="K723" s="218"/>
      <c r="L723" s="218"/>
      <c r="M723" s="218"/>
      <c r="N723" s="218"/>
      <c r="P723" s="222"/>
      <c r="Q723" s="222"/>
      <c r="R723" s="218"/>
      <c r="S723" s="218"/>
    </row>
    <row r="724">
      <c r="A724" s="218"/>
      <c r="B724" s="218"/>
      <c r="C724" s="457"/>
      <c r="E724" s="218"/>
      <c r="F724" s="218"/>
      <c r="G724" s="218"/>
      <c r="H724" s="218"/>
      <c r="I724" s="218"/>
      <c r="J724" s="218"/>
      <c r="K724" s="218"/>
      <c r="L724" s="218"/>
      <c r="M724" s="218"/>
      <c r="N724" s="218"/>
      <c r="P724" s="218"/>
      <c r="Q724" s="218"/>
      <c r="R724" s="218"/>
      <c r="S724" s="218"/>
    </row>
    <row r="725">
      <c r="A725" s="218"/>
      <c r="B725" s="218"/>
      <c r="C725" s="457"/>
      <c r="E725" s="218"/>
      <c r="F725" s="218"/>
      <c r="G725" s="218"/>
      <c r="H725" s="218"/>
      <c r="I725" s="218"/>
      <c r="J725" s="218"/>
      <c r="K725" s="218"/>
      <c r="L725" s="218"/>
      <c r="M725" s="218"/>
      <c r="N725" s="218"/>
      <c r="P725" s="222"/>
      <c r="Q725" s="222"/>
      <c r="R725" s="218"/>
      <c r="S725" s="218"/>
    </row>
    <row r="726">
      <c r="A726" s="218"/>
      <c r="B726" s="218"/>
      <c r="C726" s="457"/>
      <c r="E726" s="218"/>
      <c r="F726" s="218"/>
      <c r="G726" s="218"/>
      <c r="H726" s="218"/>
      <c r="I726" s="218"/>
      <c r="J726" s="218"/>
      <c r="K726" s="218"/>
      <c r="L726" s="218"/>
      <c r="M726" s="218"/>
      <c r="N726" s="218"/>
      <c r="P726" s="222"/>
      <c r="Q726" s="222"/>
      <c r="R726" s="218"/>
      <c r="S726" s="218"/>
    </row>
    <row r="727">
      <c r="A727" s="218"/>
      <c r="B727" s="218"/>
      <c r="C727" s="457"/>
      <c r="E727" s="218"/>
      <c r="F727" s="218"/>
      <c r="G727" s="218"/>
      <c r="H727" s="218"/>
      <c r="I727" s="218"/>
      <c r="J727" s="218"/>
      <c r="K727" s="218"/>
      <c r="L727" s="218"/>
      <c r="M727" s="218"/>
      <c r="N727" s="218"/>
      <c r="P727" s="222"/>
      <c r="Q727" s="222"/>
      <c r="R727" s="218"/>
      <c r="S727" s="218"/>
    </row>
    <row r="728">
      <c r="A728" s="218"/>
      <c r="B728" s="218"/>
      <c r="C728" s="457"/>
      <c r="E728" s="218"/>
      <c r="F728" s="218"/>
      <c r="G728" s="218"/>
      <c r="H728" s="218"/>
      <c r="I728" s="218"/>
      <c r="J728" s="218"/>
      <c r="K728" s="218"/>
      <c r="L728" s="218"/>
      <c r="M728" s="218"/>
      <c r="N728" s="218"/>
      <c r="P728" s="222"/>
      <c r="Q728" s="222"/>
      <c r="R728" s="218"/>
      <c r="S728" s="218"/>
    </row>
    <row r="729">
      <c r="A729" s="218"/>
      <c r="B729" s="218"/>
      <c r="C729" s="457"/>
      <c r="E729" s="218"/>
      <c r="F729" s="218"/>
      <c r="G729" s="218"/>
      <c r="H729" s="218"/>
      <c r="I729" s="218"/>
      <c r="J729" s="218"/>
      <c r="K729" s="218"/>
      <c r="L729" s="218"/>
      <c r="M729" s="218"/>
      <c r="N729" s="218"/>
      <c r="O729" s="218"/>
      <c r="P729" s="222"/>
      <c r="Q729" s="222"/>
      <c r="R729" s="218"/>
      <c r="S729" s="218"/>
    </row>
    <row r="730">
      <c r="A730" s="218"/>
      <c r="B730" s="218"/>
      <c r="C730" s="457"/>
      <c r="E730" s="218"/>
      <c r="F730" s="218"/>
      <c r="G730" s="218"/>
      <c r="H730" s="218"/>
      <c r="I730" s="218"/>
      <c r="J730" s="218"/>
      <c r="K730" s="218"/>
      <c r="L730" s="218"/>
      <c r="M730" s="218"/>
      <c r="N730" s="218"/>
      <c r="O730" s="218"/>
      <c r="P730" s="222"/>
      <c r="Q730" s="222"/>
      <c r="R730" s="218"/>
      <c r="S730" s="218"/>
    </row>
    <row r="731">
      <c r="A731" s="218"/>
      <c r="B731" s="218"/>
      <c r="C731" s="457"/>
      <c r="E731" s="218"/>
      <c r="F731" s="218"/>
      <c r="G731" s="218"/>
      <c r="H731" s="218"/>
      <c r="I731" s="218"/>
      <c r="J731" s="218"/>
      <c r="K731" s="218"/>
      <c r="L731" s="218"/>
      <c r="M731" s="218"/>
      <c r="N731" s="218"/>
      <c r="O731" s="218"/>
      <c r="P731" s="222"/>
      <c r="Q731" s="222"/>
      <c r="R731" s="218"/>
      <c r="S731" s="218"/>
    </row>
    <row r="732">
      <c r="A732" s="218"/>
      <c r="B732" s="218"/>
      <c r="C732" s="457"/>
      <c r="D732" s="218"/>
      <c r="E732" s="218"/>
      <c r="G732" s="218"/>
      <c r="H732" s="218"/>
      <c r="I732" s="218"/>
      <c r="J732" s="218"/>
      <c r="K732" s="218"/>
      <c r="L732" s="218"/>
      <c r="M732" s="218"/>
      <c r="N732" s="218"/>
      <c r="O732" s="218"/>
      <c r="P732" s="218"/>
      <c r="Q732" s="218"/>
      <c r="R732" s="218"/>
      <c r="S732" s="218"/>
    </row>
    <row r="733">
      <c r="A733" s="218"/>
      <c r="B733" s="218"/>
      <c r="C733" s="457"/>
      <c r="E733" s="218"/>
      <c r="F733" s="218"/>
      <c r="G733" s="218"/>
      <c r="H733" s="218"/>
      <c r="I733" s="218"/>
      <c r="J733" s="218"/>
      <c r="K733" s="218"/>
      <c r="L733" s="218"/>
      <c r="M733" s="218"/>
      <c r="N733" s="218"/>
      <c r="P733" s="218"/>
      <c r="Q733" s="218"/>
      <c r="R733" s="218"/>
      <c r="S733" s="218"/>
    </row>
    <row r="734">
      <c r="A734" s="218"/>
      <c r="B734" s="218"/>
      <c r="C734" s="457"/>
      <c r="D734" s="218"/>
      <c r="E734" s="218"/>
      <c r="G734" s="218"/>
      <c r="H734" s="218"/>
      <c r="I734" s="218"/>
      <c r="J734" s="218"/>
      <c r="K734" s="218"/>
      <c r="L734" s="218"/>
      <c r="M734" s="218"/>
      <c r="N734" s="218"/>
      <c r="O734" s="218"/>
      <c r="P734" s="218"/>
      <c r="Q734" s="218"/>
      <c r="R734" s="218"/>
      <c r="S734" s="218"/>
    </row>
    <row r="735">
      <c r="A735" s="218"/>
      <c r="B735" s="218"/>
      <c r="C735" s="457"/>
      <c r="D735" s="218"/>
      <c r="E735" s="218"/>
      <c r="G735" s="218"/>
      <c r="H735" s="218"/>
      <c r="I735" s="218"/>
      <c r="J735" s="218"/>
      <c r="K735" s="218"/>
      <c r="L735" s="218"/>
      <c r="M735" s="218"/>
      <c r="N735" s="218"/>
      <c r="O735" s="218"/>
      <c r="P735" s="218"/>
      <c r="Q735" s="218"/>
      <c r="R735" s="218"/>
      <c r="S735" s="218"/>
    </row>
    <row r="736">
      <c r="A736" s="218"/>
      <c r="B736" s="218"/>
      <c r="C736" s="457"/>
      <c r="D736" s="218"/>
      <c r="E736" s="218"/>
      <c r="G736" s="218"/>
      <c r="H736" s="218"/>
      <c r="I736" s="218"/>
      <c r="J736" s="218"/>
      <c r="K736" s="218"/>
      <c r="L736" s="218"/>
      <c r="M736" s="218"/>
      <c r="N736" s="218"/>
      <c r="O736" s="218"/>
      <c r="P736" s="218"/>
      <c r="Q736" s="218"/>
      <c r="R736" s="218"/>
      <c r="S736" s="218"/>
    </row>
    <row r="737">
      <c r="A737" s="218"/>
      <c r="B737" s="218"/>
      <c r="C737" s="457"/>
      <c r="D737" s="218"/>
      <c r="E737" s="218"/>
      <c r="G737" s="218"/>
      <c r="H737" s="218"/>
      <c r="I737" s="218"/>
      <c r="J737" s="218"/>
      <c r="K737" s="218"/>
      <c r="L737" s="218"/>
      <c r="M737" s="218"/>
      <c r="N737" s="218"/>
      <c r="O737" s="218"/>
      <c r="P737" s="218"/>
      <c r="Q737" s="218"/>
      <c r="R737" s="218"/>
      <c r="S737" s="218"/>
    </row>
    <row r="738">
      <c r="A738" s="218"/>
      <c r="B738" s="218"/>
      <c r="C738" s="457"/>
      <c r="E738" s="218"/>
      <c r="F738" s="218"/>
      <c r="G738" s="218"/>
      <c r="H738" s="218"/>
      <c r="I738" s="218"/>
      <c r="J738" s="218"/>
      <c r="K738" s="218"/>
      <c r="L738" s="218"/>
      <c r="M738" s="218"/>
      <c r="N738" s="218"/>
      <c r="O738" s="218"/>
      <c r="P738" s="218"/>
      <c r="Q738" s="218"/>
      <c r="R738" s="218"/>
      <c r="S738" s="218"/>
    </row>
    <row r="739">
      <c r="A739" s="218"/>
      <c r="B739" s="218"/>
      <c r="C739" s="457"/>
      <c r="D739" s="218"/>
      <c r="E739" s="218"/>
      <c r="G739" s="218"/>
      <c r="H739" s="218"/>
      <c r="I739" s="218"/>
      <c r="J739" s="218"/>
      <c r="K739" s="218"/>
      <c r="L739" s="218"/>
      <c r="M739" s="218"/>
      <c r="N739" s="218"/>
      <c r="O739" s="218"/>
      <c r="P739" s="222"/>
      <c r="Q739" s="222"/>
      <c r="R739" s="218"/>
      <c r="S739" s="218"/>
    </row>
    <row r="740">
      <c r="A740" s="218"/>
      <c r="B740" s="218"/>
      <c r="C740" s="457"/>
      <c r="E740" s="218"/>
      <c r="F740" s="218"/>
      <c r="G740" s="218"/>
      <c r="H740" s="218"/>
      <c r="I740" s="218"/>
      <c r="J740" s="218"/>
      <c r="K740" s="218"/>
      <c r="L740" s="218"/>
      <c r="M740" s="218"/>
      <c r="N740" s="218"/>
      <c r="P740" s="222"/>
      <c r="Q740" s="222"/>
      <c r="R740" s="218"/>
      <c r="S740" s="218"/>
    </row>
    <row r="741">
      <c r="A741" s="218"/>
      <c r="B741" s="218"/>
      <c r="C741" s="457"/>
      <c r="D741" s="218"/>
      <c r="E741" s="218"/>
      <c r="G741" s="218"/>
      <c r="H741" s="218"/>
      <c r="I741" s="218"/>
      <c r="J741" s="218"/>
      <c r="K741" s="218"/>
      <c r="L741" s="218"/>
      <c r="M741" s="218"/>
      <c r="N741" s="218"/>
      <c r="O741" s="218"/>
      <c r="P741" s="222"/>
      <c r="Q741" s="222"/>
      <c r="R741" s="222"/>
      <c r="S741" s="218"/>
    </row>
    <row r="742">
      <c r="A742" s="218"/>
      <c r="B742" s="218"/>
      <c r="C742" s="457"/>
      <c r="E742" s="218"/>
      <c r="F742" s="218"/>
      <c r="G742" s="218"/>
      <c r="H742" s="218"/>
      <c r="I742" s="218"/>
      <c r="J742" s="218"/>
      <c r="K742" s="218"/>
      <c r="L742" s="218"/>
      <c r="M742" s="218"/>
      <c r="N742" s="218"/>
      <c r="P742" s="218"/>
      <c r="Q742" s="218"/>
      <c r="R742" s="218"/>
      <c r="S742" s="218"/>
    </row>
    <row r="743">
      <c r="A743" s="218"/>
      <c r="B743" s="218"/>
      <c r="C743" s="457"/>
      <c r="E743" s="218"/>
      <c r="F743" s="218"/>
      <c r="G743" s="218"/>
      <c r="H743" s="218"/>
      <c r="I743" s="218"/>
      <c r="J743" s="218"/>
      <c r="K743" s="218"/>
      <c r="L743" s="218"/>
      <c r="M743" s="218"/>
      <c r="N743" s="218"/>
      <c r="P743" s="222"/>
      <c r="Q743" s="222"/>
      <c r="R743" s="218"/>
      <c r="S743" s="218"/>
    </row>
    <row r="744">
      <c r="A744" s="218"/>
      <c r="B744" s="218"/>
      <c r="C744" s="457"/>
      <c r="E744" s="218"/>
      <c r="F744" s="218"/>
      <c r="G744" s="218"/>
      <c r="H744" s="218"/>
      <c r="I744" s="218"/>
      <c r="J744" s="218"/>
      <c r="K744" s="218"/>
      <c r="L744" s="218"/>
      <c r="M744" s="218"/>
      <c r="N744" s="218"/>
      <c r="P744" s="218"/>
      <c r="Q744" s="218"/>
      <c r="R744" s="218"/>
      <c r="S744" s="218"/>
    </row>
    <row r="745">
      <c r="A745" s="218"/>
      <c r="B745" s="218"/>
      <c r="C745" s="457"/>
      <c r="E745" s="218"/>
      <c r="F745" s="218"/>
      <c r="G745" s="218"/>
      <c r="H745" s="218"/>
      <c r="I745" s="218"/>
      <c r="J745" s="218"/>
      <c r="K745" s="218"/>
      <c r="L745" s="218"/>
      <c r="M745" s="218"/>
      <c r="N745" s="218"/>
      <c r="P745" s="222"/>
      <c r="Q745" s="222"/>
      <c r="R745" s="218"/>
      <c r="S745" s="218"/>
    </row>
    <row r="746">
      <c r="A746" s="218"/>
      <c r="B746" s="218"/>
      <c r="C746" s="457"/>
      <c r="E746" s="218"/>
      <c r="F746" s="218"/>
      <c r="G746" s="218"/>
      <c r="H746" s="218"/>
      <c r="I746" s="218"/>
      <c r="J746" s="218"/>
      <c r="K746" s="218"/>
      <c r="L746" s="218"/>
      <c r="M746" s="218"/>
      <c r="N746" s="218"/>
      <c r="O746" s="218"/>
      <c r="P746" s="218"/>
      <c r="Q746" s="218"/>
      <c r="R746" s="218"/>
      <c r="S746" s="218"/>
    </row>
    <row r="747">
      <c r="A747" s="218"/>
      <c r="B747" s="218"/>
      <c r="C747" s="457"/>
      <c r="E747" s="218"/>
      <c r="F747" s="218"/>
      <c r="G747" s="218"/>
      <c r="H747" s="218"/>
      <c r="I747" s="218"/>
      <c r="J747" s="218"/>
      <c r="K747" s="218"/>
      <c r="L747" s="218"/>
      <c r="M747" s="218"/>
      <c r="N747" s="218"/>
      <c r="P747" s="222"/>
      <c r="Q747" s="222"/>
      <c r="R747" s="218"/>
      <c r="S747" s="218"/>
    </row>
    <row r="748">
      <c r="A748" s="218"/>
      <c r="B748" s="218"/>
      <c r="C748" s="457"/>
      <c r="E748" s="218"/>
      <c r="F748" s="218"/>
      <c r="G748" s="218"/>
      <c r="H748" s="218"/>
      <c r="I748" s="218"/>
      <c r="J748" s="218"/>
      <c r="K748" s="218"/>
      <c r="L748" s="218"/>
      <c r="M748" s="218"/>
      <c r="N748" s="218"/>
      <c r="O748" s="218"/>
      <c r="P748" s="218"/>
      <c r="Q748" s="218"/>
      <c r="R748" s="218"/>
      <c r="S748" s="218"/>
    </row>
    <row r="749">
      <c r="A749" s="218"/>
      <c r="B749" s="218"/>
      <c r="C749" s="457"/>
      <c r="E749" s="218"/>
      <c r="F749" s="218"/>
      <c r="G749" s="218"/>
      <c r="H749" s="218"/>
      <c r="I749" s="218"/>
      <c r="J749" s="218"/>
      <c r="K749" s="218"/>
      <c r="L749" s="218"/>
      <c r="M749" s="218"/>
      <c r="N749" s="218"/>
      <c r="O749" s="218"/>
      <c r="P749" s="222"/>
      <c r="Q749" s="222"/>
      <c r="R749" s="218"/>
      <c r="S749" s="218"/>
    </row>
    <row r="750">
      <c r="A750" s="218"/>
      <c r="B750" s="218"/>
      <c r="C750" s="457"/>
      <c r="E750" s="218"/>
      <c r="F750" s="218"/>
      <c r="G750" s="218"/>
      <c r="H750" s="218"/>
      <c r="I750" s="218"/>
      <c r="J750" s="218"/>
      <c r="K750" s="218"/>
      <c r="L750" s="218"/>
      <c r="M750" s="218"/>
      <c r="N750" s="218"/>
      <c r="O750" s="218"/>
      <c r="P750" s="218"/>
      <c r="Q750" s="218"/>
      <c r="R750" s="218"/>
      <c r="S750" s="218"/>
    </row>
    <row r="751">
      <c r="A751" s="218"/>
      <c r="B751" s="218"/>
      <c r="C751" s="457"/>
      <c r="E751" s="218"/>
      <c r="F751" s="218"/>
      <c r="G751" s="218"/>
      <c r="H751" s="218"/>
      <c r="I751" s="218"/>
      <c r="J751" s="218"/>
      <c r="K751" s="218"/>
      <c r="L751" s="218"/>
      <c r="M751" s="218"/>
      <c r="N751" s="218"/>
      <c r="P751" s="218"/>
      <c r="Q751" s="218"/>
      <c r="R751" s="218"/>
      <c r="S751" s="218"/>
    </row>
    <row r="752">
      <c r="A752" s="218"/>
      <c r="B752" s="218"/>
      <c r="C752" s="457"/>
      <c r="E752" s="218"/>
      <c r="F752" s="218"/>
      <c r="G752" s="218"/>
      <c r="H752" s="218"/>
      <c r="I752" s="218"/>
      <c r="J752" s="218"/>
      <c r="K752" s="218"/>
      <c r="L752" s="218"/>
      <c r="M752" s="218"/>
      <c r="N752" s="218"/>
      <c r="P752" s="222"/>
      <c r="Q752" s="222"/>
      <c r="R752" s="218"/>
      <c r="S752" s="218"/>
    </row>
    <row r="753">
      <c r="A753" s="218"/>
      <c r="B753" s="218"/>
      <c r="C753" s="457"/>
      <c r="E753" s="218"/>
      <c r="F753" s="218"/>
      <c r="G753" s="218"/>
      <c r="H753" s="218"/>
      <c r="I753" s="218"/>
      <c r="J753" s="218"/>
      <c r="K753" s="218"/>
      <c r="L753" s="218"/>
      <c r="M753" s="218"/>
      <c r="N753" s="218"/>
      <c r="P753" s="222"/>
      <c r="Q753" s="222"/>
      <c r="R753" s="218"/>
      <c r="S753" s="218"/>
    </row>
    <row r="754">
      <c r="A754" s="218"/>
      <c r="B754" s="218"/>
      <c r="C754" s="457"/>
      <c r="E754" s="218"/>
      <c r="F754" s="218"/>
      <c r="G754" s="218"/>
      <c r="H754" s="218"/>
      <c r="I754" s="218"/>
      <c r="J754" s="218"/>
      <c r="K754" s="218"/>
      <c r="L754" s="218"/>
      <c r="M754" s="218"/>
      <c r="N754" s="218"/>
      <c r="P754" s="218"/>
      <c r="Q754" s="218"/>
      <c r="R754" s="218"/>
      <c r="S754" s="218"/>
    </row>
    <row r="755">
      <c r="A755" s="218"/>
      <c r="B755" s="218"/>
      <c r="C755" s="457"/>
      <c r="E755" s="218"/>
      <c r="F755" s="218"/>
      <c r="G755" s="218"/>
      <c r="H755" s="218"/>
      <c r="I755" s="218"/>
      <c r="J755" s="218"/>
      <c r="K755" s="218"/>
      <c r="L755" s="218"/>
      <c r="M755" s="218"/>
      <c r="N755" s="218"/>
      <c r="P755" s="222"/>
      <c r="Q755" s="222"/>
      <c r="R755" s="218"/>
      <c r="S755" s="218"/>
    </row>
    <row r="756">
      <c r="A756" s="218"/>
      <c r="B756" s="218"/>
      <c r="C756" s="457"/>
      <c r="E756" s="218"/>
      <c r="F756" s="218"/>
      <c r="G756" s="218"/>
      <c r="H756" s="218"/>
      <c r="I756" s="218"/>
      <c r="J756" s="218"/>
      <c r="K756" s="218"/>
      <c r="L756" s="218"/>
      <c r="M756" s="218"/>
      <c r="N756" s="218"/>
      <c r="P756" s="222"/>
      <c r="Q756" s="222"/>
      <c r="R756" s="218"/>
      <c r="S756" s="218"/>
    </row>
    <row r="757">
      <c r="A757" s="218"/>
      <c r="B757" s="218"/>
      <c r="C757" s="457"/>
      <c r="E757" s="218"/>
      <c r="F757" s="218"/>
      <c r="G757" s="218"/>
      <c r="H757" s="218"/>
      <c r="I757" s="218"/>
      <c r="J757" s="218"/>
      <c r="K757" s="218"/>
      <c r="L757" s="218"/>
      <c r="M757" s="218"/>
      <c r="N757" s="218"/>
      <c r="P757" s="218"/>
      <c r="Q757" s="218"/>
      <c r="R757" s="218"/>
      <c r="S757" s="218"/>
    </row>
    <row r="758">
      <c r="A758" s="218"/>
      <c r="B758" s="218"/>
      <c r="C758" s="457"/>
      <c r="E758" s="218"/>
      <c r="F758" s="218"/>
      <c r="G758" s="218"/>
      <c r="H758" s="218"/>
      <c r="I758" s="218"/>
      <c r="J758" s="218"/>
      <c r="K758" s="218"/>
      <c r="L758" s="218"/>
      <c r="M758" s="218"/>
      <c r="N758" s="218"/>
      <c r="P758" s="222"/>
      <c r="Q758" s="222"/>
      <c r="R758" s="218"/>
      <c r="S758" s="218"/>
    </row>
    <row r="759">
      <c r="A759" s="218"/>
      <c r="B759" s="218"/>
      <c r="C759" s="457"/>
      <c r="E759" s="218"/>
      <c r="F759" s="218"/>
      <c r="G759" s="218"/>
      <c r="H759" s="218"/>
      <c r="I759" s="218"/>
      <c r="J759" s="218"/>
      <c r="K759" s="218"/>
      <c r="L759" s="218"/>
      <c r="M759" s="218"/>
      <c r="N759" s="218"/>
      <c r="P759" s="218"/>
      <c r="Q759" s="218"/>
      <c r="R759" s="218"/>
      <c r="S759" s="218"/>
    </row>
    <row r="760">
      <c r="A760" s="218"/>
      <c r="B760" s="218"/>
      <c r="C760" s="457"/>
      <c r="E760" s="218"/>
      <c r="F760" s="218"/>
      <c r="G760" s="218"/>
      <c r="H760" s="218"/>
      <c r="I760" s="218"/>
      <c r="J760" s="218"/>
      <c r="K760" s="218"/>
      <c r="L760" s="218"/>
      <c r="M760" s="218"/>
      <c r="N760" s="218"/>
      <c r="P760" s="218"/>
      <c r="Q760" s="218"/>
      <c r="R760" s="218"/>
      <c r="S760" s="218"/>
    </row>
    <row r="761">
      <c r="A761" s="218"/>
      <c r="B761" s="218"/>
      <c r="C761" s="457"/>
      <c r="E761" s="218"/>
      <c r="F761" s="218"/>
      <c r="G761" s="218"/>
      <c r="H761" s="218"/>
      <c r="I761" s="218"/>
      <c r="J761" s="218"/>
      <c r="K761" s="218"/>
      <c r="L761" s="218"/>
      <c r="M761" s="218"/>
      <c r="N761" s="218"/>
      <c r="P761" s="222"/>
      <c r="Q761" s="222"/>
      <c r="R761" s="218"/>
      <c r="S761" s="218"/>
    </row>
    <row r="762">
      <c r="A762" s="218"/>
      <c r="B762" s="218"/>
      <c r="C762" s="457"/>
      <c r="E762" s="218"/>
      <c r="F762" s="218"/>
      <c r="G762" s="218"/>
      <c r="H762" s="218"/>
      <c r="I762" s="218"/>
      <c r="J762" s="218"/>
      <c r="K762" s="218"/>
      <c r="L762" s="218"/>
      <c r="M762" s="218"/>
      <c r="N762" s="218"/>
      <c r="P762" s="222"/>
      <c r="Q762" s="222"/>
      <c r="R762" s="218"/>
      <c r="S762" s="218"/>
    </row>
    <row r="763">
      <c r="A763" s="218"/>
      <c r="B763" s="218"/>
      <c r="C763" s="457"/>
      <c r="D763" s="218"/>
      <c r="E763" s="218"/>
      <c r="G763" s="218"/>
      <c r="H763" s="218"/>
      <c r="I763" s="218"/>
      <c r="J763" s="218"/>
      <c r="K763" s="218"/>
      <c r="L763" s="218"/>
      <c r="M763" s="218"/>
      <c r="N763" s="218"/>
      <c r="O763" s="218"/>
      <c r="P763" s="222"/>
      <c r="Q763" s="222"/>
      <c r="R763" s="222"/>
      <c r="S763" s="218"/>
    </row>
    <row r="764">
      <c r="A764" s="218"/>
      <c r="B764" s="218"/>
      <c r="C764" s="457"/>
      <c r="E764" s="218"/>
      <c r="F764" s="218"/>
      <c r="G764" s="218"/>
      <c r="H764" s="218"/>
      <c r="I764" s="218"/>
      <c r="J764" s="218"/>
      <c r="K764" s="218"/>
      <c r="L764" s="218"/>
      <c r="M764" s="218"/>
      <c r="N764" s="218"/>
      <c r="P764" s="222"/>
      <c r="Q764" s="222"/>
      <c r="R764" s="218"/>
      <c r="S764" s="218"/>
    </row>
    <row r="765">
      <c r="A765" s="218"/>
      <c r="B765" s="218"/>
      <c r="C765" s="457"/>
      <c r="E765" s="218"/>
      <c r="F765" s="218"/>
      <c r="G765" s="218"/>
      <c r="H765" s="218"/>
      <c r="I765" s="218"/>
      <c r="J765" s="218"/>
      <c r="K765" s="218"/>
      <c r="L765" s="218"/>
      <c r="M765" s="218"/>
      <c r="N765" s="218"/>
      <c r="O765" s="218"/>
      <c r="P765" s="222"/>
      <c r="Q765" s="222"/>
      <c r="R765" s="218"/>
      <c r="S765" s="218"/>
    </row>
    <row r="766">
      <c r="A766" s="218"/>
      <c r="B766" s="218"/>
      <c r="C766" s="457"/>
      <c r="E766" s="218"/>
      <c r="F766" s="218"/>
      <c r="G766" s="218"/>
      <c r="H766" s="218"/>
      <c r="I766" s="218"/>
      <c r="J766" s="218"/>
      <c r="K766" s="218"/>
      <c r="L766" s="218"/>
      <c r="M766" s="218"/>
      <c r="N766" s="218"/>
      <c r="O766" s="218"/>
      <c r="P766" s="222"/>
      <c r="Q766" s="222"/>
      <c r="R766" s="218"/>
      <c r="S766" s="218"/>
    </row>
    <row r="767">
      <c r="A767" s="218"/>
      <c r="B767" s="218"/>
      <c r="C767" s="457"/>
      <c r="E767" s="218"/>
      <c r="F767" s="218"/>
      <c r="G767" s="218"/>
      <c r="H767" s="218"/>
      <c r="I767" s="218"/>
      <c r="J767" s="218"/>
      <c r="K767" s="218"/>
      <c r="L767" s="218"/>
      <c r="M767" s="218"/>
      <c r="N767" s="218"/>
      <c r="P767" s="222"/>
      <c r="Q767" s="222"/>
      <c r="R767" s="218"/>
      <c r="S767" s="218"/>
    </row>
    <row r="768">
      <c r="A768" s="218"/>
      <c r="B768" s="218"/>
      <c r="C768" s="457"/>
      <c r="E768" s="218"/>
      <c r="F768" s="218"/>
      <c r="G768" s="218"/>
      <c r="H768" s="218"/>
      <c r="I768" s="218"/>
      <c r="J768" s="218"/>
      <c r="K768" s="218"/>
      <c r="L768" s="218"/>
      <c r="M768" s="218"/>
      <c r="N768" s="218"/>
      <c r="P768" s="222"/>
      <c r="Q768" s="222"/>
      <c r="R768" s="218"/>
      <c r="S768" s="218"/>
    </row>
    <row r="769">
      <c r="A769" s="218"/>
      <c r="B769" s="218"/>
      <c r="C769" s="457"/>
      <c r="E769" s="218"/>
      <c r="F769" s="218"/>
      <c r="G769" s="218"/>
      <c r="H769" s="218"/>
      <c r="I769" s="218"/>
      <c r="J769" s="218"/>
      <c r="K769" s="218"/>
      <c r="L769" s="218"/>
      <c r="M769" s="218"/>
      <c r="N769" s="218"/>
      <c r="P769" s="218"/>
      <c r="Q769" s="218"/>
      <c r="R769" s="218"/>
      <c r="S769" s="218"/>
    </row>
    <row r="770">
      <c r="A770" s="218"/>
      <c r="B770" s="218"/>
      <c r="C770" s="457"/>
      <c r="E770" s="218"/>
      <c r="F770" s="218"/>
      <c r="G770" s="218"/>
      <c r="H770" s="218"/>
      <c r="I770" s="218"/>
      <c r="J770" s="218"/>
      <c r="K770" s="218"/>
      <c r="L770" s="218"/>
      <c r="M770" s="218"/>
      <c r="N770" s="218"/>
      <c r="P770" s="222"/>
      <c r="Q770" s="222"/>
      <c r="R770" s="218"/>
      <c r="S770" s="218"/>
    </row>
    <row r="771">
      <c r="A771" s="218"/>
      <c r="B771" s="218"/>
      <c r="C771" s="457"/>
      <c r="E771" s="218"/>
      <c r="F771" s="218"/>
      <c r="G771" s="218"/>
      <c r="H771" s="218"/>
      <c r="I771" s="218"/>
      <c r="J771" s="218"/>
      <c r="K771" s="218"/>
      <c r="L771" s="218"/>
      <c r="M771" s="218"/>
      <c r="N771" s="218"/>
      <c r="P771" s="218"/>
      <c r="Q771" s="218"/>
      <c r="R771" s="218"/>
      <c r="S771" s="218"/>
    </row>
    <row r="772">
      <c r="A772" s="218"/>
      <c r="B772" s="218"/>
      <c r="C772" s="457"/>
      <c r="E772" s="218"/>
      <c r="F772" s="218"/>
      <c r="G772" s="218"/>
      <c r="H772" s="218"/>
      <c r="I772" s="218"/>
      <c r="J772" s="218"/>
      <c r="K772" s="218"/>
      <c r="L772" s="218"/>
      <c r="M772" s="218"/>
      <c r="N772" s="218"/>
      <c r="P772" s="218"/>
      <c r="Q772" s="218"/>
      <c r="R772" s="218"/>
      <c r="S772" s="218"/>
    </row>
    <row r="773">
      <c r="A773" s="218"/>
      <c r="B773" s="218"/>
      <c r="C773" s="457"/>
      <c r="E773" s="218"/>
      <c r="F773" s="218"/>
      <c r="G773" s="218"/>
      <c r="H773" s="218"/>
      <c r="I773" s="218"/>
      <c r="J773" s="218"/>
      <c r="K773" s="218"/>
      <c r="L773" s="218"/>
      <c r="M773" s="218"/>
      <c r="N773" s="218"/>
      <c r="P773" s="218"/>
      <c r="Q773" s="218"/>
      <c r="R773" s="218"/>
      <c r="S773" s="218"/>
    </row>
    <row r="774">
      <c r="A774" s="218"/>
      <c r="B774" s="218"/>
      <c r="C774" s="457"/>
      <c r="E774" s="218"/>
      <c r="F774" s="218"/>
      <c r="G774" s="218"/>
      <c r="H774" s="218"/>
      <c r="I774" s="218"/>
      <c r="J774" s="218"/>
      <c r="K774" s="218"/>
      <c r="L774" s="218"/>
      <c r="M774" s="218"/>
      <c r="N774" s="218"/>
      <c r="P774" s="218"/>
      <c r="Q774" s="218"/>
      <c r="R774" s="218"/>
      <c r="S774" s="218"/>
    </row>
    <row r="775">
      <c r="A775" s="218"/>
      <c r="B775" s="218"/>
      <c r="C775" s="457"/>
      <c r="E775" s="218"/>
      <c r="F775" s="218"/>
      <c r="G775" s="218"/>
      <c r="H775" s="218"/>
      <c r="I775" s="218"/>
      <c r="J775" s="218"/>
      <c r="K775" s="218"/>
      <c r="L775" s="218"/>
      <c r="M775" s="218"/>
      <c r="N775" s="218"/>
      <c r="P775" s="222"/>
      <c r="Q775" s="222"/>
      <c r="R775" s="218"/>
      <c r="S775" s="218"/>
    </row>
    <row r="776">
      <c r="A776" s="218"/>
      <c r="B776" s="218"/>
      <c r="C776" s="457"/>
      <c r="E776" s="218"/>
      <c r="F776" s="218"/>
      <c r="G776" s="218"/>
      <c r="H776" s="218"/>
      <c r="I776" s="218"/>
      <c r="J776" s="218"/>
      <c r="K776" s="218"/>
      <c r="L776" s="218"/>
      <c r="M776" s="218"/>
      <c r="N776" s="218"/>
      <c r="P776" s="218"/>
      <c r="Q776" s="218"/>
      <c r="R776" s="218"/>
      <c r="S776" s="218"/>
    </row>
    <row r="777">
      <c r="A777" s="218"/>
      <c r="B777" s="218"/>
      <c r="C777" s="457"/>
      <c r="E777" s="218"/>
      <c r="F777" s="218"/>
      <c r="G777" s="218"/>
      <c r="H777" s="218"/>
      <c r="I777" s="218"/>
      <c r="J777" s="218"/>
      <c r="K777" s="218"/>
      <c r="L777" s="218"/>
      <c r="M777" s="218"/>
      <c r="N777" s="218"/>
      <c r="P777" s="218"/>
      <c r="Q777" s="218"/>
      <c r="R777" s="218"/>
      <c r="S777" s="218"/>
    </row>
    <row r="778">
      <c r="A778" s="218"/>
      <c r="B778" s="218"/>
      <c r="C778" s="457"/>
      <c r="E778" s="218"/>
      <c r="F778" s="218"/>
      <c r="G778" s="218"/>
      <c r="H778" s="218"/>
      <c r="I778" s="218"/>
      <c r="J778" s="218"/>
      <c r="K778" s="218"/>
      <c r="L778" s="218"/>
      <c r="M778" s="218"/>
      <c r="N778" s="218"/>
      <c r="P778" s="218"/>
      <c r="Q778" s="218"/>
      <c r="R778" s="218"/>
      <c r="S778" s="218"/>
    </row>
    <row r="779">
      <c r="A779" s="218"/>
      <c r="B779" s="218"/>
      <c r="C779" s="457"/>
      <c r="E779" s="218"/>
      <c r="F779" s="218"/>
      <c r="G779" s="218"/>
      <c r="H779" s="218"/>
      <c r="I779" s="218"/>
      <c r="J779" s="218"/>
      <c r="K779" s="218"/>
      <c r="L779" s="218"/>
      <c r="M779" s="218"/>
      <c r="N779" s="218"/>
      <c r="P779" s="222"/>
      <c r="Q779" s="222"/>
      <c r="R779" s="218"/>
      <c r="S779" s="218"/>
    </row>
    <row r="780">
      <c r="A780" s="218"/>
      <c r="B780" s="218"/>
      <c r="C780" s="457"/>
      <c r="E780" s="218"/>
      <c r="F780" s="218"/>
      <c r="G780" s="218"/>
      <c r="H780" s="218"/>
      <c r="I780" s="218"/>
      <c r="J780" s="218"/>
      <c r="K780" s="218"/>
      <c r="L780" s="218"/>
      <c r="M780" s="218"/>
      <c r="N780" s="218"/>
      <c r="P780" s="222"/>
      <c r="Q780" s="222"/>
      <c r="R780" s="218"/>
      <c r="S780" s="218"/>
    </row>
    <row r="781">
      <c r="A781" s="218"/>
      <c r="B781" s="218"/>
      <c r="C781" s="457"/>
      <c r="E781" s="218"/>
      <c r="F781" s="218"/>
      <c r="G781" s="218"/>
      <c r="H781" s="218"/>
      <c r="I781" s="218"/>
      <c r="J781" s="218"/>
      <c r="K781" s="218"/>
      <c r="L781" s="218"/>
      <c r="M781" s="218"/>
      <c r="N781" s="218"/>
      <c r="P781" s="222"/>
      <c r="Q781" s="222"/>
      <c r="R781" s="218"/>
      <c r="S781" s="218"/>
    </row>
    <row r="782">
      <c r="A782" s="218"/>
      <c r="B782" s="218"/>
      <c r="C782" s="457"/>
      <c r="E782" s="218"/>
      <c r="F782" s="218"/>
      <c r="G782" s="218"/>
      <c r="H782" s="218"/>
      <c r="I782" s="218"/>
      <c r="J782" s="218"/>
      <c r="K782" s="218"/>
      <c r="L782" s="218"/>
      <c r="M782" s="218"/>
      <c r="N782" s="218"/>
      <c r="P782" s="218"/>
      <c r="Q782" s="218"/>
      <c r="R782" s="218"/>
      <c r="S782" s="218"/>
    </row>
    <row r="783">
      <c r="A783" s="218"/>
      <c r="B783" s="218"/>
      <c r="C783" s="457"/>
      <c r="E783" s="218"/>
      <c r="F783" s="218"/>
      <c r="G783" s="218"/>
      <c r="H783" s="218"/>
      <c r="I783" s="218"/>
      <c r="J783" s="218"/>
      <c r="K783" s="218"/>
      <c r="L783" s="218"/>
      <c r="M783" s="218"/>
      <c r="N783" s="218"/>
      <c r="P783" s="222"/>
      <c r="Q783" s="222"/>
      <c r="R783" s="218"/>
      <c r="S783" s="218"/>
    </row>
    <row r="784">
      <c r="A784" s="218"/>
      <c r="B784" s="218"/>
      <c r="C784" s="457"/>
      <c r="E784" s="218"/>
      <c r="F784" s="218"/>
      <c r="G784" s="218"/>
      <c r="H784" s="218"/>
      <c r="I784" s="218"/>
      <c r="J784" s="218"/>
      <c r="K784" s="218"/>
      <c r="L784" s="218"/>
      <c r="M784" s="218"/>
      <c r="N784" s="218"/>
      <c r="P784" s="222"/>
      <c r="Q784" s="222"/>
      <c r="R784" s="218"/>
      <c r="S784" s="218"/>
    </row>
    <row r="785">
      <c r="A785" s="218"/>
      <c r="B785" s="218"/>
      <c r="C785" s="457"/>
      <c r="E785" s="218"/>
      <c r="F785" s="218"/>
      <c r="G785" s="218"/>
      <c r="H785" s="218"/>
      <c r="I785" s="218"/>
      <c r="J785" s="218"/>
      <c r="K785" s="218"/>
      <c r="L785" s="218"/>
      <c r="M785" s="218"/>
      <c r="N785" s="218"/>
      <c r="P785" s="222"/>
      <c r="Q785" s="222"/>
      <c r="R785" s="218"/>
      <c r="S785" s="218"/>
    </row>
    <row r="786">
      <c r="A786" s="218"/>
      <c r="B786" s="218"/>
      <c r="C786" s="457"/>
      <c r="E786" s="218"/>
      <c r="F786" s="218"/>
      <c r="G786" s="218"/>
      <c r="H786" s="218"/>
      <c r="I786" s="218"/>
      <c r="J786" s="218"/>
      <c r="K786" s="218"/>
      <c r="L786" s="218"/>
      <c r="M786" s="218"/>
      <c r="N786" s="218"/>
      <c r="P786" s="222"/>
      <c r="Q786" s="222"/>
      <c r="R786" s="218"/>
      <c r="S786" s="218"/>
    </row>
    <row r="787">
      <c r="A787" s="218"/>
      <c r="B787" s="218"/>
      <c r="C787" s="457"/>
      <c r="E787" s="218"/>
      <c r="F787" s="218"/>
      <c r="G787" s="218"/>
      <c r="H787" s="218"/>
      <c r="I787" s="218"/>
      <c r="J787" s="218"/>
      <c r="K787" s="218"/>
      <c r="L787" s="218"/>
      <c r="M787" s="218"/>
      <c r="N787" s="218"/>
      <c r="O787" s="218"/>
      <c r="P787" s="222"/>
      <c r="Q787" s="222"/>
      <c r="R787" s="218"/>
      <c r="S787" s="218"/>
    </row>
    <row r="788">
      <c r="A788" s="218"/>
      <c r="B788" s="218"/>
      <c r="C788" s="457"/>
      <c r="E788" s="218"/>
      <c r="F788" s="218"/>
      <c r="G788" s="218"/>
      <c r="H788" s="218"/>
      <c r="I788" s="218"/>
      <c r="J788" s="218"/>
      <c r="K788" s="218"/>
      <c r="L788" s="218"/>
      <c r="M788" s="218"/>
      <c r="N788" s="218"/>
      <c r="O788" s="218"/>
      <c r="P788" s="218"/>
      <c r="Q788" s="218"/>
      <c r="R788" s="218"/>
      <c r="S788" s="218"/>
    </row>
    <row r="789">
      <c r="A789" s="218"/>
      <c r="B789" s="218"/>
      <c r="C789" s="456"/>
      <c r="E789" s="218"/>
      <c r="F789" s="218"/>
      <c r="G789" s="218"/>
      <c r="H789" s="218"/>
      <c r="I789" s="218"/>
      <c r="J789" s="218"/>
      <c r="K789" s="218"/>
      <c r="L789" s="218"/>
      <c r="M789" s="218"/>
      <c r="N789" s="218"/>
      <c r="O789" s="218"/>
      <c r="P789" s="222"/>
      <c r="Q789" s="222"/>
      <c r="R789" s="218"/>
      <c r="S789" s="218"/>
    </row>
    <row r="790">
      <c r="A790" s="218"/>
      <c r="B790" s="218"/>
      <c r="C790" s="456"/>
      <c r="D790" s="218"/>
      <c r="E790" s="218"/>
      <c r="G790" s="218"/>
      <c r="H790" s="218"/>
      <c r="I790" s="218"/>
      <c r="J790" s="218"/>
      <c r="K790" s="218"/>
      <c r="L790" s="218"/>
      <c r="M790" s="218"/>
      <c r="N790" s="218"/>
      <c r="O790" s="218"/>
      <c r="P790" s="222"/>
      <c r="Q790" s="222"/>
      <c r="R790" s="218"/>
      <c r="S790" s="218"/>
    </row>
    <row r="791">
      <c r="A791" s="218"/>
      <c r="B791" s="218"/>
      <c r="C791" s="456"/>
      <c r="E791" s="218"/>
      <c r="F791" s="218"/>
      <c r="G791" s="218"/>
      <c r="H791" s="218"/>
      <c r="I791" s="218"/>
      <c r="J791" s="218"/>
      <c r="K791" s="218"/>
      <c r="L791" s="218"/>
      <c r="M791" s="218"/>
      <c r="N791" s="218"/>
      <c r="P791" s="222"/>
      <c r="Q791" s="222"/>
      <c r="R791" s="218"/>
      <c r="S791" s="218"/>
    </row>
    <row r="792">
      <c r="A792" s="218"/>
      <c r="B792" s="218"/>
      <c r="C792" s="456"/>
      <c r="D792" s="218"/>
      <c r="E792" s="218"/>
      <c r="G792" s="218"/>
      <c r="H792" s="218"/>
      <c r="I792" s="218"/>
      <c r="J792" s="218"/>
      <c r="K792" s="218"/>
      <c r="L792" s="218"/>
      <c r="M792" s="218"/>
      <c r="N792" s="218"/>
      <c r="O792" s="218"/>
      <c r="P792" s="222"/>
      <c r="Q792" s="222"/>
      <c r="R792" s="222"/>
      <c r="S792" s="218"/>
    </row>
    <row r="793">
      <c r="A793" s="218"/>
      <c r="B793" s="218"/>
      <c r="C793" s="456"/>
      <c r="E793" s="218"/>
      <c r="F793" s="218"/>
      <c r="G793" s="218"/>
      <c r="H793" s="218"/>
      <c r="I793" s="218"/>
      <c r="J793" s="218"/>
      <c r="K793" s="218"/>
      <c r="L793" s="218"/>
      <c r="M793" s="218"/>
      <c r="N793" s="218"/>
      <c r="O793" s="218"/>
      <c r="P793" s="218"/>
      <c r="Q793" s="218"/>
      <c r="R793" s="218"/>
      <c r="S793" s="218"/>
    </row>
    <row r="794">
      <c r="A794" s="218"/>
      <c r="B794" s="218"/>
      <c r="C794" s="456"/>
      <c r="E794" s="218"/>
      <c r="F794" s="218"/>
      <c r="G794" s="218"/>
      <c r="H794" s="218"/>
      <c r="I794" s="218"/>
      <c r="N794" s="218"/>
      <c r="P794" s="222"/>
      <c r="Q794" s="222"/>
      <c r="R794" s="218"/>
      <c r="S794" s="218"/>
    </row>
    <row r="795">
      <c r="A795" s="218"/>
      <c r="B795" s="218"/>
      <c r="C795" s="456"/>
      <c r="E795" s="218"/>
      <c r="F795" s="218"/>
      <c r="G795" s="218"/>
      <c r="H795" s="218"/>
      <c r="I795" s="218"/>
      <c r="N795" s="218"/>
      <c r="P795" s="218"/>
      <c r="Q795" s="218"/>
      <c r="R795" s="218"/>
      <c r="S795" s="218"/>
    </row>
    <row r="796">
      <c r="A796" s="218"/>
      <c r="B796" s="218"/>
      <c r="C796" s="456"/>
      <c r="E796" s="218"/>
      <c r="F796" s="218"/>
      <c r="G796" s="218"/>
      <c r="H796" s="218"/>
      <c r="I796" s="218"/>
      <c r="N796" s="218"/>
      <c r="P796" s="218"/>
      <c r="Q796" s="218"/>
      <c r="R796" s="218"/>
      <c r="S796" s="218"/>
    </row>
    <row r="797">
      <c r="A797" s="218"/>
      <c r="B797" s="218"/>
      <c r="C797" s="456"/>
      <c r="E797" s="218"/>
      <c r="F797" s="218"/>
      <c r="G797" s="218"/>
      <c r="H797" s="218"/>
      <c r="I797" s="218"/>
      <c r="N797" s="218"/>
      <c r="P797" s="218"/>
      <c r="Q797" s="218"/>
      <c r="R797" s="218"/>
      <c r="S797" s="218"/>
    </row>
    <row r="798">
      <c r="A798" s="218"/>
      <c r="B798" s="218"/>
      <c r="C798" s="456"/>
      <c r="E798" s="218"/>
      <c r="F798" s="218"/>
      <c r="G798" s="218"/>
      <c r="H798" s="218"/>
      <c r="I798" s="218"/>
      <c r="J798" s="218"/>
      <c r="K798" s="218"/>
      <c r="L798" s="218"/>
      <c r="M798" s="218"/>
      <c r="N798" s="218"/>
      <c r="O798" s="218"/>
      <c r="P798" s="222"/>
      <c r="Q798" s="222"/>
      <c r="R798" s="218"/>
      <c r="S798" s="218"/>
    </row>
    <row r="799">
      <c r="A799" s="218"/>
      <c r="B799" s="218"/>
      <c r="C799" s="456"/>
      <c r="E799" s="218"/>
      <c r="F799" s="218"/>
      <c r="G799" s="218"/>
      <c r="H799" s="218"/>
      <c r="I799" s="218"/>
      <c r="J799" s="218"/>
      <c r="K799" s="218"/>
      <c r="L799" s="218"/>
      <c r="M799" s="218"/>
      <c r="N799" s="218"/>
      <c r="P799" s="222"/>
      <c r="Q799" s="222"/>
      <c r="R799" s="218"/>
      <c r="S799" s="218"/>
    </row>
    <row r="800">
      <c r="A800" s="218"/>
      <c r="B800" s="218"/>
      <c r="C800" s="456"/>
      <c r="E800" s="218"/>
      <c r="F800" s="218"/>
      <c r="G800" s="218"/>
      <c r="H800" s="218"/>
      <c r="I800" s="218"/>
      <c r="J800" s="218"/>
      <c r="K800" s="218"/>
      <c r="L800" s="218"/>
      <c r="M800" s="218"/>
      <c r="N800" s="218"/>
      <c r="P800" s="222"/>
      <c r="Q800" s="222"/>
      <c r="R800" s="218"/>
      <c r="S800" s="218"/>
    </row>
    <row r="801">
      <c r="A801" s="218"/>
      <c r="B801" s="218"/>
      <c r="C801" s="457"/>
      <c r="D801" s="218"/>
      <c r="E801" s="218"/>
      <c r="G801" s="218"/>
      <c r="H801" s="218"/>
      <c r="I801" s="218"/>
      <c r="J801" s="218"/>
      <c r="K801" s="218"/>
      <c r="L801" s="218"/>
      <c r="M801" s="218"/>
      <c r="N801" s="218"/>
      <c r="O801" s="218"/>
      <c r="P801" s="222"/>
      <c r="Q801" s="222"/>
      <c r="R801" s="222"/>
      <c r="S801" s="218"/>
    </row>
    <row r="802">
      <c r="A802" s="218"/>
      <c r="B802" s="218"/>
      <c r="C802" s="457"/>
      <c r="D802" s="218"/>
      <c r="E802" s="218"/>
      <c r="G802" s="218"/>
      <c r="H802" s="218"/>
      <c r="I802" s="218"/>
      <c r="J802" s="218"/>
      <c r="K802" s="218"/>
      <c r="L802" s="218"/>
      <c r="M802" s="218"/>
      <c r="N802" s="218"/>
      <c r="O802" s="218"/>
      <c r="P802" s="218"/>
      <c r="Q802" s="218"/>
      <c r="R802" s="218"/>
      <c r="S802" s="218"/>
    </row>
    <row r="803">
      <c r="A803" s="218"/>
      <c r="B803" s="218"/>
      <c r="C803" s="457"/>
      <c r="D803" s="218"/>
      <c r="E803" s="218"/>
      <c r="G803" s="218"/>
      <c r="H803" s="218"/>
      <c r="I803" s="218"/>
      <c r="J803" s="218"/>
      <c r="K803" s="218"/>
      <c r="L803" s="218"/>
      <c r="M803" s="218"/>
      <c r="N803" s="218"/>
      <c r="O803" s="218"/>
      <c r="P803" s="222"/>
      <c r="Q803" s="222"/>
      <c r="R803" s="222"/>
      <c r="S803" s="222"/>
    </row>
    <row r="804">
      <c r="A804" s="218"/>
      <c r="B804" s="218"/>
      <c r="C804" s="457"/>
      <c r="E804" s="218"/>
      <c r="F804" s="218"/>
      <c r="G804" s="218"/>
      <c r="H804" s="218"/>
      <c r="I804" s="218"/>
      <c r="J804" s="218"/>
      <c r="K804" s="218"/>
      <c r="L804" s="218"/>
      <c r="M804" s="218"/>
      <c r="N804" s="218"/>
      <c r="P804" s="222"/>
      <c r="Q804" s="222"/>
      <c r="R804" s="218"/>
      <c r="S804" s="218"/>
    </row>
    <row r="805">
      <c r="A805" s="218"/>
      <c r="B805" s="218"/>
      <c r="C805" s="457"/>
      <c r="E805" s="218"/>
      <c r="F805" s="218"/>
      <c r="G805" s="218"/>
      <c r="H805" s="218"/>
      <c r="I805" s="218"/>
      <c r="J805" s="218"/>
      <c r="K805" s="218"/>
      <c r="L805" s="218"/>
      <c r="M805" s="218"/>
      <c r="N805" s="218"/>
      <c r="O805" s="218"/>
      <c r="P805" s="222"/>
      <c r="Q805" s="222"/>
      <c r="R805" s="218"/>
      <c r="S805" s="218"/>
    </row>
    <row r="806">
      <c r="A806" s="218"/>
      <c r="B806" s="218"/>
      <c r="C806" s="457"/>
      <c r="E806" s="218"/>
      <c r="F806" s="218"/>
      <c r="G806" s="218"/>
      <c r="H806" s="218"/>
      <c r="I806" s="218"/>
      <c r="J806" s="218"/>
      <c r="K806" s="218"/>
      <c r="L806" s="218"/>
      <c r="M806" s="218"/>
      <c r="N806" s="218"/>
      <c r="P806" s="218"/>
      <c r="Q806" s="218"/>
      <c r="R806" s="218"/>
      <c r="S806" s="218"/>
    </row>
    <row r="807">
      <c r="A807" s="218"/>
      <c r="B807" s="218"/>
      <c r="C807" s="457"/>
      <c r="E807" s="218"/>
      <c r="F807" s="218"/>
      <c r="G807" s="218"/>
      <c r="H807" s="218"/>
      <c r="I807" s="218"/>
      <c r="J807" s="218"/>
      <c r="K807" s="218"/>
      <c r="L807" s="218"/>
      <c r="M807" s="218"/>
      <c r="N807" s="218"/>
      <c r="O807" s="218"/>
      <c r="P807" s="218"/>
      <c r="Q807" s="218"/>
      <c r="R807" s="218"/>
      <c r="S807" s="218"/>
    </row>
    <row r="808">
      <c r="A808" s="218"/>
      <c r="B808" s="218"/>
      <c r="C808" s="457"/>
      <c r="D808" s="218"/>
      <c r="E808" s="218"/>
      <c r="G808" s="218"/>
      <c r="H808" s="218"/>
      <c r="I808" s="218"/>
      <c r="J808" s="218"/>
      <c r="K808" s="218"/>
      <c r="L808" s="218"/>
      <c r="M808" s="218"/>
      <c r="N808" s="218"/>
      <c r="O808" s="218"/>
      <c r="P808" s="222"/>
      <c r="Q808" s="222"/>
      <c r="R808" s="222"/>
      <c r="S808" s="222"/>
    </row>
    <row r="809">
      <c r="A809" s="218"/>
      <c r="B809" s="218"/>
      <c r="C809" s="457"/>
      <c r="D809" s="218"/>
      <c r="E809" s="218"/>
      <c r="G809" s="218"/>
      <c r="H809" s="218"/>
      <c r="I809" s="218"/>
      <c r="J809" s="218"/>
      <c r="K809" s="218"/>
      <c r="L809" s="218"/>
      <c r="M809" s="218"/>
      <c r="N809" s="218"/>
      <c r="O809" s="218"/>
      <c r="P809" s="218"/>
      <c r="Q809" s="218"/>
      <c r="R809" s="218"/>
      <c r="S809" s="218"/>
    </row>
    <row r="810">
      <c r="A810" s="218"/>
      <c r="B810" s="218"/>
      <c r="C810" s="457"/>
      <c r="E810" s="218"/>
      <c r="F810" s="218"/>
      <c r="G810" s="218"/>
      <c r="H810" s="218"/>
      <c r="I810" s="218"/>
      <c r="J810" s="218"/>
      <c r="K810" s="218"/>
      <c r="L810" s="218"/>
      <c r="M810" s="218"/>
      <c r="N810" s="218"/>
      <c r="O810" s="218"/>
      <c r="P810" s="218"/>
      <c r="Q810" s="218"/>
      <c r="R810" s="218"/>
      <c r="S810" s="218"/>
    </row>
    <row r="811">
      <c r="A811" s="218"/>
      <c r="B811" s="218"/>
      <c r="C811" s="457"/>
      <c r="E811" s="218"/>
      <c r="F811" s="218"/>
      <c r="G811" s="218"/>
      <c r="H811" s="218"/>
      <c r="I811" s="218"/>
      <c r="J811" s="218"/>
      <c r="K811" s="218"/>
      <c r="L811" s="218"/>
      <c r="M811" s="218"/>
      <c r="N811" s="218"/>
      <c r="P811" s="222"/>
      <c r="Q811" s="222"/>
      <c r="R811" s="218"/>
      <c r="S811" s="218"/>
    </row>
    <row r="812">
      <c r="A812" s="218"/>
      <c r="B812" s="218"/>
      <c r="C812" s="457"/>
      <c r="E812" s="218"/>
      <c r="F812" s="218"/>
      <c r="G812" s="218"/>
      <c r="H812" s="218"/>
      <c r="I812" s="218"/>
      <c r="J812" s="218"/>
      <c r="K812" s="218"/>
      <c r="L812" s="218"/>
      <c r="M812" s="218"/>
      <c r="N812" s="218"/>
      <c r="O812" s="218"/>
      <c r="P812" s="222"/>
      <c r="Q812" s="222"/>
      <c r="R812" s="218"/>
      <c r="S812" s="218"/>
    </row>
    <row r="813">
      <c r="A813" s="218"/>
      <c r="B813" s="218"/>
      <c r="C813" s="457"/>
      <c r="E813" s="218"/>
      <c r="F813" s="218"/>
      <c r="G813" s="218"/>
      <c r="H813" s="218"/>
      <c r="I813" s="218"/>
      <c r="J813" s="218"/>
      <c r="K813" s="218"/>
      <c r="L813" s="218"/>
      <c r="M813" s="218"/>
      <c r="N813" s="218"/>
      <c r="O813" s="218"/>
      <c r="P813" s="222"/>
      <c r="Q813" s="222"/>
      <c r="R813" s="218"/>
      <c r="S813" s="218"/>
    </row>
    <row r="814">
      <c r="A814" s="218"/>
      <c r="B814" s="218"/>
      <c r="C814" s="457"/>
      <c r="D814" s="218"/>
      <c r="E814" s="218"/>
      <c r="G814" s="218"/>
      <c r="H814" s="218"/>
      <c r="I814" s="218"/>
      <c r="J814" s="218"/>
      <c r="K814" s="218"/>
      <c r="L814" s="218"/>
      <c r="M814" s="218"/>
      <c r="N814" s="218"/>
      <c r="O814" s="218"/>
      <c r="P814" s="218"/>
      <c r="Q814" s="218"/>
      <c r="R814" s="218"/>
      <c r="S814" s="218"/>
    </row>
    <row r="815">
      <c r="A815" s="218"/>
      <c r="B815" s="218"/>
      <c r="C815" s="457"/>
      <c r="D815" s="218"/>
      <c r="E815" s="218"/>
      <c r="G815" s="218"/>
      <c r="H815" s="218"/>
      <c r="I815" s="218"/>
      <c r="J815" s="218"/>
      <c r="K815" s="218"/>
      <c r="L815" s="218"/>
      <c r="M815" s="218"/>
      <c r="N815" s="218"/>
      <c r="O815" s="218"/>
      <c r="P815" s="218"/>
      <c r="Q815" s="218"/>
      <c r="R815" s="218"/>
      <c r="S815" s="218"/>
    </row>
    <row r="816">
      <c r="A816" s="218"/>
      <c r="B816" s="218"/>
      <c r="C816" s="457"/>
      <c r="D816" s="218"/>
      <c r="E816" s="218"/>
      <c r="G816" s="218"/>
      <c r="H816" s="218"/>
      <c r="I816" s="218"/>
      <c r="J816" s="218"/>
      <c r="K816" s="218"/>
      <c r="L816" s="218"/>
      <c r="M816" s="218"/>
      <c r="N816" s="218"/>
      <c r="O816" s="218"/>
      <c r="P816" s="218"/>
      <c r="Q816" s="218"/>
      <c r="R816" s="218"/>
      <c r="S816" s="218"/>
    </row>
    <row r="817">
      <c r="A817" s="218"/>
      <c r="B817" s="218"/>
      <c r="C817" s="457"/>
      <c r="E817" s="218"/>
      <c r="F817" s="218"/>
      <c r="G817" s="218"/>
      <c r="H817" s="218"/>
      <c r="I817" s="218"/>
      <c r="J817" s="218"/>
      <c r="K817" s="218"/>
      <c r="L817" s="218"/>
      <c r="M817" s="218"/>
      <c r="N817" s="218"/>
      <c r="O817" s="218"/>
      <c r="P817" s="222"/>
      <c r="Q817" s="222"/>
      <c r="R817" s="218"/>
      <c r="S817" s="218"/>
    </row>
    <row r="818">
      <c r="A818" s="218"/>
      <c r="B818" s="218"/>
      <c r="C818" s="457"/>
      <c r="E818" s="218"/>
      <c r="F818" s="218"/>
      <c r="G818" s="218"/>
      <c r="H818" s="218"/>
      <c r="I818" s="218"/>
      <c r="J818" s="218"/>
      <c r="K818" s="218"/>
      <c r="L818" s="218"/>
      <c r="M818" s="218"/>
      <c r="N818" s="218"/>
      <c r="O818" s="218"/>
      <c r="P818" s="218"/>
      <c r="Q818" s="218"/>
      <c r="R818" s="218"/>
      <c r="S818" s="218"/>
    </row>
    <row r="819">
      <c r="A819" s="218"/>
      <c r="B819" s="218"/>
      <c r="C819" s="457"/>
      <c r="D819" s="218"/>
      <c r="E819" s="218"/>
      <c r="G819" s="218"/>
      <c r="H819" s="218"/>
      <c r="I819" s="218"/>
      <c r="J819" s="218"/>
      <c r="K819" s="218"/>
      <c r="L819" s="218"/>
      <c r="M819" s="218"/>
      <c r="N819" s="218"/>
      <c r="O819" s="218"/>
      <c r="P819" s="222"/>
      <c r="Q819" s="222"/>
      <c r="R819" s="222"/>
      <c r="S819" s="218"/>
    </row>
    <row r="820">
      <c r="A820" s="218"/>
      <c r="B820" s="218"/>
      <c r="C820" s="457"/>
      <c r="E820" s="218"/>
      <c r="F820" s="218"/>
      <c r="G820" s="218"/>
      <c r="H820" s="218"/>
      <c r="I820" s="218"/>
      <c r="J820" s="218"/>
      <c r="K820" s="218"/>
      <c r="L820" s="218"/>
      <c r="M820" s="218"/>
      <c r="N820" s="218"/>
      <c r="O820" s="218"/>
      <c r="P820" s="218"/>
      <c r="Q820" s="218"/>
      <c r="R820" s="218"/>
      <c r="S820" s="218"/>
    </row>
    <row r="821">
      <c r="A821" s="218"/>
      <c r="B821" s="218"/>
      <c r="C821" s="457"/>
      <c r="E821" s="218"/>
      <c r="F821" s="218"/>
      <c r="G821" s="218"/>
      <c r="H821" s="218"/>
      <c r="I821" s="218"/>
      <c r="J821" s="218"/>
      <c r="K821" s="218"/>
      <c r="L821" s="218"/>
      <c r="M821" s="218"/>
      <c r="N821" s="218"/>
      <c r="O821" s="218"/>
      <c r="P821" s="222"/>
      <c r="Q821" s="222"/>
      <c r="R821" s="218"/>
      <c r="S821" s="218"/>
    </row>
    <row r="822">
      <c r="A822" s="218"/>
      <c r="B822" s="218"/>
      <c r="C822" s="457"/>
      <c r="E822" s="218"/>
      <c r="F822" s="218"/>
      <c r="G822" s="218"/>
      <c r="H822" s="218"/>
      <c r="I822" s="218"/>
      <c r="J822" s="218"/>
      <c r="K822" s="218"/>
      <c r="L822" s="218"/>
      <c r="M822" s="218"/>
      <c r="N822" s="218"/>
      <c r="P822" s="218"/>
      <c r="Q822" s="218"/>
      <c r="R822" s="218"/>
      <c r="S822" s="218"/>
    </row>
    <row r="823">
      <c r="A823" s="218"/>
      <c r="B823" s="218"/>
      <c r="C823" s="457"/>
      <c r="E823" s="218"/>
      <c r="F823" s="218"/>
      <c r="G823" s="218"/>
      <c r="H823" s="218"/>
      <c r="I823" s="218"/>
      <c r="J823" s="218"/>
      <c r="K823" s="218"/>
      <c r="L823" s="218"/>
      <c r="M823" s="218"/>
      <c r="N823" s="218"/>
      <c r="P823" s="222"/>
      <c r="Q823" s="222"/>
      <c r="R823" s="218"/>
      <c r="S823" s="218"/>
    </row>
    <row r="824">
      <c r="A824" s="218"/>
      <c r="B824" s="218"/>
      <c r="C824" s="457"/>
      <c r="E824" s="218"/>
      <c r="F824" s="218"/>
      <c r="G824" s="218"/>
      <c r="H824" s="218"/>
      <c r="I824" s="218"/>
      <c r="J824" s="218"/>
      <c r="K824" s="218"/>
      <c r="L824" s="218"/>
      <c r="M824" s="218"/>
      <c r="N824" s="218"/>
      <c r="O824" s="218"/>
      <c r="P824" s="222"/>
      <c r="Q824" s="222"/>
      <c r="R824" s="218"/>
      <c r="S824" s="218"/>
    </row>
    <row r="825">
      <c r="A825" s="218"/>
      <c r="B825" s="218"/>
      <c r="C825" s="457"/>
      <c r="E825" s="218"/>
      <c r="F825" s="218"/>
      <c r="G825" s="218"/>
      <c r="H825" s="218"/>
      <c r="I825" s="218"/>
      <c r="J825" s="218"/>
      <c r="K825" s="218"/>
      <c r="L825" s="218"/>
      <c r="M825" s="218"/>
      <c r="N825" s="218"/>
      <c r="O825" s="218"/>
      <c r="P825" s="222"/>
      <c r="Q825" s="222"/>
      <c r="R825" s="218"/>
      <c r="S825" s="218"/>
    </row>
    <row r="826">
      <c r="A826" s="218"/>
      <c r="B826" s="218"/>
      <c r="C826" s="457"/>
      <c r="E826" s="218"/>
      <c r="F826" s="218"/>
      <c r="G826" s="218"/>
      <c r="H826" s="218"/>
      <c r="I826" s="218"/>
      <c r="J826" s="218"/>
      <c r="K826" s="218"/>
      <c r="L826" s="218"/>
      <c r="M826" s="218"/>
      <c r="N826" s="218"/>
      <c r="O826" s="218"/>
      <c r="P826" s="222"/>
      <c r="Q826" s="222"/>
      <c r="R826" s="218"/>
      <c r="S826" s="218"/>
    </row>
    <row r="827">
      <c r="A827" s="218"/>
      <c r="B827" s="218"/>
      <c r="C827" s="457"/>
      <c r="E827" s="218"/>
      <c r="F827" s="218"/>
      <c r="G827" s="218"/>
      <c r="H827" s="218"/>
      <c r="I827" s="218"/>
      <c r="J827" s="218"/>
      <c r="K827" s="218"/>
      <c r="L827" s="218"/>
      <c r="M827" s="218"/>
      <c r="N827" s="218"/>
      <c r="O827" s="218"/>
      <c r="P827" s="218"/>
      <c r="Q827" s="218"/>
      <c r="R827" s="218"/>
      <c r="S827" s="218"/>
    </row>
    <row r="828">
      <c r="A828" s="218"/>
      <c r="B828" s="218"/>
      <c r="C828" s="457"/>
      <c r="E828" s="218"/>
      <c r="F828" s="218"/>
      <c r="G828" s="218"/>
      <c r="H828" s="218"/>
      <c r="I828" s="218"/>
      <c r="J828" s="218"/>
      <c r="K828" s="218"/>
      <c r="L828" s="218"/>
      <c r="M828" s="218"/>
      <c r="N828" s="218"/>
      <c r="P828" s="218"/>
      <c r="Q828" s="218"/>
      <c r="R828" s="218"/>
      <c r="S828" s="218"/>
    </row>
    <row r="829">
      <c r="A829" s="218"/>
      <c r="B829" s="218"/>
      <c r="C829" s="457"/>
      <c r="D829" s="218"/>
      <c r="E829" s="218"/>
      <c r="G829" s="218"/>
      <c r="H829" s="218"/>
      <c r="I829" s="218"/>
      <c r="J829" s="218"/>
      <c r="K829" s="218"/>
      <c r="L829" s="218"/>
      <c r="M829" s="218"/>
      <c r="N829" s="218"/>
      <c r="O829" s="218"/>
      <c r="P829" s="222"/>
      <c r="Q829" s="222"/>
      <c r="R829" s="222"/>
      <c r="S829" s="218"/>
    </row>
    <row r="830">
      <c r="A830" s="218"/>
      <c r="B830" s="218"/>
      <c r="C830" s="457"/>
      <c r="D830" s="218"/>
      <c r="E830" s="218"/>
      <c r="G830" s="218"/>
      <c r="H830" s="218"/>
      <c r="I830" s="218"/>
      <c r="J830" s="218"/>
      <c r="K830" s="218"/>
      <c r="L830" s="218"/>
      <c r="M830" s="218"/>
      <c r="N830" s="218"/>
      <c r="O830" s="218"/>
      <c r="P830" s="218"/>
      <c r="Q830" s="218"/>
      <c r="R830" s="218"/>
      <c r="S830" s="218"/>
    </row>
    <row r="831">
      <c r="A831" s="218"/>
      <c r="B831" s="218"/>
      <c r="C831" s="457"/>
      <c r="D831" s="218"/>
      <c r="E831" s="218"/>
      <c r="G831" s="218"/>
      <c r="H831" s="218"/>
      <c r="I831" s="218"/>
      <c r="J831" s="218"/>
      <c r="K831" s="218"/>
      <c r="L831" s="218"/>
      <c r="M831" s="218"/>
      <c r="N831" s="218"/>
      <c r="O831" s="218"/>
      <c r="P831" s="222"/>
      <c r="Q831" s="222"/>
      <c r="R831" s="222"/>
      <c r="S831" s="222"/>
    </row>
    <row r="832">
      <c r="A832" s="218"/>
      <c r="B832" s="218"/>
      <c r="C832" s="457"/>
      <c r="D832" s="218"/>
      <c r="E832" s="218"/>
      <c r="G832" s="218"/>
      <c r="H832" s="218"/>
      <c r="I832" s="218"/>
      <c r="J832" s="218"/>
      <c r="K832" s="218"/>
      <c r="L832" s="218"/>
      <c r="M832" s="218"/>
      <c r="N832" s="218"/>
      <c r="O832" s="218"/>
      <c r="P832" s="222"/>
      <c r="Q832" s="222"/>
      <c r="R832" s="222"/>
      <c r="S832" s="218"/>
    </row>
    <row r="833">
      <c r="A833" s="218"/>
      <c r="B833" s="218"/>
      <c r="C833" s="457"/>
      <c r="D833" s="218"/>
      <c r="E833" s="218"/>
      <c r="G833" s="218"/>
      <c r="H833" s="218"/>
      <c r="I833" s="218"/>
      <c r="J833" s="218"/>
      <c r="K833" s="218"/>
      <c r="L833" s="218"/>
      <c r="M833" s="218"/>
      <c r="N833" s="218"/>
      <c r="O833" s="218"/>
      <c r="P833" s="222"/>
      <c r="Q833" s="222"/>
      <c r="R833" s="222"/>
      <c r="S833" s="218"/>
    </row>
    <row r="834">
      <c r="A834" s="218"/>
      <c r="B834" s="218"/>
      <c r="C834" s="457"/>
      <c r="D834" s="218"/>
      <c r="E834" s="218"/>
      <c r="G834" s="218"/>
      <c r="H834" s="218"/>
      <c r="I834" s="218"/>
      <c r="J834" s="218"/>
      <c r="K834" s="218"/>
      <c r="L834" s="218"/>
      <c r="M834" s="218"/>
      <c r="N834" s="218"/>
      <c r="O834" s="218"/>
      <c r="P834" s="222"/>
      <c r="Q834" s="222"/>
      <c r="R834" s="222"/>
      <c r="S834" s="218"/>
    </row>
    <row r="835">
      <c r="A835" s="218"/>
      <c r="B835" s="218"/>
      <c r="C835" s="457"/>
      <c r="D835" s="218"/>
      <c r="E835" s="218"/>
      <c r="G835" s="218"/>
      <c r="H835" s="218"/>
      <c r="I835" s="218"/>
      <c r="J835" s="218"/>
      <c r="K835" s="218"/>
      <c r="L835" s="218"/>
      <c r="M835" s="218"/>
      <c r="N835" s="218"/>
      <c r="O835" s="218"/>
      <c r="P835" s="222"/>
      <c r="Q835" s="222"/>
      <c r="R835" s="222"/>
      <c r="S835" s="218"/>
    </row>
    <row r="836">
      <c r="A836" s="218"/>
      <c r="B836" s="218"/>
      <c r="C836" s="457"/>
      <c r="E836" s="218"/>
      <c r="F836" s="218"/>
      <c r="G836" s="218"/>
      <c r="H836" s="218"/>
      <c r="I836" s="218"/>
      <c r="J836" s="218"/>
      <c r="K836" s="218"/>
      <c r="L836" s="218"/>
      <c r="M836" s="218"/>
      <c r="N836" s="218"/>
      <c r="P836" s="222"/>
      <c r="Q836" s="222"/>
      <c r="R836" s="218"/>
      <c r="S836" s="218"/>
    </row>
    <row r="837">
      <c r="A837" s="218"/>
      <c r="B837" s="218"/>
      <c r="C837" s="457"/>
      <c r="E837" s="218"/>
      <c r="F837" s="218"/>
      <c r="G837" s="218"/>
      <c r="H837" s="218"/>
      <c r="I837" s="218"/>
      <c r="J837" s="218"/>
      <c r="K837" s="218"/>
      <c r="L837" s="218"/>
      <c r="M837" s="218"/>
      <c r="N837" s="218"/>
      <c r="O837" s="218"/>
      <c r="P837" s="222"/>
      <c r="Q837" s="222"/>
      <c r="R837" s="218"/>
      <c r="S837" s="218"/>
    </row>
    <row r="838">
      <c r="A838" s="218"/>
      <c r="B838" s="218"/>
      <c r="C838" s="457"/>
      <c r="E838" s="218"/>
      <c r="F838" s="218"/>
      <c r="G838" s="218"/>
      <c r="H838" s="218"/>
      <c r="I838" s="218"/>
      <c r="J838" s="218"/>
      <c r="K838" s="218"/>
      <c r="L838" s="218"/>
      <c r="M838" s="218"/>
      <c r="N838" s="218"/>
      <c r="P838" s="218"/>
      <c r="Q838" s="218"/>
      <c r="R838" s="218"/>
      <c r="S838" s="218"/>
    </row>
    <row r="839">
      <c r="A839" s="218"/>
      <c r="B839" s="218"/>
      <c r="C839" s="457"/>
      <c r="E839" s="218"/>
      <c r="F839" s="218"/>
      <c r="G839" s="218"/>
      <c r="H839" s="218"/>
      <c r="I839" s="218"/>
      <c r="J839" s="218"/>
      <c r="K839" s="218"/>
      <c r="L839" s="218"/>
      <c r="M839" s="218"/>
      <c r="N839" s="218"/>
      <c r="P839" s="218"/>
      <c r="Q839" s="218"/>
      <c r="R839" s="218"/>
      <c r="S839" s="218"/>
    </row>
    <row r="840">
      <c r="A840" s="218"/>
      <c r="B840" s="218"/>
      <c r="C840" s="457"/>
      <c r="D840" s="218"/>
      <c r="E840" s="218"/>
      <c r="G840" s="218"/>
      <c r="H840" s="218"/>
      <c r="I840" s="218"/>
      <c r="J840" s="218"/>
      <c r="K840" s="218"/>
      <c r="L840" s="218"/>
      <c r="M840" s="218"/>
      <c r="N840" s="218"/>
      <c r="O840" s="218"/>
      <c r="P840" s="222"/>
      <c r="Q840" s="222"/>
      <c r="R840" s="222"/>
      <c r="S840" s="218"/>
    </row>
    <row r="841">
      <c r="A841" s="218"/>
      <c r="B841" s="218"/>
      <c r="C841" s="457"/>
      <c r="E841" s="218"/>
      <c r="F841" s="218"/>
      <c r="G841" s="218"/>
      <c r="H841" s="218"/>
      <c r="I841" s="218"/>
      <c r="J841" s="218"/>
      <c r="K841" s="218"/>
      <c r="L841" s="218"/>
      <c r="M841" s="218"/>
      <c r="N841" s="218"/>
      <c r="P841" s="222"/>
      <c r="Q841" s="222"/>
      <c r="R841" s="218"/>
      <c r="S841" s="218"/>
    </row>
    <row r="842">
      <c r="A842" s="218"/>
      <c r="B842" s="218"/>
      <c r="C842" s="457"/>
      <c r="E842" s="218"/>
      <c r="F842" s="218"/>
      <c r="G842" s="218"/>
      <c r="H842" s="218"/>
      <c r="I842" s="218"/>
      <c r="J842" s="218"/>
      <c r="K842" s="218"/>
      <c r="L842" s="218"/>
      <c r="M842" s="218"/>
      <c r="N842" s="218"/>
      <c r="P842" s="218"/>
      <c r="Q842" s="218"/>
      <c r="R842" s="218"/>
      <c r="S842" s="218"/>
    </row>
    <row r="843">
      <c r="A843" s="218"/>
      <c r="B843" s="218"/>
      <c r="C843" s="457"/>
      <c r="E843" s="218"/>
      <c r="F843" s="218"/>
      <c r="G843" s="218"/>
      <c r="H843" s="218"/>
      <c r="I843" s="218"/>
      <c r="J843" s="218"/>
      <c r="K843" s="218"/>
      <c r="L843" s="218"/>
      <c r="M843" s="218"/>
      <c r="N843" s="218"/>
      <c r="P843" s="222"/>
      <c r="Q843" s="222"/>
      <c r="R843" s="218"/>
      <c r="S843" s="218"/>
    </row>
    <row r="844">
      <c r="A844" s="218"/>
      <c r="B844" s="218"/>
      <c r="C844" s="457"/>
      <c r="E844" s="218"/>
      <c r="F844" s="218"/>
      <c r="G844" s="218"/>
      <c r="H844" s="218"/>
      <c r="I844" s="218"/>
      <c r="J844" s="218"/>
      <c r="K844" s="218"/>
      <c r="L844" s="218"/>
      <c r="M844" s="218"/>
      <c r="N844" s="218"/>
      <c r="P844" s="218"/>
      <c r="Q844" s="218"/>
      <c r="R844" s="218"/>
      <c r="S844" s="218"/>
    </row>
    <row r="845">
      <c r="A845" s="218"/>
      <c r="B845" s="218"/>
      <c r="C845" s="457"/>
      <c r="D845" s="218"/>
      <c r="E845" s="218"/>
      <c r="G845" s="218"/>
      <c r="H845" s="218"/>
      <c r="I845" s="218"/>
      <c r="J845" s="218"/>
      <c r="K845" s="218"/>
      <c r="L845" s="218"/>
      <c r="M845" s="218"/>
      <c r="N845" s="218"/>
      <c r="O845" s="218"/>
      <c r="P845" s="222"/>
      <c r="Q845" s="222"/>
      <c r="R845" s="222"/>
      <c r="S845" s="218"/>
    </row>
    <row r="846">
      <c r="A846" s="218"/>
      <c r="B846" s="218"/>
      <c r="C846" s="457"/>
      <c r="E846" s="218"/>
      <c r="F846" s="218"/>
      <c r="G846" s="218"/>
      <c r="H846" s="218"/>
      <c r="I846" s="218"/>
      <c r="J846" s="218"/>
      <c r="K846" s="218"/>
      <c r="L846" s="218"/>
      <c r="M846" s="218"/>
      <c r="N846" s="218"/>
      <c r="P846" s="222"/>
      <c r="Q846" s="222"/>
      <c r="R846" s="218"/>
      <c r="S846" s="218"/>
    </row>
    <row r="847">
      <c r="A847" s="218"/>
      <c r="B847" s="218"/>
      <c r="C847" s="457"/>
      <c r="E847" s="218"/>
      <c r="F847" s="218"/>
      <c r="G847" s="218"/>
      <c r="H847" s="218"/>
      <c r="I847" s="218"/>
      <c r="J847" s="218"/>
      <c r="K847" s="218"/>
      <c r="L847" s="218"/>
      <c r="M847" s="218"/>
      <c r="N847" s="218"/>
      <c r="P847" s="222"/>
      <c r="Q847" s="222"/>
      <c r="R847" s="218"/>
      <c r="S847" s="218"/>
    </row>
    <row r="848">
      <c r="A848" s="218"/>
      <c r="B848" s="218"/>
      <c r="C848" s="457"/>
      <c r="E848" s="218"/>
      <c r="F848" s="218"/>
      <c r="G848" s="218"/>
      <c r="H848" s="218"/>
      <c r="I848" s="218"/>
      <c r="J848" s="218"/>
      <c r="K848" s="218"/>
      <c r="L848" s="218"/>
      <c r="M848" s="218"/>
      <c r="N848" s="218"/>
      <c r="P848" s="222"/>
      <c r="Q848" s="222"/>
      <c r="R848" s="218"/>
      <c r="S848" s="218"/>
    </row>
    <row r="849">
      <c r="A849" s="218"/>
      <c r="B849" s="218"/>
      <c r="C849" s="457"/>
      <c r="D849" s="218"/>
      <c r="E849" s="218"/>
      <c r="G849" s="218"/>
      <c r="H849" s="218"/>
      <c r="I849" s="218"/>
      <c r="J849" s="218"/>
      <c r="K849" s="218"/>
      <c r="L849" s="218"/>
      <c r="M849" s="218"/>
      <c r="N849" s="218"/>
      <c r="O849" s="218"/>
      <c r="P849" s="222"/>
      <c r="Q849" s="222"/>
      <c r="R849" s="218"/>
      <c r="S849" s="218"/>
    </row>
    <row r="850">
      <c r="A850" s="218"/>
      <c r="B850" s="218"/>
      <c r="C850" s="457"/>
      <c r="D850" s="218"/>
      <c r="E850" s="218"/>
      <c r="G850" s="218"/>
      <c r="H850" s="218"/>
      <c r="I850" s="218"/>
      <c r="J850" s="218"/>
      <c r="K850" s="218"/>
      <c r="L850" s="218"/>
      <c r="M850" s="218"/>
      <c r="N850" s="218"/>
      <c r="O850" s="218"/>
      <c r="P850" s="222"/>
      <c r="Q850" s="222"/>
      <c r="R850" s="218"/>
      <c r="S850" s="218"/>
    </row>
    <row r="851">
      <c r="A851" s="218"/>
      <c r="B851" s="218"/>
      <c r="C851" s="457"/>
      <c r="E851" s="218"/>
      <c r="F851" s="218"/>
      <c r="G851" s="218"/>
      <c r="H851" s="218"/>
      <c r="I851" s="218"/>
      <c r="J851" s="218"/>
      <c r="K851" s="218"/>
      <c r="L851" s="218"/>
      <c r="M851" s="218"/>
      <c r="N851" s="218"/>
      <c r="P851" s="222"/>
      <c r="Q851" s="222"/>
      <c r="R851" s="218"/>
      <c r="S851" s="218"/>
    </row>
    <row r="852">
      <c r="A852" s="218"/>
      <c r="B852" s="218"/>
      <c r="C852" s="457"/>
      <c r="E852" s="218"/>
      <c r="F852" s="218"/>
      <c r="G852" s="218"/>
      <c r="H852" s="218"/>
      <c r="I852" s="218"/>
      <c r="J852" s="218"/>
      <c r="K852" s="218"/>
      <c r="L852" s="218"/>
      <c r="M852" s="218"/>
      <c r="N852" s="218"/>
      <c r="P852" s="222"/>
      <c r="Q852" s="222"/>
      <c r="R852" s="218"/>
      <c r="S852" s="218"/>
    </row>
    <row r="853">
      <c r="A853" s="218"/>
      <c r="B853" s="218"/>
      <c r="C853" s="457"/>
      <c r="D853" s="218"/>
      <c r="E853" s="218"/>
      <c r="G853" s="218"/>
      <c r="H853" s="218"/>
      <c r="I853" s="218"/>
      <c r="J853" s="218"/>
      <c r="K853" s="218"/>
      <c r="L853" s="218"/>
      <c r="M853" s="218"/>
      <c r="N853" s="218"/>
      <c r="O853" s="218"/>
      <c r="P853" s="222"/>
      <c r="Q853" s="222"/>
      <c r="R853" s="222"/>
      <c r="S853" s="222"/>
    </row>
    <row r="854">
      <c r="A854" s="218"/>
      <c r="B854" s="218"/>
      <c r="C854" s="457"/>
      <c r="D854" s="218"/>
      <c r="E854" s="218"/>
      <c r="G854" s="218"/>
      <c r="H854" s="218"/>
      <c r="I854" s="218"/>
      <c r="J854" s="218"/>
      <c r="K854" s="218"/>
      <c r="L854" s="218"/>
      <c r="M854" s="218"/>
      <c r="N854" s="218"/>
      <c r="O854" s="218"/>
      <c r="P854" s="222"/>
      <c r="Q854" s="222"/>
      <c r="R854" s="222"/>
      <c r="S854" s="222"/>
    </row>
    <row r="855">
      <c r="A855" s="218"/>
      <c r="B855" s="218"/>
      <c r="C855" s="457"/>
      <c r="E855" s="218"/>
      <c r="F855" s="218"/>
      <c r="G855" s="218"/>
      <c r="H855" s="218"/>
      <c r="I855" s="218"/>
      <c r="J855" s="218"/>
      <c r="K855" s="218"/>
      <c r="L855" s="218"/>
      <c r="M855" s="218"/>
      <c r="N855" s="218"/>
      <c r="P855" s="222"/>
      <c r="Q855" s="222"/>
      <c r="R855" s="218"/>
      <c r="S855" s="218"/>
    </row>
    <row r="856">
      <c r="A856" s="218"/>
      <c r="B856" s="218"/>
      <c r="C856" s="457"/>
      <c r="E856" s="218"/>
      <c r="F856" s="218"/>
      <c r="G856" s="218"/>
      <c r="H856" s="218"/>
      <c r="I856" s="218"/>
      <c r="J856" s="218"/>
      <c r="K856" s="218"/>
      <c r="L856" s="218"/>
      <c r="M856" s="218"/>
      <c r="N856" s="218"/>
      <c r="P856" s="222"/>
      <c r="Q856" s="222"/>
      <c r="R856" s="218"/>
      <c r="S856" s="218"/>
    </row>
    <row r="857">
      <c r="A857" s="218"/>
      <c r="B857" s="218"/>
      <c r="C857" s="457"/>
      <c r="E857" s="218"/>
      <c r="F857" s="218"/>
      <c r="G857" s="218"/>
      <c r="H857" s="218"/>
      <c r="I857" s="218"/>
      <c r="J857" s="218"/>
      <c r="K857" s="218"/>
      <c r="L857" s="218"/>
      <c r="M857" s="218"/>
      <c r="N857" s="218"/>
      <c r="P857" s="222"/>
      <c r="Q857" s="222"/>
      <c r="R857" s="218"/>
      <c r="S857" s="218"/>
    </row>
    <row r="858">
      <c r="A858" s="218"/>
      <c r="B858" s="218"/>
      <c r="C858" s="457"/>
      <c r="E858" s="218"/>
      <c r="F858" s="218"/>
      <c r="G858" s="218"/>
      <c r="H858" s="218"/>
      <c r="I858" s="218"/>
      <c r="J858" s="218"/>
      <c r="K858" s="218"/>
      <c r="L858" s="218"/>
      <c r="M858" s="218"/>
      <c r="N858" s="218"/>
      <c r="P858" s="222"/>
      <c r="Q858" s="222"/>
      <c r="R858" s="218"/>
      <c r="S858" s="218"/>
    </row>
    <row r="859">
      <c r="A859" s="218"/>
      <c r="B859" s="218"/>
      <c r="C859" s="457"/>
      <c r="E859" s="218"/>
      <c r="F859" s="218"/>
      <c r="G859" s="218"/>
      <c r="H859" s="218"/>
      <c r="I859" s="218"/>
      <c r="J859" s="218"/>
      <c r="K859" s="218"/>
      <c r="L859" s="218"/>
      <c r="M859" s="218"/>
      <c r="N859" s="218"/>
      <c r="P859" s="222"/>
      <c r="Q859" s="222"/>
      <c r="R859" s="218"/>
      <c r="S859" s="218"/>
    </row>
    <row r="860">
      <c r="A860" s="218"/>
      <c r="B860" s="218"/>
      <c r="C860" s="457"/>
      <c r="E860" s="218"/>
      <c r="F860" s="218"/>
      <c r="G860" s="218"/>
      <c r="H860" s="218"/>
      <c r="I860" s="218"/>
      <c r="J860" s="218"/>
      <c r="K860" s="218"/>
      <c r="L860" s="218"/>
      <c r="M860" s="218"/>
      <c r="N860" s="218"/>
      <c r="O860" s="218"/>
      <c r="P860" s="222"/>
      <c r="Q860" s="222"/>
      <c r="R860" s="218"/>
      <c r="S860" s="218"/>
    </row>
    <row r="861">
      <c r="A861" s="218"/>
      <c r="B861" s="218"/>
      <c r="C861" s="457"/>
      <c r="E861" s="218"/>
      <c r="F861" s="218"/>
      <c r="G861" s="218"/>
      <c r="H861" s="218"/>
      <c r="I861" s="218"/>
      <c r="J861" s="218"/>
      <c r="K861" s="218"/>
      <c r="L861" s="218"/>
      <c r="M861" s="218"/>
      <c r="N861" s="218"/>
      <c r="P861" s="218"/>
      <c r="Q861" s="218"/>
      <c r="R861" s="218"/>
      <c r="S861" s="218"/>
    </row>
    <row r="862">
      <c r="A862" s="218"/>
      <c r="B862" s="218"/>
      <c r="C862" s="457"/>
      <c r="E862" s="218"/>
      <c r="F862" s="218"/>
      <c r="G862" s="218"/>
      <c r="H862" s="218"/>
      <c r="I862" s="218"/>
      <c r="J862" s="218"/>
      <c r="K862" s="218"/>
      <c r="L862" s="218"/>
      <c r="M862" s="218"/>
      <c r="N862" s="218"/>
      <c r="P862" s="222"/>
      <c r="Q862" s="222"/>
      <c r="R862" s="218"/>
      <c r="S862" s="218"/>
    </row>
    <row r="863">
      <c r="A863" s="218"/>
      <c r="B863" s="218"/>
      <c r="C863" s="457"/>
      <c r="E863" s="218"/>
      <c r="F863" s="218"/>
      <c r="G863" s="218"/>
      <c r="H863" s="218"/>
      <c r="I863" s="218"/>
      <c r="J863" s="218"/>
      <c r="K863" s="218"/>
      <c r="L863" s="218"/>
      <c r="M863" s="218"/>
      <c r="N863" s="218"/>
      <c r="P863" s="222"/>
      <c r="Q863" s="222"/>
      <c r="R863" s="218"/>
      <c r="S863" s="218"/>
    </row>
    <row r="864">
      <c r="A864" s="218"/>
      <c r="B864" s="218"/>
      <c r="C864" s="457"/>
      <c r="E864" s="218"/>
      <c r="F864" s="218"/>
      <c r="G864" s="218"/>
      <c r="H864" s="218"/>
      <c r="I864" s="218"/>
      <c r="J864" s="218"/>
      <c r="K864" s="218"/>
      <c r="L864" s="218"/>
      <c r="M864" s="218"/>
      <c r="N864" s="218"/>
      <c r="P864" s="222"/>
      <c r="Q864" s="222"/>
      <c r="R864" s="218"/>
      <c r="S864" s="218"/>
    </row>
    <row r="865">
      <c r="A865" s="218"/>
      <c r="B865" s="218"/>
      <c r="C865" s="457"/>
      <c r="D865" s="218"/>
      <c r="E865" s="218"/>
      <c r="G865" s="218"/>
      <c r="H865" s="218"/>
      <c r="I865" s="218"/>
      <c r="J865" s="218"/>
      <c r="K865" s="218"/>
      <c r="L865" s="218"/>
      <c r="M865" s="218"/>
      <c r="N865" s="218"/>
      <c r="O865" s="218"/>
      <c r="P865" s="218"/>
      <c r="Q865" s="218"/>
      <c r="R865" s="218"/>
      <c r="S865" s="218"/>
    </row>
    <row r="866">
      <c r="A866" s="218"/>
      <c r="B866" s="218"/>
      <c r="C866" s="457"/>
      <c r="E866" s="218"/>
      <c r="F866" s="218"/>
      <c r="G866" s="218"/>
      <c r="H866" s="218"/>
      <c r="I866" s="218"/>
      <c r="N866" s="218"/>
      <c r="P866" s="218"/>
      <c r="Q866" s="218"/>
      <c r="R866" s="218"/>
      <c r="S866" s="218"/>
    </row>
    <row r="867">
      <c r="A867" s="218"/>
      <c r="B867" s="218"/>
      <c r="C867" s="457"/>
      <c r="E867" s="218"/>
      <c r="F867" s="218"/>
      <c r="G867" s="218"/>
      <c r="H867" s="218"/>
      <c r="I867" s="218"/>
      <c r="N867" s="218"/>
      <c r="P867" s="218"/>
      <c r="Q867" s="218"/>
      <c r="R867" s="218"/>
      <c r="S867" s="218"/>
    </row>
    <row r="868">
      <c r="A868" s="218"/>
      <c r="B868" s="218"/>
      <c r="C868" s="457"/>
      <c r="E868" s="218"/>
      <c r="F868" s="218"/>
      <c r="G868" s="218"/>
      <c r="H868" s="218"/>
      <c r="I868" s="218"/>
      <c r="N868" s="218"/>
      <c r="P868" s="218"/>
      <c r="Q868" s="218"/>
      <c r="R868" s="218"/>
      <c r="S868" s="218"/>
    </row>
    <row r="869">
      <c r="A869" s="218"/>
      <c r="B869" s="218"/>
      <c r="C869" s="457"/>
      <c r="E869" s="218"/>
      <c r="F869" s="218"/>
      <c r="G869" s="218"/>
      <c r="H869" s="218"/>
      <c r="I869" s="218"/>
      <c r="N869" s="218"/>
      <c r="P869" s="222"/>
      <c r="Q869" s="222"/>
      <c r="R869" s="218"/>
      <c r="S869" s="218"/>
    </row>
    <row r="870">
      <c r="A870" s="218"/>
      <c r="B870" s="218"/>
      <c r="C870" s="457"/>
      <c r="E870" s="218"/>
      <c r="F870" s="218"/>
      <c r="G870" s="218"/>
      <c r="H870" s="218"/>
      <c r="I870" s="218"/>
      <c r="N870" s="218"/>
      <c r="P870" s="218"/>
      <c r="Q870" s="218"/>
      <c r="R870" s="218"/>
      <c r="S870" s="218"/>
    </row>
    <row r="871">
      <c r="A871" s="218"/>
      <c r="B871" s="218"/>
      <c r="C871" s="457"/>
      <c r="E871" s="218"/>
      <c r="F871" s="218"/>
      <c r="G871" s="218"/>
      <c r="H871" s="218"/>
      <c r="I871" s="218"/>
      <c r="N871" s="218"/>
      <c r="P871" s="218"/>
      <c r="Q871" s="218"/>
      <c r="R871" s="218"/>
      <c r="S871" s="218"/>
    </row>
    <row r="872">
      <c r="A872" s="218"/>
      <c r="B872" s="218"/>
      <c r="C872" s="457"/>
      <c r="E872" s="218"/>
      <c r="F872" s="218"/>
      <c r="G872" s="218"/>
      <c r="H872" s="218"/>
      <c r="I872" s="218"/>
      <c r="N872" s="218"/>
      <c r="P872" s="222"/>
      <c r="Q872" s="222"/>
      <c r="R872" s="218"/>
      <c r="S872" s="218"/>
    </row>
    <row r="873">
      <c r="A873" s="218"/>
      <c r="B873" s="218"/>
      <c r="C873" s="457"/>
      <c r="E873" s="218"/>
      <c r="F873" s="218"/>
      <c r="G873" s="218"/>
      <c r="H873" s="218"/>
      <c r="I873" s="218"/>
      <c r="N873" s="218"/>
      <c r="P873" s="218"/>
      <c r="Q873" s="218"/>
      <c r="R873" s="218"/>
      <c r="S873" s="218"/>
    </row>
    <row r="874">
      <c r="A874" s="218"/>
      <c r="B874" s="218"/>
      <c r="C874" s="457"/>
      <c r="E874" s="218"/>
      <c r="F874" s="218"/>
      <c r="G874" s="218"/>
      <c r="H874" s="218"/>
      <c r="I874" s="218"/>
      <c r="N874" s="218"/>
      <c r="P874" s="218"/>
      <c r="Q874" s="218"/>
      <c r="R874" s="218"/>
      <c r="S874" s="218"/>
    </row>
    <row r="875">
      <c r="A875" s="218"/>
      <c r="B875" s="218"/>
      <c r="C875" s="457"/>
      <c r="E875" s="218"/>
      <c r="F875" s="218"/>
      <c r="G875" s="218"/>
      <c r="H875" s="218"/>
      <c r="I875" s="218"/>
      <c r="J875" s="218"/>
      <c r="K875" s="218"/>
      <c r="L875" s="218"/>
      <c r="M875" s="218"/>
      <c r="N875" s="218"/>
      <c r="P875" s="222"/>
      <c r="Q875" s="222"/>
      <c r="R875" s="218"/>
      <c r="S875" s="218"/>
    </row>
    <row r="876">
      <c r="A876" s="218"/>
      <c r="B876" s="218"/>
      <c r="C876" s="457"/>
      <c r="E876" s="218"/>
      <c r="F876" s="218"/>
      <c r="G876" s="218"/>
      <c r="H876" s="218"/>
      <c r="I876" s="218"/>
      <c r="J876" s="218"/>
      <c r="K876" s="218"/>
      <c r="L876" s="218"/>
      <c r="M876" s="218"/>
      <c r="N876" s="218"/>
      <c r="O876" s="218"/>
      <c r="P876" s="222"/>
      <c r="Q876" s="222"/>
      <c r="R876" s="218"/>
      <c r="S876" s="218"/>
    </row>
    <row r="877">
      <c r="A877" s="218"/>
      <c r="B877" s="218"/>
      <c r="C877" s="457"/>
      <c r="E877" s="218"/>
      <c r="F877" s="218"/>
      <c r="G877" s="218"/>
      <c r="H877" s="218"/>
      <c r="I877" s="218"/>
      <c r="J877" s="218"/>
      <c r="K877" s="218"/>
      <c r="L877" s="218"/>
      <c r="M877" s="218"/>
      <c r="N877" s="218"/>
      <c r="P877" s="222"/>
      <c r="Q877" s="222"/>
      <c r="R877" s="218"/>
      <c r="S877" s="218"/>
    </row>
    <row r="878">
      <c r="A878" s="218"/>
      <c r="B878" s="218"/>
      <c r="C878" s="457"/>
      <c r="E878" s="218"/>
      <c r="F878" s="218"/>
      <c r="G878" s="218"/>
      <c r="H878" s="218"/>
      <c r="I878" s="218"/>
      <c r="J878" s="218"/>
      <c r="K878" s="218"/>
      <c r="L878" s="218"/>
      <c r="M878" s="218"/>
      <c r="N878" s="218"/>
      <c r="O878" s="218"/>
      <c r="P878" s="222"/>
      <c r="Q878" s="222"/>
      <c r="R878" s="218"/>
      <c r="S878" s="218"/>
    </row>
    <row r="879">
      <c r="A879" s="218"/>
      <c r="B879" s="218"/>
      <c r="C879" s="457"/>
      <c r="E879" s="218"/>
      <c r="F879" s="218"/>
      <c r="G879" s="218"/>
      <c r="H879" s="218"/>
      <c r="I879" s="218"/>
      <c r="J879" s="218"/>
      <c r="K879" s="218"/>
      <c r="L879" s="218"/>
      <c r="M879" s="218"/>
      <c r="N879" s="218"/>
      <c r="P879" s="222"/>
      <c r="Q879" s="222"/>
      <c r="R879" s="218"/>
      <c r="S879" s="218"/>
    </row>
    <row r="880">
      <c r="A880" s="218"/>
      <c r="B880" s="218"/>
      <c r="C880" s="457"/>
      <c r="E880" s="218"/>
      <c r="F880" s="218"/>
      <c r="G880" s="218"/>
      <c r="H880" s="218"/>
      <c r="I880" s="218"/>
      <c r="J880" s="218"/>
      <c r="K880" s="218"/>
      <c r="L880" s="218"/>
      <c r="M880" s="218"/>
      <c r="N880" s="218"/>
      <c r="O880" s="218"/>
      <c r="P880" s="222"/>
      <c r="Q880" s="222"/>
      <c r="R880" s="218"/>
      <c r="S880" s="218"/>
    </row>
    <row r="881">
      <c r="A881" s="218"/>
      <c r="B881" s="218"/>
      <c r="C881" s="457"/>
      <c r="E881" s="218"/>
      <c r="F881" s="218"/>
      <c r="G881" s="218"/>
      <c r="H881" s="218"/>
      <c r="I881" s="218"/>
      <c r="J881" s="218"/>
      <c r="K881" s="218"/>
      <c r="L881" s="218"/>
      <c r="M881" s="218"/>
      <c r="N881" s="218"/>
      <c r="P881" s="222"/>
      <c r="Q881" s="222"/>
      <c r="R881" s="218"/>
      <c r="S881" s="218"/>
    </row>
    <row r="882">
      <c r="A882" s="218"/>
      <c r="B882" s="218"/>
      <c r="C882" s="457"/>
      <c r="E882" s="218"/>
      <c r="F882" s="218"/>
      <c r="G882" s="218"/>
      <c r="H882" s="218"/>
      <c r="I882" s="218"/>
      <c r="J882" s="218"/>
      <c r="K882" s="218"/>
      <c r="L882" s="218"/>
      <c r="M882" s="218"/>
      <c r="N882" s="218"/>
      <c r="O882" s="218"/>
      <c r="P882" s="222"/>
      <c r="Q882" s="222"/>
      <c r="R882" s="218"/>
      <c r="S882" s="218"/>
    </row>
    <row r="883">
      <c r="A883" s="218"/>
      <c r="B883" s="218"/>
      <c r="C883" s="457"/>
      <c r="E883" s="218"/>
      <c r="F883" s="218"/>
      <c r="G883" s="218"/>
      <c r="H883" s="218"/>
      <c r="I883" s="218"/>
      <c r="J883" s="218"/>
      <c r="K883" s="218"/>
      <c r="L883" s="218"/>
      <c r="M883" s="218"/>
      <c r="N883" s="218"/>
      <c r="P883" s="222"/>
      <c r="Q883" s="222"/>
      <c r="R883" s="218"/>
      <c r="S883" s="218"/>
    </row>
    <row r="884">
      <c r="A884" s="218"/>
      <c r="B884" s="218"/>
      <c r="C884" s="457"/>
      <c r="E884" s="218"/>
      <c r="F884" s="218"/>
      <c r="G884" s="218"/>
      <c r="H884" s="218"/>
      <c r="I884" s="218"/>
      <c r="J884" s="218"/>
      <c r="K884" s="218"/>
      <c r="L884" s="218"/>
      <c r="M884" s="218"/>
      <c r="N884" s="218"/>
      <c r="O884" s="218"/>
      <c r="P884" s="222"/>
      <c r="Q884" s="222"/>
      <c r="R884" s="218"/>
      <c r="S884" s="218"/>
    </row>
    <row r="885">
      <c r="A885" s="218"/>
      <c r="B885" s="218"/>
      <c r="C885" s="457"/>
      <c r="E885" s="218"/>
      <c r="F885" s="218"/>
      <c r="G885" s="218"/>
      <c r="H885" s="218"/>
      <c r="I885" s="218"/>
      <c r="J885" s="218"/>
      <c r="K885" s="218"/>
      <c r="L885" s="218"/>
      <c r="M885" s="218"/>
      <c r="N885" s="218"/>
      <c r="P885" s="222"/>
      <c r="Q885" s="222"/>
      <c r="R885" s="218"/>
      <c r="S885" s="218"/>
    </row>
    <row r="886">
      <c r="A886" s="218"/>
      <c r="B886" s="218"/>
      <c r="C886" s="457"/>
      <c r="E886" s="218"/>
      <c r="F886" s="218"/>
      <c r="G886" s="218"/>
      <c r="H886" s="218"/>
      <c r="I886" s="218"/>
      <c r="J886" s="218"/>
      <c r="K886" s="218"/>
      <c r="L886" s="218"/>
      <c r="M886" s="218"/>
      <c r="N886" s="218"/>
      <c r="O886" s="218"/>
      <c r="P886" s="222"/>
      <c r="Q886" s="222"/>
      <c r="R886" s="218"/>
      <c r="S886" s="218"/>
    </row>
    <row r="887">
      <c r="A887" s="218"/>
      <c r="B887" s="218"/>
      <c r="C887" s="457"/>
      <c r="E887" s="218"/>
      <c r="F887" s="218"/>
      <c r="G887" s="218"/>
      <c r="H887" s="218"/>
      <c r="I887" s="218"/>
      <c r="J887" s="218"/>
      <c r="K887" s="218"/>
      <c r="L887" s="218"/>
      <c r="M887" s="218"/>
      <c r="N887" s="218"/>
      <c r="P887" s="222"/>
      <c r="Q887" s="222"/>
      <c r="R887" s="218"/>
      <c r="S887" s="218"/>
    </row>
    <row r="888">
      <c r="A888" s="218"/>
      <c r="B888" s="218"/>
      <c r="C888" s="457"/>
      <c r="E888" s="218"/>
      <c r="F888" s="218"/>
      <c r="G888" s="218"/>
      <c r="H888" s="218"/>
      <c r="I888" s="218"/>
      <c r="J888" s="218"/>
      <c r="K888" s="218"/>
      <c r="L888" s="218"/>
      <c r="M888" s="218"/>
      <c r="N888" s="218"/>
      <c r="O888" s="218"/>
      <c r="P888" s="222"/>
      <c r="Q888" s="222"/>
      <c r="R888" s="218"/>
      <c r="S888" s="218"/>
    </row>
    <row r="889">
      <c r="A889" s="218"/>
      <c r="B889" s="218"/>
      <c r="C889" s="457"/>
      <c r="E889" s="218"/>
      <c r="F889" s="218"/>
      <c r="G889" s="218"/>
      <c r="H889" s="218"/>
      <c r="I889" s="218"/>
      <c r="J889" s="218"/>
      <c r="K889" s="218"/>
      <c r="L889" s="218"/>
      <c r="M889" s="218"/>
      <c r="N889" s="218"/>
      <c r="O889" s="218"/>
      <c r="P889" s="222"/>
      <c r="Q889" s="222"/>
      <c r="R889" s="218"/>
      <c r="S889" s="218"/>
    </row>
    <row r="890">
      <c r="A890" s="218"/>
      <c r="B890" s="218"/>
      <c r="C890" s="457"/>
      <c r="E890" s="218"/>
      <c r="F890" s="218"/>
      <c r="G890" s="218"/>
      <c r="H890" s="218"/>
      <c r="I890" s="218"/>
      <c r="N890" s="218"/>
      <c r="P890" s="222"/>
      <c r="Q890" s="222"/>
      <c r="R890" s="218"/>
      <c r="S890" s="218"/>
    </row>
    <row r="891">
      <c r="A891" s="218"/>
      <c r="B891" s="218"/>
      <c r="C891" s="456"/>
      <c r="E891" s="218"/>
      <c r="F891" s="218"/>
      <c r="G891" s="218"/>
      <c r="H891" s="218"/>
      <c r="I891" s="218"/>
      <c r="J891" s="218"/>
      <c r="K891" s="218"/>
      <c r="L891" s="218"/>
      <c r="M891" s="218"/>
      <c r="N891" s="218"/>
      <c r="P891" s="222"/>
      <c r="Q891" s="222"/>
      <c r="R891" s="218"/>
      <c r="S891" s="218"/>
    </row>
    <row r="892">
      <c r="A892" s="218"/>
      <c r="B892" s="218"/>
      <c r="C892" s="456"/>
      <c r="E892" s="218"/>
      <c r="F892" s="218"/>
      <c r="G892" s="218"/>
      <c r="H892" s="218"/>
      <c r="I892" s="218"/>
      <c r="J892" s="218"/>
      <c r="K892" s="218"/>
      <c r="L892" s="218"/>
      <c r="M892" s="218"/>
      <c r="N892" s="218"/>
      <c r="P892" s="222"/>
      <c r="Q892" s="222"/>
      <c r="R892" s="218"/>
      <c r="S892" s="218"/>
    </row>
    <row r="893">
      <c r="A893" s="218"/>
      <c r="B893" s="218"/>
      <c r="C893" s="456"/>
      <c r="E893" s="218"/>
      <c r="F893" s="218"/>
      <c r="G893" s="218"/>
      <c r="H893" s="218"/>
      <c r="I893" s="218"/>
      <c r="J893" s="218"/>
      <c r="K893" s="218"/>
      <c r="L893" s="218"/>
      <c r="M893" s="218"/>
      <c r="N893" s="218"/>
      <c r="P893" s="222"/>
      <c r="Q893" s="222"/>
      <c r="R893" s="218"/>
      <c r="S893" s="218"/>
    </row>
    <row r="894">
      <c r="A894" s="218"/>
      <c r="B894" s="218"/>
      <c r="C894" s="456"/>
      <c r="E894" s="218"/>
      <c r="F894" s="218"/>
      <c r="G894" s="218"/>
      <c r="H894" s="218"/>
      <c r="I894" s="218"/>
      <c r="J894" s="218"/>
      <c r="K894" s="218"/>
      <c r="L894" s="218"/>
      <c r="M894" s="218"/>
      <c r="N894" s="218"/>
      <c r="O894" s="218"/>
      <c r="P894" s="222"/>
      <c r="Q894" s="222"/>
      <c r="R894" s="218"/>
      <c r="S894" s="218"/>
    </row>
    <row r="895">
      <c r="A895" s="218"/>
      <c r="B895" s="218"/>
      <c r="C895" s="456"/>
      <c r="E895" s="218"/>
      <c r="F895" s="218"/>
      <c r="G895" s="218"/>
      <c r="H895" s="218"/>
      <c r="I895" s="218"/>
      <c r="J895" s="218"/>
      <c r="K895" s="218"/>
      <c r="L895" s="218"/>
      <c r="M895" s="218"/>
      <c r="N895" s="218"/>
      <c r="P895" s="222"/>
      <c r="Q895" s="222"/>
      <c r="R895" s="218"/>
      <c r="S895" s="218"/>
    </row>
    <row r="896">
      <c r="A896" s="218"/>
      <c r="B896" s="218"/>
      <c r="C896" s="456"/>
      <c r="E896" s="218"/>
      <c r="F896" s="218"/>
      <c r="G896" s="218"/>
      <c r="H896" s="218"/>
      <c r="I896" s="218"/>
      <c r="J896" s="218"/>
      <c r="K896" s="218"/>
      <c r="L896" s="218"/>
      <c r="M896" s="218"/>
      <c r="N896" s="218"/>
      <c r="P896" s="222"/>
      <c r="Q896" s="222"/>
      <c r="R896" s="218"/>
      <c r="S896" s="218"/>
    </row>
    <row r="897">
      <c r="A897" s="218"/>
      <c r="B897" s="218"/>
      <c r="C897" s="456"/>
      <c r="E897" s="218"/>
      <c r="F897" s="218"/>
      <c r="G897" s="218"/>
      <c r="H897" s="218"/>
      <c r="I897" s="218"/>
      <c r="J897" s="218"/>
      <c r="K897" s="218"/>
      <c r="L897" s="218"/>
      <c r="M897" s="218"/>
      <c r="N897" s="218"/>
      <c r="P897" s="222"/>
      <c r="Q897" s="222"/>
      <c r="R897" s="218"/>
      <c r="S897" s="218"/>
    </row>
    <row r="898">
      <c r="A898" s="218"/>
      <c r="B898" s="218"/>
      <c r="C898" s="456"/>
      <c r="E898" s="218"/>
      <c r="F898" s="218"/>
      <c r="G898" s="218"/>
      <c r="H898" s="218"/>
      <c r="I898" s="218"/>
      <c r="J898" s="218"/>
      <c r="K898" s="218"/>
      <c r="L898" s="218"/>
      <c r="M898" s="218"/>
      <c r="N898" s="218"/>
      <c r="P898" s="218"/>
      <c r="Q898" s="218"/>
      <c r="R898" s="218"/>
      <c r="S898" s="218"/>
    </row>
    <row r="899">
      <c r="A899" s="218"/>
      <c r="B899" s="218"/>
      <c r="C899" s="456"/>
      <c r="E899" s="218"/>
      <c r="F899" s="218"/>
      <c r="G899" s="218"/>
      <c r="H899" s="218"/>
      <c r="I899" s="218"/>
      <c r="J899" s="218"/>
      <c r="K899" s="218"/>
      <c r="L899" s="218"/>
      <c r="M899" s="218"/>
      <c r="N899" s="218"/>
      <c r="P899" s="218"/>
      <c r="Q899" s="218"/>
      <c r="R899" s="218"/>
      <c r="S899" s="218"/>
    </row>
    <row r="900">
      <c r="A900" s="218"/>
      <c r="B900" s="218"/>
      <c r="C900" s="456"/>
      <c r="E900" s="218"/>
      <c r="F900" s="218"/>
      <c r="G900" s="218"/>
      <c r="H900" s="218"/>
      <c r="I900" s="218"/>
      <c r="J900" s="218"/>
      <c r="K900" s="218"/>
      <c r="L900" s="218"/>
      <c r="M900" s="218"/>
      <c r="N900" s="218"/>
      <c r="P900" s="222"/>
      <c r="Q900" s="222"/>
      <c r="R900" s="218"/>
      <c r="S900" s="218"/>
    </row>
    <row r="901">
      <c r="A901" s="218"/>
      <c r="B901" s="218"/>
      <c r="C901" s="456"/>
      <c r="E901" s="218"/>
      <c r="F901" s="218"/>
      <c r="G901" s="218"/>
      <c r="H901" s="218"/>
      <c r="I901" s="218"/>
      <c r="J901" s="218"/>
      <c r="K901" s="218"/>
      <c r="L901" s="218"/>
      <c r="M901" s="218"/>
      <c r="N901" s="218"/>
      <c r="P901" s="222"/>
      <c r="Q901" s="222"/>
      <c r="R901" s="218"/>
      <c r="S901" s="218"/>
    </row>
    <row r="902">
      <c r="A902" s="218"/>
      <c r="B902" s="218"/>
      <c r="C902" s="456"/>
      <c r="E902" s="218"/>
      <c r="F902" s="218"/>
      <c r="G902" s="218"/>
      <c r="H902" s="218"/>
      <c r="I902" s="218"/>
      <c r="J902" s="218"/>
      <c r="K902" s="218"/>
      <c r="L902" s="218"/>
      <c r="M902" s="218"/>
      <c r="N902" s="218"/>
      <c r="P902" s="218"/>
      <c r="Q902" s="218"/>
      <c r="R902" s="218"/>
      <c r="S902" s="218"/>
    </row>
    <row r="903">
      <c r="A903" s="218"/>
      <c r="B903" s="218"/>
      <c r="C903" s="456"/>
      <c r="E903" s="218"/>
      <c r="F903" s="218"/>
      <c r="G903" s="218"/>
      <c r="H903" s="218"/>
      <c r="I903" s="218"/>
      <c r="J903" s="218"/>
      <c r="K903" s="218"/>
      <c r="L903" s="218"/>
      <c r="M903" s="218"/>
      <c r="N903" s="218"/>
      <c r="P903" s="222"/>
      <c r="Q903" s="222"/>
      <c r="R903" s="218"/>
      <c r="S903" s="218"/>
    </row>
    <row r="904">
      <c r="A904" s="218"/>
      <c r="B904" s="218"/>
      <c r="C904" s="456"/>
      <c r="E904" s="218"/>
      <c r="F904" s="218"/>
      <c r="G904" s="218"/>
      <c r="H904" s="218"/>
      <c r="I904" s="218"/>
      <c r="J904" s="218"/>
      <c r="K904" s="218"/>
      <c r="L904" s="218"/>
      <c r="M904" s="218"/>
      <c r="N904" s="218"/>
      <c r="P904" s="222"/>
      <c r="Q904" s="222"/>
      <c r="R904" s="218"/>
      <c r="S904" s="218"/>
    </row>
    <row r="905">
      <c r="A905" s="218"/>
      <c r="B905" s="218"/>
      <c r="C905" s="456"/>
      <c r="E905" s="218"/>
      <c r="F905" s="218"/>
      <c r="G905" s="218"/>
      <c r="H905" s="218"/>
      <c r="I905" s="218"/>
      <c r="J905" s="218"/>
      <c r="K905" s="218"/>
      <c r="L905" s="218"/>
      <c r="M905" s="218"/>
      <c r="N905" s="218"/>
      <c r="P905" s="218"/>
      <c r="Q905" s="218"/>
      <c r="R905" s="218"/>
      <c r="S905" s="218"/>
    </row>
    <row r="906">
      <c r="A906" s="218"/>
      <c r="B906" s="218"/>
      <c r="C906" s="456"/>
      <c r="E906" s="218"/>
      <c r="F906" s="218"/>
      <c r="G906" s="218"/>
      <c r="H906" s="218"/>
      <c r="I906" s="218"/>
      <c r="J906" s="218"/>
      <c r="K906" s="218"/>
      <c r="L906" s="218"/>
      <c r="M906" s="218"/>
      <c r="N906" s="218"/>
      <c r="P906" s="222"/>
      <c r="Q906" s="222"/>
      <c r="R906" s="218"/>
      <c r="S906" s="218"/>
    </row>
    <row r="907">
      <c r="A907" s="218"/>
      <c r="B907" s="218"/>
      <c r="C907" s="456"/>
      <c r="E907" s="218"/>
      <c r="F907" s="218"/>
      <c r="G907" s="218"/>
      <c r="H907" s="218"/>
      <c r="I907" s="218"/>
      <c r="J907" s="218"/>
      <c r="K907" s="218"/>
      <c r="L907" s="218"/>
      <c r="M907" s="218"/>
      <c r="N907" s="218"/>
      <c r="P907" s="218"/>
      <c r="Q907" s="218"/>
      <c r="R907" s="218"/>
      <c r="S907" s="218"/>
    </row>
    <row r="908">
      <c r="A908" s="218"/>
      <c r="B908" s="218"/>
      <c r="C908" s="456"/>
      <c r="E908" s="218"/>
      <c r="F908" s="218"/>
      <c r="G908" s="218"/>
      <c r="H908" s="218"/>
      <c r="I908" s="218"/>
      <c r="J908" s="218"/>
      <c r="K908" s="218"/>
      <c r="L908" s="218"/>
      <c r="M908" s="218"/>
      <c r="N908" s="218"/>
      <c r="P908" s="222"/>
      <c r="Q908" s="222"/>
      <c r="R908" s="218"/>
      <c r="S908" s="218"/>
    </row>
    <row r="909">
      <c r="A909" s="218"/>
      <c r="B909" s="218"/>
      <c r="C909" s="456"/>
      <c r="E909" s="218"/>
      <c r="F909" s="218"/>
      <c r="G909" s="218"/>
      <c r="H909" s="218"/>
      <c r="I909" s="218"/>
      <c r="J909" s="218"/>
      <c r="K909" s="218"/>
      <c r="L909" s="218"/>
      <c r="M909" s="218"/>
      <c r="N909" s="218"/>
      <c r="P909" s="218"/>
      <c r="Q909" s="218"/>
      <c r="R909" s="218"/>
      <c r="S909" s="218"/>
    </row>
    <row r="910">
      <c r="A910" s="218"/>
      <c r="B910" s="218"/>
      <c r="C910" s="456"/>
      <c r="E910" s="218"/>
      <c r="F910" s="218"/>
      <c r="G910" s="218"/>
      <c r="H910" s="218"/>
      <c r="I910" s="218"/>
      <c r="J910" s="218"/>
      <c r="K910" s="218"/>
      <c r="L910" s="218"/>
      <c r="M910" s="218"/>
      <c r="N910" s="218"/>
      <c r="P910" s="222"/>
      <c r="Q910" s="222"/>
      <c r="R910" s="218"/>
      <c r="S910" s="218"/>
    </row>
    <row r="911">
      <c r="A911" s="218"/>
      <c r="B911" s="218"/>
      <c r="C911" s="456"/>
      <c r="E911" s="218"/>
      <c r="F911" s="218"/>
      <c r="G911" s="218"/>
      <c r="H911" s="218"/>
      <c r="I911" s="218"/>
      <c r="J911" s="218"/>
      <c r="K911" s="218"/>
      <c r="L911" s="218"/>
      <c r="M911" s="218"/>
      <c r="N911" s="218"/>
      <c r="P911" s="222"/>
      <c r="Q911" s="222"/>
      <c r="R911" s="218"/>
      <c r="S911" s="218"/>
    </row>
    <row r="912">
      <c r="A912" s="218"/>
      <c r="B912" s="218"/>
      <c r="C912" s="456"/>
      <c r="E912" s="218"/>
      <c r="F912" s="218"/>
      <c r="G912" s="218"/>
      <c r="H912" s="218"/>
      <c r="I912" s="218"/>
      <c r="J912" s="218"/>
      <c r="K912" s="218"/>
      <c r="L912" s="218"/>
      <c r="M912" s="218"/>
      <c r="N912" s="218"/>
      <c r="P912" s="218"/>
      <c r="Q912" s="218"/>
      <c r="R912" s="218"/>
      <c r="S912" s="218"/>
    </row>
    <row r="913">
      <c r="A913" s="218"/>
      <c r="B913" s="218"/>
      <c r="C913" s="456"/>
      <c r="E913" s="218"/>
      <c r="F913" s="218"/>
      <c r="G913" s="218"/>
      <c r="H913" s="218"/>
      <c r="I913" s="218"/>
      <c r="J913" s="218"/>
      <c r="K913" s="218"/>
      <c r="L913" s="218"/>
      <c r="M913" s="218"/>
      <c r="N913" s="218"/>
      <c r="P913" s="222"/>
      <c r="Q913" s="222"/>
      <c r="R913" s="218"/>
      <c r="S913" s="218"/>
    </row>
    <row r="914">
      <c r="A914" s="218"/>
      <c r="B914" s="218"/>
      <c r="C914" s="456"/>
      <c r="E914" s="218"/>
      <c r="F914" s="218"/>
      <c r="G914" s="218"/>
      <c r="H914" s="218"/>
      <c r="I914" s="218"/>
      <c r="J914" s="218"/>
      <c r="K914" s="218"/>
      <c r="L914" s="218"/>
      <c r="M914" s="218"/>
      <c r="N914" s="218"/>
      <c r="P914" s="222"/>
      <c r="Q914" s="222"/>
      <c r="R914" s="218"/>
      <c r="S914" s="218"/>
    </row>
    <row r="915">
      <c r="A915" s="218"/>
      <c r="B915" s="218"/>
      <c r="C915" s="456"/>
      <c r="E915" s="218"/>
      <c r="F915" s="218"/>
      <c r="G915" s="218"/>
      <c r="H915" s="218"/>
      <c r="I915" s="218"/>
      <c r="J915" s="218"/>
      <c r="K915" s="218"/>
      <c r="L915" s="218"/>
      <c r="M915" s="218"/>
      <c r="N915" s="218"/>
      <c r="P915" s="218"/>
      <c r="Q915" s="218"/>
      <c r="R915" s="218"/>
      <c r="S915" s="218"/>
    </row>
    <row r="916">
      <c r="A916" s="218"/>
      <c r="B916" s="218"/>
      <c r="C916" s="456"/>
      <c r="D916" s="218"/>
      <c r="E916" s="218"/>
      <c r="G916" s="218"/>
      <c r="H916" s="218"/>
      <c r="I916" s="218"/>
      <c r="J916" s="218"/>
      <c r="K916" s="218"/>
      <c r="L916" s="218"/>
      <c r="M916" s="218"/>
      <c r="N916" s="218"/>
      <c r="O916" s="218"/>
      <c r="P916" s="222"/>
      <c r="Q916" s="222"/>
      <c r="R916" s="222"/>
      <c r="S916" s="218"/>
    </row>
    <row r="917">
      <c r="A917" s="218"/>
      <c r="B917" s="218"/>
      <c r="C917" s="456"/>
      <c r="D917" s="218"/>
      <c r="E917" s="218"/>
      <c r="G917" s="218"/>
      <c r="H917" s="218"/>
      <c r="I917" s="218"/>
      <c r="J917" s="218"/>
      <c r="K917" s="218"/>
      <c r="L917" s="218"/>
      <c r="M917" s="218"/>
      <c r="N917" s="218"/>
      <c r="O917" s="218"/>
      <c r="P917" s="222"/>
      <c r="Q917" s="222"/>
      <c r="R917" s="222"/>
      <c r="S917" s="222"/>
    </row>
    <row r="918">
      <c r="A918" s="218"/>
      <c r="B918" s="218"/>
      <c r="C918" s="456"/>
      <c r="D918" s="218"/>
      <c r="E918" s="218"/>
      <c r="G918" s="218"/>
      <c r="H918" s="218"/>
      <c r="I918" s="218"/>
      <c r="J918" s="218"/>
      <c r="K918" s="218"/>
      <c r="L918" s="218"/>
      <c r="M918" s="218"/>
      <c r="N918" s="218"/>
      <c r="O918" s="218"/>
      <c r="P918" s="222"/>
      <c r="Q918" s="222"/>
      <c r="R918" s="222"/>
      <c r="S918" s="222"/>
    </row>
    <row r="919">
      <c r="A919" s="218"/>
      <c r="B919" s="218"/>
      <c r="C919" s="456"/>
      <c r="D919" s="218"/>
      <c r="E919" s="218"/>
      <c r="G919" s="218"/>
      <c r="H919" s="218"/>
      <c r="I919" s="218"/>
      <c r="J919" s="218"/>
      <c r="K919" s="218"/>
      <c r="L919" s="218"/>
      <c r="M919" s="218"/>
      <c r="N919" s="218"/>
      <c r="O919" s="218"/>
      <c r="P919" s="222"/>
      <c r="Q919" s="222"/>
      <c r="R919" s="222"/>
      <c r="S919" s="222"/>
    </row>
    <row r="920">
      <c r="A920" s="218"/>
      <c r="B920" s="218"/>
      <c r="C920" s="456"/>
      <c r="D920" s="218"/>
      <c r="E920" s="218"/>
      <c r="G920" s="218"/>
      <c r="H920" s="218"/>
      <c r="I920" s="218"/>
      <c r="J920" s="218"/>
      <c r="K920" s="218"/>
      <c r="L920" s="218"/>
      <c r="M920" s="218"/>
      <c r="N920" s="218"/>
      <c r="O920" s="218"/>
      <c r="P920" s="222"/>
      <c r="Q920" s="222"/>
      <c r="R920" s="222"/>
      <c r="S920" s="222"/>
    </row>
    <row r="921">
      <c r="A921" s="218"/>
      <c r="B921" s="218"/>
      <c r="C921" s="456"/>
      <c r="D921" s="218"/>
      <c r="E921" s="218"/>
      <c r="G921" s="218"/>
      <c r="H921" s="218"/>
      <c r="I921" s="218"/>
      <c r="J921" s="218"/>
      <c r="K921" s="218"/>
      <c r="L921" s="218"/>
      <c r="M921" s="218"/>
      <c r="N921" s="218"/>
      <c r="O921" s="218"/>
      <c r="P921" s="222"/>
      <c r="Q921" s="222"/>
      <c r="R921" s="222"/>
      <c r="S921" s="218"/>
    </row>
    <row r="922">
      <c r="A922" s="218"/>
      <c r="B922" s="218"/>
      <c r="C922" s="456"/>
      <c r="E922" s="218"/>
      <c r="F922" s="218"/>
      <c r="G922" s="218"/>
      <c r="H922" s="218"/>
      <c r="I922" s="218"/>
      <c r="J922" s="218"/>
      <c r="K922" s="218"/>
      <c r="L922" s="218"/>
      <c r="M922" s="218"/>
      <c r="N922" s="218"/>
      <c r="O922" s="218"/>
      <c r="P922" s="218"/>
      <c r="Q922" s="218"/>
      <c r="R922" s="218"/>
      <c r="S922" s="218"/>
    </row>
    <row r="923">
      <c r="A923" s="218"/>
      <c r="B923" s="218"/>
      <c r="C923" s="456"/>
      <c r="E923" s="218"/>
      <c r="F923" s="218"/>
      <c r="G923" s="218"/>
      <c r="H923" s="218"/>
      <c r="I923" s="218"/>
      <c r="J923" s="218"/>
      <c r="K923" s="218"/>
      <c r="L923" s="218"/>
      <c r="M923" s="218"/>
      <c r="N923" s="218"/>
      <c r="O923" s="218"/>
      <c r="P923" s="222"/>
      <c r="Q923" s="222"/>
      <c r="R923" s="218"/>
      <c r="S923" s="218"/>
    </row>
    <row r="924">
      <c r="B924" s="218"/>
      <c r="C924" s="456"/>
      <c r="E924" s="218"/>
      <c r="F924" s="218"/>
      <c r="G924" s="218"/>
      <c r="H924" s="218"/>
      <c r="I924" s="218"/>
      <c r="J924" s="218"/>
      <c r="K924" s="218"/>
      <c r="L924" s="218"/>
      <c r="M924" s="218"/>
      <c r="N924" s="218"/>
      <c r="P924" s="222"/>
      <c r="Q924" s="222"/>
      <c r="R924" s="218"/>
      <c r="S924" s="218"/>
    </row>
    <row r="925">
      <c r="A925" s="218"/>
      <c r="B925" s="218"/>
      <c r="C925" s="456"/>
      <c r="E925" s="218"/>
      <c r="F925" s="218"/>
      <c r="G925" s="218"/>
      <c r="H925" s="218"/>
      <c r="I925" s="218"/>
      <c r="J925" s="218"/>
      <c r="K925" s="218"/>
      <c r="L925" s="218"/>
      <c r="M925" s="218"/>
      <c r="N925" s="218"/>
      <c r="P925" s="222"/>
      <c r="Q925" s="222"/>
      <c r="R925" s="218"/>
      <c r="S925" s="218"/>
    </row>
    <row r="926">
      <c r="B926" s="218"/>
      <c r="C926" s="456"/>
      <c r="E926" s="218"/>
      <c r="F926" s="218"/>
      <c r="G926" s="218"/>
      <c r="H926" s="218"/>
      <c r="I926" s="218"/>
      <c r="J926" s="218"/>
      <c r="K926" s="218"/>
      <c r="L926" s="218"/>
      <c r="M926" s="218"/>
      <c r="N926" s="218"/>
      <c r="P926" s="222"/>
      <c r="Q926" s="222"/>
      <c r="R926" s="218"/>
      <c r="S926" s="218"/>
    </row>
    <row r="927">
      <c r="B927" s="218"/>
      <c r="C927" s="456"/>
      <c r="E927" s="218"/>
      <c r="F927" s="218"/>
      <c r="G927" s="218"/>
      <c r="H927" s="218"/>
      <c r="I927" s="218"/>
      <c r="J927" s="218"/>
      <c r="K927" s="218"/>
      <c r="L927" s="218"/>
      <c r="M927" s="218"/>
      <c r="N927" s="218"/>
      <c r="P927" s="222"/>
      <c r="Q927" s="222"/>
      <c r="R927" s="218"/>
      <c r="S927" s="218"/>
    </row>
    <row r="928">
      <c r="A928" s="218"/>
      <c r="B928" s="218"/>
      <c r="C928" s="456"/>
      <c r="E928" s="218"/>
      <c r="F928" s="218"/>
      <c r="G928" s="218"/>
      <c r="H928" s="218"/>
      <c r="I928" s="218"/>
      <c r="J928" s="218"/>
      <c r="K928" s="218"/>
      <c r="L928" s="218"/>
      <c r="M928" s="218"/>
      <c r="N928" s="218"/>
      <c r="P928" s="222"/>
      <c r="Q928" s="222"/>
      <c r="R928" s="218"/>
      <c r="S928" s="218"/>
    </row>
    <row r="929">
      <c r="A929" s="218"/>
      <c r="B929" s="218"/>
      <c r="C929" s="456"/>
      <c r="E929" s="218"/>
      <c r="F929" s="218"/>
      <c r="G929" s="218"/>
      <c r="H929" s="218"/>
      <c r="I929" s="218"/>
      <c r="J929" s="218"/>
      <c r="K929" s="218"/>
      <c r="L929" s="218"/>
      <c r="M929" s="218"/>
      <c r="N929" s="218"/>
      <c r="P929" s="222"/>
      <c r="Q929" s="222"/>
      <c r="R929" s="218"/>
      <c r="S929" s="218"/>
    </row>
    <row r="930">
      <c r="A930" s="218"/>
      <c r="B930" s="218"/>
      <c r="C930" s="456"/>
      <c r="E930" s="218"/>
      <c r="F930" s="218"/>
      <c r="G930" s="218"/>
      <c r="H930" s="218"/>
      <c r="I930" s="218"/>
      <c r="J930" s="218"/>
      <c r="K930" s="218"/>
      <c r="L930" s="218"/>
      <c r="M930" s="218"/>
      <c r="N930" s="218"/>
      <c r="O930" s="218"/>
      <c r="P930" s="222"/>
      <c r="Q930" s="222"/>
      <c r="R930" s="218"/>
      <c r="S930" s="218"/>
    </row>
    <row r="931">
      <c r="A931" s="218"/>
      <c r="B931" s="218"/>
      <c r="C931" s="456"/>
      <c r="D931" s="218"/>
      <c r="E931" s="218"/>
      <c r="G931" s="218"/>
      <c r="H931" s="218"/>
      <c r="I931" s="218"/>
      <c r="J931" s="218"/>
      <c r="K931" s="218"/>
      <c r="L931" s="218"/>
      <c r="M931" s="218"/>
      <c r="N931" s="218"/>
      <c r="O931" s="218"/>
      <c r="P931" s="222"/>
      <c r="Q931" s="222"/>
      <c r="R931" s="222"/>
      <c r="S931" s="222"/>
    </row>
    <row r="932">
      <c r="A932" s="218"/>
      <c r="B932" s="218"/>
      <c r="C932" s="456"/>
      <c r="E932" s="218"/>
      <c r="F932" s="218"/>
      <c r="G932" s="218"/>
      <c r="H932" s="218"/>
      <c r="I932" s="218"/>
      <c r="J932" s="218"/>
      <c r="K932" s="218"/>
      <c r="L932" s="218"/>
      <c r="M932" s="218"/>
      <c r="N932" s="218"/>
      <c r="P932" s="222"/>
      <c r="Q932" s="222"/>
      <c r="R932" s="218"/>
      <c r="S932" s="218"/>
    </row>
    <row r="933">
      <c r="A933" s="218"/>
      <c r="B933" s="218"/>
      <c r="C933" s="456"/>
      <c r="D933" s="218"/>
      <c r="E933" s="218"/>
      <c r="G933" s="218"/>
      <c r="H933" s="218"/>
      <c r="I933" s="218"/>
      <c r="J933" s="218"/>
      <c r="K933" s="218"/>
      <c r="L933" s="218"/>
      <c r="M933" s="218"/>
      <c r="N933" s="218"/>
      <c r="O933" s="218"/>
      <c r="P933" s="222"/>
      <c r="Q933" s="222"/>
      <c r="R933" s="222"/>
      <c r="S933" s="222"/>
    </row>
    <row r="934">
      <c r="A934" s="218"/>
      <c r="B934" s="218"/>
      <c r="C934" s="457"/>
      <c r="E934" s="218"/>
      <c r="F934" s="218"/>
      <c r="G934" s="218"/>
      <c r="H934" s="218"/>
      <c r="I934" s="218"/>
      <c r="J934" s="218"/>
      <c r="K934" s="218"/>
      <c r="L934" s="218"/>
      <c r="M934" s="218"/>
      <c r="N934" s="218"/>
      <c r="P934" s="222"/>
      <c r="Q934" s="222"/>
      <c r="R934" s="218"/>
      <c r="S934" s="218"/>
    </row>
    <row r="935">
      <c r="A935" s="218"/>
      <c r="B935" s="218"/>
      <c r="C935" s="457"/>
      <c r="E935" s="218"/>
      <c r="F935" s="218"/>
      <c r="G935" s="218"/>
      <c r="H935" s="218"/>
      <c r="I935" s="218"/>
      <c r="J935" s="218"/>
      <c r="K935" s="218"/>
      <c r="L935" s="218"/>
      <c r="M935" s="218"/>
      <c r="N935" s="218"/>
      <c r="P935" s="222"/>
      <c r="Q935" s="222"/>
      <c r="R935" s="218"/>
      <c r="S935" s="218"/>
    </row>
    <row r="936">
      <c r="A936" s="218"/>
      <c r="B936" s="218"/>
      <c r="C936" s="457"/>
      <c r="D936" s="218"/>
      <c r="E936" s="218"/>
      <c r="G936" s="218"/>
      <c r="H936" s="218"/>
      <c r="I936" s="218"/>
      <c r="J936" s="218"/>
      <c r="K936" s="218"/>
      <c r="L936" s="218"/>
      <c r="M936" s="218"/>
      <c r="N936" s="218"/>
      <c r="O936" s="218"/>
      <c r="P936" s="222"/>
      <c r="Q936" s="222"/>
      <c r="R936" s="222"/>
      <c r="S936" s="222"/>
    </row>
    <row r="937">
      <c r="A937" s="218"/>
      <c r="B937" s="218"/>
      <c r="C937" s="457"/>
      <c r="D937" s="218"/>
      <c r="E937" s="218"/>
      <c r="G937" s="218"/>
      <c r="H937" s="218"/>
      <c r="I937" s="218"/>
      <c r="J937" s="218"/>
      <c r="K937" s="218"/>
      <c r="L937" s="218"/>
      <c r="M937" s="218"/>
      <c r="N937" s="218"/>
      <c r="O937" s="218"/>
      <c r="P937" s="222"/>
      <c r="Q937" s="222"/>
      <c r="R937" s="222"/>
      <c r="S937" s="222"/>
    </row>
    <row r="938">
      <c r="A938" s="218"/>
      <c r="B938" s="218"/>
      <c r="C938" s="457"/>
      <c r="E938" s="218"/>
      <c r="F938" s="218"/>
      <c r="G938" s="218"/>
      <c r="H938" s="218"/>
      <c r="I938" s="218"/>
      <c r="J938" s="218"/>
      <c r="K938" s="218"/>
      <c r="L938" s="218"/>
      <c r="M938" s="218"/>
      <c r="N938" s="218"/>
      <c r="P938" s="218"/>
      <c r="Q938" s="218"/>
      <c r="R938" s="218"/>
      <c r="S938" s="218"/>
    </row>
    <row r="939">
      <c r="A939" s="218"/>
      <c r="B939" s="218"/>
      <c r="C939" s="457"/>
      <c r="E939" s="218"/>
      <c r="F939" s="218"/>
      <c r="G939" s="218"/>
      <c r="H939" s="218"/>
      <c r="I939" s="218"/>
      <c r="J939" s="218"/>
      <c r="K939" s="218"/>
      <c r="L939" s="218"/>
      <c r="M939" s="218"/>
      <c r="N939" s="218"/>
      <c r="P939" s="222"/>
      <c r="Q939" s="222"/>
      <c r="R939" s="218"/>
      <c r="S939" s="218"/>
    </row>
    <row r="940">
      <c r="A940" s="218"/>
      <c r="B940" s="218"/>
      <c r="C940" s="457"/>
      <c r="E940" s="218"/>
      <c r="F940" s="218"/>
      <c r="G940" s="218"/>
      <c r="H940" s="218"/>
      <c r="I940" s="218"/>
      <c r="J940" s="218"/>
      <c r="K940" s="218"/>
      <c r="L940" s="218"/>
      <c r="M940" s="218"/>
      <c r="N940" s="218"/>
      <c r="P940" s="222"/>
      <c r="Q940" s="222"/>
      <c r="R940" s="218"/>
      <c r="S940" s="218"/>
    </row>
    <row r="941">
      <c r="A941" s="218"/>
      <c r="B941" s="218"/>
      <c r="C941" s="457"/>
      <c r="E941" s="218"/>
      <c r="F941" s="218"/>
      <c r="G941" s="218"/>
      <c r="H941" s="218"/>
      <c r="I941" s="218"/>
      <c r="J941" s="218"/>
      <c r="K941" s="218"/>
      <c r="L941" s="218"/>
      <c r="M941" s="218"/>
      <c r="N941" s="218"/>
      <c r="O941" s="218"/>
      <c r="P941" s="222"/>
      <c r="Q941" s="222"/>
      <c r="R941" s="218"/>
      <c r="S941" s="218"/>
    </row>
    <row r="942">
      <c r="A942" s="218"/>
      <c r="B942" s="218"/>
      <c r="C942" s="457"/>
      <c r="E942" s="218"/>
      <c r="F942" s="218"/>
      <c r="G942" s="218"/>
      <c r="H942" s="218"/>
      <c r="I942" s="218"/>
      <c r="J942" s="218"/>
      <c r="K942" s="218"/>
      <c r="L942" s="218"/>
      <c r="M942" s="218"/>
      <c r="N942" s="218"/>
      <c r="O942" s="218"/>
      <c r="P942" s="222"/>
      <c r="Q942" s="222"/>
      <c r="R942" s="218"/>
      <c r="S942" s="218"/>
    </row>
    <row r="943">
      <c r="A943" s="218"/>
      <c r="B943" s="218"/>
      <c r="C943" s="457"/>
      <c r="D943" s="218"/>
      <c r="E943" s="218"/>
      <c r="G943" s="218"/>
      <c r="H943" s="218"/>
      <c r="I943" s="218"/>
      <c r="J943" s="218"/>
      <c r="K943" s="218"/>
      <c r="L943" s="218"/>
      <c r="M943" s="218"/>
      <c r="N943" s="218"/>
      <c r="O943" s="218"/>
      <c r="P943" s="222"/>
      <c r="Q943" s="222"/>
      <c r="R943" s="222"/>
      <c r="S943" s="218"/>
    </row>
    <row r="944">
      <c r="A944" s="218"/>
      <c r="B944" s="218"/>
      <c r="C944" s="457"/>
      <c r="E944" s="218"/>
      <c r="F944" s="218"/>
      <c r="G944" s="218"/>
      <c r="H944" s="218"/>
      <c r="I944" s="218"/>
      <c r="J944" s="218"/>
      <c r="K944" s="218"/>
      <c r="L944" s="218"/>
      <c r="M944" s="218"/>
      <c r="N944" s="218"/>
      <c r="O944" s="218"/>
      <c r="P944" s="222"/>
      <c r="Q944" s="222"/>
      <c r="R944" s="218"/>
      <c r="S944" s="218"/>
    </row>
    <row r="945">
      <c r="A945" s="218"/>
      <c r="B945" s="218"/>
      <c r="C945" s="457"/>
      <c r="E945" s="218"/>
      <c r="F945" s="218"/>
      <c r="G945" s="218"/>
      <c r="H945" s="218"/>
      <c r="I945" s="218"/>
      <c r="J945" s="218"/>
      <c r="K945" s="218"/>
      <c r="L945" s="218"/>
      <c r="M945" s="218"/>
      <c r="N945" s="218"/>
      <c r="P945" s="222"/>
      <c r="Q945" s="222"/>
      <c r="R945" s="218"/>
      <c r="S945" s="218"/>
    </row>
    <row r="946">
      <c r="A946" s="218"/>
      <c r="B946" s="218"/>
      <c r="C946" s="457"/>
      <c r="E946" s="218"/>
      <c r="F946" s="218"/>
      <c r="G946" s="218"/>
      <c r="H946" s="218"/>
      <c r="I946" s="218"/>
      <c r="J946" s="218"/>
      <c r="K946" s="218"/>
      <c r="L946" s="218"/>
      <c r="M946" s="218"/>
      <c r="N946" s="218"/>
      <c r="O946" s="218"/>
      <c r="P946" s="222"/>
      <c r="Q946" s="222"/>
      <c r="R946" s="218"/>
      <c r="S946" s="218"/>
    </row>
    <row r="947">
      <c r="A947" s="218"/>
      <c r="B947" s="218"/>
      <c r="C947" s="457"/>
      <c r="E947" s="218"/>
      <c r="F947" s="218"/>
      <c r="G947" s="218"/>
      <c r="H947" s="218"/>
      <c r="I947" s="218"/>
      <c r="J947" s="218"/>
      <c r="K947" s="218"/>
      <c r="L947" s="218"/>
      <c r="M947" s="218"/>
      <c r="N947" s="218"/>
      <c r="P947" s="222"/>
      <c r="Q947" s="222"/>
      <c r="R947" s="218"/>
      <c r="S947" s="218"/>
    </row>
    <row r="948">
      <c r="A948" s="218"/>
      <c r="B948" s="218"/>
      <c r="C948" s="457"/>
      <c r="E948" s="218"/>
      <c r="F948" s="218"/>
      <c r="G948" s="218"/>
      <c r="H948" s="218"/>
      <c r="I948" s="218"/>
      <c r="J948" s="218"/>
      <c r="K948" s="218"/>
      <c r="L948" s="218"/>
      <c r="M948" s="218"/>
      <c r="N948" s="218"/>
      <c r="O948" s="218"/>
      <c r="P948" s="222"/>
      <c r="Q948" s="222"/>
      <c r="R948" s="218"/>
      <c r="S948" s="218"/>
    </row>
    <row r="949">
      <c r="A949" s="218"/>
      <c r="B949" s="218"/>
      <c r="C949" s="457"/>
      <c r="E949" s="218"/>
      <c r="F949" s="218"/>
      <c r="G949" s="218"/>
      <c r="H949" s="218"/>
      <c r="I949" s="218"/>
      <c r="J949" s="218"/>
      <c r="K949" s="218"/>
      <c r="L949" s="218"/>
      <c r="M949" s="218"/>
      <c r="N949" s="218"/>
      <c r="O949" s="218"/>
      <c r="P949" s="222"/>
      <c r="Q949" s="222"/>
      <c r="R949" s="218"/>
      <c r="S949" s="218"/>
    </row>
    <row r="950">
      <c r="A950" s="218"/>
      <c r="B950" s="218"/>
      <c r="C950" s="457"/>
      <c r="E950" s="218"/>
      <c r="F950" s="218"/>
      <c r="G950" s="218"/>
      <c r="H950" s="218"/>
      <c r="I950" s="218"/>
      <c r="J950" s="218"/>
      <c r="K950" s="218"/>
      <c r="L950" s="218"/>
      <c r="M950" s="218"/>
      <c r="N950" s="218"/>
      <c r="P950" s="222"/>
      <c r="Q950" s="222"/>
      <c r="R950" s="218"/>
      <c r="S950" s="218"/>
    </row>
    <row r="951">
      <c r="A951" s="218"/>
      <c r="B951" s="218"/>
      <c r="C951" s="457"/>
      <c r="E951" s="218"/>
      <c r="F951" s="218"/>
      <c r="G951" s="218"/>
      <c r="H951" s="218"/>
      <c r="I951" s="218"/>
      <c r="J951" s="218"/>
      <c r="K951" s="218"/>
      <c r="L951" s="218"/>
      <c r="M951" s="218"/>
      <c r="N951" s="218"/>
      <c r="O951" s="218"/>
      <c r="P951" s="222"/>
      <c r="Q951" s="222"/>
      <c r="R951" s="218"/>
      <c r="S951" s="218"/>
    </row>
    <row r="952">
      <c r="A952" s="218"/>
      <c r="B952" s="218"/>
      <c r="C952" s="457"/>
      <c r="E952" s="218"/>
      <c r="F952" s="218"/>
      <c r="G952" s="218"/>
      <c r="H952" s="218"/>
      <c r="I952" s="218"/>
      <c r="J952" s="218"/>
      <c r="K952" s="218"/>
      <c r="L952" s="218"/>
      <c r="M952" s="218"/>
      <c r="N952" s="218"/>
      <c r="P952" s="222"/>
      <c r="Q952" s="222"/>
      <c r="R952" s="218"/>
      <c r="S952" s="218"/>
    </row>
    <row r="953">
      <c r="A953" s="218"/>
      <c r="B953" s="218"/>
      <c r="C953" s="457"/>
      <c r="D953" s="218"/>
      <c r="E953" s="218"/>
      <c r="G953" s="218"/>
      <c r="H953" s="218"/>
      <c r="I953" s="218"/>
      <c r="J953" s="218"/>
      <c r="K953" s="218"/>
      <c r="L953" s="218"/>
      <c r="M953" s="218"/>
      <c r="N953" s="218"/>
      <c r="O953" s="218"/>
      <c r="P953" s="222"/>
      <c r="Q953" s="222"/>
      <c r="R953" s="222"/>
      <c r="S953" s="218"/>
    </row>
    <row r="954">
      <c r="A954" s="218"/>
      <c r="B954" s="218"/>
      <c r="C954" s="457"/>
      <c r="D954" s="218"/>
      <c r="E954" s="218"/>
      <c r="G954" s="218"/>
      <c r="H954" s="218"/>
      <c r="I954" s="218"/>
      <c r="J954" s="218"/>
      <c r="K954" s="218"/>
      <c r="L954" s="218"/>
      <c r="M954" s="218"/>
      <c r="N954" s="218"/>
      <c r="O954" s="218"/>
      <c r="P954" s="222"/>
      <c r="Q954" s="222"/>
      <c r="R954" s="222"/>
      <c r="S954" s="218"/>
    </row>
    <row r="955">
      <c r="A955" s="218"/>
      <c r="B955" s="218"/>
      <c r="C955" s="457"/>
      <c r="E955" s="218"/>
      <c r="F955" s="218"/>
      <c r="G955" s="218"/>
      <c r="H955" s="218"/>
      <c r="I955" s="218"/>
      <c r="J955" s="218"/>
      <c r="K955" s="218"/>
      <c r="L955" s="218"/>
      <c r="M955" s="218"/>
      <c r="N955" s="218"/>
      <c r="P955" s="218"/>
      <c r="Q955" s="218"/>
      <c r="R955" s="218"/>
      <c r="S955" s="218"/>
    </row>
    <row r="956">
      <c r="A956" s="218"/>
      <c r="B956" s="218"/>
      <c r="C956" s="457"/>
      <c r="E956" s="218"/>
      <c r="F956" s="218"/>
      <c r="G956" s="218"/>
      <c r="H956" s="218"/>
      <c r="I956" s="218"/>
      <c r="J956" s="218"/>
      <c r="K956" s="218"/>
      <c r="L956" s="218"/>
      <c r="M956" s="218"/>
      <c r="N956" s="218"/>
      <c r="O956" s="218"/>
      <c r="P956" s="222"/>
      <c r="Q956" s="222"/>
      <c r="R956" s="218"/>
      <c r="S956" s="218"/>
    </row>
    <row r="957">
      <c r="A957" s="218"/>
      <c r="B957" s="218"/>
      <c r="C957" s="457"/>
      <c r="D957" s="218"/>
      <c r="E957" s="218"/>
      <c r="G957" s="218"/>
      <c r="H957" s="218"/>
      <c r="I957" s="218"/>
      <c r="J957" s="218"/>
      <c r="K957" s="218"/>
      <c r="L957" s="218"/>
      <c r="M957" s="218"/>
      <c r="N957" s="218"/>
      <c r="O957" s="218"/>
      <c r="P957" s="222"/>
      <c r="Q957" s="222"/>
      <c r="R957" s="222"/>
      <c r="S957" s="218"/>
    </row>
    <row r="958">
      <c r="A958" s="218"/>
      <c r="B958" s="218"/>
      <c r="C958" s="457"/>
      <c r="E958" s="218"/>
      <c r="F958" s="218"/>
      <c r="G958" s="218"/>
      <c r="H958" s="218"/>
      <c r="I958" s="218"/>
      <c r="J958" s="218"/>
      <c r="K958" s="218"/>
      <c r="L958" s="218"/>
      <c r="M958" s="218"/>
      <c r="N958" s="218"/>
      <c r="P958" s="222"/>
      <c r="Q958" s="222"/>
      <c r="R958" s="218"/>
      <c r="S958" s="218"/>
    </row>
    <row r="959">
      <c r="A959" s="218"/>
      <c r="B959" s="218"/>
      <c r="C959" s="457"/>
      <c r="E959" s="218"/>
      <c r="F959" s="218"/>
      <c r="G959" s="218"/>
      <c r="H959" s="218"/>
      <c r="I959" s="218"/>
      <c r="J959" s="218"/>
      <c r="K959" s="218"/>
      <c r="L959" s="218"/>
      <c r="M959" s="218"/>
      <c r="N959" s="218"/>
      <c r="O959" s="218"/>
      <c r="P959" s="222"/>
      <c r="Q959" s="222"/>
      <c r="R959" s="218"/>
      <c r="S959" s="218"/>
    </row>
    <row r="960">
      <c r="A960" s="218"/>
      <c r="B960" s="218"/>
      <c r="C960" s="457"/>
      <c r="E960" s="218"/>
      <c r="F960" s="218"/>
      <c r="G960" s="218"/>
      <c r="H960" s="218"/>
      <c r="I960" s="218"/>
      <c r="J960" s="218"/>
      <c r="K960" s="218"/>
      <c r="L960" s="218"/>
      <c r="M960" s="218"/>
      <c r="N960" s="218"/>
      <c r="P960" s="222"/>
      <c r="Q960" s="222"/>
      <c r="R960" s="218"/>
      <c r="S960" s="218"/>
    </row>
    <row r="961">
      <c r="A961" s="218"/>
      <c r="B961" s="218"/>
      <c r="C961" s="457"/>
      <c r="E961" s="218"/>
      <c r="F961" s="218"/>
      <c r="G961" s="218"/>
      <c r="H961" s="218"/>
      <c r="I961" s="218"/>
      <c r="J961" s="218"/>
      <c r="K961" s="218"/>
      <c r="L961" s="218"/>
      <c r="M961" s="218"/>
      <c r="N961" s="218"/>
      <c r="O961" s="218"/>
      <c r="P961" s="222"/>
      <c r="Q961" s="222"/>
      <c r="R961" s="218"/>
      <c r="S961" s="218"/>
    </row>
    <row r="962">
      <c r="A962" s="218"/>
      <c r="B962" s="218"/>
      <c r="C962" s="457"/>
      <c r="E962" s="218"/>
      <c r="F962" s="218"/>
      <c r="G962" s="218"/>
      <c r="H962" s="218"/>
      <c r="I962" s="218"/>
      <c r="J962" s="218"/>
      <c r="K962" s="218"/>
      <c r="L962" s="218"/>
      <c r="M962" s="218"/>
      <c r="N962" s="218"/>
      <c r="O962" s="218"/>
      <c r="P962" s="222"/>
      <c r="Q962" s="222"/>
      <c r="R962" s="218"/>
      <c r="S962" s="218"/>
    </row>
    <row r="963">
      <c r="A963" s="218"/>
      <c r="B963" s="218"/>
      <c r="C963" s="457"/>
      <c r="E963" s="218"/>
      <c r="F963" s="218"/>
      <c r="G963" s="218"/>
      <c r="H963" s="218"/>
      <c r="I963" s="218"/>
      <c r="J963" s="218"/>
      <c r="K963" s="218"/>
      <c r="L963" s="218"/>
      <c r="M963" s="218"/>
      <c r="N963" s="218"/>
      <c r="P963" s="222"/>
      <c r="Q963" s="222"/>
      <c r="R963" s="218"/>
      <c r="S963" s="218"/>
    </row>
    <row r="964">
      <c r="A964" s="218"/>
      <c r="B964" s="218"/>
      <c r="C964" s="457"/>
      <c r="E964" s="218"/>
      <c r="F964" s="218"/>
      <c r="G964" s="218"/>
      <c r="H964" s="218"/>
      <c r="I964" s="218"/>
      <c r="J964" s="218"/>
      <c r="K964" s="218"/>
      <c r="L964" s="218"/>
      <c r="M964" s="218"/>
      <c r="N964" s="218"/>
      <c r="O964" s="218"/>
      <c r="P964" s="222"/>
      <c r="Q964" s="222"/>
      <c r="R964" s="218"/>
      <c r="S964" s="218"/>
    </row>
    <row r="965">
      <c r="A965" s="218"/>
      <c r="B965" s="218"/>
      <c r="C965" s="457"/>
      <c r="E965" s="218"/>
      <c r="F965" s="218"/>
      <c r="G965" s="218"/>
      <c r="H965" s="218"/>
      <c r="I965" s="218"/>
      <c r="J965" s="218"/>
      <c r="K965" s="218"/>
      <c r="L965" s="218"/>
      <c r="M965" s="218"/>
      <c r="N965" s="218"/>
      <c r="O965" s="218"/>
      <c r="P965" s="222"/>
      <c r="Q965" s="222"/>
      <c r="R965" s="218"/>
      <c r="S965" s="218"/>
    </row>
    <row r="966">
      <c r="A966" s="218"/>
      <c r="B966" s="218"/>
      <c r="C966" s="457"/>
      <c r="E966" s="218"/>
      <c r="F966" s="218"/>
      <c r="G966" s="218"/>
      <c r="H966" s="218"/>
      <c r="I966" s="218"/>
      <c r="J966" s="218"/>
      <c r="K966" s="218"/>
      <c r="L966" s="218"/>
      <c r="M966" s="218"/>
      <c r="N966" s="218"/>
      <c r="P966" s="222"/>
      <c r="Q966" s="222"/>
      <c r="R966" s="218"/>
      <c r="S966" s="218"/>
    </row>
    <row r="967">
      <c r="B967" s="218"/>
      <c r="C967" s="457"/>
      <c r="E967" s="218"/>
      <c r="F967" s="218"/>
      <c r="G967" s="218"/>
      <c r="H967" s="218"/>
      <c r="I967" s="218"/>
      <c r="J967" s="218"/>
      <c r="K967" s="218"/>
      <c r="L967" s="218"/>
      <c r="M967" s="218"/>
      <c r="N967" s="218"/>
      <c r="O967" s="218"/>
      <c r="P967" s="218"/>
      <c r="Q967" s="218"/>
      <c r="R967" s="218"/>
      <c r="S967" s="218"/>
    </row>
    <row r="968">
      <c r="A968" s="218"/>
      <c r="B968" s="218"/>
      <c r="C968" s="457"/>
      <c r="E968" s="218"/>
      <c r="F968" s="218"/>
      <c r="G968" s="218"/>
      <c r="H968" s="218"/>
      <c r="I968" s="218"/>
      <c r="J968" s="218"/>
      <c r="K968" s="218"/>
      <c r="L968" s="218"/>
      <c r="M968" s="218"/>
      <c r="N968" s="218"/>
      <c r="O968" s="218"/>
      <c r="P968" s="218"/>
      <c r="Q968" s="218"/>
      <c r="R968" s="218"/>
      <c r="S968" s="218"/>
    </row>
    <row r="969">
      <c r="A969" s="218"/>
      <c r="B969" s="218"/>
      <c r="C969" s="457"/>
      <c r="D969" s="218"/>
      <c r="E969" s="218"/>
      <c r="G969" s="218"/>
      <c r="H969" s="218"/>
      <c r="I969" s="218"/>
      <c r="J969" s="218"/>
      <c r="K969" s="218"/>
      <c r="L969" s="218"/>
      <c r="M969" s="218"/>
      <c r="N969" s="218"/>
      <c r="O969" s="218"/>
      <c r="P969" s="218"/>
      <c r="Q969" s="218"/>
      <c r="R969" s="218"/>
      <c r="S969" s="218"/>
    </row>
    <row r="970">
      <c r="A970" s="218"/>
      <c r="B970" s="218"/>
      <c r="C970" s="457"/>
      <c r="E970" s="218"/>
      <c r="F970" s="218"/>
      <c r="G970" s="218"/>
      <c r="H970" s="218"/>
      <c r="I970" s="218"/>
      <c r="J970" s="218"/>
      <c r="K970" s="218"/>
      <c r="L970" s="218"/>
      <c r="M970" s="218"/>
      <c r="N970" s="218"/>
      <c r="O970" s="218"/>
      <c r="P970" s="222"/>
      <c r="Q970" s="222"/>
      <c r="R970" s="218"/>
      <c r="S970" s="218"/>
    </row>
    <row r="971">
      <c r="A971" s="218"/>
      <c r="B971" s="218"/>
      <c r="C971" s="457"/>
      <c r="D971" s="218"/>
      <c r="E971" s="218"/>
      <c r="G971" s="218"/>
      <c r="H971" s="218"/>
      <c r="I971" s="218"/>
      <c r="J971" s="218"/>
      <c r="K971" s="218"/>
      <c r="L971" s="218"/>
      <c r="M971" s="218"/>
      <c r="N971" s="218"/>
      <c r="O971" s="218"/>
      <c r="P971" s="222"/>
      <c r="Q971" s="222"/>
      <c r="R971" s="222"/>
      <c r="S971" s="218"/>
    </row>
    <row r="972">
      <c r="A972" s="218"/>
      <c r="B972" s="218"/>
      <c r="C972" s="457"/>
      <c r="D972" s="218"/>
      <c r="E972" s="218"/>
      <c r="G972" s="218"/>
      <c r="H972" s="218"/>
      <c r="I972" s="218"/>
      <c r="J972" s="218"/>
      <c r="K972" s="218"/>
      <c r="L972" s="218"/>
      <c r="M972" s="218"/>
      <c r="N972" s="218"/>
      <c r="O972" s="218"/>
      <c r="P972" s="218"/>
      <c r="Q972" s="218"/>
      <c r="R972" s="218"/>
      <c r="S972" s="218"/>
    </row>
    <row r="973">
      <c r="A973" s="218"/>
      <c r="B973" s="218"/>
      <c r="C973" s="457"/>
      <c r="E973" s="218"/>
      <c r="F973" s="218"/>
      <c r="G973" s="218"/>
      <c r="H973" s="218"/>
      <c r="I973" s="218"/>
      <c r="J973" s="218"/>
      <c r="K973" s="218"/>
      <c r="L973" s="218"/>
      <c r="M973" s="218"/>
      <c r="N973" s="218"/>
      <c r="P973" s="222"/>
      <c r="Q973" s="222"/>
      <c r="R973" s="218"/>
      <c r="S973" s="218"/>
    </row>
    <row r="974">
      <c r="A974" s="218"/>
      <c r="B974" s="218"/>
      <c r="C974" s="457"/>
      <c r="E974" s="218"/>
      <c r="F974" s="218"/>
      <c r="G974" s="218"/>
      <c r="H974" s="218"/>
      <c r="I974" s="218"/>
      <c r="J974" s="218"/>
      <c r="K974" s="218"/>
      <c r="L974" s="218"/>
      <c r="M974" s="218"/>
      <c r="N974" s="218"/>
      <c r="P974" s="222"/>
      <c r="Q974" s="222"/>
      <c r="R974" s="218"/>
      <c r="S974" s="218"/>
    </row>
    <row r="975">
      <c r="A975" s="218"/>
      <c r="B975" s="218"/>
      <c r="C975" s="457"/>
      <c r="E975" s="218"/>
      <c r="F975" s="218"/>
      <c r="G975" s="218"/>
      <c r="H975" s="218"/>
      <c r="I975" s="218"/>
      <c r="J975" s="218"/>
      <c r="K975" s="218"/>
      <c r="L975" s="218"/>
      <c r="M975" s="218"/>
      <c r="N975" s="218"/>
      <c r="P975" s="222"/>
      <c r="Q975" s="222"/>
      <c r="R975" s="218"/>
      <c r="S975" s="218"/>
    </row>
    <row r="976">
      <c r="A976" s="218"/>
      <c r="B976" s="218"/>
      <c r="C976" s="457"/>
      <c r="E976" s="218"/>
      <c r="F976" s="218"/>
      <c r="G976" s="218"/>
      <c r="H976" s="218"/>
      <c r="I976" s="218"/>
      <c r="J976" s="218"/>
      <c r="K976" s="218"/>
      <c r="L976" s="218"/>
      <c r="M976" s="218"/>
      <c r="N976" s="218"/>
      <c r="P976" s="222"/>
      <c r="Q976" s="222"/>
      <c r="R976" s="218"/>
      <c r="S976" s="218"/>
    </row>
    <row r="977">
      <c r="A977" s="218"/>
      <c r="B977" s="218"/>
      <c r="C977" s="457"/>
      <c r="E977" s="218"/>
      <c r="F977" s="218"/>
      <c r="G977" s="218"/>
      <c r="H977" s="218"/>
      <c r="I977" s="218"/>
      <c r="J977" s="218"/>
      <c r="K977" s="218"/>
      <c r="L977" s="218"/>
      <c r="M977" s="218"/>
      <c r="N977" s="218"/>
      <c r="P977" s="222"/>
      <c r="Q977" s="222"/>
      <c r="R977" s="218"/>
      <c r="S977" s="218"/>
    </row>
    <row r="978">
      <c r="A978" s="218"/>
      <c r="B978" s="218"/>
      <c r="C978" s="457"/>
      <c r="E978" s="218"/>
      <c r="F978" s="218"/>
      <c r="G978" s="218"/>
      <c r="H978" s="218"/>
      <c r="I978" s="218"/>
      <c r="J978" s="218"/>
      <c r="K978" s="218"/>
      <c r="L978" s="218"/>
      <c r="M978" s="218"/>
      <c r="N978" s="218"/>
      <c r="P978" s="222"/>
      <c r="Q978" s="222"/>
      <c r="R978" s="218"/>
      <c r="S978" s="218"/>
    </row>
    <row r="979">
      <c r="A979" s="218"/>
      <c r="B979" s="218"/>
      <c r="C979" s="457"/>
      <c r="E979" s="218"/>
      <c r="F979" s="218"/>
      <c r="G979" s="218"/>
      <c r="H979" s="218"/>
      <c r="I979" s="218"/>
      <c r="J979" s="218"/>
      <c r="K979" s="218"/>
      <c r="L979" s="218"/>
      <c r="M979" s="218"/>
      <c r="N979" s="218"/>
      <c r="P979" s="222"/>
      <c r="Q979" s="222"/>
      <c r="R979" s="218"/>
      <c r="S979" s="218"/>
    </row>
    <row r="980">
      <c r="A980" s="218"/>
      <c r="B980" s="218"/>
      <c r="C980" s="457"/>
      <c r="E980" s="218"/>
      <c r="F980" s="218"/>
      <c r="G980" s="218"/>
      <c r="H980" s="218"/>
      <c r="I980" s="218"/>
      <c r="J980" s="218"/>
      <c r="K980" s="218"/>
      <c r="L980" s="218"/>
      <c r="M980" s="218"/>
      <c r="N980" s="218"/>
      <c r="P980" s="222"/>
      <c r="Q980" s="222"/>
      <c r="R980" s="218"/>
      <c r="S980" s="218"/>
    </row>
    <row r="981">
      <c r="A981" s="218"/>
      <c r="B981" s="218"/>
      <c r="C981" s="457"/>
      <c r="E981" s="218"/>
      <c r="F981" s="218"/>
      <c r="G981" s="218"/>
      <c r="H981" s="218"/>
      <c r="I981" s="218"/>
      <c r="J981" s="218"/>
      <c r="K981" s="218"/>
      <c r="L981" s="218"/>
      <c r="M981" s="218"/>
      <c r="N981" s="218"/>
      <c r="P981" s="218"/>
      <c r="Q981" s="218"/>
      <c r="R981" s="218"/>
      <c r="S981" s="218"/>
    </row>
    <row r="982">
      <c r="A982" s="218"/>
      <c r="B982" s="218"/>
      <c r="C982" s="457"/>
      <c r="E982" s="218"/>
      <c r="F982" s="218"/>
      <c r="G982" s="218"/>
      <c r="H982" s="218"/>
      <c r="I982" s="218"/>
      <c r="J982" s="218"/>
      <c r="K982" s="218"/>
      <c r="L982" s="218"/>
      <c r="M982" s="218"/>
      <c r="N982" s="218"/>
      <c r="P982" s="218"/>
      <c r="Q982" s="218"/>
      <c r="R982" s="218"/>
      <c r="S982" s="218"/>
    </row>
    <row r="983">
      <c r="A983" s="218"/>
      <c r="B983" s="218"/>
      <c r="C983" s="457"/>
      <c r="E983" s="218"/>
      <c r="F983" s="218"/>
      <c r="G983" s="218"/>
      <c r="H983" s="218"/>
      <c r="I983" s="218"/>
      <c r="J983" s="218"/>
      <c r="K983" s="218"/>
      <c r="L983" s="218"/>
      <c r="M983" s="218"/>
      <c r="N983" s="218"/>
      <c r="P983" s="222"/>
      <c r="Q983" s="222"/>
      <c r="R983" s="218"/>
      <c r="S983" s="218"/>
    </row>
    <row r="984">
      <c r="A984" s="218"/>
      <c r="B984" s="218"/>
      <c r="C984" s="457"/>
      <c r="E984" s="218"/>
      <c r="F984" s="218"/>
      <c r="G984" s="218"/>
      <c r="H984" s="218"/>
      <c r="I984" s="218"/>
      <c r="J984" s="218"/>
      <c r="K984" s="218"/>
      <c r="L984" s="218"/>
      <c r="M984" s="218"/>
      <c r="N984" s="218"/>
      <c r="P984" s="222"/>
      <c r="Q984" s="222"/>
      <c r="R984" s="218"/>
      <c r="S984" s="218"/>
    </row>
    <row r="985">
      <c r="A985" s="218"/>
      <c r="B985" s="218"/>
      <c r="C985" s="457"/>
      <c r="E985" s="218"/>
      <c r="F985" s="218"/>
      <c r="G985" s="218"/>
      <c r="H985" s="218"/>
      <c r="I985" s="218"/>
      <c r="J985" s="218"/>
      <c r="K985" s="218"/>
      <c r="L985" s="218"/>
      <c r="M985" s="218"/>
      <c r="N985" s="218"/>
      <c r="P985" s="222"/>
      <c r="Q985" s="222"/>
      <c r="R985" s="218"/>
      <c r="S985" s="218"/>
    </row>
    <row r="986">
      <c r="A986" s="218"/>
      <c r="B986" s="218"/>
      <c r="C986" s="457"/>
      <c r="D986" s="218"/>
      <c r="E986" s="218"/>
      <c r="G986" s="218"/>
      <c r="H986" s="218"/>
      <c r="I986" s="218"/>
      <c r="J986" s="218"/>
      <c r="K986" s="218"/>
      <c r="L986" s="218"/>
      <c r="M986" s="218"/>
      <c r="N986" s="218"/>
      <c r="O986" s="218"/>
      <c r="P986" s="222"/>
      <c r="Q986" s="222"/>
      <c r="R986" s="222"/>
      <c r="S986" s="218"/>
    </row>
    <row r="987">
      <c r="A987" s="218"/>
      <c r="B987" s="218"/>
      <c r="C987" s="457"/>
      <c r="E987" s="218"/>
      <c r="F987" s="218"/>
      <c r="G987" s="218"/>
      <c r="H987" s="218"/>
      <c r="I987" s="218"/>
      <c r="J987" s="218"/>
      <c r="K987" s="218"/>
      <c r="L987" s="218"/>
      <c r="M987" s="218"/>
      <c r="N987" s="218"/>
      <c r="P987" s="218"/>
      <c r="Q987" s="218"/>
      <c r="R987" s="218"/>
      <c r="S987" s="218"/>
    </row>
    <row r="988">
      <c r="A988" s="218"/>
      <c r="B988" s="218"/>
      <c r="C988" s="457"/>
      <c r="E988" s="218"/>
      <c r="F988" s="218"/>
      <c r="G988" s="218"/>
      <c r="H988" s="218"/>
      <c r="I988" s="218"/>
      <c r="J988" s="218"/>
      <c r="K988" s="218"/>
      <c r="L988" s="218"/>
      <c r="M988" s="218"/>
      <c r="N988" s="218"/>
      <c r="O988" s="218"/>
      <c r="P988" s="222"/>
      <c r="Q988" s="222"/>
      <c r="R988" s="218"/>
      <c r="S988" s="218"/>
    </row>
    <row r="989">
      <c r="A989" s="218"/>
      <c r="B989" s="218"/>
      <c r="C989" s="457"/>
      <c r="E989" s="218"/>
      <c r="F989" s="218"/>
      <c r="G989" s="218"/>
      <c r="H989" s="218"/>
      <c r="I989" s="218"/>
      <c r="J989" s="218"/>
      <c r="K989" s="218"/>
      <c r="L989" s="218"/>
      <c r="M989" s="218"/>
      <c r="N989" s="218"/>
      <c r="P989" s="222"/>
      <c r="Q989" s="222"/>
      <c r="R989" s="218"/>
      <c r="S989" s="218"/>
    </row>
    <row r="990">
      <c r="A990" s="218"/>
      <c r="B990" s="218"/>
      <c r="C990" s="457"/>
      <c r="E990" s="218"/>
      <c r="F990" s="218"/>
      <c r="G990" s="218"/>
      <c r="H990" s="218"/>
      <c r="I990" s="218"/>
      <c r="J990" s="218"/>
      <c r="K990" s="218"/>
      <c r="L990" s="218"/>
      <c r="M990" s="218"/>
      <c r="N990" s="218"/>
      <c r="P990" s="222"/>
      <c r="Q990" s="222"/>
      <c r="R990" s="218"/>
      <c r="S990" s="218"/>
    </row>
    <row r="991">
      <c r="A991" s="218"/>
      <c r="B991" s="218"/>
      <c r="C991" s="457"/>
      <c r="E991" s="218"/>
      <c r="F991" s="218"/>
      <c r="G991" s="218"/>
      <c r="H991" s="218"/>
      <c r="I991" s="218"/>
      <c r="J991" s="218"/>
      <c r="K991" s="218"/>
      <c r="L991" s="218"/>
      <c r="M991" s="218"/>
      <c r="N991" s="218"/>
      <c r="P991" s="222"/>
      <c r="Q991" s="222"/>
      <c r="R991" s="218"/>
      <c r="S991" s="218"/>
    </row>
    <row r="992">
      <c r="A992" s="218"/>
      <c r="B992" s="218"/>
      <c r="C992" s="457"/>
      <c r="E992" s="218"/>
      <c r="F992" s="218"/>
      <c r="G992" s="218"/>
      <c r="H992" s="218"/>
      <c r="I992" s="218"/>
      <c r="J992" s="218"/>
      <c r="K992" s="218"/>
      <c r="L992" s="218"/>
      <c r="M992" s="218"/>
      <c r="N992" s="218"/>
      <c r="P992" s="222"/>
      <c r="Q992" s="222"/>
      <c r="R992" s="218"/>
      <c r="S992" s="218"/>
    </row>
    <row r="993">
      <c r="A993" s="218"/>
      <c r="B993" s="218"/>
      <c r="C993" s="457"/>
      <c r="E993" s="218"/>
      <c r="F993" s="218"/>
      <c r="G993" s="218"/>
      <c r="H993" s="218"/>
      <c r="I993" s="218"/>
      <c r="J993" s="218"/>
      <c r="K993" s="218"/>
      <c r="L993" s="218"/>
      <c r="M993" s="218"/>
      <c r="N993" s="218"/>
      <c r="P993" s="222"/>
      <c r="Q993" s="222"/>
      <c r="R993" s="218"/>
      <c r="S993" s="218"/>
    </row>
    <row r="994">
      <c r="A994" s="218"/>
      <c r="B994" s="218"/>
      <c r="C994" s="457"/>
      <c r="E994" s="218"/>
      <c r="F994" s="218"/>
      <c r="G994" s="218"/>
      <c r="H994" s="218"/>
      <c r="I994" s="218"/>
      <c r="J994" s="218"/>
      <c r="K994" s="218"/>
      <c r="L994" s="218"/>
      <c r="M994" s="218"/>
      <c r="N994" s="218"/>
      <c r="P994" s="222"/>
      <c r="Q994" s="222"/>
      <c r="R994" s="218"/>
      <c r="S994" s="218"/>
    </row>
    <row r="995">
      <c r="A995" s="218"/>
      <c r="B995" s="218"/>
      <c r="C995" s="457"/>
      <c r="E995" s="218"/>
      <c r="F995" s="218"/>
      <c r="G995" s="218"/>
      <c r="H995" s="218"/>
      <c r="I995" s="218"/>
      <c r="J995" s="218"/>
      <c r="K995" s="218"/>
      <c r="L995" s="218"/>
      <c r="M995" s="218"/>
      <c r="N995" s="218"/>
      <c r="P995" s="222"/>
      <c r="Q995" s="222"/>
      <c r="R995" s="218"/>
      <c r="S995" s="218"/>
    </row>
    <row r="996">
      <c r="A996" s="218"/>
      <c r="B996" s="218"/>
      <c r="C996" s="457"/>
      <c r="E996" s="218"/>
      <c r="F996" s="218"/>
      <c r="G996" s="218"/>
      <c r="H996" s="218"/>
      <c r="I996" s="218"/>
      <c r="J996" s="218"/>
      <c r="K996" s="218"/>
      <c r="L996" s="218"/>
      <c r="M996" s="218"/>
      <c r="N996" s="218"/>
      <c r="O996" s="218"/>
      <c r="P996" s="222"/>
      <c r="Q996" s="222"/>
      <c r="R996" s="218"/>
      <c r="S996" s="218"/>
    </row>
    <row r="997">
      <c r="A997" s="218"/>
      <c r="B997" s="218"/>
      <c r="C997" s="457"/>
      <c r="E997" s="218"/>
      <c r="F997" s="218"/>
      <c r="G997" s="218"/>
      <c r="H997" s="218"/>
      <c r="I997" s="218"/>
      <c r="J997" s="218"/>
      <c r="K997" s="218"/>
      <c r="L997" s="218"/>
      <c r="M997" s="218"/>
      <c r="N997" s="218"/>
      <c r="P997" s="218"/>
      <c r="Q997" s="218"/>
      <c r="R997" s="218"/>
      <c r="S997" s="218"/>
    </row>
    <row r="998">
      <c r="A998" s="218"/>
      <c r="B998" s="218"/>
      <c r="C998" s="457"/>
      <c r="E998" s="218"/>
      <c r="F998" s="218"/>
      <c r="G998" s="218"/>
      <c r="H998" s="218"/>
      <c r="I998" s="218"/>
      <c r="J998" s="218"/>
      <c r="K998" s="218"/>
      <c r="L998" s="218"/>
      <c r="M998" s="218"/>
      <c r="N998" s="218"/>
      <c r="P998" s="222"/>
      <c r="Q998" s="222"/>
      <c r="R998" s="218"/>
      <c r="S998" s="218"/>
    </row>
    <row r="999">
      <c r="A999" s="218"/>
      <c r="B999" s="218"/>
      <c r="C999" s="457"/>
      <c r="E999" s="218"/>
      <c r="F999" s="218"/>
      <c r="G999" s="218"/>
      <c r="H999" s="218"/>
      <c r="I999" s="218"/>
      <c r="J999" s="218"/>
      <c r="K999" s="218"/>
      <c r="L999" s="218"/>
      <c r="M999" s="218"/>
      <c r="N999" s="218"/>
      <c r="P999" s="222"/>
      <c r="Q999" s="222"/>
      <c r="R999" s="218"/>
      <c r="S999" s="218"/>
    </row>
    <row r="1000">
      <c r="A1000" s="218"/>
      <c r="B1000" s="218"/>
      <c r="C1000" s="457"/>
      <c r="E1000" s="218"/>
      <c r="F1000" s="218"/>
      <c r="G1000" s="218"/>
      <c r="H1000" s="218"/>
      <c r="I1000" s="218"/>
      <c r="J1000" s="218"/>
      <c r="K1000" s="218"/>
      <c r="L1000" s="218"/>
      <c r="M1000" s="218"/>
      <c r="N1000" s="218"/>
      <c r="P1000" s="222"/>
      <c r="Q1000" s="222"/>
      <c r="R1000" s="218"/>
      <c r="S1000" s="218"/>
    </row>
    <row r="1001">
      <c r="A1001" s="218"/>
      <c r="B1001" s="218"/>
      <c r="C1001" s="457"/>
      <c r="E1001" s="218"/>
      <c r="F1001" s="218"/>
      <c r="G1001" s="218"/>
      <c r="H1001" s="218"/>
      <c r="I1001" s="218"/>
      <c r="J1001" s="218"/>
      <c r="K1001" s="218"/>
      <c r="L1001" s="218"/>
      <c r="M1001" s="218"/>
      <c r="N1001" s="218"/>
      <c r="O1001" s="218"/>
      <c r="P1001" s="218"/>
      <c r="Q1001" s="218"/>
      <c r="R1001" s="218"/>
      <c r="S1001" s="218"/>
    </row>
    <row r="1002">
      <c r="A1002" s="218"/>
      <c r="B1002" s="218"/>
      <c r="C1002" s="457"/>
      <c r="E1002" s="218"/>
      <c r="F1002" s="218"/>
      <c r="G1002" s="218"/>
      <c r="H1002" s="218"/>
      <c r="I1002" s="218"/>
      <c r="J1002" s="218"/>
      <c r="K1002" s="218"/>
      <c r="L1002" s="218"/>
      <c r="M1002" s="218"/>
      <c r="N1002" s="218"/>
      <c r="P1002" s="218"/>
      <c r="Q1002" s="218"/>
      <c r="R1002" s="218"/>
      <c r="S1002" s="218"/>
    </row>
    <row r="1003">
      <c r="A1003" s="218"/>
      <c r="B1003" s="218"/>
      <c r="C1003" s="457"/>
      <c r="E1003" s="218"/>
      <c r="F1003" s="218"/>
      <c r="G1003" s="218"/>
      <c r="H1003" s="218"/>
      <c r="I1003" s="218"/>
      <c r="J1003" s="218"/>
      <c r="K1003" s="218"/>
      <c r="L1003" s="218"/>
      <c r="M1003" s="218"/>
      <c r="N1003" s="218"/>
      <c r="O1003" s="218"/>
      <c r="P1003" s="222"/>
      <c r="Q1003" s="222"/>
      <c r="R1003" s="218"/>
      <c r="S1003" s="218"/>
    </row>
    <row r="1004">
      <c r="A1004" s="218"/>
      <c r="B1004" s="218"/>
      <c r="C1004" s="457"/>
      <c r="E1004" s="218"/>
      <c r="F1004" s="218"/>
      <c r="G1004" s="218"/>
      <c r="H1004" s="218"/>
      <c r="I1004" s="218"/>
      <c r="J1004" s="218"/>
      <c r="K1004" s="218"/>
      <c r="L1004" s="218"/>
      <c r="M1004" s="218"/>
      <c r="N1004" s="218"/>
      <c r="P1004" s="222"/>
      <c r="Q1004" s="222"/>
      <c r="R1004" s="218"/>
      <c r="S1004" s="218"/>
    </row>
    <row r="1005">
      <c r="B1005" s="218"/>
      <c r="C1005" s="457"/>
      <c r="E1005" s="218"/>
      <c r="F1005" s="218"/>
      <c r="G1005" s="218"/>
      <c r="H1005" s="218"/>
      <c r="I1005" s="218"/>
      <c r="J1005" s="218"/>
      <c r="K1005" s="218"/>
      <c r="L1005" s="218"/>
      <c r="M1005" s="218"/>
      <c r="N1005" s="218"/>
      <c r="O1005" s="218"/>
      <c r="P1005" s="218"/>
      <c r="Q1005" s="218"/>
      <c r="R1005" s="218"/>
      <c r="S1005" s="218"/>
    </row>
    <row r="1006">
      <c r="A1006" s="218"/>
      <c r="B1006" s="218"/>
      <c r="C1006" s="457"/>
      <c r="E1006" s="218"/>
      <c r="F1006" s="218"/>
      <c r="G1006" s="218"/>
      <c r="H1006" s="218"/>
      <c r="I1006" s="218"/>
      <c r="J1006" s="218"/>
      <c r="K1006" s="218"/>
      <c r="L1006" s="218"/>
      <c r="M1006" s="218"/>
      <c r="N1006" s="218"/>
      <c r="P1006" s="222"/>
      <c r="Q1006" s="222"/>
      <c r="R1006" s="218"/>
      <c r="S1006" s="218"/>
    </row>
    <row r="1007">
      <c r="A1007" s="218"/>
      <c r="B1007" s="218"/>
      <c r="C1007" s="457"/>
      <c r="E1007" s="218"/>
      <c r="F1007" s="218"/>
      <c r="G1007" s="218"/>
      <c r="H1007" s="218"/>
      <c r="I1007" s="218"/>
      <c r="J1007" s="218"/>
      <c r="K1007" s="218"/>
      <c r="L1007" s="218"/>
      <c r="M1007" s="218"/>
      <c r="N1007" s="218"/>
      <c r="O1007" s="218"/>
      <c r="P1007" s="218"/>
      <c r="Q1007" s="218"/>
      <c r="R1007" s="218"/>
      <c r="S1007" s="218"/>
    </row>
    <row r="1008">
      <c r="A1008" s="218"/>
      <c r="B1008" s="218"/>
      <c r="C1008" s="457"/>
      <c r="E1008" s="218"/>
      <c r="F1008" s="218"/>
      <c r="G1008" s="218"/>
      <c r="H1008" s="218"/>
      <c r="I1008" s="218"/>
      <c r="J1008" s="218"/>
      <c r="K1008" s="218"/>
      <c r="L1008" s="218"/>
      <c r="M1008" s="218"/>
      <c r="N1008" s="218"/>
      <c r="P1008" s="222"/>
      <c r="Q1008" s="222"/>
      <c r="R1008" s="218"/>
      <c r="S1008" s="218"/>
    </row>
    <row r="1009">
      <c r="A1009" s="218"/>
      <c r="B1009" s="218"/>
      <c r="C1009" s="457"/>
      <c r="E1009" s="218"/>
      <c r="F1009" s="218"/>
      <c r="G1009" s="218"/>
      <c r="H1009" s="218"/>
      <c r="I1009" s="218"/>
      <c r="J1009" s="218"/>
      <c r="K1009" s="218"/>
      <c r="L1009" s="218"/>
      <c r="M1009" s="218"/>
      <c r="N1009" s="218"/>
      <c r="P1009" s="222"/>
      <c r="Q1009" s="222"/>
      <c r="R1009" s="218"/>
      <c r="S1009" s="218"/>
    </row>
    <row r="1010">
      <c r="A1010" s="218"/>
      <c r="B1010" s="218"/>
      <c r="C1010" s="457"/>
      <c r="E1010" s="218"/>
      <c r="F1010" s="218"/>
      <c r="G1010" s="218"/>
      <c r="H1010" s="218"/>
      <c r="I1010" s="218"/>
      <c r="J1010" s="218"/>
      <c r="K1010" s="218"/>
      <c r="L1010" s="218"/>
      <c r="M1010" s="218"/>
      <c r="N1010" s="218"/>
      <c r="P1010" s="218"/>
      <c r="Q1010" s="218"/>
      <c r="R1010" s="218"/>
      <c r="S1010" s="218"/>
    </row>
    <row r="1011">
      <c r="A1011" s="218"/>
      <c r="B1011" s="218"/>
      <c r="C1011" s="457"/>
      <c r="E1011" s="218"/>
      <c r="F1011" s="218"/>
      <c r="G1011" s="218"/>
      <c r="H1011" s="218"/>
      <c r="I1011" s="218"/>
      <c r="J1011" s="218"/>
      <c r="K1011" s="218"/>
      <c r="L1011" s="218"/>
      <c r="M1011" s="218"/>
      <c r="N1011" s="218"/>
      <c r="P1011" s="218"/>
      <c r="Q1011" s="218"/>
      <c r="R1011" s="218"/>
      <c r="S1011" s="218"/>
    </row>
    <row r="1012">
      <c r="A1012" s="218"/>
      <c r="B1012" s="218"/>
      <c r="C1012" s="457"/>
      <c r="E1012" s="218"/>
      <c r="F1012" s="218"/>
      <c r="G1012" s="218"/>
      <c r="H1012" s="218"/>
      <c r="I1012" s="218"/>
      <c r="J1012" s="218"/>
      <c r="K1012" s="218"/>
      <c r="L1012" s="218"/>
      <c r="M1012" s="218"/>
      <c r="N1012" s="218"/>
      <c r="P1012" s="222"/>
      <c r="Q1012" s="222"/>
      <c r="R1012" s="218"/>
      <c r="S1012" s="218"/>
    </row>
    <row r="1013">
      <c r="A1013" s="218"/>
      <c r="B1013" s="218"/>
      <c r="C1013" s="457"/>
      <c r="E1013" s="218"/>
      <c r="F1013" s="218"/>
      <c r="G1013" s="218"/>
      <c r="H1013" s="218"/>
      <c r="I1013" s="218"/>
      <c r="J1013" s="218"/>
      <c r="K1013" s="218"/>
      <c r="L1013" s="218"/>
      <c r="M1013" s="218"/>
      <c r="N1013" s="218"/>
      <c r="P1013" s="222"/>
      <c r="Q1013" s="222"/>
      <c r="R1013" s="218"/>
      <c r="S1013" s="218"/>
    </row>
    <row r="1014">
      <c r="A1014" s="218"/>
      <c r="B1014" s="218"/>
      <c r="C1014" s="457"/>
      <c r="E1014" s="218"/>
      <c r="F1014" s="218"/>
      <c r="G1014" s="218"/>
      <c r="H1014" s="218"/>
      <c r="I1014" s="218"/>
      <c r="J1014" s="218"/>
      <c r="K1014" s="218"/>
      <c r="L1014" s="218"/>
      <c r="M1014" s="218"/>
      <c r="N1014" s="218"/>
      <c r="P1014" s="218"/>
      <c r="Q1014" s="218"/>
      <c r="R1014" s="218"/>
      <c r="S1014" s="218"/>
    </row>
    <row r="1015">
      <c r="A1015" s="218"/>
      <c r="B1015" s="218"/>
      <c r="C1015" s="457"/>
      <c r="E1015" s="218"/>
      <c r="F1015" s="218"/>
      <c r="G1015" s="218"/>
      <c r="H1015" s="218"/>
      <c r="I1015" s="218"/>
      <c r="J1015" s="218"/>
      <c r="K1015" s="218"/>
      <c r="L1015" s="218"/>
      <c r="M1015" s="218"/>
      <c r="N1015" s="218"/>
      <c r="P1015" s="222"/>
      <c r="Q1015" s="222"/>
      <c r="R1015" s="218"/>
      <c r="S1015" s="218"/>
    </row>
    <row r="1016">
      <c r="A1016" s="218"/>
      <c r="B1016" s="218"/>
      <c r="C1016" s="457"/>
      <c r="E1016" s="218"/>
      <c r="F1016" s="218"/>
      <c r="G1016" s="218"/>
      <c r="H1016" s="218"/>
      <c r="I1016" s="218"/>
      <c r="J1016" s="218"/>
      <c r="K1016" s="218"/>
      <c r="L1016" s="218"/>
      <c r="M1016" s="218"/>
      <c r="N1016" s="218"/>
      <c r="O1016" s="218"/>
      <c r="P1016" s="218"/>
      <c r="Q1016" s="218"/>
      <c r="R1016" s="218"/>
      <c r="S1016" s="218"/>
    </row>
    <row r="1017">
      <c r="A1017" s="218"/>
      <c r="B1017" s="218"/>
      <c r="C1017" s="457"/>
      <c r="E1017" s="218"/>
      <c r="F1017" s="218"/>
      <c r="G1017" s="218"/>
      <c r="H1017" s="218"/>
      <c r="I1017" s="218"/>
      <c r="J1017" s="218"/>
      <c r="K1017" s="218"/>
      <c r="L1017" s="218"/>
      <c r="M1017" s="218"/>
      <c r="N1017" s="218"/>
      <c r="P1017" s="218"/>
      <c r="Q1017" s="218"/>
      <c r="R1017" s="218"/>
      <c r="S1017" s="218"/>
    </row>
    <row r="1018">
      <c r="A1018" s="218"/>
      <c r="B1018" s="218"/>
      <c r="C1018" s="457"/>
      <c r="E1018" s="218"/>
      <c r="F1018" s="218"/>
      <c r="G1018" s="218"/>
      <c r="H1018" s="218"/>
      <c r="I1018" s="218"/>
      <c r="J1018" s="218"/>
      <c r="K1018" s="218"/>
      <c r="L1018" s="218"/>
      <c r="M1018" s="218"/>
      <c r="N1018" s="218"/>
      <c r="P1018" s="218"/>
      <c r="Q1018" s="218"/>
      <c r="R1018" s="218"/>
      <c r="S1018" s="218"/>
    </row>
    <row r="1019">
      <c r="A1019" s="218"/>
      <c r="B1019" s="218"/>
      <c r="C1019" s="457"/>
      <c r="E1019" s="218"/>
      <c r="F1019" s="218"/>
      <c r="G1019" s="218"/>
      <c r="H1019" s="218"/>
      <c r="I1019" s="218"/>
      <c r="J1019" s="218"/>
      <c r="K1019" s="218"/>
      <c r="L1019" s="218"/>
      <c r="M1019" s="218"/>
      <c r="N1019" s="218"/>
      <c r="P1019" s="218"/>
      <c r="Q1019" s="218"/>
      <c r="R1019" s="218"/>
      <c r="S1019" s="218"/>
    </row>
    <row r="1020">
      <c r="B1020" s="218"/>
      <c r="C1020" s="457"/>
      <c r="E1020" s="218"/>
      <c r="F1020" s="218"/>
      <c r="G1020" s="218"/>
      <c r="H1020" s="218"/>
      <c r="I1020" s="218"/>
      <c r="J1020" s="218"/>
      <c r="K1020" s="218"/>
      <c r="L1020" s="218"/>
      <c r="M1020" s="218"/>
      <c r="N1020" s="218"/>
      <c r="O1020" s="218"/>
      <c r="P1020" s="218"/>
      <c r="Q1020" s="218"/>
      <c r="R1020" s="218"/>
      <c r="S1020" s="218"/>
    </row>
    <row r="1021">
      <c r="A1021" s="218"/>
      <c r="B1021" s="218"/>
      <c r="C1021" s="457"/>
      <c r="E1021" s="218"/>
      <c r="F1021" s="218"/>
      <c r="G1021" s="218"/>
      <c r="H1021" s="218"/>
      <c r="I1021" s="218"/>
      <c r="J1021" s="218"/>
      <c r="K1021" s="218"/>
      <c r="L1021" s="218"/>
      <c r="M1021" s="218"/>
      <c r="N1021" s="218"/>
      <c r="O1021" s="218"/>
      <c r="P1021" s="222"/>
      <c r="Q1021" s="222"/>
      <c r="R1021" s="218"/>
      <c r="S1021" s="218"/>
    </row>
    <row r="1022">
      <c r="A1022" s="218"/>
      <c r="B1022" s="218"/>
      <c r="C1022" s="457"/>
      <c r="E1022" s="218"/>
      <c r="F1022" s="218"/>
      <c r="G1022" s="218"/>
      <c r="H1022" s="218"/>
      <c r="I1022" s="218"/>
      <c r="J1022" s="218"/>
      <c r="K1022" s="218"/>
      <c r="L1022" s="218"/>
      <c r="M1022" s="218"/>
      <c r="N1022" s="218"/>
      <c r="O1022" s="218"/>
      <c r="P1022" s="222"/>
      <c r="Q1022" s="222"/>
      <c r="R1022" s="218"/>
      <c r="S1022" s="218"/>
    </row>
    <row r="1023">
      <c r="A1023" s="218"/>
      <c r="B1023" s="218"/>
      <c r="C1023" s="457"/>
      <c r="E1023" s="218"/>
      <c r="F1023" s="218"/>
      <c r="G1023" s="218"/>
      <c r="H1023" s="218"/>
      <c r="I1023" s="218"/>
      <c r="J1023" s="218"/>
      <c r="K1023" s="218"/>
      <c r="L1023" s="218"/>
      <c r="M1023" s="218"/>
      <c r="N1023" s="218"/>
      <c r="P1023" s="222"/>
      <c r="Q1023" s="222"/>
      <c r="R1023" s="218"/>
      <c r="S1023" s="218"/>
    </row>
    <row r="1024">
      <c r="A1024" s="218"/>
      <c r="B1024" s="218"/>
      <c r="C1024" s="457"/>
      <c r="E1024" s="218"/>
      <c r="F1024" s="218"/>
      <c r="G1024" s="218"/>
      <c r="H1024" s="218"/>
      <c r="I1024" s="218"/>
      <c r="J1024" s="218"/>
      <c r="K1024" s="218"/>
      <c r="L1024" s="218"/>
      <c r="M1024" s="218"/>
      <c r="N1024" s="218"/>
      <c r="P1024" s="222"/>
      <c r="Q1024" s="222"/>
      <c r="R1024" s="218"/>
      <c r="S1024" s="218"/>
    </row>
    <row r="1025">
      <c r="A1025" s="218"/>
      <c r="B1025" s="218"/>
      <c r="C1025" s="457"/>
      <c r="E1025" s="218"/>
      <c r="F1025" s="218"/>
      <c r="G1025" s="218"/>
      <c r="H1025" s="218"/>
      <c r="I1025" s="218"/>
      <c r="J1025" s="218"/>
      <c r="K1025" s="218"/>
      <c r="L1025" s="218"/>
      <c r="M1025" s="218"/>
      <c r="N1025" s="218"/>
      <c r="P1025" s="222"/>
      <c r="Q1025" s="222"/>
      <c r="R1025" s="218"/>
      <c r="S1025" s="218"/>
    </row>
    <row r="1026">
      <c r="A1026" s="218"/>
      <c r="B1026" s="218"/>
      <c r="C1026" s="457"/>
      <c r="E1026" s="218"/>
      <c r="F1026" s="218"/>
      <c r="G1026" s="218"/>
      <c r="H1026" s="218"/>
      <c r="I1026" s="218"/>
      <c r="J1026" s="218"/>
      <c r="K1026" s="218"/>
      <c r="L1026" s="218"/>
      <c r="M1026" s="218"/>
      <c r="N1026" s="218"/>
      <c r="O1026" s="218"/>
      <c r="P1026" s="222"/>
      <c r="Q1026" s="222"/>
      <c r="R1026" s="218"/>
      <c r="S1026" s="218"/>
    </row>
    <row r="1027">
      <c r="A1027" s="218"/>
      <c r="B1027" s="218"/>
      <c r="C1027" s="457"/>
      <c r="E1027" s="218"/>
      <c r="F1027" s="218"/>
      <c r="G1027" s="218"/>
      <c r="H1027" s="218"/>
      <c r="I1027" s="218"/>
      <c r="J1027" s="218"/>
      <c r="K1027" s="218"/>
      <c r="L1027" s="218"/>
      <c r="M1027" s="218"/>
      <c r="N1027" s="218"/>
      <c r="P1027" s="218"/>
      <c r="Q1027" s="218"/>
      <c r="R1027" s="218"/>
      <c r="S1027" s="218"/>
    </row>
    <row r="1028">
      <c r="A1028" s="218"/>
      <c r="B1028" s="218"/>
      <c r="C1028" s="457"/>
      <c r="E1028" s="218"/>
      <c r="F1028" s="218"/>
      <c r="G1028" s="218"/>
      <c r="H1028" s="218"/>
      <c r="I1028" s="218"/>
      <c r="J1028" s="218"/>
      <c r="K1028" s="218"/>
      <c r="L1028" s="218"/>
      <c r="M1028" s="218"/>
      <c r="N1028" s="218"/>
      <c r="O1028" s="218"/>
      <c r="P1028" s="218"/>
      <c r="Q1028" s="218"/>
      <c r="R1028" s="218"/>
      <c r="S1028" s="218"/>
    </row>
    <row r="1029">
      <c r="A1029" s="218"/>
      <c r="B1029" s="218"/>
      <c r="C1029" s="457"/>
      <c r="E1029" s="218"/>
      <c r="F1029" s="218"/>
      <c r="G1029" s="218"/>
      <c r="H1029" s="218"/>
      <c r="I1029" s="218"/>
      <c r="J1029" s="218"/>
      <c r="K1029" s="218"/>
      <c r="L1029" s="218"/>
      <c r="M1029" s="218"/>
      <c r="N1029" s="218"/>
      <c r="P1029" s="222"/>
      <c r="Q1029" s="222"/>
      <c r="R1029" s="218"/>
      <c r="S1029" s="218"/>
    </row>
    <row r="1030">
      <c r="A1030" s="218"/>
      <c r="B1030" s="218"/>
      <c r="C1030" s="457"/>
      <c r="E1030" s="218"/>
      <c r="F1030" s="218"/>
      <c r="G1030" s="218"/>
      <c r="H1030" s="218"/>
      <c r="I1030" s="218"/>
      <c r="J1030" s="218"/>
      <c r="K1030" s="218"/>
      <c r="L1030" s="218"/>
      <c r="M1030" s="218"/>
      <c r="N1030" s="218"/>
      <c r="O1030" s="218"/>
      <c r="P1030" s="222"/>
      <c r="Q1030" s="222"/>
      <c r="R1030" s="218"/>
      <c r="S1030" s="218"/>
    </row>
    <row r="1031">
      <c r="A1031" s="218"/>
      <c r="B1031" s="218"/>
      <c r="C1031" s="457"/>
      <c r="E1031" s="218"/>
      <c r="F1031" s="218"/>
      <c r="G1031" s="218"/>
      <c r="H1031" s="218"/>
      <c r="I1031" s="218"/>
      <c r="J1031" s="218"/>
      <c r="K1031" s="218"/>
      <c r="L1031" s="218"/>
      <c r="M1031" s="218"/>
      <c r="N1031" s="218"/>
      <c r="P1031" s="222"/>
      <c r="Q1031" s="222"/>
      <c r="R1031" s="218"/>
      <c r="S1031" s="218"/>
    </row>
    <row r="1032">
      <c r="A1032" s="218"/>
      <c r="B1032" s="218"/>
      <c r="C1032" s="457"/>
      <c r="E1032" s="218"/>
      <c r="F1032" s="218"/>
      <c r="G1032" s="218"/>
      <c r="H1032" s="218"/>
      <c r="I1032" s="218"/>
      <c r="J1032" s="218"/>
      <c r="K1032" s="218"/>
      <c r="L1032" s="218"/>
      <c r="M1032" s="218"/>
      <c r="N1032" s="218"/>
      <c r="P1032" s="222"/>
      <c r="Q1032" s="222"/>
      <c r="R1032" s="218"/>
      <c r="S1032" s="218"/>
    </row>
    <row r="1033">
      <c r="A1033" s="218"/>
      <c r="B1033" s="218"/>
      <c r="C1033" s="457"/>
      <c r="E1033" s="218"/>
      <c r="F1033" s="218"/>
      <c r="G1033" s="218"/>
      <c r="H1033" s="218"/>
      <c r="I1033" s="218"/>
      <c r="J1033" s="218"/>
      <c r="K1033" s="218"/>
      <c r="L1033" s="218"/>
      <c r="M1033" s="218"/>
      <c r="N1033" s="218"/>
      <c r="O1033" s="218"/>
      <c r="P1033" s="222"/>
      <c r="Q1033" s="222"/>
      <c r="R1033" s="218"/>
      <c r="S1033" s="218"/>
    </row>
    <row r="1034">
      <c r="A1034" s="218"/>
      <c r="B1034" s="218"/>
      <c r="C1034" s="457"/>
      <c r="E1034" s="218"/>
      <c r="F1034" s="218"/>
      <c r="G1034" s="218"/>
      <c r="H1034" s="218"/>
      <c r="I1034" s="218"/>
      <c r="J1034" s="218"/>
      <c r="K1034" s="218"/>
      <c r="L1034" s="218"/>
      <c r="M1034" s="218"/>
      <c r="N1034" s="218"/>
      <c r="O1034" s="218"/>
      <c r="P1034" s="222"/>
      <c r="Q1034" s="222"/>
      <c r="R1034" s="218"/>
      <c r="S1034" s="218"/>
    </row>
    <row r="1035">
      <c r="A1035" s="218"/>
      <c r="B1035" s="218"/>
      <c r="C1035" s="457"/>
      <c r="E1035" s="218"/>
      <c r="F1035" s="218"/>
      <c r="G1035" s="218"/>
      <c r="H1035" s="218"/>
      <c r="I1035" s="218"/>
      <c r="J1035" s="218"/>
      <c r="K1035" s="218"/>
      <c r="L1035" s="218"/>
      <c r="M1035" s="218"/>
      <c r="N1035" s="218"/>
      <c r="O1035" s="218"/>
      <c r="P1035" s="222"/>
      <c r="Q1035" s="222"/>
      <c r="R1035" s="218"/>
      <c r="S1035" s="218"/>
    </row>
    <row r="1036">
      <c r="A1036" s="218"/>
      <c r="B1036" s="218"/>
      <c r="C1036" s="457"/>
      <c r="E1036" s="218"/>
      <c r="F1036" s="218"/>
      <c r="G1036" s="218"/>
      <c r="H1036" s="218"/>
      <c r="I1036" s="218"/>
      <c r="J1036" s="218"/>
      <c r="K1036" s="218"/>
      <c r="L1036" s="218"/>
      <c r="M1036" s="218"/>
      <c r="N1036" s="218"/>
      <c r="O1036" s="218"/>
      <c r="P1036" s="222"/>
      <c r="Q1036" s="222"/>
      <c r="R1036" s="218"/>
      <c r="S1036" s="218"/>
    </row>
    <row r="1037">
      <c r="A1037" s="218"/>
      <c r="B1037" s="218"/>
      <c r="C1037" s="457"/>
      <c r="E1037" s="218"/>
      <c r="F1037" s="218"/>
      <c r="G1037" s="218"/>
      <c r="H1037" s="218"/>
      <c r="I1037" s="218"/>
      <c r="J1037" s="218"/>
      <c r="K1037" s="218"/>
      <c r="L1037" s="218"/>
      <c r="M1037" s="218"/>
      <c r="N1037" s="218"/>
      <c r="O1037" s="218"/>
      <c r="P1037" s="222"/>
      <c r="Q1037" s="222"/>
      <c r="R1037" s="218"/>
      <c r="S1037" s="218"/>
    </row>
    <row r="1038">
      <c r="A1038" s="218"/>
      <c r="B1038" s="218"/>
      <c r="C1038" s="457"/>
      <c r="E1038" s="218"/>
      <c r="F1038" s="218"/>
      <c r="G1038" s="218"/>
      <c r="H1038" s="218"/>
      <c r="I1038" s="218"/>
      <c r="J1038" s="218"/>
      <c r="K1038" s="218"/>
      <c r="L1038" s="218"/>
      <c r="M1038" s="218"/>
      <c r="N1038" s="218"/>
      <c r="O1038" s="218"/>
      <c r="P1038" s="222"/>
      <c r="Q1038" s="222"/>
      <c r="R1038" s="218"/>
      <c r="S1038" s="218"/>
    </row>
    <row r="1039">
      <c r="A1039" s="218"/>
      <c r="B1039" s="218"/>
      <c r="C1039" s="457"/>
      <c r="E1039" s="218"/>
      <c r="F1039" s="218"/>
      <c r="G1039" s="218"/>
      <c r="H1039" s="218"/>
      <c r="I1039" s="218"/>
      <c r="J1039" s="218"/>
      <c r="K1039" s="218"/>
      <c r="L1039" s="218"/>
      <c r="M1039" s="218"/>
      <c r="N1039" s="218"/>
      <c r="O1039" s="218"/>
      <c r="P1039" s="218"/>
      <c r="Q1039" s="218"/>
      <c r="R1039" s="218"/>
      <c r="S1039" s="218"/>
    </row>
    <row r="1040">
      <c r="A1040" s="218"/>
      <c r="B1040" s="218"/>
      <c r="C1040" s="457"/>
      <c r="E1040" s="218"/>
      <c r="F1040" s="218"/>
      <c r="G1040" s="218"/>
      <c r="H1040" s="218"/>
      <c r="I1040" s="218"/>
      <c r="J1040" s="218"/>
      <c r="K1040" s="218"/>
      <c r="L1040" s="218"/>
      <c r="M1040" s="218"/>
      <c r="N1040" s="218"/>
      <c r="O1040" s="218"/>
      <c r="P1040" s="222"/>
      <c r="Q1040" s="222"/>
      <c r="R1040" s="218"/>
      <c r="S1040" s="218"/>
    </row>
    <row r="1041">
      <c r="A1041" s="218"/>
      <c r="B1041" s="218"/>
      <c r="C1041" s="457"/>
      <c r="E1041" s="218"/>
      <c r="F1041" s="218"/>
      <c r="G1041" s="218"/>
      <c r="H1041" s="218"/>
      <c r="I1041" s="218"/>
      <c r="J1041" s="218"/>
      <c r="K1041" s="218"/>
      <c r="L1041" s="218"/>
      <c r="M1041" s="218"/>
      <c r="N1041" s="218"/>
      <c r="O1041" s="218"/>
      <c r="P1041" s="222"/>
      <c r="Q1041" s="222"/>
      <c r="R1041" s="218"/>
      <c r="S1041" s="218"/>
    </row>
    <row r="1042">
      <c r="A1042" s="218"/>
      <c r="B1042" s="218"/>
      <c r="C1042" s="457"/>
      <c r="D1042" s="218"/>
      <c r="E1042" s="218"/>
      <c r="G1042" s="218"/>
      <c r="H1042" s="218"/>
      <c r="I1042" s="218"/>
      <c r="J1042" s="218"/>
      <c r="K1042" s="218"/>
      <c r="L1042" s="218"/>
      <c r="M1042" s="218"/>
      <c r="N1042" s="218"/>
      <c r="O1042" s="218"/>
      <c r="P1042" s="222"/>
      <c r="Q1042" s="222"/>
      <c r="R1042" s="222"/>
      <c r="S1042" s="218"/>
    </row>
    <row r="1043">
      <c r="A1043" s="218"/>
      <c r="B1043" s="218"/>
      <c r="C1043" s="457"/>
      <c r="D1043" s="218"/>
      <c r="E1043" s="218"/>
      <c r="G1043" s="218"/>
      <c r="H1043" s="218"/>
      <c r="I1043" s="218"/>
      <c r="J1043" s="218"/>
      <c r="K1043" s="218"/>
      <c r="L1043" s="218"/>
      <c r="M1043" s="218"/>
      <c r="N1043" s="218"/>
      <c r="O1043" s="218"/>
      <c r="P1043" s="222"/>
      <c r="Q1043" s="222"/>
      <c r="R1043" s="222"/>
      <c r="S1043" s="218"/>
    </row>
    <row r="1044">
      <c r="A1044" s="218"/>
      <c r="B1044" s="218"/>
      <c r="C1044" s="457"/>
      <c r="D1044" s="218"/>
      <c r="E1044" s="218"/>
      <c r="G1044" s="218"/>
      <c r="H1044" s="218"/>
      <c r="I1044" s="218"/>
      <c r="J1044" s="218"/>
      <c r="K1044" s="218"/>
      <c r="L1044" s="218"/>
      <c r="M1044" s="218"/>
      <c r="N1044" s="218"/>
      <c r="O1044" s="218"/>
      <c r="P1044" s="222"/>
      <c r="Q1044" s="222"/>
      <c r="R1044" s="222"/>
      <c r="S1044" s="218"/>
    </row>
    <row r="1045">
      <c r="A1045" s="218"/>
      <c r="B1045" s="218"/>
      <c r="C1045" s="457"/>
      <c r="D1045" s="218"/>
      <c r="E1045" s="218"/>
      <c r="G1045" s="218"/>
      <c r="H1045" s="218"/>
      <c r="I1045" s="218"/>
      <c r="J1045" s="218"/>
      <c r="K1045" s="218"/>
      <c r="L1045" s="218"/>
      <c r="M1045" s="218"/>
      <c r="N1045" s="218"/>
      <c r="O1045" s="218"/>
      <c r="P1045" s="222"/>
      <c r="Q1045" s="222"/>
      <c r="R1045" s="222"/>
      <c r="S1045" s="218"/>
    </row>
    <row r="1046">
      <c r="A1046" s="218"/>
      <c r="B1046" s="218"/>
      <c r="C1046" s="457"/>
      <c r="D1046" s="218"/>
      <c r="E1046" s="218"/>
      <c r="G1046" s="218"/>
      <c r="H1046" s="218"/>
      <c r="I1046" s="218"/>
      <c r="J1046" s="218"/>
      <c r="K1046" s="218"/>
      <c r="L1046" s="218"/>
      <c r="M1046" s="218"/>
      <c r="N1046" s="218"/>
      <c r="O1046" s="218"/>
      <c r="P1046" s="218"/>
      <c r="Q1046" s="218"/>
      <c r="R1046" s="218"/>
      <c r="S1046" s="218"/>
    </row>
    <row r="1047">
      <c r="A1047" s="218"/>
      <c r="B1047" s="218"/>
      <c r="C1047" s="457"/>
      <c r="D1047" s="218"/>
      <c r="E1047" s="218"/>
      <c r="G1047" s="218"/>
      <c r="H1047" s="218"/>
      <c r="I1047" s="218"/>
      <c r="J1047" s="218"/>
      <c r="K1047" s="218"/>
      <c r="L1047" s="218"/>
      <c r="M1047" s="218"/>
      <c r="N1047" s="218"/>
      <c r="O1047" s="218"/>
      <c r="P1047" s="222"/>
      <c r="Q1047" s="222"/>
      <c r="R1047" s="222"/>
      <c r="S1047" s="218"/>
    </row>
    <row r="1048">
      <c r="A1048" s="218"/>
      <c r="B1048" s="218"/>
      <c r="C1048" s="457"/>
      <c r="E1048" s="218"/>
      <c r="F1048" s="218"/>
      <c r="G1048" s="218"/>
      <c r="H1048" s="218"/>
      <c r="I1048" s="218"/>
      <c r="J1048" s="218"/>
      <c r="K1048" s="218"/>
      <c r="L1048" s="218"/>
      <c r="M1048" s="218"/>
      <c r="N1048" s="218"/>
      <c r="P1048" s="222"/>
      <c r="Q1048" s="222"/>
      <c r="R1048" s="218"/>
      <c r="S1048" s="218"/>
    </row>
    <row r="1049">
      <c r="A1049" s="218"/>
      <c r="B1049" s="218"/>
      <c r="C1049" s="457"/>
      <c r="D1049" s="218"/>
      <c r="E1049" s="218"/>
      <c r="G1049" s="218"/>
      <c r="H1049" s="218"/>
      <c r="I1049" s="218"/>
      <c r="J1049" s="218"/>
      <c r="K1049" s="218"/>
      <c r="L1049" s="218"/>
      <c r="M1049" s="218"/>
      <c r="N1049" s="218"/>
      <c r="O1049" s="218"/>
      <c r="P1049" s="222"/>
      <c r="Q1049" s="222"/>
      <c r="R1049" s="222"/>
      <c r="S1049" s="218"/>
    </row>
    <row r="1050">
      <c r="A1050" s="218"/>
      <c r="B1050" s="218"/>
      <c r="C1050" s="457"/>
      <c r="E1050" s="218"/>
      <c r="F1050" s="218"/>
      <c r="G1050" s="218"/>
      <c r="H1050" s="218"/>
      <c r="I1050" s="218"/>
      <c r="J1050" s="218"/>
      <c r="K1050" s="218"/>
      <c r="L1050" s="218"/>
      <c r="M1050" s="218"/>
      <c r="N1050" s="218"/>
      <c r="O1050" s="218"/>
      <c r="P1050" s="218"/>
      <c r="Q1050" s="218"/>
      <c r="R1050" s="218"/>
      <c r="S1050" s="218"/>
    </row>
    <row r="1051">
      <c r="A1051" s="218"/>
      <c r="B1051" s="218"/>
      <c r="C1051" s="457"/>
      <c r="E1051" s="218"/>
      <c r="F1051" s="218"/>
      <c r="G1051" s="218"/>
      <c r="H1051" s="218"/>
      <c r="I1051" s="218"/>
      <c r="J1051" s="218"/>
      <c r="K1051" s="218"/>
      <c r="L1051" s="218"/>
      <c r="M1051" s="218"/>
      <c r="N1051" s="218"/>
      <c r="O1051" s="218"/>
      <c r="P1051" s="222"/>
      <c r="Q1051" s="222"/>
      <c r="R1051" s="218"/>
      <c r="S1051" s="218"/>
    </row>
    <row r="1052">
      <c r="A1052" s="218"/>
      <c r="B1052" s="218"/>
      <c r="C1052" s="457"/>
      <c r="E1052" s="218"/>
      <c r="F1052" s="218"/>
      <c r="G1052" s="218"/>
      <c r="H1052" s="218"/>
      <c r="I1052" s="218"/>
      <c r="J1052" s="218"/>
      <c r="K1052" s="218"/>
      <c r="L1052" s="218"/>
      <c r="M1052" s="218"/>
      <c r="N1052" s="218"/>
      <c r="O1052" s="218"/>
      <c r="P1052" s="222"/>
      <c r="Q1052" s="222"/>
      <c r="R1052" s="218"/>
      <c r="S1052" s="218"/>
    </row>
    <row r="1053">
      <c r="A1053" s="218"/>
      <c r="B1053" s="218"/>
      <c r="C1053" s="457"/>
      <c r="E1053" s="218"/>
      <c r="F1053" s="218"/>
      <c r="G1053" s="218"/>
      <c r="H1053" s="218"/>
      <c r="I1053" s="218"/>
      <c r="J1053" s="218"/>
      <c r="K1053" s="218"/>
      <c r="L1053" s="218"/>
      <c r="M1053" s="218"/>
      <c r="N1053" s="218"/>
      <c r="P1053" s="222"/>
      <c r="Q1053" s="222"/>
      <c r="R1053" s="218"/>
      <c r="S1053" s="218"/>
    </row>
    <row r="1054">
      <c r="A1054" s="218"/>
      <c r="B1054" s="218"/>
      <c r="C1054" s="457"/>
      <c r="E1054" s="218"/>
      <c r="F1054" s="218"/>
      <c r="G1054" s="218"/>
      <c r="H1054" s="218"/>
      <c r="I1054" s="218"/>
      <c r="J1054" s="218"/>
      <c r="K1054" s="218"/>
      <c r="L1054" s="218"/>
      <c r="M1054" s="218"/>
      <c r="N1054" s="218"/>
      <c r="O1054" s="218"/>
      <c r="P1054" s="222"/>
      <c r="Q1054" s="222"/>
      <c r="R1054" s="218"/>
      <c r="S1054" s="218"/>
    </row>
    <row r="1055">
      <c r="A1055" s="218"/>
      <c r="B1055" s="218"/>
      <c r="C1055" s="457"/>
      <c r="E1055" s="218"/>
      <c r="F1055" s="218"/>
      <c r="G1055" s="218"/>
      <c r="H1055" s="218"/>
      <c r="I1055" s="218"/>
      <c r="N1055" s="218"/>
      <c r="P1055" s="222"/>
      <c r="Q1055" s="222"/>
      <c r="R1055" s="218"/>
      <c r="S1055" s="218"/>
    </row>
  </sheetData>
  <autoFilter ref="$A$1:$Z$1057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18" t="s">
        <v>41</v>
      </c>
      <c r="B1" s="218" t="s">
        <v>12385</v>
      </c>
      <c r="C1" s="218" t="s">
        <v>9316</v>
      </c>
      <c r="D1" s="218" t="s">
        <v>9321</v>
      </c>
      <c r="E1" s="218" t="s">
        <v>577</v>
      </c>
      <c r="F1" s="218" t="s">
        <v>12386</v>
      </c>
      <c r="G1" s="218" t="s">
        <v>12387</v>
      </c>
      <c r="H1" s="218" t="s">
        <v>2</v>
      </c>
      <c r="I1" s="218" t="s">
        <v>9330</v>
      </c>
      <c r="J1" s="218" t="s">
        <v>12388</v>
      </c>
      <c r="K1" s="218" t="s">
        <v>12389</v>
      </c>
      <c r="L1" s="218" t="s">
        <v>9317</v>
      </c>
      <c r="M1" s="218" t="s">
        <v>9318</v>
      </c>
      <c r="N1" s="218" t="s">
        <v>12390</v>
      </c>
      <c r="O1" s="218" t="s">
        <v>12391</v>
      </c>
      <c r="P1" s="218" t="s">
        <v>12392</v>
      </c>
    </row>
    <row r="2">
      <c r="A2" s="218" t="s">
        <v>11641</v>
      </c>
      <c r="C2" s="456">
        <v>44568.0</v>
      </c>
      <c r="D2" s="218">
        <v>168098.0</v>
      </c>
      <c r="E2" s="218">
        <v>1.0E8</v>
      </c>
      <c r="F2" s="218" t="s">
        <v>12393</v>
      </c>
      <c r="G2" s="218" t="s">
        <v>11644</v>
      </c>
      <c r="H2" s="218" t="s">
        <v>11643</v>
      </c>
      <c r="I2" s="218" t="s">
        <v>11642</v>
      </c>
      <c r="J2" s="218">
        <v>80013.0</v>
      </c>
      <c r="K2" s="218" t="s">
        <v>11641</v>
      </c>
      <c r="L2" s="218" t="s">
        <v>12394</v>
      </c>
      <c r="M2" s="218" t="s">
        <v>12395</v>
      </c>
      <c r="N2" s="218" t="s">
        <v>12396</v>
      </c>
      <c r="O2" s="218" t="s">
        <v>118</v>
      </c>
      <c r="P2" s="218">
        <v>1.51132022000176E14</v>
      </c>
    </row>
    <row r="3">
      <c r="A3" s="218" t="s">
        <v>11645</v>
      </c>
      <c r="C3" s="456">
        <v>44568.0</v>
      </c>
      <c r="D3" s="218">
        <v>168098.0</v>
      </c>
      <c r="E3" s="218">
        <v>1.0E8</v>
      </c>
      <c r="F3" s="218" t="s">
        <v>12397</v>
      </c>
      <c r="G3" s="218" t="s">
        <v>11644</v>
      </c>
      <c r="H3" s="218" t="s">
        <v>11646</v>
      </c>
      <c r="I3" s="218" t="s">
        <v>11642</v>
      </c>
      <c r="J3" s="218">
        <v>80013.0</v>
      </c>
      <c r="K3" s="218" t="s">
        <v>11645</v>
      </c>
      <c r="L3" s="218" t="s">
        <v>12394</v>
      </c>
      <c r="M3" s="218" t="s">
        <v>12395</v>
      </c>
      <c r="N3" s="218" t="s">
        <v>12398</v>
      </c>
      <c r="O3" s="218" t="s">
        <v>110</v>
      </c>
      <c r="P3" s="218">
        <v>1.51132022000175E14</v>
      </c>
    </row>
    <row r="4">
      <c r="A4" s="218" t="s">
        <v>11647</v>
      </c>
      <c r="C4" s="456">
        <v>44568.0</v>
      </c>
      <c r="D4" s="218">
        <v>168098.0</v>
      </c>
      <c r="E4" s="218">
        <v>1.0E8</v>
      </c>
      <c r="F4" s="218" t="s">
        <v>12399</v>
      </c>
      <c r="G4" s="218" t="s">
        <v>11644</v>
      </c>
      <c r="H4" s="218" t="s">
        <v>11648</v>
      </c>
      <c r="I4" s="218" t="s">
        <v>11642</v>
      </c>
      <c r="J4" s="218">
        <v>80013.0</v>
      </c>
      <c r="K4" s="218" t="s">
        <v>11647</v>
      </c>
      <c r="L4" s="218" t="s">
        <v>12394</v>
      </c>
      <c r="M4" s="218" t="s">
        <v>12395</v>
      </c>
      <c r="N4" s="218" t="s">
        <v>12400</v>
      </c>
      <c r="O4" s="218" t="s">
        <v>110</v>
      </c>
      <c r="P4" s="218">
        <v>1.51132022000174E14</v>
      </c>
    </row>
    <row r="5">
      <c r="A5" s="218" t="s">
        <v>11649</v>
      </c>
      <c r="C5" s="456">
        <v>44568.0</v>
      </c>
      <c r="D5" s="218">
        <v>168098.0</v>
      </c>
      <c r="E5" s="218">
        <v>1.0E8</v>
      </c>
      <c r="F5" s="218" t="s">
        <v>12401</v>
      </c>
      <c r="G5" s="218" t="s">
        <v>11644</v>
      </c>
      <c r="H5" s="218" t="s">
        <v>11651</v>
      </c>
      <c r="I5" s="218" t="s">
        <v>11650</v>
      </c>
      <c r="J5" s="218">
        <v>510001.0</v>
      </c>
      <c r="K5" s="218" t="s">
        <v>11649</v>
      </c>
      <c r="L5" s="218" t="s">
        <v>12394</v>
      </c>
      <c r="M5" s="218" t="s">
        <v>12395</v>
      </c>
      <c r="N5" s="218" t="s">
        <v>12402</v>
      </c>
      <c r="O5" s="218" t="s">
        <v>110</v>
      </c>
      <c r="P5" s="218">
        <v>1.51132022000173E14</v>
      </c>
    </row>
    <row r="6">
      <c r="A6" s="218" t="s">
        <v>11652</v>
      </c>
      <c r="C6" s="456">
        <v>44568.0</v>
      </c>
      <c r="D6" s="218">
        <v>168095.0</v>
      </c>
      <c r="E6" s="218">
        <v>1.0E8</v>
      </c>
      <c r="F6" s="218" t="s">
        <v>12401</v>
      </c>
      <c r="G6" s="218" t="s">
        <v>11644</v>
      </c>
      <c r="H6" s="218" t="s">
        <v>11651</v>
      </c>
      <c r="I6" s="218" t="s">
        <v>11653</v>
      </c>
      <c r="J6" s="218">
        <v>170502.0</v>
      </c>
      <c r="K6" s="218" t="s">
        <v>11652</v>
      </c>
      <c r="L6" s="218" t="s">
        <v>12394</v>
      </c>
      <c r="M6" s="218" t="s">
        <v>12395</v>
      </c>
      <c r="N6" s="218" t="s">
        <v>12403</v>
      </c>
      <c r="O6" s="218" t="s">
        <v>118</v>
      </c>
      <c r="P6" s="218">
        <v>1.51132022000181E14</v>
      </c>
    </row>
    <row r="7">
      <c r="A7" s="218" t="s">
        <v>11654</v>
      </c>
      <c r="C7" s="456">
        <v>44568.0</v>
      </c>
      <c r="D7" s="218">
        <v>168098.0</v>
      </c>
      <c r="E7" s="218">
        <v>1.0E8</v>
      </c>
      <c r="F7" s="218" t="s">
        <v>12404</v>
      </c>
      <c r="G7" s="218" t="s">
        <v>11644</v>
      </c>
      <c r="H7" s="218" t="s">
        <v>11656</v>
      </c>
      <c r="I7" s="218" t="s">
        <v>11655</v>
      </c>
      <c r="J7" s="218" t="s">
        <v>12405</v>
      </c>
      <c r="K7" s="218" t="s">
        <v>11654</v>
      </c>
      <c r="L7" s="218" t="s">
        <v>12394</v>
      </c>
      <c r="M7" s="218" t="s">
        <v>12395</v>
      </c>
      <c r="N7" s="218" t="s">
        <v>12406</v>
      </c>
      <c r="O7" s="218" t="s">
        <v>110</v>
      </c>
      <c r="P7" s="218">
        <v>1.51132022000177E14</v>
      </c>
    </row>
    <row r="8">
      <c r="A8" s="218" t="s">
        <v>11657</v>
      </c>
      <c r="C8" s="456">
        <v>44568.0</v>
      </c>
      <c r="D8" s="218">
        <v>168099.0</v>
      </c>
      <c r="E8" s="218">
        <v>1.56E8</v>
      </c>
      <c r="F8" s="218" t="s">
        <v>12407</v>
      </c>
      <c r="G8" s="218" t="s">
        <v>11644</v>
      </c>
      <c r="H8" s="218" t="s">
        <v>11658</v>
      </c>
      <c r="I8" s="218" t="s">
        <v>11642</v>
      </c>
      <c r="J8" s="218">
        <v>80013.0</v>
      </c>
      <c r="K8" s="218" t="s">
        <v>11657</v>
      </c>
      <c r="L8" s="218" t="s">
        <v>12394</v>
      </c>
      <c r="M8" s="218" t="s">
        <v>12395</v>
      </c>
      <c r="N8" s="218" t="s">
        <v>12408</v>
      </c>
      <c r="O8" s="218" t="s">
        <v>118</v>
      </c>
      <c r="P8" s="218">
        <v>1.51132022000178E14</v>
      </c>
    </row>
    <row r="9">
      <c r="A9" s="218" t="s">
        <v>11659</v>
      </c>
      <c r="C9" s="456">
        <v>44568.0</v>
      </c>
      <c r="D9" s="218">
        <v>168099.0</v>
      </c>
      <c r="E9" s="218">
        <v>1.56E8</v>
      </c>
      <c r="F9" s="218" t="s">
        <v>12409</v>
      </c>
      <c r="G9" s="218" t="s">
        <v>11644</v>
      </c>
      <c r="H9" s="218" t="s">
        <v>11660</v>
      </c>
      <c r="I9" s="218" t="s">
        <v>11642</v>
      </c>
      <c r="J9" s="218">
        <v>80013.0</v>
      </c>
      <c r="K9" s="218" t="s">
        <v>11659</v>
      </c>
      <c r="L9" s="218" t="s">
        <v>12394</v>
      </c>
      <c r="M9" s="218" t="s">
        <v>12395</v>
      </c>
      <c r="N9" s="218" t="s">
        <v>12410</v>
      </c>
      <c r="O9" s="218" t="s">
        <v>110</v>
      </c>
      <c r="P9" s="218">
        <v>1.5113202200018E14</v>
      </c>
    </row>
    <row r="10">
      <c r="A10" s="218" t="s">
        <v>11661</v>
      </c>
      <c r="C10" s="456">
        <v>44568.0</v>
      </c>
      <c r="D10" s="218">
        <v>168099.0</v>
      </c>
      <c r="E10" s="218">
        <v>1.56E8</v>
      </c>
      <c r="F10" s="218" t="s">
        <v>12399</v>
      </c>
      <c r="G10" s="218" t="s">
        <v>11644</v>
      </c>
      <c r="H10" s="218" t="s">
        <v>11648</v>
      </c>
      <c r="I10" s="218" t="s">
        <v>11642</v>
      </c>
      <c r="J10" s="218">
        <v>80013.0</v>
      </c>
      <c r="K10" s="218" t="s">
        <v>11661</v>
      </c>
      <c r="L10" s="218" t="s">
        <v>12394</v>
      </c>
      <c r="M10" s="218" t="s">
        <v>12395</v>
      </c>
      <c r="N10" s="218" t="s">
        <v>12411</v>
      </c>
      <c r="O10" s="218" t="s">
        <v>118</v>
      </c>
      <c r="P10" s="218">
        <v>1.51132022000179E14</v>
      </c>
    </row>
    <row r="11">
      <c r="A11" s="218" t="s">
        <v>11662</v>
      </c>
      <c r="C11" s="456">
        <v>44568.0</v>
      </c>
      <c r="D11" s="218">
        <v>168099.0</v>
      </c>
      <c r="E11" s="218">
        <v>1.69E8</v>
      </c>
      <c r="F11" s="218" t="s">
        <v>12407</v>
      </c>
      <c r="G11" s="218" t="s">
        <v>11644</v>
      </c>
      <c r="H11" s="218" t="s">
        <v>11658</v>
      </c>
      <c r="I11" s="218" t="s">
        <v>11642</v>
      </c>
      <c r="J11" s="218">
        <v>80013.0</v>
      </c>
      <c r="K11" s="218" t="s">
        <v>11662</v>
      </c>
      <c r="L11" s="218" t="s">
        <v>12394</v>
      </c>
      <c r="M11" s="218" t="s">
        <v>12395</v>
      </c>
      <c r="N11" s="218" t="s">
        <v>12412</v>
      </c>
      <c r="O11" s="218" t="s">
        <v>118</v>
      </c>
      <c r="P11" s="218">
        <v>1.51132022000178E14</v>
      </c>
    </row>
    <row r="12">
      <c r="A12" s="218" t="s">
        <v>11663</v>
      </c>
      <c r="C12" s="456">
        <v>44568.0</v>
      </c>
      <c r="D12" s="218">
        <v>168099.0</v>
      </c>
      <c r="E12" s="218">
        <v>1.69E8</v>
      </c>
      <c r="F12" s="218" t="s">
        <v>12409</v>
      </c>
      <c r="G12" s="218" t="s">
        <v>11644</v>
      </c>
      <c r="H12" s="218" t="s">
        <v>11660</v>
      </c>
      <c r="I12" s="218" t="s">
        <v>11642</v>
      </c>
      <c r="J12" s="218">
        <v>80013.0</v>
      </c>
      <c r="K12" s="218" t="s">
        <v>11663</v>
      </c>
      <c r="L12" s="218" t="s">
        <v>12394</v>
      </c>
      <c r="M12" s="218" t="s">
        <v>12395</v>
      </c>
      <c r="N12" s="218" t="s">
        <v>12413</v>
      </c>
      <c r="O12" s="218" t="s">
        <v>118</v>
      </c>
      <c r="P12" s="218">
        <v>1.5113202200018E14</v>
      </c>
    </row>
    <row r="13">
      <c r="A13" s="218" t="s">
        <v>11664</v>
      </c>
      <c r="C13" s="456">
        <v>44568.0</v>
      </c>
      <c r="D13" s="218">
        <v>168099.0</v>
      </c>
      <c r="E13" s="218">
        <v>1.69E8</v>
      </c>
      <c r="F13" s="218" t="s">
        <v>12399</v>
      </c>
      <c r="G13" s="218" t="s">
        <v>11644</v>
      </c>
      <c r="H13" s="218" t="s">
        <v>11648</v>
      </c>
      <c r="I13" s="218" t="s">
        <v>11642</v>
      </c>
      <c r="J13" s="218">
        <v>80013.0</v>
      </c>
      <c r="K13" s="218" t="s">
        <v>11664</v>
      </c>
      <c r="L13" s="218" t="s">
        <v>12394</v>
      </c>
      <c r="M13" s="218" t="s">
        <v>12395</v>
      </c>
      <c r="N13" s="218" t="s">
        <v>12414</v>
      </c>
      <c r="O13" s="218" t="s">
        <v>118</v>
      </c>
      <c r="P13" s="218">
        <v>1.51132022000179E14</v>
      </c>
    </row>
    <row r="14">
      <c r="A14" s="218" t="s">
        <v>11665</v>
      </c>
      <c r="C14" s="456">
        <v>44571.0</v>
      </c>
      <c r="D14" s="218">
        <v>192126.0</v>
      </c>
      <c r="E14" s="218">
        <v>1.0E8</v>
      </c>
      <c r="F14" s="218" t="s">
        <v>12415</v>
      </c>
      <c r="G14" s="218" t="s">
        <v>11644</v>
      </c>
      <c r="H14" s="218" t="s">
        <v>11666</v>
      </c>
      <c r="I14" s="218" t="s">
        <v>11642</v>
      </c>
      <c r="J14" s="218">
        <v>80013.0</v>
      </c>
      <c r="K14" s="218" t="s">
        <v>11665</v>
      </c>
      <c r="L14" s="218" t="s">
        <v>12394</v>
      </c>
      <c r="M14" s="218" t="s">
        <v>12395</v>
      </c>
      <c r="N14" s="218" t="s">
        <v>12416</v>
      </c>
      <c r="O14" s="218" t="s">
        <v>110</v>
      </c>
      <c r="P14" s="218">
        <v>1.51132022000184E14</v>
      </c>
    </row>
    <row r="15">
      <c r="A15" s="218" t="s">
        <v>11667</v>
      </c>
      <c r="C15" s="456">
        <v>44571.0</v>
      </c>
      <c r="D15" s="218">
        <v>192129.0</v>
      </c>
      <c r="E15" s="218">
        <v>1.0E8</v>
      </c>
      <c r="F15" s="218" t="s">
        <v>12417</v>
      </c>
      <c r="G15" s="218" t="s">
        <v>11644</v>
      </c>
      <c r="H15" s="218" t="s">
        <v>11668</v>
      </c>
      <c r="I15" s="218" t="s">
        <v>11642</v>
      </c>
      <c r="J15" s="218">
        <v>80013.0</v>
      </c>
      <c r="K15" s="218" t="s">
        <v>11667</v>
      </c>
      <c r="L15" s="218" t="s">
        <v>12394</v>
      </c>
      <c r="M15" s="218" t="s">
        <v>12395</v>
      </c>
      <c r="N15" s="218" t="s">
        <v>12418</v>
      </c>
      <c r="O15" s="218" t="s">
        <v>118</v>
      </c>
      <c r="P15" s="218">
        <v>1.51132022000183E14</v>
      </c>
    </row>
    <row r="16">
      <c r="A16" s="218" t="s">
        <v>11669</v>
      </c>
      <c r="C16" s="456">
        <v>44571.0</v>
      </c>
      <c r="D16" s="218">
        <v>192128.0</v>
      </c>
      <c r="E16" s="218">
        <v>1.0E8</v>
      </c>
      <c r="F16" s="218" t="s">
        <v>12419</v>
      </c>
      <c r="G16" s="218" t="s">
        <v>11644</v>
      </c>
      <c r="H16" s="218" t="s">
        <v>11670</v>
      </c>
      <c r="I16" s="218" t="s">
        <v>11642</v>
      </c>
      <c r="J16" s="218">
        <v>80013.0</v>
      </c>
      <c r="K16" s="218" t="s">
        <v>11669</v>
      </c>
      <c r="L16" s="218" t="s">
        <v>12394</v>
      </c>
      <c r="M16" s="218" t="s">
        <v>12395</v>
      </c>
      <c r="N16" s="218" t="s">
        <v>12420</v>
      </c>
      <c r="O16" s="218" t="s">
        <v>110</v>
      </c>
      <c r="P16" s="218">
        <v>1.51132022000182E14</v>
      </c>
    </row>
    <row r="17">
      <c r="A17" s="218" t="s">
        <v>11671</v>
      </c>
      <c r="C17" s="456">
        <v>44571.0</v>
      </c>
      <c r="D17" s="218">
        <v>192130.0</v>
      </c>
      <c r="E17" s="218">
        <v>1.0E8</v>
      </c>
      <c r="F17" s="218" t="s">
        <v>12415</v>
      </c>
      <c r="G17" s="218" t="s">
        <v>11644</v>
      </c>
      <c r="H17" s="218" t="s">
        <v>11672</v>
      </c>
      <c r="I17" s="218" t="s">
        <v>11642</v>
      </c>
      <c r="J17" s="218">
        <v>80013.0</v>
      </c>
      <c r="K17" s="218" t="s">
        <v>11671</v>
      </c>
      <c r="L17" s="218" t="s">
        <v>12394</v>
      </c>
      <c r="M17" s="218" t="s">
        <v>12395</v>
      </c>
      <c r="N17" s="218" t="s">
        <v>12421</v>
      </c>
      <c r="O17" s="218" t="s">
        <v>118</v>
      </c>
      <c r="P17" s="218">
        <v>1.51132022000185E14</v>
      </c>
    </row>
    <row r="18">
      <c r="A18" s="218" t="s">
        <v>11673</v>
      </c>
      <c r="C18" s="456">
        <v>44571.0</v>
      </c>
      <c r="D18" s="218">
        <v>168101.0</v>
      </c>
      <c r="E18" s="218">
        <v>1.51E8</v>
      </c>
      <c r="F18" s="218" t="s">
        <v>12422</v>
      </c>
      <c r="G18" s="218" t="s">
        <v>11644</v>
      </c>
      <c r="H18" s="218" t="s">
        <v>11674</v>
      </c>
      <c r="I18" s="218" t="s">
        <v>11642</v>
      </c>
      <c r="J18" s="218">
        <v>80013.0</v>
      </c>
      <c r="K18" s="218" t="s">
        <v>11673</v>
      </c>
      <c r="L18" s="218" t="s">
        <v>12394</v>
      </c>
      <c r="M18" s="218" t="s">
        <v>12395</v>
      </c>
      <c r="N18" s="218" t="s">
        <v>12423</v>
      </c>
      <c r="O18" s="218" t="s">
        <v>118</v>
      </c>
      <c r="P18" s="218">
        <v>1.51132022000168E14</v>
      </c>
    </row>
    <row r="19">
      <c r="A19" s="218" t="s">
        <v>11675</v>
      </c>
      <c r="C19" s="456">
        <v>44571.0</v>
      </c>
      <c r="D19" s="218">
        <v>168101.0</v>
      </c>
      <c r="E19" s="218">
        <v>1.51E8</v>
      </c>
      <c r="F19" s="218" t="s">
        <v>12424</v>
      </c>
      <c r="G19" s="218" t="s">
        <v>11644</v>
      </c>
      <c r="H19" s="218" t="s">
        <v>11677</v>
      </c>
      <c r="I19" s="218" t="s">
        <v>11676</v>
      </c>
      <c r="J19" s="218" t="s">
        <v>12425</v>
      </c>
      <c r="K19" s="218" t="s">
        <v>11675</v>
      </c>
      <c r="L19" s="218" t="s">
        <v>12394</v>
      </c>
      <c r="M19" s="218" t="s">
        <v>12395</v>
      </c>
      <c r="N19" s="218" t="s">
        <v>12426</v>
      </c>
      <c r="O19" s="218" t="s">
        <v>110</v>
      </c>
      <c r="P19" s="218">
        <v>1.5113202200017E14</v>
      </c>
    </row>
    <row r="20">
      <c r="A20" s="218" t="s">
        <v>11678</v>
      </c>
      <c r="C20" s="456">
        <v>44572.0</v>
      </c>
      <c r="D20" s="218">
        <v>168109.0</v>
      </c>
      <c r="E20" s="218">
        <v>1.0E8</v>
      </c>
      <c r="F20" s="218" t="s">
        <v>12427</v>
      </c>
      <c r="G20" s="218" t="s">
        <v>11644</v>
      </c>
      <c r="H20" s="218" t="s">
        <v>11679</v>
      </c>
      <c r="I20" s="218" t="s">
        <v>11642</v>
      </c>
      <c r="J20" s="218">
        <v>80013.0</v>
      </c>
      <c r="K20" s="218" t="s">
        <v>11678</v>
      </c>
      <c r="L20" s="218" t="s">
        <v>12394</v>
      </c>
      <c r="M20" s="218" t="s">
        <v>12395</v>
      </c>
      <c r="N20" s="218" t="s">
        <v>12428</v>
      </c>
      <c r="O20" s="218" t="s">
        <v>118</v>
      </c>
      <c r="P20" s="218">
        <v>1.51132022000115E14</v>
      </c>
    </row>
    <row r="21">
      <c r="A21" s="218" t="s">
        <v>11680</v>
      </c>
      <c r="C21" s="456">
        <v>44572.0</v>
      </c>
      <c r="D21" s="218">
        <v>168108.0</v>
      </c>
      <c r="E21" s="218">
        <v>1.0E8</v>
      </c>
      <c r="F21" s="218" t="s">
        <v>12427</v>
      </c>
      <c r="G21" s="218" t="s">
        <v>11644</v>
      </c>
      <c r="H21" s="218" t="s">
        <v>11681</v>
      </c>
      <c r="I21" s="218" t="s">
        <v>11642</v>
      </c>
      <c r="J21" s="218">
        <v>80013.0</v>
      </c>
      <c r="K21" s="218" t="s">
        <v>11680</v>
      </c>
      <c r="L21" s="218" t="s">
        <v>12394</v>
      </c>
      <c r="M21" s="218" t="s">
        <v>12395</v>
      </c>
      <c r="N21" s="218" t="s">
        <v>12428</v>
      </c>
      <c r="O21" s="218" t="s">
        <v>118</v>
      </c>
      <c r="P21" s="218">
        <v>1.51132022000128E14</v>
      </c>
    </row>
    <row r="22">
      <c r="A22" s="218" t="s">
        <v>11682</v>
      </c>
      <c r="C22" s="456">
        <v>44572.0</v>
      </c>
      <c r="D22" s="218">
        <v>168105.0</v>
      </c>
      <c r="E22" s="218">
        <v>1.0E8</v>
      </c>
      <c r="F22" s="218" t="s">
        <v>12429</v>
      </c>
      <c r="G22" s="218" t="s">
        <v>11644</v>
      </c>
      <c r="H22" s="218" t="s">
        <v>11683</v>
      </c>
      <c r="I22" s="218" t="s">
        <v>11642</v>
      </c>
      <c r="J22" s="218">
        <v>80013.0</v>
      </c>
      <c r="K22" s="218" t="s">
        <v>11682</v>
      </c>
      <c r="L22" s="218" t="s">
        <v>12394</v>
      </c>
      <c r="M22" s="218" t="s">
        <v>12395</v>
      </c>
      <c r="N22" s="218" t="s">
        <v>12430</v>
      </c>
      <c r="O22" s="218" t="s">
        <v>118</v>
      </c>
      <c r="P22" s="218">
        <v>1.51132022000202E14</v>
      </c>
    </row>
    <row r="23">
      <c r="A23" s="218" t="s">
        <v>11684</v>
      </c>
      <c r="C23" s="456">
        <v>44572.0</v>
      </c>
      <c r="D23" s="218">
        <v>168105.0</v>
      </c>
      <c r="E23" s="218">
        <v>1.0E8</v>
      </c>
      <c r="F23" s="218" t="s">
        <v>12422</v>
      </c>
      <c r="G23" s="218" t="s">
        <v>11644</v>
      </c>
      <c r="H23" s="218" t="s">
        <v>11685</v>
      </c>
      <c r="I23" s="218" t="s">
        <v>11642</v>
      </c>
      <c r="J23" s="218">
        <v>80013.0</v>
      </c>
      <c r="K23" s="218" t="s">
        <v>11684</v>
      </c>
      <c r="L23" s="218" t="s">
        <v>12394</v>
      </c>
      <c r="M23" s="218" t="s">
        <v>12395</v>
      </c>
      <c r="N23" s="218" t="s">
        <v>12431</v>
      </c>
      <c r="O23" s="218" t="s">
        <v>118</v>
      </c>
      <c r="P23" s="218">
        <v>1.51132022000199E14</v>
      </c>
    </row>
    <row r="24">
      <c r="A24" s="218" t="s">
        <v>11686</v>
      </c>
      <c r="C24" s="456">
        <v>44572.0</v>
      </c>
      <c r="D24" s="218">
        <v>168105.0</v>
      </c>
      <c r="E24" s="218">
        <v>1.0E8</v>
      </c>
      <c r="F24" s="218" t="s">
        <v>12427</v>
      </c>
      <c r="G24" s="218" t="s">
        <v>11644</v>
      </c>
      <c r="H24" s="218" t="s">
        <v>11687</v>
      </c>
      <c r="I24" s="218" t="s">
        <v>11642</v>
      </c>
      <c r="J24" s="218">
        <v>80013.0</v>
      </c>
      <c r="K24" s="218" t="s">
        <v>11686</v>
      </c>
      <c r="L24" s="218" t="s">
        <v>12394</v>
      </c>
      <c r="M24" s="218" t="s">
        <v>12395</v>
      </c>
      <c r="N24" s="218" t="s">
        <v>12432</v>
      </c>
      <c r="O24" s="218" t="s">
        <v>118</v>
      </c>
      <c r="P24" s="218">
        <v>1.51132022000203E14</v>
      </c>
    </row>
    <row r="25">
      <c r="A25" s="218" t="s">
        <v>11688</v>
      </c>
      <c r="C25" s="456">
        <v>44572.0</v>
      </c>
      <c r="D25" s="218">
        <v>168105.0</v>
      </c>
      <c r="E25" s="218">
        <v>1.0E8</v>
      </c>
      <c r="F25" s="218" t="s">
        <v>12419</v>
      </c>
      <c r="G25" s="218" t="s">
        <v>11644</v>
      </c>
      <c r="H25" s="218" t="s">
        <v>11689</v>
      </c>
      <c r="I25" s="218" t="s">
        <v>11642</v>
      </c>
      <c r="J25" s="218">
        <v>80013.0</v>
      </c>
      <c r="K25" s="218" t="s">
        <v>11688</v>
      </c>
      <c r="L25" s="218" t="s">
        <v>12394</v>
      </c>
      <c r="M25" s="218" t="s">
        <v>12395</v>
      </c>
      <c r="N25" s="218" t="s">
        <v>12433</v>
      </c>
      <c r="O25" s="218" t="s">
        <v>118</v>
      </c>
      <c r="P25" s="218">
        <v>1.51132022000194E14</v>
      </c>
    </row>
    <row r="26">
      <c r="A26" s="218" t="s">
        <v>11690</v>
      </c>
      <c r="C26" s="456">
        <v>44572.0</v>
      </c>
      <c r="D26" s="218">
        <v>168097.0</v>
      </c>
      <c r="E26" s="218">
        <v>1.0E8</v>
      </c>
      <c r="F26" s="218" t="s">
        <v>12427</v>
      </c>
      <c r="G26" s="218" t="s">
        <v>11644</v>
      </c>
      <c r="H26" s="218" t="s">
        <v>11691</v>
      </c>
      <c r="I26" s="218" t="s">
        <v>11642</v>
      </c>
      <c r="J26" s="218">
        <v>80013.0</v>
      </c>
      <c r="K26" s="218" t="s">
        <v>11690</v>
      </c>
      <c r="L26" s="218" t="s">
        <v>12394</v>
      </c>
      <c r="M26" s="218" t="s">
        <v>12395</v>
      </c>
      <c r="N26" s="218" t="s">
        <v>12434</v>
      </c>
      <c r="O26" s="218" t="s">
        <v>118</v>
      </c>
      <c r="P26" s="218">
        <v>1.51132022000204E14</v>
      </c>
    </row>
    <row r="27">
      <c r="A27" s="218" t="s">
        <v>11692</v>
      </c>
      <c r="C27" s="456">
        <v>44572.0</v>
      </c>
      <c r="D27" s="218">
        <v>168097.0</v>
      </c>
      <c r="E27" s="218">
        <v>1.0E8</v>
      </c>
      <c r="F27" s="218" t="s">
        <v>12435</v>
      </c>
      <c r="G27" s="218" t="s">
        <v>11644</v>
      </c>
      <c r="H27" s="218" t="s">
        <v>11693</v>
      </c>
      <c r="I27" s="218" t="s">
        <v>11650</v>
      </c>
      <c r="J27" s="218">
        <v>510001.0</v>
      </c>
      <c r="K27" s="218" t="s">
        <v>11692</v>
      </c>
      <c r="L27" s="218" t="s">
        <v>12394</v>
      </c>
      <c r="M27" s="218" t="s">
        <v>12395</v>
      </c>
      <c r="N27" s="218" t="s">
        <v>12436</v>
      </c>
      <c r="O27" s="218" t="s">
        <v>118</v>
      </c>
      <c r="P27" s="218">
        <v>1.51132022000205E14</v>
      </c>
    </row>
    <row r="28">
      <c r="A28" s="218" t="s">
        <v>11694</v>
      </c>
      <c r="C28" s="456">
        <v>44572.0</v>
      </c>
      <c r="D28" s="218">
        <v>168105.0</v>
      </c>
      <c r="E28" s="218">
        <v>1.0E8</v>
      </c>
      <c r="F28" s="218" t="s">
        <v>12437</v>
      </c>
      <c r="G28" s="218" t="s">
        <v>11644</v>
      </c>
      <c r="H28" s="218" t="s">
        <v>11695</v>
      </c>
      <c r="I28" s="218" t="s">
        <v>11642</v>
      </c>
      <c r="J28" s="218">
        <v>80013.0</v>
      </c>
      <c r="K28" s="218" t="s">
        <v>11694</v>
      </c>
      <c r="L28" s="218" t="s">
        <v>12394</v>
      </c>
      <c r="M28" s="218" t="s">
        <v>12395</v>
      </c>
      <c r="N28" s="218" t="s">
        <v>12438</v>
      </c>
      <c r="O28" s="218" t="s">
        <v>118</v>
      </c>
      <c r="P28" s="218">
        <v>1.51132022000196E14</v>
      </c>
    </row>
    <row r="29">
      <c r="A29" s="218" t="s">
        <v>11696</v>
      </c>
      <c r="C29" s="456">
        <v>44572.0</v>
      </c>
      <c r="D29" s="218">
        <v>168105.0</v>
      </c>
      <c r="E29" s="218">
        <v>1.0E8</v>
      </c>
      <c r="F29" s="218" t="s">
        <v>12427</v>
      </c>
      <c r="G29" s="218" t="s">
        <v>11644</v>
      </c>
      <c r="H29" s="218" t="s">
        <v>11695</v>
      </c>
      <c r="I29" s="218" t="s">
        <v>11642</v>
      </c>
      <c r="J29" s="218">
        <v>80013.0</v>
      </c>
      <c r="K29" s="218" t="s">
        <v>11696</v>
      </c>
      <c r="L29" s="218" t="s">
        <v>12394</v>
      </c>
      <c r="M29" s="218" t="s">
        <v>12395</v>
      </c>
      <c r="N29" s="218" t="s">
        <v>12439</v>
      </c>
      <c r="O29" s="218" t="s">
        <v>118</v>
      </c>
      <c r="P29" s="218">
        <v>1.51132022000195E14</v>
      </c>
    </row>
    <row r="30">
      <c r="A30" s="218" t="s">
        <v>11697</v>
      </c>
      <c r="C30" s="456">
        <v>44572.0</v>
      </c>
      <c r="D30" s="218">
        <v>168105.0</v>
      </c>
      <c r="E30" s="218">
        <v>1.0E8</v>
      </c>
      <c r="F30" s="218" t="s">
        <v>12424</v>
      </c>
      <c r="G30" s="218" t="s">
        <v>11644</v>
      </c>
      <c r="H30" s="218" t="s">
        <v>11695</v>
      </c>
      <c r="I30" s="218" t="s">
        <v>11642</v>
      </c>
      <c r="J30" s="218">
        <v>80013.0</v>
      </c>
      <c r="K30" s="218" t="s">
        <v>11697</v>
      </c>
      <c r="L30" s="218" t="s">
        <v>12394</v>
      </c>
      <c r="M30" s="218" t="s">
        <v>12395</v>
      </c>
      <c r="N30" s="218" t="s">
        <v>12440</v>
      </c>
      <c r="O30" s="218" t="s">
        <v>118</v>
      </c>
      <c r="P30" s="218">
        <v>1.511320220002E14</v>
      </c>
    </row>
    <row r="31">
      <c r="A31" s="218" t="s">
        <v>11698</v>
      </c>
      <c r="C31" s="456">
        <v>44572.0</v>
      </c>
      <c r="D31" s="218">
        <v>168105.0</v>
      </c>
      <c r="E31" s="218">
        <v>1.0E8</v>
      </c>
      <c r="F31" s="218" t="s">
        <v>12435</v>
      </c>
      <c r="G31" s="218" t="s">
        <v>11644</v>
      </c>
      <c r="H31" s="218" t="s">
        <v>11699</v>
      </c>
      <c r="I31" s="218" t="s">
        <v>11650</v>
      </c>
      <c r="J31" s="218">
        <v>510001.0</v>
      </c>
      <c r="K31" s="218" t="s">
        <v>11698</v>
      </c>
      <c r="L31" s="218" t="s">
        <v>12394</v>
      </c>
      <c r="M31" s="218" t="s">
        <v>12395</v>
      </c>
      <c r="N31" s="218" t="s">
        <v>12441</v>
      </c>
      <c r="O31" s="218" t="s">
        <v>110</v>
      </c>
      <c r="P31" s="218">
        <v>1.51132022000198E14</v>
      </c>
    </row>
    <row r="32">
      <c r="A32" s="218" t="s">
        <v>11700</v>
      </c>
      <c r="C32" s="456">
        <v>44572.0</v>
      </c>
      <c r="D32" s="218">
        <v>168109.0</v>
      </c>
      <c r="E32" s="218">
        <v>1.0E8</v>
      </c>
      <c r="F32" s="218" t="s">
        <v>12429</v>
      </c>
      <c r="G32" s="218" t="s">
        <v>11644</v>
      </c>
      <c r="H32" s="218" t="s">
        <v>11701</v>
      </c>
      <c r="I32" s="218" t="s">
        <v>11642</v>
      </c>
      <c r="J32" s="218">
        <v>80013.0</v>
      </c>
      <c r="K32" s="218" t="s">
        <v>11700</v>
      </c>
      <c r="L32" s="218" t="s">
        <v>12394</v>
      </c>
      <c r="M32" s="218" t="s">
        <v>12395</v>
      </c>
      <c r="N32" s="218" t="s">
        <v>12442</v>
      </c>
      <c r="O32" s="218" t="s">
        <v>118</v>
      </c>
      <c r="P32" s="218">
        <v>1.51132022000122E14</v>
      </c>
    </row>
    <row r="33">
      <c r="A33" s="218" t="s">
        <v>11702</v>
      </c>
      <c r="C33" s="456">
        <v>44572.0</v>
      </c>
      <c r="D33" s="218">
        <v>168109.0</v>
      </c>
      <c r="E33" s="218">
        <v>1.0E8</v>
      </c>
      <c r="F33" s="218" t="s">
        <v>12422</v>
      </c>
      <c r="G33" s="218" t="s">
        <v>11644</v>
      </c>
      <c r="H33" s="218" t="s">
        <v>11703</v>
      </c>
      <c r="I33" s="218" t="s">
        <v>11642</v>
      </c>
      <c r="J33" s="218">
        <v>80013.0</v>
      </c>
      <c r="K33" s="218" t="s">
        <v>11702</v>
      </c>
      <c r="L33" s="218" t="s">
        <v>12394</v>
      </c>
      <c r="M33" s="218" t="s">
        <v>12395</v>
      </c>
      <c r="N33" s="218" t="s">
        <v>12443</v>
      </c>
      <c r="O33" s="218" t="s">
        <v>118</v>
      </c>
      <c r="P33" s="218">
        <v>1.51132022000124E14</v>
      </c>
    </row>
    <row r="34">
      <c r="A34" s="218" t="s">
        <v>11705</v>
      </c>
      <c r="C34" s="456">
        <v>44572.0</v>
      </c>
      <c r="D34" s="218">
        <v>168105.0</v>
      </c>
      <c r="E34" s="218">
        <v>1.0E8</v>
      </c>
      <c r="F34" s="218" t="s">
        <v>12437</v>
      </c>
      <c r="G34" s="218" t="s">
        <v>11708</v>
      </c>
      <c r="H34" s="218" t="s">
        <v>11707</v>
      </c>
      <c r="I34" s="218" t="s">
        <v>11706</v>
      </c>
      <c r="J34" s="218" t="s">
        <v>12444</v>
      </c>
      <c r="K34" s="218" t="s">
        <v>11705</v>
      </c>
      <c r="L34" s="218" t="s">
        <v>12394</v>
      </c>
      <c r="M34" s="218" t="s">
        <v>12395</v>
      </c>
      <c r="N34" s="218" t="s">
        <v>12445</v>
      </c>
      <c r="O34" s="218" t="s">
        <v>118</v>
      </c>
      <c r="P34" s="218">
        <v>1.51132022000062E14</v>
      </c>
    </row>
    <row r="35">
      <c r="A35" s="218" t="s">
        <v>11709</v>
      </c>
      <c r="C35" s="456">
        <v>44572.0</v>
      </c>
      <c r="D35" s="218">
        <v>168105.0</v>
      </c>
      <c r="E35" s="218">
        <v>1.0E8</v>
      </c>
      <c r="F35" s="218" t="s">
        <v>12437</v>
      </c>
      <c r="G35" s="218" t="s">
        <v>11712</v>
      </c>
      <c r="H35" s="218" t="s">
        <v>11711</v>
      </c>
      <c r="I35" s="218" t="s">
        <v>11710</v>
      </c>
      <c r="J35" s="218" t="s">
        <v>12446</v>
      </c>
      <c r="K35" s="218" t="s">
        <v>11709</v>
      </c>
      <c r="L35" s="218" t="s">
        <v>12394</v>
      </c>
      <c r="M35" s="218" t="s">
        <v>12395</v>
      </c>
      <c r="N35" s="218" t="s">
        <v>12447</v>
      </c>
      <c r="O35" s="218" t="s">
        <v>118</v>
      </c>
      <c r="P35" s="218">
        <v>1.51132022000062E14</v>
      </c>
    </row>
    <row r="36">
      <c r="A36" s="218" t="s">
        <v>11713</v>
      </c>
      <c r="C36" s="456">
        <v>44572.0</v>
      </c>
      <c r="D36" s="218">
        <v>168105.0</v>
      </c>
      <c r="E36" s="218">
        <v>1.0E8</v>
      </c>
      <c r="F36" s="218" t="s">
        <v>12424</v>
      </c>
      <c r="G36" s="218" t="s">
        <v>11716</v>
      </c>
      <c r="H36" s="218" t="s">
        <v>11715</v>
      </c>
      <c r="I36" s="218" t="s">
        <v>11714</v>
      </c>
      <c r="J36" s="218" t="s">
        <v>12448</v>
      </c>
      <c r="K36" s="218" t="s">
        <v>11713</v>
      </c>
      <c r="L36" s="218" t="s">
        <v>12394</v>
      </c>
      <c r="M36" s="218" t="s">
        <v>12395</v>
      </c>
      <c r="N36" s="218" t="s">
        <v>12449</v>
      </c>
      <c r="O36" s="218" t="s">
        <v>118</v>
      </c>
      <c r="P36" s="218">
        <v>1.51132022000046E14</v>
      </c>
    </row>
    <row r="37">
      <c r="A37" s="218" t="s">
        <v>11717</v>
      </c>
      <c r="C37" s="456">
        <v>44572.0</v>
      </c>
      <c r="D37" s="218">
        <v>168105.0</v>
      </c>
      <c r="E37" s="218">
        <v>1.0E8</v>
      </c>
      <c r="F37" s="218" t="s">
        <v>12424</v>
      </c>
      <c r="G37" s="218" t="s">
        <v>11720</v>
      </c>
      <c r="H37" s="218" t="s">
        <v>11719</v>
      </c>
      <c r="I37" s="218" t="s">
        <v>11718</v>
      </c>
      <c r="J37" s="218" t="s">
        <v>12450</v>
      </c>
      <c r="K37" s="218" t="s">
        <v>11717</v>
      </c>
      <c r="L37" s="218" t="s">
        <v>12394</v>
      </c>
      <c r="M37" s="218" t="s">
        <v>12395</v>
      </c>
      <c r="N37" s="218" t="s">
        <v>12451</v>
      </c>
      <c r="O37" s="218" t="s">
        <v>118</v>
      </c>
      <c r="P37" s="218">
        <v>1.51132022000017E14</v>
      </c>
    </row>
    <row r="38">
      <c r="A38" s="218" t="s">
        <v>11721</v>
      </c>
      <c r="C38" s="456">
        <v>44573.0</v>
      </c>
      <c r="D38" s="218">
        <v>168105.0</v>
      </c>
      <c r="E38" s="218">
        <v>1.7015113E8</v>
      </c>
      <c r="F38" s="218" t="s">
        <v>12437</v>
      </c>
      <c r="G38" s="218" t="s">
        <v>9924</v>
      </c>
      <c r="H38" s="218" t="s">
        <v>11723</v>
      </c>
      <c r="I38" s="218" t="s">
        <v>11722</v>
      </c>
      <c r="J38" s="218" t="s">
        <v>12452</v>
      </c>
      <c r="K38" s="218" t="s">
        <v>11721</v>
      </c>
      <c r="L38" s="218" t="s">
        <v>12394</v>
      </c>
      <c r="M38" s="218" t="s">
        <v>12395</v>
      </c>
      <c r="N38" s="218" t="s">
        <v>12438</v>
      </c>
      <c r="O38" s="218" t="s">
        <v>118</v>
      </c>
      <c r="P38" s="218">
        <v>1.51132022000192E14</v>
      </c>
    </row>
    <row r="39">
      <c r="A39" s="218" t="s">
        <v>11724</v>
      </c>
      <c r="C39" s="456">
        <v>44573.0</v>
      </c>
      <c r="D39" s="218">
        <v>168105.0</v>
      </c>
      <c r="E39" s="218">
        <v>1.7015113E8</v>
      </c>
      <c r="F39" s="218" t="s">
        <v>12424</v>
      </c>
      <c r="G39" s="218" t="s">
        <v>9924</v>
      </c>
      <c r="H39" s="218" t="s">
        <v>11725</v>
      </c>
      <c r="I39" s="218" t="s">
        <v>11722</v>
      </c>
      <c r="J39" s="218" t="s">
        <v>12452</v>
      </c>
      <c r="K39" s="218" t="s">
        <v>11724</v>
      </c>
      <c r="L39" s="218" t="s">
        <v>12394</v>
      </c>
      <c r="M39" s="218" t="s">
        <v>12395</v>
      </c>
      <c r="N39" s="218" t="s">
        <v>12442</v>
      </c>
      <c r="O39" s="218" t="s">
        <v>118</v>
      </c>
      <c r="P39" s="218">
        <v>1.51132022000192E14</v>
      </c>
    </row>
    <row r="40">
      <c r="A40" s="218" t="s">
        <v>11726</v>
      </c>
      <c r="C40" s="456">
        <v>44573.0</v>
      </c>
      <c r="D40" s="218">
        <v>168105.0</v>
      </c>
      <c r="E40" s="218">
        <v>1.0E8</v>
      </c>
      <c r="F40" s="218" t="s">
        <v>12424</v>
      </c>
      <c r="G40" s="218" t="s">
        <v>11644</v>
      </c>
      <c r="H40" s="218" t="s">
        <v>11695</v>
      </c>
      <c r="I40" s="218" t="s">
        <v>11642</v>
      </c>
      <c r="J40" s="218">
        <v>80013.0</v>
      </c>
      <c r="K40" s="218" t="s">
        <v>11726</v>
      </c>
      <c r="L40" s="218" t="s">
        <v>12394</v>
      </c>
      <c r="M40" s="218" t="s">
        <v>12395</v>
      </c>
      <c r="N40" s="218" t="s">
        <v>12453</v>
      </c>
      <c r="O40" s="218" t="s">
        <v>118</v>
      </c>
      <c r="P40" s="218">
        <v>1.511320220002E14</v>
      </c>
    </row>
    <row r="41">
      <c r="A41" s="218" t="s">
        <v>11727</v>
      </c>
      <c r="C41" s="456">
        <v>44573.0</v>
      </c>
      <c r="D41" s="218">
        <v>168105.0</v>
      </c>
      <c r="E41" s="218">
        <v>1.0E8</v>
      </c>
      <c r="F41" s="218" t="s">
        <v>12424</v>
      </c>
      <c r="G41" s="218" t="s">
        <v>11730</v>
      </c>
      <c r="H41" s="218" t="s">
        <v>11729</v>
      </c>
      <c r="I41" s="218" t="s">
        <v>11728</v>
      </c>
      <c r="J41" s="218" t="s">
        <v>12454</v>
      </c>
      <c r="K41" s="218" t="s">
        <v>11727</v>
      </c>
      <c r="L41" s="218" t="s">
        <v>12394</v>
      </c>
      <c r="M41" s="218" t="s">
        <v>12395</v>
      </c>
      <c r="N41" s="218" t="s">
        <v>12455</v>
      </c>
      <c r="O41" s="218" t="s">
        <v>110</v>
      </c>
      <c r="P41" s="218">
        <v>1.51132022000006E14</v>
      </c>
    </row>
    <row r="42">
      <c r="A42" s="218" t="s">
        <v>11731</v>
      </c>
      <c r="C42" s="456">
        <v>44573.0</v>
      </c>
      <c r="D42" s="218">
        <v>168105.0</v>
      </c>
      <c r="E42" s="218">
        <v>1.0E8</v>
      </c>
      <c r="F42" s="218" t="s">
        <v>12437</v>
      </c>
      <c r="G42" s="218" t="s">
        <v>11730</v>
      </c>
      <c r="H42" s="218" t="s">
        <v>11732</v>
      </c>
      <c r="I42" s="218" t="s">
        <v>11728</v>
      </c>
      <c r="J42" s="218" t="s">
        <v>12454</v>
      </c>
      <c r="K42" s="218" t="s">
        <v>11731</v>
      </c>
      <c r="L42" s="218" t="s">
        <v>12394</v>
      </c>
      <c r="M42" s="218" t="s">
        <v>12395</v>
      </c>
      <c r="N42" s="218" t="s">
        <v>12428</v>
      </c>
      <c r="O42" s="218" t="s">
        <v>118</v>
      </c>
      <c r="P42" s="218">
        <v>1.51132022000009E14</v>
      </c>
    </row>
    <row r="43">
      <c r="A43" s="218" t="s">
        <v>11733</v>
      </c>
      <c r="C43" s="456">
        <v>44573.0</v>
      </c>
      <c r="D43" s="218">
        <v>168105.0</v>
      </c>
      <c r="E43" s="218">
        <v>1.5015113E8</v>
      </c>
      <c r="F43" s="218" t="s">
        <v>12456</v>
      </c>
      <c r="G43" s="218" t="s">
        <v>9467</v>
      </c>
      <c r="H43" s="218" t="s">
        <v>11734</v>
      </c>
      <c r="I43" s="218" t="s">
        <v>8644</v>
      </c>
      <c r="J43" s="218" t="s">
        <v>12457</v>
      </c>
      <c r="K43" s="218" t="s">
        <v>11733</v>
      </c>
      <c r="L43" s="218" t="s">
        <v>12458</v>
      </c>
      <c r="M43" s="218" t="s">
        <v>12395</v>
      </c>
      <c r="N43" s="218" t="s">
        <v>12459</v>
      </c>
      <c r="O43" s="218" t="s">
        <v>118</v>
      </c>
      <c r="P43" s="218">
        <v>1.5113202200006E14</v>
      </c>
    </row>
    <row r="44">
      <c r="A44" s="218" t="s">
        <v>11735</v>
      </c>
      <c r="C44" s="456">
        <v>44573.0</v>
      </c>
      <c r="D44" s="218">
        <v>168105.0</v>
      </c>
      <c r="E44" s="218">
        <v>1.0E8</v>
      </c>
      <c r="F44" s="218" t="s">
        <v>12424</v>
      </c>
      <c r="G44" s="218" t="s">
        <v>11738</v>
      </c>
      <c r="H44" s="218" t="s">
        <v>11737</v>
      </c>
      <c r="I44" s="218" t="s">
        <v>11736</v>
      </c>
      <c r="J44" s="218" t="s">
        <v>12460</v>
      </c>
      <c r="K44" s="218" t="s">
        <v>11735</v>
      </c>
      <c r="L44" s="218" t="s">
        <v>12458</v>
      </c>
      <c r="M44" s="218" t="s">
        <v>12395</v>
      </c>
      <c r="N44" s="218" t="s">
        <v>12461</v>
      </c>
      <c r="O44" s="218" t="s">
        <v>118</v>
      </c>
      <c r="P44" s="218">
        <v>1.51132022000027E14</v>
      </c>
    </row>
    <row r="45">
      <c r="A45" s="218" t="s">
        <v>11739</v>
      </c>
      <c r="C45" s="456">
        <v>44573.0</v>
      </c>
      <c r="D45" s="218">
        <v>168105.0</v>
      </c>
      <c r="E45" s="218">
        <v>1.5015113E8</v>
      </c>
      <c r="F45" s="218" t="s">
        <v>12456</v>
      </c>
      <c r="G45" s="218" t="s">
        <v>11742</v>
      </c>
      <c r="H45" s="218" t="s">
        <v>11741</v>
      </c>
      <c r="I45" s="218" t="s">
        <v>11740</v>
      </c>
      <c r="J45" s="218" t="s">
        <v>12462</v>
      </c>
      <c r="K45" s="218" t="s">
        <v>11739</v>
      </c>
      <c r="L45" s="218" t="s">
        <v>12458</v>
      </c>
      <c r="M45" s="218" t="s">
        <v>12395</v>
      </c>
      <c r="N45" s="218" t="s">
        <v>12463</v>
      </c>
      <c r="O45" s="218" t="s">
        <v>110</v>
      </c>
      <c r="P45" s="218">
        <v>1.51132022000068E14</v>
      </c>
    </row>
    <row r="46">
      <c r="A46" s="218" t="s">
        <v>11743</v>
      </c>
      <c r="C46" s="456">
        <v>44574.0</v>
      </c>
      <c r="D46" s="218">
        <v>168105.0</v>
      </c>
      <c r="E46" s="218">
        <v>1.5015113E8</v>
      </c>
      <c r="F46" s="218" t="s">
        <v>12456</v>
      </c>
      <c r="G46" s="218" t="s">
        <v>10427</v>
      </c>
      <c r="H46" s="218" t="s">
        <v>11744</v>
      </c>
      <c r="I46" s="218" t="s">
        <v>223</v>
      </c>
      <c r="J46" s="218" t="s">
        <v>12464</v>
      </c>
      <c r="K46" s="218" t="s">
        <v>11743</v>
      </c>
      <c r="L46" s="218" t="s">
        <v>12458</v>
      </c>
      <c r="M46" s="218" t="s">
        <v>12395</v>
      </c>
      <c r="N46" s="218" t="s">
        <v>12465</v>
      </c>
      <c r="O46" s="218" t="s">
        <v>118</v>
      </c>
      <c r="P46" s="218">
        <v>1.51132022000036E14</v>
      </c>
    </row>
    <row r="47">
      <c r="A47" s="218" t="s">
        <v>11745</v>
      </c>
      <c r="C47" s="456">
        <v>44574.0</v>
      </c>
      <c r="D47" s="218">
        <v>168105.0</v>
      </c>
      <c r="E47" s="218">
        <v>1.5015113E8</v>
      </c>
      <c r="F47" s="218" t="s">
        <v>12456</v>
      </c>
      <c r="G47" s="218" t="s">
        <v>11747</v>
      </c>
      <c r="H47" s="218" t="s">
        <v>11746</v>
      </c>
      <c r="I47" s="218" t="s">
        <v>6434</v>
      </c>
      <c r="J47" s="218" t="s">
        <v>12466</v>
      </c>
      <c r="K47" s="218" t="s">
        <v>11745</v>
      </c>
      <c r="L47" s="218" t="s">
        <v>12458</v>
      </c>
      <c r="M47" s="218" t="s">
        <v>12395</v>
      </c>
      <c r="N47" s="218" t="s">
        <v>12440</v>
      </c>
      <c r="O47" s="218" t="s">
        <v>118</v>
      </c>
      <c r="P47" s="218">
        <v>1.51132022000202E14</v>
      </c>
    </row>
    <row r="48">
      <c r="A48" s="218" t="s">
        <v>11748</v>
      </c>
      <c r="C48" s="456">
        <v>44574.0</v>
      </c>
      <c r="D48" s="218">
        <v>168105.0</v>
      </c>
      <c r="E48" s="218">
        <v>1.0E8</v>
      </c>
      <c r="F48" s="218" t="s">
        <v>12437</v>
      </c>
      <c r="G48" s="218" t="s">
        <v>11751</v>
      </c>
      <c r="H48" s="218" t="s">
        <v>11750</v>
      </c>
      <c r="I48" s="218" t="s">
        <v>11749</v>
      </c>
      <c r="J48" s="218" t="s">
        <v>12467</v>
      </c>
      <c r="K48" s="218" t="s">
        <v>11748</v>
      </c>
      <c r="L48" s="218" t="s">
        <v>12394</v>
      </c>
      <c r="M48" s="218" t="s">
        <v>12395</v>
      </c>
      <c r="N48" s="218" t="s">
        <v>12468</v>
      </c>
      <c r="O48" s="218" t="s">
        <v>118</v>
      </c>
      <c r="P48" s="218">
        <v>1.51132022000062E14</v>
      </c>
    </row>
    <row r="49">
      <c r="A49" s="218" t="s">
        <v>11752</v>
      </c>
      <c r="C49" s="456">
        <v>44574.0</v>
      </c>
      <c r="D49" s="218">
        <v>168105.0</v>
      </c>
      <c r="E49" s="218">
        <v>1.0E8</v>
      </c>
      <c r="F49" s="218" t="s">
        <v>12437</v>
      </c>
      <c r="G49" s="218" t="s">
        <v>11751</v>
      </c>
      <c r="H49" s="218" t="s">
        <v>11754</v>
      </c>
      <c r="I49" s="218" t="s">
        <v>11753</v>
      </c>
      <c r="J49" s="218" t="s">
        <v>12469</v>
      </c>
      <c r="K49" s="218" t="s">
        <v>11752</v>
      </c>
      <c r="L49" s="218" t="s">
        <v>12394</v>
      </c>
      <c r="M49" s="218" t="s">
        <v>12395</v>
      </c>
      <c r="N49" s="218" t="s">
        <v>12470</v>
      </c>
      <c r="O49" s="218" t="s">
        <v>118</v>
      </c>
      <c r="P49" s="218">
        <v>1.51132022000062E14</v>
      </c>
    </row>
    <row r="50">
      <c r="A50" s="218" t="s">
        <v>11755</v>
      </c>
      <c r="C50" s="456">
        <v>44574.0</v>
      </c>
      <c r="D50" s="218">
        <v>168105.0</v>
      </c>
      <c r="E50" s="218">
        <v>1.0E8</v>
      </c>
      <c r="F50" s="218" t="s">
        <v>12437</v>
      </c>
      <c r="G50" s="218" t="s">
        <v>11751</v>
      </c>
      <c r="H50" s="218" t="s">
        <v>11757</v>
      </c>
      <c r="I50" s="218" t="s">
        <v>11756</v>
      </c>
      <c r="J50" s="218" t="s">
        <v>12471</v>
      </c>
      <c r="K50" s="218" t="s">
        <v>11755</v>
      </c>
      <c r="L50" s="218" t="s">
        <v>12394</v>
      </c>
      <c r="M50" s="218" t="s">
        <v>12395</v>
      </c>
      <c r="N50" s="218" t="s">
        <v>12472</v>
      </c>
      <c r="O50" s="218" t="s">
        <v>118</v>
      </c>
      <c r="P50" s="218">
        <v>1.51132022000062E14</v>
      </c>
    </row>
    <row r="51">
      <c r="A51" s="218" t="s">
        <v>11758</v>
      </c>
      <c r="C51" s="456">
        <v>44574.0</v>
      </c>
      <c r="D51" s="218">
        <v>168105.0</v>
      </c>
      <c r="E51" s="218">
        <v>1.0E8</v>
      </c>
      <c r="F51" s="218" t="s">
        <v>12437</v>
      </c>
      <c r="G51" s="218" t="s">
        <v>11751</v>
      </c>
      <c r="H51" s="218" t="s">
        <v>11760</v>
      </c>
      <c r="I51" s="218" t="s">
        <v>11759</v>
      </c>
      <c r="J51" s="218" t="s">
        <v>12473</v>
      </c>
      <c r="K51" s="218" t="s">
        <v>11758</v>
      </c>
      <c r="L51" s="218" t="s">
        <v>12394</v>
      </c>
      <c r="M51" s="218" t="s">
        <v>12395</v>
      </c>
      <c r="N51" s="218" t="s">
        <v>12474</v>
      </c>
      <c r="O51" s="218" t="s">
        <v>118</v>
      </c>
      <c r="P51" s="218">
        <v>1.51132022000062E14</v>
      </c>
    </row>
    <row r="52">
      <c r="A52" s="218" t="s">
        <v>11761</v>
      </c>
      <c r="C52" s="456">
        <v>44574.0</v>
      </c>
      <c r="D52" s="218">
        <v>168105.0</v>
      </c>
      <c r="E52" s="218">
        <v>1.0E8</v>
      </c>
      <c r="F52" s="218" t="s">
        <v>12437</v>
      </c>
      <c r="G52" s="218" t="s">
        <v>11751</v>
      </c>
      <c r="H52" s="218" t="s">
        <v>11763</v>
      </c>
      <c r="I52" s="218" t="s">
        <v>11762</v>
      </c>
      <c r="J52" s="218" t="s">
        <v>12475</v>
      </c>
      <c r="K52" s="218" t="s">
        <v>11761</v>
      </c>
      <c r="L52" s="218" t="s">
        <v>12394</v>
      </c>
      <c r="M52" s="218" t="s">
        <v>12395</v>
      </c>
      <c r="N52" s="218" t="s">
        <v>12476</v>
      </c>
      <c r="O52" s="218" t="s">
        <v>118</v>
      </c>
      <c r="P52" s="218">
        <v>1.51132022000062E14</v>
      </c>
    </row>
    <row r="53">
      <c r="A53" s="218" t="s">
        <v>11764</v>
      </c>
      <c r="C53" s="456">
        <v>44574.0</v>
      </c>
      <c r="D53" s="218">
        <v>168105.0</v>
      </c>
      <c r="E53" s="218">
        <v>1.0E8</v>
      </c>
      <c r="F53" s="218" t="s">
        <v>12437</v>
      </c>
      <c r="G53" s="218" t="s">
        <v>11751</v>
      </c>
      <c r="H53" s="218" t="s">
        <v>11765</v>
      </c>
      <c r="I53" s="218" t="s">
        <v>6281</v>
      </c>
      <c r="J53" s="218" t="s">
        <v>12477</v>
      </c>
      <c r="K53" s="218" t="s">
        <v>11764</v>
      </c>
      <c r="L53" s="218" t="s">
        <v>12394</v>
      </c>
      <c r="M53" s="218" t="s">
        <v>12395</v>
      </c>
      <c r="N53" s="218" t="s">
        <v>12478</v>
      </c>
      <c r="O53" s="218" t="s">
        <v>118</v>
      </c>
      <c r="P53" s="218">
        <v>1.51132022000062E14</v>
      </c>
    </row>
    <row r="54">
      <c r="A54" s="218" t="s">
        <v>11766</v>
      </c>
      <c r="C54" s="456">
        <v>44574.0</v>
      </c>
      <c r="D54" s="218">
        <v>168105.0</v>
      </c>
      <c r="E54" s="218">
        <v>1.0E8</v>
      </c>
      <c r="F54" s="218" t="s">
        <v>12437</v>
      </c>
      <c r="G54" s="218" t="s">
        <v>11751</v>
      </c>
      <c r="H54" s="218" t="s">
        <v>11768</v>
      </c>
      <c r="I54" s="218" t="s">
        <v>11767</v>
      </c>
      <c r="J54" s="218" t="s">
        <v>12479</v>
      </c>
      <c r="K54" s="218" t="s">
        <v>11766</v>
      </c>
      <c r="L54" s="218" t="s">
        <v>12394</v>
      </c>
      <c r="M54" s="218" t="s">
        <v>12395</v>
      </c>
      <c r="N54" s="218" t="s">
        <v>12439</v>
      </c>
      <c r="O54" s="218" t="s">
        <v>118</v>
      </c>
      <c r="P54" s="218">
        <v>1.51132022000062E14</v>
      </c>
    </row>
    <row r="55">
      <c r="A55" s="218" t="s">
        <v>11769</v>
      </c>
      <c r="C55" s="456">
        <v>44574.0</v>
      </c>
      <c r="D55" s="218">
        <v>168105.0</v>
      </c>
      <c r="E55" s="218">
        <v>1.0E8</v>
      </c>
      <c r="F55" s="218" t="s">
        <v>12456</v>
      </c>
      <c r="G55" s="218" t="s">
        <v>11771</v>
      </c>
      <c r="H55" s="218" t="s">
        <v>11770</v>
      </c>
      <c r="I55" s="218" t="s">
        <v>8624</v>
      </c>
      <c r="J55" s="218" t="s">
        <v>12480</v>
      </c>
      <c r="K55" s="218" t="s">
        <v>11769</v>
      </c>
      <c r="L55" s="218" t="s">
        <v>12458</v>
      </c>
      <c r="M55" s="218" t="s">
        <v>12395</v>
      </c>
      <c r="N55" s="218" t="s">
        <v>12481</v>
      </c>
      <c r="O55" s="218" t="s">
        <v>118</v>
      </c>
      <c r="P55" s="218">
        <v>1.51132022000201E14</v>
      </c>
    </row>
    <row r="56">
      <c r="A56" s="218" t="s">
        <v>11772</v>
      </c>
      <c r="C56" s="456">
        <v>44574.0</v>
      </c>
      <c r="D56" s="218">
        <v>168105.0</v>
      </c>
      <c r="E56" s="218">
        <v>1.0E8</v>
      </c>
      <c r="F56" s="218" t="s">
        <v>12456</v>
      </c>
      <c r="G56" s="218" t="s">
        <v>11747</v>
      </c>
      <c r="H56" s="218" t="s">
        <v>11746</v>
      </c>
      <c r="I56" s="218" t="s">
        <v>6434</v>
      </c>
      <c r="J56" s="218" t="s">
        <v>12466</v>
      </c>
      <c r="K56" s="218" t="s">
        <v>11772</v>
      </c>
      <c r="L56" s="218" t="s">
        <v>12458</v>
      </c>
      <c r="M56" s="218" t="s">
        <v>12395</v>
      </c>
      <c r="N56" s="218" t="s">
        <v>12482</v>
      </c>
      <c r="O56" s="218" t="s">
        <v>118</v>
      </c>
      <c r="P56" s="218">
        <v>1.51132022000202E14</v>
      </c>
    </row>
    <row r="57">
      <c r="A57" s="218" t="s">
        <v>11773</v>
      </c>
      <c r="C57" s="456">
        <v>44574.0</v>
      </c>
      <c r="D57" s="218">
        <v>168105.0</v>
      </c>
      <c r="E57" s="218">
        <v>1.0E8</v>
      </c>
      <c r="F57" s="218" t="s">
        <v>12424</v>
      </c>
      <c r="G57" s="218" t="s">
        <v>10775</v>
      </c>
      <c r="H57" s="218" t="s">
        <v>11775</v>
      </c>
      <c r="I57" s="218" t="s">
        <v>11774</v>
      </c>
      <c r="J57" s="218" t="s">
        <v>12483</v>
      </c>
      <c r="K57" s="218" t="s">
        <v>11773</v>
      </c>
      <c r="L57" s="218" t="s">
        <v>12394</v>
      </c>
      <c r="M57" s="218" t="s">
        <v>12395</v>
      </c>
      <c r="N57" s="218" t="s">
        <v>12484</v>
      </c>
      <c r="O57" s="218" t="s">
        <v>118</v>
      </c>
      <c r="P57" s="218">
        <v>1.51132022000024E14</v>
      </c>
    </row>
    <row r="58">
      <c r="A58" s="218" t="s">
        <v>11776</v>
      </c>
      <c r="C58" s="456">
        <v>44574.0</v>
      </c>
      <c r="D58" s="218">
        <v>168105.0</v>
      </c>
      <c r="E58" s="218">
        <v>1.0E8</v>
      </c>
      <c r="F58" s="218" t="s">
        <v>12424</v>
      </c>
      <c r="G58" s="218" t="s">
        <v>9534</v>
      </c>
      <c r="H58" s="218" t="s">
        <v>11778</v>
      </c>
      <c r="I58" s="218" t="s">
        <v>11777</v>
      </c>
      <c r="J58" s="218" t="s">
        <v>12485</v>
      </c>
      <c r="K58" s="218" t="s">
        <v>11776</v>
      </c>
      <c r="L58" s="218" t="s">
        <v>12394</v>
      </c>
      <c r="M58" s="218" t="s">
        <v>12395</v>
      </c>
      <c r="N58" s="218" t="s">
        <v>12486</v>
      </c>
      <c r="O58" s="218" t="s">
        <v>118</v>
      </c>
      <c r="P58" s="218">
        <v>1.51132022000024E14</v>
      </c>
    </row>
    <row r="59">
      <c r="A59" s="218" t="s">
        <v>11779</v>
      </c>
      <c r="C59" s="456">
        <v>44574.0</v>
      </c>
      <c r="D59" s="218">
        <v>168105.0</v>
      </c>
      <c r="E59" s="218">
        <v>1.0E8</v>
      </c>
      <c r="F59" s="218" t="s">
        <v>12424</v>
      </c>
      <c r="G59" s="218" t="s">
        <v>9528</v>
      </c>
      <c r="H59" s="218" t="s">
        <v>11780</v>
      </c>
      <c r="I59" s="218" t="s">
        <v>11774</v>
      </c>
      <c r="J59" s="218" t="s">
        <v>12487</v>
      </c>
      <c r="K59" s="218" t="s">
        <v>11779</v>
      </c>
      <c r="L59" s="218" t="s">
        <v>12394</v>
      </c>
      <c r="M59" s="218" t="s">
        <v>12395</v>
      </c>
      <c r="N59" s="218" t="s">
        <v>12488</v>
      </c>
      <c r="O59" s="218" t="s">
        <v>118</v>
      </c>
      <c r="P59" s="218">
        <v>1.51132022000024E14</v>
      </c>
    </row>
    <row r="60">
      <c r="A60" s="218" t="s">
        <v>11781</v>
      </c>
      <c r="C60" s="456">
        <v>44574.0</v>
      </c>
      <c r="D60" s="218">
        <v>168105.0</v>
      </c>
      <c r="E60" s="218">
        <v>1.0E8</v>
      </c>
      <c r="F60" s="218" t="s">
        <v>12424</v>
      </c>
      <c r="G60" s="218" t="s">
        <v>9501</v>
      </c>
      <c r="H60" s="218" t="s">
        <v>11782</v>
      </c>
      <c r="I60" s="218" t="s">
        <v>4236</v>
      </c>
      <c r="J60" s="218" t="s">
        <v>12489</v>
      </c>
      <c r="K60" s="218" t="s">
        <v>11781</v>
      </c>
      <c r="L60" s="218" t="s">
        <v>12394</v>
      </c>
      <c r="M60" s="218" t="s">
        <v>12395</v>
      </c>
      <c r="N60" s="218" t="s">
        <v>12490</v>
      </c>
      <c r="O60" s="218" t="s">
        <v>118</v>
      </c>
      <c r="P60" s="218">
        <v>1.51132022000024E14</v>
      </c>
    </row>
    <row r="61">
      <c r="A61" s="218" t="s">
        <v>11783</v>
      </c>
      <c r="C61" s="456">
        <v>44574.0</v>
      </c>
      <c r="D61" s="218">
        <v>168105.0</v>
      </c>
      <c r="E61" s="218">
        <v>1.0E8</v>
      </c>
      <c r="F61" s="218" t="s">
        <v>12424</v>
      </c>
      <c r="G61" s="218" t="s">
        <v>9504</v>
      </c>
      <c r="H61" s="218" t="s">
        <v>11785</v>
      </c>
      <c r="I61" s="218" t="s">
        <v>11784</v>
      </c>
      <c r="J61" s="218" t="s">
        <v>12491</v>
      </c>
      <c r="K61" s="218" t="s">
        <v>11783</v>
      </c>
      <c r="L61" s="218" t="s">
        <v>12394</v>
      </c>
      <c r="M61" s="218" t="s">
        <v>12395</v>
      </c>
      <c r="N61" s="218" t="s">
        <v>12440</v>
      </c>
      <c r="O61" s="218" t="s">
        <v>118</v>
      </c>
      <c r="P61" s="218">
        <v>1.51132022000024E14</v>
      </c>
    </row>
    <row r="62">
      <c r="A62" s="218" t="s">
        <v>11786</v>
      </c>
      <c r="C62" s="456">
        <v>44574.0</v>
      </c>
      <c r="D62" s="218">
        <v>168105.0</v>
      </c>
      <c r="E62" s="218">
        <v>1.0E8</v>
      </c>
      <c r="F62" s="218" t="s">
        <v>12424</v>
      </c>
      <c r="G62" s="218" t="s">
        <v>9497</v>
      </c>
      <c r="H62" s="218" t="s">
        <v>11788</v>
      </c>
      <c r="I62" s="218" t="s">
        <v>11787</v>
      </c>
      <c r="J62" s="218" t="s">
        <v>12492</v>
      </c>
      <c r="K62" s="218" t="s">
        <v>11786</v>
      </c>
      <c r="L62" s="218" t="s">
        <v>12394</v>
      </c>
      <c r="M62" s="218" t="s">
        <v>12395</v>
      </c>
      <c r="N62" s="218" t="s">
        <v>12493</v>
      </c>
      <c r="O62" s="218" t="s">
        <v>118</v>
      </c>
      <c r="P62" s="218">
        <v>1.51132022000024E14</v>
      </c>
    </row>
    <row r="63">
      <c r="A63" s="218" t="s">
        <v>11789</v>
      </c>
      <c r="C63" s="456">
        <v>44574.0</v>
      </c>
      <c r="D63" s="218">
        <v>168105.0</v>
      </c>
      <c r="E63" s="218">
        <v>1.0E8</v>
      </c>
      <c r="F63" s="218" t="s">
        <v>12424</v>
      </c>
      <c r="G63" s="218" t="s">
        <v>9409</v>
      </c>
      <c r="H63" s="218" t="s">
        <v>11791</v>
      </c>
      <c r="I63" s="218" t="s">
        <v>11790</v>
      </c>
      <c r="J63" s="218" t="s">
        <v>12494</v>
      </c>
      <c r="K63" s="218" t="s">
        <v>11789</v>
      </c>
      <c r="L63" s="218" t="s">
        <v>12394</v>
      </c>
      <c r="M63" s="218" t="s">
        <v>12395</v>
      </c>
      <c r="N63" s="218" t="s">
        <v>12486</v>
      </c>
      <c r="O63" s="218" t="s">
        <v>118</v>
      </c>
      <c r="P63" s="218">
        <v>1.51132022000024E14</v>
      </c>
    </row>
    <row r="64">
      <c r="A64" s="218" t="s">
        <v>11792</v>
      </c>
      <c r="C64" s="456">
        <v>44574.0</v>
      </c>
      <c r="D64" s="218">
        <v>168105.0</v>
      </c>
      <c r="E64" s="218">
        <v>1.0E8</v>
      </c>
      <c r="F64" s="218" t="s">
        <v>12424</v>
      </c>
      <c r="G64" s="218" t="s">
        <v>9508</v>
      </c>
      <c r="H64" s="218" t="s">
        <v>11794</v>
      </c>
      <c r="I64" s="218" t="s">
        <v>11793</v>
      </c>
      <c r="J64" s="218" t="s">
        <v>12495</v>
      </c>
      <c r="K64" s="218" t="s">
        <v>11792</v>
      </c>
      <c r="L64" s="218" t="s">
        <v>12394</v>
      </c>
      <c r="M64" s="218" t="s">
        <v>12395</v>
      </c>
      <c r="N64" s="218" t="s">
        <v>12496</v>
      </c>
      <c r="O64" s="218" t="s">
        <v>118</v>
      </c>
      <c r="P64" s="218">
        <v>1.51132022000024E14</v>
      </c>
    </row>
    <row r="65">
      <c r="A65" s="218" t="s">
        <v>11795</v>
      </c>
      <c r="C65" s="456">
        <v>44574.0</v>
      </c>
      <c r="D65" s="218">
        <v>168105.0</v>
      </c>
      <c r="E65" s="218">
        <v>1.0E8</v>
      </c>
      <c r="F65" s="218" t="s">
        <v>12424</v>
      </c>
      <c r="G65" s="218" t="s">
        <v>9478</v>
      </c>
      <c r="H65" s="218" t="s">
        <v>11796</v>
      </c>
      <c r="I65" s="218" t="s">
        <v>11774</v>
      </c>
      <c r="J65" s="218" t="s">
        <v>12497</v>
      </c>
      <c r="K65" s="218" t="s">
        <v>11795</v>
      </c>
      <c r="L65" s="218" t="s">
        <v>12394</v>
      </c>
      <c r="M65" s="218" t="s">
        <v>12395</v>
      </c>
      <c r="N65" s="218" t="s">
        <v>12498</v>
      </c>
      <c r="O65" s="218" t="s">
        <v>118</v>
      </c>
      <c r="P65" s="218">
        <v>1.51132022000024E14</v>
      </c>
    </row>
    <row r="66">
      <c r="A66" s="218" t="s">
        <v>11797</v>
      </c>
      <c r="C66" s="456">
        <v>44574.0</v>
      </c>
      <c r="D66" s="218">
        <v>168105.0</v>
      </c>
      <c r="E66" s="218">
        <v>1.0E8</v>
      </c>
      <c r="F66" s="218" t="s">
        <v>12424</v>
      </c>
      <c r="G66" s="218" t="s">
        <v>9518</v>
      </c>
      <c r="H66" s="218" t="s">
        <v>11799</v>
      </c>
      <c r="I66" s="218" t="s">
        <v>11798</v>
      </c>
      <c r="J66" s="218" t="s">
        <v>12499</v>
      </c>
      <c r="K66" s="218" t="s">
        <v>11797</v>
      </c>
      <c r="L66" s="218" t="s">
        <v>12394</v>
      </c>
      <c r="M66" s="218" t="s">
        <v>12395</v>
      </c>
      <c r="N66" s="218" t="s">
        <v>12500</v>
      </c>
      <c r="O66" s="218" t="s">
        <v>118</v>
      </c>
      <c r="P66" s="218">
        <v>1.51132022000024E14</v>
      </c>
    </row>
    <row r="67">
      <c r="A67" s="218" t="s">
        <v>11800</v>
      </c>
      <c r="C67" s="456">
        <v>44574.0</v>
      </c>
      <c r="D67" s="218">
        <v>168105.0</v>
      </c>
      <c r="E67" s="218">
        <v>1.0E8</v>
      </c>
      <c r="F67" s="218" t="s">
        <v>12424</v>
      </c>
      <c r="G67" s="218" t="s">
        <v>9524</v>
      </c>
      <c r="H67" s="218" t="s">
        <v>11802</v>
      </c>
      <c r="I67" s="218" t="s">
        <v>11801</v>
      </c>
      <c r="J67" s="218" t="s">
        <v>12501</v>
      </c>
      <c r="K67" s="218" t="s">
        <v>11800</v>
      </c>
      <c r="L67" s="218" t="s">
        <v>12394</v>
      </c>
      <c r="M67" s="218" t="s">
        <v>12395</v>
      </c>
      <c r="N67" s="218" t="s">
        <v>12502</v>
      </c>
      <c r="O67" s="218" t="s">
        <v>118</v>
      </c>
      <c r="P67" s="218">
        <v>1.51132022000024E14</v>
      </c>
    </row>
    <row r="68">
      <c r="A68" s="218" t="s">
        <v>11803</v>
      </c>
      <c r="C68" s="456">
        <v>44574.0</v>
      </c>
      <c r="D68" s="218">
        <v>168105.0</v>
      </c>
      <c r="E68" s="218">
        <v>1.0E8</v>
      </c>
      <c r="F68" s="218" t="s">
        <v>12424</v>
      </c>
      <c r="G68" s="218" t="s">
        <v>9512</v>
      </c>
      <c r="H68" s="218" t="s">
        <v>11805</v>
      </c>
      <c r="I68" s="218" t="s">
        <v>11804</v>
      </c>
      <c r="J68" s="218" t="s">
        <v>12503</v>
      </c>
      <c r="K68" s="218" t="s">
        <v>11803</v>
      </c>
      <c r="L68" s="218" t="s">
        <v>12394</v>
      </c>
      <c r="M68" s="218" t="s">
        <v>12395</v>
      </c>
      <c r="N68" s="218" t="s">
        <v>12504</v>
      </c>
      <c r="O68" s="218" t="s">
        <v>118</v>
      </c>
      <c r="P68" s="218">
        <v>1.51132022000024E14</v>
      </c>
    </row>
    <row r="69">
      <c r="A69" s="218" t="s">
        <v>11806</v>
      </c>
      <c r="C69" s="456">
        <v>44574.0</v>
      </c>
      <c r="D69" s="218">
        <v>168105.0</v>
      </c>
      <c r="E69" s="218">
        <v>1.0E8</v>
      </c>
      <c r="F69" s="218" t="s">
        <v>12505</v>
      </c>
      <c r="G69" s="218" t="s">
        <v>10775</v>
      </c>
      <c r="H69" s="218" t="s">
        <v>11807</v>
      </c>
      <c r="I69" s="218" t="s">
        <v>11774</v>
      </c>
      <c r="J69" s="218" t="s">
        <v>12483</v>
      </c>
      <c r="K69" s="218" t="s">
        <v>11806</v>
      </c>
      <c r="L69" s="218" t="s">
        <v>12394</v>
      </c>
      <c r="M69" s="218" t="s">
        <v>12395</v>
      </c>
      <c r="N69" s="218" t="s">
        <v>12506</v>
      </c>
      <c r="O69" s="218" t="s">
        <v>118</v>
      </c>
      <c r="P69" s="218">
        <v>1.5113202200003E14</v>
      </c>
    </row>
    <row r="70">
      <c r="A70" s="218" t="s">
        <v>11808</v>
      </c>
      <c r="C70" s="456">
        <v>44574.0</v>
      </c>
      <c r="D70" s="218">
        <v>168105.0</v>
      </c>
      <c r="E70" s="218">
        <v>1.0E8</v>
      </c>
      <c r="F70" s="218" t="s">
        <v>12505</v>
      </c>
      <c r="G70" s="218" t="s">
        <v>9528</v>
      </c>
      <c r="H70" s="218" t="s">
        <v>11809</v>
      </c>
      <c r="I70" s="218" t="s">
        <v>11774</v>
      </c>
      <c r="J70" s="218" t="s">
        <v>12487</v>
      </c>
      <c r="K70" s="218" t="s">
        <v>11808</v>
      </c>
      <c r="L70" s="218" t="s">
        <v>12394</v>
      </c>
      <c r="M70" s="218" t="s">
        <v>12395</v>
      </c>
      <c r="N70" s="218" t="s">
        <v>12507</v>
      </c>
      <c r="O70" s="218" t="s">
        <v>118</v>
      </c>
      <c r="P70" s="218">
        <v>1.5113202200003E14</v>
      </c>
    </row>
    <row r="71">
      <c r="A71" s="218" t="s">
        <v>11810</v>
      </c>
      <c r="C71" s="456">
        <v>44574.0</v>
      </c>
      <c r="D71" s="218">
        <v>168105.0</v>
      </c>
      <c r="E71" s="218">
        <v>1.0E8</v>
      </c>
      <c r="F71" s="218" t="s">
        <v>12505</v>
      </c>
      <c r="G71" s="218" t="s">
        <v>9478</v>
      </c>
      <c r="H71" s="218" t="s">
        <v>11811</v>
      </c>
      <c r="I71" s="218" t="s">
        <v>11774</v>
      </c>
      <c r="J71" s="218" t="s">
        <v>12497</v>
      </c>
      <c r="K71" s="218" t="s">
        <v>11810</v>
      </c>
      <c r="L71" s="218" t="s">
        <v>12394</v>
      </c>
      <c r="M71" s="218" t="s">
        <v>12395</v>
      </c>
      <c r="N71" s="218" t="s">
        <v>12508</v>
      </c>
      <c r="O71" s="218" t="s">
        <v>118</v>
      </c>
      <c r="P71" s="218">
        <v>1.5113202200003E14</v>
      </c>
    </row>
    <row r="72">
      <c r="A72" s="218" t="s">
        <v>11812</v>
      </c>
      <c r="C72" s="456">
        <v>44574.0</v>
      </c>
      <c r="D72" s="218">
        <v>168105.0</v>
      </c>
      <c r="E72" s="218">
        <v>1.0E8</v>
      </c>
      <c r="F72" s="218" t="s">
        <v>12505</v>
      </c>
      <c r="G72" s="218" t="s">
        <v>9518</v>
      </c>
      <c r="H72" s="218" t="s">
        <v>11813</v>
      </c>
      <c r="I72" s="218" t="s">
        <v>11798</v>
      </c>
      <c r="J72" s="218" t="s">
        <v>12499</v>
      </c>
      <c r="K72" s="218" t="s">
        <v>11812</v>
      </c>
      <c r="L72" s="218" t="s">
        <v>12394</v>
      </c>
      <c r="M72" s="218" t="s">
        <v>12395</v>
      </c>
      <c r="N72" s="218" t="s">
        <v>12509</v>
      </c>
      <c r="O72" s="218" t="s">
        <v>118</v>
      </c>
      <c r="P72" s="218">
        <v>1.5113202200003E14</v>
      </c>
    </row>
    <row r="73">
      <c r="A73" s="218" t="s">
        <v>11814</v>
      </c>
      <c r="C73" s="456">
        <v>44574.0</v>
      </c>
      <c r="D73" s="218">
        <v>168105.0</v>
      </c>
      <c r="E73" s="218">
        <v>1.0E8</v>
      </c>
      <c r="F73" s="218" t="s">
        <v>12505</v>
      </c>
      <c r="G73" s="218" t="s">
        <v>9512</v>
      </c>
      <c r="H73" s="218" t="s">
        <v>11815</v>
      </c>
      <c r="I73" s="218" t="s">
        <v>11804</v>
      </c>
      <c r="J73" s="218" t="s">
        <v>12503</v>
      </c>
      <c r="K73" s="218" t="s">
        <v>11814</v>
      </c>
      <c r="L73" s="218" t="s">
        <v>12394</v>
      </c>
      <c r="M73" s="218" t="s">
        <v>12395</v>
      </c>
      <c r="N73" s="218" t="s">
        <v>12510</v>
      </c>
      <c r="O73" s="218" t="s">
        <v>118</v>
      </c>
      <c r="P73" s="218">
        <v>1.5113202200003E14</v>
      </c>
    </row>
    <row r="74">
      <c r="A74" s="218" t="s">
        <v>11816</v>
      </c>
      <c r="C74" s="456">
        <v>44575.0</v>
      </c>
      <c r="D74" s="218">
        <v>168105.0</v>
      </c>
      <c r="E74" s="218">
        <v>1.0E8</v>
      </c>
      <c r="F74" s="218" t="s">
        <v>12424</v>
      </c>
      <c r="G74" s="218" t="s">
        <v>9491</v>
      </c>
      <c r="H74" s="218" t="s">
        <v>11818</v>
      </c>
      <c r="I74" s="218" t="s">
        <v>11817</v>
      </c>
      <c r="J74" s="218" t="s">
        <v>12511</v>
      </c>
      <c r="K74" s="218" t="s">
        <v>11816</v>
      </c>
      <c r="L74" s="218" t="s">
        <v>12394</v>
      </c>
      <c r="M74" s="218" t="s">
        <v>12395</v>
      </c>
      <c r="N74" s="218" t="s">
        <v>12512</v>
      </c>
      <c r="O74" s="218" t="s">
        <v>118</v>
      </c>
      <c r="P74" s="218">
        <v>1.51132022000071E14</v>
      </c>
    </row>
    <row r="75">
      <c r="A75" s="218" t="s">
        <v>11819</v>
      </c>
      <c r="C75" s="456">
        <v>44575.0</v>
      </c>
      <c r="D75" s="218">
        <v>168105.0</v>
      </c>
      <c r="E75" s="218">
        <v>1.0E8</v>
      </c>
      <c r="F75" s="218" t="s">
        <v>12505</v>
      </c>
      <c r="G75" s="218" t="s">
        <v>9491</v>
      </c>
      <c r="H75" s="218" t="s">
        <v>11820</v>
      </c>
      <c r="I75" s="218" t="s">
        <v>11817</v>
      </c>
      <c r="J75" s="218" t="s">
        <v>12511</v>
      </c>
      <c r="K75" s="218" t="s">
        <v>11819</v>
      </c>
      <c r="L75" s="218" t="s">
        <v>12394</v>
      </c>
      <c r="M75" s="218" t="s">
        <v>12395</v>
      </c>
      <c r="N75" s="218" t="s">
        <v>12513</v>
      </c>
      <c r="O75" s="218" t="s">
        <v>118</v>
      </c>
      <c r="P75" s="218">
        <v>1.51132022000029E14</v>
      </c>
    </row>
    <row r="76">
      <c r="A76" s="218" t="s">
        <v>11821</v>
      </c>
      <c r="C76" s="456">
        <v>44575.0</v>
      </c>
      <c r="D76" s="218">
        <v>168105.0</v>
      </c>
      <c r="E76" s="218">
        <v>1.0E8</v>
      </c>
      <c r="F76" s="218" t="s">
        <v>12424</v>
      </c>
      <c r="G76" s="218" t="s">
        <v>9429</v>
      </c>
      <c r="H76" s="218" t="s">
        <v>11823</v>
      </c>
      <c r="I76" s="218" t="s">
        <v>11822</v>
      </c>
      <c r="J76" s="218" t="s">
        <v>12514</v>
      </c>
      <c r="K76" s="218" t="s">
        <v>11821</v>
      </c>
      <c r="L76" s="218" t="s">
        <v>12394</v>
      </c>
      <c r="M76" s="218" t="s">
        <v>12395</v>
      </c>
      <c r="N76" s="218" t="s">
        <v>12443</v>
      </c>
      <c r="O76" s="218" t="s">
        <v>118</v>
      </c>
      <c r="P76" s="218">
        <v>1.51132022000023E14</v>
      </c>
    </row>
    <row r="77">
      <c r="A77" s="218" t="s">
        <v>11824</v>
      </c>
      <c r="C77" s="456">
        <v>44575.0</v>
      </c>
      <c r="D77" s="218">
        <v>168105.0</v>
      </c>
      <c r="E77" s="218">
        <v>1.0E8</v>
      </c>
      <c r="F77" s="218" t="s">
        <v>12437</v>
      </c>
      <c r="G77" s="218" t="s">
        <v>9556</v>
      </c>
      <c r="H77" s="218" t="s">
        <v>11826</v>
      </c>
      <c r="I77" s="218" t="s">
        <v>11825</v>
      </c>
      <c r="J77" s="218" t="s">
        <v>12515</v>
      </c>
      <c r="K77" s="218" t="s">
        <v>11824</v>
      </c>
      <c r="L77" s="218" t="s">
        <v>12394</v>
      </c>
      <c r="M77" s="218" t="s">
        <v>12395</v>
      </c>
      <c r="N77" s="218" t="s">
        <v>12516</v>
      </c>
      <c r="O77" s="218" t="s">
        <v>118</v>
      </c>
      <c r="P77" s="218">
        <v>1.51132022000069E14</v>
      </c>
    </row>
    <row r="78">
      <c r="A78" s="218" t="s">
        <v>11827</v>
      </c>
      <c r="C78" s="456">
        <v>44575.0</v>
      </c>
      <c r="D78" s="218">
        <v>168105.0</v>
      </c>
      <c r="E78" s="218">
        <v>1.0E8</v>
      </c>
      <c r="F78" s="218" t="s">
        <v>12424</v>
      </c>
      <c r="G78" s="218" t="s">
        <v>9556</v>
      </c>
      <c r="H78" s="218" t="s">
        <v>11828</v>
      </c>
      <c r="I78" s="218" t="s">
        <v>11825</v>
      </c>
      <c r="J78" s="218" t="s">
        <v>12515</v>
      </c>
      <c r="K78" s="218" t="s">
        <v>11827</v>
      </c>
      <c r="L78" s="218" t="s">
        <v>12394</v>
      </c>
      <c r="M78" s="218" t="s">
        <v>12395</v>
      </c>
      <c r="N78" s="218" t="s">
        <v>12517</v>
      </c>
      <c r="O78" s="218" t="s">
        <v>118</v>
      </c>
      <c r="P78" s="218">
        <v>1.5113202200004E14</v>
      </c>
    </row>
    <row r="79">
      <c r="A79" s="218" t="s">
        <v>11829</v>
      </c>
      <c r="C79" s="456">
        <v>44575.0</v>
      </c>
      <c r="D79" s="218">
        <v>168105.0</v>
      </c>
      <c r="E79" s="218">
        <v>1.0E8</v>
      </c>
      <c r="F79" s="218" t="s">
        <v>12424</v>
      </c>
      <c r="G79" s="218" t="s">
        <v>9743</v>
      </c>
      <c r="H79" s="218" t="s">
        <v>11830</v>
      </c>
      <c r="I79" s="218" t="s">
        <v>4367</v>
      </c>
      <c r="J79" s="218" t="s">
        <v>12518</v>
      </c>
      <c r="K79" s="218" t="s">
        <v>11829</v>
      </c>
      <c r="L79" s="218" t="s">
        <v>12394</v>
      </c>
      <c r="M79" s="218" t="s">
        <v>12395</v>
      </c>
      <c r="N79" s="218" t="s">
        <v>12519</v>
      </c>
      <c r="O79" s="218" t="s">
        <v>118</v>
      </c>
      <c r="P79" s="218">
        <v>1.51132022000048E14</v>
      </c>
    </row>
    <row r="80">
      <c r="A80" s="218" t="s">
        <v>11831</v>
      </c>
      <c r="C80" s="456">
        <v>44575.0</v>
      </c>
      <c r="D80" s="218">
        <v>168105.0</v>
      </c>
      <c r="E80" s="218">
        <v>1.0E8</v>
      </c>
      <c r="F80" s="218" t="s">
        <v>12424</v>
      </c>
      <c r="G80" s="218" t="s">
        <v>9743</v>
      </c>
      <c r="H80" s="218" t="s">
        <v>11833</v>
      </c>
      <c r="I80" s="218" t="s">
        <v>11832</v>
      </c>
      <c r="J80" s="218" t="s">
        <v>12520</v>
      </c>
      <c r="K80" s="218" t="s">
        <v>11831</v>
      </c>
      <c r="L80" s="218" t="s">
        <v>12394</v>
      </c>
      <c r="M80" s="218" t="s">
        <v>12395</v>
      </c>
      <c r="N80" s="218" t="s">
        <v>12521</v>
      </c>
      <c r="O80" s="218" t="s">
        <v>118</v>
      </c>
      <c r="P80" s="218">
        <v>1.51132022000048E14</v>
      </c>
    </row>
    <row r="81">
      <c r="A81" s="218" t="s">
        <v>11834</v>
      </c>
      <c r="C81" s="456">
        <v>44575.0</v>
      </c>
      <c r="D81" s="218">
        <v>168105.0</v>
      </c>
      <c r="E81" s="218">
        <v>1.0E8</v>
      </c>
      <c r="F81" s="218" t="s">
        <v>12437</v>
      </c>
      <c r="G81" s="218" t="s">
        <v>10287</v>
      </c>
      <c r="H81" s="218" t="s">
        <v>11836</v>
      </c>
      <c r="I81" s="218" t="s">
        <v>11835</v>
      </c>
      <c r="J81" s="218" t="s">
        <v>12522</v>
      </c>
      <c r="K81" s="218" t="s">
        <v>11834</v>
      </c>
      <c r="L81" s="218" t="s">
        <v>12394</v>
      </c>
      <c r="M81" s="218" t="s">
        <v>12395</v>
      </c>
      <c r="N81" s="218" t="s">
        <v>12523</v>
      </c>
      <c r="O81" s="218" t="s">
        <v>118</v>
      </c>
      <c r="P81" s="218">
        <v>1.51132022000059E14</v>
      </c>
    </row>
    <row r="82">
      <c r="A82" s="218" t="s">
        <v>11837</v>
      </c>
      <c r="C82" s="456">
        <v>44575.0</v>
      </c>
      <c r="D82" s="218">
        <v>168105.0</v>
      </c>
      <c r="E82" s="218">
        <v>1.0E8</v>
      </c>
      <c r="F82" s="218" t="s">
        <v>12424</v>
      </c>
      <c r="G82" s="218" t="s">
        <v>10287</v>
      </c>
      <c r="H82" s="218" t="s">
        <v>11838</v>
      </c>
      <c r="I82" s="218" t="s">
        <v>11835</v>
      </c>
      <c r="J82" s="218" t="s">
        <v>12522</v>
      </c>
      <c r="K82" s="218" t="s">
        <v>11837</v>
      </c>
      <c r="L82" s="218" t="s">
        <v>12394</v>
      </c>
      <c r="M82" s="218" t="s">
        <v>12395</v>
      </c>
      <c r="N82" s="218" t="s">
        <v>12524</v>
      </c>
      <c r="O82" s="218" t="s">
        <v>118</v>
      </c>
      <c r="P82" s="218">
        <v>1.51132022000012E14</v>
      </c>
    </row>
    <row r="83">
      <c r="A83" s="218" t="s">
        <v>11839</v>
      </c>
      <c r="C83" s="456">
        <v>44575.0</v>
      </c>
      <c r="D83" s="218">
        <v>168105.0</v>
      </c>
      <c r="E83" s="218">
        <v>1.0E8</v>
      </c>
      <c r="F83" s="218" t="s">
        <v>12424</v>
      </c>
      <c r="G83" s="218" t="s">
        <v>9573</v>
      </c>
      <c r="H83" s="218" t="s">
        <v>11841</v>
      </c>
      <c r="I83" s="218" t="s">
        <v>11840</v>
      </c>
      <c r="J83" s="218" t="s">
        <v>12525</v>
      </c>
      <c r="K83" s="218" t="s">
        <v>11839</v>
      </c>
      <c r="L83" s="218" t="s">
        <v>12394</v>
      </c>
      <c r="M83" s="218" t="s">
        <v>12395</v>
      </c>
      <c r="N83" s="218" t="s">
        <v>12526</v>
      </c>
      <c r="O83" s="218" t="s">
        <v>118</v>
      </c>
      <c r="P83" s="218">
        <v>1.51132022000012E14</v>
      </c>
    </row>
    <row r="84">
      <c r="A84" s="218" t="s">
        <v>11842</v>
      </c>
      <c r="C84" s="456">
        <v>44575.0</v>
      </c>
      <c r="D84" s="218">
        <v>168105.0</v>
      </c>
      <c r="E84" s="218">
        <v>1.0E8</v>
      </c>
      <c r="F84" s="218" t="s">
        <v>12424</v>
      </c>
      <c r="G84" s="218" t="s">
        <v>9569</v>
      </c>
      <c r="H84" s="218" t="s">
        <v>11843</v>
      </c>
      <c r="I84" s="218" t="s">
        <v>11840</v>
      </c>
      <c r="J84" s="218" t="s">
        <v>12527</v>
      </c>
      <c r="K84" s="218" t="s">
        <v>11842</v>
      </c>
      <c r="L84" s="218" t="s">
        <v>12394</v>
      </c>
      <c r="M84" s="218" t="s">
        <v>12395</v>
      </c>
      <c r="N84" s="218" t="s">
        <v>12528</v>
      </c>
      <c r="O84" s="218" t="s">
        <v>118</v>
      </c>
      <c r="P84" s="218">
        <v>1.51132022000012E14</v>
      </c>
    </row>
    <row r="85">
      <c r="A85" s="218" t="s">
        <v>11844</v>
      </c>
      <c r="C85" s="456">
        <v>44575.0</v>
      </c>
      <c r="D85" s="218">
        <v>168105.0</v>
      </c>
      <c r="E85" s="218">
        <v>1.0E8</v>
      </c>
      <c r="F85" s="218" t="s">
        <v>12424</v>
      </c>
      <c r="G85" s="218" t="s">
        <v>9596</v>
      </c>
      <c r="H85" s="218" t="s">
        <v>11846</v>
      </c>
      <c r="I85" s="218" t="s">
        <v>11845</v>
      </c>
      <c r="J85" s="218" t="s">
        <v>12529</v>
      </c>
      <c r="K85" s="218" t="s">
        <v>11844</v>
      </c>
      <c r="L85" s="218" t="s">
        <v>12394</v>
      </c>
      <c r="M85" s="218" t="s">
        <v>12395</v>
      </c>
      <c r="N85" s="218" t="s">
        <v>12530</v>
      </c>
      <c r="O85" s="218" t="s">
        <v>118</v>
      </c>
      <c r="P85" s="218">
        <v>1.51132022000012E14</v>
      </c>
    </row>
    <row r="86">
      <c r="A86" s="218" t="s">
        <v>11847</v>
      </c>
      <c r="C86" s="456">
        <v>44575.0</v>
      </c>
      <c r="D86" s="218">
        <v>168105.0</v>
      </c>
      <c r="E86" s="218">
        <v>1.0E8</v>
      </c>
      <c r="F86" s="218" t="s">
        <v>12424</v>
      </c>
      <c r="G86" s="218" t="s">
        <v>9994</v>
      </c>
      <c r="H86" s="218" t="s">
        <v>11848</v>
      </c>
      <c r="I86" s="218" t="s">
        <v>11845</v>
      </c>
      <c r="J86" s="218" t="s">
        <v>12529</v>
      </c>
      <c r="K86" s="218" t="s">
        <v>11847</v>
      </c>
      <c r="L86" s="218" t="s">
        <v>12394</v>
      </c>
      <c r="M86" s="218" t="s">
        <v>12395</v>
      </c>
      <c r="N86" s="218" t="s">
        <v>12531</v>
      </c>
      <c r="O86" s="218" t="s">
        <v>118</v>
      </c>
      <c r="P86" s="218">
        <v>1.51132022000012E14</v>
      </c>
    </row>
    <row r="87">
      <c r="A87" s="218" t="s">
        <v>11849</v>
      </c>
      <c r="C87" s="456">
        <v>44575.0</v>
      </c>
      <c r="D87" s="218">
        <v>168105.0</v>
      </c>
      <c r="E87" s="218">
        <v>1.0E8</v>
      </c>
      <c r="F87" s="218" t="s">
        <v>12424</v>
      </c>
      <c r="G87" s="218" t="s">
        <v>9566</v>
      </c>
      <c r="H87" s="218" t="s">
        <v>11850</v>
      </c>
      <c r="I87" s="218" t="s">
        <v>11840</v>
      </c>
      <c r="J87" s="218" t="s">
        <v>12527</v>
      </c>
      <c r="K87" s="218" t="s">
        <v>11849</v>
      </c>
      <c r="L87" s="218" t="s">
        <v>12394</v>
      </c>
      <c r="M87" s="218" t="s">
        <v>12395</v>
      </c>
      <c r="N87" s="218" t="s">
        <v>12532</v>
      </c>
      <c r="O87" s="218" t="s">
        <v>118</v>
      </c>
      <c r="P87" s="218">
        <v>1.51132022000012E14</v>
      </c>
    </row>
    <row r="88">
      <c r="A88" s="218" t="s">
        <v>11851</v>
      </c>
      <c r="C88" s="456">
        <v>44575.0</v>
      </c>
      <c r="D88" s="218">
        <v>168105.0</v>
      </c>
      <c r="E88" s="218">
        <v>1.0E8</v>
      </c>
      <c r="F88" s="218" t="s">
        <v>12424</v>
      </c>
      <c r="G88" s="218" t="s">
        <v>11854</v>
      </c>
      <c r="H88" s="218" t="s">
        <v>11853</v>
      </c>
      <c r="I88" s="218" t="s">
        <v>11852</v>
      </c>
      <c r="J88" s="218" t="s">
        <v>12533</v>
      </c>
      <c r="K88" s="218" t="s">
        <v>11851</v>
      </c>
      <c r="L88" s="218" t="s">
        <v>12394</v>
      </c>
      <c r="M88" s="218" t="s">
        <v>12395</v>
      </c>
      <c r="N88" s="218" t="s">
        <v>12428</v>
      </c>
      <c r="O88" s="218" t="s">
        <v>118</v>
      </c>
      <c r="P88" s="218">
        <v>1.51132022000022E14</v>
      </c>
    </row>
    <row r="89">
      <c r="A89" s="218" t="s">
        <v>11855</v>
      </c>
      <c r="C89" s="456">
        <v>44575.0</v>
      </c>
      <c r="D89" s="218">
        <v>168105.0</v>
      </c>
      <c r="E89" s="218">
        <v>1.0E8</v>
      </c>
      <c r="F89" s="218" t="s">
        <v>12424</v>
      </c>
      <c r="G89" s="218" t="s">
        <v>11858</v>
      </c>
      <c r="H89" s="218" t="s">
        <v>11857</v>
      </c>
      <c r="I89" s="218" t="s">
        <v>11856</v>
      </c>
      <c r="J89" s="218" t="s">
        <v>12534</v>
      </c>
      <c r="K89" s="218" t="s">
        <v>11855</v>
      </c>
      <c r="L89" s="218" t="s">
        <v>12394</v>
      </c>
      <c r="M89" s="218" t="s">
        <v>12395</v>
      </c>
      <c r="N89" s="218" t="s">
        <v>12535</v>
      </c>
      <c r="O89" s="218" t="s">
        <v>118</v>
      </c>
      <c r="P89" s="218">
        <v>1.51132022000025E14</v>
      </c>
    </row>
    <row r="90">
      <c r="A90" s="218" t="s">
        <v>11859</v>
      </c>
      <c r="C90" s="456">
        <v>44575.0</v>
      </c>
      <c r="D90" s="218">
        <v>168105.0</v>
      </c>
      <c r="E90" s="218">
        <v>1.0E8</v>
      </c>
      <c r="F90" s="218" t="s">
        <v>12437</v>
      </c>
      <c r="G90" s="218" t="s">
        <v>11858</v>
      </c>
      <c r="H90" s="218" t="s">
        <v>11860</v>
      </c>
      <c r="I90" s="218" t="s">
        <v>11856</v>
      </c>
      <c r="J90" s="218" t="s">
        <v>12534</v>
      </c>
      <c r="K90" s="218" t="s">
        <v>11859</v>
      </c>
      <c r="L90" s="218" t="s">
        <v>12394</v>
      </c>
      <c r="M90" s="218" t="s">
        <v>12395</v>
      </c>
      <c r="N90" s="218" t="s">
        <v>12536</v>
      </c>
      <c r="O90" s="218" t="s">
        <v>118</v>
      </c>
      <c r="P90" s="218">
        <v>1.51132022000064E14</v>
      </c>
    </row>
    <row r="91">
      <c r="A91" s="218" t="s">
        <v>11861</v>
      </c>
      <c r="C91" s="456">
        <v>44575.0</v>
      </c>
      <c r="D91" s="218">
        <v>168105.0</v>
      </c>
      <c r="E91" s="218">
        <v>1.0E8</v>
      </c>
      <c r="F91" s="218" t="s">
        <v>12437</v>
      </c>
      <c r="G91" s="218" t="s">
        <v>10491</v>
      </c>
      <c r="H91" s="218" t="s">
        <v>11863</v>
      </c>
      <c r="I91" s="218" t="s">
        <v>11862</v>
      </c>
      <c r="J91" s="218" t="s">
        <v>12537</v>
      </c>
      <c r="K91" s="218" t="s">
        <v>11861</v>
      </c>
      <c r="L91" s="218" t="s">
        <v>12394</v>
      </c>
      <c r="M91" s="218" t="s">
        <v>12395</v>
      </c>
      <c r="N91" s="218" t="s">
        <v>12438</v>
      </c>
      <c r="O91" s="218" t="s">
        <v>118</v>
      </c>
      <c r="P91" s="218">
        <v>1.51132022000065E14</v>
      </c>
    </row>
    <row r="92">
      <c r="A92" s="218" t="s">
        <v>11864</v>
      </c>
      <c r="C92" s="456">
        <v>44575.0</v>
      </c>
      <c r="D92" s="218">
        <v>168105.0</v>
      </c>
      <c r="E92" s="218">
        <v>1.0E8</v>
      </c>
      <c r="F92" s="218" t="s">
        <v>12424</v>
      </c>
      <c r="G92" s="218" t="s">
        <v>10491</v>
      </c>
      <c r="H92" s="218" t="s">
        <v>11865</v>
      </c>
      <c r="I92" s="218" t="s">
        <v>11862</v>
      </c>
      <c r="J92" s="218" t="s">
        <v>12537</v>
      </c>
      <c r="K92" s="218" t="s">
        <v>11864</v>
      </c>
      <c r="L92" s="218" t="s">
        <v>12394</v>
      </c>
      <c r="M92" s="218" t="s">
        <v>12395</v>
      </c>
      <c r="N92" s="218" t="s">
        <v>12538</v>
      </c>
      <c r="O92" s="218" t="s">
        <v>118</v>
      </c>
      <c r="P92" s="218">
        <v>1.51132022000019E14</v>
      </c>
    </row>
    <row r="93">
      <c r="A93" s="218" t="s">
        <v>11866</v>
      </c>
      <c r="C93" s="456">
        <v>44578.0</v>
      </c>
      <c r="D93" s="218">
        <v>168105.0</v>
      </c>
      <c r="E93" s="218">
        <v>1.0E8</v>
      </c>
      <c r="F93" s="218" t="s">
        <v>12437</v>
      </c>
      <c r="G93" s="218" t="s">
        <v>11868</v>
      </c>
      <c r="H93" s="218" t="s">
        <v>11867</v>
      </c>
      <c r="I93" s="218" t="s">
        <v>6856</v>
      </c>
      <c r="J93" s="218" t="s">
        <v>12539</v>
      </c>
      <c r="K93" s="218" t="s">
        <v>11866</v>
      </c>
      <c r="L93" s="218" t="s">
        <v>12458</v>
      </c>
      <c r="M93" s="218" t="s">
        <v>12395</v>
      </c>
      <c r="N93" s="218" t="s">
        <v>12540</v>
      </c>
      <c r="O93" s="218" t="s">
        <v>118</v>
      </c>
      <c r="P93" s="218">
        <v>1.51132022000201E14</v>
      </c>
    </row>
    <row r="94">
      <c r="A94" s="218" t="s">
        <v>179</v>
      </c>
      <c r="C94" s="456">
        <v>44578.0</v>
      </c>
      <c r="D94" s="218">
        <v>168105.0</v>
      </c>
      <c r="E94" s="218">
        <v>1.0E8</v>
      </c>
      <c r="F94" s="218" t="s">
        <v>12541</v>
      </c>
      <c r="G94" s="218" t="s">
        <v>174</v>
      </c>
      <c r="H94" s="218" t="s">
        <v>11869</v>
      </c>
      <c r="I94" s="218" t="s">
        <v>175</v>
      </c>
      <c r="J94" s="218" t="s">
        <v>12542</v>
      </c>
      <c r="K94" s="218" t="s">
        <v>179</v>
      </c>
      <c r="L94" s="218" t="s">
        <v>12394</v>
      </c>
      <c r="M94" s="218" t="s">
        <v>12395</v>
      </c>
      <c r="N94" s="218" t="s">
        <v>12543</v>
      </c>
      <c r="O94" s="218" t="s">
        <v>118</v>
      </c>
      <c r="P94" s="218">
        <v>1.51132022000082E14</v>
      </c>
    </row>
    <row r="95">
      <c r="A95" s="218" t="s">
        <v>429</v>
      </c>
      <c r="C95" s="456">
        <v>44579.0</v>
      </c>
      <c r="D95" s="218">
        <v>168105.0</v>
      </c>
      <c r="E95" s="218">
        <v>1.0E8</v>
      </c>
      <c r="F95" s="218" t="s">
        <v>12541</v>
      </c>
      <c r="G95" s="218" t="s">
        <v>426</v>
      </c>
      <c r="H95" s="218" t="s">
        <v>642</v>
      </c>
      <c r="I95" s="218" t="s">
        <v>427</v>
      </c>
      <c r="J95" s="218" t="s">
        <v>12544</v>
      </c>
      <c r="K95" s="218" t="s">
        <v>429</v>
      </c>
      <c r="L95" s="218" t="s">
        <v>12394</v>
      </c>
      <c r="M95" s="218" t="s">
        <v>12395</v>
      </c>
      <c r="N95" s="218" t="s">
        <v>12545</v>
      </c>
      <c r="O95" s="218" t="s">
        <v>118</v>
      </c>
      <c r="P95" s="218">
        <v>1.51132022000103E14</v>
      </c>
    </row>
    <row r="96">
      <c r="A96" s="218" t="s">
        <v>285</v>
      </c>
      <c r="C96" s="456">
        <v>44579.0</v>
      </c>
      <c r="D96" s="218">
        <v>168105.0</v>
      </c>
      <c r="E96" s="218">
        <v>1.0E8</v>
      </c>
      <c r="F96" s="218" t="s">
        <v>12541</v>
      </c>
      <c r="G96" s="218" t="s">
        <v>283</v>
      </c>
      <c r="H96" s="218" t="s">
        <v>631</v>
      </c>
      <c r="I96" s="218" t="s">
        <v>284</v>
      </c>
      <c r="J96" s="218" t="s">
        <v>12546</v>
      </c>
      <c r="K96" s="218" t="s">
        <v>285</v>
      </c>
      <c r="L96" s="218" t="s">
        <v>12394</v>
      </c>
      <c r="M96" s="218" t="s">
        <v>12395</v>
      </c>
      <c r="N96" s="218" t="s">
        <v>12547</v>
      </c>
      <c r="O96" s="218" t="s">
        <v>118</v>
      </c>
      <c r="P96" s="218">
        <v>1.51132022000084E14</v>
      </c>
    </row>
    <row r="97">
      <c r="A97" s="218" t="s">
        <v>309</v>
      </c>
      <c r="C97" s="456">
        <v>44579.0</v>
      </c>
      <c r="D97" s="218">
        <v>168105.0</v>
      </c>
      <c r="E97" s="218">
        <v>1.0E8</v>
      </c>
      <c r="F97" s="218" t="s">
        <v>12541</v>
      </c>
      <c r="G97" s="218" t="s">
        <v>307</v>
      </c>
      <c r="H97" s="218" t="s">
        <v>11870</v>
      </c>
      <c r="I97" s="218" t="s">
        <v>308</v>
      </c>
      <c r="J97" s="218" t="s">
        <v>12548</v>
      </c>
      <c r="K97" s="218" t="s">
        <v>309</v>
      </c>
      <c r="L97" s="218" t="s">
        <v>12394</v>
      </c>
      <c r="M97" s="218" t="s">
        <v>12395</v>
      </c>
      <c r="N97" s="218" t="s">
        <v>12516</v>
      </c>
      <c r="O97" s="218" t="s">
        <v>110</v>
      </c>
      <c r="P97" s="218">
        <v>1.51132022000093E14</v>
      </c>
    </row>
    <row r="98">
      <c r="A98" s="218" t="s">
        <v>257</v>
      </c>
      <c r="C98" s="456">
        <v>44579.0</v>
      </c>
      <c r="D98" s="218">
        <v>168105.0</v>
      </c>
      <c r="E98" s="218">
        <v>1.0E8</v>
      </c>
      <c r="F98" s="218" t="s">
        <v>12541</v>
      </c>
      <c r="G98" s="218" t="s">
        <v>254</v>
      </c>
      <c r="H98" s="218" t="s">
        <v>11871</v>
      </c>
      <c r="I98" s="218" t="s">
        <v>255</v>
      </c>
      <c r="J98" s="218" t="s">
        <v>12549</v>
      </c>
      <c r="K98" s="218" t="s">
        <v>257</v>
      </c>
      <c r="L98" s="218" t="s">
        <v>12394</v>
      </c>
      <c r="M98" s="218" t="s">
        <v>12395</v>
      </c>
      <c r="N98" s="218" t="s">
        <v>12550</v>
      </c>
      <c r="O98" s="218" t="s">
        <v>118</v>
      </c>
      <c r="P98" s="218">
        <v>1.51132022000085E14</v>
      </c>
    </row>
    <row r="99">
      <c r="A99" s="218" t="s">
        <v>224</v>
      </c>
      <c r="C99" s="456">
        <v>44579.0</v>
      </c>
      <c r="D99" s="218">
        <v>168105.0</v>
      </c>
      <c r="E99" s="218">
        <v>1.0E8</v>
      </c>
      <c r="F99" s="218" t="s">
        <v>12541</v>
      </c>
      <c r="G99" s="218" t="s">
        <v>222</v>
      </c>
      <c r="H99" s="218" t="s">
        <v>11872</v>
      </c>
      <c r="I99" s="218" t="s">
        <v>223</v>
      </c>
      <c r="J99" s="218" t="s">
        <v>12464</v>
      </c>
      <c r="K99" s="218" t="s">
        <v>224</v>
      </c>
      <c r="L99" s="218" t="s">
        <v>12394</v>
      </c>
      <c r="M99" s="218" t="s">
        <v>12395</v>
      </c>
      <c r="N99" s="218" t="s">
        <v>12551</v>
      </c>
      <c r="O99" s="218" t="s">
        <v>118</v>
      </c>
      <c r="P99" s="218">
        <v>1.51132022000094E14</v>
      </c>
    </row>
    <row r="100">
      <c r="A100" s="218" t="s">
        <v>170</v>
      </c>
      <c r="C100" s="456">
        <v>44579.0</v>
      </c>
      <c r="D100" s="218">
        <v>168105.0</v>
      </c>
      <c r="E100" s="218">
        <v>1.0E8</v>
      </c>
      <c r="F100" s="218" t="s">
        <v>12541</v>
      </c>
      <c r="G100" s="218" t="s">
        <v>168</v>
      </c>
      <c r="H100" s="218" t="s">
        <v>11873</v>
      </c>
      <c r="I100" s="218" t="s">
        <v>12552</v>
      </c>
      <c r="J100" s="218" t="s">
        <v>12553</v>
      </c>
      <c r="K100" s="218" t="s">
        <v>170</v>
      </c>
      <c r="L100" s="218" t="s">
        <v>12394</v>
      </c>
      <c r="M100" s="218" t="s">
        <v>12395</v>
      </c>
      <c r="N100" s="218" t="s">
        <v>12554</v>
      </c>
      <c r="O100" s="218" t="s">
        <v>118</v>
      </c>
      <c r="P100" s="218">
        <v>1.51132022000086E14</v>
      </c>
    </row>
    <row r="101">
      <c r="A101" s="218" t="s">
        <v>522</v>
      </c>
      <c r="C101" s="456">
        <v>44579.0</v>
      </c>
      <c r="D101" s="218">
        <v>168107.0</v>
      </c>
      <c r="E101" s="218">
        <v>1.0E8</v>
      </c>
      <c r="F101" s="218" t="s">
        <v>12456</v>
      </c>
      <c r="G101" s="218" t="s">
        <v>149</v>
      </c>
      <c r="H101" s="218" t="s">
        <v>11874</v>
      </c>
      <c r="I101" s="218" t="s">
        <v>150</v>
      </c>
      <c r="J101" s="218" t="s">
        <v>12555</v>
      </c>
      <c r="K101" s="218" t="s">
        <v>522</v>
      </c>
      <c r="L101" s="218" t="s">
        <v>12458</v>
      </c>
      <c r="M101" s="218" t="s">
        <v>12395</v>
      </c>
      <c r="N101" s="218" t="s">
        <v>12556</v>
      </c>
      <c r="O101" s="218" t="s">
        <v>118</v>
      </c>
      <c r="P101" s="218">
        <v>1.51132022000102E14</v>
      </c>
    </row>
    <row r="102">
      <c r="A102" s="218" t="s">
        <v>11875</v>
      </c>
      <c r="C102" s="456">
        <v>44579.0</v>
      </c>
      <c r="D102" s="218">
        <v>168105.0</v>
      </c>
      <c r="E102" s="218">
        <v>1.5015113E8</v>
      </c>
      <c r="F102" s="218" t="s">
        <v>12456</v>
      </c>
      <c r="G102" s="218" t="s">
        <v>11877</v>
      </c>
      <c r="H102" s="218" t="s">
        <v>11876</v>
      </c>
      <c r="I102" s="218" t="s">
        <v>11835</v>
      </c>
      <c r="J102" s="218" t="s">
        <v>12522</v>
      </c>
      <c r="K102" s="218" t="s">
        <v>11875</v>
      </c>
      <c r="L102" s="218" t="s">
        <v>12458</v>
      </c>
      <c r="M102" s="218" t="s">
        <v>12395</v>
      </c>
      <c r="N102" s="218" t="s">
        <v>12557</v>
      </c>
      <c r="O102" s="218" t="s">
        <v>118</v>
      </c>
      <c r="P102" s="218">
        <v>1.51132022000012E14</v>
      </c>
    </row>
    <row r="103">
      <c r="A103" s="218" t="s">
        <v>11878</v>
      </c>
      <c r="C103" s="456">
        <v>44579.0</v>
      </c>
      <c r="D103" s="218">
        <v>168097.0</v>
      </c>
      <c r="E103" s="218">
        <v>1.0E8</v>
      </c>
      <c r="F103" s="218" t="s">
        <v>12558</v>
      </c>
      <c r="G103" s="218" t="s">
        <v>11880</v>
      </c>
      <c r="H103" s="218" t="s">
        <v>11879</v>
      </c>
      <c r="I103" s="218" t="s">
        <v>11650</v>
      </c>
      <c r="J103" s="218">
        <v>510001.0</v>
      </c>
      <c r="K103" s="218" t="s">
        <v>11878</v>
      </c>
      <c r="L103" s="218" t="s">
        <v>12394</v>
      </c>
      <c r="M103" s="218" t="s">
        <v>12395</v>
      </c>
      <c r="N103" s="218" t="s">
        <v>12559</v>
      </c>
      <c r="O103" s="218" t="s">
        <v>118</v>
      </c>
      <c r="P103" s="218">
        <v>1.51132022000205E14</v>
      </c>
    </row>
    <row r="104">
      <c r="A104" s="218" t="s">
        <v>465</v>
      </c>
      <c r="C104" s="456">
        <v>44580.0</v>
      </c>
      <c r="D104" s="218">
        <v>168105.0</v>
      </c>
      <c r="E104" s="218">
        <v>1.0E8</v>
      </c>
      <c r="F104" s="218" t="s">
        <v>12541</v>
      </c>
      <c r="G104" s="218" t="s">
        <v>462</v>
      </c>
      <c r="H104" s="218" t="s">
        <v>622</v>
      </c>
      <c r="I104" s="218" t="s">
        <v>463</v>
      </c>
      <c r="J104" s="218" t="s">
        <v>12560</v>
      </c>
      <c r="K104" s="218" t="s">
        <v>465</v>
      </c>
      <c r="L104" s="218" t="s">
        <v>12394</v>
      </c>
      <c r="M104" s="218" t="s">
        <v>12395</v>
      </c>
      <c r="N104" s="218" t="s">
        <v>12561</v>
      </c>
      <c r="O104" s="218" t="s">
        <v>118</v>
      </c>
      <c r="P104" s="218">
        <v>1.51132022000104E14</v>
      </c>
    </row>
    <row r="105">
      <c r="A105" s="218" t="s">
        <v>294</v>
      </c>
      <c r="C105" s="456">
        <v>44580.0</v>
      </c>
      <c r="D105" s="218">
        <v>168105.0</v>
      </c>
      <c r="E105" s="218">
        <v>1.0E8</v>
      </c>
      <c r="F105" s="218" t="s">
        <v>12541</v>
      </c>
      <c r="G105" s="218" t="s">
        <v>290</v>
      </c>
      <c r="H105" s="218" t="s">
        <v>632</v>
      </c>
      <c r="I105" s="218" t="s">
        <v>291</v>
      </c>
      <c r="J105" s="218">
        <v>806030.0</v>
      </c>
      <c r="K105" s="218" t="s">
        <v>294</v>
      </c>
      <c r="L105" s="218" t="s">
        <v>12394</v>
      </c>
      <c r="M105" s="218" t="s">
        <v>12395</v>
      </c>
      <c r="N105" s="218" t="s">
        <v>12562</v>
      </c>
      <c r="O105" s="218" t="s">
        <v>110</v>
      </c>
      <c r="P105" s="218">
        <v>1.51132022000092E14</v>
      </c>
    </row>
    <row r="106">
      <c r="A106" s="218" t="s">
        <v>387</v>
      </c>
      <c r="C106" s="456">
        <v>44580.0</v>
      </c>
      <c r="D106" s="218">
        <v>168105.0</v>
      </c>
      <c r="E106" s="218">
        <v>1.0E8</v>
      </c>
      <c r="F106" s="218" t="s">
        <v>12541</v>
      </c>
      <c r="G106" s="218" t="s">
        <v>385</v>
      </c>
      <c r="H106" s="218" t="s">
        <v>11881</v>
      </c>
      <c r="I106" s="218" t="s">
        <v>386</v>
      </c>
      <c r="J106" s="218" t="s">
        <v>12563</v>
      </c>
      <c r="K106" s="218" t="s">
        <v>387</v>
      </c>
      <c r="L106" s="218" t="s">
        <v>12394</v>
      </c>
      <c r="M106" s="218" t="s">
        <v>12395</v>
      </c>
      <c r="N106" s="218" t="s">
        <v>12564</v>
      </c>
      <c r="O106" s="218" t="s">
        <v>118</v>
      </c>
      <c r="P106" s="218">
        <v>1.51132022000108E14</v>
      </c>
    </row>
    <row r="107">
      <c r="A107" s="218" t="s">
        <v>11882</v>
      </c>
      <c r="C107" s="456">
        <v>44581.0</v>
      </c>
      <c r="D107" s="218">
        <v>168105.0</v>
      </c>
      <c r="E107" s="218">
        <v>1.5015113E8</v>
      </c>
      <c r="F107" s="218" t="s">
        <v>12456</v>
      </c>
      <c r="G107" s="218" t="s">
        <v>9405</v>
      </c>
      <c r="H107" s="218" t="s">
        <v>11883</v>
      </c>
      <c r="I107" s="218" t="s">
        <v>5044</v>
      </c>
      <c r="J107" s="218" t="s">
        <v>12565</v>
      </c>
      <c r="K107" s="218" t="s">
        <v>11882</v>
      </c>
      <c r="L107" s="218" t="s">
        <v>12458</v>
      </c>
      <c r="M107" s="218" t="s">
        <v>12395</v>
      </c>
      <c r="N107" s="218" t="s">
        <v>12566</v>
      </c>
      <c r="O107" s="218" t="s">
        <v>118</v>
      </c>
      <c r="P107" s="218">
        <v>1.51132022000032E14</v>
      </c>
    </row>
    <row r="108">
      <c r="A108" s="218" t="s">
        <v>470</v>
      </c>
      <c r="C108" s="456">
        <v>44581.0</v>
      </c>
      <c r="D108" s="218">
        <v>168107.0</v>
      </c>
      <c r="E108" s="218">
        <v>1.0E8</v>
      </c>
      <c r="F108" s="218" t="s">
        <v>12541</v>
      </c>
      <c r="G108" s="218" t="s">
        <v>468</v>
      </c>
      <c r="H108" s="218" t="s">
        <v>11884</v>
      </c>
      <c r="I108" s="218" t="s">
        <v>469</v>
      </c>
      <c r="J108" s="218" t="s">
        <v>12567</v>
      </c>
      <c r="K108" s="218" t="s">
        <v>470</v>
      </c>
      <c r="L108" s="218" t="s">
        <v>12394</v>
      </c>
      <c r="M108" s="218" t="s">
        <v>12395</v>
      </c>
      <c r="N108" s="218" t="s">
        <v>12568</v>
      </c>
      <c r="O108" s="218" t="s">
        <v>118</v>
      </c>
      <c r="P108" s="218">
        <v>1.51132022000101E14</v>
      </c>
    </row>
    <row r="109">
      <c r="A109" s="218" t="s">
        <v>394</v>
      </c>
      <c r="C109" s="456">
        <v>44581.0</v>
      </c>
      <c r="D109" s="218">
        <v>168107.0</v>
      </c>
      <c r="E109" s="218">
        <v>1.0E8</v>
      </c>
      <c r="F109" s="218" t="s">
        <v>12541</v>
      </c>
      <c r="G109" s="218" t="s">
        <v>391</v>
      </c>
      <c r="H109" s="218" t="s">
        <v>11885</v>
      </c>
      <c r="I109" s="218" t="s">
        <v>392</v>
      </c>
      <c r="J109" s="218" t="s">
        <v>12569</v>
      </c>
      <c r="K109" s="218" t="s">
        <v>394</v>
      </c>
      <c r="L109" s="218" t="s">
        <v>12394</v>
      </c>
      <c r="M109" s="218" t="s">
        <v>12395</v>
      </c>
      <c r="N109" s="218" t="s">
        <v>12570</v>
      </c>
      <c r="O109" s="218" t="s">
        <v>118</v>
      </c>
      <c r="P109" s="218">
        <v>1.51132022000089E14</v>
      </c>
    </row>
    <row r="110">
      <c r="A110" s="218" t="s">
        <v>11886</v>
      </c>
      <c r="C110" s="456">
        <v>44581.0</v>
      </c>
      <c r="D110" s="218">
        <v>168105.0</v>
      </c>
      <c r="E110" s="218">
        <v>1.0E8</v>
      </c>
      <c r="F110" s="218" t="s">
        <v>12541</v>
      </c>
      <c r="G110" s="218" t="s">
        <v>487</v>
      </c>
      <c r="H110" s="218" t="s">
        <v>11887</v>
      </c>
      <c r="I110" s="218" t="s">
        <v>200</v>
      </c>
      <c r="J110" s="218" t="s">
        <v>12571</v>
      </c>
      <c r="K110" s="218" t="s">
        <v>11886</v>
      </c>
      <c r="L110" s="218" t="s">
        <v>12394</v>
      </c>
      <c r="M110" s="218" t="s">
        <v>12395</v>
      </c>
      <c r="N110" s="218" t="s">
        <v>12572</v>
      </c>
      <c r="O110" s="218" t="s">
        <v>118</v>
      </c>
      <c r="P110" s="218">
        <v>1.51132022000093E14</v>
      </c>
    </row>
    <row r="111">
      <c r="A111" s="218" t="s">
        <v>201</v>
      </c>
      <c r="C111" s="456">
        <v>44581.0</v>
      </c>
      <c r="D111" s="218">
        <v>168105.0</v>
      </c>
      <c r="E111" s="218">
        <v>1.0E8</v>
      </c>
      <c r="F111" s="218" t="s">
        <v>12541</v>
      </c>
      <c r="G111" s="218" t="s">
        <v>199</v>
      </c>
      <c r="H111" s="218" t="s">
        <v>11888</v>
      </c>
      <c r="I111" s="218" t="s">
        <v>200</v>
      </c>
      <c r="J111" s="218" t="s">
        <v>12571</v>
      </c>
      <c r="K111" s="218" t="s">
        <v>201</v>
      </c>
      <c r="L111" s="218" t="s">
        <v>12394</v>
      </c>
      <c r="M111" s="218" t="s">
        <v>12395</v>
      </c>
      <c r="N111" s="218" t="s">
        <v>12573</v>
      </c>
      <c r="O111" s="218" t="s">
        <v>118</v>
      </c>
      <c r="P111" s="218">
        <v>1.51132022000091E14</v>
      </c>
    </row>
    <row r="112">
      <c r="A112" s="218" t="s">
        <v>11889</v>
      </c>
      <c r="C112" s="456">
        <v>44582.0</v>
      </c>
      <c r="D112" s="218">
        <v>90162.0</v>
      </c>
      <c r="E112" s="218">
        <v>1.0E8</v>
      </c>
      <c r="F112" s="218" t="s">
        <v>12399</v>
      </c>
      <c r="G112" s="218" t="s">
        <v>11893</v>
      </c>
      <c r="H112" s="218" t="s">
        <v>11892</v>
      </c>
      <c r="I112" s="218" t="s">
        <v>11890</v>
      </c>
      <c r="J112" s="218" t="s">
        <v>11891</v>
      </c>
      <c r="K112" s="218" t="s">
        <v>11889</v>
      </c>
      <c r="L112" s="218" t="s">
        <v>12458</v>
      </c>
      <c r="M112" s="218" t="s">
        <v>12395</v>
      </c>
      <c r="N112" s="218" t="s">
        <v>12574</v>
      </c>
      <c r="O112" s="218" t="s">
        <v>118</v>
      </c>
      <c r="P112" s="218">
        <v>1.5113202200021E14</v>
      </c>
    </row>
    <row r="113">
      <c r="A113" s="218" t="s">
        <v>11894</v>
      </c>
      <c r="C113" s="456">
        <v>44582.0</v>
      </c>
      <c r="D113" s="218">
        <v>168099.0</v>
      </c>
      <c r="E113" s="218">
        <v>1.56E8</v>
      </c>
      <c r="F113" s="218" t="s">
        <v>12575</v>
      </c>
      <c r="G113" s="218" t="s">
        <v>11644</v>
      </c>
      <c r="H113" s="218" t="s">
        <v>11895</v>
      </c>
      <c r="I113" s="218" t="s">
        <v>11642</v>
      </c>
      <c r="J113" s="218">
        <v>80013.0</v>
      </c>
      <c r="K113" s="218" t="s">
        <v>11894</v>
      </c>
      <c r="L113" s="218" t="s">
        <v>12394</v>
      </c>
      <c r="M113" s="218" t="s">
        <v>12395</v>
      </c>
      <c r="N113" s="218" t="s">
        <v>12576</v>
      </c>
      <c r="O113" s="218" t="s">
        <v>110</v>
      </c>
      <c r="P113" s="218">
        <v>1.5113202200018E14</v>
      </c>
    </row>
    <row r="114">
      <c r="A114" s="218" t="s">
        <v>11896</v>
      </c>
      <c r="C114" s="456">
        <v>44582.0</v>
      </c>
      <c r="D114" s="218">
        <v>168098.0</v>
      </c>
      <c r="E114" s="218">
        <v>1.0E8</v>
      </c>
      <c r="F114" s="218" t="s">
        <v>12575</v>
      </c>
      <c r="G114" s="218" t="s">
        <v>11644</v>
      </c>
      <c r="H114" s="218" t="s">
        <v>11897</v>
      </c>
      <c r="I114" s="218" t="s">
        <v>11655</v>
      </c>
      <c r="J114" s="218" t="s">
        <v>12405</v>
      </c>
      <c r="K114" s="218" t="s">
        <v>11896</v>
      </c>
      <c r="L114" s="218" t="s">
        <v>12394</v>
      </c>
      <c r="M114" s="218" t="s">
        <v>12395</v>
      </c>
      <c r="N114" s="218" t="s">
        <v>12577</v>
      </c>
      <c r="O114" s="218" t="s">
        <v>118</v>
      </c>
      <c r="P114" s="218">
        <v>1.51132022000177E14</v>
      </c>
    </row>
    <row r="115">
      <c r="A115" s="218" t="s">
        <v>11898</v>
      </c>
      <c r="C115" s="456">
        <v>44582.0</v>
      </c>
      <c r="D115" s="218">
        <v>168098.0</v>
      </c>
      <c r="E115" s="218">
        <v>1.0E8</v>
      </c>
      <c r="F115" s="218" t="s">
        <v>12575</v>
      </c>
      <c r="G115" s="218" t="s">
        <v>11644</v>
      </c>
      <c r="H115" s="218" t="s">
        <v>11899</v>
      </c>
      <c r="I115" s="218" t="s">
        <v>11642</v>
      </c>
      <c r="J115" s="218">
        <v>80013.0</v>
      </c>
      <c r="K115" s="218" t="s">
        <v>11898</v>
      </c>
      <c r="L115" s="218" t="s">
        <v>12394</v>
      </c>
      <c r="M115" s="218" t="s">
        <v>12395</v>
      </c>
      <c r="N115" s="218" t="s">
        <v>12578</v>
      </c>
      <c r="O115" s="218" t="s">
        <v>118</v>
      </c>
      <c r="P115" s="218">
        <v>1.51132022000175E14</v>
      </c>
    </row>
    <row r="116">
      <c r="A116" s="218" t="s">
        <v>11900</v>
      </c>
      <c r="C116" s="456">
        <v>44582.0</v>
      </c>
      <c r="D116" s="218">
        <v>168095.0</v>
      </c>
      <c r="E116" s="218">
        <v>1.0E8</v>
      </c>
      <c r="F116" s="218" t="s">
        <v>12579</v>
      </c>
      <c r="G116" s="218" t="s">
        <v>11644</v>
      </c>
      <c r="H116" s="218" t="s">
        <v>11901</v>
      </c>
      <c r="I116" s="218" t="s">
        <v>11653</v>
      </c>
      <c r="J116" s="218">
        <v>170502.0</v>
      </c>
      <c r="K116" s="218" t="s">
        <v>11900</v>
      </c>
      <c r="L116" s="218" t="s">
        <v>12394</v>
      </c>
      <c r="M116" s="218" t="s">
        <v>12395</v>
      </c>
      <c r="N116" s="218" t="s">
        <v>12580</v>
      </c>
      <c r="O116" s="218" t="s">
        <v>118</v>
      </c>
      <c r="P116" s="218">
        <v>1.51132022000181E14</v>
      </c>
    </row>
    <row r="117">
      <c r="A117" s="218" t="s">
        <v>524</v>
      </c>
      <c r="C117" s="456">
        <v>44585.0</v>
      </c>
      <c r="D117" s="218">
        <v>168107.0</v>
      </c>
      <c r="E117" s="218">
        <v>1.0E8</v>
      </c>
      <c r="F117" s="218" t="s">
        <v>12456</v>
      </c>
      <c r="G117" s="218" t="s">
        <v>468</v>
      </c>
      <c r="H117" s="218" t="s">
        <v>11902</v>
      </c>
      <c r="I117" s="218" t="s">
        <v>469</v>
      </c>
      <c r="J117" s="218" t="s">
        <v>12567</v>
      </c>
      <c r="K117" s="218" t="s">
        <v>524</v>
      </c>
      <c r="L117" s="218" t="s">
        <v>12458</v>
      </c>
      <c r="M117" s="218" t="s">
        <v>12395</v>
      </c>
      <c r="N117" s="218" t="s">
        <v>12581</v>
      </c>
      <c r="O117" s="218" t="s">
        <v>118</v>
      </c>
      <c r="P117" s="218">
        <v>1.51132022000101E14</v>
      </c>
    </row>
    <row r="118">
      <c r="A118" s="218" t="s">
        <v>517</v>
      </c>
      <c r="C118" s="456">
        <v>44585.0</v>
      </c>
      <c r="D118" s="218">
        <v>168105.0</v>
      </c>
      <c r="E118" s="218">
        <v>1.0E8</v>
      </c>
      <c r="F118" s="218" t="s">
        <v>12456</v>
      </c>
      <c r="G118" s="218" t="s">
        <v>207</v>
      </c>
      <c r="H118" s="218" t="s">
        <v>11903</v>
      </c>
      <c r="I118" s="218" t="s">
        <v>208</v>
      </c>
      <c r="J118" s="218" t="s">
        <v>12582</v>
      </c>
      <c r="K118" s="218" t="s">
        <v>517</v>
      </c>
      <c r="L118" s="218" t="s">
        <v>12458</v>
      </c>
      <c r="M118" s="218" t="s">
        <v>12395</v>
      </c>
      <c r="N118" s="218" t="s">
        <v>12583</v>
      </c>
      <c r="O118" s="218" t="s">
        <v>118</v>
      </c>
      <c r="P118" s="218">
        <v>1.51132022000078E14</v>
      </c>
    </row>
    <row r="119">
      <c r="A119" s="218" t="s">
        <v>11904</v>
      </c>
      <c r="C119" s="456">
        <v>44574.0</v>
      </c>
      <c r="D119" s="218">
        <v>168105.0</v>
      </c>
      <c r="E119" s="218">
        <v>1.0E8</v>
      </c>
      <c r="F119" s="218" t="s">
        <v>12424</v>
      </c>
      <c r="G119" s="218" t="s">
        <v>11906</v>
      </c>
      <c r="H119" s="218" t="s">
        <v>11905</v>
      </c>
      <c r="I119" s="218" t="s">
        <v>1462</v>
      </c>
      <c r="J119" s="218" t="s">
        <v>12584</v>
      </c>
      <c r="K119" s="218" t="s">
        <v>11904</v>
      </c>
      <c r="L119" s="218" t="s">
        <v>12458</v>
      </c>
      <c r="M119" s="218" t="s">
        <v>12395</v>
      </c>
      <c r="N119" s="218" t="s">
        <v>12585</v>
      </c>
      <c r="O119" s="218" t="s">
        <v>118</v>
      </c>
      <c r="P119" s="218">
        <v>1.51132022000027E14</v>
      </c>
    </row>
    <row r="120">
      <c r="A120" s="218" t="s">
        <v>11907</v>
      </c>
      <c r="C120" s="456">
        <v>44586.0</v>
      </c>
      <c r="D120" s="218">
        <v>168105.0</v>
      </c>
      <c r="E120" s="218">
        <v>1.0E8</v>
      </c>
      <c r="F120" s="218" t="s">
        <v>12456</v>
      </c>
      <c r="G120" s="218" t="s">
        <v>11909</v>
      </c>
      <c r="H120" s="218" t="s">
        <v>11908</v>
      </c>
      <c r="I120" s="218" t="s">
        <v>4880</v>
      </c>
      <c r="J120" s="218" t="s">
        <v>12586</v>
      </c>
      <c r="K120" s="218" t="s">
        <v>11907</v>
      </c>
      <c r="L120" s="218" t="s">
        <v>12458</v>
      </c>
      <c r="M120" s="218" t="s">
        <v>12395</v>
      </c>
      <c r="N120" s="218" t="s">
        <v>12587</v>
      </c>
      <c r="O120" s="218" t="s">
        <v>118</v>
      </c>
      <c r="P120" s="218">
        <v>1.51132022000035E14</v>
      </c>
    </row>
    <row r="121">
      <c r="A121" s="218" t="s">
        <v>152</v>
      </c>
      <c r="C121" s="456">
        <v>44588.0</v>
      </c>
      <c r="D121" s="218">
        <v>168107.0</v>
      </c>
      <c r="E121" s="218">
        <v>1.0E8</v>
      </c>
      <c r="F121" s="218" t="s">
        <v>12541</v>
      </c>
      <c r="G121" s="218" t="s">
        <v>149</v>
      </c>
      <c r="H121" s="218" t="s">
        <v>649</v>
      </c>
      <c r="I121" s="218" t="s">
        <v>150</v>
      </c>
      <c r="J121" s="218" t="s">
        <v>12555</v>
      </c>
      <c r="K121" s="218" t="s">
        <v>152</v>
      </c>
      <c r="L121" s="218" t="s">
        <v>12394</v>
      </c>
      <c r="M121" s="218" t="s">
        <v>12395</v>
      </c>
      <c r="N121" s="218" t="s">
        <v>12588</v>
      </c>
      <c r="O121" s="218" t="s">
        <v>118</v>
      </c>
      <c r="P121" s="218">
        <v>1.51132022000102E14</v>
      </c>
    </row>
    <row r="122">
      <c r="A122" s="218" t="s">
        <v>187</v>
      </c>
      <c r="C122" s="456">
        <v>44588.0</v>
      </c>
      <c r="D122" s="218">
        <v>168107.0</v>
      </c>
      <c r="E122" s="218">
        <v>1.0E8</v>
      </c>
      <c r="F122" s="218" t="s">
        <v>12541</v>
      </c>
      <c r="G122" s="218" t="s">
        <v>185</v>
      </c>
      <c r="H122" s="218" t="s">
        <v>11910</v>
      </c>
      <c r="I122" s="218" t="s">
        <v>186</v>
      </c>
      <c r="J122" s="218" t="s">
        <v>12589</v>
      </c>
      <c r="K122" s="218" t="s">
        <v>187</v>
      </c>
      <c r="L122" s="218" t="s">
        <v>12394</v>
      </c>
      <c r="M122" s="218" t="s">
        <v>12395</v>
      </c>
      <c r="N122" s="218" t="s">
        <v>12590</v>
      </c>
      <c r="O122" s="218" t="s">
        <v>118</v>
      </c>
      <c r="P122" s="218">
        <v>1.5113202200009E14</v>
      </c>
    </row>
    <row r="123">
      <c r="A123" s="218" t="s">
        <v>231</v>
      </c>
      <c r="C123" s="456">
        <v>44588.0</v>
      </c>
      <c r="D123" s="218">
        <v>168107.0</v>
      </c>
      <c r="E123" s="218">
        <v>1.0E8</v>
      </c>
      <c r="F123" s="218" t="s">
        <v>12541</v>
      </c>
      <c r="G123" s="218" t="s">
        <v>230</v>
      </c>
      <c r="H123" s="218" t="s">
        <v>653</v>
      </c>
      <c r="I123" s="218" t="s">
        <v>200</v>
      </c>
      <c r="J123" s="218" t="s">
        <v>12571</v>
      </c>
      <c r="K123" s="218" t="s">
        <v>231</v>
      </c>
      <c r="L123" s="218" t="s">
        <v>12394</v>
      </c>
      <c r="M123" s="218" t="s">
        <v>12395</v>
      </c>
      <c r="N123" s="218" t="s">
        <v>12591</v>
      </c>
      <c r="O123" s="218" t="s">
        <v>118</v>
      </c>
      <c r="P123" s="218">
        <v>1.51132022000089E14</v>
      </c>
    </row>
    <row r="124">
      <c r="A124" s="218" t="s">
        <v>263</v>
      </c>
      <c r="C124" s="456">
        <v>44588.0</v>
      </c>
      <c r="D124" s="218">
        <v>168107.0</v>
      </c>
      <c r="E124" s="218">
        <v>1.0E8</v>
      </c>
      <c r="F124" s="218" t="s">
        <v>12541</v>
      </c>
      <c r="G124" s="218" t="s">
        <v>261</v>
      </c>
      <c r="H124" s="218" t="s">
        <v>654</v>
      </c>
      <c r="I124" s="218" t="s">
        <v>262</v>
      </c>
      <c r="J124" s="218" t="s">
        <v>12592</v>
      </c>
      <c r="K124" s="218" t="s">
        <v>263</v>
      </c>
      <c r="L124" s="218" t="s">
        <v>12394</v>
      </c>
      <c r="M124" s="218" t="s">
        <v>12395</v>
      </c>
      <c r="N124" s="218" t="s">
        <v>12593</v>
      </c>
      <c r="O124" s="218" t="s">
        <v>118</v>
      </c>
      <c r="P124" s="218">
        <v>1.511320220001E14</v>
      </c>
    </row>
    <row r="125">
      <c r="A125" s="218" t="s">
        <v>399</v>
      </c>
      <c r="C125" s="456">
        <v>44588.0</v>
      </c>
      <c r="D125" s="218">
        <v>168107.0</v>
      </c>
      <c r="E125" s="218">
        <v>1.0E8</v>
      </c>
      <c r="F125" s="218" t="s">
        <v>12541</v>
      </c>
      <c r="G125" s="218" t="s">
        <v>11912</v>
      </c>
      <c r="H125" s="218" t="s">
        <v>11911</v>
      </c>
      <c r="I125" s="218" t="s">
        <v>398</v>
      </c>
      <c r="J125" s="218" t="s">
        <v>12594</v>
      </c>
      <c r="K125" s="218" t="s">
        <v>399</v>
      </c>
      <c r="L125" s="218" t="s">
        <v>12394</v>
      </c>
      <c r="M125" s="218" t="s">
        <v>12395</v>
      </c>
      <c r="N125" s="218" t="s">
        <v>12595</v>
      </c>
      <c r="O125" s="218" t="s">
        <v>110</v>
      </c>
      <c r="P125" s="218">
        <v>1.51132022000099E14</v>
      </c>
    </row>
    <row r="126">
      <c r="A126" s="218" t="s">
        <v>410</v>
      </c>
      <c r="C126" s="456">
        <v>44588.0</v>
      </c>
      <c r="D126" s="218">
        <v>168107.0</v>
      </c>
      <c r="E126" s="218">
        <v>1.0E8</v>
      </c>
      <c r="F126" s="218" t="s">
        <v>12541</v>
      </c>
      <c r="G126" s="218" t="s">
        <v>408</v>
      </c>
      <c r="H126" s="218" t="s">
        <v>11913</v>
      </c>
      <c r="I126" s="218" t="s">
        <v>409</v>
      </c>
      <c r="J126" s="218" t="s">
        <v>12596</v>
      </c>
      <c r="K126" s="218" t="s">
        <v>410</v>
      </c>
      <c r="L126" s="218" t="s">
        <v>12394</v>
      </c>
      <c r="M126" s="218" t="s">
        <v>12395</v>
      </c>
      <c r="N126" s="218" t="s">
        <v>12597</v>
      </c>
      <c r="O126" s="218" t="s">
        <v>110</v>
      </c>
      <c r="P126" s="218">
        <v>1.51132022000097E14</v>
      </c>
    </row>
    <row r="127">
      <c r="A127" s="218" t="s">
        <v>443</v>
      </c>
      <c r="C127" s="456">
        <v>44588.0</v>
      </c>
      <c r="D127" s="218">
        <v>168107.0</v>
      </c>
      <c r="E127" s="218">
        <v>1.0E8</v>
      </c>
      <c r="F127" s="218" t="s">
        <v>12541</v>
      </c>
      <c r="G127" s="218" t="s">
        <v>441</v>
      </c>
      <c r="H127" s="218" t="s">
        <v>11914</v>
      </c>
      <c r="I127" s="218" t="s">
        <v>442</v>
      </c>
      <c r="J127" s="218" t="s">
        <v>12598</v>
      </c>
      <c r="K127" s="218" t="s">
        <v>443</v>
      </c>
      <c r="L127" s="218" t="s">
        <v>12394</v>
      </c>
      <c r="M127" s="218" t="s">
        <v>12395</v>
      </c>
      <c r="N127" s="218" t="s">
        <v>12599</v>
      </c>
      <c r="O127" s="218" t="s">
        <v>118</v>
      </c>
      <c r="P127" s="218">
        <v>1.51132022000083E14</v>
      </c>
    </row>
    <row r="128">
      <c r="A128" s="218" t="s">
        <v>238</v>
      </c>
      <c r="C128" s="456">
        <v>44588.0</v>
      </c>
      <c r="D128" s="218">
        <v>168105.0</v>
      </c>
      <c r="E128" s="218">
        <v>1.0E8</v>
      </c>
      <c r="F128" s="218" t="s">
        <v>12541</v>
      </c>
      <c r="G128" s="218" t="s">
        <v>235</v>
      </c>
      <c r="H128" s="218" t="s">
        <v>11915</v>
      </c>
      <c r="I128" s="218" t="s">
        <v>236</v>
      </c>
      <c r="J128" s="218" t="s">
        <v>12600</v>
      </c>
      <c r="K128" s="218" t="s">
        <v>238</v>
      </c>
      <c r="L128" s="218" t="s">
        <v>12394</v>
      </c>
      <c r="M128" s="218" t="s">
        <v>12395</v>
      </c>
      <c r="N128" s="218" t="s">
        <v>12601</v>
      </c>
      <c r="O128" s="218" t="s">
        <v>118</v>
      </c>
      <c r="P128" s="218">
        <v>1.51132022000107E14</v>
      </c>
    </row>
    <row r="129">
      <c r="A129" s="218" t="s">
        <v>209</v>
      </c>
      <c r="C129" s="456">
        <v>44588.0</v>
      </c>
      <c r="D129" s="218">
        <v>168105.0</v>
      </c>
      <c r="E129" s="218">
        <v>1.0E8</v>
      </c>
      <c r="F129" s="218" t="s">
        <v>12541</v>
      </c>
      <c r="G129" s="218" t="s">
        <v>207</v>
      </c>
      <c r="H129" s="218" t="s">
        <v>11916</v>
      </c>
      <c r="I129" s="218" t="s">
        <v>208</v>
      </c>
      <c r="J129" s="218" t="s">
        <v>12582</v>
      </c>
      <c r="K129" s="218" t="s">
        <v>209</v>
      </c>
      <c r="L129" s="218" t="s">
        <v>12394</v>
      </c>
      <c r="M129" s="218" t="s">
        <v>12395</v>
      </c>
      <c r="N129" s="218" t="s">
        <v>12602</v>
      </c>
      <c r="O129" s="218" t="s">
        <v>118</v>
      </c>
      <c r="P129" s="218">
        <v>1.51132022000078E14</v>
      </c>
    </row>
    <row r="130">
      <c r="A130" s="218" t="s">
        <v>338</v>
      </c>
      <c r="C130" s="456">
        <v>44588.0</v>
      </c>
      <c r="D130" s="218">
        <v>168105.0</v>
      </c>
      <c r="E130" s="218">
        <v>1.0E8</v>
      </c>
      <c r="F130" s="218" t="s">
        <v>12541</v>
      </c>
      <c r="G130" s="218" t="s">
        <v>11918</v>
      </c>
      <c r="H130" s="218" t="s">
        <v>11917</v>
      </c>
      <c r="I130" s="218" t="s">
        <v>336</v>
      </c>
      <c r="J130" s="218" t="s">
        <v>12603</v>
      </c>
      <c r="K130" s="218" t="s">
        <v>338</v>
      </c>
      <c r="L130" s="218" t="s">
        <v>12394</v>
      </c>
      <c r="M130" s="218" t="s">
        <v>12395</v>
      </c>
      <c r="N130" s="218" t="s">
        <v>12604</v>
      </c>
      <c r="O130" s="218" t="s">
        <v>118</v>
      </c>
      <c r="P130" s="218">
        <v>1.51132022000081E14</v>
      </c>
    </row>
    <row r="131">
      <c r="A131" s="218" t="s">
        <v>11919</v>
      </c>
      <c r="C131" s="456">
        <v>44588.0</v>
      </c>
      <c r="D131" s="218">
        <v>168105.0</v>
      </c>
      <c r="E131" s="218">
        <v>1.0E8</v>
      </c>
      <c r="F131" s="218" t="s">
        <v>12505</v>
      </c>
      <c r="G131" s="218" t="s">
        <v>11922</v>
      </c>
      <c r="H131" s="218" t="s">
        <v>11921</v>
      </c>
      <c r="I131" s="218" t="s">
        <v>11920</v>
      </c>
      <c r="J131" s="218" t="s">
        <v>12605</v>
      </c>
      <c r="K131" s="218" t="s">
        <v>11919</v>
      </c>
      <c r="L131" s="218" t="s">
        <v>12458</v>
      </c>
      <c r="M131" s="218" t="s">
        <v>12395</v>
      </c>
      <c r="N131" s="218" t="s">
        <v>12606</v>
      </c>
      <c r="O131" s="218" t="s">
        <v>118</v>
      </c>
      <c r="P131" s="218">
        <v>1.51132022000004E14</v>
      </c>
    </row>
    <row r="132">
      <c r="A132" s="218" t="s">
        <v>11923</v>
      </c>
      <c r="C132" s="456">
        <v>44588.0</v>
      </c>
      <c r="D132" s="218">
        <v>168105.0</v>
      </c>
      <c r="E132" s="218">
        <v>1.0E8</v>
      </c>
      <c r="F132" s="218" t="s">
        <v>12456</v>
      </c>
      <c r="G132" s="218" t="s">
        <v>11925</v>
      </c>
      <c r="H132" s="218" t="s">
        <v>11924</v>
      </c>
      <c r="I132" s="218" t="s">
        <v>11759</v>
      </c>
      <c r="J132" s="218" t="s">
        <v>12473</v>
      </c>
      <c r="K132" s="218" t="s">
        <v>11923</v>
      </c>
      <c r="L132" s="218" t="s">
        <v>12458</v>
      </c>
      <c r="M132" s="218" t="s">
        <v>12395</v>
      </c>
      <c r="N132" s="218" t="s">
        <v>12607</v>
      </c>
      <c r="O132" s="218" t="s">
        <v>118</v>
      </c>
      <c r="P132" s="218">
        <v>1.51132022000062E14</v>
      </c>
    </row>
    <row r="133">
      <c r="A133" s="218" t="s">
        <v>11926</v>
      </c>
      <c r="C133" s="456">
        <v>44588.0</v>
      </c>
      <c r="D133" s="218">
        <v>168105.0</v>
      </c>
      <c r="E133" s="218">
        <v>1.0E8</v>
      </c>
      <c r="F133" s="218" t="s">
        <v>12456</v>
      </c>
      <c r="G133" s="218" t="s">
        <v>11925</v>
      </c>
      <c r="H133" s="218" t="s">
        <v>11924</v>
      </c>
      <c r="I133" s="218" t="s">
        <v>11927</v>
      </c>
      <c r="J133" s="218" t="s">
        <v>12608</v>
      </c>
      <c r="K133" s="218" t="s">
        <v>11926</v>
      </c>
      <c r="L133" s="218" t="s">
        <v>12458</v>
      </c>
      <c r="M133" s="218" t="s">
        <v>12395</v>
      </c>
      <c r="N133" s="218" t="s">
        <v>12609</v>
      </c>
      <c r="O133" s="218" t="s">
        <v>118</v>
      </c>
      <c r="P133" s="218">
        <v>1.51132022000062E14</v>
      </c>
    </row>
    <row r="134">
      <c r="A134" s="218" t="s">
        <v>11928</v>
      </c>
      <c r="C134" s="456">
        <v>44575.0</v>
      </c>
      <c r="D134" s="218">
        <v>168105.0</v>
      </c>
      <c r="E134" s="218">
        <v>1.0E8</v>
      </c>
      <c r="F134" s="218" t="s">
        <v>12437</v>
      </c>
      <c r="G134" s="218" t="s">
        <v>9737</v>
      </c>
      <c r="H134" s="218" t="s">
        <v>11930</v>
      </c>
      <c r="I134" s="218" t="s">
        <v>11929</v>
      </c>
      <c r="J134" s="218" t="s">
        <v>12610</v>
      </c>
      <c r="K134" s="218" t="s">
        <v>11928</v>
      </c>
      <c r="L134" s="218" t="s">
        <v>12394</v>
      </c>
      <c r="M134" s="218" t="s">
        <v>12395</v>
      </c>
      <c r="N134" s="218" t="s">
        <v>12428</v>
      </c>
      <c r="O134" s="218" t="s">
        <v>118</v>
      </c>
      <c r="P134" s="218">
        <v>1.51132022000068E14</v>
      </c>
    </row>
    <row r="135">
      <c r="A135" s="218" t="s">
        <v>11931</v>
      </c>
      <c r="C135" s="456">
        <v>44575.0</v>
      </c>
      <c r="D135" s="218">
        <v>168105.0</v>
      </c>
      <c r="E135" s="218">
        <v>1.0E8</v>
      </c>
      <c r="F135" s="218" t="s">
        <v>12424</v>
      </c>
      <c r="G135" s="218" t="s">
        <v>9737</v>
      </c>
      <c r="H135" s="218" t="s">
        <v>11932</v>
      </c>
      <c r="I135" s="218" t="s">
        <v>11929</v>
      </c>
      <c r="J135" s="218" t="s">
        <v>12610</v>
      </c>
      <c r="K135" s="218" t="s">
        <v>11931</v>
      </c>
      <c r="L135" s="218" t="s">
        <v>12394</v>
      </c>
      <c r="M135" s="218" t="s">
        <v>12395</v>
      </c>
      <c r="N135" s="218" t="s">
        <v>12611</v>
      </c>
      <c r="O135" s="218" t="s">
        <v>118</v>
      </c>
      <c r="P135" s="218">
        <v>1.51132022000038E14</v>
      </c>
    </row>
    <row r="136">
      <c r="A136" s="218" t="s">
        <v>11933</v>
      </c>
      <c r="C136" s="456">
        <v>44588.0</v>
      </c>
      <c r="D136" s="218">
        <v>168105.0</v>
      </c>
      <c r="E136" s="218">
        <v>1.0E8</v>
      </c>
      <c r="F136" s="218" t="s">
        <v>12612</v>
      </c>
      <c r="G136" s="218" t="s">
        <v>11935</v>
      </c>
      <c r="H136" s="218" t="s">
        <v>11934</v>
      </c>
      <c r="I136" s="218" t="s">
        <v>2573</v>
      </c>
      <c r="J136" s="218" t="s">
        <v>12613</v>
      </c>
      <c r="K136" s="218" t="s">
        <v>11933</v>
      </c>
      <c r="L136" s="218" t="s">
        <v>12458</v>
      </c>
      <c r="M136" s="218" t="s">
        <v>12395</v>
      </c>
      <c r="N136" s="218" t="s">
        <v>12614</v>
      </c>
      <c r="O136" s="218" t="s">
        <v>118</v>
      </c>
      <c r="P136" s="218">
        <v>1.51132022000152E14</v>
      </c>
    </row>
    <row r="137">
      <c r="A137" s="218" t="s">
        <v>11936</v>
      </c>
      <c r="C137" s="456">
        <v>44575.0</v>
      </c>
      <c r="D137" s="218">
        <v>168105.0</v>
      </c>
      <c r="E137" s="218">
        <v>1.0E8</v>
      </c>
      <c r="F137" s="218" t="s">
        <v>12424</v>
      </c>
      <c r="G137" s="218" t="s">
        <v>9725</v>
      </c>
      <c r="H137" s="218" t="s">
        <v>11932</v>
      </c>
      <c r="I137" s="218" t="s">
        <v>11937</v>
      </c>
      <c r="J137" s="218" t="s">
        <v>12615</v>
      </c>
      <c r="K137" s="218" t="s">
        <v>11936</v>
      </c>
      <c r="L137" s="218" t="s">
        <v>12394</v>
      </c>
      <c r="M137" s="218" t="s">
        <v>12395</v>
      </c>
      <c r="N137" s="218" t="s">
        <v>12616</v>
      </c>
      <c r="O137" s="218" t="s">
        <v>118</v>
      </c>
      <c r="P137" s="218">
        <v>1.51132022000038E14</v>
      </c>
    </row>
    <row r="138">
      <c r="A138" s="218" t="s">
        <v>11938</v>
      </c>
      <c r="C138" s="456">
        <v>44575.0</v>
      </c>
      <c r="D138" s="218">
        <v>168105.0</v>
      </c>
      <c r="E138" s="218">
        <v>1.0E8</v>
      </c>
      <c r="F138" s="218" t="s">
        <v>12424</v>
      </c>
      <c r="G138" s="218" t="s">
        <v>11877</v>
      </c>
      <c r="H138" s="218" t="s">
        <v>11939</v>
      </c>
      <c r="I138" s="218" t="s">
        <v>11835</v>
      </c>
      <c r="J138" s="218" t="s">
        <v>12522</v>
      </c>
      <c r="K138" s="218" t="s">
        <v>11938</v>
      </c>
      <c r="L138" s="218" t="s">
        <v>12394</v>
      </c>
      <c r="M138" s="218" t="s">
        <v>12395</v>
      </c>
      <c r="N138" s="218" t="s">
        <v>12617</v>
      </c>
      <c r="O138" s="218" t="s">
        <v>118</v>
      </c>
      <c r="P138" s="218">
        <v>1.51132022000012E14</v>
      </c>
    </row>
    <row r="139">
      <c r="A139" s="218" t="s">
        <v>11940</v>
      </c>
      <c r="C139" s="456">
        <v>44575.0</v>
      </c>
      <c r="D139" s="218">
        <v>168105.0</v>
      </c>
      <c r="E139" s="218">
        <v>1.0E8</v>
      </c>
      <c r="F139" s="218" t="s">
        <v>12424</v>
      </c>
      <c r="G139" s="218" t="s">
        <v>11942</v>
      </c>
      <c r="H139" s="218" t="s">
        <v>11941</v>
      </c>
      <c r="I139" s="218" t="s">
        <v>11845</v>
      </c>
      <c r="J139" s="218" t="s">
        <v>12529</v>
      </c>
      <c r="K139" s="218" t="s">
        <v>11940</v>
      </c>
      <c r="L139" s="218" t="s">
        <v>12394</v>
      </c>
      <c r="M139" s="218" t="s">
        <v>12395</v>
      </c>
      <c r="N139" s="218" t="s">
        <v>12618</v>
      </c>
      <c r="O139" s="218" t="s">
        <v>118</v>
      </c>
      <c r="P139" s="218">
        <v>1.51132022000012E14</v>
      </c>
    </row>
    <row r="140">
      <c r="A140" s="218" t="s">
        <v>11943</v>
      </c>
      <c r="C140" s="456">
        <v>44575.0</v>
      </c>
      <c r="D140" s="218">
        <v>168105.0</v>
      </c>
      <c r="E140" s="218">
        <v>1.0E8</v>
      </c>
      <c r="F140" s="218" t="s">
        <v>12424</v>
      </c>
      <c r="G140" s="218" t="s">
        <v>9618</v>
      </c>
      <c r="H140" s="218" t="s">
        <v>11944</v>
      </c>
      <c r="I140" s="218" t="s">
        <v>4817</v>
      </c>
      <c r="J140" s="218" t="s">
        <v>12619</v>
      </c>
      <c r="K140" s="218" t="s">
        <v>11943</v>
      </c>
      <c r="L140" s="218" t="s">
        <v>12394</v>
      </c>
      <c r="M140" s="218" t="s">
        <v>12395</v>
      </c>
      <c r="N140" s="218" t="s">
        <v>12620</v>
      </c>
      <c r="O140" s="218" t="s">
        <v>118</v>
      </c>
      <c r="P140" s="218">
        <v>1.51132022000025E14</v>
      </c>
    </row>
    <row r="141">
      <c r="A141" s="218" t="s">
        <v>11945</v>
      </c>
      <c r="C141" s="456">
        <v>44575.0</v>
      </c>
      <c r="D141" s="218">
        <v>168105.0</v>
      </c>
      <c r="E141" s="218">
        <v>1.0E8</v>
      </c>
      <c r="F141" s="218" t="s">
        <v>12437</v>
      </c>
      <c r="G141" s="218" t="s">
        <v>9618</v>
      </c>
      <c r="H141" s="218" t="s">
        <v>11946</v>
      </c>
      <c r="I141" s="218" t="s">
        <v>4817</v>
      </c>
      <c r="J141" s="218" t="s">
        <v>12619</v>
      </c>
      <c r="K141" s="218" t="s">
        <v>11945</v>
      </c>
      <c r="L141" s="218" t="s">
        <v>12394</v>
      </c>
      <c r="M141" s="218" t="s">
        <v>12395</v>
      </c>
      <c r="N141" s="218" t="s">
        <v>12621</v>
      </c>
      <c r="O141" s="218" t="s">
        <v>118</v>
      </c>
      <c r="P141" s="218">
        <v>1.51132022000064E14</v>
      </c>
    </row>
    <row r="142">
      <c r="A142" s="218" t="s">
        <v>11947</v>
      </c>
      <c r="C142" s="456">
        <v>44588.0</v>
      </c>
      <c r="D142" s="218">
        <v>168105.0</v>
      </c>
      <c r="E142" s="218">
        <v>1.0E8</v>
      </c>
      <c r="F142" s="218" t="s">
        <v>12424</v>
      </c>
      <c r="G142" s="218" t="s">
        <v>11949</v>
      </c>
      <c r="H142" s="218" t="s">
        <v>11948</v>
      </c>
      <c r="I142" s="218" t="s">
        <v>11840</v>
      </c>
      <c r="J142" s="218" t="s">
        <v>12622</v>
      </c>
      <c r="K142" s="218" t="s">
        <v>11947</v>
      </c>
      <c r="L142" s="218" t="s">
        <v>12394</v>
      </c>
      <c r="M142" s="218" t="s">
        <v>12395</v>
      </c>
      <c r="N142" s="218" t="s">
        <v>12440</v>
      </c>
      <c r="O142" s="218" t="s">
        <v>118</v>
      </c>
      <c r="P142" s="218">
        <v>1.51132022000012E14</v>
      </c>
    </row>
    <row r="143">
      <c r="A143" s="218" t="s">
        <v>11950</v>
      </c>
      <c r="C143" s="456">
        <v>44588.0</v>
      </c>
      <c r="D143" s="218">
        <v>168105.0</v>
      </c>
      <c r="E143" s="218">
        <v>1.0E8</v>
      </c>
      <c r="F143" s="218" t="s">
        <v>12424</v>
      </c>
      <c r="G143" s="218" t="s">
        <v>11951</v>
      </c>
      <c r="H143" s="218" t="s">
        <v>11948</v>
      </c>
      <c r="I143" s="218" t="s">
        <v>11840</v>
      </c>
      <c r="J143" s="218" t="s">
        <v>12622</v>
      </c>
      <c r="K143" s="218" t="s">
        <v>11950</v>
      </c>
      <c r="L143" s="218" t="s">
        <v>12394</v>
      </c>
      <c r="M143" s="218" t="s">
        <v>12395</v>
      </c>
      <c r="N143" s="218" t="s">
        <v>12623</v>
      </c>
      <c r="O143" s="218" t="s">
        <v>118</v>
      </c>
      <c r="P143" s="218">
        <v>1.51132022000012E14</v>
      </c>
    </row>
    <row r="144">
      <c r="A144" s="218" t="s">
        <v>11952</v>
      </c>
      <c r="C144" s="456">
        <v>44588.0</v>
      </c>
      <c r="D144" s="218">
        <v>168105.0</v>
      </c>
      <c r="E144" s="218">
        <v>1.0E8</v>
      </c>
      <c r="F144" s="218" t="s">
        <v>12424</v>
      </c>
      <c r="G144" s="218" t="s">
        <v>11955</v>
      </c>
      <c r="H144" s="218" t="s">
        <v>11954</v>
      </c>
      <c r="I144" s="218" t="s">
        <v>11953</v>
      </c>
      <c r="J144" s="218" t="s">
        <v>12624</v>
      </c>
      <c r="K144" s="218" t="s">
        <v>11952</v>
      </c>
      <c r="L144" s="218" t="s">
        <v>12394</v>
      </c>
      <c r="M144" s="218" t="s">
        <v>12395</v>
      </c>
      <c r="N144" s="218" t="s">
        <v>12625</v>
      </c>
      <c r="O144" s="218" t="s">
        <v>118</v>
      </c>
      <c r="P144" s="218">
        <v>1.51132022000025E14</v>
      </c>
    </row>
    <row r="145">
      <c r="A145" s="218" t="s">
        <v>11956</v>
      </c>
      <c r="C145" s="456">
        <v>44588.0</v>
      </c>
      <c r="D145" s="218">
        <v>168105.0</v>
      </c>
      <c r="E145" s="218">
        <v>1.0E8</v>
      </c>
      <c r="F145" s="218" t="s">
        <v>12424</v>
      </c>
      <c r="G145" s="218" t="s">
        <v>9467</v>
      </c>
      <c r="H145" s="218" t="s">
        <v>11957</v>
      </c>
      <c r="I145" s="218" t="s">
        <v>3571</v>
      </c>
      <c r="J145" s="218" t="s">
        <v>12626</v>
      </c>
      <c r="K145" s="218" t="s">
        <v>11956</v>
      </c>
      <c r="L145" s="218" t="s">
        <v>12394</v>
      </c>
      <c r="M145" s="218" t="s">
        <v>12395</v>
      </c>
      <c r="N145" s="218" t="s">
        <v>12627</v>
      </c>
      <c r="O145" s="218" t="s">
        <v>118</v>
      </c>
      <c r="P145" s="218">
        <v>1.5113202200006E14</v>
      </c>
    </row>
    <row r="146">
      <c r="A146" s="218" t="s">
        <v>11958</v>
      </c>
      <c r="C146" s="456">
        <v>44588.0</v>
      </c>
      <c r="D146" s="218">
        <v>168105.0</v>
      </c>
      <c r="E146" s="218">
        <v>1.0E8</v>
      </c>
      <c r="F146" s="218" t="s">
        <v>12427</v>
      </c>
      <c r="G146" s="218" t="s">
        <v>9467</v>
      </c>
      <c r="H146" s="218" t="s">
        <v>11959</v>
      </c>
      <c r="I146" s="218" t="s">
        <v>8644</v>
      </c>
      <c r="J146" s="218" t="s">
        <v>12457</v>
      </c>
      <c r="K146" s="218" t="s">
        <v>11958</v>
      </c>
      <c r="L146" s="218" t="s">
        <v>12394</v>
      </c>
      <c r="M146" s="218" t="s">
        <v>12395</v>
      </c>
      <c r="N146" s="218" t="s">
        <v>12628</v>
      </c>
      <c r="O146" s="218" t="s">
        <v>110</v>
      </c>
      <c r="P146" s="218">
        <v>1.5113202200006E14</v>
      </c>
    </row>
    <row r="147">
      <c r="A147" s="218" t="s">
        <v>11960</v>
      </c>
      <c r="C147" s="456">
        <v>44588.0</v>
      </c>
      <c r="D147" s="218">
        <v>168105.0</v>
      </c>
      <c r="E147" s="218">
        <v>1.0E8</v>
      </c>
      <c r="F147" s="218" t="s">
        <v>12424</v>
      </c>
      <c r="G147" s="218" t="s">
        <v>9639</v>
      </c>
      <c r="H147" s="218" t="s">
        <v>11962</v>
      </c>
      <c r="I147" s="218" t="s">
        <v>11961</v>
      </c>
      <c r="J147" s="218" t="s">
        <v>12629</v>
      </c>
      <c r="K147" s="218" t="s">
        <v>11960</v>
      </c>
      <c r="L147" s="218" t="s">
        <v>12394</v>
      </c>
      <c r="M147" s="218" t="s">
        <v>12395</v>
      </c>
      <c r="N147" s="218" t="s">
        <v>12532</v>
      </c>
      <c r="O147" s="218" t="s">
        <v>118</v>
      </c>
      <c r="P147" s="218">
        <v>1.51132022000037E14</v>
      </c>
    </row>
    <row r="148">
      <c r="A148" s="218" t="s">
        <v>11963</v>
      </c>
      <c r="C148" s="456">
        <v>44588.0</v>
      </c>
      <c r="D148" s="218">
        <v>168105.0</v>
      </c>
      <c r="E148" s="218">
        <v>1.0E8</v>
      </c>
      <c r="F148" s="218" t="s">
        <v>12424</v>
      </c>
      <c r="G148" s="218" t="s">
        <v>9639</v>
      </c>
      <c r="H148" s="218" t="s">
        <v>11965</v>
      </c>
      <c r="I148" s="218" t="s">
        <v>11964</v>
      </c>
      <c r="J148" s="218" t="s">
        <v>12630</v>
      </c>
      <c r="K148" s="218" t="s">
        <v>11963</v>
      </c>
      <c r="L148" s="218" t="s">
        <v>12394</v>
      </c>
      <c r="M148" s="218" t="s">
        <v>12395</v>
      </c>
      <c r="N148" s="218" t="s">
        <v>12631</v>
      </c>
      <c r="O148" s="218" t="s">
        <v>118</v>
      </c>
      <c r="P148" s="218">
        <v>1.51132022000037E14</v>
      </c>
    </row>
    <row r="149">
      <c r="A149" s="218" t="s">
        <v>11966</v>
      </c>
      <c r="C149" s="456">
        <v>44588.0</v>
      </c>
      <c r="D149" s="218">
        <v>168105.0</v>
      </c>
      <c r="E149" s="218">
        <v>1.0E8</v>
      </c>
      <c r="F149" s="218" t="s">
        <v>12424</v>
      </c>
      <c r="G149" s="218" t="s">
        <v>9405</v>
      </c>
      <c r="H149" s="218" t="s">
        <v>11967</v>
      </c>
      <c r="I149" s="218" t="s">
        <v>5044</v>
      </c>
      <c r="J149" s="218" t="s">
        <v>12565</v>
      </c>
      <c r="K149" s="218" t="s">
        <v>11966</v>
      </c>
      <c r="L149" s="218" t="s">
        <v>12394</v>
      </c>
      <c r="M149" s="218" t="s">
        <v>12395</v>
      </c>
      <c r="N149" s="218" t="s">
        <v>12632</v>
      </c>
      <c r="O149" s="218" t="s">
        <v>118</v>
      </c>
      <c r="P149" s="218">
        <v>1.51132022000032E14</v>
      </c>
    </row>
    <row r="150">
      <c r="A150" s="218" t="s">
        <v>11968</v>
      </c>
      <c r="C150" s="456">
        <v>44588.0</v>
      </c>
      <c r="D150" s="218">
        <v>168105.0</v>
      </c>
      <c r="E150" s="218">
        <v>1.0E8</v>
      </c>
      <c r="F150" s="218" t="s">
        <v>12424</v>
      </c>
      <c r="G150" s="218" t="s">
        <v>9405</v>
      </c>
      <c r="H150" s="218" t="s">
        <v>11970</v>
      </c>
      <c r="I150" s="218" t="s">
        <v>11969</v>
      </c>
      <c r="J150" s="218" t="s">
        <v>12633</v>
      </c>
      <c r="K150" s="218" t="s">
        <v>11968</v>
      </c>
      <c r="L150" s="218" t="s">
        <v>12394</v>
      </c>
      <c r="M150" s="218" t="s">
        <v>12395</v>
      </c>
      <c r="N150" s="218" t="s">
        <v>12634</v>
      </c>
      <c r="O150" s="218" t="s">
        <v>118</v>
      </c>
      <c r="P150" s="218">
        <v>1.51132022000032E14</v>
      </c>
    </row>
    <row r="151">
      <c r="A151" s="218" t="s">
        <v>11971</v>
      </c>
      <c r="C151" s="456">
        <v>44588.0</v>
      </c>
      <c r="D151" s="218">
        <v>168105.0</v>
      </c>
      <c r="E151" s="218">
        <v>1.0E8</v>
      </c>
      <c r="F151" s="218" t="s">
        <v>12424</v>
      </c>
      <c r="G151" s="218" t="s">
        <v>9873</v>
      </c>
      <c r="H151" s="218" t="s">
        <v>11973</v>
      </c>
      <c r="I151" s="218" t="s">
        <v>11972</v>
      </c>
      <c r="J151" s="218" t="s">
        <v>12635</v>
      </c>
      <c r="K151" s="218" t="s">
        <v>11971</v>
      </c>
      <c r="L151" s="218" t="s">
        <v>12394</v>
      </c>
      <c r="M151" s="218" t="s">
        <v>12395</v>
      </c>
      <c r="N151" s="218" t="s">
        <v>12636</v>
      </c>
      <c r="O151" s="218" t="s">
        <v>110</v>
      </c>
      <c r="P151" s="218">
        <v>1.51132022000055E14</v>
      </c>
    </row>
    <row r="152">
      <c r="A152" s="218" t="s">
        <v>11974</v>
      </c>
      <c r="C152" s="456">
        <v>44588.0</v>
      </c>
      <c r="D152" s="218">
        <v>168105.0</v>
      </c>
      <c r="E152" s="218">
        <v>1.0E8</v>
      </c>
      <c r="F152" s="218" t="s">
        <v>12437</v>
      </c>
      <c r="G152" s="218" t="s">
        <v>9924</v>
      </c>
      <c r="H152" s="218" t="s">
        <v>11975</v>
      </c>
      <c r="I152" s="218" t="s">
        <v>11722</v>
      </c>
      <c r="J152" s="218" t="s">
        <v>12452</v>
      </c>
      <c r="K152" s="218" t="s">
        <v>11974</v>
      </c>
      <c r="L152" s="218" t="s">
        <v>12394</v>
      </c>
      <c r="M152" s="218" t="s">
        <v>12395</v>
      </c>
      <c r="N152" s="218" t="s">
        <v>12637</v>
      </c>
      <c r="O152" s="218" t="s">
        <v>118</v>
      </c>
      <c r="P152" s="218">
        <v>1.51132022000192E14</v>
      </c>
    </row>
    <row r="153">
      <c r="A153" s="218" t="s">
        <v>11976</v>
      </c>
      <c r="C153" s="456">
        <v>44588.0</v>
      </c>
      <c r="D153" s="218">
        <v>168105.0</v>
      </c>
      <c r="E153" s="218">
        <v>1.0E8</v>
      </c>
      <c r="F153" s="218" t="s">
        <v>12424</v>
      </c>
      <c r="G153" s="218" t="s">
        <v>9924</v>
      </c>
      <c r="H153" s="218" t="s">
        <v>11977</v>
      </c>
      <c r="I153" s="218" t="s">
        <v>11722</v>
      </c>
      <c r="J153" s="218" t="s">
        <v>12452</v>
      </c>
      <c r="K153" s="218" t="s">
        <v>11976</v>
      </c>
      <c r="L153" s="218" t="s">
        <v>12394</v>
      </c>
      <c r="M153" s="218" t="s">
        <v>12395</v>
      </c>
      <c r="N153" s="218" t="s">
        <v>12638</v>
      </c>
      <c r="O153" s="218" t="s">
        <v>118</v>
      </c>
      <c r="P153" s="218">
        <v>1.51132022000192E14</v>
      </c>
    </row>
    <row r="154">
      <c r="A154" s="218" t="s">
        <v>11978</v>
      </c>
      <c r="C154" s="456">
        <v>44589.0</v>
      </c>
      <c r="D154" s="218">
        <v>168105.0</v>
      </c>
      <c r="E154" s="218">
        <v>1.0E8</v>
      </c>
      <c r="F154" s="218" t="s">
        <v>12639</v>
      </c>
      <c r="G154" s="218" t="s">
        <v>9882</v>
      </c>
      <c r="H154" s="218" t="s">
        <v>11980</v>
      </c>
      <c r="I154" s="218" t="s">
        <v>11979</v>
      </c>
      <c r="J154" s="218" t="s">
        <v>12640</v>
      </c>
      <c r="K154" s="218" t="s">
        <v>11978</v>
      </c>
      <c r="L154" s="218" t="s">
        <v>12394</v>
      </c>
      <c r="M154" s="218" t="s">
        <v>12395</v>
      </c>
      <c r="N154" s="218" t="s">
        <v>12641</v>
      </c>
      <c r="O154" s="218" t="s">
        <v>118</v>
      </c>
      <c r="P154" s="218">
        <v>1.51132022000035E14</v>
      </c>
    </row>
    <row r="155">
      <c r="A155" s="218" t="s">
        <v>11981</v>
      </c>
      <c r="C155" s="456">
        <v>44589.0</v>
      </c>
      <c r="D155" s="218">
        <v>168105.0</v>
      </c>
      <c r="E155" s="218">
        <v>1.0E8</v>
      </c>
      <c r="F155" s="218" t="s">
        <v>12424</v>
      </c>
      <c r="G155" s="218" t="s">
        <v>9682</v>
      </c>
      <c r="H155" s="218" t="s">
        <v>11983</v>
      </c>
      <c r="I155" s="218" t="s">
        <v>11982</v>
      </c>
      <c r="J155" s="218" t="s">
        <v>12642</v>
      </c>
      <c r="K155" s="218" t="s">
        <v>11981</v>
      </c>
      <c r="L155" s="218" t="s">
        <v>12394</v>
      </c>
      <c r="M155" s="218" t="s">
        <v>12395</v>
      </c>
      <c r="N155" s="218" t="s">
        <v>12643</v>
      </c>
      <c r="O155" s="218" t="s">
        <v>118</v>
      </c>
      <c r="P155" s="218">
        <v>1.51132022000072E14</v>
      </c>
    </row>
    <row r="156">
      <c r="A156" s="218" t="s">
        <v>11984</v>
      </c>
      <c r="C156" s="456">
        <v>44589.0</v>
      </c>
      <c r="D156" s="218">
        <v>168105.0</v>
      </c>
      <c r="E156" s="218">
        <v>1.0E8</v>
      </c>
      <c r="F156" s="218" t="s">
        <v>12639</v>
      </c>
      <c r="G156" s="218" t="s">
        <v>9958</v>
      </c>
      <c r="H156" s="218" t="s">
        <v>11986</v>
      </c>
      <c r="I156" s="218" t="s">
        <v>11985</v>
      </c>
      <c r="J156" s="218" t="s">
        <v>12644</v>
      </c>
      <c r="K156" s="218" t="s">
        <v>11984</v>
      </c>
      <c r="L156" s="218" t="s">
        <v>12394</v>
      </c>
      <c r="M156" s="218" t="s">
        <v>12395</v>
      </c>
      <c r="N156" s="218" t="s">
        <v>12645</v>
      </c>
      <c r="O156" s="218" t="s">
        <v>118</v>
      </c>
      <c r="P156" s="218">
        <v>1.51132022000054E14</v>
      </c>
    </row>
    <row r="157">
      <c r="A157" s="218" t="s">
        <v>11987</v>
      </c>
      <c r="C157" s="456">
        <v>44589.0</v>
      </c>
      <c r="D157" s="218">
        <v>168105.0</v>
      </c>
      <c r="E157" s="218">
        <v>1.0E8</v>
      </c>
      <c r="F157" s="218" t="s">
        <v>12639</v>
      </c>
      <c r="G157" s="218" t="s">
        <v>9998</v>
      </c>
      <c r="H157" s="218" t="s">
        <v>11989</v>
      </c>
      <c r="I157" s="218" t="s">
        <v>11988</v>
      </c>
      <c r="J157" s="218" t="s">
        <v>12646</v>
      </c>
      <c r="K157" s="218" t="s">
        <v>11987</v>
      </c>
      <c r="L157" s="218" t="s">
        <v>12394</v>
      </c>
      <c r="M157" s="218" t="s">
        <v>12395</v>
      </c>
      <c r="N157" s="218" t="s">
        <v>12647</v>
      </c>
      <c r="O157" s="218" t="s">
        <v>118</v>
      </c>
      <c r="P157" s="218">
        <v>1.51132022000054E14</v>
      </c>
    </row>
    <row r="158">
      <c r="A158" s="218" t="s">
        <v>11990</v>
      </c>
      <c r="C158" s="456">
        <v>44589.0</v>
      </c>
      <c r="D158" s="218">
        <v>168105.0</v>
      </c>
      <c r="E158" s="218">
        <v>1.0E8</v>
      </c>
      <c r="F158" s="218" t="s">
        <v>12639</v>
      </c>
      <c r="G158" s="218" t="s">
        <v>9877</v>
      </c>
      <c r="H158" s="218" t="s">
        <v>11992</v>
      </c>
      <c r="I158" s="218" t="s">
        <v>11991</v>
      </c>
      <c r="J158" s="218" t="s">
        <v>12648</v>
      </c>
      <c r="K158" s="218" t="s">
        <v>11990</v>
      </c>
      <c r="L158" s="218" t="s">
        <v>12394</v>
      </c>
      <c r="M158" s="218" t="s">
        <v>12395</v>
      </c>
      <c r="N158" s="218" t="s">
        <v>12649</v>
      </c>
      <c r="O158" s="218" t="s">
        <v>118</v>
      </c>
      <c r="P158" s="218">
        <v>1.51132022000054E14</v>
      </c>
    </row>
    <row r="159">
      <c r="A159" s="218" t="s">
        <v>11993</v>
      </c>
      <c r="C159" s="456">
        <v>44589.0</v>
      </c>
      <c r="D159" s="218">
        <v>168105.0</v>
      </c>
      <c r="E159" s="218">
        <v>1.0E8</v>
      </c>
      <c r="F159" s="218" t="s">
        <v>12639</v>
      </c>
      <c r="G159" s="218" t="s">
        <v>11472</v>
      </c>
      <c r="H159" s="218" t="s">
        <v>11995</v>
      </c>
      <c r="I159" s="218" t="s">
        <v>11994</v>
      </c>
      <c r="J159" s="218" t="s">
        <v>12650</v>
      </c>
      <c r="K159" s="218" t="s">
        <v>11993</v>
      </c>
      <c r="L159" s="218" t="s">
        <v>12394</v>
      </c>
      <c r="M159" s="218" t="s">
        <v>12395</v>
      </c>
      <c r="N159" s="218" t="s">
        <v>12651</v>
      </c>
      <c r="O159" s="218" t="s">
        <v>118</v>
      </c>
      <c r="P159" s="218">
        <v>1.51132022000035E14</v>
      </c>
    </row>
    <row r="160">
      <c r="A160" s="218" t="s">
        <v>11996</v>
      </c>
      <c r="C160" s="456">
        <v>44589.0</v>
      </c>
      <c r="D160" s="218">
        <v>168105.0</v>
      </c>
      <c r="E160" s="218">
        <v>1.0E8</v>
      </c>
      <c r="F160" s="218" t="s">
        <v>12424</v>
      </c>
      <c r="G160" s="218" t="s">
        <v>9549</v>
      </c>
      <c r="H160" s="218" t="s">
        <v>11998</v>
      </c>
      <c r="I160" s="218" t="s">
        <v>11997</v>
      </c>
      <c r="J160" s="218" t="s">
        <v>12652</v>
      </c>
      <c r="K160" s="218" t="s">
        <v>11996</v>
      </c>
      <c r="L160" s="218" t="s">
        <v>12394</v>
      </c>
      <c r="M160" s="218" t="s">
        <v>12395</v>
      </c>
      <c r="N160" s="218" t="s">
        <v>12653</v>
      </c>
      <c r="O160" s="218" t="s">
        <v>110</v>
      </c>
      <c r="P160" s="218">
        <v>1.51132022000031E14</v>
      </c>
    </row>
    <row r="161">
      <c r="A161" s="218" t="s">
        <v>11999</v>
      </c>
      <c r="C161" s="456">
        <v>44589.0</v>
      </c>
      <c r="D161" s="218">
        <v>168105.0</v>
      </c>
      <c r="E161" s="218">
        <v>1.0E8</v>
      </c>
      <c r="F161" s="218" t="s">
        <v>12437</v>
      </c>
      <c r="G161" s="218" t="s">
        <v>9749</v>
      </c>
      <c r="H161" s="218" t="s">
        <v>12001</v>
      </c>
      <c r="I161" s="218" t="s">
        <v>12000</v>
      </c>
      <c r="J161" s="218" t="s">
        <v>12654</v>
      </c>
      <c r="K161" s="218" t="s">
        <v>11999</v>
      </c>
      <c r="L161" s="218" t="s">
        <v>12394</v>
      </c>
      <c r="M161" s="218" t="s">
        <v>12395</v>
      </c>
      <c r="N161" s="218" t="s">
        <v>12655</v>
      </c>
      <c r="O161" s="218" t="s">
        <v>118</v>
      </c>
      <c r="P161" s="218">
        <v>1.51132022000063E14</v>
      </c>
    </row>
    <row r="162">
      <c r="A162" s="218" t="s">
        <v>12002</v>
      </c>
      <c r="C162" s="456">
        <v>44589.0</v>
      </c>
      <c r="D162" s="218">
        <v>168105.0</v>
      </c>
      <c r="E162" s="218">
        <v>1.0E8</v>
      </c>
      <c r="F162" s="218" t="s">
        <v>12424</v>
      </c>
      <c r="G162" s="218" t="s">
        <v>9731</v>
      </c>
      <c r="H162" s="218" t="s">
        <v>12004</v>
      </c>
      <c r="I162" s="218" t="s">
        <v>12003</v>
      </c>
      <c r="J162" s="218" t="s">
        <v>12656</v>
      </c>
      <c r="K162" s="218" t="s">
        <v>12002</v>
      </c>
      <c r="L162" s="218" t="s">
        <v>12394</v>
      </c>
      <c r="M162" s="218" t="s">
        <v>12395</v>
      </c>
      <c r="N162" s="218" t="s">
        <v>12657</v>
      </c>
      <c r="O162" s="218" t="s">
        <v>118</v>
      </c>
      <c r="P162" s="218">
        <v>1.51132022000013E14</v>
      </c>
    </row>
    <row r="163">
      <c r="A163" s="218" t="s">
        <v>12005</v>
      </c>
      <c r="C163" s="456">
        <v>44589.0</v>
      </c>
      <c r="D163" s="218">
        <v>168105.0</v>
      </c>
      <c r="E163" s="218">
        <v>1.0E8</v>
      </c>
      <c r="F163" s="218" t="s">
        <v>12658</v>
      </c>
      <c r="G163" s="218" t="s">
        <v>9731</v>
      </c>
      <c r="H163" s="218" t="s">
        <v>12006</v>
      </c>
      <c r="I163" s="218" t="s">
        <v>12003</v>
      </c>
      <c r="J163" s="218" t="s">
        <v>12656</v>
      </c>
      <c r="K163" s="218" t="s">
        <v>12005</v>
      </c>
      <c r="L163" s="218" t="s">
        <v>12394</v>
      </c>
      <c r="M163" s="218" t="s">
        <v>12395</v>
      </c>
      <c r="N163" s="218" t="s">
        <v>12659</v>
      </c>
      <c r="O163" s="218" t="s">
        <v>118</v>
      </c>
      <c r="P163" s="218">
        <v>1.51132022000061E14</v>
      </c>
    </row>
    <row r="164">
      <c r="A164" s="218" t="s">
        <v>12007</v>
      </c>
      <c r="C164" s="456">
        <v>44589.0</v>
      </c>
      <c r="D164" s="218">
        <v>168105.0</v>
      </c>
      <c r="E164" s="218">
        <v>1.0E8</v>
      </c>
      <c r="F164" s="218" t="s">
        <v>12424</v>
      </c>
      <c r="G164" s="218" t="s">
        <v>9888</v>
      </c>
      <c r="H164" s="218" t="s">
        <v>12009</v>
      </c>
      <c r="I164" s="218" t="s">
        <v>12008</v>
      </c>
      <c r="J164" s="218" t="s">
        <v>12660</v>
      </c>
      <c r="K164" s="218" t="s">
        <v>12007</v>
      </c>
      <c r="L164" s="218" t="s">
        <v>12394</v>
      </c>
      <c r="M164" s="218" t="s">
        <v>12395</v>
      </c>
      <c r="N164" s="218" t="s">
        <v>12661</v>
      </c>
      <c r="O164" s="218" t="s">
        <v>118</v>
      </c>
      <c r="P164" s="218">
        <v>1.51132022000041E14</v>
      </c>
    </row>
    <row r="165">
      <c r="A165" s="218" t="s">
        <v>12010</v>
      </c>
      <c r="C165" s="456">
        <v>44589.0</v>
      </c>
      <c r="D165" s="218">
        <v>168105.0</v>
      </c>
      <c r="E165" s="218">
        <v>1.0E8</v>
      </c>
      <c r="F165" s="218" t="s">
        <v>12424</v>
      </c>
      <c r="G165" s="218" t="s">
        <v>9888</v>
      </c>
      <c r="H165" s="218" t="s">
        <v>12009</v>
      </c>
      <c r="I165" s="218" t="s">
        <v>12011</v>
      </c>
      <c r="J165" s="218" t="s">
        <v>12662</v>
      </c>
      <c r="K165" s="218" t="s">
        <v>12010</v>
      </c>
      <c r="L165" s="218" t="s">
        <v>12394</v>
      </c>
      <c r="M165" s="218" t="s">
        <v>12395</v>
      </c>
      <c r="N165" s="218" t="s">
        <v>12663</v>
      </c>
      <c r="O165" s="218" t="s">
        <v>118</v>
      </c>
      <c r="P165" s="218">
        <v>1.51132022000041E14</v>
      </c>
    </row>
    <row r="166">
      <c r="A166" s="218" t="s">
        <v>12012</v>
      </c>
      <c r="C166" s="456">
        <v>44589.0</v>
      </c>
      <c r="D166" s="218">
        <v>168105.0</v>
      </c>
      <c r="E166" s="218">
        <v>1.0E8</v>
      </c>
      <c r="F166" s="218" t="s">
        <v>12541</v>
      </c>
      <c r="G166" s="218" t="s">
        <v>10427</v>
      </c>
      <c r="H166" s="218" t="s">
        <v>12013</v>
      </c>
      <c r="I166" s="218" t="s">
        <v>223</v>
      </c>
      <c r="J166" s="218" t="s">
        <v>12464</v>
      </c>
      <c r="K166" s="218" t="s">
        <v>12012</v>
      </c>
      <c r="L166" s="218" t="s">
        <v>12394</v>
      </c>
      <c r="M166" s="218" t="s">
        <v>12395</v>
      </c>
      <c r="N166" s="218" t="s">
        <v>12664</v>
      </c>
      <c r="O166" s="218" t="s">
        <v>118</v>
      </c>
      <c r="P166" s="218">
        <v>1.51132022000036E14</v>
      </c>
    </row>
    <row r="167">
      <c r="A167" s="218" t="s">
        <v>12014</v>
      </c>
      <c r="C167" s="456">
        <v>44589.0</v>
      </c>
      <c r="D167" s="218">
        <v>168105.0</v>
      </c>
      <c r="E167" s="218">
        <v>1.0E8</v>
      </c>
      <c r="F167" s="218" t="s">
        <v>12424</v>
      </c>
      <c r="G167" s="218" t="s">
        <v>12017</v>
      </c>
      <c r="H167" s="218" t="s">
        <v>12016</v>
      </c>
      <c r="I167" s="218" t="s">
        <v>12015</v>
      </c>
      <c r="J167" s="218" t="s">
        <v>12665</v>
      </c>
      <c r="K167" s="218" t="s">
        <v>12014</v>
      </c>
      <c r="L167" s="218" t="s">
        <v>12394</v>
      </c>
      <c r="M167" s="218" t="s">
        <v>12395</v>
      </c>
      <c r="N167" s="218" t="s">
        <v>12433</v>
      </c>
      <c r="O167" s="218" t="s">
        <v>118</v>
      </c>
      <c r="P167" s="218">
        <v>1.51132022000045E14</v>
      </c>
    </row>
    <row r="168">
      <c r="A168" s="218" t="s">
        <v>12018</v>
      </c>
      <c r="C168" s="456">
        <v>44589.0</v>
      </c>
      <c r="D168" s="218">
        <v>168105.0</v>
      </c>
      <c r="E168" s="218">
        <v>1.0E8</v>
      </c>
      <c r="F168" s="218" t="s">
        <v>12424</v>
      </c>
      <c r="G168" s="218" t="s">
        <v>9775</v>
      </c>
      <c r="H168" s="218" t="s">
        <v>12020</v>
      </c>
      <c r="I168" s="218" t="s">
        <v>12019</v>
      </c>
      <c r="J168" s="218" t="s">
        <v>12666</v>
      </c>
      <c r="K168" s="218" t="s">
        <v>12018</v>
      </c>
      <c r="L168" s="218" t="s">
        <v>12394</v>
      </c>
      <c r="M168" s="218" t="s">
        <v>12395</v>
      </c>
      <c r="N168" s="218" t="s">
        <v>12667</v>
      </c>
      <c r="O168" s="218" t="s">
        <v>118</v>
      </c>
      <c r="P168" s="218">
        <v>1.51132022000042E14</v>
      </c>
    </row>
    <row r="169">
      <c r="A169" s="218" t="s">
        <v>12021</v>
      </c>
      <c r="C169" s="456">
        <v>44589.0</v>
      </c>
      <c r="D169" s="218">
        <v>168105.0</v>
      </c>
      <c r="E169" s="218">
        <v>1.0E8</v>
      </c>
      <c r="F169" s="218" t="s">
        <v>12424</v>
      </c>
      <c r="G169" s="218" t="s">
        <v>9624</v>
      </c>
      <c r="H169" s="218" t="s">
        <v>12023</v>
      </c>
      <c r="I169" s="218" t="s">
        <v>12022</v>
      </c>
      <c r="J169" s="218" t="s">
        <v>12668</v>
      </c>
      <c r="K169" s="218" t="s">
        <v>12021</v>
      </c>
      <c r="L169" s="218" t="s">
        <v>12394</v>
      </c>
      <c r="M169" s="218" t="s">
        <v>12395</v>
      </c>
      <c r="N169" s="218" t="s">
        <v>12669</v>
      </c>
      <c r="O169" s="218" t="s">
        <v>118</v>
      </c>
      <c r="P169" s="218">
        <v>1.51132022000012E14</v>
      </c>
    </row>
    <row r="170">
      <c r="A170" s="218" t="s">
        <v>12024</v>
      </c>
      <c r="C170" s="456">
        <v>44589.0</v>
      </c>
      <c r="D170" s="218">
        <v>168105.0</v>
      </c>
      <c r="E170" s="218">
        <v>1.0E8</v>
      </c>
      <c r="F170" s="218" t="s">
        <v>12424</v>
      </c>
      <c r="G170" s="218" t="s">
        <v>11742</v>
      </c>
      <c r="H170" s="218" t="s">
        <v>12025</v>
      </c>
      <c r="I170" s="218" t="s">
        <v>11740</v>
      </c>
      <c r="J170" s="218" t="s">
        <v>12462</v>
      </c>
      <c r="K170" s="218" t="s">
        <v>12024</v>
      </c>
      <c r="L170" s="218" t="s">
        <v>12394</v>
      </c>
      <c r="M170" s="218" t="s">
        <v>12395</v>
      </c>
      <c r="N170" s="218" t="s">
        <v>12670</v>
      </c>
      <c r="O170" s="218" t="s">
        <v>118</v>
      </c>
      <c r="P170" s="218">
        <v>1.51132022000038E14</v>
      </c>
    </row>
    <row r="171">
      <c r="A171" s="218" t="s">
        <v>12026</v>
      </c>
      <c r="C171" s="456">
        <v>44589.0</v>
      </c>
      <c r="D171" s="218">
        <v>168105.0</v>
      </c>
      <c r="E171" s="218">
        <v>1.0E8</v>
      </c>
      <c r="F171" s="218" t="s">
        <v>12437</v>
      </c>
      <c r="G171" s="218" t="s">
        <v>11742</v>
      </c>
      <c r="H171" s="218" t="s">
        <v>12027</v>
      </c>
      <c r="I171" s="218" t="s">
        <v>11740</v>
      </c>
      <c r="J171" s="218" t="s">
        <v>12462</v>
      </c>
      <c r="K171" s="218" t="s">
        <v>12026</v>
      </c>
      <c r="L171" s="218" t="s">
        <v>12394</v>
      </c>
      <c r="M171" s="218" t="s">
        <v>12395</v>
      </c>
      <c r="N171" s="218" t="s">
        <v>12428</v>
      </c>
      <c r="O171" s="218" t="s">
        <v>118</v>
      </c>
      <c r="P171" s="218">
        <v>1.51132022000068E14</v>
      </c>
    </row>
    <row r="172">
      <c r="A172" s="218" t="s">
        <v>12028</v>
      </c>
      <c r="C172" s="456">
        <v>44589.0</v>
      </c>
      <c r="D172" s="218">
        <v>168105.0</v>
      </c>
      <c r="E172" s="218">
        <v>1.0E8</v>
      </c>
      <c r="F172" s="218" t="s">
        <v>12424</v>
      </c>
      <c r="G172" s="218" t="s">
        <v>9628</v>
      </c>
      <c r="H172" s="218" t="s">
        <v>12030</v>
      </c>
      <c r="I172" s="218" t="s">
        <v>12029</v>
      </c>
      <c r="J172" s="218" t="s">
        <v>12671</v>
      </c>
      <c r="K172" s="218" t="s">
        <v>12028</v>
      </c>
      <c r="L172" s="218" t="s">
        <v>12394</v>
      </c>
      <c r="M172" s="218" t="s">
        <v>12395</v>
      </c>
      <c r="N172" s="218" t="s">
        <v>12672</v>
      </c>
      <c r="O172" s="218" t="s">
        <v>118</v>
      </c>
      <c r="P172" s="218">
        <v>1.51132022000016E14</v>
      </c>
    </row>
    <row r="173">
      <c r="A173" s="218" t="s">
        <v>12031</v>
      </c>
      <c r="C173" s="456">
        <v>44589.0</v>
      </c>
      <c r="D173" s="218">
        <v>168105.0</v>
      </c>
      <c r="E173" s="218">
        <v>1.0E8</v>
      </c>
      <c r="F173" s="218" t="s">
        <v>12424</v>
      </c>
      <c r="G173" s="218" t="s">
        <v>9753</v>
      </c>
      <c r="H173" s="218" t="s">
        <v>12033</v>
      </c>
      <c r="I173" s="218" t="s">
        <v>12032</v>
      </c>
      <c r="J173" s="218" t="s">
        <v>12673</v>
      </c>
      <c r="K173" s="218" t="s">
        <v>12031</v>
      </c>
      <c r="L173" s="218" t="s">
        <v>12394</v>
      </c>
      <c r="M173" s="218" t="s">
        <v>12395</v>
      </c>
      <c r="N173" s="218" t="s">
        <v>12433</v>
      </c>
      <c r="O173" s="218" t="s">
        <v>118</v>
      </c>
      <c r="P173" s="218">
        <v>1.51132022000018E14</v>
      </c>
    </row>
    <row r="174">
      <c r="A174" s="218" t="s">
        <v>12034</v>
      </c>
      <c r="C174" s="456">
        <v>44589.0</v>
      </c>
      <c r="D174" s="218">
        <v>168105.0</v>
      </c>
      <c r="E174" s="218">
        <v>1.0E8</v>
      </c>
      <c r="F174" s="218" t="s">
        <v>12424</v>
      </c>
      <c r="G174" s="218" t="s">
        <v>9779</v>
      </c>
      <c r="H174" s="218" t="s">
        <v>12036</v>
      </c>
      <c r="I174" s="218" t="s">
        <v>12035</v>
      </c>
      <c r="J174" s="218" t="s">
        <v>12674</v>
      </c>
      <c r="K174" s="218" t="s">
        <v>12034</v>
      </c>
      <c r="L174" s="218" t="s">
        <v>12394</v>
      </c>
      <c r="M174" s="218" t="s">
        <v>12395</v>
      </c>
      <c r="N174" s="218" t="s">
        <v>12675</v>
      </c>
      <c r="O174" s="218" t="s">
        <v>118</v>
      </c>
      <c r="P174" s="218">
        <v>1.51132022000048E14</v>
      </c>
    </row>
    <row r="175">
      <c r="A175" s="218" t="s">
        <v>12037</v>
      </c>
      <c r="C175" s="456">
        <v>44589.0</v>
      </c>
      <c r="D175" s="218">
        <v>168105.0</v>
      </c>
      <c r="E175" s="218">
        <v>1.0E8</v>
      </c>
      <c r="F175" s="218" t="s">
        <v>12424</v>
      </c>
      <c r="G175" s="218" t="s">
        <v>11307</v>
      </c>
      <c r="H175" s="218" t="s">
        <v>12039</v>
      </c>
      <c r="I175" s="218" t="s">
        <v>12038</v>
      </c>
      <c r="J175" s="218" t="s">
        <v>12676</v>
      </c>
      <c r="K175" s="218" t="s">
        <v>12037</v>
      </c>
      <c r="L175" s="218" t="s">
        <v>12394</v>
      </c>
      <c r="M175" s="218" t="s">
        <v>12395</v>
      </c>
      <c r="N175" s="218" t="s">
        <v>12655</v>
      </c>
      <c r="O175" s="218" t="s">
        <v>118</v>
      </c>
      <c r="P175" s="218">
        <v>1.51132022000039E14</v>
      </c>
    </row>
    <row r="176">
      <c r="A176" s="218" t="s">
        <v>12040</v>
      </c>
      <c r="C176" s="456">
        <v>44589.0</v>
      </c>
      <c r="D176" s="218">
        <v>168105.0</v>
      </c>
      <c r="E176" s="218">
        <v>1.0E8</v>
      </c>
      <c r="F176" s="218" t="s">
        <v>12639</v>
      </c>
      <c r="G176" s="218" t="s">
        <v>12043</v>
      </c>
      <c r="H176" s="218" t="s">
        <v>12042</v>
      </c>
      <c r="I176" s="218" t="s">
        <v>12041</v>
      </c>
      <c r="J176" s="218" t="s">
        <v>12677</v>
      </c>
      <c r="K176" s="218" t="s">
        <v>12040</v>
      </c>
      <c r="L176" s="218" t="s">
        <v>12394</v>
      </c>
      <c r="M176" s="218" t="s">
        <v>12395</v>
      </c>
      <c r="N176" s="218" t="s">
        <v>12678</v>
      </c>
      <c r="O176" s="218" t="s">
        <v>118</v>
      </c>
      <c r="P176" s="218">
        <v>1.51132022000213E14</v>
      </c>
    </row>
    <row r="177">
      <c r="A177" s="218" t="s">
        <v>12044</v>
      </c>
      <c r="C177" s="456">
        <v>44589.0</v>
      </c>
      <c r="D177" s="218">
        <v>168105.0</v>
      </c>
      <c r="E177" s="218">
        <v>1.0E8</v>
      </c>
      <c r="F177" s="218" t="s">
        <v>12424</v>
      </c>
      <c r="G177" s="218" t="s">
        <v>9609</v>
      </c>
      <c r="H177" s="218" t="s">
        <v>12046</v>
      </c>
      <c r="I177" s="218" t="s">
        <v>12045</v>
      </c>
      <c r="J177" s="218" t="s">
        <v>12679</v>
      </c>
      <c r="K177" s="218" t="s">
        <v>12044</v>
      </c>
      <c r="L177" s="218" t="s">
        <v>12394</v>
      </c>
      <c r="M177" s="218" t="s">
        <v>12395</v>
      </c>
      <c r="N177" s="218" t="s">
        <v>12680</v>
      </c>
      <c r="O177" s="218" t="s">
        <v>110</v>
      </c>
      <c r="P177" s="218">
        <v>1.51132022000015E14</v>
      </c>
    </row>
    <row r="178">
      <c r="A178" s="218" t="s">
        <v>12047</v>
      </c>
      <c r="C178" s="456">
        <v>44589.0</v>
      </c>
      <c r="D178" s="218">
        <v>168105.0</v>
      </c>
      <c r="E178" s="218">
        <v>1.0E8</v>
      </c>
      <c r="F178" s="218" t="s">
        <v>12424</v>
      </c>
      <c r="G178" s="218" t="s">
        <v>12049</v>
      </c>
      <c r="H178" s="218" t="s">
        <v>12025</v>
      </c>
      <c r="I178" s="218" t="s">
        <v>12048</v>
      </c>
      <c r="J178" s="218" t="s">
        <v>12681</v>
      </c>
      <c r="K178" s="218" t="s">
        <v>12047</v>
      </c>
      <c r="L178" s="218" t="s">
        <v>12394</v>
      </c>
      <c r="M178" s="218" t="s">
        <v>12395</v>
      </c>
      <c r="N178" s="218" t="s">
        <v>12682</v>
      </c>
      <c r="O178" s="218" t="s">
        <v>118</v>
      </c>
      <c r="P178" s="218">
        <v>1.51132022000038E14</v>
      </c>
    </row>
    <row r="179">
      <c r="A179" s="218" t="s">
        <v>12050</v>
      </c>
      <c r="C179" s="456">
        <v>44589.0</v>
      </c>
      <c r="D179" s="218">
        <v>168105.0</v>
      </c>
      <c r="E179" s="218">
        <v>1.0E8</v>
      </c>
      <c r="F179" s="218" t="s">
        <v>12437</v>
      </c>
      <c r="G179" s="218" t="s">
        <v>12049</v>
      </c>
      <c r="H179" s="218" t="s">
        <v>12027</v>
      </c>
      <c r="I179" s="218" t="s">
        <v>12048</v>
      </c>
      <c r="J179" s="218" t="s">
        <v>12681</v>
      </c>
      <c r="K179" s="218" t="s">
        <v>12050</v>
      </c>
      <c r="L179" s="218" t="s">
        <v>12394</v>
      </c>
      <c r="M179" s="218" t="s">
        <v>12395</v>
      </c>
      <c r="N179" s="218" t="s">
        <v>12428</v>
      </c>
      <c r="O179" s="218" t="s">
        <v>118</v>
      </c>
      <c r="P179" s="218">
        <v>1.51132022000068E14</v>
      </c>
    </row>
    <row r="180">
      <c r="A180" s="218" t="s">
        <v>12051</v>
      </c>
      <c r="C180" s="456">
        <v>44589.0</v>
      </c>
      <c r="D180" s="218">
        <v>168105.0</v>
      </c>
      <c r="E180" s="218">
        <v>1.0E8</v>
      </c>
      <c r="F180" s="218" t="s">
        <v>12424</v>
      </c>
      <c r="G180" s="218" t="s">
        <v>12053</v>
      </c>
      <c r="H180" s="218" t="s">
        <v>12052</v>
      </c>
      <c r="I180" s="218" t="s">
        <v>1462</v>
      </c>
      <c r="J180" s="218" t="s">
        <v>12584</v>
      </c>
      <c r="K180" s="218" t="s">
        <v>12051</v>
      </c>
      <c r="L180" s="218" t="s">
        <v>12458</v>
      </c>
      <c r="M180" s="218" t="s">
        <v>12395</v>
      </c>
      <c r="N180" s="218" t="s">
        <v>12683</v>
      </c>
      <c r="O180" s="218" t="s">
        <v>118</v>
      </c>
      <c r="P180" s="218">
        <v>1.51132022000027E14</v>
      </c>
    </row>
    <row r="181">
      <c r="A181" s="218" t="s">
        <v>12054</v>
      </c>
      <c r="C181" s="456">
        <v>44589.0</v>
      </c>
      <c r="D181" s="218">
        <v>168105.0</v>
      </c>
      <c r="E181" s="218">
        <v>1.27E8</v>
      </c>
      <c r="F181" s="218" t="s">
        <v>12424</v>
      </c>
      <c r="G181" s="218" t="s">
        <v>9802</v>
      </c>
      <c r="H181" s="218" t="s">
        <v>12055</v>
      </c>
      <c r="I181" s="218" t="s">
        <v>175</v>
      </c>
      <c r="J181" s="218" t="s">
        <v>12542</v>
      </c>
      <c r="K181" s="218" t="s">
        <v>12054</v>
      </c>
      <c r="L181" s="218" t="s">
        <v>12394</v>
      </c>
      <c r="M181" s="218" t="s">
        <v>12395</v>
      </c>
      <c r="N181" s="218" t="s">
        <v>12684</v>
      </c>
      <c r="O181" s="218" t="s">
        <v>118</v>
      </c>
      <c r="P181" s="218">
        <v>1.51132022000071E14</v>
      </c>
    </row>
    <row r="182">
      <c r="A182" s="218" t="s">
        <v>12056</v>
      </c>
      <c r="C182" s="456">
        <v>44589.0</v>
      </c>
      <c r="D182" s="218">
        <v>168105.0</v>
      </c>
      <c r="E182" s="218">
        <v>1.27E8</v>
      </c>
      <c r="F182" s="218" t="s">
        <v>12505</v>
      </c>
      <c r="G182" s="218" t="s">
        <v>9802</v>
      </c>
      <c r="H182" s="218" t="s">
        <v>12057</v>
      </c>
      <c r="I182" s="218" t="s">
        <v>175</v>
      </c>
      <c r="J182" s="218" t="s">
        <v>12542</v>
      </c>
      <c r="K182" s="218" t="s">
        <v>12056</v>
      </c>
      <c r="L182" s="218" t="s">
        <v>12394</v>
      </c>
      <c r="M182" s="218" t="s">
        <v>12395</v>
      </c>
      <c r="N182" s="218" t="s">
        <v>12685</v>
      </c>
      <c r="O182" s="218" t="s">
        <v>118</v>
      </c>
      <c r="P182" s="218">
        <v>1.51132022000029E14</v>
      </c>
    </row>
    <row r="183">
      <c r="A183" s="218" t="s">
        <v>12058</v>
      </c>
      <c r="C183" s="456">
        <v>44593.0</v>
      </c>
      <c r="D183" s="218">
        <v>168105.0</v>
      </c>
      <c r="E183" s="218">
        <v>1.0E8</v>
      </c>
      <c r="F183" s="218" t="s">
        <v>12424</v>
      </c>
      <c r="G183" s="218" t="s">
        <v>12060</v>
      </c>
      <c r="H183" s="218" t="s">
        <v>12059</v>
      </c>
      <c r="I183" s="218" t="s">
        <v>1462</v>
      </c>
      <c r="J183" s="218" t="s">
        <v>12584</v>
      </c>
      <c r="K183" s="218" t="s">
        <v>12058</v>
      </c>
      <c r="L183" s="218" t="s">
        <v>12458</v>
      </c>
      <c r="M183" s="218" t="s">
        <v>12395</v>
      </c>
      <c r="N183" s="218" t="s">
        <v>12686</v>
      </c>
      <c r="O183" s="218" t="s">
        <v>118</v>
      </c>
      <c r="P183" s="218">
        <v>1.51132022000027E14</v>
      </c>
    </row>
    <row r="184">
      <c r="A184" s="218" t="s">
        <v>12061</v>
      </c>
      <c r="C184" s="456">
        <v>44593.0</v>
      </c>
      <c r="D184" s="218">
        <v>168105.0</v>
      </c>
      <c r="E184" s="218">
        <v>1.0E8</v>
      </c>
      <c r="F184" s="218" t="s">
        <v>12437</v>
      </c>
      <c r="G184" s="218" t="s">
        <v>9635</v>
      </c>
      <c r="H184" s="218" t="s">
        <v>12063</v>
      </c>
      <c r="I184" s="218" t="s">
        <v>12062</v>
      </c>
      <c r="J184" s="218" t="s">
        <v>12687</v>
      </c>
      <c r="K184" s="218" t="s">
        <v>12061</v>
      </c>
      <c r="L184" s="218" t="s">
        <v>12394</v>
      </c>
      <c r="M184" s="218" t="s">
        <v>12395</v>
      </c>
      <c r="N184" s="218" t="s">
        <v>12621</v>
      </c>
      <c r="O184" s="218" t="s">
        <v>118</v>
      </c>
      <c r="P184" s="218">
        <v>1.51132022000059E14</v>
      </c>
    </row>
    <row r="185">
      <c r="A185" s="218" t="s">
        <v>12064</v>
      </c>
      <c r="C185" s="456">
        <v>44593.0</v>
      </c>
      <c r="D185" s="218">
        <v>168105.0</v>
      </c>
      <c r="E185" s="218">
        <v>1.0E8</v>
      </c>
      <c r="F185" s="218" t="s">
        <v>12424</v>
      </c>
      <c r="G185" s="218" t="s">
        <v>9635</v>
      </c>
      <c r="H185" s="218" t="s">
        <v>12065</v>
      </c>
      <c r="I185" s="218" t="s">
        <v>12062</v>
      </c>
      <c r="J185" s="218" t="s">
        <v>12687</v>
      </c>
      <c r="K185" s="218" t="s">
        <v>12064</v>
      </c>
      <c r="L185" s="218" t="s">
        <v>12394</v>
      </c>
      <c r="M185" s="218" t="s">
        <v>12395</v>
      </c>
      <c r="N185" s="218" t="s">
        <v>12688</v>
      </c>
      <c r="O185" s="218" t="s">
        <v>118</v>
      </c>
      <c r="P185" s="218">
        <v>1.51132022000012E14</v>
      </c>
    </row>
    <row r="186">
      <c r="A186" s="218" t="s">
        <v>12066</v>
      </c>
      <c r="C186" s="456">
        <v>44593.0</v>
      </c>
      <c r="D186" s="218">
        <v>168105.0</v>
      </c>
      <c r="E186" s="218">
        <v>1.0E8</v>
      </c>
      <c r="F186" s="218" t="s">
        <v>12639</v>
      </c>
      <c r="G186" s="218" t="s">
        <v>12069</v>
      </c>
      <c r="H186" s="218" t="s">
        <v>12068</v>
      </c>
      <c r="I186" s="218" t="s">
        <v>12067</v>
      </c>
      <c r="J186" s="218" t="s">
        <v>12689</v>
      </c>
      <c r="K186" s="218" t="s">
        <v>12066</v>
      </c>
      <c r="L186" s="218" t="s">
        <v>12394</v>
      </c>
      <c r="M186" s="218" t="s">
        <v>12395</v>
      </c>
      <c r="N186" s="218" t="s">
        <v>12440</v>
      </c>
      <c r="O186" s="218" t="s">
        <v>118</v>
      </c>
      <c r="P186" s="218">
        <v>1.51132022000051E14</v>
      </c>
    </row>
    <row r="187">
      <c r="A187" s="218" t="s">
        <v>12070</v>
      </c>
      <c r="C187" s="456">
        <v>44593.0</v>
      </c>
      <c r="D187" s="218">
        <v>168105.0</v>
      </c>
      <c r="E187" s="218">
        <v>1.0E8</v>
      </c>
      <c r="F187" s="218" t="s">
        <v>12639</v>
      </c>
      <c r="G187" s="218" t="s">
        <v>12069</v>
      </c>
      <c r="H187" s="218" t="s">
        <v>12068</v>
      </c>
      <c r="I187" s="218" t="s">
        <v>12071</v>
      </c>
      <c r="J187" s="218" t="s">
        <v>12690</v>
      </c>
      <c r="K187" s="218" t="s">
        <v>12070</v>
      </c>
      <c r="L187" s="218" t="s">
        <v>12394</v>
      </c>
      <c r="M187" s="218" t="s">
        <v>12395</v>
      </c>
      <c r="N187" s="218" t="s">
        <v>12628</v>
      </c>
      <c r="O187" s="218" t="s">
        <v>118</v>
      </c>
      <c r="P187" s="218">
        <v>1.51132022000051E14</v>
      </c>
    </row>
    <row r="188">
      <c r="A188" s="218" t="s">
        <v>12072</v>
      </c>
      <c r="C188" s="456">
        <v>44593.0</v>
      </c>
      <c r="D188" s="218">
        <v>168105.0</v>
      </c>
      <c r="E188" s="218">
        <v>1.0E8</v>
      </c>
      <c r="F188" s="218" t="s">
        <v>12639</v>
      </c>
      <c r="G188" s="218" t="s">
        <v>12074</v>
      </c>
      <c r="H188" s="218" t="s">
        <v>12073</v>
      </c>
      <c r="I188" s="218" t="s">
        <v>12071</v>
      </c>
      <c r="J188" s="218" t="s">
        <v>12690</v>
      </c>
      <c r="K188" s="218" t="s">
        <v>12072</v>
      </c>
      <c r="L188" s="218" t="s">
        <v>12394</v>
      </c>
      <c r="M188" s="218" t="s">
        <v>12395</v>
      </c>
      <c r="N188" s="218" t="s">
        <v>12691</v>
      </c>
      <c r="O188" s="218" t="s">
        <v>110</v>
      </c>
      <c r="P188" s="218">
        <v>1.51132022000052E14</v>
      </c>
    </row>
    <row r="189">
      <c r="A189" s="218" t="s">
        <v>12075</v>
      </c>
      <c r="C189" s="456">
        <v>44593.0</v>
      </c>
      <c r="D189" s="218">
        <v>168105.0</v>
      </c>
      <c r="E189" s="218">
        <v>1.0E8</v>
      </c>
      <c r="F189" s="218" t="s">
        <v>12424</v>
      </c>
      <c r="G189" s="218" t="s">
        <v>12077</v>
      </c>
      <c r="H189" s="218" t="s">
        <v>12076</v>
      </c>
      <c r="I189" s="218" t="s">
        <v>11845</v>
      </c>
      <c r="J189" s="218" t="s">
        <v>12529</v>
      </c>
      <c r="K189" s="218" t="s">
        <v>12075</v>
      </c>
      <c r="L189" s="218" t="s">
        <v>12394</v>
      </c>
      <c r="M189" s="218" t="s">
        <v>12395</v>
      </c>
      <c r="N189" s="218" t="s">
        <v>12692</v>
      </c>
      <c r="O189" s="218" t="s">
        <v>118</v>
      </c>
      <c r="P189" s="218">
        <v>1.51132022000012E14</v>
      </c>
    </row>
    <row r="190">
      <c r="A190" s="218" t="s">
        <v>12078</v>
      </c>
      <c r="C190" s="456">
        <v>44593.0</v>
      </c>
      <c r="D190" s="218">
        <v>168105.0</v>
      </c>
      <c r="E190" s="218">
        <v>1.0E8</v>
      </c>
      <c r="F190" s="218" t="s">
        <v>12505</v>
      </c>
      <c r="G190" s="218" t="s">
        <v>12080</v>
      </c>
      <c r="H190" s="218" t="s">
        <v>12079</v>
      </c>
      <c r="I190" s="218" t="s">
        <v>4457</v>
      </c>
      <c r="J190" s="218" t="s">
        <v>12693</v>
      </c>
      <c r="K190" s="218" t="s">
        <v>12078</v>
      </c>
      <c r="L190" s="218" t="s">
        <v>12458</v>
      </c>
      <c r="M190" s="218" t="s">
        <v>12395</v>
      </c>
      <c r="N190" s="218" t="s">
        <v>12694</v>
      </c>
      <c r="O190" s="218" t="s">
        <v>118</v>
      </c>
      <c r="P190" s="218">
        <v>1.5113202200003E14</v>
      </c>
    </row>
    <row r="191">
      <c r="A191" s="218" t="s">
        <v>421</v>
      </c>
      <c r="C191" s="456">
        <v>44594.0</v>
      </c>
      <c r="D191" s="218">
        <v>168105.0</v>
      </c>
      <c r="E191" s="218">
        <v>1.0E8</v>
      </c>
      <c r="F191" s="218" t="s">
        <v>12541</v>
      </c>
      <c r="G191" s="218" t="s">
        <v>419</v>
      </c>
      <c r="H191" s="218" t="s">
        <v>12081</v>
      </c>
      <c r="I191" s="218" t="s">
        <v>420</v>
      </c>
      <c r="J191" s="218" t="s">
        <v>12695</v>
      </c>
      <c r="K191" s="218" t="s">
        <v>421</v>
      </c>
      <c r="L191" s="218" t="s">
        <v>12394</v>
      </c>
      <c r="M191" s="218" t="s">
        <v>12395</v>
      </c>
      <c r="N191" s="218" t="s">
        <v>12696</v>
      </c>
      <c r="O191" s="218" t="s">
        <v>118</v>
      </c>
      <c r="P191" s="218">
        <v>1.51132022000086E14</v>
      </c>
    </row>
    <row r="192">
      <c r="A192" s="218" t="s">
        <v>275</v>
      </c>
      <c r="C192" s="456">
        <v>44596.0</v>
      </c>
      <c r="D192" s="218">
        <v>168107.0</v>
      </c>
      <c r="E192" s="218">
        <v>1.0E8</v>
      </c>
      <c r="F192" s="218" t="s">
        <v>12541</v>
      </c>
      <c r="G192" s="218" t="s">
        <v>273</v>
      </c>
      <c r="H192" s="218" t="s">
        <v>12082</v>
      </c>
      <c r="I192" s="218" t="s">
        <v>274</v>
      </c>
      <c r="J192" s="218" t="s">
        <v>12697</v>
      </c>
      <c r="K192" s="218" t="s">
        <v>275</v>
      </c>
      <c r="L192" s="218" t="s">
        <v>12458</v>
      </c>
      <c r="M192" s="218" t="s">
        <v>12395</v>
      </c>
      <c r="N192" s="218" t="s">
        <v>12698</v>
      </c>
      <c r="O192" s="218" t="s">
        <v>118</v>
      </c>
      <c r="P192" s="218">
        <v>1.51132022000098E14</v>
      </c>
    </row>
    <row r="193">
      <c r="A193" s="218" t="s">
        <v>12083</v>
      </c>
      <c r="C193" s="456">
        <v>44596.0</v>
      </c>
      <c r="D193" s="218">
        <v>168105.0</v>
      </c>
      <c r="E193" s="218">
        <v>1.0E8</v>
      </c>
      <c r="F193" s="218" t="s">
        <v>12639</v>
      </c>
      <c r="G193" s="218" t="s">
        <v>11474</v>
      </c>
      <c r="H193" s="218" t="s">
        <v>12084</v>
      </c>
      <c r="I193" s="218" t="s">
        <v>11979</v>
      </c>
      <c r="J193" s="218" t="s">
        <v>12640</v>
      </c>
      <c r="K193" s="218" t="s">
        <v>12083</v>
      </c>
      <c r="L193" s="218" t="s">
        <v>12394</v>
      </c>
      <c r="M193" s="218" t="s">
        <v>12395</v>
      </c>
      <c r="N193" s="218" t="s">
        <v>12699</v>
      </c>
      <c r="O193" s="218" t="s">
        <v>118</v>
      </c>
      <c r="P193" s="218">
        <v>1.51132022000035E14</v>
      </c>
    </row>
    <row r="194">
      <c r="A194" s="218" t="s">
        <v>12085</v>
      </c>
      <c r="C194" s="456">
        <v>44596.0</v>
      </c>
      <c r="D194" s="218">
        <v>168105.0</v>
      </c>
      <c r="E194" s="218">
        <v>1.0E8</v>
      </c>
      <c r="F194" s="218" t="s">
        <v>12639</v>
      </c>
      <c r="G194" s="218" t="s">
        <v>11909</v>
      </c>
      <c r="H194" s="218" t="s">
        <v>12086</v>
      </c>
      <c r="I194" s="218" t="s">
        <v>4880</v>
      </c>
      <c r="J194" s="218" t="s">
        <v>12586</v>
      </c>
      <c r="K194" s="218" t="s">
        <v>12085</v>
      </c>
      <c r="L194" s="218" t="s">
        <v>12394</v>
      </c>
      <c r="M194" s="218" t="s">
        <v>12395</v>
      </c>
      <c r="N194" s="218" t="s">
        <v>12700</v>
      </c>
      <c r="O194" s="218" t="s">
        <v>118</v>
      </c>
      <c r="P194" s="218">
        <v>1.51132022000035E14</v>
      </c>
    </row>
    <row r="195">
      <c r="A195" s="218" t="s">
        <v>12087</v>
      </c>
      <c r="C195" s="456">
        <v>44588.0</v>
      </c>
      <c r="D195" s="218">
        <v>168105.0</v>
      </c>
      <c r="E195" s="218">
        <v>1.0E8</v>
      </c>
      <c r="F195" s="218" t="s">
        <v>12424</v>
      </c>
      <c r="G195" s="218" t="s">
        <v>9632</v>
      </c>
      <c r="H195" s="218" t="s">
        <v>12089</v>
      </c>
      <c r="I195" s="218" t="s">
        <v>12088</v>
      </c>
      <c r="J195" s="218" t="s">
        <v>12701</v>
      </c>
      <c r="K195" s="218" t="s">
        <v>12087</v>
      </c>
      <c r="L195" s="218" t="s">
        <v>12394</v>
      </c>
      <c r="M195" s="218" t="s">
        <v>12395</v>
      </c>
      <c r="N195" s="218" t="s">
        <v>12702</v>
      </c>
      <c r="O195" s="218" t="s">
        <v>110</v>
      </c>
      <c r="P195" s="218">
        <v>1.5113202200002E14</v>
      </c>
    </row>
    <row r="196">
      <c r="A196" s="218" t="s">
        <v>12090</v>
      </c>
      <c r="C196" s="456">
        <v>44596.0</v>
      </c>
      <c r="D196" s="218">
        <v>168105.0</v>
      </c>
      <c r="E196" s="218">
        <v>1.0E8</v>
      </c>
      <c r="F196" s="218" t="s">
        <v>12424</v>
      </c>
      <c r="G196" s="218" t="s">
        <v>9816</v>
      </c>
      <c r="H196" s="218" t="s">
        <v>12025</v>
      </c>
      <c r="I196" s="218" t="s">
        <v>12091</v>
      </c>
      <c r="J196" s="218" t="s">
        <v>12703</v>
      </c>
      <c r="K196" s="218" t="s">
        <v>12090</v>
      </c>
      <c r="L196" s="218" t="s">
        <v>12394</v>
      </c>
      <c r="M196" s="218" t="s">
        <v>12395</v>
      </c>
      <c r="N196" s="218" t="s">
        <v>12704</v>
      </c>
      <c r="O196" s="218" t="s">
        <v>118</v>
      </c>
      <c r="P196" s="218">
        <v>1.51132022000038E14</v>
      </c>
    </row>
    <row r="197">
      <c r="A197" s="218" t="s">
        <v>12092</v>
      </c>
      <c r="C197" s="456">
        <v>44596.0</v>
      </c>
      <c r="D197" s="218">
        <v>168105.0</v>
      </c>
      <c r="E197" s="218">
        <v>1.0E8</v>
      </c>
      <c r="F197" s="218" t="s">
        <v>12437</v>
      </c>
      <c r="G197" s="218" t="s">
        <v>9816</v>
      </c>
      <c r="H197" s="218" t="s">
        <v>12027</v>
      </c>
      <c r="I197" s="218" t="s">
        <v>12091</v>
      </c>
      <c r="J197" s="218" t="s">
        <v>12703</v>
      </c>
      <c r="K197" s="218" t="s">
        <v>12092</v>
      </c>
      <c r="L197" s="218" t="s">
        <v>12394</v>
      </c>
      <c r="M197" s="218" t="s">
        <v>12395</v>
      </c>
      <c r="N197" s="218" t="s">
        <v>12438</v>
      </c>
      <c r="O197" s="218" t="s">
        <v>118</v>
      </c>
      <c r="P197" s="218">
        <v>1.51132022000068E14</v>
      </c>
    </row>
    <row r="198">
      <c r="A198" s="218" t="s">
        <v>12093</v>
      </c>
      <c r="C198" s="456">
        <v>44596.0</v>
      </c>
      <c r="D198" s="218">
        <v>168105.0</v>
      </c>
      <c r="E198" s="218">
        <v>1.27E8</v>
      </c>
      <c r="F198" s="218" t="s">
        <v>12639</v>
      </c>
      <c r="G198" s="218" t="s">
        <v>9783</v>
      </c>
      <c r="H198" s="218" t="s">
        <v>12094</v>
      </c>
      <c r="I198" s="218" t="s">
        <v>4880</v>
      </c>
      <c r="J198" s="218" t="s">
        <v>12586</v>
      </c>
      <c r="K198" s="218" t="s">
        <v>12093</v>
      </c>
      <c r="L198" s="218" t="s">
        <v>12394</v>
      </c>
      <c r="M198" s="218" t="s">
        <v>12395</v>
      </c>
      <c r="N198" s="218" t="s">
        <v>12705</v>
      </c>
      <c r="O198" s="218" t="s">
        <v>110</v>
      </c>
      <c r="P198" s="218">
        <v>1.51132022000053E14</v>
      </c>
    </row>
    <row r="199">
      <c r="A199" s="218" t="s">
        <v>12095</v>
      </c>
      <c r="C199" s="456">
        <v>44596.0</v>
      </c>
      <c r="D199" s="218">
        <v>168105.0</v>
      </c>
      <c r="E199" s="218">
        <v>1.0E8</v>
      </c>
      <c r="F199" s="218" t="s">
        <v>12505</v>
      </c>
      <c r="G199" s="218" t="s">
        <v>12098</v>
      </c>
      <c r="H199" s="218" t="s">
        <v>12097</v>
      </c>
      <c r="I199" s="218" t="s">
        <v>12096</v>
      </c>
      <c r="J199" s="218" t="s">
        <v>12706</v>
      </c>
      <c r="K199" s="218" t="s">
        <v>12095</v>
      </c>
      <c r="L199" s="218" t="s">
        <v>12458</v>
      </c>
      <c r="M199" s="218" t="s">
        <v>12395</v>
      </c>
      <c r="N199" s="218" t="s">
        <v>12707</v>
      </c>
      <c r="O199" s="218" t="s">
        <v>118</v>
      </c>
      <c r="P199" s="218">
        <v>1.51132022000004E14</v>
      </c>
    </row>
    <row r="200">
      <c r="A200" s="218" t="s">
        <v>12099</v>
      </c>
      <c r="C200" s="456">
        <v>44596.0</v>
      </c>
      <c r="D200" s="218">
        <v>168105.0</v>
      </c>
      <c r="E200" s="218">
        <v>1.0E8</v>
      </c>
      <c r="F200" s="218" t="s">
        <v>12437</v>
      </c>
      <c r="G200" s="218" t="s">
        <v>11955</v>
      </c>
      <c r="H200" s="218" t="s">
        <v>12100</v>
      </c>
      <c r="I200" s="218" t="s">
        <v>11953</v>
      </c>
      <c r="J200" s="218" t="s">
        <v>12624</v>
      </c>
      <c r="K200" s="218" t="s">
        <v>12099</v>
      </c>
      <c r="L200" s="218" t="s">
        <v>12394</v>
      </c>
      <c r="M200" s="218" t="s">
        <v>12395</v>
      </c>
      <c r="N200" s="218" t="s">
        <v>12708</v>
      </c>
      <c r="O200" s="218" t="s">
        <v>118</v>
      </c>
      <c r="P200" s="218">
        <v>1.51132022000064E14</v>
      </c>
    </row>
    <row r="201">
      <c r="A201" s="218" t="s">
        <v>12101</v>
      </c>
      <c r="C201" s="456">
        <v>44599.0</v>
      </c>
      <c r="D201" s="218">
        <v>168105.0</v>
      </c>
      <c r="E201" s="218">
        <v>1.0E8</v>
      </c>
      <c r="F201" s="218" t="s">
        <v>12437</v>
      </c>
      <c r="G201" s="218" t="s">
        <v>12104</v>
      </c>
      <c r="H201" s="218" t="s">
        <v>12103</v>
      </c>
      <c r="I201" s="218" t="s">
        <v>12102</v>
      </c>
      <c r="J201" s="218" t="s">
        <v>12709</v>
      </c>
      <c r="K201" s="218" t="s">
        <v>12101</v>
      </c>
      <c r="L201" s="218" t="s">
        <v>12394</v>
      </c>
      <c r="M201" s="218" t="s">
        <v>12395</v>
      </c>
      <c r="N201" s="218" t="s">
        <v>12710</v>
      </c>
      <c r="O201" s="218" t="s">
        <v>118</v>
      </c>
      <c r="P201" s="218">
        <v>1.51132022000062E14</v>
      </c>
    </row>
    <row r="202">
      <c r="A202" s="218" t="s">
        <v>12105</v>
      </c>
      <c r="C202" s="456">
        <v>44599.0</v>
      </c>
      <c r="D202" s="218">
        <v>168105.0</v>
      </c>
      <c r="E202" s="218">
        <v>1.0E8</v>
      </c>
      <c r="F202" s="218" t="s">
        <v>12437</v>
      </c>
      <c r="G202" s="218" t="s">
        <v>12108</v>
      </c>
      <c r="H202" s="218" t="s">
        <v>12107</v>
      </c>
      <c r="I202" s="218" t="s">
        <v>12106</v>
      </c>
      <c r="J202" s="218" t="s">
        <v>12711</v>
      </c>
      <c r="K202" s="218" t="s">
        <v>12105</v>
      </c>
      <c r="L202" s="218" t="s">
        <v>12394</v>
      </c>
      <c r="M202" s="218" t="s">
        <v>12395</v>
      </c>
      <c r="N202" s="218" t="s">
        <v>12712</v>
      </c>
      <c r="O202" s="218" t="s">
        <v>118</v>
      </c>
      <c r="P202" s="218">
        <v>1.51132022000067E14</v>
      </c>
    </row>
    <row r="203">
      <c r="A203" s="218" t="s">
        <v>12109</v>
      </c>
      <c r="C203" s="456">
        <v>44599.0</v>
      </c>
      <c r="D203" s="218">
        <v>168105.0</v>
      </c>
      <c r="E203" s="218">
        <v>1.0E8</v>
      </c>
      <c r="F203" s="218" t="s">
        <v>12456</v>
      </c>
      <c r="G203" s="218" t="s">
        <v>9413</v>
      </c>
      <c r="H203" s="218" t="s">
        <v>12111</v>
      </c>
      <c r="I203" s="218" t="s">
        <v>12110</v>
      </c>
      <c r="J203" s="218" t="s">
        <v>12713</v>
      </c>
      <c r="K203" s="218" t="s">
        <v>12109</v>
      </c>
      <c r="L203" s="218" t="s">
        <v>12458</v>
      </c>
      <c r="M203" s="218" t="s">
        <v>12395</v>
      </c>
      <c r="N203" s="218" t="s">
        <v>12714</v>
      </c>
      <c r="O203" s="218" t="s">
        <v>118</v>
      </c>
      <c r="P203" s="218">
        <v>1.51132022000044E14</v>
      </c>
    </row>
    <row r="204">
      <c r="A204" s="218" t="s">
        <v>12112</v>
      </c>
      <c r="C204" s="456">
        <v>44600.0</v>
      </c>
      <c r="D204" s="218">
        <v>168108.0</v>
      </c>
      <c r="E204" s="218">
        <v>1.0E8</v>
      </c>
      <c r="F204" s="218" t="s">
        <v>12435</v>
      </c>
      <c r="G204" s="218" t="s">
        <v>12114</v>
      </c>
      <c r="H204" s="218" t="s">
        <v>12113</v>
      </c>
      <c r="I204" s="218" t="s">
        <v>11650</v>
      </c>
      <c r="J204" s="218">
        <v>510001.0</v>
      </c>
      <c r="K204" s="218" t="s">
        <v>12112</v>
      </c>
      <c r="L204" s="218" t="s">
        <v>12394</v>
      </c>
      <c r="M204" s="218" t="s">
        <v>12395</v>
      </c>
      <c r="N204" s="218" t="s">
        <v>12523</v>
      </c>
      <c r="O204" s="218" t="s">
        <v>118</v>
      </c>
      <c r="P204" s="218">
        <v>1.51132022000125E14</v>
      </c>
    </row>
    <row r="205">
      <c r="A205" s="218" t="s">
        <v>12115</v>
      </c>
      <c r="C205" s="456">
        <v>44600.0</v>
      </c>
      <c r="D205" s="218">
        <v>168105.0</v>
      </c>
      <c r="E205" s="218">
        <v>1.7015113E8</v>
      </c>
      <c r="F205" s="218" t="s">
        <v>12456</v>
      </c>
      <c r="G205" s="218" t="s">
        <v>12118</v>
      </c>
      <c r="H205" s="218" t="s">
        <v>12117</v>
      </c>
      <c r="I205" s="218" t="s">
        <v>12116</v>
      </c>
      <c r="J205" s="218" t="s">
        <v>12715</v>
      </c>
      <c r="K205" s="218" t="s">
        <v>12115</v>
      </c>
      <c r="L205" s="218" t="s">
        <v>12458</v>
      </c>
      <c r="M205" s="218" t="s">
        <v>12395</v>
      </c>
      <c r="N205" s="218" t="s">
        <v>12716</v>
      </c>
      <c r="O205" s="218" t="s">
        <v>118</v>
      </c>
      <c r="P205" s="218">
        <v>1.51132022000212E14</v>
      </c>
    </row>
    <row r="206">
      <c r="A206" s="218" t="s">
        <v>12119</v>
      </c>
      <c r="C206" s="456">
        <v>44600.0</v>
      </c>
      <c r="D206" s="218">
        <v>168105.0</v>
      </c>
      <c r="E206" s="218">
        <v>1.0E8</v>
      </c>
      <c r="F206" s="218" t="s">
        <v>12505</v>
      </c>
      <c r="G206" s="218" t="s">
        <v>9504</v>
      </c>
      <c r="H206" s="218" t="s">
        <v>12120</v>
      </c>
      <c r="I206" s="218" t="s">
        <v>11784</v>
      </c>
      <c r="J206" s="218" t="s">
        <v>12491</v>
      </c>
      <c r="K206" s="218" t="s">
        <v>12119</v>
      </c>
      <c r="L206" s="218" t="s">
        <v>12458</v>
      </c>
      <c r="M206" s="218" t="s">
        <v>12395</v>
      </c>
      <c r="N206" s="218" t="s">
        <v>12717</v>
      </c>
      <c r="O206" s="218" t="s">
        <v>118</v>
      </c>
      <c r="P206" s="218">
        <v>1.5113202200003E14</v>
      </c>
    </row>
    <row r="207">
      <c r="A207" s="218" t="s">
        <v>12121</v>
      </c>
      <c r="C207" s="456">
        <v>44601.0</v>
      </c>
      <c r="D207" s="218">
        <v>168105.0</v>
      </c>
      <c r="E207" s="218">
        <v>1.0E8</v>
      </c>
      <c r="F207" s="218" t="s">
        <v>12424</v>
      </c>
      <c r="G207" s="218" t="s">
        <v>12124</v>
      </c>
      <c r="H207" s="218" t="s">
        <v>12123</v>
      </c>
      <c r="I207" s="218" t="s">
        <v>12122</v>
      </c>
      <c r="J207" s="218" t="s">
        <v>12718</v>
      </c>
      <c r="K207" s="218" t="s">
        <v>12121</v>
      </c>
      <c r="L207" s="218" t="s">
        <v>12458</v>
      </c>
      <c r="M207" s="218" t="s">
        <v>12395</v>
      </c>
      <c r="N207" s="218" t="s">
        <v>12719</v>
      </c>
      <c r="O207" s="218" t="s">
        <v>118</v>
      </c>
      <c r="P207" s="218">
        <v>1.51132022000211E14</v>
      </c>
    </row>
    <row r="208">
      <c r="A208" s="218" t="s">
        <v>12125</v>
      </c>
      <c r="C208" s="456">
        <v>44602.0</v>
      </c>
      <c r="D208" s="218">
        <v>168105.0</v>
      </c>
      <c r="E208" s="218">
        <v>1.0E8</v>
      </c>
      <c r="F208" s="218" t="s">
        <v>12456</v>
      </c>
      <c r="G208" s="218" t="s">
        <v>10071</v>
      </c>
      <c r="H208" s="218" t="s">
        <v>12126</v>
      </c>
      <c r="I208" s="218" t="s">
        <v>12110</v>
      </c>
      <c r="J208" s="218" t="s">
        <v>12720</v>
      </c>
      <c r="K208" s="218" t="s">
        <v>12125</v>
      </c>
      <c r="L208" s="218" t="s">
        <v>12458</v>
      </c>
      <c r="M208" s="218" t="s">
        <v>12395</v>
      </c>
      <c r="N208" s="459">
        <v>2032911.0</v>
      </c>
      <c r="O208" s="218" t="s">
        <v>118</v>
      </c>
      <c r="P208" s="218">
        <v>1.51132022000044E14</v>
      </c>
    </row>
    <row r="209">
      <c r="A209" s="218" t="s">
        <v>12127</v>
      </c>
      <c r="C209" s="456">
        <v>44606.0</v>
      </c>
      <c r="D209" s="218">
        <v>168105.0</v>
      </c>
      <c r="E209" s="218">
        <v>1.0E8</v>
      </c>
      <c r="F209" s="218" t="s">
        <v>12424</v>
      </c>
      <c r="G209" s="218" t="s">
        <v>12130</v>
      </c>
      <c r="H209" s="218" t="s">
        <v>12129</v>
      </c>
      <c r="I209" s="218" t="s">
        <v>12128</v>
      </c>
      <c r="J209" s="218" t="s">
        <v>12721</v>
      </c>
      <c r="K209" s="218" t="s">
        <v>12127</v>
      </c>
      <c r="L209" s="218" t="s">
        <v>12458</v>
      </c>
      <c r="M209" s="218" t="s">
        <v>12395</v>
      </c>
      <c r="N209" s="218" t="s">
        <v>12722</v>
      </c>
      <c r="O209" s="218" t="s">
        <v>110</v>
      </c>
      <c r="P209" s="218">
        <v>1.51132022000047E14</v>
      </c>
    </row>
    <row r="210">
      <c r="A210" s="218" t="s">
        <v>12131</v>
      </c>
      <c r="C210" s="456">
        <v>44606.0</v>
      </c>
      <c r="D210" s="218">
        <v>168105.0</v>
      </c>
      <c r="E210" s="218">
        <v>1.0E8</v>
      </c>
      <c r="F210" s="218" t="s">
        <v>12437</v>
      </c>
      <c r="G210" s="218" t="s">
        <v>12133</v>
      </c>
      <c r="H210" s="218" t="s">
        <v>12132</v>
      </c>
      <c r="I210" s="218" t="s">
        <v>6856</v>
      </c>
      <c r="J210" s="218" t="s">
        <v>12539</v>
      </c>
      <c r="K210" s="218" t="s">
        <v>12131</v>
      </c>
      <c r="L210" s="218" t="s">
        <v>12458</v>
      </c>
      <c r="M210" s="218" t="s">
        <v>12395</v>
      </c>
      <c r="N210" s="218" t="s">
        <v>12540</v>
      </c>
      <c r="O210" s="218" t="s">
        <v>118</v>
      </c>
      <c r="P210" s="218">
        <v>1.51132022000062E14</v>
      </c>
    </row>
    <row r="211">
      <c r="A211" s="218" t="s">
        <v>12134</v>
      </c>
      <c r="C211" s="456">
        <v>44606.0</v>
      </c>
      <c r="D211" s="218">
        <v>168105.0</v>
      </c>
      <c r="E211" s="218">
        <v>1.0E8</v>
      </c>
      <c r="F211" s="218" t="s">
        <v>12505</v>
      </c>
      <c r="G211" s="218" t="s">
        <v>12136</v>
      </c>
      <c r="H211" s="218" t="s">
        <v>12135</v>
      </c>
      <c r="I211" s="218" t="s">
        <v>3057</v>
      </c>
      <c r="J211" s="218" t="s">
        <v>12723</v>
      </c>
      <c r="K211" s="218" t="s">
        <v>12134</v>
      </c>
      <c r="L211" s="218" t="s">
        <v>12458</v>
      </c>
      <c r="M211" s="218" t="s">
        <v>12395</v>
      </c>
      <c r="N211" s="459">
        <v>296517.0</v>
      </c>
      <c r="O211" s="218" t="s">
        <v>110</v>
      </c>
      <c r="P211" s="218">
        <v>1.51132022000003E14</v>
      </c>
    </row>
    <row r="212">
      <c r="A212" s="218" t="s">
        <v>12137</v>
      </c>
      <c r="C212" s="456">
        <v>44606.0</v>
      </c>
      <c r="D212" s="218">
        <v>168105.0</v>
      </c>
      <c r="E212" s="218">
        <v>1.0E8</v>
      </c>
      <c r="F212" s="218" t="s">
        <v>12505</v>
      </c>
      <c r="G212" s="218" t="s">
        <v>12140</v>
      </c>
      <c r="H212" s="218" t="s">
        <v>12139</v>
      </c>
      <c r="I212" s="218" t="s">
        <v>12138</v>
      </c>
      <c r="J212" s="218" t="s">
        <v>12724</v>
      </c>
      <c r="K212" s="218" t="s">
        <v>12137</v>
      </c>
      <c r="L212" s="218" t="s">
        <v>12458</v>
      </c>
      <c r="M212" s="218" t="s">
        <v>12395</v>
      </c>
      <c r="N212" s="218" t="s">
        <v>12725</v>
      </c>
      <c r="O212" s="218" t="s">
        <v>118</v>
      </c>
      <c r="P212" s="218">
        <v>1.5113202200003E14</v>
      </c>
    </row>
    <row r="213">
      <c r="A213" s="218" t="s">
        <v>12141</v>
      </c>
      <c r="C213" s="456">
        <v>44610.0</v>
      </c>
      <c r="D213" s="218">
        <v>168108.0</v>
      </c>
      <c r="E213" s="218">
        <v>1.0E8</v>
      </c>
      <c r="F213" s="218" t="s">
        <v>12424</v>
      </c>
      <c r="G213" s="218" t="s">
        <v>12144</v>
      </c>
      <c r="H213" s="218" t="s">
        <v>12143</v>
      </c>
      <c r="I213" s="218" t="s">
        <v>12142</v>
      </c>
      <c r="J213" s="218" t="s">
        <v>12726</v>
      </c>
      <c r="K213" s="218" t="s">
        <v>12141</v>
      </c>
      <c r="L213" s="218" t="s">
        <v>12458</v>
      </c>
      <c r="M213" s="218" t="s">
        <v>12395</v>
      </c>
      <c r="N213" s="218" t="s">
        <v>12727</v>
      </c>
      <c r="O213" s="218" t="s">
        <v>118</v>
      </c>
      <c r="P213" s="218">
        <v>1.51132022000127E14</v>
      </c>
    </row>
    <row r="214">
      <c r="A214" s="218" t="s">
        <v>12145</v>
      </c>
      <c r="C214" s="456">
        <v>44610.0</v>
      </c>
      <c r="D214" s="218">
        <v>168105.0</v>
      </c>
      <c r="E214" s="218">
        <v>1.0E8</v>
      </c>
      <c r="F214" s="218" t="s">
        <v>12424</v>
      </c>
      <c r="G214" s="218" t="s">
        <v>12148</v>
      </c>
      <c r="H214" s="218" t="s">
        <v>12147</v>
      </c>
      <c r="I214" s="218" t="s">
        <v>12146</v>
      </c>
      <c r="J214" s="218" t="s">
        <v>12728</v>
      </c>
      <c r="K214" s="218" t="s">
        <v>12145</v>
      </c>
      <c r="L214" s="218" t="s">
        <v>12394</v>
      </c>
      <c r="M214" s="218" t="s">
        <v>12395</v>
      </c>
      <c r="N214" s="218" t="s">
        <v>12729</v>
      </c>
      <c r="O214" s="218" t="s">
        <v>110</v>
      </c>
      <c r="P214" s="218">
        <v>1.51132022000057E14</v>
      </c>
    </row>
    <row r="215">
      <c r="A215" s="218" t="s">
        <v>12149</v>
      </c>
      <c r="C215" s="456">
        <v>44613.0</v>
      </c>
      <c r="D215" s="218">
        <v>168099.0</v>
      </c>
      <c r="E215" s="218">
        <v>1.56E8</v>
      </c>
      <c r="F215" s="218" t="s">
        <v>12575</v>
      </c>
      <c r="G215" s="218" t="s">
        <v>11644</v>
      </c>
      <c r="H215" s="218" t="s">
        <v>12150</v>
      </c>
      <c r="I215" s="218" t="s">
        <v>11642</v>
      </c>
      <c r="J215" s="218">
        <v>80013.0</v>
      </c>
      <c r="K215" s="218" t="s">
        <v>12149</v>
      </c>
      <c r="L215" s="218" t="s">
        <v>12394</v>
      </c>
      <c r="M215" s="218" t="s">
        <v>12395</v>
      </c>
      <c r="N215" s="218" t="s">
        <v>12730</v>
      </c>
      <c r="O215" s="218" t="s">
        <v>110</v>
      </c>
      <c r="P215" s="218">
        <v>1.5113202200018E14</v>
      </c>
    </row>
    <row r="216">
      <c r="A216" s="218" t="s">
        <v>12151</v>
      </c>
      <c r="C216" s="456">
        <v>44613.0</v>
      </c>
      <c r="D216" s="218">
        <v>168106.0</v>
      </c>
      <c r="E216" s="218">
        <v>1.0E8</v>
      </c>
      <c r="F216" s="218" t="s">
        <v>12639</v>
      </c>
      <c r="G216" s="218" t="s">
        <v>12154</v>
      </c>
      <c r="H216" s="218" t="s">
        <v>12153</v>
      </c>
      <c r="I216" s="218" t="s">
        <v>12152</v>
      </c>
      <c r="J216" s="218" t="s">
        <v>12731</v>
      </c>
      <c r="K216" s="218" t="s">
        <v>12151</v>
      </c>
      <c r="L216" s="218" t="s">
        <v>12394</v>
      </c>
      <c r="M216" s="218" t="s">
        <v>12395</v>
      </c>
      <c r="N216" s="218" t="s">
        <v>12732</v>
      </c>
      <c r="O216" s="218" t="s">
        <v>118</v>
      </c>
      <c r="P216" s="218">
        <v>1.51132022000141E14</v>
      </c>
    </row>
    <row r="217">
      <c r="A217" s="218" t="s">
        <v>12155</v>
      </c>
      <c r="C217" s="456">
        <v>44613.0</v>
      </c>
      <c r="D217" s="218">
        <v>90162.0</v>
      </c>
      <c r="E217" s="218">
        <v>1.0E8</v>
      </c>
      <c r="F217" s="218" t="s">
        <v>12399</v>
      </c>
      <c r="G217" s="218" t="s">
        <v>12157</v>
      </c>
      <c r="H217" s="218" t="s">
        <v>12156</v>
      </c>
      <c r="I217" s="218" t="s">
        <v>11890</v>
      </c>
      <c r="J217" s="218" t="s">
        <v>11891</v>
      </c>
      <c r="K217" s="218" t="s">
        <v>12155</v>
      </c>
      <c r="L217" s="218" t="s">
        <v>12458</v>
      </c>
      <c r="M217" s="218" t="s">
        <v>12395</v>
      </c>
      <c r="N217" s="218" t="s">
        <v>12733</v>
      </c>
      <c r="O217" s="218" t="s">
        <v>118</v>
      </c>
      <c r="P217" s="218">
        <v>1.5113202200021E14</v>
      </c>
    </row>
    <row r="218">
      <c r="A218" s="218" t="s">
        <v>12158</v>
      </c>
      <c r="C218" s="456">
        <v>44614.0</v>
      </c>
      <c r="D218" s="218">
        <v>168105.0</v>
      </c>
      <c r="E218" s="218">
        <v>1.0E8</v>
      </c>
      <c r="F218" s="218" t="s">
        <v>12505</v>
      </c>
      <c r="G218" s="218" t="s">
        <v>12161</v>
      </c>
      <c r="H218" s="218" t="s">
        <v>12160</v>
      </c>
      <c r="I218" s="218" t="s">
        <v>12159</v>
      </c>
      <c r="J218" s="218" t="s">
        <v>12734</v>
      </c>
      <c r="K218" s="218" t="s">
        <v>12158</v>
      </c>
      <c r="L218" s="218" t="s">
        <v>12458</v>
      </c>
      <c r="M218" s="218" t="s">
        <v>12395</v>
      </c>
      <c r="N218" s="218" t="s">
        <v>12735</v>
      </c>
      <c r="O218" s="218" t="s">
        <v>118</v>
      </c>
      <c r="P218" s="218">
        <v>1.51132022000004E14</v>
      </c>
    </row>
    <row r="219">
      <c r="A219" s="218" t="s">
        <v>12162</v>
      </c>
      <c r="C219" s="456">
        <v>44614.0</v>
      </c>
      <c r="D219" s="218">
        <v>168105.0</v>
      </c>
      <c r="E219" s="218">
        <v>1.0E8</v>
      </c>
      <c r="F219" s="218" t="s">
        <v>12505</v>
      </c>
      <c r="G219" s="218" t="s">
        <v>12161</v>
      </c>
      <c r="H219" s="218" t="s">
        <v>12163</v>
      </c>
      <c r="I219" s="218" t="s">
        <v>11920</v>
      </c>
      <c r="J219" s="218" t="s">
        <v>12605</v>
      </c>
      <c r="K219" s="218" t="s">
        <v>12162</v>
      </c>
      <c r="L219" s="218" t="s">
        <v>12458</v>
      </c>
      <c r="M219" s="218" t="s">
        <v>12395</v>
      </c>
      <c r="N219" s="218" t="s">
        <v>12736</v>
      </c>
      <c r="O219" s="218" t="s">
        <v>118</v>
      </c>
      <c r="P219" s="218">
        <v>1.51132022000004E14</v>
      </c>
    </row>
    <row r="220">
      <c r="A220" s="218" t="s">
        <v>12164</v>
      </c>
      <c r="C220" s="456">
        <v>44614.0</v>
      </c>
      <c r="D220" s="218">
        <v>168105.0</v>
      </c>
      <c r="E220" s="218">
        <v>1.0E8</v>
      </c>
      <c r="F220" s="218" t="s">
        <v>12505</v>
      </c>
      <c r="G220" s="218" t="s">
        <v>12161</v>
      </c>
      <c r="H220" s="218" t="s">
        <v>12166</v>
      </c>
      <c r="I220" s="218" t="s">
        <v>12165</v>
      </c>
      <c r="J220" s="218" t="s">
        <v>12737</v>
      </c>
      <c r="K220" s="218" t="s">
        <v>12164</v>
      </c>
      <c r="L220" s="218" t="s">
        <v>12458</v>
      </c>
      <c r="M220" s="218" t="s">
        <v>12395</v>
      </c>
      <c r="N220" s="218" t="s">
        <v>12738</v>
      </c>
      <c r="O220" s="218" t="s">
        <v>118</v>
      </c>
      <c r="P220" s="218">
        <v>1.51132022000004E14</v>
      </c>
    </row>
    <row r="221">
      <c r="A221" s="218" t="s">
        <v>12167</v>
      </c>
      <c r="C221" s="456">
        <v>44614.0</v>
      </c>
      <c r="D221" s="218">
        <v>168105.0</v>
      </c>
      <c r="E221" s="218">
        <v>1.0E8</v>
      </c>
      <c r="F221" s="218" t="s">
        <v>12505</v>
      </c>
      <c r="G221" s="218" t="s">
        <v>12161</v>
      </c>
      <c r="H221" s="218" t="s">
        <v>12168</v>
      </c>
      <c r="I221" s="218" t="s">
        <v>12138</v>
      </c>
      <c r="J221" s="218" t="s">
        <v>12724</v>
      </c>
      <c r="K221" s="218" t="s">
        <v>12167</v>
      </c>
      <c r="L221" s="218" t="s">
        <v>12458</v>
      </c>
      <c r="M221" s="218" t="s">
        <v>12395</v>
      </c>
      <c r="N221" s="218" t="s">
        <v>12739</v>
      </c>
      <c r="O221" s="218" t="s">
        <v>118</v>
      </c>
      <c r="P221" s="218">
        <v>1.51132022000004E14</v>
      </c>
    </row>
    <row r="222">
      <c r="A222" s="218" t="s">
        <v>12169</v>
      </c>
      <c r="C222" s="456">
        <v>44614.0</v>
      </c>
      <c r="D222" s="218">
        <v>168098.0</v>
      </c>
      <c r="E222" s="218">
        <v>1.0E8</v>
      </c>
      <c r="F222" s="218" t="s">
        <v>12575</v>
      </c>
      <c r="G222" s="218" t="s">
        <v>12171</v>
      </c>
      <c r="H222" s="218" t="s">
        <v>12170</v>
      </c>
      <c r="I222" s="218" t="s">
        <v>11642</v>
      </c>
      <c r="J222" s="218">
        <v>80013.0</v>
      </c>
      <c r="K222" s="218" t="s">
        <v>12169</v>
      </c>
      <c r="L222" s="218" t="s">
        <v>12458</v>
      </c>
      <c r="M222" s="218" t="s">
        <v>12395</v>
      </c>
      <c r="N222" s="218" t="s">
        <v>12740</v>
      </c>
      <c r="O222" s="218" t="s">
        <v>118</v>
      </c>
      <c r="P222" s="218">
        <v>1.51132022000214E14</v>
      </c>
    </row>
    <row r="223">
      <c r="A223" s="218" t="s">
        <v>12172</v>
      </c>
      <c r="C223" s="456">
        <v>44615.0</v>
      </c>
      <c r="D223" s="218">
        <v>168109.0</v>
      </c>
      <c r="E223" s="218">
        <v>1.0E8</v>
      </c>
      <c r="F223" s="218" t="s">
        <v>12424</v>
      </c>
      <c r="G223" s="218" t="s">
        <v>11854</v>
      </c>
      <c r="H223" s="218" t="s">
        <v>12173</v>
      </c>
      <c r="I223" s="218" t="s">
        <v>11852</v>
      </c>
      <c r="J223" s="218" t="s">
        <v>12533</v>
      </c>
      <c r="K223" s="218" t="s">
        <v>12172</v>
      </c>
      <c r="L223" s="218" t="s">
        <v>12394</v>
      </c>
      <c r="M223" s="218" t="s">
        <v>12395</v>
      </c>
      <c r="N223" s="218" t="s">
        <v>12439</v>
      </c>
      <c r="O223" s="218" t="s">
        <v>118</v>
      </c>
      <c r="P223" s="218">
        <v>1.51132022000114E14</v>
      </c>
    </row>
    <row r="224">
      <c r="A224" s="218" t="s">
        <v>12174</v>
      </c>
      <c r="C224" s="456">
        <v>44616.0</v>
      </c>
      <c r="D224" s="218">
        <v>168105.0</v>
      </c>
      <c r="E224" s="218">
        <v>1.0E8</v>
      </c>
      <c r="F224" s="218" t="s">
        <v>12505</v>
      </c>
      <c r="G224" s="218" t="s">
        <v>12177</v>
      </c>
      <c r="H224" s="218" t="s">
        <v>12176</v>
      </c>
      <c r="I224" s="218" t="s">
        <v>12175</v>
      </c>
      <c r="J224" s="218" t="s">
        <v>12741</v>
      </c>
      <c r="K224" s="218" t="s">
        <v>12174</v>
      </c>
      <c r="L224" s="218" t="s">
        <v>12458</v>
      </c>
      <c r="M224" s="218" t="s">
        <v>12395</v>
      </c>
      <c r="N224" s="218" t="s">
        <v>12742</v>
      </c>
      <c r="O224" s="218" t="s">
        <v>118</v>
      </c>
      <c r="P224" s="218">
        <v>1.5113202200003E14</v>
      </c>
    </row>
    <row r="225">
      <c r="A225" s="218" t="s">
        <v>12178</v>
      </c>
      <c r="C225" s="456">
        <v>44617.0</v>
      </c>
      <c r="D225" s="218">
        <v>168105.0</v>
      </c>
      <c r="E225" s="218">
        <v>1.0E8</v>
      </c>
      <c r="F225" s="218" t="s">
        <v>12505</v>
      </c>
      <c r="G225" s="218" t="s">
        <v>9497</v>
      </c>
      <c r="H225" s="218" t="s">
        <v>12179</v>
      </c>
      <c r="I225" s="218" t="s">
        <v>11787</v>
      </c>
      <c r="J225" s="218" t="s">
        <v>12492</v>
      </c>
      <c r="K225" s="218" t="s">
        <v>12178</v>
      </c>
      <c r="L225" s="218" t="s">
        <v>12458</v>
      </c>
      <c r="M225" s="218" t="s">
        <v>12395</v>
      </c>
      <c r="N225" s="218" t="s">
        <v>12743</v>
      </c>
      <c r="O225" s="218" t="s">
        <v>118</v>
      </c>
      <c r="P225" s="218">
        <v>1.5113202200003E14</v>
      </c>
    </row>
    <row r="226">
      <c r="A226" s="218" t="s">
        <v>12180</v>
      </c>
      <c r="C226" s="456">
        <v>44617.0</v>
      </c>
      <c r="D226" s="218">
        <v>168105.0</v>
      </c>
      <c r="E226" s="218">
        <v>1.0E8</v>
      </c>
      <c r="F226" s="218" t="s">
        <v>12424</v>
      </c>
      <c r="G226" s="218" t="s">
        <v>12183</v>
      </c>
      <c r="H226" s="218" t="s">
        <v>12182</v>
      </c>
      <c r="I226" s="218" t="s">
        <v>12181</v>
      </c>
      <c r="J226" s="218" t="s">
        <v>12744</v>
      </c>
      <c r="K226" s="218" t="s">
        <v>12180</v>
      </c>
      <c r="L226" s="218" t="s">
        <v>12394</v>
      </c>
      <c r="M226" s="218" t="s">
        <v>12395</v>
      </c>
      <c r="N226" s="218" t="s">
        <v>12523</v>
      </c>
      <c r="O226" s="218" t="s">
        <v>118</v>
      </c>
      <c r="P226" s="218">
        <v>1.51132022000043E14</v>
      </c>
    </row>
    <row r="227">
      <c r="A227" s="218" t="s">
        <v>12184</v>
      </c>
      <c r="C227" s="456">
        <v>44617.0</v>
      </c>
      <c r="D227" s="218">
        <v>168105.0</v>
      </c>
      <c r="E227" s="218">
        <v>1.0E8</v>
      </c>
      <c r="F227" s="218" t="s">
        <v>12424</v>
      </c>
      <c r="G227" s="218" t="s">
        <v>9504</v>
      </c>
      <c r="H227" s="218" t="s">
        <v>12186</v>
      </c>
      <c r="I227" s="218" t="s">
        <v>12185</v>
      </c>
      <c r="J227" s="218" t="s">
        <v>12745</v>
      </c>
      <c r="K227" s="218" t="s">
        <v>12184</v>
      </c>
      <c r="L227" s="218" t="s">
        <v>12458</v>
      </c>
      <c r="M227" s="218" t="s">
        <v>12395</v>
      </c>
      <c r="N227" s="218" t="s">
        <v>12746</v>
      </c>
      <c r="O227" s="218" t="s">
        <v>118</v>
      </c>
      <c r="P227" s="218">
        <v>1.51132022000024E14</v>
      </c>
    </row>
    <row r="228">
      <c r="A228" s="218" t="s">
        <v>12187</v>
      </c>
      <c r="C228" s="456">
        <v>44617.0</v>
      </c>
      <c r="D228" s="218">
        <v>168105.0</v>
      </c>
      <c r="E228" s="218">
        <v>1.0E8</v>
      </c>
      <c r="F228" s="218" t="s">
        <v>12505</v>
      </c>
      <c r="G228" s="218" t="s">
        <v>9504</v>
      </c>
      <c r="H228" s="218" t="s">
        <v>12188</v>
      </c>
      <c r="I228" s="218" t="s">
        <v>12185</v>
      </c>
      <c r="J228" s="218" t="s">
        <v>12745</v>
      </c>
      <c r="K228" s="218" t="s">
        <v>12187</v>
      </c>
      <c r="L228" s="218" t="s">
        <v>12458</v>
      </c>
      <c r="M228" s="218" t="s">
        <v>12395</v>
      </c>
      <c r="N228" s="218" t="s">
        <v>12747</v>
      </c>
      <c r="O228" s="218" t="s">
        <v>118</v>
      </c>
      <c r="P228" s="218">
        <v>1.5113202200003E14</v>
      </c>
    </row>
    <row r="229">
      <c r="A229" s="218" t="s">
        <v>12189</v>
      </c>
      <c r="C229" s="456">
        <v>44623.0</v>
      </c>
      <c r="D229" s="218">
        <v>168105.0</v>
      </c>
      <c r="E229" s="218">
        <v>1.0E8</v>
      </c>
      <c r="F229" s="218" t="s">
        <v>12505</v>
      </c>
      <c r="G229" s="218" t="s">
        <v>12191</v>
      </c>
      <c r="H229" s="218" t="s">
        <v>12190</v>
      </c>
      <c r="I229" s="218" t="s">
        <v>11920</v>
      </c>
      <c r="J229" s="218" t="s">
        <v>12605</v>
      </c>
      <c r="K229" s="218" t="s">
        <v>12189</v>
      </c>
      <c r="L229" s="218" t="s">
        <v>12458</v>
      </c>
      <c r="M229" s="218" t="s">
        <v>12395</v>
      </c>
      <c r="N229" s="218" t="s">
        <v>12748</v>
      </c>
      <c r="O229" s="218" t="s">
        <v>110</v>
      </c>
      <c r="P229" s="218">
        <v>1.51132022000028E14</v>
      </c>
    </row>
    <row r="230">
      <c r="A230" s="218" t="s">
        <v>351</v>
      </c>
      <c r="C230" s="456">
        <v>44624.0</v>
      </c>
      <c r="D230" s="218">
        <v>168105.0</v>
      </c>
      <c r="E230" s="218">
        <v>1.0E8</v>
      </c>
      <c r="F230" s="218" t="s">
        <v>12541</v>
      </c>
      <c r="G230" s="218" t="s">
        <v>350</v>
      </c>
      <c r="H230" s="218" t="s">
        <v>12192</v>
      </c>
      <c r="I230" s="218" t="s">
        <v>12552</v>
      </c>
      <c r="J230" s="218" t="s">
        <v>12553</v>
      </c>
      <c r="K230" s="218" t="s">
        <v>351</v>
      </c>
      <c r="L230" s="218" t="s">
        <v>12394</v>
      </c>
      <c r="M230" s="218" t="s">
        <v>12395</v>
      </c>
      <c r="N230" s="218" t="s">
        <v>12749</v>
      </c>
      <c r="O230" s="218" t="s">
        <v>118</v>
      </c>
      <c r="P230" s="218">
        <v>1.51132022000074E14</v>
      </c>
    </row>
    <row r="231">
      <c r="A231" s="218" t="s">
        <v>12193</v>
      </c>
      <c r="C231" s="456">
        <v>44627.0</v>
      </c>
      <c r="D231" s="218">
        <v>168105.0</v>
      </c>
      <c r="E231" s="218">
        <v>1.7015113E8</v>
      </c>
      <c r="F231" s="218" t="s">
        <v>12437</v>
      </c>
      <c r="G231" s="218" t="s">
        <v>9940</v>
      </c>
      <c r="H231" s="218" t="s">
        <v>12195</v>
      </c>
      <c r="I231" s="218" t="s">
        <v>12194</v>
      </c>
      <c r="J231" s="218" t="s">
        <v>12750</v>
      </c>
      <c r="K231" s="218" t="s">
        <v>12193</v>
      </c>
      <c r="L231" s="218" t="s">
        <v>12394</v>
      </c>
      <c r="M231" s="218" t="s">
        <v>12395</v>
      </c>
      <c r="N231" s="218" t="s">
        <v>12430</v>
      </c>
      <c r="O231" s="218" t="s">
        <v>118</v>
      </c>
      <c r="P231" s="218">
        <v>1.51132022000187E14</v>
      </c>
    </row>
    <row r="232">
      <c r="A232" s="218" t="s">
        <v>12196</v>
      </c>
      <c r="C232" s="456">
        <v>44627.0</v>
      </c>
      <c r="D232" s="218">
        <v>168105.0</v>
      </c>
      <c r="E232" s="218">
        <v>1.7015113E8</v>
      </c>
      <c r="F232" s="218" t="s">
        <v>12424</v>
      </c>
      <c r="G232" s="218" t="s">
        <v>9940</v>
      </c>
      <c r="H232" s="218" t="s">
        <v>12197</v>
      </c>
      <c r="I232" s="218" t="s">
        <v>12194</v>
      </c>
      <c r="J232" s="218" t="s">
        <v>12750</v>
      </c>
      <c r="K232" s="218" t="s">
        <v>12196</v>
      </c>
      <c r="L232" s="218" t="s">
        <v>12394</v>
      </c>
      <c r="M232" s="218" t="s">
        <v>12395</v>
      </c>
      <c r="N232" s="218" t="s">
        <v>12430</v>
      </c>
      <c r="O232" s="218" t="s">
        <v>118</v>
      </c>
      <c r="P232" s="218">
        <v>1.51132022000188E14</v>
      </c>
    </row>
    <row r="233">
      <c r="A233" s="218" t="s">
        <v>12198</v>
      </c>
      <c r="C233" s="456">
        <v>44627.0</v>
      </c>
      <c r="D233" s="218">
        <v>168105.0</v>
      </c>
      <c r="E233" s="218">
        <v>1.0E8</v>
      </c>
      <c r="F233" s="218" t="s">
        <v>12424</v>
      </c>
      <c r="G233" s="218" t="s">
        <v>12201</v>
      </c>
      <c r="H233" s="218" t="s">
        <v>12200</v>
      </c>
      <c r="I233" s="218" t="s">
        <v>12199</v>
      </c>
      <c r="J233" s="218" t="s">
        <v>12751</v>
      </c>
      <c r="K233" s="218" t="s">
        <v>12198</v>
      </c>
      <c r="L233" s="218" t="s">
        <v>12458</v>
      </c>
      <c r="M233" s="218" t="s">
        <v>12395</v>
      </c>
      <c r="N233" s="218" t="s">
        <v>12752</v>
      </c>
      <c r="O233" s="218" t="s">
        <v>118</v>
      </c>
      <c r="P233" s="218">
        <v>1.51132022000144E14</v>
      </c>
    </row>
    <row r="234">
      <c r="A234" s="218" t="s">
        <v>12202</v>
      </c>
      <c r="C234" s="456">
        <v>44627.0</v>
      </c>
      <c r="D234" s="218">
        <v>168108.0</v>
      </c>
      <c r="E234" s="218">
        <v>1.0E8</v>
      </c>
      <c r="F234" s="218" t="s">
        <v>12424</v>
      </c>
      <c r="G234" s="218" t="s">
        <v>12205</v>
      </c>
      <c r="H234" s="218" t="s">
        <v>12204</v>
      </c>
      <c r="I234" s="218" t="s">
        <v>12203</v>
      </c>
      <c r="J234" s="218" t="s">
        <v>12753</v>
      </c>
      <c r="K234" s="218" t="s">
        <v>12202</v>
      </c>
      <c r="L234" s="218" t="s">
        <v>12458</v>
      </c>
      <c r="M234" s="218" t="s">
        <v>12395</v>
      </c>
      <c r="N234" s="218" t="s">
        <v>12754</v>
      </c>
      <c r="O234" s="218" t="s">
        <v>118</v>
      </c>
      <c r="P234" s="218">
        <v>1.51132022000127E14</v>
      </c>
    </row>
    <row r="235">
      <c r="A235" s="218" t="s">
        <v>12206</v>
      </c>
      <c r="C235" s="456">
        <v>44627.0</v>
      </c>
      <c r="D235" s="218">
        <v>168105.0</v>
      </c>
      <c r="E235" s="218">
        <v>1.0E8</v>
      </c>
      <c r="F235" s="218" t="s">
        <v>12424</v>
      </c>
      <c r="G235" s="218" t="s">
        <v>12209</v>
      </c>
      <c r="H235" s="218" t="s">
        <v>12208</v>
      </c>
      <c r="I235" s="218" t="s">
        <v>12207</v>
      </c>
      <c r="J235" s="218" t="s">
        <v>12755</v>
      </c>
      <c r="K235" s="218" t="s">
        <v>12206</v>
      </c>
      <c r="L235" s="218" t="s">
        <v>12394</v>
      </c>
      <c r="M235" s="218" t="s">
        <v>12395</v>
      </c>
      <c r="N235" s="218" t="s">
        <v>12756</v>
      </c>
      <c r="O235" s="218" t="s">
        <v>118</v>
      </c>
    </row>
    <row r="236">
      <c r="A236" s="218" t="s">
        <v>12210</v>
      </c>
      <c r="C236" s="456">
        <v>44627.0</v>
      </c>
      <c r="D236" s="218">
        <v>168105.0</v>
      </c>
      <c r="E236" s="218">
        <v>1.5015113E8</v>
      </c>
      <c r="F236" s="218" t="s">
        <v>12456</v>
      </c>
      <c r="G236" s="218" t="s">
        <v>9816</v>
      </c>
      <c r="H236" s="218" t="s">
        <v>12211</v>
      </c>
      <c r="I236" s="218" t="s">
        <v>12091</v>
      </c>
      <c r="J236" s="218" t="s">
        <v>12703</v>
      </c>
      <c r="K236" s="218" t="s">
        <v>12210</v>
      </c>
      <c r="L236" s="218" t="s">
        <v>12458</v>
      </c>
      <c r="M236" s="218" t="s">
        <v>12395</v>
      </c>
      <c r="N236" s="218" t="s">
        <v>12757</v>
      </c>
      <c r="O236" s="218" t="s">
        <v>118</v>
      </c>
      <c r="P236" s="218">
        <v>1.51132022000038E14</v>
      </c>
    </row>
    <row r="237">
      <c r="A237" s="218" t="s">
        <v>12212</v>
      </c>
      <c r="C237" s="456">
        <v>44627.0</v>
      </c>
      <c r="D237" s="218">
        <v>168105.0</v>
      </c>
      <c r="E237" s="218">
        <v>1.5015113E8</v>
      </c>
      <c r="F237" s="218" t="s">
        <v>12456</v>
      </c>
      <c r="G237" s="218" t="s">
        <v>11742</v>
      </c>
      <c r="H237" s="218" t="s">
        <v>12213</v>
      </c>
      <c r="I237" s="218" t="s">
        <v>11740</v>
      </c>
      <c r="J237" s="218" t="s">
        <v>12462</v>
      </c>
      <c r="K237" s="218" t="s">
        <v>12212</v>
      </c>
      <c r="L237" s="218" t="s">
        <v>12458</v>
      </c>
      <c r="M237" s="218" t="s">
        <v>12395</v>
      </c>
      <c r="N237" s="218" t="s">
        <v>12758</v>
      </c>
      <c r="O237" s="218" t="s">
        <v>110</v>
      </c>
      <c r="P237" s="218">
        <v>1.51132022000068E14</v>
      </c>
    </row>
    <row r="238">
      <c r="A238" s="218" t="s">
        <v>358</v>
      </c>
      <c r="C238" s="456">
        <v>44627.0</v>
      </c>
      <c r="D238" s="218">
        <v>168105.0</v>
      </c>
      <c r="E238" s="218">
        <v>1.0E8</v>
      </c>
      <c r="F238" s="218" t="s">
        <v>12541</v>
      </c>
      <c r="G238" s="218" t="s">
        <v>356</v>
      </c>
      <c r="H238" s="218" t="s">
        <v>12214</v>
      </c>
      <c r="I238" s="218" t="s">
        <v>299</v>
      </c>
      <c r="J238" s="218" t="s">
        <v>12759</v>
      </c>
      <c r="K238" s="218" t="s">
        <v>358</v>
      </c>
      <c r="L238" s="218" t="s">
        <v>12394</v>
      </c>
      <c r="M238" s="218" t="s">
        <v>12395</v>
      </c>
      <c r="N238" s="218" t="s">
        <v>12760</v>
      </c>
      <c r="O238" s="218" t="s">
        <v>118</v>
      </c>
      <c r="P238" s="218">
        <v>1.51132022000112E14</v>
      </c>
    </row>
    <row r="239">
      <c r="A239" s="218" t="s">
        <v>12215</v>
      </c>
      <c r="C239" s="456">
        <v>44627.0</v>
      </c>
      <c r="D239" s="218">
        <v>168105.0</v>
      </c>
      <c r="E239" s="218">
        <v>1.0E8</v>
      </c>
      <c r="F239" s="218" t="s">
        <v>12424</v>
      </c>
      <c r="G239" s="218" t="s">
        <v>12218</v>
      </c>
      <c r="H239" s="218" t="s">
        <v>12217</v>
      </c>
      <c r="I239" s="218" t="s">
        <v>12216</v>
      </c>
      <c r="J239" s="218" t="s">
        <v>12761</v>
      </c>
      <c r="K239" s="218" t="s">
        <v>12215</v>
      </c>
      <c r="L239" s="218" t="s">
        <v>12394</v>
      </c>
      <c r="M239" s="218" t="s">
        <v>12395</v>
      </c>
      <c r="N239" s="218" t="s">
        <v>12762</v>
      </c>
      <c r="O239" s="218" t="s">
        <v>118</v>
      </c>
      <c r="P239" s="218">
        <v>1.51132022000057E14</v>
      </c>
    </row>
    <row r="240">
      <c r="A240" s="218" t="s">
        <v>12219</v>
      </c>
      <c r="C240" s="456">
        <v>44627.0</v>
      </c>
      <c r="D240" s="218">
        <v>168108.0</v>
      </c>
      <c r="E240" s="218">
        <v>1.0E8</v>
      </c>
      <c r="F240" s="218" t="s">
        <v>12424</v>
      </c>
      <c r="G240" s="218" t="s">
        <v>12221</v>
      </c>
      <c r="H240" s="218" t="s">
        <v>12220</v>
      </c>
      <c r="I240" s="218" t="s">
        <v>3121</v>
      </c>
      <c r="J240" s="218" t="s">
        <v>12763</v>
      </c>
      <c r="K240" s="218" t="s">
        <v>12219</v>
      </c>
      <c r="L240" s="218" t="s">
        <v>12458</v>
      </c>
      <c r="M240" s="218" t="s">
        <v>12395</v>
      </c>
      <c r="N240" s="218" t="s">
        <v>12764</v>
      </c>
      <c r="O240" s="218" t="s">
        <v>118</v>
      </c>
      <c r="P240" s="218">
        <v>1.51132022000127E14</v>
      </c>
    </row>
    <row r="241">
      <c r="A241" s="218" t="s">
        <v>12222</v>
      </c>
      <c r="C241" s="456">
        <v>44627.0</v>
      </c>
      <c r="D241" s="218">
        <v>168105.0</v>
      </c>
      <c r="E241" s="218">
        <v>1.0E8</v>
      </c>
      <c r="F241" s="218" t="s">
        <v>12505</v>
      </c>
      <c r="G241" s="218" t="s">
        <v>12225</v>
      </c>
      <c r="H241" s="218" t="s">
        <v>12224</v>
      </c>
      <c r="I241" s="218" t="s">
        <v>12223</v>
      </c>
      <c r="J241" s="218" t="s">
        <v>12765</v>
      </c>
      <c r="K241" s="218" t="s">
        <v>12222</v>
      </c>
      <c r="L241" s="218" t="s">
        <v>12458</v>
      </c>
      <c r="M241" s="218" t="s">
        <v>12395</v>
      </c>
      <c r="N241" s="218" t="s">
        <v>12766</v>
      </c>
      <c r="O241" s="218" t="s">
        <v>118</v>
      </c>
      <c r="P241" s="218">
        <v>1.5113202200003E14</v>
      </c>
    </row>
    <row r="242">
      <c r="A242" s="218" t="s">
        <v>12226</v>
      </c>
      <c r="C242" s="456">
        <v>44629.0</v>
      </c>
      <c r="D242" s="218">
        <v>168109.0</v>
      </c>
      <c r="E242" s="218">
        <v>1.0E8</v>
      </c>
      <c r="F242" s="218" t="s">
        <v>12658</v>
      </c>
      <c r="G242" s="218" t="s">
        <v>9731</v>
      </c>
      <c r="H242" s="218" t="s">
        <v>12227</v>
      </c>
      <c r="I242" s="218" t="s">
        <v>12003</v>
      </c>
      <c r="J242" s="218" t="s">
        <v>12656</v>
      </c>
      <c r="K242" s="218" t="s">
        <v>12226</v>
      </c>
      <c r="L242" s="218" t="s">
        <v>12458</v>
      </c>
      <c r="M242" s="218" t="s">
        <v>12395</v>
      </c>
      <c r="N242" s="218" t="s">
        <v>12767</v>
      </c>
      <c r="O242" s="218" t="s">
        <v>118</v>
      </c>
    </row>
    <row r="243">
      <c r="A243" s="218" t="s">
        <v>12228</v>
      </c>
      <c r="C243" s="456">
        <v>44629.0</v>
      </c>
      <c r="D243" s="218">
        <v>168109.0</v>
      </c>
      <c r="E243" s="218">
        <v>1.0E8</v>
      </c>
      <c r="F243" s="218" t="s">
        <v>12424</v>
      </c>
      <c r="G243" s="218" t="s">
        <v>9731</v>
      </c>
      <c r="H243" s="218" t="s">
        <v>12229</v>
      </c>
      <c r="I243" s="218" t="s">
        <v>12003</v>
      </c>
      <c r="J243" s="218" t="s">
        <v>12656</v>
      </c>
      <c r="K243" s="218" t="s">
        <v>12228</v>
      </c>
      <c r="L243" s="218" t="s">
        <v>12458</v>
      </c>
      <c r="M243" s="218" t="s">
        <v>12395</v>
      </c>
      <c r="N243" s="218" t="s">
        <v>12657</v>
      </c>
      <c r="O243" s="218" t="s">
        <v>118</v>
      </c>
    </row>
    <row r="244">
      <c r="A244" s="218" t="s">
        <v>12230</v>
      </c>
      <c r="C244" s="456">
        <v>44629.0</v>
      </c>
      <c r="D244" s="218">
        <v>168108.0</v>
      </c>
      <c r="E244" s="218">
        <v>1.0E8</v>
      </c>
      <c r="F244" s="218" t="s">
        <v>12427</v>
      </c>
      <c r="G244" s="218" t="s">
        <v>12233</v>
      </c>
      <c r="H244" s="218" t="s">
        <v>12232</v>
      </c>
      <c r="I244" s="218" t="s">
        <v>12231</v>
      </c>
      <c r="J244" s="218" t="s">
        <v>12768</v>
      </c>
      <c r="K244" s="218" t="s">
        <v>12230</v>
      </c>
      <c r="L244" s="218" t="s">
        <v>12458</v>
      </c>
      <c r="M244" s="218" t="s">
        <v>12395</v>
      </c>
      <c r="N244" s="218" t="s">
        <v>12523</v>
      </c>
      <c r="O244" s="218" t="s">
        <v>118</v>
      </c>
    </row>
    <row r="245">
      <c r="A245" s="218" t="s">
        <v>12234</v>
      </c>
      <c r="C245" s="456">
        <v>44631.0</v>
      </c>
      <c r="D245" s="218">
        <v>168105.0</v>
      </c>
      <c r="E245" s="218">
        <v>1.0E8</v>
      </c>
      <c r="F245" s="218" t="s">
        <v>12505</v>
      </c>
      <c r="G245" s="218" t="s">
        <v>12237</v>
      </c>
      <c r="H245" s="218" t="s">
        <v>12236</v>
      </c>
      <c r="I245" s="218" t="s">
        <v>12235</v>
      </c>
      <c r="J245" s="218" t="s">
        <v>12769</v>
      </c>
      <c r="K245" s="218" t="s">
        <v>12234</v>
      </c>
      <c r="L245" s="218" t="s">
        <v>12458</v>
      </c>
      <c r="M245" s="218" t="s">
        <v>12395</v>
      </c>
      <c r="N245" s="218" t="s">
        <v>12770</v>
      </c>
      <c r="O245" s="218" t="s">
        <v>118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5" max="5" width="17.88"/>
    <col customWidth="1" min="13" max="13" width="79.0"/>
    <col customWidth="1" min="14" max="14" width="31.38"/>
  </cols>
  <sheetData>
    <row r="1">
      <c r="A1" s="218" t="s">
        <v>568</v>
      </c>
      <c r="B1" s="218" t="s">
        <v>569</v>
      </c>
      <c r="C1" s="218" t="s">
        <v>570</v>
      </c>
      <c r="D1" s="218" t="s">
        <v>571</v>
      </c>
      <c r="E1" s="218" t="s">
        <v>572</v>
      </c>
      <c r="F1" s="218" t="s">
        <v>573</v>
      </c>
      <c r="G1" s="218" t="s">
        <v>574</v>
      </c>
      <c r="H1" s="218" t="s">
        <v>575</v>
      </c>
      <c r="I1" s="218" t="s">
        <v>576</v>
      </c>
      <c r="J1" s="218" t="s">
        <v>577</v>
      </c>
      <c r="K1" s="218" t="s">
        <v>578</v>
      </c>
      <c r="L1" s="218" t="s">
        <v>579</v>
      </c>
      <c r="M1" s="219" t="s">
        <v>2</v>
      </c>
      <c r="N1" s="218" t="s">
        <v>580</v>
      </c>
      <c r="O1" s="218" t="s">
        <v>16</v>
      </c>
      <c r="P1" s="218" t="s">
        <v>581</v>
      </c>
      <c r="Q1" s="218" t="s">
        <v>582</v>
      </c>
      <c r="R1" s="218" t="s">
        <v>583</v>
      </c>
      <c r="S1" s="218" t="s">
        <v>584</v>
      </c>
      <c r="T1" s="218" t="s">
        <v>585</v>
      </c>
      <c r="U1" s="218" t="s">
        <v>540</v>
      </c>
      <c r="V1" s="218" t="s">
        <v>586</v>
      </c>
      <c r="W1" s="218" t="s">
        <v>587</v>
      </c>
      <c r="X1" s="218" t="s">
        <v>588</v>
      </c>
      <c r="Y1" s="218" t="s">
        <v>589</v>
      </c>
      <c r="Z1" s="218" t="s">
        <v>590</v>
      </c>
      <c r="AA1" s="218" t="s">
        <v>591</v>
      </c>
      <c r="AB1" s="218" t="s">
        <v>592</v>
      </c>
      <c r="AC1" s="218" t="s">
        <v>593</v>
      </c>
      <c r="AD1" s="218" t="s">
        <v>594</v>
      </c>
      <c r="AE1" s="218" t="s">
        <v>595</v>
      </c>
      <c r="AF1" s="218" t="s">
        <v>596</v>
      </c>
      <c r="AG1" s="218" t="s">
        <v>597</v>
      </c>
      <c r="AH1" s="218" t="s">
        <v>598</v>
      </c>
      <c r="AI1" s="218" t="s">
        <v>599</v>
      </c>
      <c r="AJ1" s="218" t="s">
        <v>600</v>
      </c>
      <c r="AK1" s="218" t="s">
        <v>601</v>
      </c>
      <c r="AL1" s="218" t="s">
        <v>546</v>
      </c>
      <c r="AM1" s="218" t="s">
        <v>602</v>
      </c>
      <c r="AN1" s="220" t="s">
        <v>603</v>
      </c>
      <c r="AO1" s="221" t="s">
        <v>604</v>
      </c>
      <c r="AP1" s="220"/>
      <c r="AQ1" s="220"/>
    </row>
    <row r="2">
      <c r="A2" s="218" t="s">
        <v>605</v>
      </c>
      <c r="B2" s="218">
        <v>2022.0</v>
      </c>
      <c r="C2" s="218" t="s">
        <v>606</v>
      </c>
      <c r="D2" s="218" t="s">
        <v>607</v>
      </c>
      <c r="E2" s="218">
        <v>1.51132022236915E14</v>
      </c>
      <c r="F2" s="218" t="s">
        <v>608</v>
      </c>
      <c r="G2" s="218" t="s">
        <v>609</v>
      </c>
      <c r="H2" s="218">
        <v>0.0</v>
      </c>
      <c r="I2" s="218" t="s">
        <v>610</v>
      </c>
      <c r="J2" s="218">
        <v>1.05E8</v>
      </c>
      <c r="K2" s="218" t="s">
        <v>611</v>
      </c>
      <c r="L2" s="218" t="s">
        <v>116</v>
      </c>
      <c r="M2" s="218" t="s">
        <v>612</v>
      </c>
      <c r="N2" s="218" t="s">
        <v>10</v>
      </c>
      <c r="O2" s="218" t="s">
        <v>129</v>
      </c>
      <c r="Q2" s="218" t="s">
        <v>613</v>
      </c>
      <c r="R2" s="218">
        <v>3.3903017E7</v>
      </c>
      <c r="S2" s="222">
        <v>232935.0</v>
      </c>
      <c r="T2" s="218">
        <v>2021.0</v>
      </c>
      <c r="U2" s="218">
        <v>1.0</v>
      </c>
      <c r="V2" s="218" t="s">
        <v>130</v>
      </c>
      <c r="W2" s="222">
        <v>70000.0</v>
      </c>
      <c r="X2" s="218">
        <v>0.0</v>
      </c>
      <c r="Y2" s="218">
        <v>0.0</v>
      </c>
      <c r="Z2" s="218">
        <v>0.0</v>
      </c>
      <c r="AA2" s="218">
        <v>0.0</v>
      </c>
      <c r="AB2" s="218">
        <v>0.0</v>
      </c>
      <c r="AC2" s="218">
        <v>0.0</v>
      </c>
      <c r="AD2" s="222">
        <v>70000.0</v>
      </c>
      <c r="AE2" s="218">
        <v>0.0</v>
      </c>
      <c r="AF2" s="218">
        <v>0.0</v>
      </c>
      <c r="AG2" s="218">
        <v>0.0</v>
      </c>
      <c r="AH2" s="218">
        <v>0.0</v>
      </c>
      <c r="AI2" s="218">
        <v>0.0</v>
      </c>
      <c r="AJ2" s="222">
        <v>70000.0</v>
      </c>
      <c r="AM2" s="218" t="s">
        <v>118</v>
      </c>
      <c r="AN2" s="223">
        <f t="array" ref="AN2:AN44">MID(M2:M44,10,5)+0</f>
        <v>15201</v>
      </c>
      <c r="AO2" s="194">
        <f t="shared" ref="AO2:AO33" si="1">AJ2</f>
        <v>70000</v>
      </c>
      <c r="AP2" s="223">
        <f>VLOOKUP(AN2,'Base de Dados'!A:A,1,0)</f>
        <v>15201</v>
      </c>
      <c r="AQ2" s="223">
        <f t="shared" ref="AQ2:AQ44" si="2">E2</f>
        <v>151132022236915</v>
      </c>
    </row>
    <row r="3">
      <c r="A3" s="218" t="s">
        <v>605</v>
      </c>
      <c r="B3" s="218">
        <v>2022.0</v>
      </c>
      <c r="C3" s="218" t="s">
        <v>606</v>
      </c>
      <c r="D3" s="218" t="s">
        <v>607</v>
      </c>
      <c r="E3" s="218">
        <v>1.51132022236914E14</v>
      </c>
      <c r="F3" s="218" t="s">
        <v>608</v>
      </c>
      <c r="G3" s="218" t="s">
        <v>609</v>
      </c>
      <c r="H3" s="218">
        <v>0.0</v>
      </c>
      <c r="I3" s="218" t="s">
        <v>610</v>
      </c>
      <c r="J3" s="218">
        <v>1.05E8</v>
      </c>
      <c r="K3" s="218" t="s">
        <v>611</v>
      </c>
      <c r="L3" s="218" t="s">
        <v>116</v>
      </c>
      <c r="M3" s="218" t="s">
        <v>614</v>
      </c>
      <c r="N3" s="218" t="s">
        <v>10</v>
      </c>
      <c r="O3" s="218" t="s">
        <v>328</v>
      </c>
      <c r="Q3" s="218" t="s">
        <v>613</v>
      </c>
      <c r="R3" s="218">
        <v>3.3903017E7</v>
      </c>
      <c r="U3" s="218">
        <v>1.0</v>
      </c>
      <c r="V3" s="218" t="s">
        <v>130</v>
      </c>
      <c r="W3" s="222">
        <v>200000.0</v>
      </c>
      <c r="X3" s="218">
        <v>0.0</v>
      </c>
      <c r="Y3" s="218">
        <v>0.0</v>
      </c>
      <c r="Z3" s="218">
        <v>0.0</v>
      </c>
      <c r="AA3" s="218">
        <v>0.0</v>
      </c>
      <c r="AB3" s="218">
        <v>0.0</v>
      </c>
      <c r="AC3" s="218">
        <v>0.0</v>
      </c>
      <c r="AD3" s="222">
        <v>200000.0</v>
      </c>
      <c r="AE3" s="218">
        <v>0.0</v>
      </c>
      <c r="AF3" s="218">
        <v>0.0</v>
      </c>
      <c r="AG3" s="218">
        <v>0.0</v>
      </c>
      <c r="AH3" s="218">
        <v>0.0</v>
      </c>
      <c r="AI3" s="218">
        <v>0.0</v>
      </c>
      <c r="AJ3" s="222">
        <v>200000.0</v>
      </c>
      <c r="AM3" s="218" t="s">
        <v>118</v>
      </c>
      <c r="AN3" s="223">
        <v>15310.0</v>
      </c>
      <c r="AO3" s="194">
        <f t="shared" si="1"/>
        <v>200000</v>
      </c>
      <c r="AP3" s="223">
        <f>VLOOKUP(AN3,'Base de Dados'!A:A,1,0)</f>
        <v>15310</v>
      </c>
      <c r="AQ3" s="223">
        <f t="shared" si="2"/>
        <v>151132022236914</v>
      </c>
    </row>
    <row r="4">
      <c r="A4" s="218" t="s">
        <v>605</v>
      </c>
      <c r="B4" s="218">
        <v>2022.0</v>
      </c>
      <c r="C4" s="218" t="s">
        <v>606</v>
      </c>
      <c r="D4" s="218" t="s">
        <v>607</v>
      </c>
      <c r="E4" s="218">
        <v>1.51132022236913E14</v>
      </c>
      <c r="F4" s="218" t="s">
        <v>608</v>
      </c>
      <c r="G4" s="218" t="s">
        <v>609</v>
      </c>
      <c r="H4" s="218">
        <v>0.0</v>
      </c>
      <c r="I4" s="218" t="s">
        <v>610</v>
      </c>
      <c r="J4" s="218">
        <v>1.05E8</v>
      </c>
      <c r="K4" s="218" t="s">
        <v>611</v>
      </c>
      <c r="L4" s="218" t="s">
        <v>116</v>
      </c>
      <c r="M4" s="219" t="s">
        <v>615</v>
      </c>
      <c r="N4" s="218" t="s">
        <v>10</v>
      </c>
      <c r="O4" s="218" t="s">
        <v>153</v>
      </c>
      <c r="Q4" s="218" t="s">
        <v>613</v>
      </c>
      <c r="R4" s="218">
        <v>3.3903017E7</v>
      </c>
      <c r="U4" s="218">
        <v>1.0</v>
      </c>
      <c r="V4" s="218" t="s">
        <v>130</v>
      </c>
      <c r="W4" s="222">
        <v>75000.0</v>
      </c>
      <c r="X4" s="218">
        <v>0.0</v>
      </c>
      <c r="Y4" s="218">
        <v>0.0</v>
      </c>
      <c r="Z4" s="218">
        <v>0.0</v>
      </c>
      <c r="AA4" s="218">
        <v>0.0</v>
      </c>
      <c r="AB4" s="218">
        <v>0.0</v>
      </c>
      <c r="AC4" s="218">
        <v>0.0</v>
      </c>
      <c r="AD4" s="222">
        <v>75000.0</v>
      </c>
      <c r="AE4" s="218">
        <v>0.0</v>
      </c>
      <c r="AF4" s="218">
        <v>0.0</v>
      </c>
      <c r="AG4" s="218">
        <v>0.0</v>
      </c>
      <c r="AH4" s="218">
        <v>0.0</v>
      </c>
      <c r="AI4" s="218">
        <v>0.0</v>
      </c>
      <c r="AJ4" s="222">
        <v>75000.0</v>
      </c>
      <c r="AM4" s="218" t="s">
        <v>118</v>
      </c>
      <c r="AN4" s="223">
        <v>15367.0</v>
      </c>
      <c r="AO4" s="194">
        <f t="shared" si="1"/>
        <v>75000</v>
      </c>
      <c r="AP4" s="223">
        <f>VLOOKUP(AN4,'Base de Dados'!A:A,1,0)</f>
        <v>15367</v>
      </c>
      <c r="AQ4" s="223">
        <f t="shared" si="2"/>
        <v>151132022236913</v>
      </c>
    </row>
    <row r="5">
      <c r="A5" s="218" t="s">
        <v>605</v>
      </c>
      <c r="B5" s="218">
        <v>2022.0</v>
      </c>
      <c r="C5" s="218" t="s">
        <v>606</v>
      </c>
      <c r="D5" s="218" t="s">
        <v>607</v>
      </c>
      <c r="E5" s="218">
        <v>1.51132022236911E14</v>
      </c>
      <c r="F5" s="218" t="s">
        <v>608</v>
      </c>
      <c r="G5" s="218" t="s">
        <v>609</v>
      </c>
      <c r="H5" s="218">
        <v>0.0</v>
      </c>
      <c r="I5" s="218" t="s">
        <v>610</v>
      </c>
      <c r="J5" s="218">
        <v>1.05E8</v>
      </c>
      <c r="K5" s="218" t="s">
        <v>616</v>
      </c>
      <c r="L5" s="218" t="s">
        <v>116</v>
      </c>
      <c r="M5" s="218" t="s">
        <v>617</v>
      </c>
      <c r="N5" s="218" t="s">
        <v>10</v>
      </c>
      <c r="O5" s="218" t="s">
        <v>153</v>
      </c>
      <c r="Q5" s="218" t="s">
        <v>613</v>
      </c>
      <c r="R5" s="218">
        <v>3.3903504E7</v>
      </c>
      <c r="U5" s="218">
        <v>1.0</v>
      </c>
      <c r="V5" s="218" t="s">
        <v>130</v>
      </c>
      <c r="W5" s="222">
        <v>68250.0</v>
      </c>
      <c r="X5" s="222">
        <v>5687.5</v>
      </c>
      <c r="Y5" s="222">
        <v>5687.5</v>
      </c>
      <c r="Z5" s="222">
        <v>5687.5</v>
      </c>
      <c r="AA5" s="222">
        <v>5687.5</v>
      </c>
      <c r="AB5" s="222">
        <v>5687.5</v>
      </c>
      <c r="AC5" s="222">
        <v>5687.5</v>
      </c>
      <c r="AD5" s="222">
        <v>5687.5</v>
      </c>
      <c r="AE5" s="222">
        <v>5687.5</v>
      </c>
      <c r="AF5" s="222">
        <v>5687.5</v>
      </c>
      <c r="AG5" s="222">
        <v>5687.5</v>
      </c>
      <c r="AH5" s="222">
        <v>5687.5</v>
      </c>
      <c r="AI5" s="222">
        <v>5687.5</v>
      </c>
      <c r="AJ5" s="222">
        <v>68250.0</v>
      </c>
      <c r="AM5" s="218" t="s">
        <v>118</v>
      </c>
      <c r="AN5" s="223">
        <v>15329.0</v>
      </c>
      <c r="AO5" s="194">
        <f t="shared" si="1"/>
        <v>68250</v>
      </c>
      <c r="AP5" s="223">
        <f>VLOOKUP(AN5,'Base de Dados'!A:A,1,0)</f>
        <v>15329</v>
      </c>
      <c r="AQ5" s="223">
        <f t="shared" si="2"/>
        <v>151132022236911</v>
      </c>
    </row>
    <row r="6">
      <c r="A6" s="218" t="s">
        <v>605</v>
      </c>
      <c r="B6" s="218">
        <v>2022.0</v>
      </c>
      <c r="C6" s="218" t="s">
        <v>606</v>
      </c>
      <c r="D6" s="218" t="s">
        <v>607</v>
      </c>
      <c r="E6" s="218">
        <v>1.51132022236912E14</v>
      </c>
      <c r="F6" s="218" t="s">
        <v>608</v>
      </c>
      <c r="G6" s="218" t="s">
        <v>609</v>
      </c>
      <c r="H6" s="218">
        <v>0.0</v>
      </c>
      <c r="I6" s="218" t="s">
        <v>610</v>
      </c>
      <c r="J6" s="218">
        <v>1.05E8</v>
      </c>
      <c r="K6" s="218" t="s">
        <v>618</v>
      </c>
      <c r="L6" s="218" t="s">
        <v>116</v>
      </c>
      <c r="M6" s="218" t="s">
        <v>619</v>
      </c>
      <c r="N6" s="218" t="s">
        <v>10</v>
      </c>
      <c r="O6" s="218" t="s">
        <v>129</v>
      </c>
      <c r="Q6" s="218" t="s">
        <v>613</v>
      </c>
      <c r="R6" s="218">
        <v>3.3903654E7</v>
      </c>
      <c r="S6" s="222">
        <v>100343.76</v>
      </c>
      <c r="T6" s="218">
        <v>2021.0</v>
      </c>
      <c r="U6" s="218">
        <v>1.0</v>
      </c>
      <c r="V6" s="218" t="s">
        <v>130</v>
      </c>
      <c r="W6" s="222">
        <v>104880.0</v>
      </c>
      <c r="X6" s="222">
        <v>8739.94</v>
      </c>
      <c r="Y6" s="222">
        <v>8739.94</v>
      </c>
      <c r="Z6" s="222">
        <v>8739.94</v>
      </c>
      <c r="AA6" s="222">
        <v>8739.94</v>
      </c>
      <c r="AB6" s="222">
        <v>8739.94</v>
      </c>
      <c r="AC6" s="222">
        <v>8739.94</v>
      </c>
      <c r="AD6" s="222">
        <v>8739.94</v>
      </c>
      <c r="AE6" s="222">
        <v>8739.94</v>
      </c>
      <c r="AF6" s="222">
        <v>8739.94</v>
      </c>
      <c r="AG6" s="222">
        <v>8739.94</v>
      </c>
      <c r="AH6" s="222">
        <v>8739.94</v>
      </c>
      <c r="AI6" s="222">
        <v>8739.94</v>
      </c>
      <c r="AJ6" s="222">
        <v>104880.0</v>
      </c>
      <c r="AM6" s="218" t="s">
        <v>118</v>
      </c>
      <c r="AN6" s="223">
        <v>15314.0</v>
      </c>
      <c r="AO6" s="194">
        <f t="shared" si="1"/>
        <v>104880</v>
      </c>
      <c r="AP6" s="223">
        <f>VLOOKUP(AN6,'Base de Dados'!A:A,1,0)</f>
        <v>15314</v>
      </c>
      <c r="AQ6" s="223">
        <f t="shared" si="2"/>
        <v>151132022236912</v>
      </c>
    </row>
    <row r="7">
      <c r="A7" s="218" t="s">
        <v>605</v>
      </c>
      <c r="B7" s="218">
        <v>2022.0</v>
      </c>
      <c r="C7" s="218" t="s">
        <v>606</v>
      </c>
      <c r="D7" s="218" t="s">
        <v>607</v>
      </c>
      <c r="E7" s="218">
        <v>1.51132022236925E14</v>
      </c>
      <c r="F7" s="218" t="s">
        <v>608</v>
      </c>
      <c r="G7" s="218" t="s">
        <v>609</v>
      </c>
      <c r="H7" s="218">
        <v>0.0</v>
      </c>
      <c r="I7" s="218" t="s">
        <v>610</v>
      </c>
      <c r="J7" s="218">
        <v>1.05E8</v>
      </c>
      <c r="K7" s="218" t="s">
        <v>620</v>
      </c>
      <c r="L7" s="218" t="s">
        <v>116</v>
      </c>
      <c r="M7" s="218" t="s">
        <v>621</v>
      </c>
      <c r="N7" s="218" t="s">
        <v>10</v>
      </c>
      <c r="O7" s="218" t="s">
        <v>129</v>
      </c>
      <c r="Q7" s="218" t="s">
        <v>613</v>
      </c>
      <c r="R7" s="218">
        <v>3.3904012E7</v>
      </c>
      <c r="S7" s="222">
        <v>42231.96</v>
      </c>
      <c r="T7" s="218">
        <v>2021.0</v>
      </c>
      <c r="U7" s="218">
        <v>1.0</v>
      </c>
      <c r="V7" s="218" t="s">
        <v>130</v>
      </c>
      <c r="W7" s="222">
        <v>43200.0</v>
      </c>
      <c r="X7" s="222">
        <v>3600.0</v>
      </c>
      <c r="Y7" s="222">
        <v>3600.0</v>
      </c>
      <c r="Z7" s="222">
        <v>3600.0</v>
      </c>
      <c r="AA7" s="222">
        <v>3600.0</v>
      </c>
      <c r="AB7" s="222">
        <v>3600.0</v>
      </c>
      <c r="AC7" s="222">
        <v>3600.0</v>
      </c>
      <c r="AD7" s="222">
        <v>3600.0</v>
      </c>
      <c r="AE7" s="222">
        <v>3600.0</v>
      </c>
      <c r="AF7" s="222">
        <v>3600.0</v>
      </c>
      <c r="AG7" s="222">
        <v>3600.0</v>
      </c>
      <c r="AH7" s="222">
        <v>3600.0</v>
      </c>
      <c r="AI7" s="222">
        <v>3600.0</v>
      </c>
      <c r="AJ7" s="222">
        <v>43200.0</v>
      </c>
      <c r="AM7" s="218" t="s">
        <v>118</v>
      </c>
      <c r="AN7" s="223">
        <v>15017.0</v>
      </c>
      <c r="AO7" s="194">
        <f t="shared" si="1"/>
        <v>43200</v>
      </c>
      <c r="AP7" s="223">
        <f>VLOOKUP(AN7,'Base de Dados'!A:A,1,0)</f>
        <v>15017</v>
      </c>
      <c r="AQ7" s="223">
        <f t="shared" si="2"/>
        <v>151132022236925</v>
      </c>
    </row>
    <row r="8">
      <c r="A8" s="218" t="s">
        <v>605</v>
      </c>
      <c r="B8" s="218">
        <v>2022.0</v>
      </c>
      <c r="C8" s="218" t="s">
        <v>606</v>
      </c>
      <c r="D8" s="218" t="s">
        <v>607</v>
      </c>
      <c r="E8" s="218">
        <v>1.51132022236941E14</v>
      </c>
      <c r="F8" s="218" t="s">
        <v>608</v>
      </c>
      <c r="G8" s="218" t="s">
        <v>609</v>
      </c>
      <c r="H8" s="218">
        <v>0.0</v>
      </c>
      <c r="I8" s="218" t="s">
        <v>610</v>
      </c>
      <c r="J8" s="218">
        <v>1.05E8</v>
      </c>
      <c r="K8" s="218" t="s">
        <v>620</v>
      </c>
      <c r="L8" s="218" t="s">
        <v>116</v>
      </c>
      <c r="M8" s="219" t="s">
        <v>622</v>
      </c>
      <c r="N8" s="218" t="s">
        <v>10</v>
      </c>
      <c r="O8" s="218" t="s">
        <v>153</v>
      </c>
      <c r="Q8" s="218" t="s">
        <v>613</v>
      </c>
      <c r="R8" s="218">
        <v>3.3904007E7</v>
      </c>
      <c r="S8" s="222">
        <v>4824.96</v>
      </c>
      <c r="T8" s="218">
        <v>2021.0</v>
      </c>
      <c r="U8" s="218">
        <v>1.0</v>
      </c>
      <c r="V8" s="218" t="s">
        <v>130</v>
      </c>
      <c r="W8" s="222">
        <v>3043.0</v>
      </c>
      <c r="X8" s="218">
        <v>253.54</v>
      </c>
      <c r="Y8" s="218">
        <v>253.54</v>
      </c>
      <c r="Z8" s="218">
        <v>253.54</v>
      </c>
      <c r="AA8" s="218">
        <v>253.54</v>
      </c>
      <c r="AB8" s="218">
        <v>253.54</v>
      </c>
      <c r="AC8" s="218">
        <v>253.54</v>
      </c>
      <c r="AD8" s="218">
        <v>253.54</v>
      </c>
      <c r="AE8" s="218">
        <v>253.54</v>
      </c>
      <c r="AF8" s="218">
        <v>253.54</v>
      </c>
      <c r="AG8" s="218">
        <v>253.54</v>
      </c>
      <c r="AH8" s="218">
        <v>253.54</v>
      </c>
      <c r="AI8" s="218">
        <v>253.54</v>
      </c>
      <c r="AJ8" s="222">
        <v>3043.0</v>
      </c>
      <c r="AM8" s="218" t="s">
        <v>118</v>
      </c>
      <c r="AN8" s="223">
        <v>15371.0</v>
      </c>
      <c r="AO8" s="194">
        <f t="shared" si="1"/>
        <v>3043</v>
      </c>
      <c r="AP8" s="223">
        <f>VLOOKUP(AN8,'Base de Dados'!A:A,1,0)</f>
        <v>15371</v>
      </c>
      <c r="AQ8" s="223">
        <f t="shared" si="2"/>
        <v>151132022236941</v>
      </c>
    </row>
    <row r="9">
      <c r="A9" s="218" t="s">
        <v>605</v>
      </c>
      <c r="B9" s="218">
        <v>2022.0</v>
      </c>
      <c r="C9" s="218" t="s">
        <v>606</v>
      </c>
      <c r="D9" s="218" t="s">
        <v>607</v>
      </c>
      <c r="E9" s="218">
        <v>1.5113202223692E14</v>
      </c>
      <c r="F9" s="218" t="s">
        <v>608</v>
      </c>
      <c r="G9" s="218" t="s">
        <v>609</v>
      </c>
      <c r="H9" s="218">
        <v>0.0</v>
      </c>
      <c r="I9" s="218" t="s">
        <v>610</v>
      </c>
      <c r="J9" s="218">
        <v>1.05E8</v>
      </c>
      <c r="K9" s="218" t="s">
        <v>620</v>
      </c>
      <c r="L9" s="218" t="s">
        <v>116</v>
      </c>
      <c r="M9" s="218" t="s">
        <v>623</v>
      </c>
      <c r="N9" s="218" t="s">
        <v>10</v>
      </c>
      <c r="O9" s="218" t="s">
        <v>129</v>
      </c>
      <c r="Q9" s="218" t="s">
        <v>613</v>
      </c>
      <c r="R9" s="218">
        <v>3.3904011E7</v>
      </c>
      <c r="S9" s="222">
        <v>3621.96</v>
      </c>
      <c r="T9" s="218">
        <v>2021.0</v>
      </c>
      <c r="U9" s="218">
        <v>1.0</v>
      </c>
      <c r="V9" s="218" t="s">
        <v>130</v>
      </c>
      <c r="W9" s="222">
        <v>4495.0</v>
      </c>
      <c r="X9" s="218">
        <v>374.54</v>
      </c>
      <c r="Y9" s="218">
        <v>374.54</v>
      </c>
      <c r="Z9" s="218">
        <v>374.54</v>
      </c>
      <c r="AA9" s="218">
        <v>374.54</v>
      </c>
      <c r="AB9" s="218">
        <v>374.54</v>
      </c>
      <c r="AC9" s="218">
        <v>374.54</v>
      </c>
      <c r="AD9" s="218">
        <v>374.54</v>
      </c>
      <c r="AE9" s="218">
        <v>374.54</v>
      </c>
      <c r="AF9" s="218">
        <v>374.54</v>
      </c>
      <c r="AG9" s="218">
        <v>374.54</v>
      </c>
      <c r="AH9" s="218">
        <v>374.54</v>
      </c>
      <c r="AI9" s="218">
        <v>374.54</v>
      </c>
      <c r="AJ9" s="222">
        <v>4495.0</v>
      </c>
      <c r="AM9" s="218" t="s">
        <v>118</v>
      </c>
      <c r="AN9" s="223">
        <v>15055.0</v>
      </c>
      <c r="AO9" s="194">
        <f t="shared" si="1"/>
        <v>4495</v>
      </c>
      <c r="AP9" s="223">
        <f>VLOOKUP(AN9,'Base de Dados'!A:A,1,0)</f>
        <v>15055</v>
      </c>
      <c r="AQ9" s="223">
        <f t="shared" si="2"/>
        <v>151132022236920</v>
      </c>
    </row>
    <row r="10">
      <c r="A10" s="218" t="s">
        <v>605</v>
      </c>
      <c r="B10" s="218">
        <v>2022.0</v>
      </c>
      <c r="C10" s="218" t="s">
        <v>606</v>
      </c>
      <c r="D10" s="218" t="s">
        <v>607</v>
      </c>
      <c r="E10" s="218">
        <v>1.51132022236928E14</v>
      </c>
      <c r="F10" s="218" t="s">
        <v>608</v>
      </c>
      <c r="G10" s="218" t="s">
        <v>609</v>
      </c>
      <c r="H10" s="218">
        <v>0.0</v>
      </c>
      <c r="I10" s="218" t="s">
        <v>610</v>
      </c>
      <c r="J10" s="218">
        <v>1.05E8</v>
      </c>
      <c r="K10" s="218" t="s">
        <v>620</v>
      </c>
      <c r="L10" s="218" t="s">
        <v>116</v>
      </c>
      <c r="M10" s="218" t="s">
        <v>624</v>
      </c>
      <c r="N10" s="218" t="s">
        <v>10</v>
      </c>
      <c r="O10" s="218" t="s">
        <v>129</v>
      </c>
      <c r="Q10" s="218" t="s">
        <v>613</v>
      </c>
      <c r="R10" s="218">
        <v>3.3904013E7</v>
      </c>
      <c r="S10" s="222">
        <v>12222.84</v>
      </c>
      <c r="T10" s="218">
        <v>2021.0</v>
      </c>
      <c r="U10" s="218">
        <v>1.0</v>
      </c>
      <c r="V10" s="218" t="s">
        <v>130</v>
      </c>
      <c r="W10" s="222">
        <v>12835.0</v>
      </c>
      <c r="X10" s="222">
        <v>1069.51</v>
      </c>
      <c r="Y10" s="222">
        <v>1069.51</v>
      </c>
      <c r="Z10" s="222">
        <v>1069.51</v>
      </c>
      <c r="AA10" s="222">
        <v>1069.51</v>
      </c>
      <c r="AB10" s="222">
        <v>1069.51</v>
      </c>
      <c r="AC10" s="222">
        <v>1069.51</v>
      </c>
      <c r="AD10" s="222">
        <v>1069.51</v>
      </c>
      <c r="AE10" s="222">
        <v>1069.51</v>
      </c>
      <c r="AF10" s="222">
        <v>1069.51</v>
      </c>
      <c r="AG10" s="222">
        <v>1069.51</v>
      </c>
      <c r="AH10" s="222">
        <v>1069.51</v>
      </c>
      <c r="AI10" s="222">
        <v>1069.51</v>
      </c>
      <c r="AJ10" s="222">
        <v>12835.0</v>
      </c>
      <c r="AM10" s="218" t="s">
        <v>118</v>
      </c>
      <c r="AN10" s="223">
        <v>15057.0</v>
      </c>
      <c r="AO10" s="194">
        <f t="shared" si="1"/>
        <v>12835</v>
      </c>
      <c r="AP10" s="223">
        <f>VLOOKUP(AN10,'Base de Dados'!A:A,1,0)</f>
        <v>15057</v>
      </c>
      <c r="AQ10" s="223">
        <f t="shared" si="2"/>
        <v>151132022236928</v>
      </c>
    </row>
    <row r="11">
      <c r="A11" s="218" t="s">
        <v>605</v>
      </c>
      <c r="B11" s="218">
        <v>2022.0</v>
      </c>
      <c r="C11" s="218" t="s">
        <v>606</v>
      </c>
      <c r="D11" s="218" t="s">
        <v>607</v>
      </c>
      <c r="E11" s="218">
        <v>1.51132022236916E14</v>
      </c>
      <c r="F11" s="218" t="s">
        <v>608</v>
      </c>
      <c r="G11" s="218" t="s">
        <v>609</v>
      </c>
      <c r="H11" s="218">
        <v>0.0</v>
      </c>
      <c r="I11" s="218" t="s">
        <v>610</v>
      </c>
      <c r="J11" s="218">
        <v>1.05E8</v>
      </c>
      <c r="K11" s="218" t="s">
        <v>620</v>
      </c>
      <c r="L11" s="218" t="s">
        <v>116</v>
      </c>
      <c r="M11" s="218" t="s">
        <v>625</v>
      </c>
      <c r="N11" s="218" t="s">
        <v>10</v>
      </c>
      <c r="O11" s="218" t="s">
        <v>129</v>
      </c>
      <c r="Q11" s="218" t="s">
        <v>613</v>
      </c>
      <c r="R11" s="218">
        <v>3.390401E7</v>
      </c>
      <c r="S11" s="222">
        <v>819029.76</v>
      </c>
      <c r="T11" s="218">
        <v>2021.0</v>
      </c>
      <c r="U11" s="218">
        <v>1.0</v>
      </c>
      <c r="V11" s="218" t="s">
        <v>130</v>
      </c>
      <c r="W11" s="222">
        <v>857039.0</v>
      </c>
      <c r="X11" s="222">
        <v>71419.84</v>
      </c>
      <c r="Y11" s="222">
        <v>71419.84</v>
      </c>
      <c r="Z11" s="222">
        <v>71419.84</v>
      </c>
      <c r="AA11" s="222">
        <v>71419.84</v>
      </c>
      <c r="AB11" s="222">
        <v>71419.84</v>
      </c>
      <c r="AC11" s="222">
        <v>71419.84</v>
      </c>
      <c r="AD11" s="222">
        <v>71419.84</v>
      </c>
      <c r="AE11" s="222">
        <v>71419.84</v>
      </c>
      <c r="AF11" s="222">
        <v>71419.84</v>
      </c>
      <c r="AG11" s="222">
        <v>71419.84</v>
      </c>
      <c r="AH11" s="222">
        <v>71419.84</v>
      </c>
      <c r="AI11" s="222">
        <v>71419.84</v>
      </c>
      <c r="AJ11" s="222">
        <v>857039.0</v>
      </c>
      <c r="AM11" s="218" t="s">
        <v>118</v>
      </c>
      <c r="AN11" s="223">
        <v>15060.0</v>
      </c>
      <c r="AO11" s="194">
        <f t="shared" si="1"/>
        <v>857039</v>
      </c>
      <c r="AP11" s="223">
        <f>VLOOKUP(AN11,'Base de Dados'!A:A,1,0)</f>
        <v>15060</v>
      </c>
      <c r="AQ11" s="223">
        <f t="shared" si="2"/>
        <v>151132022236916</v>
      </c>
    </row>
    <row r="12">
      <c r="A12" s="218" t="s">
        <v>605</v>
      </c>
      <c r="B12" s="218">
        <v>2022.0</v>
      </c>
      <c r="C12" s="218" t="s">
        <v>606</v>
      </c>
      <c r="D12" s="218" t="s">
        <v>607</v>
      </c>
      <c r="E12" s="218">
        <v>1.51132022236931E14</v>
      </c>
      <c r="F12" s="218" t="s">
        <v>608</v>
      </c>
      <c r="G12" s="218" t="s">
        <v>609</v>
      </c>
      <c r="H12" s="218">
        <v>0.0</v>
      </c>
      <c r="I12" s="218" t="s">
        <v>610</v>
      </c>
      <c r="J12" s="218">
        <v>1.05E8</v>
      </c>
      <c r="K12" s="218" t="s">
        <v>620</v>
      </c>
      <c r="L12" s="218" t="s">
        <v>116</v>
      </c>
      <c r="M12" s="218" t="s">
        <v>626</v>
      </c>
      <c r="N12" s="218" t="s">
        <v>10</v>
      </c>
      <c r="O12" s="218" t="s">
        <v>153</v>
      </c>
      <c r="Q12" s="218" t="s">
        <v>613</v>
      </c>
      <c r="R12" s="218">
        <v>3.3904014E7</v>
      </c>
      <c r="S12" s="222">
        <v>47082.0</v>
      </c>
      <c r="T12" s="218">
        <v>2021.0</v>
      </c>
      <c r="U12" s="218">
        <v>1.0</v>
      </c>
      <c r="V12" s="218" t="s">
        <v>130</v>
      </c>
      <c r="W12" s="222">
        <v>48671.0</v>
      </c>
      <c r="X12" s="222">
        <v>4055.86</v>
      </c>
      <c r="Y12" s="222">
        <v>4055.86</v>
      </c>
      <c r="Z12" s="222">
        <v>4055.86</v>
      </c>
      <c r="AA12" s="222">
        <v>4055.86</v>
      </c>
      <c r="AB12" s="222">
        <v>4055.86</v>
      </c>
      <c r="AC12" s="222">
        <v>4055.86</v>
      </c>
      <c r="AD12" s="222">
        <v>4055.86</v>
      </c>
      <c r="AE12" s="222">
        <v>4055.86</v>
      </c>
      <c r="AF12" s="222">
        <v>4055.86</v>
      </c>
      <c r="AG12" s="222">
        <v>4055.86</v>
      </c>
      <c r="AH12" s="222">
        <v>4055.86</v>
      </c>
      <c r="AI12" s="222">
        <v>4055.86</v>
      </c>
      <c r="AJ12" s="222">
        <v>48671.0</v>
      </c>
      <c r="AM12" s="218" t="s">
        <v>118</v>
      </c>
      <c r="AN12" s="223">
        <v>15066.0</v>
      </c>
      <c r="AO12" s="194">
        <f t="shared" si="1"/>
        <v>48671</v>
      </c>
      <c r="AP12" s="223">
        <f>VLOOKUP(AN12,'Base de Dados'!A:A,1,0)</f>
        <v>15066</v>
      </c>
      <c r="AQ12" s="223">
        <f t="shared" si="2"/>
        <v>151132022236931</v>
      </c>
    </row>
    <row r="13">
      <c r="A13" s="218" t="s">
        <v>605</v>
      </c>
      <c r="B13" s="218">
        <v>2022.0</v>
      </c>
      <c r="C13" s="218" t="s">
        <v>606</v>
      </c>
      <c r="D13" s="218" t="s">
        <v>607</v>
      </c>
      <c r="E13" s="218">
        <v>1.51132022236944E14</v>
      </c>
      <c r="F13" s="218" t="s">
        <v>608</v>
      </c>
      <c r="G13" s="218" t="s">
        <v>609</v>
      </c>
      <c r="H13" s="218">
        <v>0.0</v>
      </c>
      <c r="I13" s="218" t="s">
        <v>610</v>
      </c>
      <c r="J13" s="218">
        <v>1.05E8</v>
      </c>
      <c r="K13" s="218" t="s">
        <v>620</v>
      </c>
      <c r="L13" s="218" t="s">
        <v>116</v>
      </c>
      <c r="M13" s="218" t="s">
        <v>627</v>
      </c>
      <c r="N13" s="218" t="s">
        <v>10</v>
      </c>
      <c r="O13" s="218" t="s">
        <v>129</v>
      </c>
      <c r="Q13" s="218" t="s">
        <v>613</v>
      </c>
      <c r="R13" s="218">
        <v>3.3904019E7</v>
      </c>
      <c r="S13" s="222">
        <v>263032.8</v>
      </c>
      <c r="T13" s="218">
        <v>2021.0</v>
      </c>
      <c r="U13" s="218">
        <v>1.0</v>
      </c>
      <c r="V13" s="218" t="s">
        <v>130</v>
      </c>
      <c r="W13" s="222">
        <v>400000.0</v>
      </c>
      <c r="X13" s="222">
        <v>33333.33</v>
      </c>
      <c r="Y13" s="222">
        <v>33333.33</v>
      </c>
      <c r="Z13" s="222">
        <v>33333.33</v>
      </c>
      <c r="AA13" s="222">
        <v>33333.33</v>
      </c>
      <c r="AB13" s="222">
        <v>33333.33</v>
      </c>
      <c r="AC13" s="222">
        <v>33333.33</v>
      </c>
      <c r="AD13" s="222">
        <v>33333.33</v>
      </c>
      <c r="AE13" s="222">
        <v>33333.33</v>
      </c>
      <c r="AF13" s="222">
        <v>33333.33</v>
      </c>
      <c r="AG13" s="222">
        <v>33333.33</v>
      </c>
      <c r="AH13" s="222">
        <v>33333.33</v>
      </c>
      <c r="AI13" s="222">
        <v>33333.33</v>
      </c>
      <c r="AJ13" s="222">
        <v>400000.0</v>
      </c>
      <c r="AM13" s="218" t="s">
        <v>118</v>
      </c>
      <c r="AN13" s="223">
        <v>15072.0</v>
      </c>
      <c r="AO13" s="194">
        <f t="shared" si="1"/>
        <v>400000</v>
      </c>
      <c r="AP13" s="223">
        <f>VLOOKUP(AN13,'Base de Dados'!A:A,1,0)</f>
        <v>15072</v>
      </c>
      <c r="AQ13" s="223">
        <f t="shared" si="2"/>
        <v>151132022236944</v>
      </c>
    </row>
    <row r="14">
      <c r="A14" s="218" t="s">
        <v>605</v>
      </c>
      <c r="B14" s="218">
        <v>2022.0</v>
      </c>
      <c r="C14" s="218" t="s">
        <v>606</v>
      </c>
      <c r="D14" s="218" t="s">
        <v>607</v>
      </c>
      <c r="E14" s="218">
        <v>1.51132022236946E14</v>
      </c>
      <c r="F14" s="218" t="s">
        <v>608</v>
      </c>
      <c r="G14" s="218" t="s">
        <v>609</v>
      </c>
      <c r="H14" s="218">
        <v>0.0</v>
      </c>
      <c r="I14" s="218" t="s">
        <v>610</v>
      </c>
      <c r="J14" s="218">
        <v>1.05E8</v>
      </c>
      <c r="K14" s="218" t="s">
        <v>620</v>
      </c>
      <c r="L14" s="218" t="s">
        <v>116</v>
      </c>
      <c r="M14" s="218" t="s">
        <v>628</v>
      </c>
      <c r="N14" s="218" t="s">
        <v>10</v>
      </c>
      <c r="O14" s="218" t="s">
        <v>129</v>
      </c>
      <c r="Q14" s="218" t="s">
        <v>613</v>
      </c>
      <c r="R14" s="218">
        <v>3.3904017E7</v>
      </c>
      <c r="S14" s="222">
        <v>60000.0</v>
      </c>
      <c r="T14" s="218">
        <v>2021.0</v>
      </c>
      <c r="U14" s="218">
        <v>1.0</v>
      </c>
      <c r="V14" s="218" t="s">
        <v>130</v>
      </c>
      <c r="W14" s="222">
        <v>50000.0</v>
      </c>
      <c r="X14" s="222">
        <v>50000.0</v>
      </c>
      <c r="Y14" s="218">
        <v>0.0</v>
      </c>
      <c r="Z14" s="218">
        <v>0.0</v>
      </c>
      <c r="AA14" s="218">
        <v>0.0</v>
      </c>
      <c r="AB14" s="218">
        <v>0.0</v>
      </c>
      <c r="AC14" s="218">
        <v>0.0</v>
      </c>
      <c r="AD14" s="218">
        <v>0.0</v>
      </c>
      <c r="AE14" s="218">
        <v>0.0</v>
      </c>
      <c r="AF14" s="218">
        <v>0.0</v>
      </c>
      <c r="AG14" s="218">
        <v>0.0</v>
      </c>
      <c r="AH14" s="218">
        <v>0.0</v>
      </c>
      <c r="AI14" s="218">
        <v>0.0</v>
      </c>
      <c r="AJ14" s="222">
        <v>50000.0</v>
      </c>
      <c r="AM14" s="218" t="s">
        <v>118</v>
      </c>
      <c r="AN14" s="223">
        <v>15099.0</v>
      </c>
      <c r="AO14" s="194">
        <f t="shared" si="1"/>
        <v>50000</v>
      </c>
      <c r="AP14" s="223">
        <f>VLOOKUP(AN14,'Base de Dados'!A:A,1,0)</f>
        <v>15099</v>
      </c>
      <c r="AQ14" s="223">
        <f t="shared" si="2"/>
        <v>151132022236946</v>
      </c>
    </row>
    <row r="15">
      <c r="A15" s="218" t="s">
        <v>605</v>
      </c>
      <c r="B15" s="218">
        <v>2022.0</v>
      </c>
      <c r="C15" s="218" t="s">
        <v>606</v>
      </c>
      <c r="D15" s="218" t="s">
        <v>607</v>
      </c>
      <c r="E15" s="218">
        <v>1.51132022236923E14</v>
      </c>
      <c r="F15" s="218" t="s">
        <v>608</v>
      </c>
      <c r="G15" s="218" t="s">
        <v>609</v>
      </c>
      <c r="H15" s="218">
        <v>0.0</v>
      </c>
      <c r="I15" s="218" t="s">
        <v>610</v>
      </c>
      <c r="J15" s="218">
        <v>1.05E8</v>
      </c>
      <c r="K15" s="218" t="s">
        <v>620</v>
      </c>
      <c r="L15" s="218" t="s">
        <v>116</v>
      </c>
      <c r="M15" s="218" t="s">
        <v>629</v>
      </c>
      <c r="N15" s="218" t="s">
        <v>10</v>
      </c>
      <c r="O15" s="218" t="s">
        <v>129</v>
      </c>
      <c r="Q15" s="218" t="s">
        <v>613</v>
      </c>
      <c r="R15" s="218">
        <v>3.3904012E7</v>
      </c>
      <c r="S15" s="222">
        <v>20107.37</v>
      </c>
      <c r="T15" s="218">
        <v>2021.0</v>
      </c>
      <c r="U15" s="218">
        <v>1.0</v>
      </c>
      <c r="V15" s="218" t="s">
        <v>130</v>
      </c>
      <c r="W15" s="222">
        <v>30000.0</v>
      </c>
      <c r="X15" s="222">
        <v>2500.0</v>
      </c>
      <c r="Y15" s="222">
        <v>2500.0</v>
      </c>
      <c r="Z15" s="222">
        <v>2500.0</v>
      </c>
      <c r="AA15" s="222">
        <v>2500.0</v>
      </c>
      <c r="AB15" s="222">
        <v>2500.0</v>
      </c>
      <c r="AC15" s="222">
        <v>2500.0</v>
      </c>
      <c r="AD15" s="222">
        <v>2500.0</v>
      </c>
      <c r="AE15" s="222">
        <v>2500.0</v>
      </c>
      <c r="AF15" s="222">
        <v>2500.0</v>
      </c>
      <c r="AG15" s="222">
        <v>2500.0</v>
      </c>
      <c r="AH15" s="222">
        <v>2500.0</v>
      </c>
      <c r="AI15" s="222">
        <v>2500.0</v>
      </c>
      <c r="AJ15" s="222">
        <v>30000.0</v>
      </c>
      <c r="AM15" s="218" t="s">
        <v>118</v>
      </c>
      <c r="AN15" s="223">
        <v>15107.0</v>
      </c>
      <c r="AO15" s="194">
        <f t="shared" si="1"/>
        <v>30000</v>
      </c>
      <c r="AP15" s="223">
        <f>VLOOKUP(AN15,'Base de Dados'!A:A,1,0)</f>
        <v>15107</v>
      </c>
      <c r="AQ15" s="223">
        <f t="shared" si="2"/>
        <v>151132022236923</v>
      </c>
    </row>
    <row r="16">
      <c r="A16" s="218" t="s">
        <v>605</v>
      </c>
      <c r="B16" s="218">
        <v>2022.0</v>
      </c>
      <c r="C16" s="218" t="s">
        <v>606</v>
      </c>
      <c r="D16" s="218" t="s">
        <v>607</v>
      </c>
      <c r="E16" s="218">
        <v>1.51132022236935E14</v>
      </c>
      <c r="F16" s="218" t="s">
        <v>608</v>
      </c>
      <c r="G16" s="218" t="s">
        <v>609</v>
      </c>
      <c r="H16" s="218">
        <v>0.0</v>
      </c>
      <c r="I16" s="218" t="s">
        <v>610</v>
      </c>
      <c r="J16" s="218">
        <v>1.05E8</v>
      </c>
      <c r="K16" s="218" t="s">
        <v>620</v>
      </c>
      <c r="L16" s="218" t="s">
        <v>116</v>
      </c>
      <c r="M16" s="218" t="s">
        <v>630</v>
      </c>
      <c r="N16" s="218" t="s">
        <v>10</v>
      </c>
      <c r="O16" s="218" t="s">
        <v>153</v>
      </c>
      <c r="Q16" s="218" t="s">
        <v>613</v>
      </c>
      <c r="R16" s="218">
        <v>3.3904006E7</v>
      </c>
      <c r="S16" s="222">
        <v>28350.0</v>
      </c>
      <c r="T16" s="218">
        <v>2021.0</v>
      </c>
      <c r="U16" s="218">
        <v>1.0</v>
      </c>
      <c r="V16" s="218" t="s">
        <v>130</v>
      </c>
      <c r="W16" s="222">
        <v>72851.0</v>
      </c>
      <c r="X16" s="222">
        <v>72850.24</v>
      </c>
      <c r="Y16" s="218">
        <v>0.0</v>
      </c>
      <c r="Z16" s="218">
        <v>0.0</v>
      </c>
      <c r="AA16" s="218">
        <v>0.0</v>
      </c>
      <c r="AB16" s="218">
        <v>0.0</v>
      </c>
      <c r="AC16" s="218">
        <v>0.0</v>
      </c>
      <c r="AD16" s="218">
        <v>0.0</v>
      </c>
      <c r="AE16" s="218">
        <v>0.0</v>
      </c>
      <c r="AF16" s="218">
        <v>0.0</v>
      </c>
      <c r="AG16" s="218">
        <v>0.0</v>
      </c>
      <c r="AH16" s="218">
        <v>0.0</v>
      </c>
      <c r="AI16" s="218">
        <v>0.0</v>
      </c>
      <c r="AJ16" s="222">
        <v>72851.0</v>
      </c>
      <c r="AM16" s="218" t="s">
        <v>118</v>
      </c>
      <c r="AN16" s="223">
        <v>15166.0</v>
      </c>
      <c r="AO16" s="194">
        <f t="shared" si="1"/>
        <v>72851</v>
      </c>
      <c r="AP16" s="223">
        <f>VLOOKUP(AN16,'Base de Dados'!A:A,1,0)</f>
        <v>15166</v>
      </c>
      <c r="AQ16" s="223">
        <f t="shared" si="2"/>
        <v>151132022236935</v>
      </c>
    </row>
    <row r="17">
      <c r="A17" s="218" t="s">
        <v>605</v>
      </c>
      <c r="B17" s="218">
        <v>2022.0</v>
      </c>
      <c r="C17" s="218" t="s">
        <v>606</v>
      </c>
      <c r="D17" s="218" t="s">
        <v>607</v>
      </c>
      <c r="E17" s="218">
        <v>1.51132022236922E14</v>
      </c>
      <c r="F17" s="218" t="s">
        <v>608</v>
      </c>
      <c r="G17" s="218" t="s">
        <v>609</v>
      </c>
      <c r="H17" s="218">
        <v>0.0</v>
      </c>
      <c r="I17" s="218" t="s">
        <v>610</v>
      </c>
      <c r="J17" s="218">
        <v>1.05E8</v>
      </c>
      <c r="K17" s="218" t="s">
        <v>620</v>
      </c>
      <c r="L17" s="218" t="s">
        <v>116</v>
      </c>
      <c r="M17" s="218" t="s">
        <v>631</v>
      </c>
      <c r="N17" s="218" t="s">
        <v>10</v>
      </c>
      <c r="O17" s="218" t="s">
        <v>129</v>
      </c>
      <c r="Q17" s="218" t="s">
        <v>613</v>
      </c>
      <c r="R17" s="218">
        <v>3.3904012E7</v>
      </c>
      <c r="S17" s="222"/>
      <c r="T17" s="218"/>
      <c r="U17" s="218">
        <v>1.0</v>
      </c>
      <c r="V17" s="218" t="s">
        <v>130</v>
      </c>
      <c r="W17" s="222">
        <v>34010.0</v>
      </c>
      <c r="X17" s="222">
        <v>2834.16</v>
      </c>
      <c r="Y17" s="222">
        <v>2834.16</v>
      </c>
      <c r="Z17" s="222">
        <v>2834.16</v>
      </c>
      <c r="AA17" s="222">
        <v>2834.16</v>
      </c>
      <c r="AB17" s="222">
        <v>2834.16</v>
      </c>
      <c r="AC17" s="222">
        <v>2834.16</v>
      </c>
      <c r="AD17" s="222">
        <v>2834.16</v>
      </c>
      <c r="AE17" s="222">
        <v>2834.16</v>
      </c>
      <c r="AF17" s="222">
        <v>2834.16</v>
      </c>
      <c r="AG17" s="222">
        <v>2834.16</v>
      </c>
      <c r="AH17" s="222">
        <v>2834.16</v>
      </c>
      <c r="AI17" s="222">
        <v>2834.16</v>
      </c>
      <c r="AJ17" s="222">
        <v>34010.0</v>
      </c>
      <c r="AM17" s="218" t="s">
        <v>118</v>
      </c>
      <c r="AN17" s="223">
        <v>15220.0</v>
      </c>
      <c r="AO17" s="194">
        <f t="shared" si="1"/>
        <v>34010</v>
      </c>
      <c r="AP17" s="223">
        <f>VLOOKUP(AN17,'Base de Dados'!A:A,1,0)</f>
        <v>15220</v>
      </c>
      <c r="AQ17" s="223">
        <f t="shared" si="2"/>
        <v>151132022236922</v>
      </c>
    </row>
    <row r="18">
      <c r="A18" s="218" t="s">
        <v>605</v>
      </c>
      <c r="B18" s="218">
        <v>2022.0</v>
      </c>
      <c r="C18" s="218" t="s">
        <v>606</v>
      </c>
      <c r="D18" s="218" t="s">
        <v>607</v>
      </c>
      <c r="E18" s="218">
        <v>1.51132022236929E14</v>
      </c>
      <c r="F18" s="218" t="s">
        <v>608</v>
      </c>
      <c r="G18" s="218" t="s">
        <v>609</v>
      </c>
      <c r="H18" s="218">
        <v>0.0</v>
      </c>
      <c r="I18" s="218" t="s">
        <v>610</v>
      </c>
      <c r="J18" s="218">
        <v>1.05E8</v>
      </c>
      <c r="K18" s="218" t="s">
        <v>620</v>
      </c>
      <c r="L18" s="218" t="s">
        <v>116</v>
      </c>
      <c r="M18" s="218" t="s">
        <v>632</v>
      </c>
      <c r="N18" s="218" t="s">
        <v>10</v>
      </c>
      <c r="O18" s="218" t="s">
        <v>129</v>
      </c>
      <c r="Q18" s="218" t="s">
        <v>613</v>
      </c>
      <c r="R18" s="218">
        <v>3.3904013E7</v>
      </c>
      <c r="S18" s="222">
        <v>71172.0</v>
      </c>
      <c r="T18" s="218">
        <v>2021.0</v>
      </c>
      <c r="U18" s="218">
        <v>1.0</v>
      </c>
      <c r="V18" s="218" t="s">
        <v>130</v>
      </c>
      <c r="W18" s="222">
        <v>40292.0</v>
      </c>
      <c r="X18" s="222">
        <v>3357.63</v>
      </c>
      <c r="Y18" s="222">
        <v>3357.63</v>
      </c>
      <c r="Z18" s="222">
        <v>3357.63</v>
      </c>
      <c r="AA18" s="222">
        <v>3357.63</v>
      </c>
      <c r="AB18" s="222">
        <v>3357.63</v>
      </c>
      <c r="AC18" s="222">
        <v>3357.63</v>
      </c>
      <c r="AD18" s="222">
        <v>3357.63</v>
      </c>
      <c r="AE18" s="222">
        <v>3357.63</v>
      </c>
      <c r="AF18" s="222">
        <v>3357.63</v>
      </c>
      <c r="AG18" s="222">
        <v>3357.63</v>
      </c>
      <c r="AH18" s="222">
        <v>3357.63</v>
      </c>
      <c r="AI18" s="222">
        <v>3357.63</v>
      </c>
      <c r="AJ18" s="222">
        <v>40292.0</v>
      </c>
      <c r="AM18" s="218" t="s">
        <v>118</v>
      </c>
      <c r="AN18" s="223">
        <v>15244.0</v>
      </c>
      <c r="AO18" s="194">
        <f t="shared" si="1"/>
        <v>40292</v>
      </c>
      <c r="AP18" s="223">
        <f>VLOOKUP(AN18,'Base de Dados'!A:A,1,0)</f>
        <v>15244</v>
      </c>
      <c r="AQ18" s="223">
        <f t="shared" si="2"/>
        <v>151132022236929</v>
      </c>
    </row>
    <row r="19">
      <c r="A19" s="218" t="s">
        <v>605</v>
      </c>
      <c r="B19" s="218">
        <v>2022.0</v>
      </c>
      <c r="C19" s="218" t="s">
        <v>606</v>
      </c>
      <c r="D19" s="218" t="s">
        <v>607</v>
      </c>
      <c r="E19" s="218">
        <v>1.5113202223695E14</v>
      </c>
      <c r="F19" s="218" t="s">
        <v>608</v>
      </c>
      <c r="G19" s="218" t="s">
        <v>609</v>
      </c>
      <c r="H19" s="218">
        <v>0.0</v>
      </c>
      <c r="I19" s="218" t="s">
        <v>610</v>
      </c>
      <c r="J19" s="218">
        <v>1.05E8</v>
      </c>
      <c r="K19" s="218" t="s">
        <v>620</v>
      </c>
      <c r="L19" s="218" t="s">
        <v>116</v>
      </c>
      <c r="M19" s="218" t="s">
        <v>633</v>
      </c>
      <c r="N19" s="218" t="s">
        <v>10</v>
      </c>
      <c r="O19" s="218" t="s">
        <v>129</v>
      </c>
      <c r="Q19" s="218" t="s">
        <v>613</v>
      </c>
      <c r="R19" s="218">
        <v>3.3904023E7</v>
      </c>
      <c r="S19" s="222">
        <v>7270.0</v>
      </c>
      <c r="T19" s="218">
        <v>2021.0</v>
      </c>
      <c r="U19" s="218">
        <v>1.0</v>
      </c>
      <c r="V19" s="218" t="s">
        <v>130</v>
      </c>
      <c r="W19" s="222">
        <v>7270.0</v>
      </c>
      <c r="X19" s="218">
        <v>0.0</v>
      </c>
      <c r="Y19" s="218">
        <v>0.0</v>
      </c>
      <c r="Z19" s="218">
        <v>0.0</v>
      </c>
      <c r="AA19" s="218">
        <v>0.0</v>
      </c>
      <c r="AB19" s="218">
        <v>0.0</v>
      </c>
      <c r="AC19" s="218">
        <v>0.0</v>
      </c>
      <c r="AD19" s="222">
        <v>7270.0</v>
      </c>
      <c r="AE19" s="218">
        <v>0.0</v>
      </c>
      <c r="AF19" s="218">
        <v>0.0</v>
      </c>
      <c r="AG19" s="218">
        <v>0.0</v>
      </c>
      <c r="AH19" s="218">
        <v>0.0</v>
      </c>
      <c r="AI19" s="218">
        <v>0.0</v>
      </c>
      <c r="AJ19" s="222">
        <v>7270.0</v>
      </c>
      <c r="AM19" s="218" t="s">
        <v>118</v>
      </c>
      <c r="AN19" s="223">
        <v>15254.0</v>
      </c>
      <c r="AO19" s="194">
        <f t="shared" si="1"/>
        <v>7270</v>
      </c>
      <c r="AP19" s="223">
        <f>VLOOKUP(AN19,'Base de Dados'!A:A,1,0)</f>
        <v>15254</v>
      </c>
      <c r="AQ19" s="223">
        <f t="shared" si="2"/>
        <v>151132022236950</v>
      </c>
    </row>
    <row r="20">
      <c r="A20" s="218" t="s">
        <v>605</v>
      </c>
      <c r="B20" s="218">
        <v>2022.0</v>
      </c>
      <c r="C20" s="218" t="s">
        <v>606</v>
      </c>
      <c r="D20" s="218" t="s">
        <v>607</v>
      </c>
      <c r="E20" s="218">
        <v>1.5113202223693E14</v>
      </c>
      <c r="F20" s="218" t="s">
        <v>608</v>
      </c>
      <c r="G20" s="218" t="s">
        <v>609</v>
      </c>
      <c r="H20" s="218">
        <v>0.0</v>
      </c>
      <c r="I20" s="218" t="s">
        <v>610</v>
      </c>
      <c r="J20" s="218">
        <v>1.05E8</v>
      </c>
      <c r="K20" s="218" t="s">
        <v>620</v>
      </c>
      <c r="L20" s="218" t="s">
        <v>116</v>
      </c>
      <c r="M20" s="218" t="s">
        <v>634</v>
      </c>
      <c r="N20" s="218" t="s">
        <v>10</v>
      </c>
      <c r="O20" s="218" t="s">
        <v>129</v>
      </c>
      <c r="Q20" s="218" t="s">
        <v>613</v>
      </c>
      <c r="R20" s="218">
        <v>3.3904013E7</v>
      </c>
      <c r="S20" s="222">
        <v>12967.56</v>
      </c>
      <c r="T20" s="218">
        <v>2021.0</v>
      </c>
      <c r="U20" s="218">
        <v>1.0</v>
      </c>
      <c r="V20" s="218" t="s">
        <v>130</v>
      </c>
      <c r="W20" s="222">
        <v>13617.0</v>
      </c>
      <c r="X20" s="222">
        <v>1134.7</v>
      </c>
      <c r="Y20" s="222">
        <v>1134.7</v>
      </c>
      <c r="Z20" s="222">
        <v>1134.7</v>
      </c>
      <c r="AA20" s="222">
        <v>1134.7</v>
      </c>
      <c r="AB20" s="222">
        <v>1134.7</v>
      </c>
      <c r="AC20" s="222">
        <v>1134.7</v>
      </c>
      <c r="AD20" s="222">
        <v>1134.7</v>
      </c>
      <c r="AE20" s="222">
        <v>1134.7</v>
      </c>
      <c r="AF20" s="222">
        <v>1134.7</v>
      </c>
      <c r="AG20" s="222">
        <v>1134.7</v>
      </c>
      <c r="AH20" s="222">
        <v>1134.7</v>
      </c>
      <c r="AI20" s="222">
        <v>1134.7</v>
      </c>
      <c r="AJ20" s="222">
        <v>13617.0</v>
      </c>
      <c r="AM20" s="218" t="s">
        <v>118</v>
      </c>
      <c r="AN20" s="223">
        <v>15259.0</v>
      </c>
      <c r="AO20" s="194">
        <f t="shared" si="1"/>
        <v>13617</v>
      </c>
      <c r="AP20" s="223">
        <f>VLOOKUP(AN20,'Base de Dados'!A:A,1,0)</f>
        <v>15259</v>
      </c>
      <c r="AQ20" s="223">
        <f t="shared" si="2"/>
        <v>151132022236930</v>
      </c>
    </row>
    <row r="21">
      <c r="A21" s="218" t="s">
        <v>605</v>
      </c>
      <c r="B21" s="218">
        <v>2022.0</v>
      </c>
      <c r="C21" s="218" t="s">
        <v>606</v>
      </c>
      <c r="D21" s="218" t="s">
        <v>607</v>
      </c>
      <c r="E21" s="218">
        <v>1.51132022236932E14</v>
      </c>
      <c r="F21" s="218" t="s">
        <v>608</v>
      </c>
      <c r="G21" s="218" t="s">
        <v>609</v>
      </c>
      <c r="H21" s="218">
        <v>0.0</v>
      </c>
      <c r="I21" s="218" t="s">
        <v>610</v>
      </c>
      <c r="J21" s="218">
        <v>1.05E8</v>
      </c>
      <c r="K21" s="218" t="s">
        <v>620</v>
      </c>
      <c r="L21" s="218" t="s">
        <v>116</v>
      </c>
      <c r="M21" s="218" t="s">
        <v>635</v>
      </c>
      <c r="N21" s="218" t="s">
        <v>10</v>
      </c>
      <c r="O21" s="218" t="s">
        <v>328</v>
      </c>
      <c r="Q21" s="218" t="s">
        <v>613</v>
      </c>
      <c r="R21" s="218">
        <v>3.3904006E7</v>
      </c>
      <c r="S21" s="222"/>
      <c r="T21" s="218"/>
      <c r="U21" s="218">
        <v>1.0</v>
      </c>
      <c r="V21" s="218" t="s">
        <v>130</v>
      </c>
      <c r="W21" s="222">
        <v>19241.0</v>
      </c>
      <c r="X21" s="222">
        <v>1603.35</v>
      </c>
      <c r="Y21" s="222">
        <v>1603.35</v>
      </c>
      <c r="Z21" s="222">
        <v>1603.35</v>
      </c>
      <c r="AA21" s="222">
        <v>1603.35</v>
      </c>
      <c r="AB21" s="222">
        <v>1603.35</v>
      </c>
      <c r="AC21" s="222">
        <v>1603.35</v>
      </c>
      <c r="AD21" s="222">
        <v>1603.35</v>
      </c>
      <c r="AE21" s="222">
        <v>1603.35</v>
      </c>
      <c r="AF21" s="222">
        <v>1603.35</v>
      </c>
      <c r="AG21" s="222">
        <v>1603.35</v>
      </c>
      <c r="AH21" s="222">
        <v>1603.35</v>
      </c>
      <c r="AI21" s="222">
        <v>1603.35</v>
      </c>
      <c r="AJ21" s="222">
        <v>19241.0</v>
      </c>
      <c r="AM21" s="218" t="s">
        <v>118</v>
      </c>
      <c r="AN21" s="223">
        <v>15306.0</v>
      </c>
      <c r="AO21" s="194">
        <f t="shared" si="1"/>
        <v>19241</v>
      </c>
      <c r="AP21" s="223">
        <f>VLOOKUP(AN21,'Base de Dados'!A:A,1,0)</f>
        <v>15306</v>
      </c>
      <c r="AQ21" s="223">
        <f t="shared" si="2"/>
        <v>151132022236932</v>
      </c>
    </row>
    <row r="22">
      <c r="A22" s="218" t="s">
        <v>605</v>
      </c>
      <c r="B22" s="218">
        <v>2022.0</v>
      </c>
      <c r="C22" s="218" t="s">
        <v>606</v>
      </c>
      <c r="D22" s="218" t="s">
        <v>607</v>
      </c>
      <c r="E22" s="218">
        <v>1.51132022236919E14</v>
      </c>
      <c r="F22" s="218" t="s">
        <v>608</v>
      </c>
      <c r="G22" s="218" t="s">
        <v>609</v>
      </c>
      <c r="H22" s="218">
        <v>0.0</v>
      </c>
      <c r="I22" s="218" t="s">
        <v>610</v>
      </c>
      <c r="J22" s="218">
        <v>1.05E8</v>
      </c>
      <c r="K22" s="218" t="s">
        <v>620</v>
      </c>
      <c r="L22" s="218" t="s">
        <v>116</v>
      </c>
      <c r="M22" s="218" t="s">
        <v>636</v>
      </c>
      <c r="N22" s="218" t="s">
        <v>10</v>
      </c>
      <c r="O22" s="218" t="s">
        <v>328</v>
      </c>
      <c r="Q22" s="218" t="s">
        <v>613</v>
      </c>
      <c r="R22" s="218">
        <v>3.3904011E7</v>
      </c>
      <c r="S22" s="222">
        <v>65014.68</v>
      </c>
      <c r="T22" s="218">
        <v>2021.0</v>
      </c>
      <c r="U22" s="218">
        <v>1.0</v>
      </c>
      <c r="V22" s="218" t="s">
        <v>130</v>
      </c>
      <c r="W22" s="222">
        <v>66000.0</v>
      </c>
      <c r="X22" s="222">
        <v>5500.0</v>
      </c>
      <c r="Y22" s="222">
        <v>5500.0</v>
      </c>
      <c r="Z22" s="222">
        <v>5500.0</v>
      </c>
      <c r="AA22" s="222">
        <v>5500.0</v>
      </c>
      <c r="AB22" s="222">
        <v>5500.0</v>
      </c>
      <c r="AC22" s="222">
        <v>5500.0</v>
      </c>
      <c r="AD22" s="222">
        <v>5500.0</v>
      </c>
      <c r="AE22" s="222">
        <v>5500.0</v>
      </c>
      <c r="AF22" s="222">
        <v>5500.0</v>
      </c>
      <c r="AG22" s="222">
        <v>5500.0</v>
      </c>
      <c r="AH22" s="222">
        <v>5500.0</v>
      </c>
      <c r="AI22" s="222">
        <v>5500.0</v>
      </c>
      <c r="AJ22" s="222">
        <v>66000.0</v>
      </c>
      <c r="AM22" s="218" t="s">
        <v>118</v>
      </c>
      <c r="AN22" s="223">
        <v>15308.0</v>
      </c>
      <c r="AO22" s="194">
        <f t="shared" si="1"/>
        <v>66000</v>
      </c>
      <c r="AP22" s="223">
        <f>VLOOKUP(AN22,'Base de Dados'!A:A,1,0)</f>
        <v>15308</v>
      </c>
      <c r="AQ22" s="223">
        <f t="shared" si="2"/>
        <v>151132022236919</v>
      </c>
    </row>
    <row r="23">
      <c r="A23" s="218" t="s">
        <v>605</v>
      </c>
      <c r="B23" s="218">
        <v>2022.0</v>
      </c>
      <c r="C23" s="218" t="s">
        <v>606</v>
      </c>
      <c r="D23" s="218" t="s">
        <v>607</v>
      </c>
      <c r="E23" s="218">
        <v>1.51132022236951E14</v>
      </c>
      <c r="F23" s="218" t="s">
        <v>608</v>
      </c>
      <c r="G23" s="218" t="s">
        <v>609</v>
      </c>
      <c r="H23" s="218">
        <v>0.0</v>
      </c>
      <c r="I23" s="218" t="s">
        <v>610</v>
      </c>
      <c r="J23" s="218">
        <v>1.05E8</v>
      </c>
      <c r="K23" s="218" t="s">
        <v>620</v>
      </c>
      <c r="L23" s="218" t="s">
        <v>116</v>
      </c>
      <c r="M23" s="218" t="s">
        <v>637</v>
      </c>
      <c r="N23" s="218" t="s">
        <v>10</v>
      </c>
      <c r="O23" s="218" t="s">
        <v>129</v>
      </c>
      <c r="Q23" s="218" t="s">
        <v>613</v>
      </c>
      <c r="R23" s="218">
        <v>3.3904023E7</v>
      </c>
      <c r="S23" s="222">
        <v>63865.0</v>
      </c>
      <c r="T23" s="218">
        <v>2021.0</v>
      </c>
      <c r="U23" s="218">
        <v>1.0</v>
      </c>
      <c r="V23" s="218" t="s">
        <v>130</v>
      </c>
      <c r="W23" s="222">
        <v>42020.0</v>
      </c>
      <c r="X23" s="218">
        <v>0.0</v>
      </c>
      <c r="Y23" s="218">
        <v>0.0</v>
      </c>
      <c r="Z23" s="218">
        <v>0.0</v>
      </c>
      <c r="AA23" s="218">
        <v>0.0</v>
      </c>
      <c r="AB23" s="218">
        <v>0.0</v>
      </c>
      <c r="AC23" s="222">
        <v>42020.0</v>
      </c>
      <c r="AD23" s="218">
        <v>0.0</v>
      </c>
      <c r="AE23" s="218">
        <v>0.0</v>
      </c>
      <c r="AF23" s="218">
        <v>0.0</v>
      </c>
      <c r="AG23" s="218">
        <v>0.0</v>
      </c>
      <c r="AH23" s="218">
        <v>0.0</v>
      </c>
      <c r="AI23" s="218">
        <v>0.0</v>
      </c>
      <c r="AJ23" s="222">
        <v>42020.0</v>
      </c>
      <c r="AM23" s="218" t="s">
        <v>118</v>
      </c>
      <c r="AN23" s="223">
        <v>15315.0</v>
      </c>
      <c r="AO23" s="194">
        <f t="shared" si="1"/>
        <v>42020</v>
      </c>
      <c r="AP23" s="223">
        <f>VLOOKUP(AN23,'Base de Dados'!A:A,1,0)</f>
        <v>15315</v>
      </c>
      <c r="AQ23" s="223">
        <f t="shared" si="2"/>
        <v>151132022236951</v>
      </c>
    </row>
    <row r="24">
      <c r="A24" s="218" t="s">
        <v>605</v>
      </c>
      <c r="B24" s="218">
        <v>2022.0</v>
      </c>
      <c r="C24" s="218" t="s">
        <v>606</v>
      </c>
      <c r="D24" s="218" t="s">
        <v>607</v>
      </c>
      <c r="E24" s="218">
        <v>1.51132022236942E14</v>
      </c>
      <c r="F24" s="218" t="s">
        <v>608</v>
      </c>
      <c r="G24" s="218" t="s">
        <v>609</v>
      </c>
      <c r="H24" s="218">
        <v>0.0</v>
      </c>
      <c r="I24" s="218" t="s">
        <v>610</v>
      </c>
      <c r="J24" s="218">
        <v>1.05E8</v>
      </c>
      <c r="K24" s="218" t="s">
        <v>620</v>
      </c>
      <c r="L24" s="218" t="s">
        <v>116</v>
      </c>
      <c r="M24" s="218" t="s">
        <v>638</v>
      </c>
      <c r="N24" s="218" t="s">
        <v>10</v>
      </c>
      <c r="O24" s="218" t="s">
        <v>153</v>
      </c>
      <c r="Q24" s="218" t="s">
        <v>613</v>
      </c>
      <c r="R24" s="218">
        <v>3.3904008E7</v>
      </c>
      <c r="S24" s="222">
        <v>352788.6</v>
      </c>
      <c r="T24" s="218">
        <v>2021.0</v>
      </c>
      <c r="U24" s="218">
        <v>1.0</v>
      </c>
      <c r="V24" s="218" t="s">
        <v>130</v>
      </c>
      <c r="W24" s="222">
        <v>400000.0</v>
      </c>
      <c r="X24" s="222">
        <v>33333.33</v>
      </c>
      <c r="Y24" s="222">
        <v>33333.33</v>
      </c>
      <c r="Z24" s="222">
        <v>33333.33</v>
      </c>
      <c r="AA24" s="222">
        <v>33333.33</v>
      </c>
      <c r="AB24" s="222">
        <v>33333.33</v>
      </c>
      <c r="AC24" s="222">
        <v>33333.33</v>
      </c>
      <c r="AD24" s="222">
        <v>33333.33</v>
      </c>
      <c r="AE24" s="222">
        <v>33333.33</v>
      </c>
      <c r="AF24" s="222">
        <v>33333.33</v>
      </c>
      <c r="AG24" s="222">
        <v>33333.33</v>
      </c>
      <c r="AH24" s="222">
        <v>33333.33</v>
      </c>
      <c r="AI24" s="222">
        <v>33333.33</v>
      </c>
      <c r="AJ24" s="222">
        <v>400000.0</v>
      </c>
      <c r="AM24" s="218" t="s">
        <v>118</v>
      </c>
      <c r="AN24" s="223">
        <v>15332.0</v>
      </c>
      <c r="AO24" s="194">
        <f t="shared" si="1"/>
        <v>400000</v>
      </c>
      <c r="AP24" s="223">
        <f>VLOOKUP(AN24,'Base de Dados'!A:A,1,0)</f>
        <v>15332</v>
      </c>
      <c r="AQ24" s="223">
        <f t="shared" si="2"/>
        <v>151132022236942</v>
      </c>
    </row>
    <row r="25">
      <c r="A25" s="218" t="s">
        <v>605</v>
      </c>
      <c r="B25" s="218">
        <v>2022.0</v>
      </c>
      <c r="C25" s="218" t="s">
        <v>606</v>
      </c>
      <c r="D25" s="218" t="s">
        <v>607</v>
      </c>
      <c r="E25" s="218">
        <v>1.51132022236917E14</v>
      </c>
      <c r="F25" s="218" t="s">
        <v>608</v>
      </c>
      <c r="G25" s="218" t="s">
        <v>609</v>
      </c>
      <c r="H25" s="218">
        <v>0.0</v>
      </c>
      <c r="I25" s="218" t="s">
        <v>610</v>
      </c>
      <c r="J25" s="218">
        <v>1.05E8</v>
      </c>
      <c r="K25" s="218" t="s">
        <v>620</v>
      </c>
      <c r="L25" s="218" t="s">
        <v>116</v>
      </c>
      <c r="M25" s="218" t="s">
        <v>639</v>
      </c>
      <c r="N25" s="218" t="s">
        <v>10</v>
      </c>
      <c r="O25" s="218" t="s">
        <v>328</v>
      </c>
      <c r="Q25" s="218" t="s">
        <v>613</v>
      </c>
      <c r="R25" s="218">
        <v>3.3904011E7</v>
      </c>
      <c r="S25" s="222"/>
      <c r="T25" s="218"/>
      <c r="U25" s="218">
        <v>1.0</v>
      </c>
      <c r="V25" s="218" t="s">
        <v>130</v>
      </c>
      <c r="W25" s="222">
        <v>258600.0</v>
      </c>
      <c r="X25" s="222">
        <v>21550.0</v>
      </c>
      <c r="Y25" s="222">
        <v>21550.0</v>
      </c>
      <c r="Z25" s="222">
        <v>21550.0</v>
      </c>
      <c r="AA25" s="222">
        <v>21550.0</v>
      </c>
      <c r="AB25" s="222">
        <v>21550.0</v>
      </c>
      <c r="AC25" s="222">
        <v>21550.0</v>
      </c>
      <c r="AD25" s="222">
        <v>21550.0</v>
      </c>
      <c r="AE25" s="222">
        <v>21550.0</v>
      </c>
      <c r="AF25" s="222">
        <v>21550.0</v>
      </c>
      <c r="AG25" s="222">
        <v>21550.0</v>
      </c>
      <c r="AH25" s="222">
        <v>21550.0</v>
      </c>
      <c r="AI25" s="222">
        <v>21550.0</v>
      </c>
      <c r="AJ25" s="222">
        <v>258600.0</v>
      </c>
      <c r="AM25" s="218" t="s">
        <v>118</v>
      </c>
      <c r="AN25" s="223">
        <v>15347.0</v>
      </c>
      <c r="AO25" s="194">
        <f t="shared" si="1"/>
        <v>258600</v>
      </c>
      <c r="AP25" s="223">
        <f>VLOOKUP(AN25,'Base de Dados'!A:A,1,0)</f>
        <v>15347</v>
      </c>
      <c r="AQ25" s="223">
        <f t="shared" si="2"/>
        <v>151132022236917</v>
      </c>
    </row>
    <row r="26">
      <c r="A26" s="218" t="s">
        <v>605</v>
      </c>
      <c r="B26" s="218">
        <v>2022.0</v>
      </c>
      <c r="C26" s="218" t="s">
        <v>606</v>
      </c>
      <c r="D26" s="218" t="s">
        <v>607</v>
      </c>
      <c r="E26" s="218">
        <v>1.51132022236945E14</v>
      </c>
      <c r="F26" s="218" t="s">
        <v>608</v>
      </c>
      <c r="G26" s="218" t="s">
        <v>609</v>
      </c>
      <c r="H26" s="218">
        <v>0.0</v>
      </c>
      <c r="I26" s="218" t="s">
        <v>610</v>
      </c>
      <c r="J26" s="218">
        <v>1.05E8</v>
      </c>
      <c r="K26" s="218" t="s">
        <v>620</v>
      </c>
      <c r="L26" s="218" t="s">
        <v>116</v>
      </c>
      <c r="M26" s="218" t="s">
        <v>640</v>
      </c>
      <c r="N26" s="218" t="s">
        <v>10</v>
      </c>
      <c r="O26" s="218" t="s">
        <v>153</v>
      </c>
      <c r="Q26" s="218" t="s">
        <v>613</v>
      </c>
      <c r="R26" s="218">
        <v>3.3904019E7</v>
      </c>
      <c r="S26" s="222">
        <v>22999.37</v>
      </c>
      <c r="T26" s="218">
        <v>2021.0</v>
      </c>
      <c r="U26" s="218">
        <v>1.0</v>
      </c>
      <c r="V26" s="218" t="s">
        <v>130</v>
      </c>
      <c r="W26" s="222">
        <v>11871.0</v>
      </c>
      <c r="X26" s="218">
        <v>989.23</v>
      </c>
      <c r="Y26" s="218">
        <v>989.23</v>
      </c>
      <c r="Z26" s="218">
        <v>989.23</v>
      </c>
      <c r="AA26" s="218">
        <v>989.23</v>
      </c>
      <c r="AB26" s="218">
        <v>989.23</v>
      </c>
      <c r="AC26" s="218">
        <v>989.23</v>
      </c>
      <c r="AD26" s="218">
        <v>989.23</v>
      </c>
      <c r="AE26" s="218">
        <v>989.23</v>
      </c>
      <c r="AF26" s="218">
        <v>989.23</v>
      </c>
      <c r="AG26" s="218">
        <v>989.23</v>
      </c>
      <c r="AH26" s="218">
        <v>989.23</v>
      </c>
      <c r="AI26" s="218">
        <v>989.23</v>
      </c>
      <c r="AJ26" s="222">
        <v>11871.0</v>
      </c>
      <c r="AM26" s="218" t="s">
        <v>118</v>
      </c>
      <c r="AN26" s="223">
        <v>15349.0</v>
      </c>
      <c r="AO26" s="194">
        <f t="shared" si="1"/>
        <v>11871</v>
      </c>
      <c r="AP26" s="223">
        <f>VLOOKUP(AN26,'Base de Dados'!A:A,1,0)</f>
        <v>15349</v>
      </c>
      <c r="AQ26" s="223">
        <f t="shared" si="2"/>
        <v>151132022236945</v>
      </c>
    </row>
    <row r="27">
      <c r="A27" s="218" t="s">
        <v>605</v>
      </c>
      <c r="B27" s="218">
        <v>2022.0</v>
      </c>
      <c r="C27" s="218" t="s">
        <v>606</v>
      </c>
      <c r="D27" s="218" t="s">
        <v>607</v>
      </c>
      <c r="E27" s="218">
        <v>1.51132022236924E14</v>
      </c>
      <c r="F27" s="218" t="s">
        <v>608</v>
      </c>
      <c r="G27" s="218" t="s">
        <v>609</v>
      </c>
      <c r="H27" s="218">
        <v>0.0</v>
      </c>
      <c r="I27" s="218" t="s">
        <v>610</v>
      </c>
      <c r="J27" s="218">
        <v>1.05E8</v>
      </c>
      <c r="K27" s="218" t="s">
        <v>620</v>
      </c>
      <c r="L27" s="218" t="s">
        <v>116</v>
      </c>
      <c r="M27" s="218" t="s">
        <v>641</v>
      </c>
      <c r="N27" s="218" t="s">
        <v>10</v>
      </c>
      <c r="O27" s="218" t="s">
        <v>129</v>
      </c>
      <c r="Q27" s="218" t="s">
        <v>613</v>
      </c>
      <c r="R27" s="218">
        <v>3.3904012E7</v>
      </c>
      <c r="S27" s="222">
        <v>106482.96</v>
      </c>
      <c r="T27" s="218">
        <v>2021.0</v>
      </c>
      <c r="U27" s="218">
        <v>1.0</v>
      </c>
      <c r="V27" s="218" t="s">
        <v>130</v>
      </c>
      <c r="W27" s="222">
        <v>131683.0</v>
      </c>
      <c r="X27" s="222">
        <v>10973.53</v>
      </c>
      <c r="Y27" s="222">
        <v>10973.53</v>
      </c>
      <c r="Z27" s="222">
        <v>10973.53</v>
      </c>
      <c r="AA27" s="222">
        <v>10973.53</v>
      </c>
      <c r="AB27" s="222">
        <v>10973.53</v>
      </c>
      <c r="AC27" s="222">
        <v>10973.53</v>
      </c>
      <c r="AD27" s="222">
        <v>10973.53</v>
      </c>
      <c r="AE27" s="222">
        <v>10973.53</v>
      </c>
      <c r="AF27" s="222">
        <v>10973.53</v>
      </c>
      <c r="AG27" s="222">
        <v>10973.53</v>
      </c>
      <c r="AH27" s="222">
        <v>10973.53</v>
      </c>
      <c r="AI27" s="222">
        <v>10973.53</v>
      </c>
      <c r="AJ27" s="222">
        <v>131683.0</v>
      </c>
      <c r="AM27" s="218" t="s">
        <v>118</v>
      </c>
      <c r="AN27" s="223">
        <v>15357.0</v>
      </c>
      <c r="AO27" s="194">
        <f t="shared" si="1"/>
        <v>131683</v>
      </c>
      <c r="AP27" s="223">
        <f>VLOOKUP(AN27,'Base de Dados'!A:A,1,0)</f>
        <v>15357</v>
      </c>
      <c r="AQ27" s="223">
        <f t="shared" si="2"/>
        <v>151132022236924</v>
      </c>
    </row>
    <row r="28">
      <c r="A28" s="218" t="s">
        <v>605</v>
      </c>
      <c r="B28" s="218">
        <v>2022.0</v>
      </c>
      <c r="C28" s="218" t="s">
        <v>606</v>
      </c>
      <c r="D28" s="218" t="s">
        <v>607</v>
      </c>
      <c r="E28" s="218">
        <v>1.5113202223694E14</v>
      </c>
      <c r="F28" s="218" t="s">
        <v>608</v>
      </c>
      <c r="G28" s="218" t="s">
        <v>609</v>
      </c>
      <c r="H28" s="218">
        <v>0.0</v>
      </c>
      <c r="I28" s="218" t="s">
        <v>610</v>
      </c>
      <c r="J28" s="218">
        <v>1.05E8</v>
      </c>
      <c r="K28" s="218" t="s">
        <v>620</v>
      </c>
      <c r="L28" s="218" t="s">
        <v>116</v>
      </c>
      <c r="M28" s="218" t="s">
        <v>642</v>
      </c>
      <c r="N28" s="218" t="s">
        <v>10</v>
      </c>
      <c r="O28" s="218" t="s">
        <v>153</v>
      </c>
      <c r="Q28" s="218" t="s">
        <v>613</v>
      </c>
      <c r="R28" s="218">
        <v>3.3904007E7</v>
      </c>
      <c r="S28" s="222">
        <v>7737.84</v>
      </c>
      <c r="T28" s="218">
        <v>2021.0</v>
      </c>
      <c r="U28" s="218">
        <v>1.0</v>
      </c>
      <c r="V28" s="218" t="s">
        <v>130</v>
      </c>
      <c r="W28" s="222">
        <v>8008.0</v>
      </c>
      <c r="X28" s="218">
        <v>667.32</v>
      </c>
      <c r="Y28" s="218">
        <v>667.32</v>
      </c>
      <c r="Z28" s="218">
        <v>667.32</v>
      </c>
      <c r="AA28" s="218">
        <v>667.32</v>
      </c>
      <c r="AB28" s="218">
        <v>667.32</v>
      </c>
      <c r="AC28" s="218">
        <v>667.32</v>
      </c>
      <c r="AD28" s="218">
        <v>667.32</v>
      </c>
      <c r="AE28" s="218">
        <v>667.32</v>
      </c>
      <c r="AF28" s="218">
        <v>667.32</v>
      </c>
      <c r="AG28" s="218">
        <v>667.32</v>
      </c>
      <c r="AH28" s="218">
        <v>667.32</v>
      </c>
      <c r="AI28" s="218">
        <v>667.32</v>
      </c>
      <c r="AJ28" s="222">
        <v>8008.0</v>
      </c>
      <c r="AM28" s="218" t="s">
        <v>118</v>
      </c>
      <c r="AN28" s="223">
        <v>15360.0</v>
      </c>
      <c r="AO28" s="194">
        <f t="shared" si="1"/>
        <v>8008</v>
      </c>
      <c r="AP28" s="223">
        <f>VLOOKUP(AN28,'Base de Dados'!A:A,1,0)</f>
        <v>15360</v>
      </c>
      <c r="AQ28" s="223">
        <f t="shared" si="2"/>
        <v>151132022236940</v>
      </c>
    </row>
    <row r="29">
      <c r="A29" s="218" t="s">
        <v>605</v>
      </c>
      <c r="B29" s="218">
        <v>2022.0</v>
      </c>
      <c r="C29" s="218" t="s">
        <v>606</v>
      </c>
      <c r="D29" s="218" t="s">
        <v>607</v>
      </c>
      <c r="E29" s="218">
        <v>1.51132022236943E14</v>
      </c>
      <c r="F29" s="218" t="s">
        <v>608</v>
      </c>
      <c r="G29" s="218" t="s">
        <v>609</v>
      </c>
      <c r="H29" s="218">
        <v>0.0</v>
      </c>
      <c r="I29" s="218" t="s">
        <v>610</v>
      </c>
      <c r="J29" s="218">
        <v>1.05E8</v>
      </c>
      <c r="K29" s="218" t="s">
        <v>620</v>
      </c>
      <c r="L29" s="218" t="s">
        <v>116</v>
      </c>
      <c r="M29" s="218" t="s">
        <v>643</v>
      </c>
      <c r="N29" s="218" t="s">
        <v>10</v>
      </c>
      <c r="O29" s="218" t="s">
        <v>153</v>
      </c>
      <c r="Q29" s="218" t="s">
        <v>613</v>
      </c>
      <c r="R29" s="218">
        <v>3.3904019E7</v>
      </c>
      <c r="S29" s="222"/>
      <c r="T29" s="218"/>
      <c r="U29" s="218">
        <v>1.0</v>
      </c>
      <c r="V29" s="218" t="s">
        <v>130</v>
      </c>
      <c r="W29" s="222">
        <v>100000.0</v>
      </c>
      <c r="X29" s="222">
        <v>8333.33</v>
      </c>
      <c r="Y29" s="222">
        <v>8333.33</v>
      </c>
      <c r="Z29" s="222">
        <v>8333.33</v>
      </c>
      <c r="AA29" s="222">
        <v>8333.33</v>
      </c>
      <c r="AB29" s="222">
        <v>8333.33</v>
      </c>
      <c r="AC29" s="222">
        <v>8333.33</v>
      </c>
      <c r="AD29" s="222">
        <v>8333.33</v>
      </c>
      <c r="AE29" s="222">
        <v>8333.33</v>
      </c>
      <c r="AF29" s="222">
        <v>8333.33</v>
      </c>
      <c r="AG29" s="222">
        <v>8333.33</v>
      </c>
      <c r="AH29" s="222">
        <v>8333.33</v>
      </c>
      <c r="AI29" s="222">
        <v>8333.33</v>
      </c>
      <c r="AJ29" s="222">
        <v>100000.0</v>
      </c>
      <c r="AM29" s="218" t="s">
        <v>118</v>
      </c>
      <c r="AN29" s="223">
        <v>15366.0</v>
      </c>
      <c r="AO29" s="194">
        <f t="shared" si="1"/>
        <v>100000</v>
      </c>
      <c r="AP29" s="223">
        <f>VLOOKUP(AN29,'Base de Dados'!A:A,1,0)</f>
        <v>15366</v>
      </c>
      <c r="AQ29" s="223">
        <f t="shared" si="2"/>
        <v>151132022236943</v>
      </c>
    </row>
    <row r="30">
      <c r="A30" s="218" t="s">
        <v>605</v>
      </c>
      <c r="B30" s="218">
        <v>2022.0</v>
      </c>
      <c r="C30" s="218" t="s">
        <v>606</v>
      </c>
      <c r="D30" s="218" t="s">
        <v>607</v>
      </c>
      <c r="E30" s="218">
        <v>1.51132022236933E14</v>
      </c>
      <c r="F30" s="218" t="s">
        <v>608</v>
      </c>
      <c r="G30" s="218" t="s">
        <v>609</v>
      </c>
      <c r="H30" s="218">
        <v>0.0</v>
      </c>
      <c r="I30" s="218" t="s">
        <v>610</v>
      </c>
      <c r="J30" s="218">
        <v>1.05E8</v>
      </c>
      <c r="K30" s="218" t="s">
        <v>620</v>
      </c>
      <c r="L30" s="218" t="s">
        <v>116</v>
      </c>
      <c r="M30" s="218" t="s">
        <v>644</v>
      </c>
      <c r="N30" s="218" t="s">
        <v>10</v>
      </c>
      <c r="O30" s="218" t="s">
        <v>153</v>
      </c>
      <c r="Q30" s="218" t="s">
        <v>613</v>
      </c>
      <c r="R30" s="218">
        <v>3.3904006E7</v>
      </c>
      <c r="S30" s="222"/>
      <c r="T30" s="218"/>
      <c r="U30" s="218">
        <v>1.0</v>
      </c>
      <c r="V30" s="218" t="s">
        <v>130</v>
      </c>
      <c r="W30" s="222">
        <v>50000.0</v>
      </c>
      <c r="X30" s="218">
        <v>0.0</v>
      </c>
      <c r="Y30" s="218">
        <v>0.0</v>
      </c>
      <c r="Z30" s="218">
        <v>0.0</v>
      </c>
      <c r="AA30" s="218">
        <v>0.0</v>
      </c>
      <c r="AB30" s="218">
        <v>0.0</v>
      </c>
      <c r="AC30" s="218">
        <v>0.0</v>
      </c>
      <c r="AD30" s="222">
        <v>50000.0</v>
      </c>
      <c r="AE30" s="218">
        <v>0.0</v>
      </c>
      <c r="AF30" s="218">
        <v>0.0</v>
      </c>
      <c r="AG30" s="218">
        <v>0.0</v>
      </c>
      <c r="AH30" s="218">
        <v>0.0</v>
      </c>
      <c r="AI30" s="218">
        <v>0.0</v>
      </c>
      <c r="AJ30" s="222">
        <v>50000.0</v>
      </c>
      <c r="AM30" s="218" t="s">
        <v>118</v>
      </c>
      <c r="AN30" s="223">
        <v>15368.0</v>
      </c>
      <c r="AO30" s="194">
        <f t="shared" si="1"/>
        <v>50000</v>
      </c>
      <c r="AP30" s="223">
        <f>VLOOKUP(AN30,'Base de Dados'!A:A,1,0)</f>
        <v>15368</v>
      </c>
      <c r="AQ30" s="223">
        <f t="shared" si="2"/>
        <v>151132022236933</v>
      </c>
    </row>
    <row r="31">
      <c r="A31" s="218" t="s">
        <v>605</v>
      </c>
      <c r="B31" s="218">
        <v>2022.0</v>
      </c>
      <c r="C31" s="218" t="s">
        <v>606</v>
      </c>
      <c r="D31" s="218" t="s">
        <v>607</v>
      </c>
      <c r="E31" s="218">
        <v>1.51132022236947E14</v>
      </c>
      <c r="F31" s="218" t="s">
        <v>608</v>
      </c>
      <c r="G31" s="218" t="s">
        <v>609</v>
      </c>
      <c r="H31" s="218">
        <v>0.0</v>
      </c>
      <c r="I31" s="218" t="s">
        <v>610</v>
      </c>
      <c r="J31" s="218">
        <v>1.05E8</v>
      </c>
      <c r="K31" s="218" t="s">
        <v>645</v>
      </c>
      <c r="L31" s="218" t="s">
        <v>116</v>
      </c>
      <c r="M31" s="218" t="s">
        <v>646</v>
      </c>
      <c r="N31" s="218" t="s">
        <v>10</v>
      </c>
      <c r="O31" s="218" t="s">
        <v>153</v>
      </c>
      <c r="Q31" s="218" t="s">
        <v>613</v>
      </c>
      <c r="R31" s="218">
        <v>4.4905241E7</v>
      </c>
      <c r="S31" s="222"/>
      <c r="T31" s="218"/>
      <c r="U31" s="218">
        <v>1.0</v>
      </c>
      <c r="V31" s="218" t="s">
        <v>130</v>
      </c>
      <c r="W31" s="222">
        <v>4472267.0</v>
      </c>
      <c r="X31" s="218">
        <v>0.0</v>
      </c>
      <c r="Y31" s="218">
        <v>0.0</v>
      </c>
      <c r="Z31" s="218">
        <v>0.0</v>
      </c>
      <c r="AA31" s="218">
        <v>0.0</v>
      </c>
      <c r="AB31" s="218">
        <v>0.0</v>
      </c>
      <c r="AC31" s="222">
        <v>4472267.0</v>
      </c>
      <c r="AD31" s="218">
        <v>0.0</v>
      </c>
      <c r="AE31" s="218">
        <v>0.0</v>
      </c>
      <c r="AF31" s="218">
        <v>0.0</v>
      </c>
      <c r="AG31" s="218">
        <v>0.0</v>
      </c>
      <c r="AH31" s="218">
        <v>0.0</v>
      </c>
      <c r="AI31" s="218">
        <v>0.0</v>
      </c>
      <c r="AJ31" s="222">
        <v>4472267.0</v>
      </c>
      <c r="AM31" s="218" t="s">
        <v>118</v>
      </c>
      <c r="AN31" s="223">
        <v>15361.0</v>
      </c>
      <c r="AO31" s="194">
        <f t="shared" si="1"/>
        <v>4472267</v>
      </c>
      <c r="AP31" s="223">
        <f>VLOOKUP(AN31,'Base de Dados'!A:A,1,0)</f>
        <v>15361</v>
      </c>
      <c r="AQ31" s="223">
        <f t="shared" si="2"/>
        <v>151132022236947</v>
      </c>
    </row>
    <row r="32">
      <c r="A32" s="218" t="s">
        <v>605</v>
      </c>
      <c r="B32" s="218">
        <v>2022.0</v>
      </c>
      <c r="C32" s="218" t="s">
        <v>606</v>
      </c>
      <c r="D32" s="218" t="s">
        <v>607</v>
      </c>
      <c r="E32" s="218">
        <v>1.51132022236948E14</v>
      </c>
      <c r="F32" s="218" t="s">
        <v>608</v>
      </c>
      <c r="G32" s="218" t="s">
        <v>609</v>
      </c>
      <c r="H32" s="218">
        <v>0.0</v>
      </c>
      <c r="I32" s="218" t="s">
        <v>610</v>
      </c>
      <c r="J32" s="218">
        <v>1.05E8</v>
      </c>
      <c r="K32" s="218" t="s">
        <v>645</v>
      </c>
      <c r="L32" s="218" t="s">
        <v>116</v>
      </c>
      <c r="M32" s="218" t="s">
        <v>647</v>
      </c>
      <c r="N32" s="218" t="s">
        <v>10</v>
      </c>
      <c r="O32" s="218" t="s">
        <v>153</v>
      </c>
      <c r="Q32" s="218" t="s">
        <v>613</v>
      </c>
      <c r="R32" s="218">
        <v>4.4905245E7</v>
      </c>
      <c r="S32" s="222"/>
      <c r="T32" s="218"/>
      <c r="U32" s="218">
        <v>1.0</v>
      </c>
      <c r="V32" s="218" t="s">
        <v>130</v>
      </c>
      <c r="W32" s="222">
        <v>568600.0</v>
      </c>
      <c r="X32" s="218">
        <v>0.0</v>
      </c>
      <c r="Y32" s="218">
        <v>0.0</v>
      </c>
      <c r="Z32" s="218">
        <v>0.0</v>
      </c>
      <c r="AA32" s="218">
        <v>0.0</v>
      </c>
      <c r="AB32" s="218">
        <v>0.0</v>
      </c>
      <c r="AC32" s="222">
        <v>568600.0</v>
      </c>
      <c r="AD32" s="218">
        <v>0.0</v>
      </c>
      <c r="AE32" s="218">
        <v>0.0</v>
      </c>
      <c r="AF32" s="218">
        <v>0.0</v>
      </c>
      <c r="AG32" s="218">
        <v>0.0</v>
      </c>
      <c r="AH32" s="218">
        <v>0.0</v>
      </c>
      <c r="AI32" s="218">
        <v>0.0</v>
      </c>
      <c r="AJ32" s="222">
        <v>568600.0</v>
      </c>
      <c r="AM32" s="218" t="s">
        <v>118</v>
      </c>
      <c r="AN32" s="223">
        <v>15362.0</v>
      </c>
      <c r="AO32" s="194">
        <f t="shared" si="1"/>
        <v>568600</v>
      </c>
      <c r="AP32" s="223">
        <f>VLOOKUP(AN32,'Base de Dados'!A:A,1,0)</f>
        <v>15362</v>
      </c>
      <c r="AQ32" s="223">
        <f t="shared" si="2"/>
        <v>151132022236948</v>
      </c>
    </row>
    <row r="33">
      <c r="A33" s="218" t="s">
        <v>605</v>
      </c>
      <c r="B33" s="218">
        <v>2022.0</v>
      </c>
      <c r="C33" s="218" t="s">
        <v>606</v>
      </c>
      <c r="D33" s="218" t="s">
        <v>607</v>
      </c>
      <c r="E33" s="218">
        <v>1.51132022236939E14</v>
      </c>
      <c r="F33" s="218" t="s">
        <v>608</v>
      </c>
      <c r="G33" s="218" t="s">
        <v>609</v>
      </c>
      <c r="H33" s="218">
        <v>1.0</v>
      </c>
      <c r="I33" s="218" t="s">
        <v>648</v>
      </c>
      <c r="J33" s="218">
        <v>1.05E8</v>
      </c>
      <c r="K33" s="218" t="s">
        <v>620</v>
      </c>
      <c r="L33" s="218" t="s">
        <v>116</v>
      </c>
      <c r="M33" s="218" t="s">
        <v>649</v>
      </c>
      <c r="N33" s="218" t="s">
        <v>10</v>
      </c>
      <c r="O33" s="218" t="s">
        <v>153</v>
      </c>
      <c r="Q33" s="218" t="s">
        <v>613</v>
      </c>
      <c r="R33" s="218">
        <v>3.3904007E7</v>
      </c>
      <c r="S33" s="222">
        <v>87676.62</v>
      </c>
      <c r="T33" s="218">
        <v>2021.0</v>
      </c>
      <c r="U33" s="218">
        <v>1.0</v>
      </c>
      <c r="V33" s="218" t="s">
        <v>130</v>
      </c>
      <c r="W33" s="222">
        <v>90507.0</v>
      </c>
      <c r="X33" s="222">
        <v>7542.21</v>
      </c>
      <c r="Y33" s="222">
        <v>7542.21</v>
      </c>
      <c r="Z33" s="222">
        <v>7542.21</v>
      </c>
      <c r="AA33" s="222">
        <v>7542.21</v>
      </c>
      <c r="AB33" s="222">
        <v>7542.21</v>
      </c>
      <c r="AC33" s="222">
        <v>7542.21</v>
      </c>
      <c r="AD33" s="222">
        <v>7542.21</v>
      </c>
      <c r="AE33" s="222">
        <v>7542.21</v>
      </c>
      <c r="AF33" s="222">
        <v>7542.21</v>
      </c>
      <c r="AG33" s="222">
        <v>7542.21</v>
      </c>
      <c r="AH33" s="222">
        <v>7542.21</v>
      </c>
      <c r="AI33" s="222">
        <v>7542.21</v>
      </c>
      <c r="AJ33" s="222">
        <v>90507.0</v>
      </c>
      <c r="AM33" s="218" t="s">
        <v>118</v>
      </c>
      <c r="AN33" s="223">
        <v>15018.0</v>
      </c>
      <c r="AO33" s="194">
        <f t="shared" si="1"/>
        <v>90507</v>
      </c>
      <c r="AP33" s="223">
        <f>VLOOKUP(AN33,'Base de Dados'!A:A,1,0)</f>
        <v>15018</v>
      </c>
      <c r="AQ33" s="223">
        <f t="shared" si="2"/>
        <v>151132022236939</v>
      </c>
    </row>
    <row r="34">
      <c r="A34" s="224" t="s">
        <v>605</v>
      </c>
      <c r="B34" s="224">
        <v>2022.0</v>
      </c>
      <c r="C34" s="224" t="s">
        <v>606</v>
      </c>
      <c r="D34" s="224" t="s">
        <v>607</v>
      </c>
      <c r="E34" s="224">
        <v>1.51132022236939E14</v>
      </c>
      <c r="F34" s="224" t="s">
        <v>608</v>
      </c>
      <c r="G34" s="224" t="s">
        <v>609</v>
      </c>
      <c r="H34" s="224">
        <v>1.0</v>
      </c>
      <c r="I34" s="224" t="s">
        <v>648</v>
      </c>
      <c r="J34" s="224">
        <v>1.05E8</v>
      </c>
      <c r="K34" s="224" t="s">
        <v>620</v>
      </c>
      <c r="L34" s="224" t="s">
        <v>116</v>
      </c>
      <c r="M34" s="224" t="s">
        <v>650</v>
      </c>
      <c r="N34" s="224" t="s">
        <v>10</v>
      </c>
      <c r="O34" s="224" t="s">
        <v>153</v>
      </c>
      <c r="P34" s="225"/>
      <c r="Q34" s="224" t="s">
        <v>613</v>
      </c>
      <c r="R34" s="224">
        <v>3.3904007E7</v>
      </c>
      <c r="S34" s="226">
        <v>87676.62</v>
      </c>
      <c r="T34" s="224">
        <v>2021.0</v>
      </c>
      <c r="U34" s="224">
        <v>1.0</v>
      </c>
      <c r="V34" s="224" t="s">
        <v>130</v>
      </c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5"/>
      <c r="AL34" s="225"/>
      <c r="AM34" s="224" t="s">
        <v>118</v>
      </c>
      <c r="AN34" s="227">
        <v>15389.0</v>
      </c>
      <c r="AO34" s="228"/>
      <c r="AP34" s="227"/>
      <c r="AQ34" s="227">
        <f t="shared" si="2"/>
        <v>151132022236939</v>
      </c>
    </row>
    <row r="35">
      <c r="A35" s="218" t="s">
        <v>605</v>
      </c>
      <c r="B35" s="218">
        <v>2022.0</v>
      </c>
      <c r="C35" s="218" t="s">
        <v>606</v>
      </c>
      <c r="D35" s="218" t="s">
        <v>607</v>
      </c>
      <c r="E35" s="218">
        <v>1.51132022236927E14</v>
      </c>
      <c r="F35" s="218" t="s">
        <v>608</v>
      </c>
      <c r="G35" s="218" t="s">
        <v>609</v>
      </c>
      <c r="H35" s="218">
        <v>1.0</v>
      </c>
      <c r="I35" s="218" t="s">
        <v>648</v>
      </c>
      <c r="J35" s="218">
        <v>1.05E8</v>
      </c>
      <c r="K35" s="218" t="s">
        <v>620</v>
      </c>
      <c r="L35" s="218" t="s">
        <v>116</v>
      </c>
      <c r="M35" s="218" t="s">
        <v>651</v>
      </c>
      <c r="N35" s="218" t="s">
        <v>10</v>
      </c>
      <c r="O35" s="218" t="s">
        <v>129</v>
      </c>
      <c r="Q35" s="218" t="s">
        <v>613</v>
      </c>
      <c r="R35" s="218">
        <v>3.3904013E7</v>
      </c>
      <c r="S35" s="222">
        <v>527082.96</v>
      </c>
      <c r="T35" s="218">
        <v>2021.0</v>
      </c>
      <c r="U35" s="218">
        <v>1.0</v>
      </c>
      <c r="V35" s="218" t="s">
        <v>130</v>
      </c>
      <c r="W35" s="222">
        <v>513000.0</v>
      </c>
      <c r="X35" s="222">
        <v>42750.0</v>
      </c>
      <c r="Y35" s="222">
        <v>42750.0</v>
      </c>
      <c r="Z35" s="222">
        <v>42750.0</v>
      </c>
      <c r="AA35" s="222">
        <v>42750.0</v>
      </c>
      <c r="AB35" s="222">
        <v>42750.0</v>
      </c>
      <c r="AC35" s="222">
        <v>42750.0</v>
      </c>
      <c r="AD35" s="222">
        <v>42750.0</v>
      </c>
      <c r="AE35" s="222">
        <v>42750.0</v>
      </c>
      <c r="AF35" s="222">
        <v>42750.0</v>
      </c>
      <c r="AG35" s="222">
        <v>42750.0</v>
      </c>
      <c r="AH35" s="222">
        <v>42750.0</v>
      </c>
      <c r="AI35" s="222">
        <v>42750.0</v>
      </c>
      <c r="AJ35" s="222">
        <v>513000.0</v>
      </c>
      <c r="AM35" s="218" t="s">
        <v>118</v>
      </c>
      <c r="AN35" s="223">
        <v>15056.0</v>
      </c>
      <c r="AO35" s="194">
        <f>AJ35</f>
        <v>513000</v>
      </c>
      <c r="AP35" s="223">
        <f>VLOOKUP(AN35,'Base de Dados'!A:A,1,0)</f>
        <v>15056</v>
      </c>
      <c r="AQ35" s="223">
        <f t="shared" si="2"/>
        <v>151132022236927</v>
      </c>
    </row>
    <row r="36">
      <c r="A36" s="224" t="s">
        <v>605</v>
      </c>
      <c r="B36" s="224">
        <v>2022.0</v>
      </c>
      <c r="C36" s="224" t="s">
        <v>606</v>
      </c>
      <c r="D36" s="224" t="s">
        <v>607</v>
      </c>
      <c r="E36" s="224">
        <v>1.51132022236927E14</v>
      </c>
      <c r="F36" s="224" t="s">
        <v>608</v>
      </c>
      <c r="G36" s="224" t="s">
        <v>609</v>
      </c>
      <c r="H36" s="224">
        <v>1.0</v>
      </c>
      <c r="I36" s="224" t="s">
        <v>648</v>
      </c>
      <c r="J36" s="224">
        <v>1.05E8</v>
      </c>
      <c r="K36" s="224" t="s">
        <v>620</v>
      </c>
      <c r="L36" s="224" t="s">
        <v>116</v>
      </c>
      <c r="M36" s="224" t="s">
        <v>652</v>
      </c>
      <c r="N36" s="224" t="s">
        <v>10</v>
      </c>
      <c r="O36" s="224" t="s">
        <v>129</v>
      </c>
      <c r="P36" s="225"/>
      <c r="Q36" s="224" t="s">
        <v>613</v>
      </c>
      <c r="R36" s="224">
        <v>3.3904013E7</v>
      </c>
      <c r="S36" s="226"/>
      <c r="T36" s="224"/>
      <c r="U36" s="224"/>
      <c r="V36" s="224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5"/>
      <c r="AL36" s="225"/>
      <c r="AM36" s="224"/>
      <c r="AN36" s="227">
        <v>15390.0</v>
      </c>
      <c r="AO36" s="228"/>
      <c r="AP36" s="227"/>
      <c r="AQ36" s="227">
        <f t="shared" si="2"/>
        <v>151132022236927</v>
      </c>
    </row>
    <row r="37">
      <c r="A37" s="218" t="s">
        <v>605</v>
      </c>
      <c r="B37" s="218">
        <v>2022.0</v>
      </c>
      <c r="C37" s="218" t="s">
        <v>606</v>
      </c>
      <c r="D37" s="218" t="s">
        <v>607</v>
      </c>
      <c r="E37" s="218">
        <v>1.51132022236926E14</v>
      </c>
      <c r="F37" s="218" t="s">
        <v>608</v>
      </c>
      <c r="G37" s="218" t="s">
        <v>609</v>
      </c>
      <c r="H37" s="218">
        <v>1.0</v>
      </c>
      <c r="I37" s="218" t="s">
        <v>648</v>
      </c>
      <c r="J37" s="218">
        <v>1.05E8</v>
      </c>
      <c r="K37" s="218" t="s">
        <v>620</v>
      </c>
      <c r="L37" s="218" t="s">
        <v>116</v>
      </c>
      <c r="M37" s="218" t="s">
        <v>653</v>
      </c>
      <c r="N37" s="218" t="s">
        <v>10</v>
      </c>
      <c r="O37" s="218" t="s">
        <v>129</v>
      </c>
      <c r="Q37" s="218" t="s">
        <v>613</v>
      </c>
      <c r="R37" s="218">
        <v>3.3904013E7</v>
      </c>
      <c r="S37" s="222"/>
      <c r="T37" s="218"/>
      <c r="U37" s="218">
        <v>1.0</v>
      </c>
      <c r="V37" s="218" t="s">
        <v>130</v>
      </c>
      <c r="W37" s="222">
        <v>211610.0</v>
      </c>
      <c r="X37" s="222">
        <v>17634.09</v>
      </c>
      <c r="Y37" s="222">
        <v>17634.09</v>
      </c>
      <c r="Z37" s="222">
        <v>17634.09</v>
      </c>
      <c r="AA37" s="222">
        <v>17634.09</v>
      </c>
      <c r="AB37" s="222">
        <v>17634.09</v>
      </c>
      <c r="AC37" s="222">
        <v>17634.09</v>
      </c>
      <c r="AD37" s="222">
        <v>17634.09</v>
      </c>
      <c r="AE37" s="222">
        <v>17634.09</v>
      </c>
      <c r="AF37" s="222">
        <v>17634.09</v>
      </c>
      <c r="AG37" s="222">
        <v>17634.09</v>
      </c>
      <c r="AH37" s="222">
        <v>17634.09</v>
      </c>
      <c r="AI37" s="222">
        <v>17634.09</v>
      </c>
      <c r="AJ37" s="222">
        <v>211610.0</v>
      </c>
      <c r="AM37" s="218" t="s">
        <v>118</v>
      </c>
      <c r="AN37" s="223">
        <v>15070.0</v>
      </c>
      <c r="AO37" s="194">
        <f t="shared" ref="AO37:AO43" si="3">AJ37</f>
        <v>211610</v>
      </c>
      <c r="AP37" s="223">
        <f>VLOOKUP(AN37,'Base de Dados'!A:A,1,0)</f>
        <v>15070</v>
      </c>
      <c r="AQ37" s="223">
        <f t="shared" si="2"/>
        <v>151132022236926</v>
      </c>
    </row>
    <row r="38">
      <c r="A38" s="218" t="s">
        <v>605</v>
      </c>
      <c r="B38" s="218">
        <v>2022.0</v>
      </c>
      <c r="C38" s="218" t="s">
        <v>606</v>
      </c>
      <c r="D38" s="218" t="s">
        <v>607</v>
      </c>
      <c r="E38" s="218">
        <v>1.51132022236937E14</v>
      </c>
      <c r="F38" s="218" t="s">
        <v>608</v>
      </c>
      <c r="G38" s="218" t="s">
        <v>609</v>
      </c>
      <c r="H38" s="218">
        <v>1.0</v>
      </c>
      <c r="I38" s="218" t="s">
        <v>648</v>
      </c>
      <c r="J38" s="218">
        <v>1.05E8</v>
      </c>
      <c r="K38" s="218" t="s">
        <v>620</v>
      </c>
      <c r="L38" s="218" t="s">
        <v>116</v>
      </c>
      <c r="M38" s="218" t="s">
        <v>654</v>
      </c>
      <c r="N38" s="218" t="s">
        <v>10</v>
      </c>
      <c r="O38" s="218" t="s">
        <v>129</v>
      </c>
      <c r="Q38" s="218" t="s">
        <v>613</v>
      </c>
      <c r="R38" s="218">
        <v>3.3904007E7</v>
      </c>
      <c r="S38" s="222">
        <v>213267.0</v>
      </c>
      <c r="T38" s="218">
        <v>2021.0</v>
      </c>
      <c r="U38" s="218">
        <v>1.0</v>
      </c>
      <c r="V38" s="218" t="s">
        <v>130</v>
      </c>
      <c r="W38" s="222">
        <v>213267.0</v>
      </c>
      <c r="X38" s="222">
        <v>17772.25</v>
      </c>
      <c r="Y38" s="222">
        <v>17772.25</v>
      </c>
      <c r="Z38" s="222">
        <v>17772.25</v>
      </c>
      <c r="AA38" s="222">
        <v>17772.25</v>
      </c>
      <c r="AB38" s="222">
        <v>17772.25</v>
      </c>
      <c r="AC38" s="222">
        <v>17772.25</v>
      </c>
      <c r="AD38" s="222">
        <v>17772.25</v>
      </c>
      <c r="AE38" s="222">
        <v>17772.25</v>
      </c>
      <c r="AF38" s="222">
        <v>17772.25</v>
      </c>
      <c r="AG38" s="222">
        <v>17772.25</v>
      </c>
      <c r="AH38" s="222">
        <v>17772.25</v>
      </c>
      <c r="AI38" s="222">
        <v>17772.25</v>
      </c>
      <c r="AJ38" s="222">
        <v>213267.0</v>
      </c>
      <c r="AM38" s="218" t="s">
        <v>118</v>
      </c>
      <c r="AN38" s="223">
        <v>15151.0</v>
      </c>
      <c r="AO38" s="194">
        <f t="shared" si="3"/>
        <v>213267</v>
      </c>
      <c r="AP38" s="223">
        <f>VLOOKUP(AN38,'Base de Dados'!A:A,1,0)</f>
        <v>15151</v>
      </c>
      <c r="AQ38" s="223">
        <f t="shared" si="2"/>
        <v>151132022236937</v>
      </c>
    </row>
    <row r="39">
      <c r="A39" s="218" t="s">
        <v>605</v>
      </c>
      <c r="B39" s="218">
        <v>2022.0</v>
      </c>
      <c r="C39" s="218" t="s">
        <v>606</v>
      </c>
      <c r="D39" s="218" t="s">
        <v>607</v>
      </c>
      <c r="E39" s="218">
        <v>1.51132022236938E14</v>
      </c>
      <c r="F39" s="218" t="s">
        <v>608</v>
      </c>
      <c r="G39" s="218" t="s">
        <v>609</v>
      </c>
      <c r="H39" s="218">
        <v>1.0</v>
      </c>
      <c r="I39" s="218" t="s">
        <v>648</v>
      </c>
      <c r="J39" s="218">
        <v>1.05E8</v>
      </c>
      <c r="K39" s="218" t="s">
        <v>620</v>
      </c>
      <c r="L39" s="218" t="s">
        <v>116</v>
      </c>
      <c r="M39" s="219" t="s">
        <v>655</v>
      </c>
      <c r="N39" s="218" t="s">
        <v>10</v>
      </c>
      <c r="O39" s="218" t="s">
        <v>129</v>
      </c>
      <c r="Q39" s="218" t="s">
        <v>613</v>
      </c>
      <c r="R39" s="218">
        <v>3.3904007E7</v>
      </c>
      <c r="S39" s="222">
        <v>491523.0</v>
      </c>
      <c r="T39" s="218">
        <v>2021.0</v>
      </c>
      <c r="U39" s="218">
        <v>1.0</v>
      </c>
      <c r="V39" s="218" t="s">
        <v>130</v>
      </c>
      <c r="W39" s="222">
        <v>84000.0</v>
      </c>
      <c r="X39" s="222">
        <v>7000.0</v>
      </c>
      <c r="Y39" s="222">
        <v>7000.0</v>
      </c>
      <c r="Z39" s="222">
        <v>7000.0</v>
      </c>
      <c r="AA39" s="222">
        <v>7000.0</v>
      </c>
      <c r="AB39" s="222">
        <v>7000.0</v>
      </c>
      <c r="AC39" s="222">
        <v>7000.0</v>
      </c>
      <c r="AD39" s="222">
        <v>7000.0</v>
      </c>
      <c r="AE39" s="222">
        <v>7000.0</v>
      </c>
      <c r="AF39" s="222">
        <v>7000.0</v>
      </c>
      <c r="AG39" s="222">
        <v>7000.0</v>
      </c>
      <c r="AH39" s="222">
        <v>7000.0</v>
      </c>
      <c r="AI39" s="222">
        <v>7000.0</v>
      </c>
      <c r="AJ39" s="222">
        <v>84000.0</v>
      </c>
      <c r="AM39" s="218" t="s">
        <v>118</v>
      </c>
      <c r="AN39" s="223">
        <v>15373.0</v>
      </c>
      <c r="AO39" s="194">
        <f t="shared" si="3"/>
        <v>84000</v>
      </c>
      <c r="AP39" s="223">
        <f>VLOOKUP(AN39,'Base de Dados'!A:A,1,0)</f>
        <v>15373</v>
      </c>
      <c r="AQ39" s="223">
        <f t="shared" si="2"/>
        <v>151132022236938</v>
      </c>
    </row>
    <row r="40">
      <c r="A40" s="218" t="s">
        <v>605</v>
      </c>
      <c r="B40" s="218">
        <v>2022.0</v>
      </c>
      <c r="C40" s="218" t="s">
        <v>606</v>
      </c>
      <c r="D40" s="218" t="s">
        <v>607</v>
      </c>
      <c r="E40" s="218">
        <v>1.51132022236918E14</v>
      </c>
      <c r="F40" s="218" t="s">
        <v>608</v>
      </c>
      <c r="G40" s="218" t="s">
        <v>609</v>
      </c>
      <c r="H40" s="218">
        <v>1.0</v>
      </c>
      <c r="I40" s="218" t="s">
        <v>648</v>
      </c>
      <c r="J40" s="218">
        <v>1.05E8</v>
      </c>
      <c r="K40" s="218" t="s">
        <v>620</v>
      </c>
      <c r="L40" s="218" t="s">
        <v>116</v>
      </c>
      <c r="M40" s="218" t="s">
        <v>656</v>
      </c>
      <c r="N40" s="218" t="s">
        <v>10</v>
      </c>
      <c r="O40" s="218" t="s">
        <v>129</v>
      </c>
      <c r="Q40" s="218" t="s">
        <v>613</v>
      </c>
      <c r="R40" s="218">
        <v>3.3904011E7</v>
      </c>
      <c r="S40" s="222"/>
      <c r="T40" s="218"/>
      <c r="U40" s="218">
        <v>1.0</v>
      </c>
      <c r="V40" s="218" t="s">
        <v>130</v>
      </c>
      <c r="W40" s="222">
        <v>56000.0</v>
      </c>
      <c r="X40" s="222">
        <v>4666.67</v>
      </c>
      <c r="Y40" s="222">
        <v>4666.67</v>
      </c>
      <c r="Z40" s="222">
        <v>4666.67</v>
      </c>
      <c r="AA40" s="222">
        <v>4666.67</v>
      </c>
      <c r="AB40" s="222">
        <v>4666.67</v>
      </c>
      <c r="AC40" s="222">
        <v>4666.67</v>
      </c>
      <c r="AD40" s="222">
        <v>4666.67</v>
      </c>
      <c r="AE40" s="222">
        <v>4666.67</v>
      </c>
      <c r="AF40" s="222">
        <v>4666.67</v>
      </c>
      <c r="AG40" s="222">
        <v>4666.67</v>
      </c>
      <c r="AH40" s="222">
        <v>4666.67</v>
      </c>
      <c r="AI40" s="222">
        <v>4666.63</v>
      </c>
      <c r="AJ40" s="222">
        <v>56000.0</v>
      </c>
      <c r="AM40" s="218" t="s">
        <v>118</v>
      </c>
      <c r="AN40" s="223">
        <v>15353.0</v>
      </c>
      <c r="AO40" s="194">
        <f t="shared" si="3"/>
        <v>56000</v>
      </c>
      <c r="AP40" s="223">
        <f>VLOOKUP(AN40,'Base de Dados'!A:A,1,0)</f>
        <v>15353</v>
      </c>
      <c r="AQ40" s="223">
        <f t="shared" si="2"/>
        <v>151132022236918</v>
      </c>
    </row>
    <row r="41">
      <c r="A41" s="218" t="s">
        <v>605</v>
      </c>
      <c r="B41" s="218">
        <v>2022.0</v>
      </c>
      <c r="C41" s="218" t="s">
        <v>606</v>
      </c>
      <c r="D41" s="218" t="s">
        <v>607</v>
      </c>
      <c r="E41" s="218">
        <v>1.51132022236936E14</v>
      </c>
      <c r="F41" s="218" t="s">
        <v>608</v>
      </c>
      <c r="G41" s="218" t="s">
        <v>609</v>
      </c>
      <c r="H41" s="218">
        <v>1.0</v>
      </c>
      <c r="I41" s="218" t="s">
        <v>648</v>
      </c>
      <c r="J41" s="218">
        <v>1.05E8</v>
      </c>
      <c r="K41" s="218" t="s">
        <v>620</v>
      </c>
      <c r="L41" s="218" t="s">
        <v>116</v>
      </c>
      <c r="M41" s="218" t="s">
        <v>657</v>
      </c>
      <c r="N41" s="218" t="s">
        <v>10</v>
      </c>
      <c r="O41" s="218" t="s">
        <v>129</v>
      </c>
      <c r="Q41" s="218" t="s">
        <v>613</v>
      </c>
      <c r="R41" s="218">
        <v>3.3904007E7</v>
      </c>
      <c r="S41" s="222"/>
      <c r="T41" s="218"/>
      <c r="U41" s="218">
        <v>1.0</v>
      </c>
      <c r="V41" s="218" t="s">
        <v>130</v>
      </c>
      <c r="W41" s="222">
        <v>300000.0</v>
      </c>
      <c r="X41" s="222">
        <v>25000.0</v>
      </c>
      <c r="Y41" s="222">
        <v>25000.0</v>
      </c>
      <c r="Z41" s="222">
        <v>25000.0</v>
      </c>
      <c r="AA41" s="222">
        <v>25000.0</v>
      </c>
      <c r="AB41" s="222">
        <v>25000.0</v>
      </c>
      <c r="AC41" s="222">
        <v>25000.0</v>
      </c>
      <c r="AD41" s="222">
        <v>25000.0</v>
      </c>
      <c r="AE41" s="222">
        <v>25000.0</v>
      </c>
      <c r="AF41" s="222">
        <v>25000.0</v>
      </c>
      <c r="AG41" s="222">
        <v>25000.0</v>
      </c>
      <c r="AH41" s="222">
        <v>25000.0</v>
      </c>
      <c r="AI41" s="222">
        <v>25000.0</v>
      </c>
      <c r="AJ41" s="222">
        <v>300000.0</v>
      </c>
      <c r="AM41" s="218" t="s">
        <v>118</v>
      </c>
      <c r="AN41" s="223">
        <v>15355.0</v>
      </c>
      <c r="AO41" s="194">
        <f t="shared" si="3"/>
        <v>300000</v>
      </c>
      <c r="AP41" s="223">
        <f>VLOOKUP(AN41,'Base de Dados'!A:A,1,0)</f>
        <v>15355</v>
      </c>
      <c r="AQ41" s="223">
        <f t="shared" si="2"/>
        <v>151132022236936</v>
      </c>
    </row>
    <row r="42">
      <c r="A42" s="218" t="s">
        <v>605</v>
      </c>
      <c r="B42" s="218">
        <v>2022.0</v>
      </c>
      <c r="C42" s="218" t="s">
        <v>606</v>
      </c>
      <c r="D42" s="218" t="s">
        <v>607</v>
      </c>
      <c r="E42" s="218">
        <v>1.51132022236934E14</v>
      </c>
      <c r="F42" s="218" t="s">
        <v>608</v>
      </c>
      <c r="G42" s="218" t="s">
        <v>609</v>
      </c>
      <c r="H42" s="218">
        <v>1.0</v>
      </c>
      <c r="I42" s="218" t="s">
        <v>648</v>
      </c>
      <c r="J42" s="218">
        <v>1.05E8</v>
      </c>
      <c r="K42" s="218" t="s">
        <v>620</v>
      </c>
      <c r="L42" s="218" t="s">
        <v>116</v>
      </c>
      <c r="M42" s="218" t="s">
        <v>658</v>
      </c>
      <c r="N42" s="218" t="s">
        <v>10</v>
      </c>
      <c r="O42" s="218" t="s">
        <v>129</v>
      </c>
      <c r="Q42" s="218" t="s">
        <v>613</v>
      </c>
      <c r="R42" s="218">
        <v>3.3904006E7</v>
      </c>
      <c r="S42" s="222">
        <v>62058.96</v>
      </c>
      <c r="T42" s="218">
        <v>2021.0</v>
      </c>
      <c r="U42" s="218">
        <v>1.0</v>
      </c>
      <c r="V42" s="218" t="s">
        <v>130</v>
      </c>
      <c r="W42" s="222">
        <v>126213.0</v>
      </c>
      <c r="X42" s="222">
        <v>10517.73</v>
      </c>
      <c r="Y42" s="222">
        <v>10517.73</v>
      </c>
      <c r="Z42" s="222">
        <v>10517.73</v>
      </c>
      <c r="AA42" s="222">
        <v>10517.73</v>
      </c>
      <c r="AB42" s="222">
        <v>10517.73</v>
      </c>
      <c r="AC42" s="222">
        <v>10517.73</v>
      </c>
      <c r="AD42" s="222">
        <v>10517.73</v>
      </c>
      <c r="AE42" s="222">
        <v>10517.73</v>
      </c>
      <c r="AF42" s="222">
        <v>10517.73</v>
      </c>
      <c r="AG42" s="222">
        <v>10517.73</v>
      </c>
      <c r="AH42" s="222">
        <v>10517.73</v>
      </c>
      <c r="AI42" s="222">
        <v>10517.73</v>
      </c>
      <c r="AJ42" s="222">
        <v>126213.0</v>
      </c>
      <c r="AM42" s="218" t="s">
        <v>118</v>
      </c>
      <c r="AN42" s="223">
        <v>15356.0</v>
      </c>
      <c r="AO42" s="194">
        <f t="shared" si="3"/>
        <v>126213</v>
      </c>
      <c r="AP42" s="223">
        <f>VLOOKUP(AN42,'Base de Dados'!A:A,1,0)</f>
        <v>15356</v>
      </c>
      <c r="AQ42" s="223">
        <f t="shared" si="2"/>
        <v>151132022236934</v>
      </c>
    </row>
    <row r="43">
      <c r="A43" s="218" t="s">
        <v>605</v>
      </c>
      <c r="B43" s="218">
        <v>2022.0</v>
      </c>
      <c r="C43" s="218" t="s">
        <v>606</v>
      </c>
      <c r="D43" s="218" t="s">
        <v>607</v>
      </c>
      <c r="E43" s="218">
        <v>1.51132022236921E14</v>
      </c>
      <c r="F43" s="218" t="s">
        <v>608</v>
      </c>
      <c r="G43" s="218" t="s">
        <v>609</v>
      </c>
      <c r="H43" s="218">
        <v>1.0</v>
      </c>
      <c r="I43" s="218" t="s">
        <v>648</v>
      </c>
      <c r="J43" s="218">
        <v>1.05E8</v>
      </c>
      <c r="K43" s="218" t="s">
        <v>620</v>
      </c>
      <c r="L43" s="218" t="s">
        <v>116</v>
      </c>
      <c r="M43" s="218" t="s">
        <v>659</v>
      </c>
      <c r="N43" s="218" t="s">
        <v>10</v>
      </c>
      <c r="O43" s="218" t="s">
        <v>129</v>
      </c>
      <c r="Q43" s="218" t="s">
        <v>613</v>
      </c>
      <c r="R43" s="218">
        <v>3.3904011E7</v>
      </c>
      <c r="S43" s="222">
        <v>335379.96</v>
      </c>
      <c r="T43" s="218">
        <v>2021.0</v>
      </c>
      <c r="U43" s="218">
        <v>1.0</v>
      </c>
      <c r="V43" s="218" t="s">
        <v>130</v>
      </c>
      <c r="W43" s="222">
        <v>337760.0</v>
      </c>
      <c r="X43" s="222">
        <v>28146.67</v>
      </c>
      <c r="Y43" s="222">
        <v>28146.67</v>
      </c>
      <c r="Z43" s="222">
        <v>28146.67</v>
      </c>
      <c r="AA43" s="222">
        <v>28146.67</v>
      </c>
      <c r="AB43" s="222">
        <v>28146.67</v>
      </c>
      <c r="AC43" s="222">
        <v>28146.67</v>
      </c>
      <c r="AD43" s="222">
        <v>28146.67</v>
      </c>
      <c r="AE43" s="222">
        <v>28146.67</v>
      </c>
      <c r="AF43" s="222">
        <v>28146.67</v>
      </c>
      <c r="AG43" s="222">
        <v>28146.67</v>
      </c>
      <c r="AH43" s="222">
        <v>28146.67</v>
      </c>
      <c r="AI43" s="222">
        <v>28146.63</v>
      </c>
      <c r="AJ43" s="222">
        <v>337760.0</v>
      </c>
      <c r="AM43" s="218" t="s">
        <v>118</v>
      </c>
      <c r="AN43" s="223">
        <v>15364.0</v>
      </c>
      <c r="AO43" s="194">
        <f t="shared" si="3"/>
        <v>337760</v>
      </c>
      <c r="AP43" s="223">
        <f>VLOOKUP(AN43,'Base de Dados'!A:A,1,0)</f>
        <v>15364</v>
      </c>
      <c r="AQ43" s="223">
        <f t="shared" si="2"/>
        <v>151132022236921</v>
      </c>
    </row>
    <row r="44">
      <c r="A44" s="229" t="s">
        <v>605</v>
      </c>
      <c r="B44" s="229">
        <v>2022.0</v>
      </c>
      <c r="C44" s="229" t="s">
        <v>606</v>
      </c>
      <c r="D44" s="229" t="s">
        <v>607</v>
      </c>
      <c r="E44" s="229">
        <v>1.51132022236921E14</v>
      </c>
      <c r="F44" s="229" t="s">
        <v>608</v>
      </c>
      <c r="G44" s="229" t="s">
        <v>609</v>
      </c>
      <c r="H44" s="229">
        <v>1.0</v>
      </c>
      <c r="I44" s="229" t="s">
        <v>648</v>
      </c>
      <c r="J44" s="229">
        <v>1.05E8</v>
      </c>
      <c r="K44" s="229" t="s">
        <v>620</v>
      </c>
      <c r="L44" s="229" t="s">
        <v>116</v>
      </c>
      <c r="M44" s="229" t="s">
        <v>660</v>
      </c>
      <c r="N44" s="229" t="s">
        <v>10</v>
      </c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7">
        <v>15384.0</v>
      </c>
      <c r="AO44" s="228"/>
      <c r="AP44" s="227">
        <f>VLOOKUP(AN44,'Base de Dados'!A:A,1,0)</f>
        <v>15384</v>
      </c>
      <c r="AQ44" s="227">
        <f t="shared" si="2"/>
        <v>151132022236921</v>
      </c>
    </row>
  </sheetData>
  <autoFilter ref="$A$1:$AP$44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18" t="s">
        <v>12771</v>
      </c>
      <c r="B1" s="218" t="s">
        <v>12772</v>
      </c>
    </row>
    <row r="2">
      <c r="A2" s="460" t="s">
        <v>12773</v>
      </c>
    </row>
    <row r="3">
      <c r="B3" s="460" t="s">
        <v>12774</v>
      </c>
    </row>
    <row r="4">
      <c r="A4" s="453" t="s">
        <v>12775</v>
      </c>
      <c r="B4" s="453" t="s">
        <v>12775</v>
      </c>
    </row>
    <row r="5">
      <c r="A5" s="453" t="s">
        <v>12776</v>
      </c>
      <c r="B5" s="453" t="s">
        <v>12776</v>
      </c>
    </row>
    <row r="6">
      <c r="B6" s="460" t="s">
        <v>12777</v>
      </c>
    </row>
    <row r="7">
      <c r="A7" s="453" t="s">
        <v>12778</v>
      </c>
      <c r="B7" s="453" t="s">
        <v>12778</v>
      </c>
    </row>
    <row r="8">
      <c r="A8" s="453" t="s">
        <v>12779</v>
      </c>
      <c r="B8" s="453" t="s">
        <v>12779</v>
      </c>
    </row>
    <row r="9">
      <c r="A9" s="453" t="s">
        <v>12780</v>
      </c>
      <c r="B9" s="453" t="s">
        <v>12780</v>
      </c>
    </row>
    <row r="10">
      <c r="A10" s="453" t="s">
        <v>12781</v>
      </c>
      <c r="B10" s="453" t="s">
        <v>12781</v>
      </c>
    </row>
    <row r="11">
      <c r="A11" s="453" t="s">
        <v>12782</v>
      </c>
      <c r="B11" s="453" t="s">
        <v>12782</v>
      </c>
    </row>
    <row r="12">
      <c r="A12" s="453" t="s">
        <v>12783</v>
      </c>
      <c r="B12" s="453" t="s">
        <v>12783</v>
      </c>
    </row>
    <row r="13">
      <c r="A13" s="453" t="s">
        <v>12784</v>
      </c>
      <c r="B13" s="453" t="s">
        <v>12784</v>
      </c>
    </row>
    <row r="14">
      <c r="A14" s="453" t="s">
        <v>12785</v>
      </c>
      <c r="B14" s="453" t="s">
        <v>12785</v>
      </c>
    </row>
    <row r="15">
      <c r="A15" s="453" t="s">
        <v>12786</v>
      </c>
      <c r="B15" s="453" t="s">
        <v>12786</v>
      </c>
    </row>
    <row r="16">
      <c r="A16" s="453" t="s">
        <v>12787</v>
      </c>
      <c r="B16" s="453" t="s">
        <v>12787</v>
      </c>
    </row>
    <row r="17">
      <c r="A17" s="453" t="s">
        <v>12788</v>
      </c>
      <c r="B17" s="453" t="s">
        <v>12788</v>
      </c>
    </row>
    <row r="18">
      <c r="A18" s="453" t="s">
        <v>12789</v>
      </c>
      <c r="B18" s="453" t="s">
        <v>12789</v>
      </c>
    </row>
    <row r="19">
      <c r="A19" s="453" t="s">
        <v>12790</v>
      </c>
      <c r="B19" s="453" t="s">
        <v>12790</v>
      </c>
    </row>
    <row r="20">
      <c r="A20" s="453" t="s">
        <v>12791</v>
      </c>
      <c r="B20" s="453" t="s">
        <v>12791</v>
      </c>
    </row>
    <row r="21">
      <c r="A21" s="453" t="s">
        <v>12792</v>
      </c>
      <c r="B21" s="453" t="s">
        <v>12792</v>
      </c>
    </row>
    <row r="22">
      <c r="A22" s="453" t="s">
        <v>12793</v>
      </c>
      <c r="B22" s="453" t="s">
        <v>12793</v>
      </c>
    </row>
    <row r="23">
      <c r="A23" s="453" t="s">
        <v>12794</v>
      </c>
      <c r="B23" s="453" t="s">
        <v>12794</v>
      </c>
    </row>
    <row r="24">
      <c r="A24" s="453" t="s">
        <v>12795</v>
      </c>
      <c r="B24" s="453" t="s">
        <v>12795</v>
      </c>
    </row>
    <row r="25">
      <c r="A25" s="453" t="s">
        <v>12796</v>
      </c>
      <c r="B25" s="453" t="s">
        <v>12796</v>
      </c>
    </row>
    <row r="26">
      <c r="A26" s="453" t="s">
        <v>12797</v>
      </c>
    </row>
    <row r="27">
      <c r="A27" s="453" t="s">
        <v>12798</v>
      </c>
    </row>
  </sheetData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7.5"/>
    <col hidden="1" min="12" max="26" width="12.63"/>
  </cols>
  <sheetData>
    <row r="1">
      <c r="B1" s="329"/>
    </row>
    <row r="2">
      <c r="B2" s="329"/>
    </row>
    <row r="3">
      <c r="A3" s="461" t="s">
        <v>0</v>
      </c>
      <c r="B3" s="461" t="s">
        <v>2</v>
      </c>
      <c r="C3" s="461" t="s">
        <v>7</v>
      </c>
      <c r="D3" s="461" t="s">
        <v>8</v>
      </c>
      <c r="E3" s="461" t="s">
        <v>10</v>
      </c>
      <c r="F3" s="461" t="s">
        <v>22</v>
      </c>
      <c r="G3" s="461" t="s">
        <v>23</v>
      </c>
      <c r="H3" s="461" t="s">
        <v>24</v>
      </c>
      <c r="I3" s="461" t="s">
        <v>12799</v>
      </c>
      <c r="J3" s="461" t="s">
        <v>30</v>
      </c>
      <c r="K3" s="461" t="s">
        <v>45</v>
      </c>
    </row>
    <row r="4">
      <c r="A4" s="398">
        <v>15055.0</v>
      </c>
      <c r="B4" s="462" t="s">
        <v>12800</v>
      </c>
      <c r="C4" s="398" t="s">
        <v>115</v>
      </c>
      <c r="D4" s="463" t="s">
        <v>116</v>
      </c>
      <c r="E4" s="463" t="s">
        <v>117</v>
      </c>
      <c r="F4" s="398" t="s">
        <v>12801</v>
      </c>
      <c r="G4" s="463" t="s">
        <v>173</v>
      </c>
      <c r="H4" s="398" t="s">
        <v>12801</v>
      </c>
      <c r="I4" s="398" t="s">
        <v>12801</v>
      </c>
      <c r="J4" s="398" t="s">
        <v>12801</v>
      </c>
      <c r="K4" s="464">
        <v>4494.98</v>
      </c>
      <c r="L4">
        <f t="array" ref="L4:L1000">VLOOKUP(A4:A1000,'Base de Dados'!A:A,1,0)</f>
        <v>15055</v>
      </c>
    </row>
    <row r="5">
      <c r="A5" s="398">
        <v>15056.0</v>
      </c>
      <c r="B5" s="462" t="s">
        <v>183</v>
      </c>
      <c r="C5" s="398" t="s">
        <v>115</v>
      </c>
      <c r="D5" s="463" t="s">
        <v>116</v>
      </c>
      <c r="E5" s="463" t="s">
        <v>117</v>
      </c>
      <c r="F5" s="398" t="s">
        <v>184</v>
      </c>
      <c r="G5" s="463" t="s">
        <v>173</v>
      </c>
      <c r="H5" s="398" t="s">
        <v>195</v>
      </c>
      <c r="I5" s="465">
        <v>44585.0</v>
      </c>
      <c r="J5" s="465">
        <v>44659.0</v>
      </c>
      <c r="K5" s="464">
        <v>448387.98</v>
      </c>
      <c r="L5">
        <v>15056.0</v>
      </c>
    </row>
    <row r="6">
      <c r="A6" s="398">
        <v>15057.0</v>
      </c>
      <c r="B6" s="462" t="s">
        <v>12802</v>
      </c>
      <c r="C6" s="398" t="s">
        <v>115</v>
      </c>
      <c r="D6" s="463" t="s">
        <v>116</v>
      </c>
      <c r="E6" s="463" t="s">
        <v>117</v>
      </c>
      <c r="F6" s="398" t="s">
        <v>198</v>
      </c>
      <c r="G6" s="463" t="s">
        <v>173</v>
      </c>
      <c r="H6" s="398" t="s">
        <v>138</v>
      </c>
      <c r="I6" s="465">
        <v>44799.0</v>
      </c>
      <c r="J6" s="466">
        <v>44859.0</v>
      </c>
      <c r="K6" s="464">
        <v>12223.0</v>
      </c>
      <c r="L6">
        <v>15057.0</v>
      </c>
    </row>
    <row r="7">
      <c r="A7" s="398">
        <v>15059.0</v>
      </c>
      <c r="B7" s="462" t="s">
        <v>12803</v>
      </c>
      <c r="C7" s="398" t="s">
        <v>115</v>
      </c>
      <c r="D7" s="463" t="s">
        <v>116</v>
      </c>
      <c r="E7" s="463" t="s">
        <v>117</v>
      </c>
      <c r="F7" s="398" t="s">
        <v>440</v>
      </c>
      <c r="G7" s="463" t="s">
        <v>173</v>
      </c>
      <c r="H7" s="398" t="s">
        <v>125</v>
      </c>
      <c r="I7" s="465">
        <v>44715.0</v>
      </c>
      <c r="J7" s="466">
        <v>44844.0</v>
      </c>
      <c r="K7" s="464">
        <v>337760.0</v>
      </c>
      <c r="L7" t="e">
        <v>#N/A</v>
      </c>
    </row>
    <row r="8">
      <c r="A8" s="398">
        <v>15070.0</v>
      </c>
      <c r="B8" s="462" t="s">
        <v>228</v>
      </c>
      <c r="C8" s="398" t="s">
        <v>115</v>
      </c>
      <c r="D8" s="463" t="s">
        <v>116</v>
      </c>
      <c r="E8" s="463" t="s">
        <v>117</v>
      </c>
      <c r="F8" s="463" t="s">
        <v>229</v>
      </c>
      <c r="G8" s="463" t="s">
        <v>173</v>
      </c>
      <c r="H8" s="463" t="s">
        <v>138</v>
      </c>
      <c r="I8" s="467">
        <v>44776.0</v>
      </c>
      <c r="J8" s="467">
        <v>44836.0</v>
      </c>
      <c r="K8" s="468">
        <v>155809.08</v>
      </c>
      <c r="L8">
        <v>15070.0</v>
      </c>
    </row>
    <row r="9">
      <c r="A9" s="469">
        <v>15072.0</v>
      </c>
      <c r="B9" s="470" t="s">
        <v>12804</v>
      </c>
      <c r="C9" s="463" t="s">
        <v>115</v>
      </c>
      <c r="D9" s="463" t="s">
        <v>116</v>
      </c>
      <c r="E9" s="463" t="s">
        <v>117</v>
      </c>
      <c r="F9" s="463" t="s">
        <v>234</v>
      </c>
      <c r="G9" s="463" t="s">
        <v>173</v>
      </c>
      <c r="H9" s="463" t="s">
        <v>162</v>
      </c>
      <c r="I9" s="467">
        <v>44783.0</v>
      </c>
      <c r="J9" s="467">
        <v>44907.0</v>
      </c>
      <c r="K9" s="468">
        <v>400000.0</v>
      </c>
      <c r="L9">
        <v>15072.0</v>
      </c>
    </row>
    <row r="10">
      <c r="A10" s="469">
        <v>15151.0</v>
      </c>
      <c r="B10" s="470" t="s">
        <v>259</v>
      </c>
      <c r="C10" s="463" t="s">
        <v>115</v>
      </c>
      <c r="D10" s="463" t="s">
        <v>116</v>
      </c>
      <c r="E10" s="463" t="s">
        <v>117</v>
      </c>
      <c r="F10" s="463" t="s">
        <v>260</v>
      </c>
      <c r="G10" s="463" t="s">
        <v>173</v>
      </c>
      <c r="H10" s="463" t="s">
        <v>138</v>
      </c>
      <c r="I10" s="467">
        <v>44895.0</v>
      </c>
      <c r="J10" s="467">
        <v>44956.0</v>
      </c>
      <c r="K10" s="468">
        <v>213267.0</v>
      </c>
      <c r="L10">
        <v>15151.0</v>
      </c>
    </row>
    <row r="11">
      <c r="A11" s="469">
        <v>15226.0</v>
      </c>
      <c r="B11" s="470" t="s">
        <v>563</v>
      </c>
      <c r="C11" s="463" t="s">
        <v>115</v>
      </c>
      <c r="D11" s="463" t="s">
        <v>116</v>
      </c>
      <c r="E11" s="463" t="s">
        <v>117</v>
      </c>
      <c r="F11" s="463" t="s">
        <v>12805</v>
      </c>
      <c r="G11" s="463" t="s">
        <v>173</v>
      </c>
      <c r="H11" s="463" t="s">
        <v>138</v>
      </c>
      <c r="I11" s="467">
        <v>44714.0</v>
      </c>
      <c r="J11" s="467">
        <v>44774.0</v>
      </c>
      <c r="K11" s="468">
        <v>179640.0</v>
      </c>
      <c r="L11" t="e">
        <v>#N/A</v>
      </c>
    </row>
    <row r="12">
      <c r="A12" s="469">
        <v>15259.0</v>
      </c>
      <c r="B12" s="470" t="s">
        <v>12806</v>
      </c>
      <c r="C12" s="463" t="s">
        <v>115</v>
      </c>
      <c r="D12" s="463" t="s">
        <v>116</v>
      </c>
      <c r="E12" s="463" t="s">
        <v>117</v>
      </c>
      <c r="F12" s="463" t="s">
        <v>306</v>
      </c>
      <c r="G12" s="463" t="s">
        <v>173</v>
      </c>
      <c r="H12" s="463" t="s">
        <v>138</v>
      </c>
      <c r="I12" s="467">
        <v>44665.0</v>
      </c>
      <c r="J12" s="467">
        <v>44725.0</v>
      </c>
      <c r="K12" s="468">
        <v>12968.0</v>
      </c>
      <c r="L12">
        <v>15259.0</v>
      </c>
    </row>
    <row r="13">
      <c r="A13" s="469">
        <v>15308.0</v>
      </c>
      <c r="B13" s="470" t="s">
        <v>12807</v>
      </c>
      <c r="C13" s="463" t="s">
        <v>115</v>
      </c>
      <c r="D13" s="463" t="s">
        <v>343</v>
      </c>
      <c r="E13" s="463" t="s">
        <v>117</v>
      </c>
      <c r="F13" s="463" t="s">
        <v>334</v>
      </c>
      <c r="G13" s="463" t="s">
        <v>173</v>
      </c>
      <c r="H13" s="463" t="s">
        <v>138</v>
      </c>
      <c r="I13" s="467">
        <v>44775.0</v>
      </c>
      <c r="J13" s="467">
        <v>44835.0</v>
      </c>
      <c r="K13" s="468">
        <v>66000.0</v>
      </c>
      <c r="L13">
        <v>15308.0</v>
      </c>
    </row>
    <row r="14">
      <c r="A14" s="469">
        <v>15347.0</v>
      </c>
      <c r="B14" s="470" t="s">
        <v>12808</v>
      </c>
      <c r="C14" s="463" t="s">
        <v>115</v>
      </c>
      <c r="D14" s="463" t="s">
        <v>343</v>
      </c>
      <c r="E14" s="463" t="s">
        <v>117</v>
      </c>
      <c r="F14" s="471"/>
      <c r="G14" s="463" t="s">
        <v>173</v>
      </c>
      <c r="H14" s="463" t="s">
        <v>125</v>
      </c>
      <c r="I14" s="467">
        <v>44265.0</v>
      </c>
      <c r="J14" s="467">
        <v>44377.0</v>
      </c>
      <c r="K14" s="468">
        <v>258600.0</v>
      </c>
      <c r="L14">
        <v>15347.0</v>
      </c>
    </row>
    <row r="15">
      <c r="A15" s="472" t="s">
        <v>12809</v>
      </c>
      <c r="B15" s="473" t="s">
        <v>12810</v>
      </c>
      <c r="C15" s="474" t="s">
        <v>115</v>
      </c>
      <c r="D15" s="474" t="s">
        <v>116</v>
      </c>
      <c r="E15" s="474" t="s">
        <v>117</v>
      </c>
      <c r="F15" s="474" t="s">
        <v>390</v>
      </c>
      <c r="G15" s="474" t="s">
        <v>173</v>
      </c>
      <c r="H15" s="474" t="s">
        <v>138</v>
      </c>
      <c r="I15" s="475">
        <v>44576.0</v>
      </c>
      <c r="J15" s="475">
        <v>44621.0</v>
      </c>
      <c r="K15" s="476">
        <v>56000.0</v>
      </c>
      <c r="L15" s="477" t="e">
        <v>#N/A</v>
      </c>
      <c r="M15" s="477"/>
      <c r="N15" s="477"/>
      <c r="O15" s="477"/>
      <c r="P15" s="477"/>
      <c r="Q15" s="477"/>
      <c r="R15" s="477"/>
      <c r="S15" s="477"/>
      <c r="T15" s="477"/>
      <c r="U15" s="477"/>
      <c r="V15" s="477"/>
      <c r="W15" s="477"/>
      <c r="X15" s="477"/>
      <c r="Y15" s="477"/>
      <c r="Z15" s="477"/>
    </row>
    <row r="16">
      <c r="A16" s="469">
        <v>15308.0</v>
      </c>
      <c r="B16" s="470" t="s">
        <v>12807</v>
      </c>
      <c r="C16" s="463" t="s">
        <v>115</v>
      </c>
      <c r="D16" s="463" t="s">
        <v>343</v>
      </c>
      <c r="E16" s="463" t="s">
        <v>117</v>
      </c>
      <c r="F16" s="463" t="s">
        <v>334</v>
      </c>
      <c r="G16" s="463" t="s">
        <v>173</v>
      </c>
      <c r="H16" s="463" t="s">
        <v>138</v>
      </c>
      <c r="I16" s="467">
        <v>44775.0</v>
      </c>
      <c r="J16" s="467">
        <v>44835.0</v>
      </c>
      <c r="K16" s="468">
        <v>66000.0</v>
      </c>
      <c r="L16">
        <v>15308.0</v>
      </c>
    </row>
    <row r="17">
      <c r="A17" s="469">
        <v>15347.0</v>
      </c>
      <c r="B17" s="470" t="s">
        <v>12808</v>
      </c>
      <c r="C17" s="463" t="s">
        <v>115</v>
      </c>
      <c r="D17" s="463" t="s">
        <v>343</v>
      </c>
      <c r="E17" s="463" t="s">
        <v>117</v>
      </c>
      <c r="F17" s="471"/>
      <c r="G17" s="463" t="s">
        <v>173</v>
      </c>
      <c r="H17" s="463" t="s">
        <v>125</v>
      </c>
      <c r="I17" s="467">
        <v>44265.0</v>
      </c>
      <c r="J17" s="467">
        <v>44377.0</v>
      </c>
      <c r="K17" s="468">
        <v>258600.0</v>
      </c>
      <c r="L17">
        <v>15347.0</v>
      </c>
    </row>
    <row r="18">
      <c r="A18" s="472">
        <v>15353.0</v>
      </c>
      <c r="B18" s="473" t="s">
        <v>12811</v>
      </c>
      <c r="C18" s="474" t="s">
        <v>115</v>
      </c>
      <c r="D18" s="474" t="s">
        <v>116</v>
      </c>
      <c r="E18" s="474" t="s">
        <v>117</v>
      </c>
      <c r="F18" s="474" t="s">
        <v>390</v>
      </c>
      <c r="G18" s="474" t="s">
        <v>173</v>
      </c>
      <c r="H18" s="474" t="s">
        <v>138</v>
      </c>
      <c r="I18" s="475">
        <v>44591.0</v>
      </c>
      <c r="J18" s="475">
        <v>44651.0</v>
      </c>
      <c r="K18" s="476">
        <v>51383.37</v>
      </c>
      <c r="L18" s="477">
        <v>15353.0</v>
      </c>
      <c r="M18" s="477"/>
      <c r="N18" s="477"/>
      <c r="O18" s="477"/>
      <c r="P18" s="477"/>
      <c r="Q18" s="477"/>
      <c r="R18" s="477"/>
      <c r="S18" s="477"/>
      <c r="T18" s="477"/>
      <c r="U18" s="477"/>
      <c r="V18" s="477"/>
      <c r="W18" s="477"/>
      <c r="X18" s="477"/>
      <c r="Y18" s="477"/>
      <c r="Z18" s="477"/>
    </row>
    <row r="19">
      <c r="A19" s="469">
        <v>15355.0</v>
      </c>
      <c r="B19" s="470" t="s">
        <v>12812</v>
      </c>
      <c r="C19" s="463" t="s">
        <v>115</v>
      </c>
      <c r="D19" s="463" t="s">
        <v>116</v>
      </c>
      <c r="E19" s="463" t="s">
        <v>117</v>
      </c>
      <c r="F19" s="471"/>
      <c r="G19" s="463" t="s">
        <v>173</v>
      </c>
      <c r="H19" s="463" t="s">
        <v>138</v>
      </c>
      <c r="I19" s="467">
        <v>44814.0</v>
      </c>
      <c r="J19" s="467">
        <v>44874.0</v>
      </c>
      <c r="K19" s="468">
        <v>300000.0</v>
      </c>
      <c r="L19">
        <v>15355.0</v>
      </c>
    </row>
    <row r="20">
      <c r="A20" s="469">
        <v>15356.0</v>
      </c>
      <c r="B20" s="470" t="s">
        <v>12813</v>
      </c>
      <c r="C20" s="463" t="s">
        <v>115</v>
      </c>
      <c r="D20" s="463" t="s">
        <v>116</v>
      </c>
      <c r="E20" s="463" t="s">
        <v>117</v>
      </c>
      <c r="F20" s="471"/>
      <c r="G20" s="463" t="s">
        <v>173</v>
      </c>
      <c r="H20" s="463" t="s">
        <v>138</v>
      </c>
      <c r="I20" s="467">
        <v>44601.0</v>
      </c>
      <c r="J20" s="467">
        <v>44661.0</v>
      </c>
      <c r="K20" s="468">
        <v>400000.0</v>
      </c>
      <c r="L20">
        <v>15356.0</v>
      </c>
    </row>
    <row r="21">
      <c r="A21" s="469">
        <v>15254.0</v>
      </c>
      <c r="B21" s="470" t="s">
        <v>12814</v>
      </c>
      <c r="C21" s="463" t="s">
        <v>245</v>
      </c>
      <c r="D21" s="463" t="s">
        <v>116</v>
      </c>
      <c r="E21" s="463" t="s">
        <v>117</v>
      </c>
      <c r="F21" s="471"/>
      <c r="G21" s="463" t="s">
        <v>173</v>
      </c>
      <c r="H21" s="463" t="s">
        <v>195</v>
      </c>
      <c r="I21" s="467">
        <v>44790.0</v>
      </c>
      <c r="J21" s="467">
        <v>44805.0</v>
      </c>
      <c r="K21" s="468">
        <v>7270.0</v>
      </c>
      <c r="L21">
        <v>15254.0</v>
      </c>
    </row>
    <row r="22">
      <c r="B22" s="329"/>
      <c r="L22">
        <v>0.0</v>
      </c>
    </row>
    <row r="23">
      <c r="B23" s="329"/>
      <c r="L23">
        <v>0.0</v>
      </c>
    </row>
    <row r="24">
      <c r="B24" s="329"/>
      <c r="L24">
        <v>0.0</v>
      </c>
    </row>
    <row r="25">
      <c r="B25" s="329"/>
      <c r="L25">
        <v>0.0</v>
      </c>
    </row>
    <row r="26">
      <c r="B26" s="329"/>
      <c r="L26">
        <v>0.0</v>
      </c>
    </row>
    <row r="27">
      <c r="B27" s="329"/>
      <c r="L27">
        <v>0.0</v>
      </c>
    </row>
    <row r="28">
      <c r="B28" s="329"/>
      <c r="L28">
        <v>0.0</v>
      </c>
    </row>
    <row r="29">
      <c r="B29" s="329"/>
      <c r="L29">
        <v>0.0</v>
      </c>
    </row>
    <row r="30">
      <c r="B30" s="329"/>
      <c r="L30">
        <v>0.0</v>
      </c>
    </row>
    <row r="31">
      <c r="B31" s="329"/>
      <c r="L31">
        <v>0.0</v>
      </c>
    </row>
    <row r="32">
      <c r="B32" s="329"/>
      <c r="L32">
        <v>0.0</v>
      </c>
    </row>
    <row r="33">
      <c r="B33" s="329"/>
      <c r="L33">
        <v>0.0</v>
      </c>
    </row>
    <row r="34">
      <c r="B34" s="329"/>
      <c r="L34">
        <v>0.0</v>
      </c>
    </row>
    <row r="35">
      <c r="B35" s="329"/>
      <c r="L35">
        <v>0.0</v>
      </c>
    </row>
    <row r="36">
      <c r="B36" s="329"/>
      <c r="L36">
        <v>0.0</v>
      </c>
    </row>
    <row r="37">
      <c r="B37" s="329"/>
      <c r="L37">
        <v>0.0</v>
      </c>
    </row>
    <row r="38">
      <c r="B38" s="329"/>
      <c r="L38">
        <v>0.0</v>
      </c>
    </row>
    <row r="39">
      <c r="B39" s="329"/>
      <c r="L39">
        <v>0.0</v>
      </c>
    </row>
    <row r="40">
      <c r="B40" s="329"/>
      <c r="L40">
        <v>0.0</v>
      </c>
    </row>
    <row r="41">
      <c r="B41" s="329"/>
      <c r="L41">
        <v>0.0</v>
      </c>
    </row>
    <row r="42">
      <c r="B42" s="329"/>
      <c r="L42">
        <v>0.0</v>
      </c>
    </row>
    <row r="43">
      <c r="B43" s="329"/>
      <c r="L43">
        <v>0.0</v>
      </c>
    </row>
    <row r="44">
      <c r="B44" s="329"/>
      <c r="L44">
        <v>0.0</v>
      </c>
    </row>
    <row r="45">
      <c r="B45" s="329"/>
      <c r="L45">
        <v>0.0</v>
      </c>
    </row>
    <row r="46">
      <c r="B46" s="329"/>
      <c r="L46">
        <v>0.0</v>
      </c>
    </row>
    <row r="47">
      <c r="B47" s="329"/>
      <c r="L47">
        <v>0.0</v>
      </c>
    </row>
    <row r="48">
      <c r="B48" s="329"/>
      <c r="L48">
        <v>0.0</v>
      </c>
    </row>
    <row r="49">
      <c r="B49" s="329"/>
      <c r="L49">
        <v>0.0</v>
      </c>
    </row>
    <row r="50">
      <c r="B50" s="329"/>
      <c r="L50">
        <v>0.0</v>
      </c>
    </row>
    <row r="51">
      <c r="B51" s="329"/>
      <c r="L51">
        <v>0.0</v>
      </c>
    </row>
    <row r="52">
      <c r="B52" s="329"/>
      <c r="L52">
        <v>0.0</v>
      </c>
    </row>
    <row r="53">
      <c r="B53" s="329"/>
      <c r="L53">
        <v>0.0</v>
      </c>
    </row>
    <row r="54">
      <c r="B54" s="329"/>
      <c r="L54">
        <v>0.0</v>
      </c>
    </row>
    <row r="55">
      <c r="B55" s="329"/>
      <c r="L55">
        <v>0.0</v>
      </c>
    </row>
    <row r="56">
      <c r="B56" s="329"/>
      <c r="L56">
        <v>0.0</v>
      </c>
    </row>
    <row r="57">
      <c r="B57" s="329"/>
      <c r="L57">
        <v>0.0</v>
      </c>
    </row>
    <row r="58">
      <c r="B58" s="329"/>
      <c r="L58">
        <v>0.0</v>
      </c>
    </row>
    <row r="59">
      <c r="B59" s="329"/>
      <c r="L59">
        <v>0.0</v>
      </c>
    </row>
    <row r="60">
      <c r="B60" s="329"/>
      <c r="L60">
        <v>0.0</v>
      </c>
    </row>
    <row r="61">
      <c r="B61" s="329"/>
      <c r="L61">
        <v>0.0</v>
      </c>
    </row>
    <row r="62">
      <c r="B62" s="329"/>
      <c r="L62">
        <v>0.0</v>
      </c>
    </row>
    <row r="63">
      <c r="B63" s="329"/>
      <c r="L63">
        <v>0.0</v>
      </c>
    </row>
    <row r="64">
      <c r="B64" s="329"/>
      <c r="L64">
        <v>0.0</v>
      </c>
    </row>
    <row r="65">
      <c r="B65" s="329"/>
      <c r="L65">
        <v>0.0</v>
      </c>
    </row>
    <row r="66">
      <c r="B66" s="329"/>
      <c r="L66">
        <v>0.0</v>
      </c>
    </row>
    <row r="67">
      <c r="B67" s="329"/>
      <c r="L67">
        <v>0.0</v>
      </c>
    </row>
    <row r="68">
      <c r="B68" s="329"/>
      <c r="L68">
        <v>0.0</v>
      </c>
    </row>
    <row r="69">
      <c r="B69" s="329"/>
      <c r="L69">
        <v>0.0</v>
      </c>
    </row>
    <row r="70">
      <c r="B70" s="329"/>
      <c r="L70">
        <v>0.0</v>
      </c>
    </row>
    <row r="71">
      <c r="B71" s="329"/>
      <c r="L71">
        <v>0.0</v>
      </c>
    </row>
    <row r="72">
      <c r="B72" s="329"/>
      <c r="L72">
        <v>0.0</v>
      </c>
    </row>
    <row r="73">
      <c r="B73" s="329"/>
      <c r="L73">
        <v>0.0</v>
      </c>
    </row>
    <row r="74">
      <c r="B74" s="329"/>
      <c r="L74">
        <v>0.0</v>
      </c>
    </row>
    <row r="75">
      <c r="B75" s="329"/>
      <c r="L75">
        <v>0.0</v>
      </c>
    </row>
    <row r="76">
      <c r="B76" s="329"/>
      <c r="L76">
        <v>0.0</v>
      </c>
    </row>
    <row r="77">
      <c r="B77" s="329"/>
      <c r="L77">
        <v>0.0</v>
      </c>
    </row>
    <row r="78">
      <c r="B78" s="329"/>
      <c r="L78">
        <v>0.0</v>
      </c>
    </row>
    <row r="79">
      <c r="B79" s="329"/>
      <c r="L79">
        <v>0.0</v>
      </c>
    </row>
    <row r="80">
      <c r="B80" s="329"/>
      <c r="L80">
        <v>0.0</v>
      </c>
    </row>
    <row r="81">
      <c r="B81" s="329"/>
      <c r="L81">
        <v>0.0</v>
      </c>
    </row>
    <row r="82">
      <c r="B82" s="329"/>
      <c r="L82">
        <v>0.0</v>
      </c>
    </row>
    <row r="83">
      <c r="B83" s="329"/>
      <c r="L83">
        <v>0.0</v>
      </c>
    </row>
    <row r="84">
      <c r="B84" s="329"/>
      <c r="L84">
        <v>0.0</v>
      </c>
    </row>
    <row r="85">
      <c r="B85" s="329"/>
      <c r="L85">
        <v>0.0</v>
      </c>
    </row>
    <row r="86">
      <c r="B86" s="329"/>
      <c r="L86">
        <v>0.0</v>
      </c>
    </row>
    <row r="87">
      <c r="B87" s="329"/>
      <c r="L87">
        <v>0.0</v>
      </c>
    </row>
    <row r="88">
      <c r="B88" s="329"/>
      <c r="L88">
        <v>0.0</v>
      </c>
    </row>
    <row r="89">
      <c r="B89" s="329"/>
      <c r="L89">
        <v>0.0</v>
      </c>
    </row>
    <row r="90">
      <c r="B90" s="329"/>
      <c r="L90">
        <v>0.0</v>
      </c>
    </row>
    <row r="91">
      <c r="B91" s="329"/>
      <c r="L91">
        <v>0.0</v>
      </c>
    </row>
    <row r="92">
      <c r="B92" s="329"/>
      <c r="L92">
        <v>0.0</v>
      </c>
    </row>
    <row r="93">
      <c r="B93" s="329"/>
      <c r="L93">
        <v>0.0</v>
      </c>
    </row>
    <row r="94">
      <c r="B94" s="329"/>
      <c r="L94">
        <v>0.0</v>
      </c>
    </row>
    <row r="95">
      <c r="B95" s="329"/>
      <c r="L95">
        <v>0.0</v>
      </c>
    </row>
    <row r="96">
      <c r="B96" s="329"/>
      <c r="L96">
        <v>0.0</v>
      </c>
    </row>
    <row r="97">
      <c r="B97" s="329"/>
      <c r="L97">
        <v>0.0</v>
      </c>
    </row>
    <row r="98">
      <c r="B98" s="329"/>
      <c r="L98">
        <v>0.0</v>
      </c>
    </row>
    <row r="99">
      <c r="B99" s="329"/>
      <c r="L99">
        <v>0.0</v>
      </c>
    </row>
    <row r="100">
      <c r="B100" s="329"/>
      <c r="L100">
        <v>0.0</v>
      </c>
    </row>
    <row r="101">
      <c r="B101" s="329"/>
      <c r="L101">
        <v>0.0</v>
      </c>
    </row>
    <row r="102">
      <c r="B102" s="329"/>
      <c r="L102">
        <v>0.0</v>
      </c>
    </row>
    <row r="103">
      <c r="B103" s="329"/>
      <c r="L103">
        <v>0.0</v>
      </c>
    </row>
    <row r="104">
      <c r="B104" s="329"/>
      <c r="L104">
        <v>0.0</v>
      </c>
    </row>
    <row r="105">
      <c r="B105" s="329"/>
      <c r="L105">
        <v>0.0</v>
      </c>
    </row>
    <row r="106">
      <c r="B106" s="329"/>
      <c r="L106">
        <v>0.0</v>
      </c>
    </row>
    <row r="107">
      <c r="B107" s="329"/>
      <c r="L107">
        <v>0.0</v>
      </c>
    </row>
    <row r="108">
      <c r="B108" s="329"/>
      <c r="L108">
        <v>0.0</v>
      </c>
    </row>
    <row r="109">
      <c r="B109" s="329"/>
      <c r="L109">
        <v>0.0</v>
      </c>
    </row>
    <row r="110">
      <c r="B110" s="329"/>
      <c r="L110">
        <v>0.0</v>
      </c>
    </row>
    <row r="111">
      <c r="B111" s="329"/>
      <c r="L111">
        <v>0.0</v>
      </c>
    </row>
    <row r="112">
      <c r="B112" s="329"/>
      <c r="L112">
        <v>0.0</v>
      </c>
    </row>
    <row r="113">
      <c r="B113" s="329"/>
      <c r="L113">
        <v>0.0</v>
      </c>
    </row>
    <row r="114">
      <c r="B114" s="329"/>
      <c r="L114">
        <v>0.0</v>
      </c>
    </row>
    <row r="115">
      <c r="B115" s="329"/>
      <c r="L115">
        <v>0.0</v>
      </c>
    </row>
    <row r="116">
      <c r="B116" s="329"/>
      <c r="L116">
        <v>0.0</v>
      </c>
    </row>
    <row r="117">
      <c r="B117" s="329"/>
      <c r="L117">
        <v>0.0</v>
      </c>
    </row>
    <row r="118">
      <c r="B118" s="329"/>
      <c r="L118">
        <v>0.0</v>
      </c>
    </row>
    <row r="119">
      <c r="B119" s="329"/>
      <c r="L119">
        <v>0.0</v>
      </c>
    </row>
    <row r="120">
      <c r="B120" s="329"/>
      <c r="L120">
        <v>0.0</v>
      </c>
    </row>
    <row r="121">
      <c r="B121" s="329"/>
      <c r="L121">
        <v>0.0</v>
      </c>
    </row>
    <row r="122">
      <c r="B122" s="329"/>
      <c r="L122">
        <v>0.0</v>
      </c>
    </row>
    <row r="123">
      <c r="B123" s="329"/>
      <c r="L123">
        <v>0.0</v>
      </c>
    </row>
    <row r="124">
      <c r="B124" s="329"/>
      <c r="L124">
        <v>0.0</v>
      </c>
    </row>
    <row r="125">
      <c r="B125" s="329"/>
      <c r="L125">
        <v>0.0</v>
      </c>
    </row>
    <row r="126">
      <c r="B126" s="329"/>
      <c r="L126">
        <v>0.0</v>
      </c>
    </row>
    <row r="127">
      <c r="B127" s="329"/>
      <c r="L127">
        <v>0.0</v>
      </c>
    </row>
    <row r="128">
      <c r="B128" s="329"/>
      <c r="L128">
        <v>0.0</v>
      </c>
    </row>
    <row r="129">
      <c r="B129" s="329"/>
      <c r="L129">
        <v>0.0</v>
      </c>
    </row>
    <row r="130">
      <c r="B130" s="329"/>
      <c r="L130">
        <v>0.0</v>
      </c>
    </row>
    <row r="131">
      <c r="B131" s="329"/>
      <c r="L131">
        <v>0.0</v>
      </c>
    </row>
    <row r="132">
      <c r="B132" s="329"/>
      <c r="L132">
        <v>0.0</v>
      </c>
    </row>
    <row r="133">
      <c r="B133" s="329"/>
      <c r="L133">
        <v>0.0</v>
      </c>
    </row>
    <row r="134">
      <c r="B134" s="329"/>
      <c r="L134">
        <v>0.0</v>
      </c>
    </row>
    <row r="135">
      <c r="B135" s="329"/>
      <c r="L135">
        <v>0.0</v>
      </c>
    </row>
    <row r="136">
      <c r="B136" s="329"/>
      <c r="L136">
        <v>0.0</v>
      </c>
    </row>
    <row r="137">
      <c r="B137" s="329"/>
      <c r="L137">
        <v>0.0</v>
      </c>
    </row>
    <row r="138">
      <c r="B138" s="329"/>
      <c r="L138">
        <v>0.0</v>
      </c>
    </row>
    <row r="139">
      <c r="B139" s="329"/>
      <c r="L139">
        <v>0.0</v>
      </c>
    </row>
    <row r="140">
      <c r="B140" s="329"/>
      <c r="L140">
        <v>0.0</v>
      </c>
    </row>
    <row r="141">
      <c r="B141" s="329"/>
      <c r="L141">
        <v>0.0</v>
      </c>
    </row>
    <row r="142">
      <c r="B142" s="329"/>
      <c r="L142">
        <v>0.0</v>
      </c>
    </row>
    <row r="143">
      <c r="B143" s="329"/>
      <c r="L143">
        <v>0.0</v>
      </c>
    </row>
    <row r="144">
      <c r="B144" s="329"/>
      <c r="L144">
        <v>0.0</v>
      </c>
    </row>
    <row r="145">
      <c r="B145" s="329"/>
      <c r="L145">
        <v>0.0</v>
      </c>
    </row>
    <row r="146">
      <c r="B146" s="329"/>
      <c r="L146">
        <v>0.0</v>
      </c>
    </row>
    <row r="147">
      <c r="B147" s="329"/>
      <c r="L147">
        <v>0.0</v>
      </c>
    </row>
    <row r="148">
      <c r="B148" s="329"/>
      <c r="L148">
        <v>0.0</v>
      </c>
    </row>
    <row r="149">
      <c r="B149" s="329"/>
      <c r="L149">
        <v>0.0</v>
      </c>
    </row>
    <row r="150">
      <c r="B150" s="329"/>
      <c r="L150">
        <v>0.0</v>
      </c>
    </row>
    <row r="151">
      <c r="B151" s="329"/>
      <c r="L151">
        <v>0.0</v>
      </c>
    </row>
    <row r="152">
      <c r="B152" s="329"/>
      <c r="L152">
        <v>0.0</v>
      </c>
    </row>
    <row r="153">
      <c r="B153" s="329"/>
      <c r="L153">
        <v>0.0</v>
      </c>
    </row>
    <row r="154">
      <c r="B154" s="329"/>
      <c r="L154">
        <v>0.0</v>
      </c>
    </row>
    <row r="155">
      <c r="B155" s="329"/>
      <c r="L155">
        <v>0.0</v>
      </c>
    </row>
    <row r="156">
      <c r="B156" s="329"/>
      <c r="L156">
        <v>0.0</v>
      </c>
    </row>
    <row r="157">
      <c r="B157" s="329"/>
      <c r="L157">
        <v>0.0</v>
      </c>
    </row>
    <row r="158">
      <c r="B158" s="329"/>
      <c r="L158">
        <v>0.0</v>
      </c>
    </row>
    <row r="159">
      <c r="B159" s="329"/>
      <c r="L159">
        <v>0.0</v>
      </c>
    </row>
    <row r="160">
      <c r="B160" s="329"/>
      <c r="L160">
        <v>0.0</v>
      </c>
    </row>
    <row r="161">
      <c r="B161" s="329"/>
      <c r="L161">
        <v>0.0</v>
      </c>
    </row>
    <row r="162">
      <c r="B162" s="329"/>
      <c r="L162">
        <v>0.0</v>
      </c>
    </row>
    <row r="163">
      <c r="B163" s="329"/>
      <c r="L163">
        <v>0.0</v>
      </c>
    </row>
    <row r="164">
      <c r="B164" s="329"/>
      <c r="L164">
        <v>0.0</v>
      </c>
    </row>
    <row r="165">
      <c r="B165" s="329"/>
      <c r="L165">
        <v>0.0</v>
      </c>
    </row>
    <row r="166">
      <c r="B166" s="329"/>
      <c r="L166">
        <v>0.0</v>
      </c>
    </row>
    <row r="167">
      <c r="B167" s="329"/>
      <c r="L167">
        <v>0.0</v>
      </c>
    </row>
    <row r="168">
      <c r="B168" s="329"/>
      <c r="L168">
        <v>0.0</v>
      </c>
    </row>
    <row r="169">
      <c r="B169" s="329"/>
      <c r="L169">
        <v>0.0</v>
      </c>
    </row>
    <row r="170">
      <c r="B170" s="329"/>
      <c r="L170">
        <v>0.0</v>
      </c>
    </row>
    <row r="171">
      <c r="B171" s="329"/>
      <c r="L171">
        <v>0.0</v>
      </c>
    </row>
    <row r="172">
      <c r="B172" s="329"/>
      <c r="L172">
        <v>0.0</v>
      </c>
    </row>
    <row r="173">
      <c r="B173" s="329"/>
      <c r="L173">
        <v>0.0</v>
      </c>
    </row>
    <row r="174">
      <c r="B174" s="329"/>
      <c r="L174">
        <v>0.0</v>
      </c>
    </row>
    <row r="175">
      <c r="B175" s="329"/>
      <c r="L175">
        <v>0.0</v>
      </c>
    </row>
    <row r="176">
      <c r="B176" s="329"/>
      <c r="L176">
        <v>0.0</v>
      </c>
    </row>
    <row r="177">
      <c r="B177" s="329"/>
      <c r="L177">
        <v>0.0</v>
      </c>
    </row>
    <row r="178">
      <c r="B178" s="329"/>
      <c r="L178">
        <v>0.0</v>
      </c>
    </row>
    <row r="179">
      <c r="B179" s="329"/>
      <c r="L179">
        <v>0.0</v>
      </c>
    </row>
    <row r="180">
      <c r="B180" s="329"/>
      <c r="L180">
        <v>0.0</v>
      </c>
    </row>
    <row r="181">
      <c r="B181" s="329"/>
      <c r="L181">
        <v>0.0</v>
      </c>
    </row>
    <row r="182">
      <c r="B182" s="329"/>
      <c r="L182">
        <v>0.0</v>
      </c>
    </row>
    <row r="183">
      <c r="B183" s="329"/>
      <c r="L183">
        <v>0.0</v>
      </c>
    </row>
    <row r="184">
      <c r="B184" s="329"/>
      <c r="L184">
        <v>0.0</v>
      </c>
    </row>
    <row r="185">
      <c r="B185" s="329"/>
      <c r="L185">
        <v>0.0</v>
      </c>
    </row>
    <row r="186">
      <c r="B186" s="329"/>
      <c r="L186">
        <v>0.0</v>
      </c>
    </row>
    <row r="187">
      <c r="B187" s="329"/>
      <c r="L187">
        <v>0.0</v>
      </c>
    </row>
    <row r="188">
      <c r="B188" s="329"/>
      <c r="L188">
        <v>0.0</v>
      </c>
    </row>
    <row r="189">
      <c r="B189" s="329"/>
      <c r="L189">
        <v>0.0</v>
      </c>
    </row>
    <row r="190">
      <c r="B190" s="329"/>
      <c r="L190">
        <v>0.0</v>
      </c>
    </row>
    <row r="191">
      <c r="B191" s="329"/>
      <c r="L191">
        <v>0.0</v>
      </c>
    </row>
    <row r="192">
      <c r="B192" s="329"/>
      <c r="L192">
        <v>0.0</v>
      </c>
    </row>
    <row r="193">
      <c r="B193" s="329"/>
      <c r="L193">
        <v>0.0</v>
      </c>
    </row>
    <row r="194">
      <c r="B194" s="329"/>
      <c r="L194">
        <v>0.0</v>
      </c>
    </row>
    <row r="195">
      <c r="B195" s="329"/>
      <c r="L195">
        <v>0.0</v>
      </c>
    </row>
    <row r="196">
      <c r="B196" s="329"/>
      <c r="L196">
        <v>0.0</v>
      </c>
    </row>
    <row r="197">
      <c r="B197" s="329"/>
      <c r="L197">
        <v>0.0</v>
      </c>
    </row>
    <row r="198">
      <c r="B198" s="329"/>
      <c r="L198">
        <v>0.0</v>
      </c>
    </row>
    <row r="199">
      <c r="B199" s="329"/>
      <c r="L199">
        <v>0.0</v>
      </c>
    </row>
    <row r="200">
      <c r="B200" s="329"/>
      <c r="L200">
        <v>0.0</v>
      </c>
    </row>
    <row r="201">
      <c r="B201" s="329"/>
      <c r="L201">
        <v>0.0</v>
      </c>
    </row>
    <row r="202">
      <c r="B202" s="329"/>
      <c r="L202">
        <v>0.0</v>
      </c>
    </row>
    <row r="203">
      <c r="B203" s="329"/>
      <c r="L203">
        <v>0.0</v>
      </c>
    </row>
    <row r="204">
      <c r="B204" s="329"/>
      <c r="L204">
        <v>0.0</v>
      </c>
    </row>
    <row r="205">
      <c r="B205" s="329"/>
      <c r="L205">
        <v>0.0</v>
      </c>
    </row>
    <row r="206">
      <c r="B206" s="329"/>
      <c r="L206">
        <v>0.0</v>
      </c>
    </row>
    <row r="207">
      <c r="B207" s="329"/>
      <c r="L207">
        <v>0.0</v>
      </c>
    </row>
    <row r="208">
      <c r="B208" s="329"/>
      <c r="L208">
        <v>0.0</v>
      </c>
    </row>
    <row r="209">
      <c r="B209" s="329"/>
      <c r="L209">
        <v>0.0</v>
      </c>
    </row>
    <row r="210">
      <c r="B210" s="329"/>
      <c r="L210">
        <v>0.0</v>
      </c>
    </row>
    <row r="211">
      <c r="B211" s="329"/>
      <c r="L211">
        <v>0.0</v>
      </c>
    </row>
    <row r="212">
      <c r="B212" s="329"/>
      <c r="L212">
        <v>0.0</v>
      </c>
    </row>
    <row r="213">
      <c r="B213" s="329"/>
      <c r="L213">
        <v>0.0</v>
      </c>
    </row>
    <row r="214">
      <c r="B214" s="329"/>
      <c r="L214">
        <v>0.0</v>
      </c>
    </row>
    <row r="215">
      <c r="B215" s="329"/>
      <c r="L215">
        <v>0.0</v>
      </c>
    </row>
    <row r="216">
      <c r="B216" s="329"/>
      <c r="L216">
        <v>0.0</v>
      </c>
    </row>
    <row r="217">
      <c r="B217" s="329"/>
      <c r="L217">
        <v>0.0</v>
      </c>
    </row>
    <row r="218">
      <c r="B218" s="329"/>
      <c r="L218">
        <v>0.0</v>
      </c>
    </row>
    <row r="219">
      <c r="B219" s="329"/>
      <c r="L219">
        <v>0.0</v>
      </c>
    </row>
    <row r="220">
      <c r="B220" s="329"/>
      <c r="L220">
        <v>0.0</v>
      </c>
    </row>
    <row r="221">
      <c r="B221" s="329"/>
      <c r="L221">
        <v>0.0</v>
      </c>
    </row>
    <row r="222">
      <c r="B222" s="329"/>
      <c r="L222">
        <v>0.0</v>
      </c>
    </row>
    <row r="223">
      <c r="B223" s="329"/>
      <c r="L223">
        <v>0.0</v>
      </c>
    </row>
    <row r="224">
      <c r="B224" s="329"/>
      <c r="L224">
        <v>0.0</v>
      </c>
    </row>
    <row r="225">
      <c r="B225" s="329"/>
      <c r="L225">
        <v>0.0</v>
      </c>
    </row>
    <row r="226">
      <c r="B226" s="329"/>
      <c r="L226">
        <v>0.0</v>
      </c>
    </row>
    <row r="227">
      <c r="B227" s="329"/>
      <c r="L227">
        <v>0.0</v>
      </c>
    </row>
    <row r="228">
      <c r="B228" s="329"/>
      <c r="L228">
        <v>0.0</v>
      </c>
    </row>
    <row r="229">
      <c r="B229" s="329"/>
      <c r="L229">
        <v>0.0</v>
      </c>
    </row>
    <row r="230">
      <c r="B230" s="329"/>
      <c r="L230">
        <v>0.0</v>
      </c>
    </row>
    <row r="231">
      <c r="B231" s="329"/>
      <c r="L231">
        <v>0.0</v>
      </c>
    </row>
    <row r="232">
      <c r="B232" s="329"/>
      <c r="L232">
        <v>0.0</v>
      </c>
    </row>
    <row r="233">
      <c r="B233" s="329"/>
      <c r="L233">
        <v>0.0</v>
      </c>
    </row>
    <row r="234">
      <c r="B234" s="329"/>
      <c r="L234">
        <v>0.0</v>
      </c>
    </row>
    <row r="235">
      <c r="B235" s="329"/>
      <c r="L235">
        <v>0.0</v>
      </c>
    </row>
    <row r="236">
      <c r="B236" s="329"/>
      <c r="L236">
        <v>0.0</v>
      </c>
    </row>
    <row r="237">
      <c r="B237" s="329"/>
      <c r="L237">
        <v>0.0</v>
      </c>
    </row>
    <row r="238">
      <c r="B238" s="329"/>
      <c r="L238">
        <v>0.0</v>
      </c>
    </row>
    <row r="239">
      <c r="B239" s="329"/>
      <c r="L239">
        <v>0.0</v>
      </c>
    </row>
    <row r="240">
      <c r="B240" s="329"/>
      <c r="L240">
        <v>0.0</v>
      </c>
    </row>
    <row r="241">
      <c r="B241" s="329"/>
      <c r="L241">
        <v>0.0</v>
      </c>
    </row>
    <row r="242">
      <c r="B242" s="329"/>
      <c r="L242">
        <v>0.0</v>
      </c>
    </row>
    <row r="243">
      <c r="B243" s="329"/>
      <c r="L243">
        <v>0.0</v>
      </c>
    </row>
    <row r="244">
      <c r="B244" s="329"/>
      <c r="L244">
        <v>0.0</v>
      </c>
    </row>
    <row r="245">
      <c r="B245" s="329"/>
      <c r="L245">
        <v>0.0</v>
      </c>
    </row>
    <row r="246">
      <c r="B246" s="329"/>
      <c r="L246">
        <v>0.0</v>
      </c>
    </row>
    <row r="247">
      <c r="B247" s="329"/>
      <c r="L247">
        <v>0.0</v>
      </c>
    </row>
    <row r="248">
      <c r="B248" s="329"/>
      <c r="L248">
        <v>0.0</v>
      </c>
    </row>
    <row r="249">
      <c r="B249" s="329"/>
      <c r="L249">
        <v>0.0</v>
      </c>
    </row>
    <row r="250">
      <c r="B250" s="329"/>
      <c r="L250">
        <v>0.0</v>
      </c>
    </row>
    <row r="251">
      <c r="B251" s="329"/>
      <c r="L251">
        <v>0.0</v>
      </c>
    </row>
    <row r="252">
      <c r="B252" s="329"/>
      <c r="L252">
        <v>0.0</v>
      </c>
    </row>
    <row r="253">
      <c r="B253" s="329"/>
      <c r="L253">
        <v>0.0</v>
      </c>
    </row>
    <row r="254">
      <c r="B254" s="329"/>
      <c r="L254">
        <v>0.0</v>
      </c>
    </row>
    <row r="255">
      <c r="B255" s="329"/>
      <c r="L255">
        <v>0.0</v>
      </c>
    </row>
    <row r="256">
      <c r="B256" s="329"/>
      <c r="L256">
        <v>0.0</v>
      </c>
    </row>
    <row r="257">
      <c r="B257" s="329"/>
      <c r="L257">
        <v>0.0</v>
      </c>
    </row>
    <row r="258">
      <c r="B258" s="329"/>
      <c r="L258">
        <v>0.0</v>
      </c>
    </row>
    <row r="259">
      <c r="B259" s="329"/>
      <c r="L259">
        <v>0.0</v>
      </c>
    </row>
    <row r="260">
      <c r="B260" s="329"/>
      <c r="L260">
        <v>0.0</v>
      </c>
    </row>
    <row r="261">
      <c r="B261" s="329"/>
      <c r="L261">
        <v>0.0</v>
      </c>
    </row>
    <row r="262">
      <c r="B262" s="329"/>
      <c r="L262">
        <v>0.0</v>
      </c>
    </row>
    <row r="263">
      <c r="B263" s="329"/>
      <c r="L263">
        <v>0.0</v>
      </c>
    </row>
    <row r="264">
      <c r="B264" s="329"/>
      <c r="L264">
        <v>0.0</v>
      </c>
    </row>
    <row r="265">
      <c r="B265" s="329"/>
      <c r="L265">
        <v>0.0</v>
      </c>
    </row>
    <row r="266">
      <c r="B266" s="329"/>
      <c r="L266">
        <v>0.0</v>
      </c>
    </row>
    <row r="267">
      <c r="B267" s="329"/>
      <c r="L267">
        <v>0.0</v>
      </c>
    </row>
    <row r="268">
      <c r="B268" s="329"/>
      <c r="L268">
        <v>0.0</v>
      </c>
    </row>
    <row r="269">
      <c r="B269" s="329"/>
      <c r="L269">
        <v>0.0</v>
      </c>
    </row>
    <row r="270">
      <c r="B270" s="329"/>
      <c r="L270">
        <v>0.0</v>
      </c>
    </row>
    <row r="271">
      <c r="B271" s="329"/>
      <c r="L271">
        <v>0.0</v>
      </c>
    </row>
    <row r="272">
      <c r="B272" s="329"/>
      <c r="L272">
        <v>0.0</v>
      </c>
    </row>
    <row r="273">
      <c r="B273" s="329"/>
      <c r="L273">
        <v>0.0</v>
      </c>
    </row>
    <row r="274">
      <c r="B274" s="329"/>
      <c r="L274">
        <v>0.0</v>
      </c>
    </row>
    <row r="275">
      <c r="B275" s="329"/>
      <c r="L275">
        <v>0.0</v>
      </c>
    </row>
    <row r="276">
      <c r="B276" s="329"/>
      <c r="L276">
        <v>0.0</v>
      </c>
    </row>
    <row r="277">
      <c r="B277" s="329"/>
      <c r="L277">
        <v>0.0</v>
      </c>
    </row>
    <row r="278">
      <c r="B278" s="329"/>
      <c r="L278">
        <v>0.0</v>
      </c>
    </row>
    <row r="279">
      <c r="B279" s="329"/>
      <c r="L279">
        <v>0.0</v>
      </c>
    </row>
    <row r="280">
      <c r="B280" s="329"/>
      <c r="L280">
        <v>0.0</v>
      </c>
    </row>
    <row r="281">
      <c r="B281" s="329"/>
      <c r="L281">
        <v>0.0</v>
      </c>
    </row>
    <row r="282">
      <c r="B282" s="329"/>
      <c r="L282">
        <v>0.0</v>
      </c>
    </row>
    <row r="283">
      <c r="B283" s="329"/>
      <c r="L283">
        <v>0.0</v>
      </c>
    </row>
    <row r="284">
      <c r="B284" s="329"/>
      <c r="L284">
        <v>0.0</v>
      </c>
    </row>
    <row r="285">
      <c r="B285" s="329"/>
      <c r="L285">
        <v>0.0</v>
      </c>
    </row>
    <row r="286">
      <c r="B286" s="329"/>
      <c r="L286">
        <v>0.0</v>
      </c>
    </row>
    <row r="287">
      <c r="B287" s="329"/>
      <c r="L287">
        <v>0.0</v>
      </c>
    </row>
    <row r="288">
      <c r="B288" s="329"/>
      <c r="L288">
        <v>0.0</v>
      </c>
    </row>
    <row r="289">
      <c r="B289" s="329"/>
      <c r="L289">
        <v>0.0</v>
      </c>
    </row>
    <row r="290">
      <c r="B290" s="329"/>
      <c r="L290">
        <v>0.0</v>
      </c>
    </row>
    <row r="291">
      <c r="B291" s="329"/>
      <c r="L291">
        <v>0.0</v>
      </c>
    </row>
    <row r="292">
      <c r="B292" s="329"/>
      <c r="L292">
        <v>0.0</v>
      </c>
    </row>
    <row r="293">
      <c r="B293" s="329"/>
      <c r="L293">
        <v>0.0</v>
      </c>
    </row>
    <row r="294">
      <c r="B294" s="329"/>
      <c r="L294">
        <v>0.0</v>
      </c>
    </row>
    <row r="295">
      <c r="B295" s="329"/>
      <c r="L295">
        <v>0.0</v>
      </c>
    </row>
    <row r="296">
      <c r="B296" s="329"/>
      <c r="L296">
        <v>0.0</v>
      </c>
    </row>
    <row r="297">
      <c r="B297" s="329"/>
      <c r="L297">
        <v>0.0</v>
      </c>
    </row>
    <row r="298">
      <c r="B298" s="329"/>
      <c r="L298">
        <v>0.0</v>
      </c>
    </row>
    <row r="299">
      <c r="B299" s="329"/>
      <c r="L299">
        <v>0.0</v>
      </c>
    </row>
    <row r="300">
      <c r="B300" s="329"/>
      <c r="L300">
        <v>0.0</v>
      </c>
    </row>
    <row r="301">
      <c r="B301" s="329"/>
      <c r="L301">
        <v>0.0</v>
      </c>
    </row>
    <row r="302">
      <c r="B302" s="329"/>
      <c r="L302">
        <v>0.0</v>
      </c>
    </row>
    <row r="303">
      <c r="B303" s="329"/>
      <c r="L303">
        <v>0.0</v>
      </c>
    </row>
    <row r="304">
      <c r="B304" s="329"/>
      <c r="L304">
        <v>0.0</v>
      </c>
    </row>
    <row r="305">
      <c r="B305" s="329"/>
      <c r="L305">
        <v>0.0</v>
      </c>
    </row>
    <row r="306">
      <c r="B306" s="329"/>
      <c r="L306">
        <v>0.0</v>
      </c>
    </row>
    <row r="307">
      <c r="B307" s="329"/>
      <c r="L307">
        <v>0.0</v>
      </c>
    </row>
    <row r="308">
      <c r="B308" s="329"/>
      <c r="L308">
        <v>0.0</v>
      </c>
    </row>
    <row r="309">
      <c r="B309" s="329"/>
      <c r="L309">
        <v>0.0</v>
      </c>
    </row>
    <row r="310">
      <c r="B310" s="329"/>
      <c r="L310">
        <v>0.0</v>
      </c>
    </row>
    <row r="311">
      <c r="B311" s="329"/>
      <c r="L311">
        <v>0.0</v>
      </c>
    </row>
    <row r="312">
      <c r="B312" s="329"/>
      <c r="L312">
        <v>0.0</v>
      </c>
    </row>
    <row r="313">
      <c r="B313" s="329"/>
      <c r="L313">
        <v>0.0</v>
      </c>
    </row>
    <row r="314">
      <c r="B314" s="329"/>
      <c r="L314">
        <v>0.0</v>
      </c>
    </row>
    <row r="315">
      <c r="B315" s="329"/>
      <c r="L315">
        <v>0.0</v>
      </c>
    </row>
    <row r="316">
      <c r="B316" s="329"/>
      <c r="L316">
        <v>0.0</v>
      </c>
    </row>
    <row r="317">
      <c r="B317" s="329"/>
      <c r="L317">
        <v>0.0</v>
      </c>
    </row>
    <row r="318">
      <c r="B318" s="329"/>
      <c r="L318">
        <v>0.0</v>
      </c>
    </row>
    <row r="319">
      <c r="B319" s="329"/>
      <c r="L319">
        <v>0.0</v>
      </c>
    </row>
    <row r="320">
      <c r="B320" s="329"/>
      <c r="L320">
        <v>0.0</v>
      </c>
    </row>
    <row r="321">
      <c r="B321" s="329"/>
      <c r="L321">
        <v>0.0</v>
      </c>
    </row>
    <row r="322">
      <c r="B322" s="329"/>
      <c r="L322">
        <v>0.0</v>
      </c>
    </row>
    <row r="323">
      <c r="B323" s="329"/>
      <c r="L323">
        <v>0.0</v>
      </c>
    </row>
    <row r="324">
      <c r="B324" s="329"/>
      <c r="L324">
        <v>0.0</v>
      </c>
    </row>
    <row r="325">
      <c r="B325" s="329"/>
      <c r="L325">
        <v>0.0</v>
      </c>
    </row>
    <row r="326">
      <c r="B326" s="329"/>
      <c r="L326">
        <v>0.0</v>
      </c>
    </row>
    <row r="327">
      <c r="B327" s="329"/>
      <c r="L327">
        <v>0.0</v>
      </c>
    </row>
    <row r="328">
      <c r="B328" s="329"/>
      <c r="L328">
        <v>0.0</v>
      </c>
    </row>
    <row r="329">
      <c r="B329" s="329"/>
      <c r="L329">
        <v>0.0</v>
      </c>
    </row>
    <row r="330">
      <c r="B330" s="329"/>
      <c r="L330">
        <v>0.0</v>
      </c>
    </row>
    <row r="331">
      <c r="B331" s="329"/>
      <c r="L331">
        <v>0.0</v>
      </c>
    </row>
    <row r="332">
      <c r="B332" s="329"/>
      <c r="L332">
        <v>0.0</v>
      </c>
    </row>
    <row r="333">
      <c r="B333" s="329"/>
      <c r="L333">
        <v>0.0</v>
      </c>
    </row>
    <row r="334">
      <c r="B334" s="329"/>
      <c r="L334">
        <v>0.0</v>
      </c>
    </row>
    <row r="335">
      <c r="B335" s="329"/>
      <c r="L335">
        <v>0.0</v>
      </c>
    </row>
    <row r="336">
      <c r="B336" s="329"/>
      <c r="L336">
        <v>0.0</v>
      </c>
    </row>
    <row r="337">
      <c r="B337" s="329"/>
      <c r="L337">
        <v>0.0</v>
      </c>
    </row>
    <row r="338">
      <c r="B338" s="329"/>
      <c r="L338">
        <v>0.0</v>
      </c>
    </row>
    <row r="339">
      <c r="B339" s="329"/>
      <c r="L339">
        <v>0.0</v>
      </c>
    </row>
    <row r="340">
      <c r="B340" s="329"/>
      <c r="L340">
        <v>0.0</v>
      </c>
    </row>
    <row r="341">
      <c r="B341" s="329"/>
      <c r="L341">
        <v>0.0</v>
      </c>
    </row>
    <row r="342">
      <c r="B342" s="329"/>
      <c r="L342">
        <v>0.0</v>
      </c>
    </row>
    <row r="343">
      <c r="B343" s="329"/>
      <c r="L343">
        <v>0.0</v>
      </c>
    </row>
    <row r="344">
      <c r="B344" s="329"/>
      <c r="L344">
        <v>0.0</v>
      </c>
    </row>
    <row r="345">
      <c r="B345" s="329"/>
      <c r="L345">
        <v>0.0</v>
      </c>
    </row>
    <row r="346">
      <c r="B346" s="329"/>
      <c r="L346">
        <v>0.0</v>
      </c>
    </row>
    <row r="347">
      <c r="B347" s="329"/>
      <c r="L347">
        <v>0.0</v>
      </c>
    </row>
    <row r="348">
      <c r="B348" s="329"/>
      <c r="L348">
        <v>0.0</v>
      </c>
    </row>
    <row r="349">
      <c r="B349" s="329"/>
      <c r="L349">
        <v>0.0</v>
      </c>
    </row>
    <row r="350">
      <c r="B350" s="329"/>
      <c r="L350">
        <v>0.0</v>
      </c>
    </row>
    <row r="351">
      <c r="B351" s="329"/>
      <c r="L351">
        <v>0.0</v>
      </c>
    </row>
    <row r="352">
      <c r="B352" s="329"/>
      <c r="L352">
        <v>0.0</v>
      </c>
    </row>
    <row r="353">
      <c r="B353" s="329"/>
      <c r="L353">
        <v>0.0</v>
      </c>
    </row>
    <row r="354">
      <c r="B354" s="329"/>
      <c r="L354">
        <v>0.0</v>
      </c>
    </row>
    <row r="355">
      <c r="B355" s="329"/>
      <c r="L355">
        <v>0.0</v>
      </c>
    </row>
    <row r="356">
      <c r="B356" s="329"/>
      <c r="L356">
        <v>0.0</v>
      </c>
    </row>
    <row r="357">
      <c r="B357" s="329"/>
      <c r="L357">
        <v>0.0</v>
      </c>
    </row>
    <row r="358">
      <c r="B358" s="329"/>
      <c r="L358">
        <v>0.0</v>
      </c>
    </row>
    <row r="359">
      <c r="B359" s="329"/>
      <c r="L359">
        <v>0.0</v>
      </c>
    </row>
    <row r="360">
      <c r="B360" s="329"/>
      <c r="L360">
        <v>0.0</v>
      </c>
    </row>
    <row r="361">
      <c r="B361" s="329"/>
      <c r="L361">
        <v>0.0</v>
      </c>
    </row>
    <row r="362">
      <c r="B362" s="329"/>
      <c r="L362">
        <v>0.0</v>
      </c>
    </row>
    <row r="363">
      <c r="B363" s="329"/>
      <c r="L363">
        <v>0.0</v>
      </c>
    </row>
    <row r="364">
      <c r="B364" s="329"/>
      <c r="L364">
        <v>0.0</v>
      </c>
    </row>
    <row r="365">
      <c r="B365" s="329"/>
      <c r="L365">
        <v>0.0</v>
      </c>
    </row>
    <row r="366">
      <c r="B366" s="329"/>
      <c r="L366">
        <v>0.0</v>
      </c>
    </row>
    <row r="367">
      <c r="B367" s="329"/>
      <c r="L367">
        <v>0.0</v>
      </c>
    </row>
    <row r="368">
      <c r="B368" s="329"/>
      <c r="L368">
        <v>0.0</v>
      </c>
    </row>
    <row r="369">
      <c r="B369" s="329"/>
      <c r="L369">
        <v>0.0</v>
      </c>
    </row>
    <row r="370">
      <c r="B370" s="329"/>
      <c r="L370">
        <v>0.0</v>
      </c>
    </row>
    <row r="371">
      <c r="B371" s="329"/>
      <c r="L371">
        <v>0.0</v>
      </c>
    </row>
    <row r="372">
      <c r="B372" s="329"/>
      <c r="L372">
        <v>0.0</v>
      </c>
    </row>
    <row r="373">
      <c r="B373" s="329"/>
      <c r="L373">
        <v>0.0</v>
      </c>
    </row>
    <row r="374">
      <c r="B374" s="329"/>
      <c r="L374">
        <v>0.0</v>
      </c>
    </row>
    <row r="375">
      <c r="B375" s="329"/>
      <c r="L375">
        <v>0.0</v>
      </c>
    </row>
    <row r="376">
      <c r="B376" s="329"/>
      <c r="L376">
        <v>0.0</v>
      </c>
    </row>
    <row r="377">
      <c r="B377" s="329"/>
      <c r="L377">
        <v>0.0</v>
      </c>
    </row>
    <row r="378">
      <c r="B378" s="329"/>
      <c r="L378">
        <v>0.0</v>
      </c>
    </row>
    <row r="379">
      <c r="B379" s="329"/>
      <c r="L379">
        <v>0.0</v>
      </c>
    </row>
    <row r="380">
      <c r="B380" s="329"/>
      <c r="L380">
        <v>0.0</v>
      </c>
    </row>
    <row r="381">
      <c r="B381" s="329"/>
      <c r="L381">
        <v>0.0</v>
      </c>
    </row>
    <row r="382">
      <c r="B382" s="329"/>
      <c r="L382">
        <v>0.0</v>
      </c>
    </row>
    <row r="383">
      <c r="B383" s="329"/>
      <c r="L383">
        <v>0.0</v>
      </c>
    </row>
    <row r="384">
      <c r="B384" s="329"/>
      <c r="L384">
        <v>0.0</v>
      </c>
    </row>
    <row r="385">
      <c r="B385" s="329"/>
      <c r="L385">
        <v>0.0</v>
      </c>
    </row>
    <row r="386">
      <c r="B386" s="329"/>
      <c r="L386">
        <v>0.0</v>
      </c>
    </row>
    <row r="387">
      <c r="B387" s="329"/>
      <c r="L387">
        <v>0.0</v>
      </c>
    </row>
    <row r="388">
      <c r="B388" s="329"/>
      <c r="L388">
        <v>0.0</v>
      </c>
    </row>
    <row r="389">
      <c r="B389" s="329"/>
      <c r="L389">
        <v>0.0</v>
      </c>
    </row>
    <row r="390">
      <c r="B390" s="329"/>
      <c r="L390">
        <v>0.0</v>
      </c>
    </row>
    <row r="391">
      <c r="B391" s="329"/>
      <c r="L391">
        <v>0.0</v>
      </c>
    </row>
    <row r="392">
      <c r="B392" s="329"/>
      <c r="L392">
        <v>0.0</v>
      </c>
    </row>
    <row r="393">
      <c r="B393" s="329"/>
      <c r="L393">
        <v>0.0</v>
      </c>
    </row>
    <row r="394">
      <c r="B394" s="329"/>
      <c r="L394">
        <v>0.0</v>
      </c>
    </row>
    <row r="395">
      <c r="B395" s="329"/>
      <c r="L395">
        <v>0.0</v>
      </c>
    </row>
    <row r="396">
      <c r="B396" s="329"/>
      <c r="L396">
        <v>0.0</v>
      </c>
    </row>
    <row r="397">
      <c r="B397" s="329"/>
      <c r="L397">
        <v>0.0</v>
      </c>
    </row>
    <row r="398">
      <c r="B398" s="329"/>
      <c r="L398">
        <v>0.0</v>
      </c>
    </row>
    <row r="399">
      <c r="B399" s="329"/>
      <c r="L399">
        <v>0.0</v>
      </c>
    </row>
    <row r="400">
      <c r="B400" s="329"/>
      <c r="L400">
        <v>0.0</v>
      </c>
    </row>
    <row r="401">
      <c r="B401" s="329"/>
      <c r="L401">
        <v>0.0</v>
      </c>
    </row>
    <row r="402">
      <c r="B402" s="329"/>
      <c r="L402">
        <v>0.0</v>
      </c>
    </row>
    <row r="403">
      <c r="B403" s="329"/>
      <c r="L403">
        <v>0.0</v>
      </c>
    </row>
    <row r="404">
      <c r="B404" s="329"/>
      <c r="L404">
        <v>0.0</v>
      </c>
    </row>
    <row r="405">
      <c r="B405" s="329"/>
      <c r="L405">
        <v>0.0</v>
      </c>
    </row>
    <row r="406">
      <c r="B406" s="329"/>
      <c r="L406">
        <v>0.0</v>
      </c>
    </row>
    <row r="407">
      <c r="B407" s="329"/>
      <c r="L407">
        <v>0.0</v>
      </c>
    </row>
    <row r="408">
      <c r="B408" s="329"/>
      <c r="L408">
        <v>0.0</v>
      </c>
    </row>
    <row r="409">
      <c r="B409" s="329"/>
      <c r="L409">
        <v>0.0</v>
      </c>
    </row>
    <row r="410">
      <c r="B410" s="329"/>
      <c r="L410">
        <v>0.0</v>
      </c>
    </row>
    <row r="411">
      <c r="B411" s="329"/>
      <c r="L411">
        <v>0.0</v>
      </c>
    </row>
    <row r="412">
      <c r="B412" s="329"/>
      <c r="L412">
        <v>0.0</v>
      </c>
    </row>
    <row r="413">
      <c r="B413" s="329"/>
      <c r="L413">
        <v>0.0</v>
      </c>
    </row>
    <row r="414">
      <c r="B414" s="329"/>
      <c r="L414">
        <v>0.0</v>
      </c>
    </row>
    <row r="415">
      <c r="B415" s="329"/>
      <c r="L415">
        <v>0.0</v>
      </c>
    </row>
    <row r="416">
      <c r="B416" s="329"/>
      <c r="L416">
        <v>0.0</v>
      </c>
    </row>
    <row r="417">
      <c r="B417" s="329"/>
      <c r="L417">
        <v>0.0</v>
      </c>
    </row>
    <row r="418">
      <c r="B418" s="329"/>
      <c r="L418">
        <v>0.0</v>
      </c>
    </row>
    <row r="419">
      <c r="B419" s="329"/>
      <c r="L419">
        <v>0.0</v>
      </c>
    </row>
    <row r="420">
      <c r="B420" s="329"/>
      <c r="L420">
        <v>0.0</v>
      </c>
    </row>
    <row r="421">
      <c r="B421" s="329"/>
      <c r="L421">
        <v>0.0</v>
      </c>
    </row>
    <row r="422">
      <c r="B422" s="329"/>
      <c r="L422">
        <v>0.0</v>
      </c>
    </row>
    <row r="423">
      <c r="B423" s="329"/>
      <c r="L423">
        <v>0.0</v>
      </c>
    </row>
    <row r="424">
      <c r="B424" s="329"/>
      <c r="L424">
        <v>0.0</v>
      </c>
    </row>
    <row r="425">
      <c r="B425" s="329"/>
      <c r="L425">
        <v>0.0</v>
      </c>
    </row>
    <row r="426">
      <c r="B426" s="329"/>
      <c r="L426">
        <v>0.0</v>
      </c>
    </row>
    <row r="427">
      <c r="B427" s="329"/>
      <c r="L427">
        <v>0.0</v>
      </c>
    </row>
    <row r="428">
      <c r="B428" s="329"/>
      <c r="L428">
        <v>0.0</v>
      </c>
    </row>
    <row r="429">
      <c r="B429" s="329"/>
      <c r="L429">
        <v>0.0</v>
      </c>
    </row>
    <row r="430">
      <c r="B430" s="329"/>
      <c r="L430">
        <v>0.0</v>
      </c>
    </row>
    <row r="431">
      <c r="B431" s="329"/>
      <c r="L431">
        <v>0.0</v>
      </c>
    </row>
    <row r="432">
      <c r="B432" s="329"/>
      <c r="L432">
        <v>0.0</v>
      </c>
    </row>
    <row r="433">
      <c r="B433" s="329"/>
      <c r="L433">
        <v>0.0</v>
      </c>
    </row>
    <row r="434">
      <c r="B434" s="329"/>
      <c r="L434">
        <v>0.0</v>
      </c>
    </row>
    <row r="435">
      <c r="B435" s="329"/>
      <c r="L435">
        <v>0.0</v>
      </c>
    </row>
    <row r="436">
      <c r="B436" s="329"/>
      <c r="L436">
        <v>0.0</v>
      </c>
    </row>
    <row r="437">
      <c r="B437" s="329"/>
      <c r="L437">
        <v>0.0</v>
      </c>
    </row>
    <row r="438">
      <c r="B438" s="329"/>
      <c r="L438">
        <v>0.0</v>
      </c>
    </row>
    <row r="439">
      <c r="B439" s="329"/>
      <c r="L439">
        <v>0.0</v>
      </c>
    </row>
    <row r="440">
      <c r="B440" s="329"/>
      <c r="L440">
        <v>0.0</v>
      </c>
    </row>
    <row r="441">
      <c r="B441" s="329"/>
      <c r="L441">
        <v>0.0</v>
      </c>
    </row>
    <row r="442">
      <c r="B442" s="329"/>
      <c r="L442">
        <v>0.0</v>
      </c>
    </row>
    <row r="443">
      <c r="B443" s="329"/>
      <c r="L443">
        <v>0.0</v>
      </c>
    </row>
    <row r="444">
      <c r="B444" s="329"/>
      <c r="L444">
        <v>0.0</v>
      </c>
    </row>
    <row r="445">
      <c r="B445" s="329"/>
      <c r="L445">
        <v>0.0</v>
      </c>
    </row>
    <row r="446">
      <c r="B446" s="329"/>
      <c r="L446">
        <v>0.0</v>
      </c>
    </row>
    <row r="447">
      <c r="B447" s="329"/>
      <c r="L447">
        <v>0.0</v>
      </c>
    </row>
    <row r="448">
      <c r="B448" s="329"/>
      <c r="L448">
        <v>0.0</v>
      </c>
    </row>
    <row r="449">
      <c r="B449" s="329"/>
      <c r="L449">
        <v>0.0</v>
      </c>
    </row>
    <row r="450">
      <c r="B450" s="329"/>
      <c r="L450">
        <v>0.0</v>
      </c>
    </row>
    <row r="451">
      <c r="B451" s="329"/>
      <c r="L451">
        <v>0.0</v>
      </c>
    </row>
    <row r="452">
      <c r="B452" s="329"/>
      <c r="L452">
        <v>0.0</v>
      </c>
    </row>
    <row r="453">
      <c r="B453" s="329"/>
      <c r="L453">
        <v>0.0</v>
      </c>
    </row>
    <row r="454">
      <c r="B454" s="329"/>
      <c r="L454">
        <v>0.0</v>
      </c>
    </row>
    <row r="455">
      <c r="B455" s="329"/>
      <c r="L455">
        <v>0.0</v>
      </c>
    </row>
    <row r="456">
      <c r="B456" s="329"/>
      <c r="L456">
        <v>0.0</v>
      </c>
    </row>
    <row r="457">
      <c r="B457" s="329"/>
      <c r="L457">
        <v>0.0</v>
      </c>
    </row>
    <row r="458">
      <c r="B458" s="329"/>
      <c r="L458">
        <v>0.0</v>
      </c>
    </row>
    <row r="459">
      <c r="B459" s="329"/>
      <c r="L459">
        <v>0.0</v>
      </c>
    </row>
    <row r="460">
      <c r="B460" s="329"/>
      <c r="L460">
        <v>0.0</v>
      </c>
    </row>
    <row r="461">
      <c r="B461" s="329"/>
      <c r="L461">
        <v>0.0</v>
      </c>
    </row>
    <row r="462">
      <c r="B462" s="329"/>
      <c r="L462">
        <v>0.0</v>
      </c>
    </row>
    <row r="463">
      <c r="B463" s="329"/>
      <c r="L463">
        <v>0.0</v>
      </c>
    </row>
    <row r="464">
      <c r="B464" s="329"/>
      <c r="L464">
        <v>0.0</v>
      </c>
    </row>
    <row r="465">
      <c r="B465" s="329"/>
      <c r="L465">
        <v>0.0</v>
      </c>
    </row>
    <row r="466">
      <c r="B466" s="329"/>
      <c r="L466">
        <v>0.0</v>
      </c>
    </row>
    <row r="467">
      <c r="B467" s="329"/>
      <c r="L467">
        <v>0.0</v>
      </c>
    </row>
    <row r="468">
      <c r="B468" s="329"/>
      <c r="L468">
        <v>0.0</v>
      </c>
    </row>
    <row r="469">
      <c r="B469" s="329"/>
      <c r="L469">
        <v>0.0</v>
      </c>
    </row>
    <row r="470">
      <c r="B470" s="329"/>
      <c r="L470">
        <v>0.0</v>
      </c>
    </row>
    <row r="471">
      <c r="B471" s="329"/>
      <c r="L471">
        <v>0.0</v>
      </c>
    </row>
    <row r="472">
      <c r="B472" s="329"/>
      <c r="L472">
        <v>0.0</v>
      </c>
    </row>
    <row r="473">
      <c r="B473" s="329"/>
      <c r="L473">
        <v>0.0</v>
      </c>
    </row>
    <row r="474">
      <c r="B474" s="329"/>
      <c r="L474">
        <v>0.0</v>
      </c>
    </row>
    <row r="475">
      <c r="B475" s="329"/>
      <c r="L475">
        <v>0.0</v>
      </c>
    </row>
    <row r="476">
      <c r="B476" s="329"/>
      <c r="L476">
        <v>0.0</v>
      </c>
    </row>
    <row r="477">
      <c r="B477" s="329"/>
      <c r="L477">
        <v>0.0</v>
      </c>
    </row>
    <row r="478">
      <c r="B478" s="329"/>
      <c r="L478">
        <v>0.0</v>
      </c>
    </row>
    <row r="479">
      <c r="B479" s="329"/>
      <c r="L479">
        <v>0.0</v>
      </c>
    </row>
    <row r="480">
      <c r="B480" s="329"/>
      <c r="L480">
        <v>0.0</v>
      </c>
    </row>
    <row r="481">
      <c r="B481" s="329"/>
      <c r="L481">
        <v>0.0</v>
      </c>
    </row>
    <row r="482">
      <c r="B482" s="329"/>
      <c r="L482">
        <v>0.0</v>
      </c>
    </row>
    <row r="483">
      <c r="B483" s="329"/>
      <c r="L483">
        <v>0.0</v>
      </c>
    </row>
    <row r="484">
      <c r="B484" s="329"/>
      <c r="L484">
        <v>0.0</v>
      </c>
    </row>
    <row r="485">
      <c r="B485" s="329"/>
      <c r="L485">
        <v>0.0</v>
      </c>
    </row>
    <row r="486">
      <c r="B486" s="329"/>
      <c r="L486">
        <v>0.0</v>
      </c>
    </row>
    <row r="487">
      <c r="B487" s="329"/>
      <c r="L487">
        <v>0.0</v>
      </c>
    </row>
    <row r="488">
      <c r="B488" s="329"/>
      <c r="L488">
        <v>0.0</v>
      </c>
    </row>
    <row r="489">
      <c r="B489" s="329"/>
      <c r="L489">
        <v>0.0</v>
      </c>
    </row>
    <row r="490">
      <c r="B490" s="329"/>
      <c r="L490">
        <v>0.0</v>
      </c>
    </row>
    <row r="491">
      <c r="B491" s="329"/>
      <c r="L491">
        <v>0.0</v>
      </c>
    </row>
    <row r="492">
      <c r="B492" s="329"/>
      <c r="L492">
        <v>0.0</v>
      </c>
    </row>
    <row r="493">
      <c r="B493" s="329"/>
      <c r="L493">
        <v>0.0</v>
      </c>
    </row>
    <row r="494">
      <c r="B494" s="329"/>
      <c r="L494">
        <v>0.0</v>
      </c>
    </row>
    <row r="495">
      <c r="B495" s="329"/>
      <c r="L495">
        <v>0.0</v>
      </c>
    </row>
    <row r="496">
      <c r="B496" s="329"/>
      <c r="L496">
        <v>0.0</v>
      </c>
    </row>
    <row r="497">
      <c r="B497" s="329"/>
      <c r="L497">
        <v>0.0</v>
      </c>
    </row>
    <row r="498">
      <c r="B498" s="329"/>
      <c r="L498">
        <v>0.0</v>
      </c>
    </row>
    <row r="499">
      <c r="B499" s="329"/>
      <c r="L499">
        <v>0.0</v>
      </c>
    </row>
    <row r="500">
      <c r="B500" s="329"/>
      <c r="L500">
        <v>0.0</v>
      </c>
    </row>
    <row r="501">
      <c r="B501" s="329"/>
      <c r="L501">
        <v>0.0</v>
      </c>
    </row>
    <row r="502">
      <c r="B502" s="329"/>
      <c r="L502">
        <v>0.0</v>
      </c>
    </row>
    <row r="503">
      <c r="B503" s="329"/>
      <c r="L503">
        <v>0.0</v>
      </c>
    </row>
    <row r="504">
      <c r="B504" s="329"/>
      <c r="L504">
        <v>0.0</v>
      </c>
    </row>
    <row r="505">
      <c r="B505" s="329"/>
      <c r="L505">
        <v>0.0</v>
      </c>
    </row>
    <row r="506">
      <c r="B506" s="329"/>
      <c r="L506">
        <v>0.0</v>
      </c>
    </row>
    <row r="507">
      <c r="B507" s="329"/>
      <c r="L507">
        <v>0.0</v>
      </c>
    </row>
    <row r="508">
      <c r="B508" s="329"/>
      <c r="L508">
        <v>0.0</v>
      </c>
    </row>
    <row r="509">
      <c r="B509" s="329"/>
      <c r="L509">
        <v>0.0</v>
      </c>
    </row>
    <row r="510">
      <c r="B510" s="329"/>
      <c r="L510">
        <v>0.0</v>
      </c>
    </row>
    <row r="511">
      <c r="B511" s="329"/>
      <c r="L511">
        <v>0.0</v>
      </c>
    </row>
    <row r="512">
      <c r="B512" s="329"/>
      <c r="L512">
        <v>0.0</v>
      </c>
    </row>
    <row r="513">
      <c r="B513" s="329"/>
      <c r="L513">
        <v>0.0</v>
      </c>
    </row>
    <row r="514">
      <c r="B514" s="329"/>
      <c r="L514">
        <v>0.0</v>
      </c>
    </row>
    <row r="515">
      <c r="B515" s="329"/>
      <c r="L515">
        <v>0.0</v>
      </c>
    </row>
    <row r="516">
      <c r="B516" s="329"/>
      <c r="L516">
        <v>0.0</v>
      </c>
    </row>
    <row r="517">
      <c r="B517" s="329"/>
      <c r="L517">
        <v>0.0</v>
      </c>
    </row>
    <row r="518">
      <c r="B518" s="329"/>
      <c r="L518">
        <v>0.0</v>
      </c>
    </row>
    <row r="519">
      <c r="B519" s="329"/>
      <c r="L519">
        <v>0.0</v>
      </c>
    </row>
    <row r="520">
      <c r="B520" s="329"/>
      <c r="L520">
        <v>0.0</v>
      </c>
    </row>
    <row r="521">
      <c r="B521" s="329"/>
      <c r="L521">
        <v>0.0</v>
      </c>
    </row>
    <row r="522">
      <c r="B522" s="329"/>
      <c r="L522">
        <v>0.0</v>
      </c>
    </row>
    <row r="523">
      <c r="B523" s="329"/>
      <c r="L523">
        <v>0.0</v>
      </c>
    </row>
    <row r="524">
      <c r="B524" s="329"/>
      <c r="L524">
        <v>0.0</v>
      </c>
    </row>
    <row r="525">
      <c r="B525" s="329"/>
      <c r="L525">
        <v>0.0</v>
      </c>
    </row>
    <row r="526">
      <c r="B526" s="329"/>
      <c r="L526">
        <v>0.0</v>
      </c>
    </row>
    <row r="527">
      <c r="B527" s="329"/>
      <c r="L527">
        <v>0.0</v>
      </c>
    </row>
    <row r="528">
      <c r="B528" s="329"/>
      <c r="L528">
        <v>0.0</v>
      </c>
    </row>
    <row r="529">
      <c r="B529" s="329"/>
      <c r="L529">
        <v>0.0</v>
      </c>
    </row>
    <row r="530">
      <c r="B530" s="329"/>
      <c r="L530">
        <v>0.0</v>
      </c>
    </row>
    <row r="531">
      <c r="B531" s="329"/>
      <c r="L531">
        <v>0.0</v>
      </c>
    </row>
    <row r="532">
      <c r="B532" s="329"/>
      <c r="L532">
        <v>0.0</v>
      </c>
    </row>
    <row r="533">
      <c r="B533" s="329"/>
      <c r="L533">
        <v>0.0</v>
      </c>
    </row>
    <row r="534">
      <c r="B534" s="329"/>
      <c r="L534">
        <v>0.0</v>
      </c>
    </row>
    <row r="535">
      <c r="B535" s="329"/>
      <c r="L535">
        <v>0.0</v>
      </c>
    </row>
    <row r="536">
      <c r="B536" s="329"/>
      <c r="L536">
        <v>0.0</v>
      </c>
    </row>
    <row r="537">
      <c r="B537" s="329"/>
      <c r="L537">
        <v>0.0</v>
      </c>
    </row>
    <row r="538">
      <c r="B538" s="329"/>
      <c r="L538">
        <v>0.0</v>
      </c>
    </row>
    <row r="539">
      <c r="B539" s="329"/>
      <c r="L539">
        <v>0.0</v>
      </c>
    </row>
    <row r="540">
      <c r="B540" s="329"/>
      <c r="L540">
        <v>0.0</v>
      </c>
    </row>
    <row r="541">
      <c r="B541" s="329"/>
      <c r="L541">
        <v>0.0</v>
      </c>
    </row>
    <row r="542">
      <c r="B542" s="329"/>
      <c r="L542">
        <v>0.0</v>
      </c>
    </row>
    <row r="543">
      <c r="B543" s="329"/>
      <c r="L543">
        <v>0.0</v>
      </c>
    </row>
    <row r="544">
      <c r="B544" s="329"/>
      <c r="L544">
        <v>0.0</v>
      </c>
    </row>
    <row r="545">
      <c r="B545" s="329"/>
      <c r="L545">
        <v>0.0</v>
      </c>
    </row>
    <row r="546">
      <c r="B546" s="329"/>
      <c r="L546">
        <v>0.0</v>
      </c>
    </row>
    <row r="547">
      <c r="B547" s="329"/>
      <c r="L547">
        <v>0.0</v>
      </c>
    </row>
    <row r="548">
      <c r="B548" s="329"/>
      <c r="L548">
        <v>0.0</v>
      </c>
    </row>
    <row r="549">
      <c r="B549" s="329"/>
      <c r="L549">
        <v>0.0</v>
      </c>
    </row>
    <row r="550">
      <c r="B550" s="329"/>
      <c r="L550">
        <v>0.0</v>
      </c>
    </row>
    <row r="551">
      <c r="B551" s="329"/>
      <c r="L551">
        <v>0.0</v>
      </c>
    </row>
    <row r="552">
      <c r="B552" s="329"/>
      <c r="L552">
        <v>0.0</v>
      </c>
    </row>
    <row r="553">
      <c r="B553" s="329"/>
      <c r="L553">
        <v>0.0</v>
      </c>
    </row>
    <row r="554">
      <c r="B554" s="329"/>
      <c r="L554">
        <v>0.0</v>
      </c>
    </row>
    <row r="555">
      <c r="B555" s="329"/>
      <c r="L555">
        <v>0.0</v>
      </c>
    </row>
    <row r="556">
      <c r="B556" s="329"/>
      <c r="L556">
        <v>0.0</v>
      </c>
    </row>
    <row r="557">
      <c r="B557" s="329"/>
      <c r="L557">
        <v>0.0</v>
      </c>
    </row>
    <row r="558">
      <c r="B558" s="329"/>
      <c r="L558">
        <v>0.0</v>
      </c>
    </row>
    <row r="559">
      <c r="B559" s="329"/>
      <c r="L559">
        <v>0.0</v>
      </c>
    </row>
    <row r="560">
      <c r="B560" s="329"/>
      <c r="L560">
        <v>0.0</v>
      </c>
    </row>
    <row r="561">
      <c r="B561" s="329"/>
      <c r="L561">
        <v>0.0</v>
      </c>
    </row>
    <row r="562">
      <c r="B562" s="329"/>
      <c r="L562">
        <v>0.0</v>
      </c>
    </row>
    <row r="563">
      <c r="B563" s="329"/>
      <c r="L563">
        <v>0.0</v>
      </c>
    </row>
    <row r="564">
      <c r="B564" s="329"/>
      <c r="L564">
        <v>0.0</v>
      </c>
    </row>
    <row r="565">
      <c r="B565" s="329"/>
      <c r="L565">
        <v>0.0</v>
      </c>
    </row>
    <row r="566">
      <c r="B566" s="329"/>
      <c r="L566">
        <v>0.0</v>
      </c>
    </row>
    <row r="567">
      <c r="B567" s="329"/>
      <c r="L567">
        <v>0.0</v>
      </c>
    </row>
    <row r="568">
      <c r="B568" s="329"/>
      <c r="L568">
        <v>0.0</v>
      </c>
    </row>
    <row r="569">
      <c r="B569" s="329"/>
      <c r="L569">
        <v>0.0</v>
      </c>
    </row>
    <row r="570">
      <c r="B570" s="329"/>
      <c r="L570">
        <v>0.0</v>
      </c>
    </row>
    <row r="571">
      <c r="B571" s="329"/>
      <c r="L571">
        <v>0.0</v>
      </c>
    </row>
    <row r="572">
      <c r="B572" s="329"/>
      <c r="L572">
        <v>0.0</v>
      </c>
    </row>
    <row r="573">
      <c r="B573" s="329"/>
      <c r="L573">
        <v>0.0</v>
      </c>
    </row>
    <row r="574">
      <c r="B574" s="329"/>
      <c r="L574">
        <v>0.0</v>
      </c>
    </row>
    <row r="575">
      <c r="B575" s="329"/>
      <c r="L575">
        <v>0.0</v>
      </c>
    </row>
    <row r="576">
      <c r="B576" s="329"/>
      <c r="L576">
        <v>0.0</v>
      </c>
    </row>
    <row r="577">
      <c r="B577" s="329"/>
      <c r="L577">
        <v>0.0</v>
      </c>
    </row>
    <row r="578">
      <c r="B578" s="329"/>
      <c r="L578">
        <v>0.0</v>
      </c>
    </row>
    <row r="579">
      <c r="B579" s="329"/>
      <c r="L579">
        <v>0.0</v>
      </c>
    </row>
    <row r="580">
      <c r="B580" s="329"/>
      <c r="L580">
        <v>0.0</v>
      </c>
    </row>
    <row r="581">
      <c r="B581" s="329"/>
      <c r="L581">
        <v>0.0</v>
      </c>
    </row>
    <row r="582">
      <c r="B582" s="329"/>
      <c r="L582">
        <v>0.0</v>
      </c>
    </row>
    <row r="583">
      <c r="B583" s="329"/>
      <c r="L583">
        <v>0.0</v>
      </c>
    </row>
    <row r="584">
      <c r="B584" s="329"/>
      <c r="L584">
        <v>0.0</v>
      </c>
    </row>
    <row r="585">
      <c r="B585" s="329"/>
      <c r="L585">
        <v>0.0</v>
      </c>
    </row>
    <row r="586">
      <c r="B586" s="329"/>
      <c r="L586">
        <v>0.0</v>
      </c>
    </row>
    <row r="587">
      <c r="B587" s="329"/>
      <c r="L587">
        <v>0.0</v>
      </c>
    </row>
    <row r="588">
      <c r="B588" s="329"/>
      <c r="L588">
        <v>0.0</v>
      </c>
    </row>
    <row r="589">
      <c r="B589" s="329"/>
      <c r="L589">
        <v>0.0</v>
      </c>
    </row>
    <row r="590">
      <c r="B590" s="329"/>
      <c r="L590">
        <v>0.0</v>
      </c>
    </row>
    <row r="591">
      <c r="B591" s="329"/>
      <c r="L591">
        <v>0.0</v>
      </c>
    </row>
    <row r="592">
      <c r="B592" s="329"/>
      <c r="L592">
        <v>0.0</v>
      </c>
    </row>
    <row r="593">
      <c r="B593" s="329"/>
      <c r="L593">
        <v>0.0</v>
      </c>
    </row>
    <row r="594">
      <c r="B594" s="329"/>
      <c r="L594">
        <v>0.0</v>
      </c>
    </row>
    <row r="595">
      <c r="B595" s="329"/>
      <c r="L595">
        <v>0.0</v>
      </c>
    </row>
    <row r="596">
      <c r="B596" s="329"/>
      <c r="L596">
        <v>0.0</v>
      </c>
    </row>
    <row r="597">
      <c r="B597" s="329"/>
      <c r="L597">
        <v>0.0</v>
      </c>
    </row>
    <row r="598">
      <c r="B598" s="329"/>
      <c r="L598">
        <v>0.0</v>
      </c>
    </row>
    <row r="599">
      <c r="B599" s="329"/>
      <c r="L599">
        <v>0.0</v>
      </c>
    </row>
    <row r="600">
      <c r="B600" s="329"/>
      <c r="L600">
        <v>0.0</v>
      </c>
    </row>
    <row r="601">
      <c r="B601" s="329"/>
      <c r="L601">
        <v>0.0</v>
      </c>
    </row>
    <row r="602">
      <c r="B602" s="329"/>
      <c r="L602">
        <v>0.0</v>
      </c>
    </row>
    <row r="603">
      <c r="B603" s="329"/>
      <c r="L603">
        <v>0.0</v>
      </c>
    </row>
    <row r="604">
      <c r="B604" s="329"/>
      <c r="L604">
        <v>0.0</v>
      </c>
    </row>
    <row r="605">
      <c r="B605" s="329"/>
      <c r="L605">
        <v>0.0</v>
      </c>
    </row>
    <row r="606">
      <c r="B606" s="329"/>
      <c r="L606">
        <v>0.0</v>
      </c>
    </row>
    <row r="607">
      <c r="B607" s="329"/>
      <c r="L607">
        <v>0.0</v>
      </c>
    </row>
    <row r="608">
      <c r="B608" s="329"/>
      <c r="L608">
        <v>0.0</v>
      </c>
    </row>
    <row r="609">
      <c r="B609" s="329"/>
      <c r="L609">
        <v>0.0</v>
      </c>
    </row>
    <row r="610">
      <c r="B610" s="329"/>
      <c r="L610">
        <v>0.0</v>
      </c>
    </row>
    <row r="611">
      <c r="B611" s="329"/>
      <c r="L611">
        <v>0.0</v>
      </c>
    </row>
    <row r="612">
      <c r="B612" s="329"/>
      <c r="L612">
        <v>0.0</v>
      </c>
    </row>
    <row r="613">
      <c r="B613" s="329"/>
      <c r="L613">
        <v>0.0</v>
      </c>
    </row>
    <row r="614">
      <c r="B614" s="329"/>
      <c r="L614">
        <v>0.0</v>
      </c>
    </row>
    <row r="615">
      <c r="B615" s="329"/>
      <c r="L615">
        <v>0.0</v>
      </c>
    </row>
    <row r="616">
      <c r="B616" s="329"/>
      <c r="L616">
        <v>0.0</v>
      </c>
    </row>
    <row r="617">
      <c r="B617" s="329"/>
      <c r="L617">
        <v>0.0</v>
      </c>
    </row>
    <row r="618">
      <c r="B618" s="329"/>
      <c r="L618">
        <v>0.0</v>
      </c>
    </row>
    <row r="619">
      <c r="B619" s="329"/>
      <c r="L619">
        <v>0.0</v>
      </c>
    </row>
    <row r="620">
      <c r="B620" s="329"/>
      <c r="L620">
        <v>0.0</v>
      </c>
    </row>
    <row r="621">
      <c r="B621" s="329"/>
      <c r="L621">
        <v>0.0</v>
      </c>
    </row>
    <row r="622">
      <c r="B622" s="329"/>
      <c r="L622">
        <v>0.0</v>
      </c>
    </row>
    <row r="623">
      <c r="B623" s="329"/>
      <c r="L623">
        <v>0.0</v>
      </c>
    </row>
    <row r="624">
      <c r="B624" s="329"/>
      <c r="L624">
        <v>0.0</v>
      </c>
    </row>
    <row r="625">
      <c r="B625" s="329"/>
      <c r="L625">
        <v>0.0</v>
      </c>
    </row>
    <row r="626">
      <c r="B626" s="329"/>
      <c r="L626">
        <v>0.0</v>
      </c>
    </row>
    <row r="627">
      <c r="B627" s="329"/>
      <c r="L627">
        <v>0.0</v>
      </c>
    </row>
    <row r="628">
      <c r="B628" s="329"/>
      <c r="L628">
        <v>0.0</v>
      </c>
    </row>
    <row r="629">
      <c r="B629" s="329"/>
      <c r="L629">
        <v>0.0</v>
      </c>
    </row>
    <row r="630">
      <c r="B630" s="329"/>
      <c r="L630">
        <v>0.0</v>
      </c>
    </row>
    <row r="631">
      <c r="B631" s="329"/>
      <c r="L631">
        <v>0.0</v>
      </c>
    </row>
    <row r="632">
      <c r="B632" s="329"/>
      <c r="L632">
        <v>0.0</v>
      </c>
    </row>
    <row r="633">
      <c r="B633" s="329"/>
      <c r="L633">
        <v>0.0</v>
      </c>
    </row>
    <row r="634">
      <c r="B634" s="329"/>
      <c r="L634">
        <v>0.0</v>
      </c>
    </row>
    <row r="635">
      <c r="B635" s="329"/>
      <c r="L635">
        <v>0.0</v>
      </c>
    </row>
    <row r="636">
      <c r="B636" s="329"/>
      <c r="L636">
        <v>0.0</v>
      </c>
    </row>
    <row r="637">
      <c r="B637" s="329"/>
      <c r="L637">
        <v>0.0</v>
      </c>
    </row>
    <row r="638">
      <c r="B638" s="329"/>
      <c r="L638">
        <v>0.0</v>
      </c>
    </row>
    <row r="639">
      <c r="B639" s="329"/>
      <c r="L639">
        <v>0.0</v>
      </c>
    </row>
    <row r="640">
      <c r="B640" s="329"/>
      <c r="L640">
        <v>0.0</v>
      </c>
    </row>
    <row r="641">
      <c r="B641" s="329"/>
      <c r="L641">
        <v>0.0</v>
      </c>
    </row>
    <row r="642">
      <c r="B642" s="329"/>
      <c r="L642">
        <v>0.0</v>
      </c>
    </row>
    <row r="643">
      <c r="B643" s="329"/>
      <c r="L643">
        <v>0.0</v>
      </c>
    </row>
    <row r="644">
      <c r="B644" s="329"/>
      <c r="L644">
        <v>0.0</v>
      </c>
    </row>
    <row r="645">
      <c r="B645" s="329"/>
      <c r="L645">
        <v>0.0</v>
      </c>
    </row>
    <row r="646">
      <c r="B646" s="329"/>
      <c r="L646">
        <v>0.0</v>
      </c>
    </row>
    <row r="647">
      <c r="B647" s="329"/>
      <c r="L647">
        <v>0.0</v>
      </c>
    </row>
    <row r="648">
      <c r="B648" s="329"/>
      <c r="L648">
        <v>0.0</v>
      </c>
    </row>
    <row r="649">
      <c r="B649" s="329"/>
      <c r="L649">
        <v>0.0</v>
      </c>
    </row>
    <row r="650">
      <c r="B650" s="329"/>
      <c r="L650">
        <v>0.0</v>
      </c>
    </row>
    <row r="651">
      <c r="B651" s="329"/>
      <c r="L651">
        <v>0.0</v>
      </c>
    </row>
    <row r="652">
      <c r="B652" s="329"/>
      <c r="L652">
        <v>0.0</v>
      </c>
    </row>
    <row r="653">
      <c r="B653" s="329"/>
      <c r="L653">
        <v>0.0</v>
      </c>
    </row>
    <row r="654">
      <c r="B654" s="329"/>
      <c r="L654">
        <v>0.0</v>
      </c>
    </row>
    <row r="655">
      <c r="B655" s="329"/>
      <c r="L655">
        <v>0.0</v>
      </c>
    </row>
    <row r="656">
      <c r="B656" s="329"/>
      <c r="L656">
        <v>0.0</v>
      </c>
    </row>
    <row r="657">
      <c r="B657" s="329"/>
      <c r="L657">
        <v>0.0</v>
      </c>
    </row>
    <row r="658">
      <c r="B658" s="329"/>
      <c r="L658">
        <v>0.0</v>
      </c>
    </row>
    <row r="659">
      <c r="B659" s="329"/>
      <c r="L659">
        <v>0.0</v>
      </c>
    </row>
    <row r="660">
      <c r="B660" s="329"/>
      <c r="L660">
        <v>0.0</v>
      </c>
    </row>
    <row r="661">
      <c r="B661" s="329"/>
      <c r="L661">
        <v>0.0</v>
      </c>
    </row>
    <row r="662">
      <c r="B662" s="329"/>
      <c r="L662">
        <v>0.0</v>
      </c>
    </row>
    <row r="663">
      <c r="B663" s="329"/>
      <c r="L663">
        <v>0.0</v>
      </c>
    </row>
    <row r="664">
      <c r="B664" s="329"/>
      <c r="L664">
        <v>0.0</v>
      </c>
    </row>
    <row r="665">
      <c r="B665" s="329"/>
      <c r="L665">
        <v>0.0</v>
      </c>
    </row>
    <row r="666">
      <c r="B666" s="329"/>
      <c r="L666">
        <v>0.0</v>
      </c>
    </row>
    <row r="667">
      <c r="B667" s="329"/>
      <c r="L667">
        <v>0.0</v>
      </c>
    </row>
    <row r="668">
      <c r="B668" s="329"/>
      <c r="L668">
        <v>0.0</v>
      </c>
    </row>
    <row r="669">
      <c r="B669" s="329"/>
      <c r="L669">
        <v>0.0</v>
      </c>
    </row>
    <row r="670">
      <c r="B670" s="329"/>
      <c r="L670">
        <v>0.0</v>
      </c>
    </row>
    <row r="671">
      <c r="B671" s="329"/>
      <c r="L671">
        <v>0.0</v>
      </c>
    </row>
    <row r="672">
      <c r="B672" s="329"/>
      <c r="L672">
        <v>0.0</v>
      </c>
    </row>
    <row r="673">
      <c r="B673" s="329"/>
      <c r="L673">
        <v>0.0</v>
      </c>
    </row>
    <row r="674">
      <c r="B674" s="329"/>
      <c r="L674">
        <v>0.0</v>
      </c>
    </row>
    <row r="675">
      <c r="B675" s="329"/>
      <c r="L675">
        <v>0.0</v>
      </c>
    </row>
    <row r="676">
      <c r="B676" s="329"/>
      <c r="L676">
        <v>0.0</v>
      </c>
    </row>
    <row r="677">
      <c r="B677" s="329"/>
      <c r="L677">
        <v>0.0</v>
      </c>
    </row>
    <row r="678">
      <c r="B678" s="329"/>
      <c r="L678">
        <v>0.0</v>
      </c>
    </row>
    <row r="679">
      <c r="B679" s="329"/>
      <c r="L679">
        <v>0.0</v>
      </c>
    </row>
    <row r="680">
      <c r="B680" s="329"/>
      <c r="L680">
        <v>0.0</v>
      </c>
    </row>
    <row r="681">
      <c r="B681" s="329"/>
      <c r="L681">
        <v>0.0</v>
      </c>
    </row>
    <row r="682">
      <c r="B682" s="329"/>
      <c r="L682">
        <v>0.0</v>
      </c>
    </row>
    <row r="683">
      <c r="B683" s="329"/>
      <c r="L683">
        <v>0.0</v>
      </c>
    </row>
    <row r="684">
      <c r="B684" s="329"/>
      <c r="L684">
        <v>0.0</v>
      </c>
    </row>
    <row r="685">
      <c r="B685" s="329"/>
      <c r="L685">
        <v>0.0</v>
      </c>
    </row>
    <row r="686">
      <c r="B686" s="329"/>
      <c r="L686">
        <v>0.0</v>
      </c>
    </row>
    <row r="687">
      <c r="B687" s="329"/>
      <c r="L687">
        <v>0.0</v>
      </c>
    </row>
    <row r="688">
      <c r="B688" s="329"/>
      <c r="L688">
        <v>0.0</v>
      </c>
    </row>
    <row r="689">
      <c r="B689" s="329"/>
      <c r="L689">
        <v>0.0</v>
      </c>
    </row>
    <row r="690">
      <c r="B690" s="329"/>
      <c r="L690">
        <v>0.0</v>
      </c>
    </row>
    <row r="691">
      <c r="B691" s="329"/>
      <c r="L691">
        <v>0.0</v>
      </c>
    </row>
    <row r="692">
      <c r="B692" s="329"/>
      <c r="L692">
        <v>0.0</v>
      </c>
    </row>
    <row r="693">
      <c r="B693" s="329"/>
      <c r="L693">
        <v>0.0</v>
      </c>
    </row>
    <row r="694">
      <c r="B694" s="329"/>
      <c r="L694">
        <v>0.0</v>
      </c>
    </row>
    <row r="695">
      <c r="B695" s="329"/>
      <c r="L695">
        <v>0.0</v>
      </c>
    </row>
    <row r="696">
      <c r="B696" s="329"/>
      <c r="L696">
        <v>0.0</v>
      </c>
    </row>
    <row r="697">
      <c r="B697" s="329"/>
      <c r="L697">
        <v>0.0</v>
      </c>
    </row>
    <row r="698">
      <c r="B698" s="329"/>
      <c r="L698">
        <v>0.0</v>
      </c>
    </row>
    <row r="699">
      <c r="B699" s="329"/>
      <c r="L699">
        <v>0.0</v>
      </c>
    </row>
    <row r="700">
      <c r="B700" s="329"/>
      <c r="L700">
        <v>0.0</v>
      </c>
    </row>
    <row r="701">
      <c r="B701" s="329"/>
      <c r="L701">
        <v>0.0</v>
      </c>
    </row>
    <row r="702">
      <c r="B702" s="329"/>
      <c r="L702">
        <v>0.0</v>
      </c>
    </row>
    <row r="703">
      <c r="B703" s="329"/>
      <c r="L703">
        <v>0.0</v>
      </c>
    </row>
    <row r="704">
      <c r="B704" s="329"/>
      <c r="L704">
        <v>0.0</v>
      </c>
    </row>
    <row r="705">
      <c r="B705" s="329"/>
      <c r="L705">
        <v>0.0</v>
      </c>
    </row>
    <row r="706">
      <c r="B706" s="329"/>
      <c r="L706">
        <v>0.0</v>
      </c>
    </row>
    <row r="707">
      <c r="B707" s="329"/>
      <c r="L707">
        <v>0.0</v>
      </c>
    </row>
    <row r="708">
      <c r="B708" s="329"/>
      <c r="L708">
        <v>0.0</v>
      </c>
    </row>
    <row r="709">
      <c r="B709" s="329"/>
      <c r="L709">
        <v>0.0</v>
      </c>
    </row>
    <row r="710">
      <c r="B710" s="329"/>
      <c r="L710">
        <v>0.0</v>
      </c>
    </row>
    <row r="711">
      <c r="B711" s="329"/>
      <c r="L711">
        <v>0.0</v>
      </c>
    </row>
    <row r="712">
      <c r="B712" s="329"/>
      <c r="L712">
        <v>0.0</v>
      </c>
    </row>
    <row r="713">
      <c r="B713" s="329"/>
      <c r="L713">
        <v>0.0</v>
      </c>
    </row>
    <row r="714">
      <c r="B714" s="329"/>
      <c r="L714">
        <v>0.0</v>
      </c>
    </row>
    <row r="715">
      <c r="B715" s="329"/>
      <c r="L715">
        <v>0.0</v>
      </c>
    </row>
    <row r="716">
      <c r="B716" s="329"/>
      <c r="L716">
        <v>0.0</v>
      </c>
    </row>
    <row r="717">
      <c r="B717" s="329"/>
      <c r="L717">
        <v>0.0</v>
      </c>
    </row>
    <row r="718">
      <c r="B718" s="329"/>
      <c r="L718">
        <v>0.0</v>
      </c>
    </row>
    <row r="719">
      <c r="B719" s="329"/>
      <c r="L719">
        <v>0.0</v>
      </c>
    </row>
    <row r="720">
      <c r="B720" s="329"/>
      <c r="L720">
        <v>0.0</v>
      </c>
    </row>
    <row r="721">
      <c r="B721" s="329"/>
      <c r="L721">
        <v>0.0</v>
      </c>
    </row>
    <row r="722">
      <c r="B722" s="329"/>
      <c r="L722">
        <v>0.0</v>
      </c>
    </row>
    <row r="723">
      <c r="B723" s="329"/>
      <c r="L723">
        <v>0.0</v>
      </c>
    </row>
    <row r="724">
      <c r="B724" s="329"/>
      <c r="L724">
        <v>0.0</v>
      </c>
    </row>
    <row r="725">
      <c r="B725" s="329"/>
      <c r="L725">
        <v>0.0</v>
      </c>
    </row>
    <row r="726">
      <c r="B726" s="329"/>
      <c r="L726">
        <v>0.0</v>
      </c>
    </row>
    <row r="727">
      <c r="B727" s="329"/>
      <c r="L727">
        <v>0.0</v>
      </c>
    </row>
    <row r="728">
      <c r="B728" s="329"/>
      <c r="L728">
        <v>0.0</v>
      </c>
    </row>
    <row r="729">
      <c r="B729" s="329"/>
      <c r="L729">
        <v>0.0</v>
      </c>
    </row>
    <row r="730">
      <c r="B730" s="329"/>
      <c r="L730">
        <v>0.0</v>
      </c>
    </row>
    <row r="731">
      <c r="B731" s="329"/>
      <c r="L731">
        <v>0.0</v>
      </c>
    </row>
    <row r="732">
      <c r="B732" s="329"/>
      <c r="L732">
        <v>0.0</v>
      </c>
    </row>
    <row r="733">
      <c r="B733" s="329"/>
      <c r="L733">
        <v>0.0</v>
      </c>
    </row>
    <row r="734">
      <c r="B734" s="329"/>
      <c r="L734">
        <v>0.0</v>
      </c>
    </row>
    <row r="735">
      <c r="B735" s="329"/>
      <c r="L735">
        <v>0.0</v>
      </c>
    </row>
    <row r="736">
      <c r="B736" s="329"/>
      <c r="L736">
        <v>0.0</v>
      </c>
    </row>
    <row r="737">
      <c r="B737" s="329"/>
      <c r="L737">
        <v>0.0</v>
      </c>
    </row>
    <row r="738">
      <c r="B738" s="329"/>
      <c r="L738">
        <v>0.0</v>
      </c>
    </row>
    <row r="739">
      <c r="B739" s="329"/>
      <c r="L739">
        <v>0.0</v>
      </c>
    </row>
    <row r="740">
      <c r="B740" s="329"/>
      <c r="L740">
        <v>0.0</v>
      </c>
    </row>
    <row r="741">
      <c r="B741" s="329"/>
      <c r="L741">
        <v>0.0</v>
      </c>
    </row>
    <row r="742">
      <c r="B742" s="329"/>
      <c r="L742">
        <v>0.0</v>
      </c>
    </row>
    <row r="743">
      <c r="B743" s="329"/>
      <c r="L743">
        <v>0.0</v>
      </c>
    </row>
    <row r="744">
      <c r="B744" s="329"/>
      <c r="L744">
        <v>0.0</v>
      </c>
    </row>
    <row r="745">
      <c r="B745" s="329"/>
      <c r="L745">
        <v>0.0</v>
      </c>
    </row>
    <row r="746">
      <c r="B746" s="329"/>
      <c r="L746">
        <v>0.0</v>
      </c>
    </row>
    <row r="747">
      <c r="B747" s="329"/>
      <c r="L747">
        <v>0.0</v>
      </c>
    </row>
    <row r="748">
      <c r="B748" s="329"/>
      <c r="L748">
        <v>0.0</v>
      </c>
    </row>
    <row r="749">
      <c r="B749" s="329"/>
      <c r="L749">
        <v>0.0</v>
      </c>
    </row>
    <row r="750">
      <c r="B750" s="329"/>
      <c r="L750">
        <v>0.0</v>
      </c>
    </row>
    <row r="751">
      <c r="B751" s="329"/>
      <c r="L751">
        <v>0.0</v>
      </c>
    </row>
    <row r="752">
      <c r="B752" s="329"/>
      <c r="L752">
        <v>0.0</v>
      </c>
    </row>
    <row r="753">
      <c r="B753" s="329"/>
      <c r="L753">
        <v>0.0</v>
      </c>
    </row>
    <row r="754">
      <c r="B754" s="329"/>
      <c r="L754">
        <v>0.0</v>
      </c>
    </row>
    <row r="755">
      <c r="B755" s="329"/>
      <c r="L755">
        <v>0.0</v>
      </c>
    </row>
    <row r="756">
      <c r="B756" s="329"/>
      <c r="L756">
        <v>0.0</v>
      </c>
    </row>
    <row r="757">
      <c r="B757" s="329"/>
      <c r="L757">
        <v>0.0</v>
      </c>
    </row>
    <row r="758">
      <c r="B758" s="329"/>
      <c r="L758">
        <v>0.0</v>
      </c>
    </row>
    <row r="759">
      <c r="B759" s="329"/>
      <c r="L759">
        <v>0.0</v>
      </c>
    </row>
    <row r="760">
      <c r="B760" s="329"/>
      <c r="L760">
        <v>0.0</v>
      </c>
    </row>
    <row r="761">
      <c r="B761" s="329"/>
      <c r="L761">
        <v>0.0</v>
      </c>
    </row>
    <row r="762">
      <c r="B762" s="329"/>
      <c r="L762">
        <v>0.0</v>
      </c>
    </row>
    <row r="763">
      <c r="B763" s="329"/>
      <c r="L763">
        <v>0.0</v>
      </c>
    </row>
    <row r="764">
      <c r="B764" s="329"/>
      <c r="L764">
        <v>0.0</v>
      </c>
    </row>
    <row r="765">
      <c r="B765" s="329"/>
      <c r="L765">
        <v>0.0</v>
      </c>
    </row>
    <row r="766">
      <c r="B766" s="329"/>
      <c r="L766">
        <v>0.0</v>
      </c>
    </row>
    <row r="767">
      <c r="B767" s="329"/>
      <c r="L767">
        <v>0.0</v>
      </c>
    </row>
    <row r="768">
      <c r="B768" s="329"/>
      <c r="L768">
        <v>0.0</v>
      </c>
    </row>
    <row r="769">
      <c r="B769" s="329"/>
      <c r="L769">
        <v>0.0</v>
      </c>
    </row>
    <row r="770">
      <c r="B770" s="329"/>
      <c r="L770">
        <v>0.0</v>
      </c>
    </row>
    <row r="771">
      <c r="B771" s="329"/>
      <c r="L771">
        <v>0.0</v>
      </c>
    </row>
    <row r="772">
      <c r="B772" s="329"/>
      <c r="L772">
        <v>0.0</v>
      </c>
    </row>
    <row r="773">
      <c r="B773" s="329"/>
      <c r="L773">
        <v>0.0</v>
      </c>
    </row>
    <row r="774">
      <c r="B774" s="329"/>
      <c r="L774">
        <v>0.0</v>
      </c>
    </row>
    <row r="775">
      <c r="B775" s="329"/>
      <c r="L775">
        <v>0.0</v>
      </c>
    </row>
    <row r="776">
      <c r="B776" s="329"/>
      <c r="L776">
        <v>0.0</v>
      </c>
    </row>
    <row r="777">
      <c r="B777" s="329"/>
      <c r="L777">
        <v>0.0</v>
      </c>
    </row>
    <row r="778">
      <c r="B778" s="329"/>
      <c r="L778">
        <v>0.0</v>
      </c>
    </row>
    <row r="779">
      <c r="B779" s="329"/>
      <c r="L779">
        <v>0.0</v>
      </c>
    </row>
    <row r="780">
      <c r="B780" s="329"/>
      <c r="L780">
        <v>0.0</v>
      </c>
    </row>
    <row r="781">
      <c r="B781" s="329"/>
      <c r="L781">
        <v>0.0</v>
      </c>
    </row>
    <row r="782">
      <c r="B782" s="329"/>
      <c r="L782">
        <v>0.0</v>
      </c>
    </row>
    <row r="783">
      <c r="B783" s="329"/>
      <c r="L783">
        <v>0.0</v>
      </c>
    </row>
    <row r="784">
      <c r="B784" s="329"/>
      <c r="L784">
        <v>0.0</v>
      </c>
    </row>
    <row r="785">
      <c r="B785" s="329"/>
      <c r="L785">
        <v>0.0</v>
      </c>
    </row>
    <row r="786">
      <c r="B786" s="329"/>
      <c r="L786">
        <v>0.0</v>
      </c>
    </row>
    <row r="787">
      <c r="B787" s="329"/>
      <c r="L787">
        <v>0.0</v>
      </c>
    </row>
    <row r="788">
      <c r="B788" s="329"/>
      <c r="L788">
        <v>0.0</v>
      </c>
    </row>
    <row r="789">
      <c r="B789" s="329"/>
      <c r="L789">
        <v>0.0</v>
      </c>
    </row>
    <row r="790">
      <c r="B790" s="329"/>
      <c r="L790">
        <v>0.0</v>
      </c>
    </row>
    <row r="791">
      <c r="B791" s="329"/>
      <c r="L791">
        <v>0.0</v>
      </c>
    </row>
    <row r="792">
      <c r="B792" s="329"/>
      <c r="L792">
        <v>0.0</v>
      </c>
    </row>
    <row r="793">
      <c r="B793" s="329"/>
      <c r="L793">
        <v>0.0</v>
      </c>
    </row>
    <row r="794">
      <c r="B794" s="329"/>
      <c r="L794">
        <v>0.0</v>
      </c>
    </row>
    <row r="795">
      <c r="B795" s="329"/>
      <c r="L795">
        <v>0.0</v>
      </c>
    </row>
    <row r="796">
      <c r="B796" s="329"/>
      <c r="L796">
        <v>0.0</v>
      </c>
    </row>
    <row r="797">
      <c r="B797" s="329"/>
      <c r="L797">
        <v>0.0</v>
      </c>
    </row>
    <row r="798">
      <c r="B798" s="329"/>
      <c r="L798">
        <v>0.0</v>
      </c>
    </row>
    <row r="799">
      <c r="B799" s="329"/>
      <c r="L799">
        <v>0.0</v>
      </c>
    </row>
    <row r="800">
      <c r="B800" s="329"/>
      <c r="L800">
        <v>0.0</v>
      </c>
    </row>
    <row r="801">
      <c r="B801" s="329"/>
      <c r="L801">
        <v>0.0</v>
      </c>
    </row>
    <row r="802">
      <c r="B802" s="329"/>
      <c r="L802">
        <v>0.0</v>
      </c>
    </row>
    <row r="803">
      <c r="B803" s="329"/>
      <c r="L803">
        <v>0.0</v>
      </c>
    </row>
    <row r="804">
      <c r="B804" s="329"/>
      <c r="L804">
        <v>0.0</v>
      </c>
    </row>
    <row r="805">
      <c r="B805" s="329"/>
      <c r="L805">
        <v>0.0</v>
      </c>
    </row>
    <row r="806">
      <c r="B806" s="329"/>
      <c r="L806">
        <v>0.0</v>
      </c>
    </row>
    <row r="807">
      <c r="B807" s="329"/>
      <c r="L807">
        <v>0.0</v>
      </c>
    </row>
    <row r="808">
      <c r="B808" s="329"/>
      <c r="L808">
        <v>0.0</v>
      </c>
    </row>
    <row r="809">
      <c r="B809" s="329"/>
      <c r="L809">
        <v>0.0</v>
      </c>
    </row>
    <row r="810">
      <c r="B810" s="329"/>
      <c r="L810">
        <v>0.0</v>
      </c>
    </row>
    <row r="811">
      <c r="B811" s="329"/>
      <c r="L811">
        <v>0.0</v>
      </c>
    </row>
    <row r="812">
      <c r="B812" s="329"/>
      <c r="L812">
        <v>0.0</v>
      </c>
    </row>
    <row r="813">
      <c r="B813" s="329"/>
      <c r="L813">
        <v>0.0</v>
      </c>
    </row>
    <row r="814">
      <c r="B814" s="329"/>
      <c r="L814">
        <v>0.0</v>
      </c>
    </row>
    <row r="815">
      <c r="B815" s="329"/>
      <c r="L815">
        <v>0.0</v>
      </c>
    </row>
    <row r="816">
      <c r="B816" s="329"/>
      <c r="L816">
        <v>0.0</v>
      </c>
    </row>
    <row r="817">
      <c r="B817" s="329"/>
      <c r="L817">
        <v>0.0</v>
      </c>
    </row>
    <row r="818">
      <c r="B818" s="329"/>
      <c r="L818">
        <v>0.0</v>
      </c>
    </row>
    <row r="819">
      <c r="B819" s="329"/>
      <c r="L819">
        <v>0.0</v>
      </c>
    </row>
    <row r="820">
      <c r="B820" s="329"/>
      <c r="L820">
        <v>0.0</v>
      </c>
    </row>
    <row r="821">
      <c r="B821" s="329"/>
      <c r="L821">
        <v>0.0</v>
      </c>
    </row>
    <row r="822">
      <c r="B822" s="329"/>
      <c r="L822">
        <v>0.0</v>
      </c>
    </row>
    <row r="823">
      <c r="B823" s="329"/>
      <c r="L823">
        <v>0.0</v>
      </c>
    </row>
    <row r="824">
      <c r="B824" s="329"/>
      <c r="L824">
        <v>0.0</v>
      </c>
    </row>
    <row r="825">
      <c r="B825" s="329"/>
      <c r="L825">
        <v>0.0</v>
      </c>
    </row>
    <row r="826">
      <c r="B826" s="329"/>
      <c r="L826">
        <v>0.0</v>
      </c>
    </row>
    <row r="827">
      <c r="B827" s="329"/>
      <c r="L827">
        <v>0.0</v>
      </c>
    </row>
    <row r="828">
      <c r="B828" s="329"/>
      <c r="L828">
        <v>0.0</v>
      </c>
    </row>
    <row r="829">
      <c r="B829" s="329"/>
      <c r="L829">
        <v>0.0</v>
      </c>
    </row>
    <row r="830">
      <c r="B830" s="329"/>
      <c r="L830">
        <v>0.0</v>
      </c>
    </row>
    <row r="831">
      <c r="B831" s="329"/>
      <c r="L831">
        <v>0.0</v>
      </c>
    </row>
    <row r="832">
      <c r="B832" s="329"/>
      <c r="L832">
        <v>0.0</v>
      </c>
    </row>
    <row r="833">
      <c r="B833" s="329"/>
      <c r="L833">
        <v>0.0</v>
      </c>
    </row>
    <row r="834">
      <c r="B834" s="329"/>
      <c r="L834">
        <v>0.0</v>
      </c>
    </row>
    <row r="835">
      <c r="B835" s="329"/>
      <c r="L835">
        <v>0.0</v>
      </c>
    </row>
    <row r="836">
      <c r="B836" s="329"/>
      <c r="L836">
        <v>0.0</v>
      </c>
    </row>
    <row r="837">
      <c r="B837" s="329"/>
      <c r="L837">
        <v>0.0</v>
      </c>
    </row>
    <row r="838">
      <c r="B838" s="329"/>
      <c r="L838">
        <v>0.0</v>
      </c>
    </row>
    <row r="839">
      <c r="B839" s="329"/>
      <c r="L839">
        <v>0.0</v>
      </c>
    </row>
    <row r="840">
      <c r="B840" s="329"/>
      <c r="L840">
        <v>0.0</v>
      </c>
    </row>
    <row r="841">
      <c r="B841" s="329"/>
      <c r="L841">
        <v>0.0</v>
      </c>
    </row>
    <row r="842">
      <c r="B842" s="329"/>
      <c r="L842">
        <v>0.0</v>
      </c>
    </row>
    <row r="843">
      <c r="B843" s="329"/>
      <c r="L843">
        <v>0.0</v>
      </c>
    </row>
    <row r="844">
      <c r="B844" s="329"/>
      <c r="L844">
        <v>0.0</v>
      </c>
    </row>
    <row r="845">
      <c r="B845" s="329"/>
      <c r="L845">
        <v>0.0</v>
      </c>
    </row>
    <row r="846">
      <c r="B846" s="329"/>
      <c r="L846">
        <v>0.0</v>
      </c>
    </row>
    <row r="847">
      <c r="B847" s="329"/>
      <c r="L847">
        <v>0.0</v>
      </c>
    </row>
    <row r="848">
      <c r="B848" s="329"/>
      <c r="L848">
        <v>0.0</v>
      </c>
    </row>
    <row r="849">
      <c r="B849" s="329"/>
      <c r="L849">
        <v>0.0</v>
      </c>
    </row>
    <row r="850">
      <c r="B850" s="329"/>
      <c r="L850">
        <v>0.0</v>
      </c>
    </row>
    <row r="851">
      <c r="B851" s="329"/>
      <c r="L851">
        <v>0.0</v>
      </c>
    </row>
    <row r="852">
      <c r="B852" s="329"/>
      <c r="L852">
        <v>0.0</v>
      </c>
    </row>
    <row r="853">
      <c r="B853" s="329"/>
      <c r="L853">
        <v>0.0</v>
      </c>
    </row>
    <row r="854">
      <c r="B854" s="329"/>
      <c r="L854">
        <v>0.0</v>
      </c>
    </row>
    <row r="855">
      <c r="B855" s="329"/>
      <c r="L855">
        <v>0.0</v>
      </c>
    </row>
    <row r="856">
      <c r="B856" s="329"/>
      <c r="L856">
        <v>0.0</v>
      </c>
    </row>
    <row r="857">
      <c r="B857" s="329"/>
      <c r="L857">
        <v>0.0</v>
      </c>
    </row>
    <row r="858">
      <c r="B858" s="329"/>
      <c r="L858">
        <v>0.0</v>
      </c>
    </row>
    <row r="859">
      <c r="B859" s="329"/>
      <c r="L859">
        <v>0.0</v>
      </c>
    </row>
    <row r="860">
      <c r="B860" s="329"/>
      <c r="L860">
        <v>0.0</v>
      </c>
    </row>
    <row r="861">
      <c r="B861" s="329"/>
      <c r="L861">
        <v>0.0</v>
      </c>
    </row>
    <row r="862">
      <c r="B862" s="329"/>
      <c r="L862">
        <v>0.0</v>
      </c>
    </row>
    <row r="863">
      <c r="B863" s="329"/>
      <c r="L863">
        <v>0.0</v>
      </c>
    </row>
    <row r="864">
      <c r="B864" s="329"/>
      <c r="L864">
        <v>0.0</v>
      </c>
    </row>
    <row r="865">
      <c r="B865" s="329"/>
      <c r="L865">
        <v>0.0</v>
      </c>
    </row>
    <row r="866">
      <c r="B866" s="329"/>
      <c r="L866">
        <v>0.0</v>
      </c>
    </row>
    <row r="867">
      <c r="B867" s="329"/>
      <c r="L867">
        <v>0.0</v>
      </c>
    </row>
    <row r="868">
      <c r="B868" s="329"/>
      <c r="L868">
        <v>0.0</v>
      </c>
    </row>
    <row r="869">
      <c r="B869" s="329"/>
      <c r="L869">
        <v>0.0</v>
      </c>
    </row>
    <row r="870">
      <c r="B870" s="329"/>
      <c r="L870">
        <v>0.0</v>
      </c>
    </row>
    <row r="871">
      <c r="B871" s="329"/>
      <c r="L871">
        <v>0.0</v>
      </c>
    </row>
    <row r="872">
      <c r="B872" s="329"/>
      <c r="L872">
        <v>0.0</v>
      </c>
    </row>
    <row r="873">
      <c r="B873" s="329"/>
      <c r="L873">
        <v>0.0</v>
      </c>
    </row>
    <row r="874">
      <c r="B874" s="329"/>
      <c r="L874">
        <v>0.0</v>
      </c>
    </row>
    <row r="875">
      <c r="B875" s="329"/>
      <c r="L875">
        <v>0.0</v>
      </c>
    </row>
    <row r="876">
      <c r="B876" s="329"/>
      <c r="L876">
        <v>0.0</v>
      </c>
    </row>
    <row r="877">
      <c r="B877" s="329"/>
      <c r="L877">
        <v>0.0</v>
      </c>
    </row>
    <row r="878">
      <c r="B878" s="329"/>
      <c r="L878">
        <v>0.0</v>
      </c>
    </row>
    <row r="879">
      <c r="B879" s="329"/>
      <c r="L879">
        <v>0.0</v>
      </c>
    </row>
    <row r="880">
      <c r="B880" s="329"/>
      <c r="L880">
        <v>0.0</v>
      </c>
    </row>
    <row r="881">
      <c r="B881" s="329"/>
      <c r="L881">
        <v>0.0</v>
      </c>
    </row>
    <row r="882">
      <c r="B882" s="329"/>
      <c r="L882">
        <v>0.0</v>
      </c>
    </row>
    <row r="883">
      <c r="B883" s="329"/>
      <c r="L883">
        <v>0.0</v>
      </c>
    </row>
    <row r="884">
      <c r="B884" s="329"/>
      <c r="L884">
        <v>0.0</v>
      </c>
    </row>
    <row r="885">
      <c r="B885" s="329"/>
      <c r="L885">
        <v>0.0</v>
      </c>
    </row>
    <row r="886">
      <c r="B886" s="329"/>
      <c r="L886">
        <v>0.0</v>
      </c>
    </row>
    <row r="887">
      <c r="B887" s="329"/>
      <c r="L887">
        <v>0.0</v>
      </c>
    </row>
    <row r="888">
      <c r="B888" s="329"/>
      <c r="L888">
        <v>0.0</v>
      </c>
    </row>
    <row r="889">
      <c r="B889" s="329"/>
      <c r="L889">
        <v>0.0</v>
      </c>
    </row>
    <row r="890">
      <c r="B890" s="329"/>
      <c r="L890">
        <v>0.0</v>
      </c>
    </row>
    <row r="891">
      <c r="B891" s="329"/>
      <c r="L891">
        <v>0.0</v>
      </c>
    </row>
    <row r="892">
      <c r="B892" s="329"/>
      <c r="L892">
        <v>0.0</v>
      </c>
    </row>
    <row r="893">
      <c r="B893" s="329"/>
      <c r="L893">
        <v>0.0</v>
      </c>
    </row>
    <row r="894">
      <c r="B894" s="329"/>
      <c r="L894">
        <v>0.0</v>
      </c>
    </row>
    <row r="895">
      <c r="B895" s="329"/>
      <c r="L895">
        <v>0.0</v>
      </c>
    </row>
    <row r="896">
      <c r="B896" s="329"/>
      <c r="L896">
        <v>0.0</v>
      </c>
    </row>
    <row r="897">
      <c r="B897" s="329"/>
      <c r="L897">
        <v>0.0</v>
      </c>
    </row>
    <row r="898">
      <c r="B898" s="329"/>
      <c r="L898">
        <v>0.0</v>
      </c>
    </row>
    <row r="899">
      <c r="B899" s="329"/>
      <c r="L899">
        <v>0.0</v>
      </c>
    </row>
    <row r="900">
      <c r="B900" s="329"/>
      <c r="L900">
        <v>0.0</v>
      </c>
    </row>
    <row r="901">
      <c r="B901" s="329"/>
      <c r="L901">
        <v>0.0</v>
      </c>
    </row>
    <row r="902">
      <c r="B902" s="329"/>
      <c r="L902">
        <v>0.0</v>
      </c>
    </row>
    <row r="903">
      <c r="B903" s="329"/>
      <c r="L903">
        <v>0.0</v>
      </c>
    </row>
    <row r="904">
      <c r="B904" s="329"/>
      <c r="L904">
        <v>0.0</v>
      </c>
    </row>
    <row r="905">
      <c r="B905" s="329"/>
      <c r="L905">
        <v>0.0</v>
      </c>
    </row>
    <row r="906">
      <c r="B906" s="329"/>
      <c r="L906">
        <v>0.0</v>
      </c>
    </row>
    <row r="907">
      <c r="B907" s="329"/>
      <c r="L907">
        <v>0.0</v>
      </c>
    </row>
    <row r="908">
      <c r="B908" s="329"/>
      <c r="L908">
        <v>0.0</v>
      </c>
    </row>
    <row r="909">
      <c r="B909" s="329"/>
      <c r="L909">
        <v>0.0</v>
      </c>
    </row>
    <row r="910">
      <c r="B910" s="329"/>
      <c r="L910">
        <v>0.0</v>
      </c>
    </row>
    <row r="911">
      <c r="B911" s="329"/>
      <c r="L911">
        <v>0.0</v>
      </c>
    </row>
    <row r="912">
      <c r="B912" s="329"/>
      <c r="L912">
        <v>0.0</v>
      </c>
    </row>
    <row r="913">
      <c r="B913" s="329"/>
      <c r="L913">
        <v>0.0</v>
      </c>
    </row>
    <row r="914">
      <c r="B914" s="329"/>
      <c r="L914">
        <v>0.0</v>
      </c>
    </row>
    <row r="915">
      <c r="B915" s="329"/>
      <c r="L915">
        <v>0.0</v>
      </c>
    </row>
    <row r="916">
      <c r="B916" s="329"/>
      <c r="L916">
        <v>0.0</v>
      </c>
    </row>
    <row r="917">
      <c r="B917" s="329"/>
      <c r="L917">
        <v>0.0</v>
      </c>
    </row>
    <row r="918">
      <c r="B918" s="329"/>
      <c r="L918">
        <v>0.0</v>
      </c>
    </row>
    <row r="919">
      <c r="B919" s="329"/>
      <c r="L919">
        <v>0.0</v>
      </c>
    </row>
    <row r="920">
      <c r="B920" s="329"/>
      <c r="L920">
        <v>0.0</v>
      </c>
    </row>
    <row r="921">
      <c r="B921" s="329"/>
      <c r="L921">
        <v>0.0</v>
      </c>
    </row>
    <row r="922">
      <c r="B922" s="329"/>
      <c r="L922">
        <v>0.0</v>
      </c>
    </row>
    <row r="923">
      <c r="B923" s="329"/>
      <c r="L923">
        <v>0.0</v>
      </c>
    </row>
    <row r="924">
      <c r="B924" s="329"/>
      <c r="L924">
        <v>0.0</v>
      </c>
    </row>
    <row r="925">
      <c r="B925" s="329"/>
      <c r="L925">
        <v>0.0</v>
      </c>
    </row>
    <row r="926">
      <c r="B926" s="329"/>
      <c r="L926">
        <v>0.0</v>
      </c>
    </row>
    <row r="927">
      <c r="B927" s="329"/>
      <c r="L927">
        <v>0.0</v>
      </c>
    </row>
    <row r="928">
      <c r="B928" s="329"/>
      <c r="L928">
        <v>0.0</v>
      </c>
    </row>
    <row r="929">
      <c r="B929" s="329"/>
      <c r="L929">
        <v>0.0</v>
      </c>
    </row>
    <row r="930">
      <c r="B930" s="329"/>
      <c r="L930">
        <v>0.0</v>
      </c>
    </row>
    <row r="931">
      <c r="B931" s="329"/>
      <c r="L931">
        <v>0.0</v>
      </c>
    </row>
    <row r="932">
      <c r="B932" s="329"/>
      <c r="L932">
        <v>0.0</v>
      </c>
    </row>
    <row r="933">
      <c r="B933" s="329"/>
      <c r="L933">
        <v>0.0</v>
      </c>
    </row>
    <row r="934">
      <c r="B934" s="329"/>
      <c r="L934">
        <v>0.0</v>
      </c>
    </row>
    <row r="935">
      <c r="B935" s="329"/>
      <c r="L935">
        <v>0.0</v>
      </c>
    </row>
    <row r="936">
      <c r="B936" s="329"/>
      <c r="L936">
        <v>0.0</v>
      </c>
    </row>
    <row r="937">
      <c r="B937" s="329"/>
      <c r="L937">
        <v>0.0</v>
      </c>
    </row>
    <row r="938">
      <c r="B938" s="329"/>
      <c r="L938">
        <v>0.0</v>
      </c>
    </row>
    <row r="939">
      <c r="B939" s="329"/>
      <c r="L939">
        <v>0.0</v>
      </c>
    </row>
    <row r="940">
      <c r="B940" s="329"/>
      <c r="L940">
        <v>0.0</v>
      </c>
    </row>
    <row r="941">
      <c r="B941" s="329"/>
      <c r="L941">
        <v>0.0</v>
      </c>
    </row>
    <row r="942">
      <c r="B942" s="329"/>
      <c r="L942">
        <v>0.0</v>
      </c>
    </row>
    <row r="943">
      <c r="B943" s="329"/>
      <c r="L943">
        <v>0.0</v>
      </c>
    </row>
    <row r="944">
      <c r="B944" s="329"/>
      <c r="L944">
        <v>0.0</v>
      </c>
    </row>
    <row r="945">
      <c r="B945" s="329"/>
      <c r="L945">
        <v>0.0</v>
      </c>
    </row>
    <row r="946">
      <c r="B946" s="329"/>
      <c r="L946">
        <v>0.0</v>
      </c>
    </row>
    <row r="947">
      <c r="B947" s="329"/>
      <c r="L947">
        <v>0.0</v>
      </c>
    </row>
    <row r="948">
      <c r="B948" s="329"/>
      <c r="L948">
        <v>0.0</v>
      </c>
    </row>
    <row r="949">
      <c r="B949" s="329"/>
      <c r="L949">
        <v>0.0</v>
      </c>
    </row>
    <row r="950">
      <c r="B950" s="329"/>
      <c r="L950">
        <v>0.0</v>
      </c>
    </row>
    <row r="951">
      <c r="B951" s="329"/>
      <c r="L951">
        <v>0.0</v>
      </c>
    </row>
    <row r="952">
      <c r="B952" s="329"/>
      <c r="L952">
        <v>0.0</v>
      </c>
    </row>
    <row r="953">
      <c r="B953" s="329"/>
      <c r="L953">
        <v>0.0</v>
      </c>
    </row>
    <row r="954">
      <c r="B954" s="329"/>
      <c r="L954">
        <v>0.0</v>
      </c>
    </row>
    <row r="955">
      <c r="B955" s="329"/>
      <c r="L955">
        <v>0.0</v>
      </c>
    </row>
    <row r="956">
      <c r="B956" s="329"/>
      <c r="L956">
        <v>0.0</v>
      </c>
    </row>
    <row r="957">
      <c r="B957" s="329"/>
      <c r="L957">
        <v>0.0</v>
      </c>
    </row>
    <row r="958">
      <c r="B958" s="329"/>
      <c r="L958">
        <v>0.0</v>
      </c>
    </row>
    <row r="959">
      <c r="B959" s="329"/>
      <c r="L959">
        <v>0.0</v>
      </c>
    </row>
    <row r="960">
      <c r="B960" s="329"/>
      <c r="L960">
        <v>0.0</v>
      </c>
    </row>
    <row r="961">
      <c r="B961" s="329"/>
      <c r="L961">
        <v>0.0</v>
      </c>
    </row>
    <row r="962">
      <c r="B962" s="329"/>
      <c r="L962">
        <v>0.0</v>
      </c>
    </row>
    <row r="963">
      <c r="B963" s="329"/>
      <c r="L963">
        <v>0.0</v>
      </c>
    </row>
    <row r="964">
      <c r="B964" s="329"/>
      <c r="L964">
        <v>0.0</v>
      </c>
    </row>
    <row r="965">
      <c r="B965" s="329"/>
      <c r="L965">
        <v>0.0</v>
      </c>
    </row>
    <row r="966">
      <c r="B966" s="329"/>
      <c r="L966">
        <v>0.0</v>
      </c>
    </row>
    <row r="967">
      <c r="B967" s="329"/>
      <c r="L967">
        <v>0.0</v>
      </c>
    </row>
    <row r="968">
      <c r="B968" s="329"/>
      <c r="L968">
        <v>0.0</v>
      </c>
    </row>
    <row r="969">
      <c r="B969" s="329"/>
      <c r="L969">
        <v>0.0</v>
      </c>
    </row>
    <row r="970">
      <c r="B970" s="329"/>
      <c r="L970">
        <v>0.0</v>
      </c>
    </row>
    <row r="971">
      <c r="B971" s="329"/>
      <c r="L971">
        <v>0.0</v>
      </c>
    </row>
    <row r="972">
      <c r="B972" s="329"/>
      <c r="L972">
        <v>0.0</v>
      </c>
    </row>
    <row r="973">
      <c r="B973" s="329"/>
      <c r="L973">
        <v>0.0</v>
      </c>
    </row>
    <row r="974">
      <c r="B974" s="329"/>
      <c r="L974">
        <v>0.0</v>
      </c>
    </row>
    <row r="975">
      <c r="B975" s="329"/>
      <c r="L975">
        <v>0.0</v>
      </c>
    </row>
    <row r="976">
      <c r="B976" s="329"/>
      <c r="L976">
        <v>0.0</v>
      </c>
    </row>
    <row r="977">
      <c r="B977" s="329"/>
      <c r="L977">
        <v>0.0</v>
      </c>
    </row>
    <row r="978">
      <c r="B978" s="329"/>
      <c r="L978">
        <v>0.0</v>
      </c>
    </row>
    <row r="979">
      <c r="B979" s="329"/>
      <c r="L979">
        <v>0.0</v>
      </c>
    </row>
    <row r="980">
      <c r="B980" s="329"/>
      <c r="L980">
        <v>0.0</v>
      </c>
    </row>
    <row r="981">
      <c r="B981" s="329"/>
      <c r="L981">
        <v>0.0</v>
      </c>
    </row>
    <row r="982">
      <c r="B982" s="329"/>
      <c r="L982">
        <v>0.0</v>
      </c>
    </row>
    <row r="983">
      <c r="B983" s="329"/>
      <c r="L983">
        <v>0.0</v>
      </c>
    </row>
    <row r="984">
      <c r="B984" s="329"/>
      <c r="L984">
        <v>0.0</v>
      </c>
    </row>
    <row r="985">
      <c r="B985" s="329"/>
      <c r="L985">
        <v>0.0</v>
      </c>
    </row>
    <row r="986">
      <c r="B986" s="329"/>
      <c r="L986">
        <v>0.0</v>
      </c>
    </row>
    <row r="987">
      <c r="B987" s="329"/>
      <c r="L987">
        <v>0.0</v>
      </c>
    </row>
    <row r="988">
      <c r="B988" s="329"/>
      <c r="L988">
        <v>0.0</v>
      </c>
    </row>
    <row r="989">
      <c r="B989" s="329"/>
      <c r="L989">
        <v>0.0</v>
      </c>
    </row>
    <row r="990">
      <c r="B990" s="329"/>
      <c r="L990">
        <v>0.0</v>
      </c>
    </row>
    <row r="991">
      <c r="B991" s="329"/>
      <c r="L991">
        <v>0.0</v>
      </c>
    </row>
    <row r="992">
      <c r="B992" s="329"/>
      <c r="L992">
        <v>0.0</v>
      </c>
    </row>
    <row r="993">
      <c r="B993" s="329"/>
      <c r="L993">
        <v>0.0</v>
      </c>
    </row>
    <row r="994">
      <c r="B994" s="329"/>
      <c r="L994">
        <v>0.0</v>
      </c>
    </row>
    <row r="995">
      <c r="B995" s="329"/>
      <c r="L995">
        <v>0.0</v>
      </c>
    </row>
    <row r="996">
      <c r="B996" s="329"/>
      <c r="L996">
        <v>0.0</v>
      </c>
    </row>
    <row r="997">
      <c r="B997" s="329"/>
      <c r="L997">
        <v>0.0</v>
      </c>
    </row>
    <row r="998">
      <c r="B998" s="329"/>
      <c r="L998">
        <v>0.0</v>
      </c>
    </row>
    <row r="999">
      <c r="B999" s="329"/>
      <c r="L999">
        <v>0.0</v>
      </c>
    </row>
    <row r="1000">
      <c r="B1000" s="329"/>
      <c r="L1000">
        <v>0.0</v>
      </c>
    </row>
  </sheetData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78" t="s">
        <v>0</v>
      </c>
      <c r="B1" s="479" t="s">
        <v>41</v>
      </c>
    </row>
    <row r="2">
      <c r="A2" s="480">
        <v>0.0</v>
      </c>
      <c r="B2" s="481"/>
    </row>
    <row r="3">
      <c r="A3" s="482">
        <v>15002.0</v>
      </c>
      <c r="B3" s="483" t="s">
        <v>12785</v>
      </c>
    </row>
    <row r="4">
      <c r="A4" s="482">
        <v>15004.0</v>
      </c>
      <c r="B4" s="483" t="s">
        <v>12778</v>
      </c>
    </row>
    <row r="5">
      <c r="A5" s="482">
        <v>15017.0</v>
      </c>
      <c r="B5" s="483" t="s">
        <v>12789</v>
      </c>
    </row>
    <row r="6">
      <c r="A6" s="484">
        <v>15018.0</v>
      </c>
      <c r="B6" s="485" t="s">
        <v>12781</v>
      </c>
    </row>
    <row r="7">
      <c r="A7" s="482">
        <v>15019.0</v>
      </c>
      <c r="B7" s="483" t="s">
        <v>12788</v>
      </c>
    </row>
    <row r="8">
      <c r="A8" s="484">
        <v>15038.0</v>
      </c>
      <c r="B8" s="485" t="s">
        <v>12790</v>
      </c>
    </row>
    <row r="9">
      <c r="A9" s="482">
        <v>15055.0</v>
      </c>
      <c r="B9" s="483" t="s">
        <v>12815</v>
      </c>
    </row>
    <row r="10">
      <c r="A10" s="482">
        <v>15056.0</v>
      </c>
      <c r="B10" s="483" t="s">
        <v>12776</v>
      </c>
    </row>
    <row r="11">
      <c r="A11" s="482">
        <v>15057.0</v>
      </c>
      <c r="B11" s="483" t="s">
        <v>12797</v>
      </c>
    </row>
    <row r="12">
      <c r="A12" s="482">
        <v>15059.0</v>
      </c>
      <c r="B12" s="483" t="s">
        <v>12780</v>
      </c>
    </row>
    <row r="13">
      <c r="A13" s="482">
        <v>15060.0</v>
      </c>
      <c r="B13" s="483" t="s">
        <v>12796</v>
      </c>
    </row>
    <row r="14">
      <c r="A14" s="482">
        <v>15061.0</v>
      </c>
      <c r="B14" s="483"/>
    </row>
    <row r="15">
      <c r="A15" s="484">
        <v>15066.0</v>
      </c>
      <c r="B15" s="485" t="s">
        <v>12794</v>
      </c>
    </row>
    <row r="16">
      <c r="A16" s="484">
        <v>15067.0</v>
      </c>
      <c r="B16" s="485" t="s">
        <v>12792</v>
      </c>
    </row>
    <row r="17">
      <c r="A17" s="482">
        <v>15070.0</v>
      </c>
      <c r="B17" s="483" t="s">
        <v>12816</v>
      </c>
    </row>
    <row r="18">
      <c r="A18" s="482">
        <v>15072.0</v>
      </c>
      <c r="B18" s="483" t="s">
        <v>12786</v>
      </c>
    </row>
    <row r="19">
      <c r="A19" s="482">
        <v>15099.0</v>
      </c>
      <c r="B19" s="483"/>
    </row>
    <row r="20">
      <c r="A20" s="484">
        <v>15101.0</v>
      </c>
      <c r="B20" s="485" t="s">
        <v>12817</v>
      </c>
    </row>
    <row r="21">
      <c r="A21" s="482">
        <v>15107.0</v>
      </c>
      <c r="B21" s="483" t="s">
        <v>12793</v>
      </c>
    </row>
    <row r="22">
      <c r="A22" s="482">
        <v>15151.0</v>
      </c>
      <c r="B22" s="483" t="s">
        <v>12779</v>
      </c>
    </row>
    <row r="23">
      <c r="A23" s="484">
        <v>15166.0</v>
      </c>
      <c r="B23" s="485" t="s">
        <v>12783</v>
      </c>
    </row>
    <row r="24">
      <c r="A24" s="482">
        <v>15201.0</v>
      </c>
      <c r="B24" s="483"/>
    </row>
    <row r="25">
      <c r="A25" s="482">
        <v>15220.0</v>
      </c>
      <c r="B25" s="483" t="s">
        <v>12818</v>
      </c>
    </row>
    <row r="26">
      <c r="A26" s="482">
        <v>15226.0</v>
      </c>
      <c r="B26" s="483" t="s">
        <v>12777</v>
      </c>
    </row>
    <row r="27">
      <c r="A27" s="482">
        <v>15233.0</v>
      </c>
      <c r="B27" s="483"/>
    </row>
    <row r="28">
      <c r="A28" s="482">
        <v>15244.0</v>
      </c>
      <c r="B28" s="483" t="s">
        <v>12819</v>
      </c>
    </row>
    <row r="29">
      <c r="A29" s="482">
        <v>15254.0</v>
      </c>
      <c r="B29" s="483" t="s">
        <v>12820</v>
      </c>
    </row>
    <row r="30">
      <c r="A30" s="484">
        <v>15257.0</v>
      </c>
      <c r="B30" s="485"/>
    </row>
    <row r="31">
      <c r="A31" s="482">
        <v>15259.0</v>
      </c>
      <c r="B31" s="483" t="s">
        <v>12795</v>
      </c>
    </row>
    <row r="32">
      <c r="A32" s="486">
        <v>15285.0</v>
      </c>
      <c r="B32" s="487" t="s">
        <v>12821</v>
      </c>
    </row>
    <row r="33">
      <c r="A33" s="486">
        <v>15300.0</v>
      </c>
      <c r="B33" s="487" t="s">
        <v>12822</v>
      </c>
    </row>
    <row r="34">
      <c r="A34" s="484">
        <v>15301.0</v>
      </c>
      <c r="B34" s="485"/>
    </row>
    <row r="35">
      <c r="A35" s="486">
        <v>15302.0</v>
      </c>
      <c r="B35" s="487"/>
    </row>
    <row r="36">
      <c r="A36" s="484">
        <v>15303.0</v>
      </c>
      <c r="B36" s="485"/>
    </row>
    <row r="37">
      <c r="A37" s="482">
        <v>15304.0</v>
      </c>
      <c r="B37" s="483"/>
    </row>
    <row r="38">
      <c r="A38" s="484">
        <v>15305.0</v>
      </c>
      <c r="B38" s="485" t="s">
        <v>12823</v>
      </c>
    </row>
    <row r="39">
      <c r="A39" s="486">
        <v>15307.0</v>
      </c>
      <c r="B39" s="487" t="s">
        <v>12824</v>
      </c>
    </row>
    <row r="40">
      <c r="A40" s="486">
        <v>15308.0</v>
      </c>
      <c r="B40" s="487" t="s">
        <v>12825</v>
      </c>
    </row>
    <row r="41">
      <c r="A41" s="486">
        <v>15309.0</v>
      </c>
      <c r="B41" s="488" t="s">
        <v>12826</v>
      </c>
    </row>
    <row r="42">
      <c r="A42" s="486">
        <v>15310.0</v>
      </c>
      <c r="B42" s="489"/>
    </row>
    <row r="43">
      <c r="A43" s="482">
        <v>15311.0</v>
      </c>
      <c r="B43" s="483"/>
    </row>
    <row r="44">
      <c r="A44" s="482">
        <v>15314.0</v>
      </c>
      <c r="B44" s="483" t="s">
        <v>12791</v>
      </c>
    </row>
    <row r="45">
      <c r="A45" s="482">
        <v>15315.0</v>
      </c>
      <c r="B45" s="483" t="s">
        <v>12827</v>
      </c>
    </row>
    <row r="46">
      <c r="A46" s="482">
        <v>15322.0</v>
      </c>
      <c r="B46" s="483"/>
    </row>
    <row r="47">
      <c r="A47" s="486">
        <v>15323.0</v>
      </c>
      <c r="B47" s="489"/>
    </row>
    <row r="48">
      <c r="A48" s="484">
        <v>15324.0</v>
      </c>
      <c r="B48" s="490" t="s">
        <v>12828</v>
      </c>
    </row>
    <row r="49">
      <c r="A49" s="484">
        <v>15326.0</v>
      </c>
      <c r="B49" s="491"/>
    </row>
    <row r="50">
      <c r="A50" s="484">
        <v>15327.0</v>
      </c>
      <c r="B50" s="491"/>
    </row>
    <row r="51">
      <c r="A51" s="484">
        <v>15328.0</v>
      </c>
      <c r="B51" s="491"/>
    </row>
    <row r="52">
      <c r="A52" s="484">
        <v>15329.0</v>
      </c>
      <c r="B52" s="490" t="s">
        <v>12787</v>
      </c>
    </row>
    <row r="53">
      <c r="A53" s="484">
        <v>15330.0</v>
      </c>
      <c r="B53" s="491"/>
    </row>
    <row r="54">
      <c r="A54" s="484">
        <v>15332.0</v>
      </c>
      <c r="B54" s="490" t="s">
        <v>12829</v>
      </c>
    </row>
    <row r="55">
      <c r="A55" s="482">
        <v>15335.0</v>
      </c>
      <c r="B55" s="492" t="s">
        <v>12830</v>
      </c>
    </row>
    <row r="56">
      <c r="A56" s="486">
        <v>15347.0</v>
      </c>
      <c r="B56" s="489"/>
    </row>
    <row r="57">
      <c r="A57" s="484">
        <v>15349.0</v>
      </c>
      <c r="B57" s="485" t="s">
        <v>12798</v>
      </c>
    </row>
    <row r="58">
      <c r="A58" s="482">
        <v>15350.0</v>
      </c>
      <c r="B58" s="492" t="s">
        <v>12774</v>
      </c>
    </row>
    <row r="59">
      <c r="A59" s="482">
        <v>15351.0</v>
      </c>
      <c r="B59" s="483" t="s">
        <v>12775</v>
      </c>
    </row>
    <row r="60">
      <c r="A60" s="482">
        <v>15352.0</v>
      </c>
      <c r="B60" s="483" t="s">
        <v>12784</v>
      </c>
    </row>
    <row r="61">
      <c r="A61" s="482">
        <v>15353.0</v>
      </c>
      <c r="B61" s="492" t="s">
        <v>12831</v>
      </c>
    </row>
    <row r="62">
      <c r="A62" s="484">
        <v>15354.0</v>
      </c>
      <c r="B62" s="490" t="s">
        <v>12832</v>
      </c>
    </row>
    <row r="63">
      <c r="A63" s="482">
        <v>15355.0</v>
      </c>
      <c r="B63" s="483" t="s">
        <v>12833</v>
      </c>
    </row>
    <row r="64">
      <c r="A64" s="482">
        <v>15356.0</v>
      </c>
      <c r="B64" s="483" t="s">
        <v>12834</v>
      </c>
    </row>
    <row r="65">
      <c r="A65" s="482">
        <v>15357.0</v>
      </c>
      <c r="B65" s="483"/>
    </row>
    <row r="66">
      <c r="A66" s="482">
        <v>15358.0</v>
      </c>
      <c r="B66" s="483" t="s">
        <v>12782</v>
      </c>
    </row>
    <row r="67">
      <c r="A67" s="482">
        <v>15359.0</v>
      </c>
      <c r="B67" s="483" t="s">
        <v>12835</v>
      </c>
    </row>
    <row r="68">
      <c r="A68" s="484">
        <v>15360.0</v>
      </c>
      <c r="B68" s="485" t="s">
        <v>12836</v>
      </c>
    </row>
    <row r="69">
      <c r="A69" s="484">
        <v>15361.0</v>
      </c>
      <c r="B69" s="485"/>
    </row>
    <row r="70">
      <c r="A70" s="484">
        <v>15362.0</v>
      </c>
      <c r="B70" s="485"/>
    </row>
    <row r="71">
      <c r="A71" s="484">
        <v>15363.0</v>
      </c>
      <c r="B71" s="485"/>
    </row>
    <row r="72">
      <c r="A72" s="482">
        <v>15364.0</v>
      </c>
      <c r="B72" s="483" t="s">
        <v>12837</v>
      </c>
    </row>
    <row r="73">
      <c r="A73" s="482">
        <v>15369.0</v>
      </c>
      <c r="B73" s="483" t="s">
        <v>12838</v>
      </c>
    </row>
    <row r="74">
      <c r="A74" s="482">
        <v>15370.0</v>
      </c>
      <c r="B74" s="483" t="s">
        <v>12839</v>
      </c>
    </row>
    <row r="75">
      <c r="A75" s="484">
        <v>15371.0</v>
      </c>
      <c r="B75" s="485" t="s">
        <v>12840</v>
      </c>
    </row>
    <row r="76">
      <c r="A76" s="484">
        <v>15372.0</v>
      </c>
      <c r="B76" s="485" t="s">
        <v>12841</v>
      </c>
    </row>
    <row r="77">
      <c r="A77" s="482">
        <v>15373.0</v>
      </c>
      <c r="B77" s="483" t="s">
        <v>12842</v>
      </c>
    </row>
    <row r="78">
      <c r="A78" s="484">
        <v>15374.0</v>
      </c>
      <c r="B78" s="490"/>
    </row>
    <row r="79">
      <c r="A79" s="484">
        <v>15375.0</v>
      </c>
      <c r="B79" s="485" t="s">
        <v>12843</v>
      </c>
    </row>
    <row r="80">
      <c r="A80" s="482">
        <v>15376.0</v>
      </c>
      <c r="B80" s="483"/>
    </row>
    <row r="81">
      <c r="A81" s="484">
        <v>15377.0</v>
      </c>
      <c r="B81" s="490" t="s">
        <v>12844</v>
      </c>
    </row>
    <row r="82">
      <c r="A82" s="484">
        <v>15378.0</v>
      </c>
      <c r="B82" s="490" t="s">
        <v>12845</v>
      </c>
    </row>
    <row r="83">
      <c r="A83" s="482">
        <v>15385.0</v>
      </c>
      <c r="B83" s="493"/>
    </row>
    <row r="84">
      <c r="A84" s="278"/>
    </row>
    <row r="85">
      <c r="A85" s="278"/>
    </row>
    <row r="86">
      <c r="A86" s="278"/>
    </row>
    <row r="87">
      <c r="A87" s="278"/>
    </row>
    <row r="88">
      <c r="A88" s="278"/>
    </row>
    <row r="89">
      <c r="A89" s="278"/>
    </row>
    <row r="90">
      <c r="A90" s="278"/>
    </row>
    <row r="91">
      <c r="A91" s="278"/>
    </row>
    <row r="92">
      <c r="A92" s="278"/>
    </row>
    <row r="93">
      <c r="A93" s="278"/>
    </row>
    <row r="94">
      <c r="A94" s="278"/>
    </row>
    <row r="95">
      <c r="A95" s="278"/>
    </row>
    <row r="96">
      <c r="A96" s="278"/>
    </row>
    <row r="97">
      <c r="A97" s="278"/>
    </row>
    <row r="98">
      <c r="A98" s="278"/>
    </row>
    <row r="99">
      <c r="A99" s="278"/>
    </row>
    <row r="100">
      <c r="A100" s="278"/>
    </row>
    <row r="101">
      <c r="A101" s="278"/>
    </row>
    <row r="102">
      <c r="A102" s="278"/>
    </row>
    <row r="103">
      <c r="A103" s="278"/>
    </row>
    <row r="104">
      <c r="A104" s="278"/>
    </row>
    <row r="105">
      <c r="A105" s="278"/>
    </row>
    <row r="106">
      <c r="A106" s="278"/>
    </row>
    <row r="107">
      <c r="A107" s="278"/>
    </row>
    <row r="108">
      <c r="A108" s="278"/>
    </row>
    <row r="109">
      <c r="A109" s="278"/>
    </row>
    <row r="110">
      <c r="A110" s="278"/>
    </row>
    <row r="111">
      <c r="A111" s="278"/>
    </row>
    <row r="112">
      <c r="A112" s="278"/>
    </row>
    <row r="113">
      <c r="A113" s="278"/>
    </row>
    <row r="114">
      <c r="A114" s="278"/>
    </row>
    <row r="115">
      <c r="A115" s="278"/>
    </row>
    <row r="116">
      <c r="A116" s="278"/>
    </row>
    <row r="117">
      <c r="A117" s="278"/>
    </row>
    <row r="118">
      <c r="A118" s="278"/>
    </row>
    <row r="119">
      <c r="A119" s="278"/>
    </row>
    <row r="120">
      <c r="A120" s="278"/>
    </row>
    <row r="121">
      <c r="A121" s="278"/>
    </row>
    <row r="122">
      <c r="A122" s="278"/>
    </row>
    <row r="123">
      <c r="A123" s="278"/>
    </row>
    <row r="124">
      <c r="A124" s="278"/>
    </row>
    <row r="125">
      <c r="A125" s="278"/>
    </row>
    <row r="126">
      <c r="A126" s="278"/>
    </row>
    <row r="127">
      <c r="A127" s="278"/>
    </row>
    <row r="128">
      <c r="A128" s="278"/>
    </row>
    <row r="129">
      <c r="A129" s="278"/>
    </row>
    <row r="130">
      <c r="A130" s="278"/>
    </row>
    <row r="131">
      <c r="A131" s="278"/>
    </row>
    <row r="132">
      <c r="A132" s="278"/>
    </row>
    <row r="133">
      <c r="A133" s="278"/>
    </row>
    <row r="134">
      <c r="A134" s="278"/>
    </row>
    <row r="135">
      <c r="A135" s="278"/>
    </row>
    <row r="136">
      <c r="A136" s="278"/>
    </row>
    <row r="137">
      <c r="A137" s="278"/>
    </row>
    <row r="138">
      <c r="A138" s="278"/>
    </row>
    <row r="139">
      <c r="A139" s="278"/>
    </row>
    <row r="140">
      <c r="A140" s="278"/>
    </row>
    <row r="141">
      <c r="A141" s="278"/>
    </row>
    <row r="142">
      <c r="A142" s="278"/>
    </row>
    <row r="143">
      <c r="A143" s="278"/>
    </row>
    <row r="144">
      <c r="A144" s="278"/>
    </row>
    <row r="145">
      <c r="A145" s="278"/>
    </row>
    <row r="146">
      <c r="A146" s="278"/>
    </row>
    <row r="147">
      <c r="A147" s="278"/>
    </row>
    <row r="148">
      <c r="A148" s="278"/>
    </row>
    <row r="149">
      <c r="A149" s="278"/>
    </row>
    <row r="150">
      <c r="A150" s="278"/>
    </row>
    <row r="151">
      <c r="A151" s="278"/>
    </row>
    <row r="152">
      <c r="A152" s="278"/>
    </row>
    <row r="153">
      <c r="A153" s="278"/>
    </row>
    <row r="154">
      <c r="A154" s="278"/>
    </row>
    <row r="155">
      <c r="A155" s="278"/>
    </row>
    <row r="156">
      <c r="A156" s="278"/>
    </row>
    <row r="157">
      <c r="A157" s="278"/>
    </row>
    <row r="158">
      <c r="A158" s="278"/>
    </row>
    <row r="159">
      <c r="A159" s="278"/>
    </row>
    <row r="160">
      <c r="A160" s="278"/>
    </row>
    <row r="161">
      <c r="A161" s="278"/>
    </row>
    <row r="162">
      <c r="A162" s="278"/>
    </row>
    <row r="163">
      <c r="A163" s="278"/>
    </row>
    <row r="164">
      <c r="A164" s="278"/>
    </row>
    <row r="165">
      <c r="A165" s="278"/>
    </row>
    <row r="166">
      <c r="A166" s="278"/>
    </row>
    <row r="167">
      <c r="A167" s="278"/>
    </row>
    <row r="168">
      <c r="A168" s="278"/>
    </row>
    <row r="169">
      <c r="A169" s="278"/>
    </row>
    <row r="170">
      <c r="A170" s="278"/>
    </row>
    <row r="171">
      <c r="A171" s="278"/>
    </row>
    <row r="172">
      <c r="A172" s="278"/>
    </row>
    <row r="173">
      <c r="A173" s="278"/>
    </row>
    <row r="174">
      <c r="A174" s="278"/>
    </row>
    <row r="175">
      <c r="A175" s="278"/>
    </row>
    <row r="176">
      <c r="A176" s="278"/>
    </row>
    <row r="177">
      <c r="A177" s="278"/>
    </row>
    <row r="178">
      <c r="A178" s="278"/>
    </row>
    <row r="179">
      <c r="A179" s="278"/>
    </row>
    <row r="180">
      <c r="A180" s="278"/>
    </row>
    <row r="181">
      <c r="A181" s="278"/>
    </row>
    <row r="182">
      <c r="A182" s="278"/>
    </row>
    <row r="183">
      <c r="A183" s="278"/>
    </row>
    <row r="184">
      <c r="A184" s="278"/>
    </row>
    <row r="185">
      <c r="A185" s="278"/>
    </row>
    <row r="186">
      <c r="A186" s="278"/>
    </row>
    <row r="187">
      <c r="A187" s="278"/>
    </row>
    <row r="188">
      <c r="A188" s="278"/>
    </row>
    <row r="189">
      <c r="A189" s="278"/>
    </row>
    <row r="190">
      <c r="A190" s="278"/>
    </row>
    <row r="191">
      <c r="A191" s="278"/>
    </row>
    <row r="192">
      <c r="A192" s="278"/>
    </row>
    <row r="193">
      <c r="A193" s="278"/>
    </row>
    <row r="194">
      <c r="A194" s="278"/>
    </row>
    <row r="195">
      <c r="A195" s="278"/>
    </row>
    <row r="196">
      <c r="A196" s="278"/>
    </row>
    <row r="197">
      <c r="A197" s="278"/>
    </row>
    <row r="198">
      <c r="A198" s="278"/>
    </row>
    <row r="199">
      <c r="A199" s="278"/>
    </row>
    <row r="200">
      <c r="A200" s="278"/>
    </row>
    <row r="201">
      <c r="A201" s="278"/>
    </row>
    <row r="202">
      <c r="A202" s="278"/>
    </row>
    <row r="203">
      <c r="A203" s="278"/>
    </row>
    <row r="204">
      <c r="A204" s="278"/>
    </row>
    <row r="205">
      <c r="A205" s="278"/>
    </row>
    <row r="206">
      <c r="A206" s="278"/>
    </row>
    <row r="207">
      <c r="A207" s="278"/>
    </row>
    <row r="208">
      <c r="A208" s="278"/>
    </row>
    <row r="209">
      <c r="A209" s="278"/>
    </row>
    <row r="210">
      <c r="A210" s="278"/>
    </row>
    <row r="211">
      <c r="A211" s="278"/>
    </row>
    <row r="212">
      <c r="A212" s="278"/>
    </row>
    <row r="213">
      <c r="A213" s="278"/>
    </row>
    <row r="214">
      <c r="A214" s="278"/>
    </row>
    <row r="215">
      <c r="A215" s="278"/>
    </row>
    <row r="216">
      <c r="A216" s="278"/>
    </row>
    <row r="217">
      <c r="A217" s="278"/>
    </row>
    <row r="218">
      <c r="A218" s="278"/>
    </row>
    <row r="219">
      <c r="A219" s="278"/>
    </row>
    <row r="220">
      <c r="A220" s="278"/>
    </row>
    <row r="221">
      <c r="A221" s="278"/>
    </row>
    <row r="222">
      <c r="A222" s="278"/>
    </row>
    <row r="223">
      <c r="A223" s="278"/>
    </row>
    <row r="224">
      <c r="A224" s="278"/>
    </row>
    <row r="225">
      <c r="A225" s="278"/>
    </row>
    <row r="226">
      <c r="A226" s="278"/>
    </row>
    <row r="227">
      <c r="A227" s="278"/>
    </row>
    <row r="228">
      <c r="A228" s="278"/>
    </row>
    <row r="229">
      <c r="A229" s="278"/>
    </row>
    <row r="230">
      <c r="A230" s="278"/>
    </row>
    <row r="231">
      <c r="A231" s="278"/>
    </row>
    <row r="232">
      <c r="A232" s="278"/>
    </row>
    <row r="233">
      <c r="A233" s="278"/>
    </row>
    <row r="234">
      <c r="A234" s="278"/>
    </row>
    <row r="235">
      <c r="A235" s="278"/>
    </row>
    <row r="236">
      <c r="A236" s="278"/>
    </row>
    <row r="237">
      <c r="A237" s="278"/>
    </row>
    <row r="238">
      <c r="A238" s="278"/>
    </row>
    <row r="239">
      <c r="A239" s="278"/>
    </row>
    <row r="240">
      <c r="A240" s="278"/>
    </row>
    <row r="241">
      <c r="A241" s="278"/>
    </row>
    <row r="242">
      <c r="A242" s="278"/>
    </row>
    <row r="243">
      <c r="A243" s="278"/>
    </row>
    <row r="244">
      <c r="A244" s="278"/>
    </row>
    <row r="245">
      <c r="A245" s="278"/>
    </row>
    <row r="246">
      <c r="A246" s="278"/>
    </row>
    <row r="247">
      <c r="A247" s="278"/>
    </row>
    <row r="248">
      <c r="A248" s="278"/>
    </row>
    <row r="249">
      <c r="A249" s="278"/>
    </row>
    <row r="250">
      <c r="A250" s="278"/>
    </row>
    <row r="251">
      <c r="A251" s="278"/>
    </row>
    <row r="252">
      <c r="A252" s="278"/>
    </row>
    <row r="253">
      <c r="A253" s="278"/>
    </row>
    <row r="254">
      <c r="A254" s="278"/>
    </row>
    <row r="255">
      <c r="A255" s="278"/>
    </row>
    <row r="256">
      <c r="A256" s="278"/>
    </row>
    <row r="257">
      <c r="A257" s="278"/>
    </row>
    <row r="258">
      <c r="A258" s="278"/>
    </row>
    <row r="259">
      <c r="A259" s="278"/>
    </row>
    <row r="260">
      <c r="A260" s="278"/>
    </row>
    <row r="261">
      <c r="A261" s="278"/>
    </row>
    <row r="262">
      <c r="A262" s="278"/>
    </row>
    <row r="263">
      <c r="A263" s="278"/>
    </row>
    <row r="264">
      <c r="A264" s="278"/>
    </row>
    <row r="265">
      <c r="A265" s="278"/>
    </row>
    <row r="266">
      <c r="A266" s="278"/>
    </row>
    <row r="267">
      <c r="A267" s="278"/>
    </row>
    <row r="268">
      <c r="A268" s="278"/>
    </row>
    <row r="269">
      <c r="A269" s="278"/>
    </row>
    <row r="270">
      <c r="A270" s="278"/>
    </row>
    <row r="271">
      <c r="A271" s="278"/>
    </row>
    <row r="272">
      <c r="A272" s="278"/>
    </row>
    <row r="273">
      <c r="A273" s="278"/>
    </row>
    <row r="274">
      <c r="A274" s="278"/>
    </row>
    <row r="275">
      <c r="A275" s="278"/>
    </row>
    <row r="276">
      <c r="A276" s="278"/>
    </row>
    <row r="277">
      <c r="A277" s="278"/>
    </row>
    <row r="278">
      <c r="A278" s="278"/>
    </row>
    <row r="279">
      <c r="A279" s="278"/>
    </row>
    <row r="280">
      <c r="A280" s="278"/>
    </row>
    <row r="281">
      <c r="A281" s="278"/>
    </row>
    <row r="282">
      <c r="A282" s="278"/>
    </row>
    <row r="283">
      <c r="A283" s="278"/>
    </row>
    <row r="284">
      <c r="A284" s="278"/>
    </row>
    <row r="285">
      <c r="A285" s="278"/>
    </row>
    <row r="286">
      <c r="A286" s="278"/>
    </row>
    <row r="287">
      <c r="A287" s="278"/>
    </row>
    <row r="288">
      <c r="A288" s="278"/>
    </row>
    <row r="289">
      <c r="A289" s="278"/>
    </row>
    <row r="290">
      <c r="A290" s="278"/>
    </row>
    <row r="291">
      <c r="A291" s="278"/>
    </row>
    <row r="292">
      <c r="A292" s="278"/>
    </row>
    <row r="293">
      <c r="A293" s="278"/>
    </row>
    <row r="294">
      <c r="A294" s="278"/>
    </row>
    <row r="295">
      <c r="A295" s="278"/>
    </row>
    <row r="296">
      <c r="A296" s="278"/>
    </row>
    <row r="297">
      <c r="A297" s="278"/>
    </row>
    <row r="298">
      <c r="A298" s="278"/>
    </row>
    <row r="299">
      <c r="A299" s="278"/>
    </row>
    <row r="300">
      <c r="A300" s="278"/>
    </row>
    <row r="301">
      <c r="A301" s="278"/>
    </row>
    <row r="302">
      <c r="A302" s="278"/>
    </row>
    <row r="303">
      <c r="A303" s="278"/>
    </row>
    <row r="304">
      <c r="A304" s="278"/>
    </row>
    <row r="305">
      <c r="A305" s="278"/>
    </row>
    <row r="306">
      <c r="A306" s="278"/>
    </row>
    <row r="307">
      <c r="A307" s="278"/>
    </row>
    <row r="308">
      <c r="A308" s="278"/>
    </row>
    <row r="309">
      <c r="A309" s="278"/>
    </row>
    <row r="310">
      <c r="A310" s="278"/>
    </row>
    <row r="311">
      <c r="A311" s="278"/>
    </row>
    <row r="312">
      <c r="A312" s="278"/>
    </row>
    <row r="313">
      <c r="A313" s="278"/>
    </row>
    <row r="314">
      <c r="A314" s="278"/>
    </row>
    <row r="315">
      <c r="A315" s="278"/>
    </row>
    <row r="316">
      <c r="A316" s="278"/>
    </row>
    <row r="317">
      <c r="A317" s="278"/>
    </row>
    <row r="318">
      <c r="A318" s="278"/>
    </row>
    <row r="319">
      <c r="A319" s="278"/>
    </row>
    <row r="320">
      <c r="A320" s="278"/>
    </row>
    <row r="321">
      <c r="A321" s="278"/>
    </row>
    <row r="322">
      <c r="A322" s="278"/>
    </row>
    <row r="323">
      <c r="A323" s="278"/>
    </row>
    <row r="324">
      <c r="A324" s="278"/>
    </row>
    <row r="325">
      <c r="A325" s="278"/>
    </row>
    <row r="326">
      <c r="A326" s="278"/>
    </row>
    <row r="327">
      <c r="A327" s="278"/>
    </row>
    <row r="328">
      <c r="A328" s="278"/>
    </row>
    <row r="329">
      <c r="A329" s="278"/>
    </row>
    <row r="330">
      <c r="A330" s="278"/>
    </row>
    <row r="331">
      <c r="A331" s="278"/>
    </row>
    <row r="332">
      <c r="A332" s="278"/>
    </row>
    <row r="333">
      <c r="A333" s="278"/>
    </row>
    <row r="334">
      <c r="A334" s="278"/>
    </row>
    <row r="335">
      <c r="A335" s="278"/>
    </row>
    <row r="336">
      <c r="A336" s="278"/>
    </row>
    <row r="337">
      <c r="A337" s="278"/>
    </row>
    <row r="338">
      <c r="A338" s="278"/>
    </row>
    <row r="339">
      <c r="A339" s="278"/>
    </row>
    <row r="340">
      <c r="A340" s="278"/>
    </row>
    <row r="341">
      <c r="A341" s="278"/>
    </row>
    <row r="342">
      <c r="A342" s="278"/>
    </row>
    <row r="343">
      <c r="A343" s="278"/>
    </row>
    <row r="344">
      <c r="A344" s="278"/>
    </row>
    <row r="345">
      <c r="A345" s="278"/>
    </row>
    <row r="346">
      <c r="A346" s="278"/>
    </row>
    <row r="347">
      <c r="A347" s="278"/>
    </row>
    <row r="348">
      <c r="A348" s="278"/>
    </row>
    <row r="349">
      <c r="A349" s="278"/>
    </row>
    <row r="350">
      <c r="A350" s="278"/>
    </row>
    <row r="351">
      <c r="A351" s="278"/>
    </row>
    <row r="352">
      <c r="A352" s="278"/>
    </row>
    <row r="353">
      <c r="A353" s="278"/>
    </row>
    <row r="354">
      <c r="A354" s="278"/>
    </row>
    <row r="355">
      <c r="A355" s="278"/>
    </row>
    <row r="356">
      <c r="A356" s="278"/>
    </row>
    <row r="357">
      <c r="A357" s="278"/>
    </row>
    <row r="358">
      <c r="A358" s="278"/>
    </row>
    <row r="359">
      <c r="A359" s="278"/>
    </row>
    <row r="360">
      <c r="A360" s="278"/>
    </row>
    <row r="361">
      <c r="A361" s="278"/>
    </row>
    <row r="362">
      <c r="A362" s="278"/>
    </row>
    <row r="363">
      <c r="A363" s="278"/>
    </row>
    <row r="364">
      <c r="A364" s="278"/>
    </row>
    <row r="365">
      <c r="A365" s="278"/>
    </row>
    <row r="366">
      <c r="A366" s="278"/>
    </row>
    <row r="367">
      <c r="A367" s="278"/>
    </row>
    <row r="368">
      <c r="A368" s="278"/>
    </row>
    <row r="369">
      <c r="A369" s="278"/>
    </row>
    <row r="370">
      <c r="A370" s="278"/>
    </row>
    <row r="371">
      <c r="A371" s="278"/>
    </row>
    <row r="372">
      <c r="A372" s="278"/>
    </row>
    <row r="373">
      <c r="A373" s="278"/>
    </row>
    <row r="374">
      <c r="A374" s="278"/>
    </row>
    <row r="375">
      <c r="A375" s="278"/>
    </row>
    <row r="376">
      <c r="A376" s="278"/>
    </row>
    <row r="377">
      <c r="A377" s="278"/>
    </row>
    <row r="378">
      <c r="A378" s="278"/>
    </row>
    <row r="379">
      <c r="A379" s="278"/>
    </row>
    <row r="380">
      <c r="A380" s="278"/>
    </row>
    <row r="381">
      <c r="A381" s="278"/>
    </row>
    <row r="382">
      <c r="A382" s="278"/>
    </row>
    <row r="383">
      <c r="A383" s="278"/>
    </row>
    <row r="384">
      <c r="A384" s="278"/>
    </row>
    <row r="385">
      <c r="A385" s="278"/>
    </row>
    <row r="386">
      <c r="A386" s="278"/>
    </row>
    <row r="387">
      <c r="A387" s="278"/>
    </row>
    <row r="388">
      <c r="A388" s="278"/>
    </row>
    <row r="389">
      <c r="A389" s="278"/>
    </row>
    <row r="390">
      <c r="A390" s="278"/>
    </row>
    <row r="391">
      <c r="A391" s="278"/>
    </row>
    <row r="392">
      <c r="A392" s="278"/>
    </row>
    <row r="393">
      <c r="A393" s="278"/>
    </row>
    <row r="394">
      <c r="A394" s="278"/>
    </row>
    <row r="395">
      <c r="A395" s="278"/>
    </row>
    <row r="396">
      <c r="A396" s="278"/>
    </row>
    <row r="397">
      <c r="A397" s="278"/>
    </row>
    <row r="398">
      <c r="A398" s="278"/>
    </row>
    <row r="399">
      <c r="A399" s="278"/>
    </row>
    <row r="400">
      <c r="A400" s="278"/>
    </row>
    <row r="401">
      <c r="A401" s="278"/>
    </row>
    <row r="402">
      <c r="A402" s="278"/>
    </row>
    <row r="403">
      <c r="A403" s="278"/>
    </row>
    <row r="404">
      <c r="A404" s="278"/>
    </row>
    <row r="405">
      <c r="A405" s="278"/>
    </row>
    <row r="406">
      <c r="A406" s="278"/>
    </row>
    <row r="407">
      <c r="A407" s="278"/>
    </row>
    <row r="408">
      <c r="A408" s="278"/>
    </row>
    <row r="409">
      <c r="A409" s="278"/>
    </row>
    <row r="410">
      <c r="A410" s="278"/>
    </row>
    <row r="411">
      <c r="A411" s="278"/>
    </row>
    <row r="412">
      <c r="A412" s="278"/>
    </row>
    <row r="413">
      <c r="A413" s="278"/>
    </row>
    <row r="414">
      <c r="A414" s="278"/>
    </row>
    <row r="415">
      <c r="A415" s="278"/>
    </row>
    <row r="416">
      <c r="A416" s="278"/>
    </row>
    <row r="417">
      <c r="A417" s="278"/>
    </row>
    <row r="418">
      <c r="A418" s="278"/>
    </row>
    <row r="419">
      <c r="A419" s="278"/>
    </row>
    <row r="420">
      <c r="A420" s="278"/>
    </row>
    <row r="421">
      <c r="A421" s="278"/>
    </row>
    <row r="422">
      <c r="A422" s="278"/>
    </row>
    <row r="423">
      <c r="A423" s="278"/>
    </row>
    <row r="424">
      <c r="A424" s="278"/>
    </row>
    <row r="425">
      <c r="A425" s="278"/>
    </row>
    <row r="426">
      <c r="A426" s="278"/>
    </row>
    <row r="427">
      <c r="A427" s="278"/>
    </row>
    <row r="428">
      <c r="A428" s="278"/>
    </row>
    <row r="429">
      <c r="A429" s="278"/>
    </row>
    <row r="430">
      <c r="A430" s="278"/>
    </row>
    <row r="431">
      <c r="A431" s="278"/>
    </row>
    <row r="432">
      <c r="A432" s="278"/>
    </row>
    <row r="433">
      <c r="A433" s="278"/>
    </row>
    <row r="434">
      <c r="A434" s="278"/>
    </row>
    <row r="435">
      <c r="A435" s="278"/>
    </row>
    <row r="436">
      <c r="A436" s="278"/>
    </row>
    <row r="437">
      <c r="A437" s="278"/>
    </row>
    <row r="438">
      <c r="A438" s="278"/>
    </row>
    <row r="439">
      <c r="A439" s="278"/>
    </row>
    <row r="440">
      <c r="A440" s="278"/>
    </row>
    <row r="441">
      <c r="A441" s="278"/>
    </row>
    <row r="442">
      <c r="A442" s="278"/>
    </row>
    <row r="443">
      <c r="A443" s="278"/>
    </row>
    <row r="444">
      <c r="A444" s="278"/>
    </row>
    <row r="445">
      <c r="A445" s="278"/>
    </row>
    <row r="446">
      <c r="A446" s="278"/>
    </row>
    <row r="447">
      <c r="A447" s="278"/>
    </row>
    <row r="448">
      <c r="A448" s="278"/>
    </row>
    <row r="449">
      <c r="A449" s="278"/>
    </row>
    <row r="450">
      <c r="A450" s="278"/>
    </row>
    <row r="451">
      <c r="A451" s="278"/>
    </row>
    <row r="452">
      <c r="A452" s="278"/>
    </row>
    <row r="453">
      <c r="A453" s="278"/>
    </row>
    <row r="454">
      <c r="A454" s="278"/>
    </row>
    <row r="455">
      <c r="A455" s="278"/>
    </row>
    <row r="456">
      <c r="A456" s="278"/>
    </row>
    <row r="457">
      <c r="A457" s="278"/>
    </row>
    <row r="458">
      <c r="A458" s="278"/>
    </row>
    <row r="459">
      <c r="A459" s="278"/>
    </row>
    <row r="460">
      <c r="A460" s="278"/>
    </row>
    <row r="461">
      <c r="A461" s="278"/>
    </row>
    <row r="462">
      <c r="A462" s="278"/>
    </row>
    <row r="463">
      <c r="A463" s="278"/>
    </row>
    <row r="464">
      <c r="A464" s="278"/>
    </row>
    <row r="465">
      <c r="A465" s="278"/>
    </row>
    <row r="466">
      <c r="A466" s="278"/>
    </row>
    <row r="467">
      <c r="A467" s="278"/>
    </row>
    <row r="468">
      <c r="A468" s="278"/>
    </row>
    <row r="469">
      <c r="A469" s="278"/>
    </row>
    <row r="470">
      <c r="A470" s="278"/>
    </row>
    <row r="471">
      <c r="A471" s="278"/>
    </row>
    <row r="472">
      <c r="A472" s="278"/>
    </row>
    <row r="473">
      <c r="A473" s="278"/>
    </row>
    <row r="474">
      <c r="A474" s="278"/>
    </row>
    <row r="475">
      <c r="A475" s="278"/>
    </row>
    <row r="476">
      <c r="A476" s="278"/>
    </row>
    <row r="477">
      <c r="A477" s="278"/>
    </row>
    <row r="478">
      <c r="A478" s="278"/>
    </row>
    <row r="479">
      <c r="A479" s="278"/>
    </row>
    <row r="480">
      <c r="A480" s="278"/>
    </row>
    <row r="481">
      <c r="A481" s="278"/>
    </row>
    <row r="482">
      <c r="A482" s="278"/>
    </row>
    <row r="483">
      <c r="A483" s="278"/>
    </row>
    <row r="484">
      <c r="A484" s="278"/>
    </row>
    <row r="485">
      <c r="A485" s="278"/>
    </row>
    <row r="486">
      <c r="A486" s="278"/>
    </row>
    <row r="487">
      <c r="A487" s="278"/>
    </row>
    <row r="488">
      <c r="A488" s="278"/>
    </row>
    <row r="489">
      <c r="A489" s="278"/>
    </row>
    <row r="490">
      <c r="A490" s="278"/>
    </row>
    <row r="491">
      <c r="A491" s="278"/>
    </row>
    <row r="492">
      <c r="A492" s="278"/>
    </row>
    <row r="493">
      <c r="A493" s="278"/>
    </row>
    <row r="494">
      <c r="A494" s="278"/>
    </row>
    <row r="495">
      <c r="A495" s="278"/>
    </row>
    <row r="496">
      <c r="A496" s="278"/>
    </row>
    <row r="497">
      <c r="A497" s="278"/>
    </row>
    <row r="498">
      <c r="A498" s="278"/>
    </row>
    <row r="499">
      <c r="A499" s="278"/>
    </row>
    <row r="500">
      <c r="A500" s="278"/>
    </row>
    <row r="501">
      <c r="A501" s="278"/>
    </row>
    <row r="502">
      <c r="A502" s="278"/>
    </row>
    <row r="503">
      <c r="A503" s="278"/>
    </row>
    <row r="504">
      <c r="A504" s="278"/>
    </row>
    <row r="505">
      <c r="A505" s="278"/>
    </row>
    <row r="506">
      <c r="A506" s="278"/>
    </row>
    <row r="507">
      <c r="A507" s="278"/>
    </row>
    <row r="508">
      <c r="A508" s="278"/>
    </row>
    <row r="509">
      <c r="A509" s="278"/>
    </row>
    <row r="510">
      <c r="A510" s="278"/>
    </row>
    <row r="511">
      <c r="A511" s="278"/>
    </row>
    <row r="512">
      <c r="A512" s="278"/>
    </row>
    <row r="513">
      <c r="A513" s="278"/>
    </row>
    <row r="514">
      <c r="A514" s="278"/>
    </row>
    <row r="515">
      <c r="A515" s="278"/>
    </row>
    <row r="516">
      <c r="A516" s="278"/>
    </row>
    <row r="517">
      <c r="A517" s="278"/>
    </row>
    <row r="518">
      <c r="A518" s="278"/>
    </row>
    <row r="519">
      <c r="A519" s="278"/>
    </row>
    <row r="520">
      <c r="A520" s="278"/>
    </row>
    <row r="521">
      <c r="A521" s="278"/>
    </row>
    <row r="522">
      <c r="A522" s="278"/>
    </row>
    <row r="523">
      <c r="A523" s="278"/>
    </row>
    <row r="524">
      <c r="A524" s="278"/>
    </row>
    <row r="525">
      <c r="A525" s="278"/>
    </row>
    <row r="526">
      <c r="A526" s="278"/>
    </row>
    <row r="527">
      <c r="A527" s="278"/>
    </row>
    <row r="528">
      <c r="A528" s="278"/>
    </row>
    <row r="529">
      <c r="A529" s="278"/>
    </row>
    <row r="530">
      <c r="A530" s="278"/>
    </row>
    <row r="531">
      <c r="A531" s="278"/>
    </row>
    <row r="532">
      <c r="A532" s="278"/>
    </row>
    <row r="533">
      <c r="A533" s="278"/>
    </row>
    <row r="534">
      <c r="A534" s="278"/>
    </row>
    <row r="535">
      <c r="A535" s="278"/>
    </row>
    <row r="536">
      <c r="A536" s="278"/>
    </row>
    <row r="537">
      <c r="A537" s="278"/>
    </row>
    <row r="538">
      <c r="A538" s="278"/>
    </row>
    <row r="539">
      <c r="A539" s="278"/>
    </row>
    <row r="540">
      <c r="A540" s="278"/>
    </row>
    <row r="541">
      <c r="A541" s="278"/>
    </row>
    <row r="542">
      <c r="A542" s="278"/>
    </row>
    <row r="543">
      <c r="A543" s="278"/>
    </row>
    <row r="544">
      <c r="A544" s="278"/>
    </row>
    <row r="545">
      <c r="A545" s="278"/>
    </row>
    <row r="546">
      <c r="A546" s="278"/>
    </row>
    <row r="547">
      <c r="A547" s="278"/>
    </row>
    <row r="548">
      <c r="A548" s="278"/>
    </row>
    <row r="549">
      <c r="A549" s="278"/>
    </row>
    <row r="550">
      <c r="A550" s="278"/>
    </row>
    <row r="551">
      <c r="A551" s="278"/>
    </row>
    <row r="552">
      <c r="A552" s="278"/>
    </row>
    <row r="553">
      <c r="A553" s="278"/>
    </row>
    <row r="554">
      <c r="A554" s="278"/>
    </row>
    <row r="555">
      <c r="A555" s="278"/>
    </row>
    <row r="556">
      <c r="A556" s="278"/>
    </row>
    <row r="557">
      <c r="A557" s="278"/>
    </row>
    <row r="558">
      <c r="A558" s="278"/>
    </row>
    <row r="559">
      <c r="A559" s="278"/>
    </row>
    <row r="560">
      <c r="A560" s="278"/>
    </row>
    <row r="561">
      <c r="A561" s="278"/>
    </row>
    <row r="562">
      <c r="A562" s="278"/>
    </row>
    <row r="563">
      <c r="A563" s="278"/>
    </row>
    <row r="564">
      <c r="A564" s="278"/>
    </row>
    <row r="565">
      <c r="A565" s="278"/>
    </row>
    <row r="566">
      <c r="A566" s="278"/>
    </row>
    <row r="567">
      <c r="A567" s="278"/>
    </row>
    <row r="568">
      <c r="A568" s="278"/>
    </row>
    <row r="569">
      <c r="A569" s="278"/>
    </row>
    <row r="570">
      <c r="A570" s="278"/>
    </row>
    <row r="571">
      <c r="A571" s="278"/>
    </row>
    <row r="572">
      <c r="A572" s="278"/>
    </row>
    <row r="573">
      <c r="A573" s="278"/>
    </row>
    <row r="574">
      <c r="A574" s="278"/>
    </row>
    <row r="575">
      <c r="A575" s="278"/>
    </row>
    <row r="576">
      <c r="A576" s="278"/>
    </row>
    <row r="577">
      <c r="A577" s="278"/>
    </row>
    <row r="578">
      <c r="A578" s="278"/>
    </row>
    <row r="579">
      <c r="A579" s="278"/>
    </row>
    <row r="580">
      <c r="A580" s="278"/>
    </row>
    <row r="581">
      <c r="A581" s="278"/>
    </row>
    <row r="582">
      <c r="A582" s="278"/>
    </row>
    <row r="583">
      <c r="A583" s="278"/>
    </row>
    <row r="584">
      <c r="A584" s="278"/>
    </row>
    <row r="585">
      <c r="A585" s="278"/>
    </row>
    <row r="586">
      <c r="A586" s="278"/>
    </row>
    <row r="587">
      <c r="A587" s="278"/>
    </row>
    <row r="588">
      <c r="A588" s="278"/>
    </row>
    <row r="589">
      <c r="A589" s="278"/>
    </row>
    <row r="590">
      <c r="A590" s="278"/>
    </row>
    <row r="591">
      <c r="A591" s="278"/>
    </row>
    <row r="592">
      <c r="A592" s="278"/>
    </row>
    <row r="593">
      <c r="A593" s="278"/>
    </row>
    <row r="594">
      <c r="A594" s="278"/>
    </row>
    <row r="595">
      <c r="A595" s="278"/>
    </row>
    <row r="596">
      <c r="A596" s="278"/>
    </row>
    <row r="597">
      <c r="A597" s="278"/>
    </row>
    <row r="598">
      <c r="A598" s="278"/>
    </row>
    <row r="599">
      <c r="A599" s="278"/>
    </row>
    <row r="600">
      <c r="A600" s="278"/>
    </row>
    <row r="601">
      <c r="A601" s="278"/>
    </row>
    <row r="602">
      <c r="A602" s="278"/>
    </row>
    <row r="603">
      <c r="A603" s="278"/>
    </row>
    <row r="604">
      <c r="A604" s="278"/>
    </row>
    <row r="605">
      <c r="A605" s="278"/>
    </row>
    <row r="606">
      <c r="A606" s="278"/>
    </row>
    <row r="607">
      <c r="A607" s="278"/>
    </row>
    <row r="608">
      <c r="A608" s="278"/>
    </row>
    <row r="609">
      <c r="A609" s="278"/>
    </row>
    <row r="610">
      <c r="A610" s="278"/>
    </row>
    <row r="611">
      <c r="A611" s="278"/>
    </row>
    <row r="612">
      <c r="A612" s="278"/>
    </row>
    <row r="613">
      <c r="A613" s="278"/>
    </row>
    <row r="614">
      <c r="A614" s="278"/>
    </row>
    <row r="615">
      <c r="A615" s="278"/>
    </row>
    <row r="616">
      <c r="A616" s="278"/>
    </row>
    <row r="617">
      <c r="A617" s="278"/>
    </row>
    <row r="618">
      <c r="A618" s="278"/>
    </row>
    <row r="619">
      <c r="A619" s="278"/>
    </row>
    <row r="620">
      <c r="A620" s="278"/>
    </row>
    <row r="621">
      <c r="A621" s="278"/>
    </row>
    <row r="622">
      <c r="A622" s="278"/>
    </row>
    <row r="623">
      <c r="A623" s="278"/>
    </row>
    <row r="624">
      <c r="A624" s="278"/>
    </row>
    <row r="625">
      <c r="A625" s="278"/>
    </row>
    <row r="626">
      <c r="A626" s="278"/>
    </row>
    <row r="627">
      <c r="A627" s="278"/>
    </row>
    <row r="628">
      <c r="A628" s="278"/>
    </row>
    <row r="629">
      <c r="A629" s="278"/>
    </row>
    <row r="630">
      <c r="A630" s="278"/>
    </row>
    <row r="631">
      <c r="A631" s="278"/>
    </row>
    <row r="632">
      <c r="A632" s="278"/>
    </row>
    <row r="633">
      <c r="A633" s="278"/>
    </row>
    <row r="634">
      <c r="A634" s="278"/>
    </row>
    <row r="635">
      <c r="A635" s="278"/>
    </row>
    <row r="636">
      <c r="A636" s="278"/>
    </row>
    <row r="637">
      <c r="A637" s="278"/>
    </row>
    <row r="638">
      <c r="A638" s="278"/>
    </row>
    <row r="639">
      <c r="A639" s="278"/>
    </row>
    <row r="640">
      <c r="A640" s="278"/>
    </row>
    <row r="641">
      <c r="A641" s="278"/>
    </row>
    <row r="642">
      <c r="A642" s="278"/>
    </row>
    <row r="643">
      <c r="A643" s="278"/>
    </row>
    <row r="644">
      <c r="A644" s="278"/>
    </row>
    <row r="645">
      <c r="A645" s="278"/>
    </row>
    <row r="646">
      <c r="A646" s="278"/>
    </row>
    <row r="647">
      <c r="A647" s="278"/>
    </row>
    <row r="648">
      <c r="A648" s="278"/>
    </row>
    <row r="649">
      <c r="A649" s="278"/>
    </row>
    <row r="650">
      <c r="A650" s="278"/>
    </row>
    <row r="651">
      <c r="A651" s="278"/>
    </row>
    <row r="652">
      <c r="A652" s="278"/>
    </row>
    <row r="653">
      <c r="A653" s="278"/>
    </row>
    <row r="654">
      <c r="A654" s="278"/>
    </row>
    <row r="655">
      <c r="A655" s="278"/>
    </row>
    <row r="656">
      <c r="A656" s="278"/>
    </row>
    <row r="657">
      <c r="A657" s="278"/>
    </row>
    <row r="658">
      <c r="A658" s="278"/>
    </row>
    <row r="659">
      <c r="A659" s="278"/>
    </row>
    <row r="660">
      <c r="A660" s="278"/>
    </row>
    <row r="661">
      <c r="A661" s="278"/>
    </row>
    <row r="662">
      <c r="A662" s="278"/>
    </row>
    <row r="663">
      <c r="A663" s="278"/>
    </row>
    <row r="664">
      <c r="A664" s="278"/>
    </row>
    <row r="665">
      <c r="A665" s="278"/>
    </row>
    <row r="666">
      <c r="A666" s="278"/>
    </row>
    <row r="667">
      <c r="A667" s="278"/>
    </row>
    <row r="668">
      <c r="A668" s="278"/>
    </row>
    <row r="669">
      <c r="A669" s="278"/>
    </row>
    <row r="670">
      <c r="A670" s="278"/>
    </row>
    <row r="671">
      <c r="A671" s="278"/>
    </row>
    <row r="672">
      <c r="A672" s="278"/>
    </row>
    <row r="673">
      <c r="A673" s="278"/>
    </row>
    <row r="674">
      <c r="A674" s="278"/>
    </row>
    <row r="675">
      <c r="A675" s="278"/>
    </row>
    <row r="676">
      <c r="A676" s="278"/>
    </row>
    <row r="677">
      <c r="A677" s="278"/>
    </row>
    <row r="678">
      <c r="A678" s="278"/>
    </row>
    <row r="679">
      <c r="A679" s="278"/>
    </row>
    <row r="680">
      <c r="A680" s="278"/>
    </row>
    <row r="681">
      <c r="A681" s="278"/>
    </row>
    <row r="682">
      <c r="A682" s="278"/>
    </row>
    <row r="683">
      <c r="A683" s="278"/>
    </row>
    <row r="684">
      <c r="A684" s="278"/>
    </row>
    <row r="685">
      <c r="A685" s="278"/>
    </row>
    <row r="686">
      <c r="A686" s="278"/>
    </row>
    <row r="687">
      <c r="A687" s="278"/>
    </row>
    <row r="688">
      <c r="A688" s="278"/>
    </row>
    <row r="689">
      <c r="A689" s="278"/>
    </row>
    <row r="690">
      <c r="A690" s="278"/>
    </row>
    <row r="691">
      <c r="A691" s="278"/>
    </row>
    <row r="692">
      <c r="A692" s="278"/>
    </row>
    <row r="693">
      <c r="A693" s="278"/>
    </row>
    <row r="694">
      <c r="A694" s="278"/>
    </row>
    <row r="695">
      <c r="A695" s="278"/>
    </row>
    <row r="696">
      <c r="A696" s="278"/>
    </row>
    <row r="697">
      <c r="A697" s="278"/>
    </row>
    <row r="698">
      <c r="A698" s="278"/>
    </row>
    <row r="699">
      <c r="A699" s="278"/>
    </row>
    <row r="700">
      <c r="A700" s="278"/>
    </row>
    <row r="701">
      <c r="A701" s="278"/>
    </row>
    <row r="702">
      <c r="A702" s="278"/>
    </row>
    <row r="703">
      <c r="A703" s="278"/>
    </row>
    <row r="704">
      <c r="A704" s="278"/>
    </row>
    <row r="705">
      <c r="A705" s="278"/>
    </row>
    <row r="706">
      <c r="A706" s="278"/>
    </row>
    <row r="707">
      <c r="A707" s="278"/>
    </row>
    <row r="708">
      <c r="A708" s="278"/>
    </row>
    <row r="709">
      <c r="A709" s="278"/>
    </row>
    <row r="710">
      <c r="A710" s="278"/>
    </row>
    <row r="711">
      <c r="A711" s="278"/>
    </row>
    <row r="712">
      <c r="A712" s="278"/>
    </row>
    <row r="713">
      <c r="A713" s="278"/>
    </row>
    <row r="714">
      <c r="A714" s="278"/>
    </row>
    <row r="715">
      <c r="A715" s="278"/>
    </row>
    <row r="716">
      <c r="A716" s="278"/>
    </row>
    <row r="717">
      <c r="A717" s="278"/>
    </row>
    <row r="718">
      <c r="A718" s="278"/>
    </row>
    <row r="719">
      <c r="A719" s="278"/>
    </row>
    <row r="720">
      <c r="A720" s="278"/>
    </row>
    <row r="721">
      <c r="A721" s="278"/>
    </row>
    <row r="722">
      <c r="A722" s="278"/>
    </row>
    <row r="723">
      <c r="A723" s="278"/>
    </row>
    <row r="724">
      <c r="A724" s="278"/>
    </row>
    <row r="725">
      <c r="A725" s="278"/>
    </row>
    <row r="726">
      <c r="A726" s="278"/>
    </row>
    <row r="727">
      <c r="A727" s="278"/>
    </row>
    <row r="728">
      <c r="A728" s="278"/>
    </row>
    <row r="729">
      <c r="A729" s="278"/>
    </row>
    <row r="730">
      <c r="A730" s="278"/>
    </row>
    <row r="731">
      <c r="A731" s="278"/>
    </row>
    <row r="732">
      <c r="A732" s="278"/>
    </row>
    <row r="733">
      <c r="A733" s="278"/>
    </row>
    <row r="734">
      <c r="A734" s="278"/>
    </row>
    <row r="735">
      <c r="A735" s="278"/>
    </row>
    <row r="736">
      <c r="A736" s="278"/>
    </row>
    <row r="737">
      <c r="A737" s="278"/>
    </row>
    <row r="738">
      <c r="A738" s="278"/>
    </row>
    <row r="739">
      <c r="A739" s="278"/>
    </row>
    <row r="740">
      <c r="A740" s="278"/>
    </row>
    <row r="741">
      <c r="A741" s="278"/>
    </row>
    <row r="742">
      <c r="A742" s="278"/>
    </row>
    <row r="743">
      <c r="A743" s="278"/>
    </row>
    <row r="744">
      <c r="A744" s="278"/>
    </row>
    <row r="745">
      <c r="A745" s="278"/>
    </row>
    <row r="746">
      <c r="A746" s="278"/>
    </row>
    <row r="747">
      <c r="A747" s="278"/>
    </row>
    <row r="748">
      <c r="A748" s="278"/>
    </row>
    <row r="749">
      <c r="A749" s="278"/>
    </row>
    <row r="750">
      <c r="A750" s="278"/>
    </row>
    <row r="751">
      <c r="A751" s="278"/>
    </row>
    <row r="752">
      <c r="A752" s="278"/>
    </row>
    <row r="753">
      <c r="A753" s="278"/>
    </row>
    <row r="754">
      <c r="A754" s="278"/>
    </row>
    <row r="755">
      <c r="A755" s="278"/>
    </row>
    <row r="756">
      <c r="A756" s="278"/>
    </row>
    <row r="757">
      <c r="A757" s="278"/>
    </row>
    <row r="758">
      <c r="A758" s="278"/>
    </row>
    <row r="759">
      <c r="A759" s="278"/>
    </row>
    <row r="760">
      <c r="A760" s="278"/>
    </row>
    <row r="761">
      <c r="A761" s="278"/>
    </row>
    <row r="762">
      <c r="A762" s="278"/>
    </row>
    <row r="763">
      <c r="A763" s="278"/>
    </row>
    <row r="764">
      <c r="A764" s="278"/>
    </row>
    <row r="765">
      <c r="A765" s="278"/>
    </row>
    <row r="766">
      <c r="A766" s="278"/>
    </row>
    <row r="767">
      <c r="A767" s="278"/>
    </row>
    <row r="768">
      <c r="A768" s="278"/>
    </row>
    <row r="769">
      <c r="A769" s="278"/>
    </row>
    <row r="770">
      <c r="A770" s="278"/>
    </row>
    <row r="771">
      <c r="A771" s="278"/>
    </row>
    <row r="772">
      <c r="A772" s="278"/>
    </row>
    <row r="773">
      <c r="A773" s="278"/>
    </row>
    <row r="774">
      <c r="A774" s="278"/>
    </row>
    <row r="775">
      <c r="A775" s="278"/>
    </row>
    <row r="776">
      <c r="A776" s="278"/>
    </row>
    <row r="777">
      <c r="A777" s="278"/>
    </row>
    <row r="778">
      <c r="A778" s="278"/>
    </row>
    <row r="779">
      <c r="A779" s="278"/>
    </row>
    <row r="780">
      <c r="A780" s="278"/>
    </row>
    <row r="781">
      <c r="A781" s="278"/>
    </row>
    <row r="782">
      <c r="A782" s="278"/>
    </row>
    <row r="783">
      <c r="A783" s="278"/>
    </row>
    <row r="784">
      <c r="A784" s="278"/>
    </row>
    <row r="785">
      <c r="A785" s="278"/>
    </row>
    <row r="786">
      <c r="A786" s="278"/>
    </row>
    <row r="787">
      <c r="A787" s="278"/>
    </row>
    <row r="788">
      <c r="A788" s="278"/>
    </row>
    <row r="789">
      <c r="A789" s="278"/>
    </row>
    <row r="790">
      <c r="A790" s="278"/>
    </row>
    <row r="791">
      <c r="A791" s="278"/>
    </row>
    <row r="792">
      <c r="A792" s="278"/>
    </row>
    <row r="793">
      <c r="A793" s="278"/>
    </row>
    <row r="794">
      <c r="A794" s="278"/>
    </row>
    <row r="795">
      <c r="A795" s="278"/>
    </row>
    <row r="796">
      <c r="A796" s="278"/>
    </row>
    <row r="797">
      <c r="A797" s="278"/>
    </row>
    <row r="798">
      <c r="A798" s="278"/>
    </row>
    <row r="799">
      <c r="A799" s="278"/>
    </row>
    <row r="800">
      <c r="A800" s="278"/>
    </row>
    <row r="801">
      <c r="A801" s="278"/>
    </row>
    <row r="802">
      <c r="A802" s="278"/>
    </row>
    <row r="803">
      <c r="A803" s="278"/>
    </row>
    <row r="804">
      <c r="A804" s="278"/>
    </row>
    <row r="805">
      <c r="A805" s="278"/>
    </row>
    <row r="806">
      <c r="A806" s="278"/>
    </row>
    <row r="807">
      <c r="A807" s="278"/>
    </row>
    <row r="808">
      <c r="A808" s="278"/>
    </row>
    <row r="809">
      <c r="A809" s="278"/>
    </row>
    <row r="810">
      <c r="A810" s="278"/>
    </row>
    <row r="811">
      <c r="A811" s="278"/>
    </row>
    <row r="812">
      <c r="A812" s="278"/>
    </row>
    <row r="813">
      <c r="A813" s="278"/>
    </row>
    <row r="814">
      <c r="A814" s="278"/>
    </row>
    <row r="815">
      <c r="A815" s="278"/>
    </row>
    <row r="816">
      <c r="A816" s="278"/>
    </row>
    <row r="817">
      <c r="A817" s="278"/>
    </row>
    <row r="818">
      <c r="A818" s="278"/>
    </row>
    <row r="819">
      <c r="A819" s="278"/>
    </row>
    <row r="820">
      <c r="A820" s="278"/>
    </row>
    <row r="821">
      <c r="A821" s="278"/>
    </row>
    <row r="822">
      <c r="A822" s="278"/>
    </row>
    <row r="823">
      <c r="A823" s="278"/>
    </row>
    <row r="824">
      <c r="A824" s="278"/>
    </row>
    <row r="825">
      <c r="A825" s="278"/>
    </row>
    <row r="826">
      <c r="A826" s="278"/>
    </row>
    <row r="827">
      <c r="A827" s="278"/>
    </row>
    <row r="828">
      <c r="A828" s="278"/>
    </row>
    <row r="829">
      <c r="A829" s="278"/>
    </row>
    <row r="830">
      <c r="A830" s="278"/>
    </row>
    <row r="831">
      <c r="A831" s="278"/>
    </row>
    <row r="832">
      <c r="A832" s="278"/>
    </row>
    <row r="833">
      <c r="A833" s="278"/>
    </row>
    <row r="834">
      <c r="A834" s="278"/>
    </row>
    <row r="835">
      <c r="A835" s="278"/>
    </row>
    <row r="836">
      <c r="A836" s="278"/>
    </row>
    <row r="837">
      <c r="A837" s="278"/>
    </row>
    <row r="838">
      <c r="A838" s="278"/>
    </row>
    <row r="839">
      <c r="A839" s="278"/>
    </row>
    <row r="840">
      <c r="A840" s="278"/>
    </row>
    <row r="841">
      <c r="A841" s="278"/>
    </row>
    <row r="842">
      <c r="A842" s="278"/>
    </row>
    <row r="843">
      <c r="A843" s="278"/>
    </row>
    <row r="844">
      <c r="A844" s="278"/>
    </row>
    <row r="845">
      <c r="A845" s="278"/>
    </row>
    <row r="846">
      <c r="A846" s="278"/>
    </row>
    <row r="847">
      <c r="A847" s="278"/>
    </row>
    <row r="848">
      <c r="A848" s="278"/>
    </row>
    <row r="849">
      <c r="A849" s="278"/>
    </row>
    <row r="850">
      <c r="A850" s="278"/>
    </row>
    <row r="851">
      <c r="A851" s="278"/>
    </row>
    <row r="852">
      <c r="A852" s="278"/>
    </row>
    <row r="853">
      <c r="A853" s="278"/>
    </row>
    <row r="854">
      <c r="A854" s="278"/>
    </row>
    <row r="855">
      <c r="A855" s="278"/>
    </row>
    <row r="856">
      <c r="A856" s="278"/>
    </row>
    <row r="857">
      <c r="A857" s="278"/>
    </row>
    <row r="858">
      <c r="A858" s="278"/>
    </row>
    <row r="859">
      <c r="A859" s="278"/>
    </row>
    <row r="860">
      <c r="A860" s="278"/>
    </row>
    <row r="861">
      <c r="A861" s="278"/>
    </row>
    <row r="862">
      <c r="A862" s="278"/>
    </row>
    <row r="863">
      <c r="A863" s="278"/>
    </row>
    <row r="864">
      <c r="A864" s="278"/>
    </row>
    <row r="865">
      <c r="A865" s="278"/>
    </row>
    <row r="866">
      <c r="A866" s="278"/>
    </row>
    <row r="867">
      <c r="A867" s="278"/>
    </row>
    <row r="868">
      <c r="A868" s="278"/>
    </row>
    <row r="869">
      <c r="A869" s="278"/>
    </row>
    <row r="870">
      <c r="A870" s="278"/>
    </row>
    <row r="871">
      <c r="A871" s="278"/>
    </row>
    <row r="872">
      <c r="A872" s="278"/>
    </row>
    <row r="873">
      <c r="A873" s="278"/>
    </row>
    <row r="874">
      <c r="A874" s="278"/>
    </row>
    <row r="875">
      <c r="A875" s="278"/>
    </row>
    <row r="876">
      <c r="A876" s="278"/>
    </row>
    <row r="877">
      <c r="A877" s="278"/>
    </row>
    <row r="878">
      <c r="A878" s="278"/>
    </row>
    <row r="879">
      <c r="A879" s="278"/>
    </row>
    <row r="880">
      <c r="A880" s="278"/>
    </row>
    <row r="881">
      <c r="A881" s="278"/>
    </row>
    <row r="882">
      <c r="A882" s="278"/>
    </row>
    <row r="883">
      <c r="A883" s="278"/>
    </row>
    <row r="884">
      <c r="A884" s="278"/>
    </row>
    <row r="885">
      <c r="A885" s="278"/>
    </row>
    <row r="886">
      <c r="A886" s="278"/>
    </row>
    <row r="887">
      <c r="A887" s="278"/>
    </row>
    <row r="888">
      <c r="A888" s="278"/>
    </row>
    <row r="889">
      <c r="A889" s="278"/>
    </row>
    <row r="890">
      <c r="A890" s="278"/>
    </row>
    <row r="891">
      <c r="A891" s="278"/>
    </row>
    <row r="892">
      <c r="A892" s="278"/>
    </row>
    <row r="893">
      <c r="A893" s="278"/>
    </row>
    <row r="894">
      <c r="A894" s="278"/>
    </row>
    <row r="895">
      <c r="A895" s="278"/>
    </row>
    <row r="896">
      <c r="A896" s="278"/>
    </row>
    <row r="897">
      <c r="A897" s="278"/>
    </row>
    <row r="898">
      <c r="A898" s="278"/>
    </row>
    <row r="899">
      <c r="A899" s="278"/>
    </row>
    <row r="900">
      <c r="A900" s="278"/>
    </row>
    <row r="901">
      <c r="A901" s="278"/>
    </row>
    <row r="902">
      <c r="A902" s="278"/>
    </row>
    <row r="903">
      <c r="A903" s="278"/>
    </row>
    <row r="904">
      <c r="A904" s="278"/>
    </row>
    <row r="905">
      <c r="A905" s="278"/>
    </row>
    <row r="906">
      <c r="A906" s="278"/>
    </row>
    <row r="907">
      <c r="A907" s="278"/>
    </row>
    <row r="908">
      <c r="A908" s="278"/>
    </row>
    <row r="909">
      <c r="A909" s="278"/>
    </row>
    <row r="910">
      <c r="A910" s="278"/>
    </row>
    <row r="911">
      <c r="A911" s="278"/>
    </row>
    <row r="912">
      <c r="A912" s="278"/>
    </row>
    <row r="913">
      <c r="A913" s="278"/>
    </row>
    <row r="914">
      <c r="A914" s="278"/>
    </row>
    <row r="915">
      <c r="A915" s="278"/>
    </row>
    <row r="916">
      <c r="A916" s="278"/>
    </row>
    <row r="917">
      <c r="A917" s="278"/>
    </row>
    <row r="918">
      <c r="A918" s="278"/>
    </row>
    <row r="919">
      <c r="A919" s="278"/>
    </row>
    <row r="920">
      <c r="A920" s="278"/>
    </row>
    <row r="921">
      <c r="A921" s="278"/>
    </row>
    <row r="922">
      <c r="A922" s="278"/>
    </row>
    <row r="923">
      <c r="A923" s="278"/>
    </row>
    <row r="924">
      <c r="A924" s="278"/>
    </row>
    <row r="925">
      <c r="A925" s="278"/>
    </row>
    <row r="926">
      <c r="A926" s="278"/>
    </row>
    <row r="927">
      <c r="A927" s="278"/>
    </row>
    <row r="928">
      <c r="A928" s="278"/>
    </row>
    <row r="929">
      <c r="A929" s="278"/>
    </row>
    <row r="930">
      <c r="A930" s="278"/>
    </row>
    <row r="931">
      <c r="A931" s="278"/>
    </row>
    <row r="932">
      <c r="A932" s="278"/>
    </row>
    <row r="933">
      <c r="A933" s="278"/>
    </row>
    <row r="934">
      <c r="A934" s="278"/>
    </row>
    <row r="935">
      <c r="A935" s="278"/>
    </row>
    <row r="936">
      <c r="A936" s="278"/>
    </row>
    <row r="937">
      <c r="A937" s="278"/>
    </row>
    <row r="938">
      <c r="A938" s="278"/>
    </row>
    <row r="939">
      <c r="A939" s="278"/>
    </row>
    <row r="940">
      <c r="A940" s="278"/>
    </row>
    <row r="941">
      <c r="A941" s="278"/>
    </row>
    <row r="942">
      <c r="A942" s="278"/>
    </row>
    <row r="943">
      <c r="A943" s="278"/>
    </row>
    <row r="944">
      <c r="A944" s="278"/>
    </row>
    <row r="945">
      <c r="A945" s="278"/>
    </row>
    <row r="946">
      <c r="A946" s="278"/>
    </row>
    <row r="947">
      <c r="A947" s="278"/>
    </row>
    <row r="948">
      <c r="A948" s="278"/>
    </row>
    <row r="949">
      <c r="A949" s="278"/>
    </row>
    <row r="950">
      <c r="A950" s="278"/>
    </row>
    <row r="951">
      <c r="A951" s="278"/>
    </row>
    <row r="952">
      <c r="A952" s="278"/>
    </row>
    <row r="953">
      <c r="A953" s="278"/>
    </row>
    <row r="954">
      <c r="A954" s="278"/>
    </row>
    <row r="955">
      <c r="A955" s="278"/>
    </row>
    <row r="956">
      <c r="A956" s="278"/>
    </row>
    <row r="957">
      <c r="A957" s="278"/>
    </row>
    <row r="958">
      <c r="A958" s="278"/>
    </row>
    <row r="959">
      <c r="A959" s="278"/>
    </row>
    <row r="960">
      <c r="A960" s="278"/>
    </row>
    <row r="961">
      <c r="A961" s="278"/>
    </row>
    <row r="962">
      <c r="A962" s="278"/>
    </row>
    <row r="963">
      <c r="A963" s="278"/>
    </row>
    <row r="964">
      <c r="A964" s="278"/>
    </row>
    <row r="965">
      <c r="A965" s="278"/>
    </row>
    <row r="966">
      <c r="A966" s="278"/>
    </row>
    <row r="967">
      <c r="A967" s="278"/>
    </row>
    <row r="968">
      <c r="A968" s="278"/>
    </row>
    <row r="969">
      <c r="A969" s="278"/>
    </row>
    <row r="970">
      <c r="A970" s="278"/>
    </row>
    <row r="971">
      <c r="A971" s="278"/>
    </row>
    <row r="972">
      <c r="A972" s="278"/>
    </row>
    <row r="973">
      <c r="A973" s="278"/>
    </row>
    <row r="974">
      <c r="A974" s="278"/>
    </row>
    <row r="975">
      <c r="A975" s="278"/>
    </row>
    <row r="976">
      <c r="A976" s="278"/>
    </row>
    <row r="977">
      <c r="A977" s="278"/>
    </row>
    <row r="978">
      <c r="A978" s="278"/>
    </row>
    <row r="979">
      <c r="A979" s="278"/>
    </row>
    <row r="980">
      <c r="A980" s="278"/>
    </row>
    <row r="981">
      <c r="A981" s="278"/>
    </row>
    <row r="982">
      <c r="A982" s="278"/>
    </row>
    <row r="983">
      <c r="A983" s="278"/>
    </row>
    <row r="984">
      <c r="A984" s="278"/>
    </row>
    <row r="985">
      <c r="A985" s="278"/>
    </row>
    <row r="986">
      <c r="A986" s="278"/>
    </row>
    <row r="987">
      <c r="A987" s="278"/>
    </row>
    <row r="988">
      <c r="A988" s="278"/>
    </row>
    <row r="989">
      <c r="A989" s="278"/>
    </row>
    <row r="990">
      <c r="A990" s="278"/>
    </row>
    <row r="991">
      <c r="A991" s="278"/>
    </row>
    <row r="992">
      <c r="A992" s="278"/>
    </row>
    <row r="993">
      <c r="A993" s="278"/>
    </row>
    <row r="994">
      <c r="A994" s="278"/>
    </row>
    <row r="995">
      <c r="A995" s="278"/>
    </row>
    <row r="996">
      <c r="A996" s="278"/>
    </row>
    <row r="997">
      <c r="A997" s="278"/>
    </row>
    <row r="998">
      <c r="A998" s="278"/>
    </row>
    <row r="999">
      <c r="A999" s="278"/>
    </row>
    <row r="1000">
      <c r="A1000" s="278"/>
    </row>
  </sheetData>
  <autoFilter ref="$A$1:$B$10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0"/>
    <col customWidth="1" min="2" max="2" width="46.63"/>
    <col customWidth="1" min="3" max="3" width="16.5"/>
    <col customWidth="1" min="4" max="4" width="18.38"/>
    <col customWidth="1" min="5" max="5" width="22.5"/>
    <col customWidth="1" min="6" max="7" width="18.0"/>
  </cols>
  <sheetData>
    <row r="1">
      <c r="A1" s="494" t="s">
        <v>12846</v>
      </c>
      <c r="B1" s="494" t="s">
        <v>101</v>
      </c>
      <c r="C1" s="494" t="s">
        <v>539</v>
      </c>
      <c r="D1" s="494" t="s">
        <v>103</v>
      </c>
      <c r="E1" s="494" t="s">
        <v>542</v>
      </c>
      <c r="F1" s="494" t="s">
        <v>105</v>
      </c>
      <c r="G1" s="494" t="s">
        <v>106</v>
      </c>
      <c r="H1" s="495"/>
    </row>
    <row r="2">
      <c r="A2" s="495" t="s">
        <v>12847</v>
      </c>
      <c r="B2" s="218" t="s">
        <v>278</v>
      </c>
      <c r="C2" s="495" t="s">
        <v>320</v>
      </c>
      <c r="D2" s="495" t="s">
        <v>215</v>
      </c>
      <c r="E2" s="495" t="s">
        <v>12848</v>
      </c>
      <c r="F2" s="495" t="s">
        <v>110</v>
      </c>
      <c r="G2" s="495" t="s">
        <v>279</v>
      </c>
      <c r="H2" s="495"/>
    </row>
    <row r="3">
      <c r="A3" s="496" t="s">
        <v>12849</v>
      </c>
      <c r="B3" s="495" t="s">
        <v>450</v>
      </c>
      <c r="C3" s="495" t="s">
        <v>214</v>
      </c>
      <c r="D3" s="495" t="s">
        <v>321</v>
      </c>
      <c r="E3" s="495" t="s">
        <v>12850</v>
      </c>
      <c r="F3" s="495" t="s">
        <v>118</v>
      </c>
      <c r="G3" s="495" t="s">
        <v>217</v>
      </c>
      <c r="H3" s="495"/>
    </row>
    <row r="4">
      <c r="A4" s="496" t="s">
        <v>12851</v>
      </c>
      <c r="B4" s="495" t="s">
        <v>364</v>
      </c>
      <c r="C4" s="495" t="s">
        <v>12852</v>
      </c>
      <c r="E4" s="495" t="s">
        <v>216</v>
      </c>
      <c r="F4" s="495"/>
      <c r="G4" s="495"/>
      <c r="H4" s="495"/>
    </row>
    <row r="5">
      <c r="A5" s="496" t="s">
        <v>12853</v>
      </c>
      <c r="B5" s="495" t="s">
        <v>12854</v>
      </c>
      <c r="C5" s="495"/>
      <c r="E5" s="495" t="s">
        <v>12855</v>
      </c>
      <c r="F5" s="495"/>
      <c r="G5" s="495"/>
      <c r="H5" s="495"/>
    </row>
    <row r="6">
      <c r="A6" s="496" t="s">
        <v>12856</v>
      </c>
      <c r="B6" s="495" t="s">
        <v>319</v>
      </c>
      <c r="C6" s="495"/>
      <c r="E6" s="495" t="s">
        <v>304</v>
      </c>
      <c r="F6" s="495"/>
      <c r="G6" s="495"/>
      <c r="H6" s="495"/>
    </row>
    <row r="7">
      <c r="A7" s="496" t="s">
        <v>12857</v>
      </c>
      <c r="B7" s="495" t="s">
        <v>12858</v>
      </c>
      <c r="C7" s="495"/>
      <c r="D7" s="495"/>
      <c r="E7" s="495" t="s">
        <v>180</v>
      </c>
      <c r="F7" s="495"/>
      <c r="G7" s="495"/>
      <c r="H7" s="495"/>
    </row>
    <row r="8">
      <c r="A8" s="496" t="s">
        <v>12859</v>
      </c>
      <c r="B8" s="495" t="s">
        <v>303</v>
      </c>
      <c r="C8" s="495"/>
      <c r="D8" s="495"/>
      <c r="E8" s="495"/>
      <c r="F8" s="495"/>
      <c r="G8" s="495"/>
      <c r="H8" s="495"/>
    </row>
    <row r="9">
      <c r="A9" s="496" t="s">
        <v>12860</v>
      </c>
      <c r="B9" s="495" t="s">
        <v>497</v>
      </c>
      <c r="C9" s="495"/>
      <c r="D9" s="495"/>
      <c r="E9" s="495"/>
      <c r="F9" s="495"/>
      <c r="G9" s="495"/>
      <c r="H9" s="495"/>
    </row>
    <row r="10">
      <c r="A10" s="496" t="s">
        <v>12861</v>
      </c>
      <c r="B10" s="495" t="s">
        <v>435</v>
      </c>
      <c r="C10" s="495"/>
      <c r="D10" s="495"/>
      <c r="E10" s="495"/>
      <c r="F10" s="495"/>
      <c r="G10" s="495"/>
      <c r="H10" s="495"/>
    </row>
    <row r="11">
      <c r="A11" s="496" t="s">
        <v>12862</v>
      </c>
      <c r="B11" s="495" t="s">
        <v>12863</v>
      </c>
      <c r="C11" s="495"/>
      <c r="D11" s="495"/>
      <c r="E11" s="495"/>
      <c r="F11" s="495"/>
      <c r="G11" s="495"/>
      <c r="H11" s="495"/>
    </row>
    <row r="12">
      <c r="A12" s="496" t="s">
        <v>12864</v>
      </c>
      <c r="B12" s="495" t="s">
        <v>491</v>
      </c>
    </row>
    <row r="13">
      <c r="A13" s="496" t="s">
        <v>12865</v>
      </c>
      <c r="B13" s="495" t="s">
        <v>12866</v>
      </c>
    </row>
    <row r="14">
      <c r="A14" s="496" t="s">
        <v>12867</v>
      </c>
      <c r="B14" s="495" t="s">
        <v>12868</v>
      </c>
    </row>
    <row r="15">
      <c r="A15" s="496" t="s">
        <v>12869</v>
      </c>
      <c r="B15" s="495" t="s">
        <v>12870</v>
      </c>
    </row>
    <row r="16">
      <c r="A16" s="496" t="s">
        <v>12871</v>
      </c>
      <c r="B16" s="495" t="s">
        <v>507</v>
      </c>
    </row>
    <row r="17">
      <c r="A17" s="496" t="s">
        <v>12872</v>
      </c>
      <c r="B17" s="495" t="s">
        <v>404</v>
      </c>
    </row>
    <row r="18">
      <c r="A18" s="496" t="s">
        <v>12873</v>
      </c>
      <c r="B18" s="495" t="s">
        <v>12874</v>
      </c>
    </row>
    <row r="19">
      <c r="A19" s="496" t="s">
        <v>12875</v>
      </c>
      <c r="B19" s="495" t="s">
        <v>227</v>
      </c>
    </row>
    <row r="20">
      <c r="A20" s="496" t="s">
        <v>12876</v>
      </c>
      <c r="B20" s="495" t="s">
        <v>213</v>
      </c>
    </row>
    <row r="21">
      <c r="A21" s="496" t="s">
        <v>12877</v>
      </c>
      <c r="B21" s="495" t="s">
        <v>12878</v>
      </c>
    </row>
    <row r="22">
      <c r="A22" s="496" t="s">
        <v>12879</v>
      </c>
      <c r="B22" s="495" t="s">
        <v>258</v>
      </c>
    </row>
    <row r="23">
      <c r="A23" s="496" t="s">
        <v>12880</v>
      </c>
      <c r="B23" s="495" t="s">
        <v>340</v>
      </c>
    </row>
    <row r="24">
      <c r="A24" s="496" t="s">
        <v>12881</v>
      </c>
      <c r="B24" s="495" t="s">
        <v>12882</v>
      </c>
    </row>
    <row r="25">
      <c r="A25" s="496" t="s">
        <v>12883</v>
      </c>
      <c r="B25" s="495" t="s">
        <v>12884</v>
      </c>
    </row>
    <row r="26">
      <c r="A26" s="495"/>
      <c r="B26" s="495" t="s">
        <v>12885</v>
      </c>
    </row>
    <row r="27">
      <c r="B27" s="495" t="s">
        <v>12886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8761D"/>
    <outlinePr summaryBelow="0" summaryRight="0"/>
  </sheetPr>
  <sheetViews>
    <sheetView workbookViewId="0"/>
  </sheetViews>
  <sheetFormatPr customHeight="1" defaultColWidth="12.63" defaultRowHeight="15.75"/>
  <sheetData>
    <row r="1">
      <c r="A1" s="180" t="str">
        <f>IFERROR(__xludf.DUMMYFUNCTION("query('Base de Dados'!A1:CR1000,""SELECT * WHERE A &gt; 999"",1)"),"Id")</f>
        <v>Id</v>
      </c>
      <c r="B1" s="180" t="str">
        <f>IFERROR(__xludf.DUMMYFUNCTION("""COMPUTED_VALUE"""),"Grupo")</f>
        <v>Grupo</v>
      </c>
      <c r="C1" s="180" t="str">
        <f>IFERROR(__xludf.DUMMYFUNCTION("""COMPUTED_VALUE"""),"Descrição")</f>
        <v>Descrição</v>
      </c>
      <c r="D1" s="180" t="str">
        <f>IFERROR(__xludf.DUMMYFUNCTION("""COMPUTED_VALUE"""),"Justificativa ")</f>
        <v>Justificativa </v>
      </c>
      <c r="E1" s="180" t="str">
        <f>IFERROR(__xludf.DUMMYFUNCTION("""COMPUTED_VALUE"""),"Objetivo Estratégico ")</f>
        <v>Objetivo Estratégico </v>
      </c>
      <c r="F1" s="180" t="str">
        <f>IFERROR(__xludf.DUMMYFUNCTION("""COMPUTED_VALUE"""),"Classificação CNJ")</f>
        <v>Classificação CNJ</v>
      </c>
      <c r="G1" s="180" t="str">
        <f>IFERROR(__xludf.DUMMYFUNCTION("""COMPUTED_VALUE"""),"Denominação Ampliada")</f>
        <v>Denominação Ampliada</v>
      </c>
      <c r="H1" s="180" t="str">
        <f>IFERROR(__xludf.DUMMYFUNCTION("""COMPUTED_VALUE"""),"Natureza")</f>
        <v>Natureza</v>
      </c>
      <c r="I1" s="180" t="str">
        <f>IFERROR(__xludf.DUMMYFUNCTION("""COMPUTED_VALUE"""),"Demandante")</f>
        <v>Demandante</v>
      </c>
      <c r="J1" s="180" t="str">
        <f>IFERROR(__xludf.DUMMYFUNCTION("""COMPUTED_VALUE"""),"UGO")</f>
        <v>UGO</v>
      </c>
      <c r="K1" s="180" t="str">
        <f>IFERROR(__xludf.DUMMYFUNCTION("""COMPUTED_VALUE"""),"Despesa")</f>
        <v>Despesa</v>
      </c>
      <c r="L1" s="180" t="str">
        <f>IFERROR(__xludf.DUMMYFUNCTION("""COMPUTED_VALUE"""),"Código de Despesa")</f>
        <v>Código de Despesa</v>
      </c>
      <c r="M1" s="180" t="str">
        <f>IFERROR(__xludf.DUMMYFUNCTION("""COMPUTED_VALUE"""),"Sub de Despesa")</f>
        <v>Sub de Despesa</v>
      </c>
      <c r="N1" s="180" t="str">
        <f>IFERROR(__xludf.DUMMYFUNCTION("""COMPUTED_VALUE"""),"Reduzido do Empenho")</f>
        <v>Reduzido do Empenho</v>
      </c>
      <c r="O1" s="180" t="str">
        <f>IFERROR(__xludf.DUMMYFUNCTION("""COMPUTED_VALUE"""),"Reduzido Previsto")</f>
        <v>Reduzido Previsto</v>
      </c>
      <c r="P1" s="180" t="str">
        <f>IFERROR(__xludf.DUMMYFUNCTION("""COMPUTED_VALUE"""),"CSJT")</f>
        <v>CSJT</v>
      </c>
      <c r="Q1" s="180" t="str">
        <f>IFERROR(__xludf.DUMMYFUNCTION("""COMPUTED_VALUE"""),"Prioridade")</f>
        <v>Prioridade</v>
      </c>
      <c r="R1" s="180" t="str">
        <f>IFERROR(__xludf.DUMMYFUNCTION("""COMPUTED_VALUE"""),"Deliberação")</f>
        <v>Deliberação</v>
      </c>
      <c r="S1" s="180" t="str">
        <f>IFERROR(__xludf.DUMMYFUNCTION("""COMPUTED_VALUE"""),"Anotações SETIC")</f>
        <v>Anotações SETIC</v>
      </c>
      <c r="T1" s="180" t="str">
        <f>IFERROR(__xludf.DUMMYFUNCTION("""COMPUTED_VALUE"""),"Observação ")</f>
        <v>Observação </v>
      </c>
      <c r="U1" s="180" t="str">
        <f>IFERROR(__xludf.DUMMYFUNCTION("""COMPUTED_VALUE"""),"Situação (Fase)")</f>
        <v>Situação (Fase)</v>
      </c>
      <c r="V1" s="180" t="str">
        <f>IFERROR(__xludf.DUMMYFUNCTION("""COMPUTED_VALUE"""),"DOD")</f>
        <v>DOD</v>
      </c>
      <c r="W1" s="180" t="str">
        <f>IFERROR(__xludf.DUMMYFUNCTION("""COMPUTED_VALUE"""),"Contrato")</f>
        <v>Contrato</v>
      </c>
      <c r="X1" s="180" t="str">
        <f>IFERROR(__xludf.DUMMYFUNCTION("""COMPUTED_VALUE"""),"Área de TIC")</f>
        <v>Área de TIC</v>
      </c>
      <c r="Y1" s="180" t="str">
        <f>IFERROR(__xludf.DUMMYFUNCTION("""COMPUTED_VALUE"""),"Modalidade (prazo)")</f>
        <v>Modalidade (prazo)</v>
      </c>
      <c r="Z1" s="180" t="str">
        <f>IFERROR(__xludf.DUMMYFUNCTION("""COMPUTED_VALUE"""),"Modalidade (contrato)")</f>
        <v>Modalidade (contrato)</v>
      </c>
      <c r="AA1" s="180" t="str">
        <f>IFERROR(__xludf.DUMMYFUNCTION("""COMPUTED_VALUE"""),"Processo Adm")</f>
        <v>Processo Adm</v>
      </c>
      <c r="AB1" s="180" t="str">
        <f>IFERROR(__xludf.DUMMYFUNCTION("""COMPUTED_VALUE"""),"CNPJ/CPF Fornec")</f>
        <v>CNPJ/CPF Fornec</v>
      </c>
      <c r="AC1" s="180" t="str">
        <f>IFERROR(__xludf.DUMMYFUNCTION("""COMPUTED_VALUE"""),"Razão Social")</f>
        <v>Razão Social</v>
      </c>
      <c r="AD1" s="180" t="str">
        <f>IFERROR(__xludf.DUMMYFUNCTION("""COMPUTED_VALUE"""),"Data para Adm")</f>
        <v>Data para Adm</v>
      </c>
      <c r="AE1" s="180" t="str">
        <f>IFERROR(__xludf.DUMMYFUNCTION("""COMPUTED_VALUE"""),"Data para objeto")</f>
        <v>Data para objeto</v>
      </c>
      <c r="AF1" s="180" t="str">
        <f>IFERROR(__xludf.DUMMYFUNCTION("""COMPUTED_VALUE"""),"Responsável")</f>
        <v>Responsável</v>
      </c>
      <c r="AG1" s="180" t="str">
        <f>IFERROR(__xludf.DUMMYFUNCTION("""COMPUTED_VALUE"""),"Qtd Inicial")</f>
        <v>Qtd Inicial</v>
      </c>
      <c r="AH1" s="180" t="str">
        <f>IFERROR(__xludf.DUMMYFUNCTION("""COMPUTED_VALUE"""),"Valor Unitário Inicial")</f>
        <v>Valor Unitário Inicial</v>
      </c>
      <c r="AI1" s="180" t="str">
        <f>IFERROR(__xludf.DUMMYFUNCTION("""COMPUTED_VALUE"""),"Compartilhado")</f>
        <v>Compartilhado</v>
      </c>
      <c r="AJ1" s="180" t="str">
        <f>IFERROR(__xludf.DUMMYFUNCTION("""COMPUTED_VALUE"""),"Valor DOD")</f>
        <v>Valor DOD</v>
      </c>
      <c r="AK1" s="180" t="str">
        <f>IFERROR(__xludf.DUMMYFUNCTION("""COMPUTED_VALUE"""),"Gestor do Contrato")</f>
        <v>Gestor do Contrato</v>
      </c>
      <c r="AL1" s="180" t="str">
        <f>IFERROR(__xludf.DUMMYFUNCTION("""COMPUTED_VALUE"""),"5a Linha de Base")</f>
        <v>5a Linha de Base</v>
      </c>
      <c r="AM1" s="180" t="str">
        <f>IFERROR(__xludf.DUMMYFUNCTION("""COMPUTED_VALUE"""),"4a Linha de Base")</f>
        <v>4a Linha de Base</v>
      </c>
      <c r="AN1" s="180" t="str">
        <f>IFERROR(__xludf.DUMMYFUNCTION("""COMPUTED_VALUE"""),"3a Linha de Base")</f>
        <v>3a Linha de Base</v>
      </c>
      <c r="AO1" s="180" t="str">
        <f>IFERROR(__xludf.DUMMYFUNCTION("""COMPUTED_VALUE"""),"2a Linha de Base - PCTIC 2022")</f>
        <v>2a Linha de Base - PCTIC 2022</v>
      </c>
      <c r="AP1" s="180" t="str">
        <f>IFERROR(__xludf.DUMMYFUNCTION("""COMPUTED_VALUE"""),"Empenho")</f>
        <v>Empenho</v>
      </c>
      <c r="AQ1" s="180" t="str">
        <f>IFERROR(__xludf.DUMMYFUNCTION("""COMPUTED_VALUE"""),"1a Linha de Base - POP 2022")</f>
        <v>1a Linha de Base - POP 2022</v>
      </c>
      <c r="AR1" s="180" t="str">
        <f>IFERROR(__xludf.DUMMYFUNCTION("""COMPUTED_VALUE"""),"Valor Projetado Preliminar")</f>
        <v>Valor Projetado Preliminar</v>
      </c>
      <c r="AS1" s="180" t="str">
        <f>IFERROR(__xludf.DUMMYFUNCTION("""COMPUTED_VALUE"""),"Última Parcela 2021")</f>
        <v>Última Parcela 2021</v>
      </c>
      <c r="AT1" s="180" t="str">
        <f>IFERROR(__xludf.DUMMYFUNCTION("""COMPUTED_VALUE"""),"Valor Projetado")</f>
        <v>Valor Projetado</v>
      </c>
      <c r="AU1" s="180" t="str">
        <f>IFERROR(__xludf.DUMMYFUNCTION("""COMPUTED_VALUE"""),"Última Parcela")</f>
        <v>Última Parcela</v>
      </c>
      <c r="AV1" s="180" t="str">
        <f>IFERROR(__xludf.DUMMYFUNCTION("""COMPUTED_VALUE"""),"Parcelas para pedido de empenho")</f>
        <v>Parcelas para pedido de empenho</v>
      </c>
      <c r="AW1" s="180" t="str">
        <f>IFERROR(__xludf.DUMMYFUNCTION("""COMPUTED_VALUE"""),"Projetado por qtd parcelas")</f>
        <v>Projetado por qtd parcelas</v>
      </c>
      <c r="AX1" s="180" t="str">
        <f>IFERROR(__xludf.DUMMYFUNCTION("""COMPUTED_VALUE"""),"Valor para pedido")</f>
        <v>Valor para pedido</v>
      </c>
      <c r="AY1" s="180" t="str">
        <f>IFERROR(__xludf.DUMMYFUNCTION("""COMPUTED_VALUE"""),"Empenhado")</f>
        <v>Empenhado</v>
      </c>
      <c r="AZ1" s="180" t="str">
        <f>IFERROR(__xludf.DUMMYFUNCTION("""COMPUTED_VALUE"""),"Liquidado")</f>
        <v>Liquidado</v>
      </c>
      <c r="BA1" s="180" t="str">
        <f>IFERROR(__xludf.DUMMYFUNCTION("""COMPUTED_VALUE"""),"Saldo Empenhado")</f>
        <v>Saldo Empenhado</v>
      </c>
      <c r="BB1" s="180" t="str">
        <f>IFERROR(__xludf.DUMMYFUNCTION("""COMPUTED_VALUE"""),"teste_1")</f>
        <v>teste_1</v>
      </c>
      <c r="BC1" s="180" t="str">
        <f>IFERROR(__xludf.DUMMYFUNCTION("""COMPUTED_VALUE"""),"ID SIGEO")</f>
        <v>ID SIGEO</v>
      </c>
      <c r="BD1" s="180" t="str">
        <f>IFERROR(__xludf.DUMMYFUNCTION("""COMPUTED_VALUE"""),"Planilha Contratações CSJT")</f>
        <v>Planilha Contratações CSJT</v>
      </c>
      <c r="BE1" s="180" t="str">
        <f>IFERROR(__xludf.DUMMYFUNCTION("""COMPUTED_VALUE"""),"Prorroga")</f>
        <v>Prorroga</v>
      </c>
      <c r="BF1" s="180" t="str">
        <f>IFERROR(__xludf.DUMMYFUNCTION("""COMPUTED_VALUE"""),"Emergencial Complemento")</f>
        <v>Emergencial Complemento</v>
      </c>
      <c r="BG1" s="180" t="str">
        <f>IFERROR(__xludf.DUMMYFUNCTION("""COMPUTED_VALUE"""),"teste_3")</f>
        <v>teste_3</v>
      </c>
      <c r="BH1" s="180" t="str">
        <f>IFERROR(__xludf.DUMMYFUNCTION("""COMPUTED_VALUE"""),"PAAC Pontuação")</f>
        <v>PAAC Pontuação</v>
      </c>
      <c r="BI1" s="180" t="str">
        <f>IFERROR(__xludf.DUMMYFUNCTION("""COMPUTED_VALUE"""),"PAAC Prioridade")</f>
        <v>PAAC Prioridade</v>
      </c>
      <c r="BJ1" s="180" t="str">
        <f>IFERROR(__xludf.DUMMYFUNCTION("""COMPUTED_VALUE"""),"teste_4")</f>
        <v>teste_4</v>
      </c>
      <c r="BK1" s="180" t="str">
        <f>IFERROR(__xludf.DUMMYFUNCTION("""COMPUTED_VALUE"""),"Unidade")</f>
        <v>Unidade</v>
      </c>
      <c r="BL1" s="180" t="str">
        <f>IFERROR(__xludf.DUMMYFUNCTION("""COMPUTED_VALUE"""),"Modalidade Final")</f>
        <v>Modalidade Final</v>
      </c>
      <c r="BM1" s="180" t="str">
        <f>IFERROR(__xludf.DUMMYFUNCTION("""COMPUTED_VALUE"""),"PAAC Modalidade")</f>
        <v>PAAC Modalidade</v>
      </c>
      <c r="BN1" s="180" t="str">
        <f>IFERROR(__xludf.DUMMYFUNCTION("""COMPUTED_VALUE"""),"PAAC Data do DOD")</f>
        <v>PAAC Data do DOD</v>
      </c>
      <c r="BO1" s="180" t="str">
        <f>IFERROR(__xludf.DUMMYFUNCTION("""COMPUTED_VALUE"""),"PAAC Data do PB")</f>
        <v>PAAC Data do PB</v>
      </c>
      <c r="BP1" s="180" t="str">
        <f>IFERROR(__xludf.DUMMYFUNCTION("""COMPUTED_VALUE"""),"PAAC Valor do ETP")</f>
        <v>PAAC Valor do ETP</v>
      </c>
      <c r="BQ1" s="180" t="str">
        <f>IFERROR(__xludf.DUMMYFUNCTION("""COMPUTED_VALUE"""),"PAAC Valor Final")</f>
        <v>PAAC Valor Final</v>
      </c>
      <c r="BR1" s="180" t="str">
        <f>IFERROR(__xludf.DUMMYFUNCTION("""COMPUTED_VALUE"""),"PAAC Valor Final TCU
")</f>
        <v>PAAC Valor Final TCU
</v>
      </c>
      <c r="BS1" s="180" t="str">
        <f>IFERROR(__xludf.DUMMYFUNCTION("""COMPUTED_VALUE"""),"PAAC Valor Inicial")</f>
        <v>PAAC Valor Inicial</v>
      </c>
      <c r="BT1" s="180" t="str">
        <f>IFERROR(__xludf.DUMMYFUNCTION("""COMPUTED_VALUE"""),"PAAC Valor Inicial TCU")</f>
        <v>PAAC Valor Inicial TCU</v>
      </c>
      <c r="BU1" s="180" t="str">
        <f>IFERROR(__xludf.DUMMYFUNCTION("""COMPUTED_VALUE"""),"Descrição do Grupo de Despesa")</f>
        <v>Descrição do Grupo de Despesa</v>
      </c>
      <c r="BV1" s="180" t="str">
        <f>IFERROR(__xludf.DUMMYFUNCTION("""COMPUTED_VALUE"""),"Item do Planejamento PO (CSJT ATO 71)")</f>
        <v>Item do Planejamento PO (CSJT ATO 71)</v>
      </c>
      <c r="BW1" s="180" t="str">
        <f>IFERROR(__xludf.DUMMYFUNCTION("""COMPUTED_VALUE"""),"Denominação PO do CSJT de 2018")</f>
        <v>Denominação PO do CSJT de 2018</v>
      </c>
      <c r="BX1" s="180" t="str">
        <f>IFERROR(__xludf.DUMMYFUNCTION("""COMPUTED_VALUE"""),"teste_5")</f>
        <v>teste_5</v>
      </c>
      <c r="BY1" s="180" t="str">
        <f>IFERROR(__xludf.DUMMYFUNCTION("""COMPUTED_VALUE"""),"Denominação CSJT (Ato 71)")</f>
        <v>Denominação CSJT (Ato 71)</v>
      </c>
      <c r="BZ1" s="180" t="str">
        <f>IFERROR(__xludf.DUMMYFUNCTION("""COMPUTED_VALUE"""),"Despacho no PROAD")</f>
        <v>Despacho no PROAD</v>
      </c>
      <c r="CA1" s="180" t="str">
        <f>IFERROR(__xludf.DUMMYFUNCTION("""COMPUTED_VALUE"""),"Solicitação NE no PROAD")</f>
        <v>Solicitação NE no PROAD</v>
      </c>
      <c r="CB1" s="180" t="str">
        <f>IFERROR(__xludf.DUMMYFUNCTION("""COMPUTED_VALUE"""),"DS_CONTA")</f>
        <v>DS_CONTA</v>
      </c>
      <c r="CC1" s="180" t="str">
        <f>IFERROR(__xludf.DUMMYFUNCTION("""COMPUTED_VALUE"""),"Denominação para Solicitação de NE")</f>
        <v>Denominação para Solicitação de NE</v>
      </c>
      <c r="CD1" s="180" t="str">
        <f>IFERROR(__xludf.DUMMYFUNCTION("""COMPUTED_VALUE"""),"DS_NATUREZA")</f>
        <v>DS_NATUREZA</v>
      </c>
      <c r="CE1" s="180" t="str">
        <f>IFERROR(__xludf.DUMMYFUNCTION("""COMPUTED_VALUE"""),"teste_6")</f>
        <v>teste_6</v>
      </c>
      <c r="CF1" s="180" t="str">
        <f>IFERROR(__xludf.DUMMYFUNCTION("""COMPUTED_VALUE"""),"DS_SUBITEM")</f>
        <v>DS_SUBITEM</v>
      </c>
      <c r="CG1" s="180" t="str">
        <f>IFERROR(__xludf.DUMMYFUNCTION("""COMPUTED_VALUE"""),"2020
Data limite para envio à Administração")</f>
        <v>2020
Data limite para envio à Administração</v>
      </c>
      <c r="CH1" s="180" t="str">
        <f>IFERROR(__xludf.DUMMYFUNCTION("""COMPUTED_VALUE"""),"2020
Data limite para disponibilização do objeto (próxima vigência/ entrega)")</f>
        <v>2020
Data limite para disponibilização do objeto (próxima vigência/ entrega)</v>
      </c>
      <c r="CI1" s="180" t="str">
        <f>IFERROR(__xludf.DUMMYFUNCTION("""COMPUTED_VALUE"""),"2020
Modalidade para Prazo de Envio do PB")</f>
        <v>2020
Modalidade para Prazo de Envio do PB</v>
      </c>
      <c r="CJ1" s="180" t="str">
        <f>IFERROR(__xludf.DUMMYFUNCTION("""COMPUTED_VALUE"""),"Valor para POP 2022")</f>
        <v>Valor para POP 2022</v>
      </c>
      <c r="CK1" s="180" t="str">
        <f>IFERROR(__xludf.DUMMYFUNCTION("""COMPUTED_VALUE"""),"Data Almejada para o Objeto em 2022")</f>
        <v>Data Almejada para o Objeto em 2022</v>
      </c>
      <c r="CL1" s="180" t="str">
        <f>IFERROR(__xludf.DUMMYFUNCTION("""COMPUTED_VALUE"""),"Modadlidade prevista para 2022")</f>
        <v>Modadlidade prevista para 2022</v>
      </c>
      <c r="CM1" s="180" t="str">
        <f>IFERROR(__xludf.DUMMYFUNCTION("""COMPUTED_VALUE"""),"Iniciativa Nacional")</f>
        <v>Iniciativa Nacional</v>
      </c>
      <c r="CN1" s="180" t="str">
        <f>IFERROR(__xludf.DUMMYFUNCTION("""COMPUTED_VALUE"""),"Link do PROAD")</f>
        <v>Link do PROAD</v>
      </c>
      <c r="CO1" s="180" t="str">
        <f>IFERROR(__xludf.DUMMYFUNCTION("""COMPUTED_VALUE"""),"teste_7")</f>
        <v>teste_7</v>
      </c>
      <c r="CP1" s="180" t="str">
        <f>IFERROR(__xludf.DUMMYFUNCTION("""COMPUTED_VALUE"""),"teste_8")</f>
        <v>teste_8</v>
      </c>
      <c r="CQ1" s="180" t="str">
        <f>IFERROR(__xludf.DUMMYFUNCTION("""COMPUTED_VALUE"""),"teste_9")</f>
        <v>teste_9</v>
      </c>
      <c r="CR1" s="180" t="str">
        <f>IFERROR(__xludf.DUMMYFUNCTION("""COMPUTED_VALUE"""),"Grupo de Despesa Lançado na POP 2021")</f>
        <v>Grupo de Despesa Lançado na POP 2021</v>
      </c>
      <c r="CS1" s="180"/>
      <c r="CT1" s="180"/>
      <c r="CU1" s="180"/>
      <c r="CV1" s="180"/>
      <c r="CW1" s="180"/>
      <c r="CX1" s="180"/>
      <c r="CY1" s="180"/>
      <c r="CZ1" s="180"/>
      <c r="DA1" s="180"/>
      <c r="DB1" s="180"/>
    </row>
    <row r="2">
      <c r="A2" s="230">
        <f>IFERROR(__xludf.DUMMYFUNCTION("""COMPUTED_VALUE"""),15017.0)</f>
        <v>15017</v>
      </c>
      <c r="B2" s="230">
        <f>IFERROR(__xludf.DUMMYFUNCTION("""COMPUTED_VALUE"""),0.0)</f>
        <v>0</v>
      </c>
      <c r="C2" s="180" t="str">
        <f>IFERROR(__xludf.DUMMYFUNCTION("""COMPUTED_VALUE"""),"NOBREAKS SURT - Suporte e manutenção dos nobreaks SURT 8kVA das Varas e Foros do interior ")</f>
        <v>NOBREAKS SURT - Suporte e manutenção dos nobreaks SURT 8kVA das Varas e Foros do interior </v>
      </c>
      <c r="D2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2" s="180" t="str">
        <f>IFERROR(__xludf.DUMMYFUNCTION("""COMPUTED_VALUE"""),"EJ08 - PROMOVER SERVIÇOS DE INFRAESTRUTURA E SOLUÇÕES CORPORATIVAS")</f>
        <v>EJ08 - PROMOVER SERVIÇOS DE INFRAESTRUTURA E SOLUÇÕES CORPORATIVAS</v>
      </c>
      <c r="F2" s="180" t="str">
        <f>IFERROR(__xludf.DUMMYFUNCTION("""COMPUTED_VALUE"""),"Contratação de serviços para o suporte à infraestrutura tecnológica")</f>
        <v>Contratação de serviços para o suporte à infraestrutura tecnológica</v>
      </c>
      <c r="G2" s="180" t="str">
        <f>IFERROR(__xludf.DUMMYFUNCTION("""COMPUTED_VALUE"""),"(ID PAAC 15017) NOBREAKS SURT - Suporte e manutenção dos nobreaks SURT 8kVA das Varas e Foros do interior ")</f>
        <v>(ID PAAC 15017) NOBREAKS SURT - Suporte e manutenção dos nobreaks SURT 8kVA das Varas e Foros do interior </v>
      </c>
      <c r="H2" s="180" t="str">
        <f>IFERROR(__xludf.DUMMYFUNCTION("""COMPUTED_VALUE"""),"Continuado")</f>
        <v>Continuado</v>
      </c>
      <c r="I2" s="180" t="str">
        <f>IFERROR(__xludf.DUMMYFUNCTION("""COMPUTED_VALUE"""),"SETIC")</f>
        <v>SETIC</v>
      </c>
      <c r="J2" s="180" t="str">
        <f>IFERROR(__xludf.DUMMYFUNCTION("""COMPUTED_VALUE"""),"SETIC")</f>
        <v>SETIC</v>
      </c>
      <c r="K2" s="180" t="str">
        <f>IFERROR(__xludf.DUMMYFUNCTION("""COMPUTED_VALUE"""),"GND3")</f>
        <v>GND3</v>
      </c>
      <c r="L2" s="231">
        <f>IFERROR(__xludf.DUMMYFUNCTION("""COMPUTED_VALUE"""),0.0)</f>
        <v>0</v>
      </c>
      <c r="M2" s="232">
        <f>IFERROR(__xludf.DUMMYFUNCTION("""COMPUTED_VALUE"""),3.3904012E7)</f>
        <v>33904012</v>
      </c>
      <c r="N2" s="232">
        <f>IFERROR(__xludf.DUMMYFUNCTION("""COMPUTED_VALUE"""),0.0)</f>
        <v>0</v>
      </c>
      <c r="O2" s="230">
        <f>IFERROR(__xludf.DUMMYFUNCTION("""COMPUTED_VALUE"""),168105.0)</f>
        <v>168105</v>
      </c>
      <c r="P2" s="180" t="str">
        <f>IFERROR(__xludf.DUMMYFUNCTION("""COMPUTED_VALUE"""),"Não")</f>
        <v>Não</v>
      </c>
      <c r="Q2" s="180" t="str">
        <f>IFERROR(__xludf.DUMMYFUNCTION("""COMPUTED_VALUE"""),"1 - Imprescindível")</f>
        <v>1 - Imprescindível</v>
      </c>
      <c r="R2" s="180" t="str">
        <f>IFERROR(__xludf.DUMMYFUNCTION("""COMPUTED_VALUE"""),"4 - Cancelado")</f>
        <v>4 - Cancelado</v>
      </c>
      <c r="S2" s="180" t="str">
        <f>IFERROR(__xludf.DUMMYFUNCTION("""COMPUTED_VALUE"""),"há indicativo preliminar de que a aquisição de novos equipamentos pode ser mais vantajosa para o TRT, o que será definido pelo planejamento da contratação")</f>
        <v>há indicativo preliminar de que a aquisição de novos equipamentos pode ser mais vantajosa para o TRT, o que será definido pelo planejamento da contratação</v>
      </c>
      <c r="T2" s="180"/>
      <c r="U2" s="180" t="str">
        <f>IFERROR(__xludf.DUMMYFUNCTION("""COMPUTED_VALUE"""),"01 - Não oficializado")</f>
        <v>01 - Não oficializado</v>
      </c>
      <c r="V2" s="180"/>
      <c r="W2" s="180" t="str">
        <f>IFERROR(__xludf.DUMMYFUNCTION("""COMPUTED_VALUE"""),"5424/2017")</f>
        <v>5424/2017</v>
      </c>
      <c r="X2" s="180" t="str">
        <f>IFERROR(__xludf.DUMMYFUNCTION("""COMPUTED_VALUE"""),"SESUP")</f>
        <v>SESUP</v>
      </c>
      <c r="Y2" s="180" t="str">
        <f>IFERROR(__xludf.DUMMYFUNCTION("""COMPUTED_VALUE"""),"PRE")</f>
        <v>PRE</v>
      </c>
      <c r="Z2" s="180" t="str">
        <f>IFERROR(__xludf.DUMMYFUNCTION("""COMPUTED_VALUE"""),"PRE")</f>
        <v>PRE</v>
      </c>
      <c r="AA2" s="180" t="str">
        <f>IFERROR(__xludf.DUMMYFUNCTION("""COMPUTED_VALUE"""),"PRE-5424/2017")</f>
        <v>PRE-5424/2017</v>
      </c>
      <c r="AB2" s="230"/>
      <c r="AC2" s="180" t="str">
        <f>IFERROR(__xludf.DUMMYFUNCTION("""COMPUTED_VALUE"""),"#N/A")</f>
        <v>#N/A</v>
      </c>
      <c r="AD2" s="189">
        <f>IFERROR(__xludf.DUMMYFUNCTION("""COMPUTED_VALUE"""),44652.0)</f>
        <v>44652</v>
      </c>
      <c r="AE2" s="189">
        <f>IFERROR(__xludf.DUMMYFUNCTION("""COMPUTED_VALUE"""),44762.0)</f>
        <v>44762</v>
      </c>
      <c r="AF2" s="180" t="str">
        <f>IFERROR(__xludf.DUMMYFUNCTION("""COMPUTED_VALUE"""),"Márcio César Jacinto
Diretor do SESUP - Substituto")</f>
        <v>Márcio César Jacinto
Diretor do SESUP - Substituto</v>
      </c>
      <c r="AG2" s="233">
        <f>IFERROR(__xludf.DUMMYFUNCTION("""COMPUTED_VALUE"""),1.0)</f>
        <v>1</v>
      </c>
      <c r="AH2" s="190">
        <f>IFERROR(__xludf.DUMMYFUNCTION("""COMPUTED_VALUE"""),0.0)</f>
        <v>0</v>
      </c>
      <c r="AI2" s="180" t="str">
        <f>IFERROR(__xludf.DUMMYFUNCTION("""COMPUTED_VALUE"""),"Não")</f>
        <v>Não</v>
      </c>
      <c r="AJ2" s="190"/>
      <c r="AK2" s="180" t="str">
        <f>IFERROR(__xludf.DUMMYFUNCTION("""COMPUTED_VALUE"""),"Pedro Paulo da Silva")</f>
        <v>Pedro Paulo da Silva</v>
      </c>
      <c r="AL2" s="180"/>
      <c r="AM2" s="180"/>
      <c r="AN2" s="190">
        <f>IFERROR(__xludf.DUMMYFUNCTION("""COMPUTED_VALUE"""),0.0)</f>
        <v>0</v>
      </c>
      <c r="AO2" s="190">
        <f>IFERROR(__xludf.DUMMYFUNCTION("""COMPUTED_VALUE"""),0.0)</f>
        <v>0</v>
      </c>
      <c r="AP2" s="180"/>
      <c r="AQ2" s="190">
        <f>IFERROR(__xludf.DUMMYFUNCTION("""COMPUTED_VALUE"""),43200.0)</f>
        <v>43200</v>
      </c>
      <c r="AR2" s="190">
        <f>IFERROR(__xludf.DUMMYFUNCTION("""COMPUTED_VALUE"""),0.0)</f>
        <v>0</v>
      </c>
      <c r="AS2" s="180"/>
      <c r="AT2" s="190">
        <f>IFERROR(__xludf.DUMMYFUNCTION("""COMPUTED_VALUE"""),0.0)</f>
        <v>0</v>
      </c>
      <c r="AU2" s="190">
        <f>IFERROR(__xludf.DUMMYFUNCTION("""COMPUTED_VALUE"""),3204.27)</f>
        <v>3204.27</v>
      </c>
      <c r="AV2" s="232">
        <f>IFERROR(__xludf.DUMMYFUNCTION("""COMPUTED_VALUE"""),0.0)</f>
        <v>0</v>
      </c>
      <c r="AW2" s="190">
        <f>IFERROR(__xludf.DUMMYFUNCTION("""COMPUTED_VALUE"""),0.0)</f>
        <v>0</v>
      </c>
      <c r="AX2" s="190">
        <f>IFERROR(__xludf.DUMMYFUNCTION("""COMPUTED_VALUE"""),0.0)</f>
        <v>0</v>
      </c>
      <c r="AY2" s="190">
        <f>IFERROR(__xludf.DUMMYFUNCTION("""COMPUTED_VALUE"""),0.0)</f>
        <v>0</v>
      </c>
      <c r="AZ2" s="190">
        <f>IFERROR(__xludf.DUMMYFUNCTION("""COMPUTED_VALUE"""),0.0)</f>
        <v>0</v>
      </c>
      <c r="BA2" s="190">
        <f>IFERROR(__xludf.DUMMYFUNCTION("""COMPUTED_VALUE"""),0.0)</f>
        <v>0</v>
      </c>
      <c r="BB2" s="180" t="str">
        <f>IFERROR(__xludf.DUMMYFUNCTION("""COMPUTED_VALUE"""),"PRE-5424/2017")</f>
        <v>PRE-5424/2017</v>
      </c>
      <c r="BC2" s="232">
        <f>IFERROR(__xludf.DUMMYFUNCTION("""COMPUTED_VALUE"""),1.51132022236925E14)</f>
        <v>151132022236925</v>
      </c>
      <c r="BD2" s="180" t="str">
        <f>IFERROR(__xludf.DUMMYFUNCTION("""COMPUTED_VALUE"""),"Não")</f>
        <v>Não</v>
      </c>
      <c r="BE2" s="180" t="str">
        <f>IFERROR(__xludf.DUMMYFUNCTION("""COMPUTED_VALUE"""),"Sim")</f>
        <v>Sim</v>
      </c>
      <c r="BF2" s="180"/>
      <c r="BG2" s="180"/>
      <c r="BH2" s="233">
        <f>IFERROR(__xludf.DUMMYFUNCTION("""COMPUTED_VALUE"""),300000.0)</f>
        <v>300000</v>
      </c>
      <c r="BI2" s="180" t="str">
        <f>IFERROR(__xludf.DUMMYFUNCTION("""COMPUTED_VALUE"""),"Alta")</f>
        <v>Alta</v>
      </c>
      <c r="BJ2" s="180"/>
      <c r="BK2" s="180" t="str">
        <f>IFERROR(__xludf.DUMMYFUNCTION("""COMPUTED_VALUE"""),"ano")</f>
        <v>ano</v>
      </c>
      <c r="BL2" s="180" t="str">
        <f>IFERROR(__xludf.DUMMYFUNCTION("""COMPUTED_VALUE"""),"P. Eletrônico")</f>
        <v>P. Eletrônico</v>
      </c>
      <c r="BM2" s="180" t="str">
        <f>IFERROR(__xludf.DUMMYFUNCTION("""COMPUTED_VALUE"""),"CANCELADO")</f>
        <v>CANCELADO</v>
      </c>
      <c r="BN2" s="189"/>
      <c r="BO2" s="189"/>
      <c r="BP2" s="190"/>
      <c r="BQ2" s="190"/>
      <c r="BR2" s="190"/>
      <c r="BS2" s="190">
        <f>IFERROR(__xludf.DUMMYFUNCTION("""COMPUTED_VALUE"""),0.0)</f>
        <v>0</v>
      </c>
      <c r="BT2" s="190"/>
      <c r="BU2" s="180" t="str">
        <f>IFERROR(__xludf.DUMMYFUNCTION("""COMPUTED_VALUE"""),"Manutenção e conservação de equipamentos de TIC")</f>
        <v>Manutenção e conservação de equipamentos de TIC</v>
      </c>
      <c r="BV2" s="180"/>
      <c r="BW2" s="180"/>
      <c r="BX2" s="180"/>
      <c r="BY2" s="180"/>
      <c r="BZ2" s="189"/>
      <c r="CA2" s="180"/>
      <c r="CB2" s="180" t="str">
        <f>IFERROR(__xludf.DUMMYFUNCTION("""COMPUTED_VALUE"""),"Apreciação de Causas na Justiça do Trabalho")</f>
        <v>Apreciação de Causas na Justiça do Trabalho</v>
      </c>
      <c r="CC2" s="180" t="str">
        <f>IFERROR(__xludf.DUMMYFUNCTION("""COMPUTED_VALUE""")," - ")</f>
        <v> - </v>
      </c>
      <c r="CD2" s="180" t="str">
        <f>IFERROR(__xludf.DUMMYFUNCTION("""COMPUTED_VALUE"""),"SERVIÇOS DE TECNOLOGIA DA INFORMAÇÃO E COMUNICAÇÃO - TIC")</f>
        <v>SERVIÇOS DE TECNOLOGIA DA INFORMAÇÃO E COMUNICAÇÃO - TIC</v>
      </c>
      <c r="CE2" s="180"/>
      <c r="CF2" s="180" t="str">
        <f>IFERROR(__xludf.DUMMYFUNCTION("""COMPUTED_VALUE"""),"MANUTENÇÃO E CONSERVAÇÃO DE EQUIPAMENTOS DE TIC")</f>
        <v>MANUTENÇÃO E CONSERVAÇÃO DE EQUIPAMENTOS DE TIC</v>
      </c>
      <c r="CG2" s="189">
        <f>IFERROR(__xludf.DUMMYFUNCTION("""COMPUTED_VALUE"""),45015.0)</f>
        <v>45015</v>
      </c>
      <c r="CH2" s="189">
        <f>IFERROR(__xludf.DUMMYFUNCTION("""COMPUTED_VALUE"""),45127.0)</f>
        <v>45127</v>
      </c>
      <c r="CI2" s="180" t="str">
        <f>IFERROR(__xludf.DUMMYFUNCTION("""COMPUTED_VALUE"""),"PRE")</f>
        <v>PRE</v>
      </c>
      <c r="CJ2" s="190">
        <f>IFERROR(__xludf.DUMMYFUNCTION("""COMPUTED_VALUE"""),38451.24)</f>
        <v>38451.24</v>
      </c>
      <c r="CK2" s="189">
        <f>IFERROR(__xludf.DUMMYFUNCTION("""COMPUTED_VALUE"""),44762.0)</f>
        <v>44762</v>
      </c>
      <c r="CL2" s="180" t="str">
        <f>IFERROR(__xludf.DUMMYFUNCTION("""COMPUTED_VALUE"""),"PROR")</f>
        <v>PROR</v>
      </c>
      <c r="CM2" s="180" t="str">
        <f>IFERROR(__xludf.DUMMYFUNCTION("""COMPUTED_VALUE"""),"x")</f>
        <v>x</v>
      </c>
      <c r="CN2" s="180" t="str">
        <f>IFERROR(__xludf.DUMMYFUNCTION("""COMPUTED_VALUE"""),"PRE-5424/2017")</f>
        <v>PRE-5424/2017</v>
      </c>
      <c r="CO2" s="180"/>
      <c r="CP2" s="180"/>
      <c r="CQ2" s="180"/>
      <c r="CR2" s="180" t="str">
        <f>IFERROR(__xludf.DUMMYFUNCTION("""COMPUTED_VALUE"""),"GND3")</f>
        <v>GND3</v>
      </c>
      <c r="CS2" s="180"/>
      <c r="CT2" s="180"/>
      <c r="CU2" s="180"/>
      <c r="CV2" s="180"/>
      <c r="CW2" s="180"/>
      <c r="CX2" s="180"/>
      <c r="CY2" s="180"/>
      <c r="CZ2" s="180"/>
      <c r="DA2" s="180"/>
      <c r="DB2" s="180"/>
    </row>
    <row r="3">
      <c r="A3" s="230">
        <f>IFERROR(__xludf.DUMMYFUNCTION("""COMPUTED_VALUE"""),15018.0)</f>
        <v>15018</v>
      </c>
      <c r="B3" s="230">
        <f>IFERROR(__xludf.DUMMYFUNCTION("""COMPUTED_VALUE"""),15018.0)</f>
        <v>15018</v>
      </c>
      <c r="C3" s="180" t="str">
        <f>IFERROR(__xludf.DUMMYFUNCTION("""COMPUTED_VALUE"""),"ASSYST - Contratação de suporte e atualização de licenças da solução de gerenciamento de serviços e registro de chamadas de TIC.")</f>
        <v>ASSYST - Contratação de suporte e atualização de licenças da solução de gerenciamento de serviços e registro de chamadas de TIC.</v>
      </c>
      <c r="D3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3" s="180" t="str">
        <f>IFERROR(__xludf.DUMMYFUNCTION("""COMPUTED_VALUE"""),"EJ05 - APERFEIÇOAR A GOVERNANÇA E A GESTÃO")</f>
        <v>EJ05 - APERFEIÇOAR A GOVERNANÇA E A GESTÃO</v>
      </c>
      <c r="F3" s="180" t="str">
        <f>IFERROR(__xludf.DUMMYFUNCTION("""COMPUTED_VALUE"""),"Contratação de serviços para o suporte à infraestrutura tecnológica")</f>
        <v>Contratação de serviços para o suporte à infraestrutura tecnológica</v>
      </c>
      <c r="G3" s="180" t="str">
        <f>IFERROR(__xludf.DUMMYFUNCTION("""COMPUTED_VALUE"""),"(ID PAAC 15018) ASSYST - Contratação de suporte e atualização de licenças da solução de gerenciamento de serviços e registro de chamadas de TIC.")</f>
        <v>(ID PAAC 15018) ASSYST - Contratação de suporte e atualização de licenças da solução de gerenciamento de serviços e registro de chamadas de TIC.</v>
      </c>
      <c r="H3" s="180" t="str">
        <f>IFERROR(__xludf.DUMMYFUNCTION("""COMPUTED_VALUE"""),"Continuado")</f>
        <v>Continuado</v>
      </c>
      <c r="I3" s="180" t="str">
        <f>IFERROR(__xludf.DUMMYFUNCTION("""COMPUTED_VALUE"""),"SETIC")</f>
        <v>SETIC</v>
      </c>
      <c r="J3" s="180" t="str">
        <f>IFERROR(__xludf.DUMMYFUNCTION("""COMPUTED_VALUE"""),"SETIC")</f>
        <v>SETIC</v>
      </c>
      <c r="K3" s="180" t="str">
        <f>IFERROR(__xludf.DUMMYFUNCTION("""COMPUTED_VALUE"""),"GND3")</f>
        <v>GND3</v>
      </c>
      <c r="L3" s="231">
        <f>IFERROR(__xludf.DUMMYFUNCTION("""COMPUTED_VALUE"""),0.0)</f>
        <v>0</v>
      </c>
      <c r="M3" s="232">
        <f>IFERROR(__xludf.DUMMYFUNCTION("""COMPUTED_VALUE"""),3.3904007E7)</f>
        <v>33904007</v>
      </c>
      <c r="N3" s="232">
        <f>IFERROR(__xludf.DUMMYFUNCTION("""COMPUTED_VALUE"""),0.0)</f>
        <v>0</v>
      </c>
      <c r="O3" s="230">
        <f>IFERROR(__xludf.DUMMYFUNCTION("""COMPUTED_VALUE"""),168107.0)</f>
        <v>168107</v>
      </c>
      <c r="P3" s="180" t="str">
        <f>IFERROR(__xludf.DUMMYFUNCTION("""COMPUTED_VALUE"""),"Sim")</f>
        <v>Sim</v>
      </c>
      <c r="Q3" s="180" t="str">
        <f>IFERROR(__xludf.DUMMYFUNCTION("""COMPUTED_VALUE"""),"2 - Importante")</f>
        <v>2 - Importante</v>
      </c>
      <c r="R3" s="180" t="str">
        <f>IFERROR(__xludf.DUMMYFUNCTION("""COMPUTED_VALUE"""),"1 - Selecionado")</f>
        <v>1 - Selecionado</v>
      </c>
      <c r="S3" s="180"/>
      <c r="T3" s="180"/>
      <c r="U3" s="180" t="str">
        <f>IFERROR(__xludf.DUMMYFUNCTION("""COMPUTED_VALUE"""),"99 - Orçamentário")</f>
        <v>99 - Orçamentário</v>
      </c>
      <c r="V3" s="180"/>
      <c r="W3" s="180" t="str">
        <f>IFERROR(__xludf.DUMMYFUNCTION("""COMPUTED_VALUE"""),"3891/2017")</f>
        <v>3891/2017</v>
      </c>
      <c r="X3" s="180" t="str">
        <f>IFERROR(__xludf.DUMMYFUNCTION("""COMPUTED_VALUE"""),"SESUP")</f>
        <v>SESUP</v>
      </c>
      <c r="Y3" s="180" t="str">
        <f>IFERROR(__xludf.DUMMYFUNCTION("""COMPUTED_VALUE"""),"ORÇAMENTO")</f>
        <v>ORÇAMENTO</v>
      </c>
      <c r="Z3" s="180" t="str">
        <f>IFERROR(__xludf.DUMMYFUNCTION("""COMPUTED_VALUE"""),"RP")</f>
        <v>RP</v>
      </c>
      <c r="AA3" s="180" t="str">
        <f>IFERROR(__xludf.DUMMYFUNCTION("""COMPUTED_VALUE"""),"RP-3891/2017")</f>
        <v>RP-3891/2017</v>
      </c>
      <c r="AB3" s="230">
        <f>IFERROR(__xludf.DUMMYFUNCTION("""COMPUTED_VALUE"""),7.8333640001E12)</f>
        <v>7833364000100</v>
      </c>
      <c r="AC3" s="180" t="str">
        <f>IFERROR(__xludf.DUMMYFUNCTION("""COMPUTED_VALUE"""),"ACTIVE - TECNOLOGIA SERVICOS E CONSULTORIA EM INFORMATI")</f>
        <v>ACTIVE - TECNOLOGIA SERVICOS E CONSULTORIA EM INFORMATI</v>
      </c>
      <c r="AD3" s="189">
        <f>IFERROR(__xludf.DUMMYFUNCTION("""COMPUTED_VALUE"""),44738.0)</f>
        <v>44738</v>
      </c>
      <c r="AE3" s="189">
        <f>IFERROR(__xludf.DUMMYFUNCTION("""COMPUTED_VALUE"""),44738.0)</f>
        <v>44738</v>
      </c>
      <c r="AF3" s="180" t="str">
        <f>IFERROR(__xludf.DUMMYFUNCTION("""COMPUTED_VALUE"""),"Márcio César Jacinto
Diretor do SESUP - Substituto")</f>
        <v>Márcio César Jacinto
Diretor do SESUP - Substituto</v>
      </c>
      <c r="AG3" s="233">
        <f>IFERROR(__xludf.DUMMYFUNCTION("""COMPUTED_VALUE"""),1.0)</f>
        <v>1</v>
      </c>
      <c r="AH3" s="190">
        <f>IFERROR(__xludf.DUMMYFUNCTION("""COMPUTED_VALUE"""),41901.183333333334)</f>
        <v>41901.18333</v>
      </c>
      <c r="AI3" s="180" t="str">
        <f>IFERROR(__xludf.DUMMYFUNCTION("""COMPUTED_VALUE"""),"Não")</f>
        <v>Não</v>
      </c>
      <c r="AJ3" s="190"/>
      <c r="AK3" s="180" t="str">
        <f>IFERROR(__xludf.DUMMYFUNCTION("""COMPUTED_VALUE"""),"Cláudio Zamparetti")</f>
        <v>Cláudio Zamparetti</v>
      </c>
      <c r="AL3" s="180"/>
      <c r="AM3" s="180"/>
      <c r="AN3" s="190">
        <f>IFERROR(__xludf.DUMMYFUNCTION("""COMPUTED_VALUE"""),-48605.816666666666)</f>
        <v>-48605.81667</v>
      </c>
      <c r="AO3" s="190">
        <f>IFERROR(__xludf.DUMMYFUNCTION("""COMPUTED_VALUE"""),90507.0)</f>
        <v>90507</v>
      </c>
      <c r="AP3" s="180" t="str">
        <f>IFERROR(__xludf.DUMMYFUNCTION("""COMPUTED_VALUE"""),"2022NE000120")</f>
        <v>2022NE000120</v>
      </c>
      <c r="AQ3" s="190">
        <f>IFERROR(__xludf.DUMMYFUNCTION("""COMPUTED_VALUE"""),90507.0)</f>
        <v>90507</v>
      </c>
      <c r="AR3" s="190">
        <f>IFERROR(__xludf.DUMMYFUNCTION("""COMPUTED_VALUE"""),41901.183333333334)</f>
        <v>41901.18333</v>
      </c>
      <c r="AS3" s="180" t="str">
        <f>IFERROR(__xludf.DUMMYFUNCTION("""COMPUTED_VALUE"""),"2021NE000129")</f>
        <v>2021NE000129</v>
      </c>
      <c r="AT3" s="190">
        <f>IFERROR(__xludf.DUMMYFUNCTION("""COMPUTED_VALUE"""),41901.183333333334)</f>
        <v>41901.18333</v>
      </c>
      <c r="AU3" s="190">
        <f>IFERROR(__xludf.DUMMYFUNCTION("""COMPUTED_VALUE"""),7183.06)</f>
        <v>7183.06</v>
      </c>
      <c r="AV3" s="232">
        <f>IFERROR(__xludf.DUMMYFUNCTION("""COMPUTED_VALUE"""),5.833333333333333)</f>
        <v>5.833333333</v>
      </c>
      <c r="AW3" s="190">
        <f>IFERROR(__xludf.DUMMYFUNCTION("""COMPUTED_VALUE"""),41901.183333333334)</f>
        <v>41901.18333</v>
      </c>
      <c r="AX3" s="190">
        <f>IFERROR(__xludf.DUMMYFUNCTION("""COMPUTED_VALUE"""),0.0)</f>
        <v>0</v>
      </c>
      <c r="AY3" s="190">
        <f>IFERROR(__xludf.DUMMYFUNCTION("""COMPUTED_VALUE"""),41901.18)</f>
        <v>41901.18</v>
      </c>
      <c r="AZ3" s="190">
        <f>IFERROR(__xludf.DUMMYFUNCTION("""COMPUTED_VALUE"""),21549.18)</f>
        <v>21549.18</v>
      </c>
      <c r="BA3" s="190">
        <f>IFERROR(__xludf.DUMMYFUNCTION("""COMPUTED_VALUE"""),20352.0)</f>
        <v>20352</v>
      </c>
      <c r="BB3" s="180" t="str">
        <f>IFERROR(__xludf.DUMMYFUNCTION("""COMPUTED_VALUE"""),"RP-3891/2017")</f>
        <v>RP-3891/2017</v>
      </c>
      <c r="BC3" s="232">
        <f>IFERROR(__xludf.DUMMYFUNCTION("""COMPUTED_VALUE"""),1.51132022236939E14)</f>
        <v>151132022236939</v>
      </c>
      <c r="BD3" s="180" t="str">
        <f>IFERROR(__xludf.DUMMYFUNCTION("""COMPUTED_VALUE"""),"Não")</f>
        <v>Não</v>
      </c>
      <c r="BE3" s="180" t="str">
        <f>IFERROR(__xludf.DUMMYFUNCTION("""COMPUTED_VALUE"""),"Não")</f>
        <v>Não</v>
      </c>
      <c r="BF3" s="180"/>
      <c r="BG3" s="180"/>
      <c r="BH3" s="233">
        <f>IFERROR(__xludf.DUMMYFUNCTION("""COMPUTED_VALUE"""),200000.0)</f>
        <v>200000</v>
      </c>
      <c r="BI3" s="180" t="str">
        <f>IFERROR(__xludf.DUMMYFUNCTION("""COMPUTED_VALUE"""),"Média")</f>
        <v>Média</v>
      </c>
      <c r="BJ3" s="180"/>
      <c r="BK3" s="180" t="str">
        <f>IFERROR(__xludf.DUMMYFUNCTION("""COMPUTED_VALUE"""),"ano")</f>
        <v>ano</v>
      </c>
      <c r="BL3" s="180" t="str">
        <f>IFERROR(__xludf.DUMMYFUNCTION("""COMPUTED_VALUE"""),"ARP Participante")</f>
        <v>ARP Participante</v>
      </c>
      <c r="BM3" s="180" t="str">
        <f>IFERROR(__xludf.DUMMYFUNCTION("""COMPUTED_VALUE"""),"ORÇAMENTO")</f>
        <v>ORÇAMENTO</v>
      </c>
      <c r="BN3" s="189"/>
      <c r="BO3" s="189"/>
      <c r="BP3" s="190"/>
      <c r="BQ3" s="190"/>
      <c r="BR3" s="190"/>
      <c r="BS3" s="190">
        <f>IFERROR(__xludf.DUMMYFUNCTION("""COMPUTED_VALUE"""),41901.183333333334)</f>
        <v>41901.18333</v>
      </c>
      <c r="BT3" s="190"/>
      <c r="BU3" s="180" t="str">
        <f>IFERROR(__xludf.DUMMYFUNCTION("""COMPUTED_VALUE"""),"Manutenção corretiva/adaptativa e sustentação softwares")</f>
        <v>Manutenção corretiva/adaptativa e sustentação softwares</v>
      </c>
      <c r="BV3" s="180" t="str">
        <f>IFERROR(__xludf.DUMMYFUNCTION("""COMPUTED_VALUE"""),"INFRA - Solução Integrada de Gerenciamento de Serviços (Suporte)")</f>
        <v>INFRA - Solução Integrada de Gerenciamento de Serviços (Suporte)</v>
      </c>
      <c r="BW3" s="180" t="str">
        <f>IFERROR(__xludf.DUMMYFUNCTION("""COMPUTED_VALUE"""),"11 - ASSYST - SOLUÇÃO DE GERENCIAMENTO DE SERVIÇOS")</f>
        <v>11 - ASSYST - SOLUÇÃO DE GERENCIAMENTO DE SERVIÇOS</v>
      </c>
      <c r="BX3" s="180"/>
      <c r="BY3" s="180" t="str">
        <f>IFERROR(__xludf.DUMMYFUNCTION("""COMPUTED_VALUE"""),"Solução Integrada de Gerenciamento de Serviços (Suporte)")</f>
        <v>Solução Integrada de Gerenciamento de Serviços (Suporte)</v>
      </c>
      <c r="BZ3" s="189"/>
      <c r="CA3" s="180"/>
      <c r="CB3" s="180" t="str">
        <f>IFERROR(__xludf.DUMMYFUNCTION("""COMPUTED_VALUE"""),"Manutenção e Gestão dos Serviços de Tecnologia da Informação")</f>
        <v>Manutenção e Gestão dos Serviços de Tecnologia da Informação</v>
      </c>
      <c r="CC3" s="180" t="str">
        <f>IFERROR(__xludf.DUMMYFUNCTION("""COMPUTED_VALUE"""),"INFRA - Solução Integrada de Gerenciamento de Serviços (Suporte) - Solução Integrada de Gerenciamento de Serviços (Suporte)")</f>
        <v>INFRA - Solução Integrada de Gerenciamento de Serviços (Suporte) - Solução Integrada de Gerenciamento de Serviços (Suporte)</v>
      </c>
      <c r="CD3" s="180" t="str">
        <f>IFERROR(__xludf.DUMMYFUNCTION("""COMPUTED_VALUE"""),"SERVIÇOS DE TECNOLOGIA DA INFORMAÇÃO E COMUNICAÇÃO - TIC")</f>
        <v>SERVIÇOS DE TECNOLOGIA DA INFORMAÇÃO E COMUNICAÇÃO - TIC</v>
      </c>
      <c r="CE3" s="180"/>
      <c r="CF3" s="180" t="str">
        <f>IFERROR(__xludf.DUMMYFUNCTION("""COMPUTED_VALUE"""),"MANUTENÇÃO CORRETIVA/ADAPTATIVA E SUSTENTAÇÃO SOFTWARES")</f>
        <v>MANUTENÇÃO CORRETIVA/ADAPTATIVA E SUSTENTAÇÃO SOFTWARES</v>
      </c>
      <c r="CG3" s="189"/>
      <c r="CH3" s="189">
        <f>IFERROR(__xludf.DUMMYFUNCTION("""COMPUTED_VALUE"""),45103.0)</f>
        <v>45103</v>
      </c>
      <c r="CI3" s="180" t="str">
        <f>IFERROR(__xludf.DUMMYFUNCTION("""COMPUTED_VALUE"""),"ORÇAMENTO")</f>
        <v>ORÇAMENTO</v>
      </c>
      <c r="CJ3" s="190">
        <f>IFERROR(__xludf.DUMMYFUNCTION("""COMPUTED_VALUE"""),85575.8)</f>
        <v>85575.8</v>
      </c>
      <c r="CK3" s="189">
        <f>IFERROR(__xludf.DUMMYFUNCTION("""COMPUTED_VALUE"""),44738.0)</f>
        <v>44738</v>
      </c>
      <c r="CL3" s="180" t="str">
        <f>IFERROR(__xludf.DUMMYFUNCTION("""COMPUTED_VALUE"""),"ARP_PARTICIPACAO")</f>
        <v>ARP_PARTICIPACAO</v>
      </c>
      <c r="CM3" s="180" t="str">
        <f>IFERROR(__xludf.DUMMYFUNCTION("""COMPUTED_VALUE"""),"x")</f>
        <v>x</v>
      </c>
      <c r="CN3" s="180" t="str">
        <f>IFERROR(__xludf.DUMMYFUNCTION("""COMPUTED_VALUE"""),"RP-3891/2017")</f>
        <v>RP-3891/2017</v>
      </c>
      <c r="CO3" s="234" t="str">
        <f>IFERROR(__xludf.DUMMYFUNCTION("""COMPUTED_VALUE"""),"https://www.trt12.jus.br/proad/pages/fichadoprocesso.xhtml?numeroProtocolo=3891&amp;numeroAno=2017&amp;tab=tabFichaDocumento")</f>
        <v>https://www.trt12.jus.br/proad/pages/fichadoprocesso.xhtml?numeroProtocolo=3891&amp;numeroAno=2017&amp;tab=tabFichaDocumento</v>
      </c>
      <c r="CP3" s="180"/>
      <c r="CQ3" s="180"/>
      <c r="CR3" s="180" t="str">
        <f>IFERROR(__xludf.DUMMYFUNCTION("""COMPUTED_VALUE"""),"GND3")</f>
        <v>GND3</v>
      </c>
      <c r="CS3" s="180"/>
      <c r="CT3" s="180"/>
      <c r="CU3" s="180"/>
      <c r="CV3" s="180"/>
      <c r="CW3" s="180"/>
      <c r="CX3" s="180"/>
      <c r="CY3" s="180"/>
      <c r="CZ3" s="180"/>
      <c r="DA3" s="180"/>
      <c r="DB3" s="180"/>
    </row>
    <row r="4">
      <c r="A4" s="230">
        <f>IFERROR(__xludf.DUMMYFUNCTION("""COMPUTED_VALUE"""),15019.0)</f>
        <v>15019</v>
      </c>
      <c r="B4" s="230">
        <f>IFERROR(__xludf.DUMMYFUNCTION("""COMPUTED_VALUE"""),0.0)</f>
        <v>0</v>
      </c>
      <c r="C4" s="180" t="str">
        <f>IFERROR(__xludf.DUMMYFUNCTION("""COMPUTED_VALUE"""),"NOBREAKS SUVT 2016 - Suporte e manutenção dos nobreaks SUVT 40kVA do Datacenter e dos foros da Capital, de São José e da sede (prorrogação emergencial em 2021)")</f>
        <v>NOBREAKS SUVT 2016 - Suporte e manutenção dos nobreaks SUVT 40kVA do Datacenter e dos foros da Capital, de São José e da sede (prorrogação emergencial em 2021)</v>
      </c>
      <c r="D4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4" s="180" t="str">
        <f>IFERROR(__xludf.DUMMYFUNCTION("""COMPUTED_VALUE"""),"EJ08 - PROMOVER SERVIÇOS DE INFRAESTRUTURA E SOLUÇÕES CORPORATIVAS")</f>
        <v>EJ08 - PROMOVER SERVIÇOS DE INFRAESTRUTURA E SOLUÇÕES CORPORATIVAS</v>
      </c>
      <c r="F4" s="180" t="str">
        <f>IFERROR(__xludf.DUMMYFUNCTION("""COMPUTED_VALUE"""),"Contratação de serviços para o suporte à infraestrutura tecnológica")</f>
        <v>Contratação de serviços para o suporte à infraestrutura tecnológica</v>
      </c>
      <c r="G4" s="180" t="str">
        <f>IFERROR(__xludf.DUMMYFUNCTION("""COMPUTED_VALUE"""),"(ID PAAC 15019) NOBREAKS SUVT 2016 - Suporte e manutenção dos nobreaks SUVT 40kVA do Datacenter e dos foros da Capital, de São José e da sede (prorrogação emergencial em 2021)")</f>
        <v>(ID PAAC 15019) NOBREAKS SUVT 2016 - Suporte e manutenção dos nobreaks SUVT 40kVA do Datacenter e dos foros da Capital, de São José e da sede (prorrogação emergencial em 2021)</v>
      </c>
      <c r="H4" s="180" t="str">
        <f>IFERROR(__xludf.DUMMYFUNCTION("""COMPUTED_VALUE"""),"Continuado")</f>
        <v>Continuado</v>
      </c>
      <c r="I4" s="180" t="str">
        <f>IFERROR(__xludf.DUMMYFUNCTION("""COMPUTED_VALUE"""),"SETIC")</f>
        <v>SETIC</v>
      </c>
      <c r="J4" s="180" t="str">
        <f>IFERROR(__xludf.DUMMYFUNCTION("""COMPUTED_VALUE"""),"SETIC")</f>
        <v>SETIC</v>
      </c>
      <c r="K4" s="180" t="str">
        <f>IFERROR(__xludf.DUMMYFUNCTION("""COMPUTED_VALUE"""),"GND3")</f>
        <v>GND3</v>
      </c>
      <c r="L4" s="231">
        <f>IFERROR(__xludf.DUMMYFUNCTION("""COMPUTED_VALUE"""),0.0)</f>
        <v>0</v>
      </c>
      <c r="M4" s="232">
        <f>IFERROR(__xludf.DUMMYFUNCTION("""COMPUTED_VALUE"""),3.3904012E7)</f>
        <v>33904012</v>
      </c>
      <c r="N4" s="232">
        <f>IFERROR(__xludf.DUMMYFUNCTION("""COMPUTED_VALUE"""),0.0)</f>
        <v>0</v>
      </c>
      <c r="O4" s="230">
        <f>IFERROR(__xludf.DUMMYFUNCTION("""COMPUTED_VALUE"""),168105.0)</f>
        <v>168105</v>
      </c>
      <c r="P4" s="180" t="str">
        <f>IFERROR(__xludf.DUMMYFUNCTION("""COMPUTED_VALUE"""),"Não")</f>
        <v>Não</v>
      </c>
      <c r="Q4" s="180" t="str">
        <f>IFERROR(__xludf.DUMMYFUNCTION("""COMPUTED_VALUE"""),"1 - Imprescindível")</f>
        <v>1 - Imprescindível</v>
      </c>
      <c r="R4" s="180" t="str">
        <f>IFERROR(__xludf.DUMMYFUNCTION("""COMPUTED_VALUE"""),"1 - Selecionado")</f>
        <v>1 - Selecionado</v>
      </c>
      <c r="S4" s="180"/>
      <c r="T4" s="180" t="str">
        <f>IFERROR(__xludf.DUMMYFUNCTION("""COMPUTED_VALUE"""),"Prorrogação Emergencial")</f>
        <v>Prorrogação Emergencial</v>
      </c>
      <c r="U4" s="180" t="str">
        <f>IFERROR(__xludf.DUMMYFUNCTION("""COMPUTED_VALUE"""),"99 - Orçamentário")</f>
        <v>99 - Orçamentário</v>
      </c>
      <c r="V4" s="180"/>
      <c r="W4" s="180" t="str">
        <f>IFERROR(__xludf.DUMMYFUNCTION("""COMPUTED_VALUE"""),"12216/2016")</f>
        <v>12216/2016</v>
      </c>
      <c r="X4" s="180" t="str">
        <f>IFERROR(__xludf.DUMMYFUNCTION("""COMPUTED_VALUE"""),"SESUP")</f>
        <v>SESUP</v>
      </c>
      <c r="Y4" s="180" t="str">
        <f>IFERROR(__xludf.DUMMYFUNCTION("""COMPUTED_VALUE"""),"ORÇAMENTO")</f>
        <v>ORÇAMENTO</v>
      </c>
      <c r="Z4" s="180" t="str">
        <f>IFERROR(__xludf.DUMMYFUNCTION("""COMPUTED_VALUE"""),"CD")</f>
        <v>CD</v>
      </c>
      <c r="AA4" s="180" t="str">
        <f>IFERROR(__xludf.DUMMYFUNCTION("""COMPUTED_VALUE"""),"CD-12216/2016")</f>
        <v>CD-12216/2016</v>
      </c>
      <c r="AB4" s="230">
        <f>IFERROR(__xludf.DUMMYFUNCTION("""COMPUTED_VALUE"""),7.108509000282E12)</f>
        <v>7108509000282</v>
      </c>
      <c r="AC4" s="180" t="str">
        <f>IFERROR(__xludf.DUMMYFUNCTION("""COMPUTED_VALUE"""),"SCHNEIDER ELECTRIC IT BRASIL INDUSTRIA E COMERCIO DE E")</f>
        <v>SCHNEIDER ELECTRIC IT BRASIL INDUSTRIA E COMERCIO DE E</v>
      </c>
      <c r="AD4" s="189">
        <f>IFERROR(__xludf.DUMMYFUNCTION("""COMPUTED_VALUE"""),44595.0)</f>
        <v>44595</v>
      </c>
      <c r="AE4" s="189">
        <f>IFERROR(__xludf.DUMMYFUNCTION("""COMPUTED_VALUE"""),44595.0)</f>
        <v>44595</v>
      </c>
      <c r="AF4" s="180" t="str">
        <f>IFERROR(__xludf.DUMMYFUNCTION("""COMPUTED_VALUE"""),"Márcio César Jacinto
Diretor do SESUP - Substituto")</f>
        <v>Márcio César Jacinto
Diretor do SESUP - Substituto</v>
      </c>
      <c r="AG4" s="233"/>
      <c r="AH4" s="190"/>
      <c r="AI4" s="180" t="str">
        <f>IFERROR(__xludf.DUMMYFUNCTION("""COMPUTED_VALUE"""),"Não")</f>
        <v>Não</v>
      </c>
      <c r="AJ4" s="190"/>
      <c r="AK4" s="180" t="str">
        <f>IFERROR(__xludf.DUMMYFUNCTION("""COMPUTED_VALUE"""),"Cláudio Zamparetti")</f>
        <v>Cláudio Zamparetti</v>
      </c>
      <c r="AL4" s="180"/>
      <c r="AM4" s="180"/>
      <c r="AN4" s="190">
        <f>IFERROR(__xludf.DUMMYFUNCTION("""COMPUTED_VALUE"""),-51898.666666666664)</f>
        <v>-51898.66667</v>
      </c>
      <c r="AO4" s="190">
        <f>IFERROR(__xludf.DUMMYFUNCTION("""COMPUTED_VALUE"""),63120.0)</f>
        <v>63120</v>
      </c>
      <c r="AP4" s="180" t="str">
        <f>IFERROR(__xludf.DUMMYFUNCTION("""COMPUTED_VALUE"""),"2022NE000099")</f>
        <v>2022NE000099</v>
      </c>
      <c r="AQ4" s="190">
        <f>IFERROR(__xludf.DUMMYFUNCTION("""COMPUTED_VALUE"""),0.0)</f>
        <v>0</v>
      </c>
      <c r="AR4" s="190">
        <f>IFERROR(__xludf.DUMMYFUNCTION("""COMPUTED_VALUE"""),11221.333333333334)</f>
        <v>11221.33333</v>
      </c>
      <c r="AS4" s="180"/>
      <c r="AT4" s="190">
        <f>IFERROR(__xludf.DUMMYFUNCTION("""COMPUTED_VALUE"""),11221.333333333334)</f>
        <v>11221.33333</v>
      </c>
      <c r="AU4" s="190">
        <f>IFERROR(__xludf.DUMMYFUNCTION("""COMPUTED_VALUE"""),10520.0)</f>
        <v>10520</v>
      </c>
      <c r="AV4" s="232">
        <f>IFERROR(__xludf.DUMMYFUNCTION("""COMPUTED_VALUE"""),1.0666666666666667)</f>
        <v>1.066666667</v>
      </c>
      <c r="AW4" s="190">
        <f>IFERROR(__xludf.DUMMYFUNCTION("""COMPUTED_VALUE"""),11221.333333333334)</f>
        <v>11221.33333</v>
      </c>
      <c r="AX4" s="190">
        <f>IFERROR(__xludf.DUMMYFUNCTION("""COMPUTED_VALUE"""),0.0)</f>
        <v>0</v>
      </c>
      <c r="AY4" s="190">
        <f>IFERROR(__xludf.DUMMYFUNCTION("""COMPUTED_VALUE"""),11221.33)</f>
        <v>11221.33</v>
      </c>
      <c r="AZ4" s="190">
        <f>IFERROR(__xludf.DUMMYFUNCTION("""COMPUTED_VALUE"""),10520.0)</f>
        <v>10520</v>
      </c>
      <c r="BA4" s="190">
        <f>IFERROR(__xludf.DUMMYFUNCTION("""COMPUTED_VALUE"""),701.33)</f>
        <v>701.33</v>
      </c>
      <c r="BB4" s="180" t="str">
        <f>IFERROR(__xludf.DUMMYFUNCTION("""COMPUTED_VALUE"""),"CD-12216/2016")</f>
        <v>CD-12216/2016</v>
      </c>
      <c r="BC4" s="232"/>
      <c r="BD4" s="180" t="str">
        <f>IFERROR(__xludf.DUMMYFUNCTION("""COMPUTED_VALUE"""),"Não")</f>
        <v>Não</v>
      </c>
      <c r="BE4" s="180"/>
      <c r="BF4" s="180"/>
      <c r="BG4" s="180"/>
      <c r="BH4" s="233">
        <f>IFERROR(__xludf.DUMMYFUNCTION("""COMPUTED_VALUE"""),300000.0)</f>
        <v>300000</v>
      </c>
      <c r="BI4" s="180" t="str">
        <f>IFERROR(__xludf.DUMMYFUNCTION("""COMPUTED_VALUE"""),"Alta")</f>
        <v>Alta</v>
      </c>
      <c r="BJ4" s="180"/>
      <c r="BK4" s="180" t="str">
        <f>IFERROR(__xludf.DUMMYFUNCTION("""COMPUTED_VALUE"""),"ano")</f>
        <v>ano</v>
      </c>
      <c r="BL4" s="180"/>
      <c r="BM4" s="180" t="str">
        <f>IFERROR(__xludf.DUMMYFUNCTION("""COMPUTED_VALUE"""),"ORÇAMENTO")</f>
        <v>ORÇAMENTO</v>
      </c>
      <c r="BN4" s="189"/>
      <c r="BO4" s="189"/>
      <c r="BP4" s="190"/>
      <c r="BQ4" s="190"/>
      <c r="BR4" s="190"/>
      <c r="BS4" s="190">
        <f>IFERROR(__xludf.DUMMYFUNCTION("""COMPUTED_VALUE"""),11221.333333333334)</f>
        <v>11221.33333</v>
      </c>
      <c r="BT4" s="190"/>
      <c r="BU4" s="180" t="str">
        <f>IFERROR(__xludf.DUMMYFUNCTION("""COMPUTED_VALUE"""),"Manutenção e conservação de equipamentos de TIC")</f>
        <v>Manutenção e conservação de equipamentos de TIC</v>
      </c>
      <c r="BV4" s="180"/>
      <c r="BW4" s="180"/>
      <c r="BX4" s="180"/>
      <c r="BY4" s="180"/>
      <c r="BZ4" s="189"/>
      <c r="CA4" s="180"/>
      <c r="CB4" s="180" t="str">
        <f>IFERROR(__xludf.DUMMYFUNCTION("""COMPUTED_VALUE"""),"Apreciação de Causas na Justiça do Trabalho")</f>
        <v>Apreciação de Causas na Justiça do Trabalho</v>
      </c>
      <c r="CC4" s="180" t="str">
        <f>IFERROR(__xludf.DUMMYFUNCTION("""COMPUTED_VALUE""")," - ")</f>
        <v> - </v>
      </c>
      <c r="CD4" s="180" t="str">
        <f>IFERROR(__xludf.DUMMYFUNCTION("""COMPUTED_VALUE"""),"SERVIÇOS DE TECNOLOGIA DA INFORMAÇÃO E COMUNICAÇÃO - TIC")</f>
        <v>SERVIÇOS DE TECNOLOGIA DA INFORMAÇÃO E COMUNICAÇÃO - TIC</v>
      </c>
      <c r="CE4" s="180"/>
      <c r="CF4" s="180" t="str">
        <f>IFERROR(__xludf.DUMMYFUNCTION("""COMPUTED_VALUE"""),"MANUTENÇÃO E CONSERVAÇÃO DE EQUIPAMENTOS DE TIC")</f>
        <v>MANUTENÇÃO E CONSERVAÇÃO DE EQUIPAMENTOS DE TIC</v>
      </c>
      <c r="CG4" s="189"/>
      <c r="CH4" s="189">
        <f>IFERROR(__xludf.DUMMYFUNCTION("""COMPUTED_VALUE"""),44960.0)</f>
        <v>44960</v>
      </c>
      <c r="CI4" s="180" t="str">
        <f>IFERROR(__xludf.DUMMYFUNCTION("""COMPUTED_VALUE"""),"ORÇAMENTO")</f>
        <v>ORÇAMENTO</v>
      </c>
      <c r="CJ4" s="190"/>
      <c r="CK4" s="189"/>
      <c r="CL4" s="180"/>
      <c r="CM4" s="180"/>
      <c r="CN4" s="180" t="str">
        <f>IFERROR(__xludf.DUMMYFUNCTION("""COMPUTED_VALUE"""),"CD-12216/2016")</f>
        <v>CD-12216/2016</v>
      </c>
      <c r="CO4" s="180"/>
      <c r="CP4" s="180"/>
      <c r="CQ4" s="180"/>
      <c r="CR4" s="180"/>
      <c r="CS4" s="180"/>
      <c r="CT4" s="180"/>
      <c r="CU4" s="180"/>
      <c r="CV4" s="180"/>
      <c r="CW4" s="180"/>
      <c r="CX4" s="180"/>
      <c r="CY4" s="180"/>
      <c r="CZ4" s="180"/>
      <c r="DA4" s="180"/>
      <c r="DB4" s="180"/>
    </row>
    <row r="5">
      <c r="A5" s="230">
        <f>IFERROR(__xludf.DUMMYFUNCTION("""COMPUTED_VALUE"""),15055.0)</f>
        <v>15055</v>
      </c>
      <c r="B5" s="230">
        <f>IFERROR(__xludf.DUMMYFUNCTION("""COMPUTED_VALUE"""),0.0)</f>
        <v>0</v>
      </c>
      <c r="C5" s="180" t="str">
        <f>IFERROR(__xludf.DUMMYFUNCTION("""COMPUTED_VALUE"""),"CELESC - Contratação de uso de postes (passagem da fibra óptica - locação CELESC) para conexão redundante entre o datacenter principal e auxiliar (Sede/Utrillo)")</f>
        <v>CELESC - Contratação de uso de postes (passagem da fibra óptica - locação CELESC) para conexão redundante entre o datacenter principal e auxiliar (Sede/Utrillo)</v>
      </c>
      <c r="D5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5" s="180" t="str">
        <f>IFERROR(__xludf.DUMMYFUNCTION("""COMPUTED_VALUE"""),"EJ08 - PROMOVER SERVIÇOS DE INFRAESTRUTURA E SOLUÇÕES CORPORATIVAS")</f>
        <v>EJ08 - PROMOVER SERVIÇOS DE INFRAESTRUTURA E SOLUÇÕES CORPORATIVAS</v>
      </c>
      <c r="F5" s="180" t="str">
        <f>IFERROR(__xludf.DUMMYFUNCTION("""COMPUTED_VALUE"""),"Contratação de serviços para o suporte à infraestrutura tecnológica")</f>
        <v>Contratação de serviços para o suporte à infraestrutura tecnológica</v>
      </c>
      <c r="G5" s="180" t="str">
        <f>IFERROR(__xludf.DUMMYFUNCTION("""COMPUTED_VALUE"""),"(ID PAAC 15055) CELESC - Contratação de uso de postes (passagem da fibra óptica - locação CELESC) para conexão redundante entre o datacenter principal e auxiliar (Sede/Utrillo)")</f>
        <v>(ID PAAC 15055) CELESC - Contratação de uso de postes (passagem da fibra óptica - locação CELESC) para conexão redundante entre o datacenter principal e auxiliar (Sede/Utrillo)</v>
      </c>
      <c r="H5" s="180" t="str">
        <f>IFERROR(__xludf.DUMMYFUNCTION("""COMPUTED_VALUE"""),"Continuado")</f>
        <v>Continuado</v>
      </c>
      <c r="I5" s="180" t="str">
        <f>IFERROR(__xludf.DUMMYFUNCTION("""COMPUTED_VALUE"""),"SETIC")</f>
        <v>SETIC</v>
      </c>
      <c r="J5" s="180" t="str">
        <f>IFERROR(__xludf.DUMMYFUNCTION("""COMPUTED_VALUE"""),"SETIC")</f>
        <v>SETIC</v>
      </c>
      <c r="K5" s="180" t="str">
        <f>IFERROR(__xludf.DUMMYFUNCTION("""COMPUTED_VALUE"""),"GND3")</f>
        <v>GND3</v>
      </c>
      <c r="L5" s="231">
        <f>IFERROR(__xludf.DUMMYFUNCTION("""COMPUTED_VALUE"""),0.0)</f>
        <v>0</v>
      </c>
      <c r="M5" s="232">
        <f>IFERROR(__xludf.DUMMYFUNCTION("""COMPUTED_VALUE"""),3.3904011E7)</f>
        <v>33904011</v>
      </c>
      <c r="N5" s="232">
        <f>IFERROR(__xludf.DUMMYFUNCTION("""COMPUTED_VALUE"""),0.0)</f>
        <v>0</v>
      </c>
      <c r="O5" s="230">
        <f>IFERROR(__xludf.DUMMYFUNCTION("""COMPUTED_VALUE"""),168105.0)</f>
        <v>168105</v>
      </c>
      <c r="P5" s="180" t="str">
        <f>IFERROR(__xludf.DUMMYFUNCTION("""COMPUTED_VALUE"""),"Não")</f>
        <v>Não</v>
      </c>
      <c r="Q5" s="180" t="str">
        <f>IFERROR(__xludf.DUMMYFUNCTION("""COMPUTED_VALUE"""),"1 - Imprescindível")</f>
        <v>1 - Imprescindível</v>
      </c>
      <c r="R5" s="180" t="str">
        <f>IFERROR(__xludf.DUMMYFUNCTION("""COMPUTED_VALUE"""),"1 - Selecionado")</f>
        <v>1 - Selecionado</v>
      </c>
      <c r="S5" s="180"/>
      <c r="T5" s="180"/>
      <c r="U5" s="180" t="str">
        <f>IFERROR(__xludf.DUMMYFUNCTION("""COMPUTED_VALUE"""),"99 - Orçamentário")</f>
        <v>99 - Orçamentário</v>
      </c>
      <c r="V5" s="180"/>
      <c r="W5" s="180" t="str">
        <f>IFERROR(__xludf.DUMMYFUNCTION("""COMPUTED_VALUE"""),"1674/2021")</f>
        <v>1674/2021</v>
      </c>
      <c r="X5" s="180" t="str">
        <f>IFERROR(__xludf.DUMMYFUNCTION("""COMPUTED_VALUE"""),"SEINFRA")</f>
        <v>SEINFRA</v>
      </c>
      <c r="Y5" s="180" t="str">
        <f>IFERROR(__xludf.DUMMYFUNCTION("""COMPUTED_VALUE"""),"ORÇAMENTO")</f>
        <v>ORÇAMENTO</v>
      </c>
      <c r="Z5" s="180" t="str">
        <f>IFERROR(__xludf.DUMMYFUNCTION("""COMPUTED_VALUE"""),"CD")</f>
        <v>CD</v>
      </c>
      <c r="AA5" s="180" t="str">
        <f>IFERROR(__xludf.DUMMYFUNCTION("""COMPUTED_VALUE"""),"CD-1674/2021")</f>
        <v>CD-1674/2021</v>
      </c>
      <c r="AB5" s="230">
        <f>IFERROR(__xludf.DUMMYFUNCTION("""COMPUTED_VALUE"""),8.33678300019E12)</f>
        <v>8336783000190</v>
      </c>
      <c r="AC5" s="180" t="str">
        <f>IFERROR(__xludf.DUMMYFUNCTION("""COMPUTED_VALUE"""),"CELESC DISTRIBUICAO S.A")</f>
        <v>CELESC DISTRIBUICAO S.A</v>
      </c>
      <c r="AD5" s="189"/>
      <c r="AE5" s="189"/>
      <c r="AF5" s="180" t="str">
        <f>IFERROR(__xludf.DUMMYFUNCTION("""COMPUTED_VALUE"""),"Anderson Bastos
Diretor do SEINFRA")</f>
        <v>Anderson Bastos
Diretor do SEINFRA</v>
      </c>
      <c r="AG5" s="233">
        <f>IFERROR(__xludf.DUMMYFUNCTION("""COMPUTED_VALUE"""),1.0)</f>
        <v>1</v>
      </c>
      <c r="AH5" s="190">
        <f>IFERROR(__xludf.DUMMYFUNCTION("""COMPUTED_VALUE"""),4494.4800000000005)</f>
        <v>4494.48</v>
      </c>
      <c r="AI5" s="180" t="str">
        <f>IFERROR(__xludf.DUMMYFUNCTION("""COMPUTED_VALUE"""),"Não")</f>
        <v>Não</v>
      </c>
      <c r="AJ5" s="190"/>
      <c r="AK5" s="180" t="str">
        <f>IFERROR(__xludf.DUMMYFUNCTION("""COMPUTED_VALUE"""),"Anderson Bastos")</f>
        <v>Anderson Bastos</v>
      </c>
      <c r="AL5" s="180"/>
      <c r="AM5" s="180"/>
      <c r="AN5" s="190">
        <f>IFERROR(__xludf.DUMMYFUNCTION("""COMPUTED_VALUE"""),-0.5199999999995271)</f>
        <v>-0.52</v>
      </c>
      <c r="AO5" s="190">
        <f>IFERROR(__xludf.DUMMYFUNCTION("""COMPUTED_VALUE"""),4495.0)</f>
        <v>4495</v>
      </c>
      <c r="AP5" s="180" t="str">
        <f>IFERROR(__xludf.DUMMYFUNCTION("""COMPUTED_VALUE"""),"2022NE000093")</f>
        <v>2022NE000093</v>
      </c>
      <c r="AQ5" s="190">
        <f>IFERROR(__xludf.DUMMYFUNCTION("""COMPUTED_VALUE"""),4495.0)</f>
        <v>4495</v>
      </c>
      <c r="AR5" s="190">
        <f>IFERROR(__xludf.DUMMYFUNCTION("""COMPUTED_VALUE"""),4494.4800000000005)</f>
        <v>4494.48</v>
      </c>
      <c r="AS5" s="180"/>
      <c r="AT5" s="190">
        <f>IFERROR(__xludf.DUMMYFUNCTION("""COMPUTED_VALUE"""),4494.4800000000005)</f>
        <v>4494.48</v>
      </c>
      <c r="AU5" s="190">
        <f>IFERROR(__xludf.DUMMYFUNCTION("""COMPUTED_VALUE"""),374.54)</f>
        <v>374.54</v>
      </c>
      <c r="AV5" s="232">
        <f>IFERROR(__xludf.DUMMYFUNCTION("""COMPUTED_VALUE"""),12.0)</f>
        <v>12</v>
      </c>
      <c r="AW5" s="190">
        <f>IFERROR(__xludf.DUMMYFUNCTION("""COMPUTED_VALUE"""),4494.4800000000005)</f>
        <v>4494.48</v>
      </c>
      <c r="AX5" s="190">
        <f>IFERROR(__xludf.DUMMYFUNCTION("""COMPUTED_VALUE"""),0.0)</f>
        <v>0</v>
      </c>
      <c r="AY5" s="190">
        <f>IFERROR(__xludf.DUMMYFUNCTION("""COMPUTED_VALUE"""),4494.48)</f>
        <v>4494.48</v>
      </c>
      <c r="AZ5" s="190">
        <f>IFERROR(__xludf.DUMMYFUNCTION("""COMPUTED_VALUE"""),1185.8399999999997)</f>
        <v>1185.84</v>
      </c>
      <c r="BA5" s="190">
        <f>IFERROR(__xludf.DUMMYFUNCTION("""COMPUTED_VALUE"""),3308.64)</f>
        <v>3308.64</v>
      </c>
      <c r="BB5" s="180" t="str">
        <f>IFERROR(__xludf.DUMMYFUNCTION("""COMPUTED_VALUE"""),"CD-1674/2021")</f>
        <v>CD-1674/2021</v>
      </c>
      <c r="BC5" s="232">
        <f>IFERROR(__xludf.DUMMYFUNCTION("""COMPUTED_VALUE"""),1.5113202223692E14)</f>
        <v>151132022236920</v>
      </c>
      <c r="BD5" s="180" t="str">
        <f>IFERROR(__xludf.DUMMYFUNCTION("""COMPUTED_VALUE"""),"Não")</f>
        <v>Não</v>
      </c>
      <c r="BE5" s="180" t="str">
        <f>IFERROR(__xludf.DUMMYFUNCTION("""COMPUTED_VALUE"""),"Não")</f>
        <v>Não</v>
      </c>
      <c r="BF5" s="180"/>
      <c r="BG5" s="180"/>
      <c r="BH5" s="233">
        <f>IFERROR(__xludf.DUMMYFUNCTION("""COMPUTED_VALUE"""),300000.0)</f>
        <v>300000</v>
      </c>
      <c r="BI5" s="180" t="str">
        <f>IFERROR(__xludf.DUMMYFUNCTION("""COMPUTED_VALUE"""),"Alta")</f>
        <v>Alta</v>
      </c>
      <c r="BJ5" s="180"/>
      <c r="BK5" s="180" t="str">
        <f>IFERROR(__xludf.DUMMYFUNCTION("""COMPUTED_VALUE"""),"ano")</f>
        <v>ano</v>
      </c>
      <c r="BL5" s="180" t="str">
        <f>IFERROR(__xludf.DUMMYFUNCTION("""COMPUTED_VALUE"""),"Inexigibilidade")</f>
        <v>Inexigibilidade</v>
      </c>
      <c r="BM5" s="180" t="str">
        <f>IFERROR(__xludf.DUMMYFUNCTION("""COMPUTED_VALUE"""),"ORÇAMENTO")</f>
        <v>ORÇAMENTO</v>
      </c>
      <c r="BN5" s="189">
        <f>IFERROR(__xludf.DUMMYFUNCTION("""COMPUTED_VALUE"""),44228.0)</f>
        <v>44228</v>
      </c>
      <c r="BO5" s="189">
        <f>IFERROR(__xludf.DUMMYFUNCTION("""COMPUTED_VALUE"""),44255.0)</f>
        <v>44255</v>
      </c>
      <c r="BP5" s="190"/>
      <c r="BQ5" s="190"/>
      <c r="BR5" s="190"/>
      <c r="BS5" s="190">
        <f>IFERROR(__xludf.DUMMYFUNCTION("""COMPUTED_VALUE"""),4494.4800000000005)</f>
        <v>4494.48</v>
      </c>
      <c r="BT5" s="190"/>
      <c r="BU5" s="180" t="str">
        <f>IFERROR(__xludf.DUMMYFUNCTION("""COMPUTED_VALUE"""),"Suporte de infraestrutura de TIC")</f>
        <v>Suporte de infraestrutura de TIC</v>
      </c>
      <c r="BV5" s="180"/>
      <c r="BW5" s="180"/>
      <c r="BX5" s="180"/>
      <c r="BY5" s="180"/>
      <c r="BZ5" s="189"/>
      <c r="CA5" s="180"/>
      <c r="CB5" s="180" t="str">
        <f>IFERROR(__xludf.DUMMYFUNCTION("""COMPUTED_VALUE"""),"Apreciação de Causas na Justiça do Trabalho")</f>
        <v>Apreciação de Causas na Justiça do Trabalho</v>
      </c>
      <c r="CC5" s="180" t="str">
        <f>IFERROR(__xludf.DUMMYFUNCTION("""COMPUTED_VALUE""")," - ")</f>
        <v> - </v>
      </c>
      <c r="CD5" s="180" t="str">
        <f>IFERROR(__xludf.DUMMYFUNCTION("""COMPUTED_VALUE"""),"SERVIÇOS DE TECNOLOGIA DA INFORMAÇÃO E COMUNICAÇÃO - TIC")</f>
        <v>SERVIÇOS DE TECNOLOGIA DA INFORMAÇÃO E COMUNICAÇÃO - TIC</v>
      </c>
      <c r="CE5" s="180"/>
      <c r="CF5" s="180" t="str">
        <f>IFERROR(__xludf.DUMMYFUNCTION("""COMPUTED_VALUE"""),"SUPORTE DE INFRAESTRUTURA DE TIC")</f>
        <v>SUPORTE DE INFRAESTRUTURA DE TIC</v>
      </c>
      <c r="CG5" s="189"/>
      <c r="CH5" s="189">
        <f>IFERROR(__xludf.DUMMYFUNCTION("""COMPUTED_VALUE"""),365.0)</f>
        <v>365</v>
      </c>
      <c r="CI5" s="180" t="str">
        <f>IFERROR(__xludf.DUMMYFUNCTION("""COMPUTED_VALUE"""),"ORÇAMENTO")</f>
        <v>ORÇAMENTO</v>
      </c>
      <c r="CJ5" s="190">
        <f>IFERROR(__xludf.DUMMYFUNCTION("""COMPUTED_VALUE"""),4494.4800000000005)</f>
        <v>4494.48</v>
      </c>
      <c r="CK5" s="189">
        <f>IFERROR(__xludf.DUMMYFUNCTION("""COMPUTED_VALUE"""),44619.0)</f>
        <v>44619</v>
      </c>
      <c r="CL5" s="180" t="str">
        <f>IFERROR(__xludf.DUMMYFUNCTION("""COMPUTED_VALUE"""),"PROR")</f>
        <v>PROR</v>
      </c>
      <c r="CM5" s="180" t="str">
        <f>IFERROR(__xludf.DUMMYFUNCTION("""COMPUTED_VALUE"""),"x")</f>
        <v>x</v>
      </c>
      <c r="CN5" s="180" t="str">
        <f>IFERROR(__xludf.DUMMYFUNCTION("""COMPUTED_VALUE"""),"CD-1674/2021")</f>
        <v>CD-1674/2021</v>
      </c>
      <c r="CO5" s="180"/>
      <c r="CP5" s="180"/>
      <c r="CQ5" s="180"/>
      <c r="CR5" s="180" t="str">
        <f>IFERROR(__xludf.DUMMYFUNCTION("""COMPUTED_VALUE"""),"GND3")</f>
        <v>GND3</v>
      </c>
      <c r="CS5" s="180"/>
      <c r="CT5" s="180"/>
      <c r="CU5" s="180"/>
      <c r="CV5" s="180"/>
      <c r="CW5" s="180"/>
      <c r="CX5" s="180"/>
      <c r="CY5" s="180"/>
      <c r="CZ5" s="180"/>
      <c r="DA5" s="180"/>
      <c r="DB5" s="180"/>
    </row>
    <row r="6">
      <c r="A6" s="230">
        <f>IFERROR(__xludf.DUMMYFUNCTION("""COMPUTED_VALUE"""),15056.0)</f>
        <v>15056</v>
      </c>
      <c r="B6" s="230">
        <f>IFERROR(__xludf.DUMMYFUNCTION("""COMPUTED_VALUE"""),15056.0)</f>
        <v>15056</v>
      </c>
      <c r="C6" s="180" t="str">
        <f>IFERROR(__xludf.DUMMYFUNCTION("""COMPUTED_VALUE"""),"REDE JT - Ciasc - Contratação de links de alto desempenho para as conexões de dados entre as unidades do TRT")</f>
        <v>REDE JT - Ciasc - Contratação de links de alto desempenho para as conexões de dados entre as unidades do TRT</v>
      </c>
      <c r="D6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6" s="180" t="str">
        <f>IFERROR(__xludf.DUMMYFUNCTION("""COMPUTED_VALUE"""),"EJ08 - PROMOVER SERVIÇOS DE INFRAESTRUTURA E SOLUÇÕES CORPORATIVAS")</f>
        <v>EJ08 - PROMOVER SERVIÇOS DE INFRAESTRUTURA E SOLUÇÕES CORPORATIVAS</v>
      </c>
      <c r="F6" s="180" t="str">
        <f>IFERROR(__xludf.DUMMYFUNCTION("""COMPUTED_VALUE"""),"Contratação de serviços para o suporte à infraestrutura tecnológica")</f>
        <v>Contratação de serviços para o suporte à infraestrutura tecnológica</v>
      </c>
      <c r="G6" s="180" t="str">
        <f>IFERROR(__xludf.DUMMYFUNCTION("""COMPUTED_VALUE"""),"(ID PAAC 15056) REDE JT - Ciasc - Contratação de links de alto desempenho para as conexões de dados entre as unidades do TRT")</f>
        <v>(ID PAAC 15056) REDE JT - Ciasc - Contratação de links de alto desempenho para as conexões de dados entre as unidades do TRT</v>
      </c>
      <c r="H6" s="180" t="str">
        <f>IFERROR(__xludf.DUMMYFUNCTION("""COMPUTED_VALUE"""),"Continuado")</f>
        <v>Continuado</v>
      </c>
      <c r="I6" s="180" t="str">
        <f>IFERROR(__xludf.DUMMYFUNCTION("""COMPUTED_VALUE"""),"SETIC")</f>
        <v>SETIC</v>
      </c>
      <c r="J6" s="180" t="str">
        <f>IFERROR(__xludf.DUMMYFUNCTION("""COMPUTED_VALUE"""),"SETIC")</f>
        <v>SETIC</v>
      </c>
      <c r="K6" s="180" t="str">
        <f>IFERROR(__xludf.DUMMYFUNCTION("""COMPUTED_VALUE"""),"GND3")</f>
        <v>GND3</v>
      </c>
      <c r="L6" s="231">
        <f>IFERROR(__xludf.DUMMYFUNCTION("""COMPUTED_VALUE"""),0.0)</f>
        <v>0</v>
      </c>
      <c r="M6" s="232">
        <f>IFERROR(__xludf.DUMMYFUNCTION("""COMPUTED_VALUE"""),3.3904013E7)</f>
        <v>33904013</v>
      </c>
      <c r="N6" s="232">
        <f>IFERROR(__xludf.DUMMYFUNCTION("""COMPUTED_VALUE"""),0.0)</f>
        <v>0</v>
      </c>
      <c r="O6" s="230">
        <f>IFERROR(__xludf.DUMMYFUNCTION("""COMPUTED_VALUE"""),168107.0)</f>
        <v>168107</v>
      </c>
      <c r="P6" s="180" t="str">
        <f>IFERROR(__xludf.DUMMYFUNCTION("""COMPUTED_VALUE"""),"Sim")</f>
        <v>Sim</v>
      </c>
      <c r="Q6" s="180" t="str">
        <f>IFERROR(__xludf.DUMMYFUNCTION("""COMPUTED_VALUE"""),"1 - Imprescindível")</f>
        <v>1 - Imprescindível</v>
      </c>
      <c r="R6" s="180" t="str">
        <f>IFERROR(__xludf.DUMMYFUNCTION("""COMPUTED_VALUE"""),"1 - Selecionado")</f>
        <v>1 - Selecionado</v>
      </c>
      <c r="S6" s="180"/>
      <c r="T6" s="180"/>
      <c r="U6" s="180" t="str">
        <f>IFERROR(__xludf.DUMMYFUNCTION("""COMPUTED_VALUE"""),"99 - Orçamentário")</f>
        <v>99 - Orçamentário</v>
      </c>
      <c r="V6" s="180"/>
      <c r="W6" s="180" t="str">
        <f>IFERROR(__xludf.DUMMYFUNCTION("""COMPUTED_VALUE"""),"5907/2017")</f>
        <v>5907/2017</v>
      </c>
      <c r="X6" s="180" t="str">
        <f>IFERROR(__xludf.DUMMYFUNCTION("""COMPUTED_VALUE"""),"SEINFRA")</f>
        <v>SEINFRA</v>
      </c>
      <c r="Y6" s="180" t="str">
        <f>IFERROR(__xludf.DUMMYFUNCTION("""COMPUTED_VALUE"""),"ORÇAMENTO")</f>
        <v>ORÇAMENTO</v>
      </c>
      <c r="Z6" s="180" t="str">
        <f>IFERROR(__xludf.DUMMYFUNCTION("""COMPUTED_VALUE"""),"CD")</f>
        <v>CD</v>
      </c>
      <c r="AA6" s="180" t="str">
        <f>IFERROR(__xludf.DUMMYFUNCTION("""COMPUTED_VALUE"""),"CD-5907/2017")</f>
        <v>CD-5907/2017</v>
      </c>
      <c r="AB6" s="230">
        <f>IFERROR(__xludf.DUMMYFUNCTION("""COMPUTED_VALUE"""),8.3043745000165E13)</f>
        <v>83043745000165</v>
      </c>
      <c r="AC6" s="180" t="str">
        <f>IFERROR(__xludf.DUMMYFUNCTION("""COMPUTED_VALUE"""),"CENTRO DE INFORMATICA E AUTOMACAO DO ESTADO DE SC S/A")</f>
        <v>CENTRO DE INFORMATICA E AUTOMACAO DO ESTADO DE SC S/A</v>
      </c>
      <c r="AD6" s="189">
        <f>IFERROR(__xludf.DUMMYFUNCTION("""COMPUTED_VALUE"""),44781.0)</f>
        <v>44781</v>
      </c>
      <c r="AE6" s="189">
        <f>IFERROR(__xludf.DUMMYFUNCTION("""COMPUTED_VALUE"""),44781.0)</f>
        <v>44781</v>
      </c>
      <c r="AF6" s="180" t="str">
        <f>IFERROR(__xludf.DUMMYFUNCTION("""COMPUTED_VALUE"""),"Anderson Bastos
Diretor do SEINFRA")</f>
        <v>Anderson Bastos
Diretor do SEINFRA</v>
      </c>
      <c r="AG6" s="233">
        <f>IFERROR(__xludf.DUMMYFUNCTION("""COMPUTED_VALUE"""),1.0)</f>
        <v>1</v>
      </c>
      <c r="AH6" s="190">
        <f>IFERROR(__xludf.DUMMYFUNCTION("""COMPUTED_VALUE"""),338693.6)</f>
        <v>338693.6</v>
      </c>
      <c r="AI6" s="180" t="str">
        <f>IFERROR(__xludf.DUMMYFUNCTION("""COMPUTED_VALUE"""),"Não")</f>
        <v>Não</v>
      </c>
      <c r="AJ6" s="190"/>
      <c r="AK6" s="180" t="str">
        <f>IFERROR(__xludf.DUMMYFUNCTION("""COMPUTED_VALUE"""),"Anderson Bastos")</f>
        <v>Anderson Bastos</v>
      </c>
      <c r="AL6" s="180"/>
      <c r="AM6" s="180"/>
      <c r="AN6" s="190">
        <f>IFERROR(__xludf.DUMMYFUNCTION("""COMPUTED_VALUE"""),-361306.4)</f>
        <v>-361306.4</v>
      </c>
      <c r="AO6" s="190">
        <f>IFERROR(__xludf.DUMMYFUNCTION("""COMPUTED_VALUE"""),700000.0)</f>
        <v>700000</v>
      </c>
      <c r="AP6" s="180" t="str">
        <f>IFERROR(__xludf.DUMMYFUNCTION("""COMPUTED_VALUE"""),"2022NE000121")</f>
        <v>2022NE000121</v>
      </c>
      <c r="AQ6" s="190">
        <f>IFERROR(__xludf.DUMMYFUNCTION("""COMPUTED_VALUE"""),513000.0)</f>
        <v>513000</v>
      </c>
      <c r="AR6" s="190">
        <f>IFERROR(__xludf.DUMMYFUNCTION("""COMPUTED_VALUE"""),338693.6)</f>
        <v>338693.6</v>
      </c>
      <c r="AS6" s="180" t="str">
        <f>IFERROR(__xludf.DUMMYFUNCTION("""COMPUTED_VALUE"""),"2021NE000124")</f>
        <v>2021NE000124</v>
      </c>
      <c r="AT6" s="190">
        <f>IFERROR(__xludf.DUMMYFUNCTION("""COMPUTED_VALUE"""),338693.6)</f>
        <v>338693.6</v>
      </c>
      <c r="AU6" s="190">
        <f>IFERROR(__xludf.DUMMYFUNCTION("""COMPUTED_VALUE"""),46824.0)</f>
        <v>46824</v>
      </c>
      <c r="AV6" s="232">
        <f>IFERROR(__xludf.DUMMYFUNCTION("""COMPUTED_VALUE"""),7.2333333333333325)</f>
        <v>7.233333333</v>
      </c>
      <c r="AW6" s="190">
        <f>IFERROR(__xludf.DUMMYFUNCTION("""COMPUTED_VALUE"""),338693.6)</f>
        <v>338693.6</v>
      </c>
      <c r="AX6" s="190">
        <f>IFERROR(__xludf.DUMMYFUNCTION("""COMPUTED_VALUE"""),0.0)</f>
        <v>0</v>
      </c>
      <c r="AY6" s="190">
        <f>IFERROR(__xludf.DUMMYFUNCTION("""COMPUTED_VALUE"""),338693.6)</f>
        <v>338693.6</v>
      </c>
      <c r="AZ6" s="190">
        <f>IFERROR(__xludf.DUMMYFUNCTION("""COMPUTED_VALUE"""),139068.95999999996)</f>
        <v>139068.96</v>
      </c>
      <c r="BA6" s="190">
        <f>IFERROR(__xludf.DUMMYFUNCTION("""COMPUTED_VALUE"""),199624.64)</f>
        <v>199624.64</v>
      </c>
      <c r="BB6" s="180" t="str">
        <f>IFERROR(__xludf.DUMMYFUNCTION("""COMPUTED_VALUE"""),"CD-5907/2017")</f>
        <v>CD-5907/2017</v>
      </c>
      <c r="BC6" s="232">
        <f>IFERROR(__xludf.DUMMYFUNCTION("""COMPUTED_VALUE"""),1.51132022236927E14)</f>
        <v>151132022236927</v>
      </c>
      <c r="BD6" s="180" t="str">
        <f>IFERROR(__xludf.DUMMYFUNCTION("""COMPUTED_VALUE"""),"Não")</f>
        <v>Não</v>
      </c>
      <c r="BE6" s="180" t="str">
        <f>IFERROR(__xludf.DUMMYFUNCTION("""COMPUTED_VALUE"""),"Não")</f>
        <v>Não</v>
      </c>
      <c r="BF6" s="180"/>
      <c r="BG6" s="180"/>
      <c r="BH6" s="233">
        <f>IFERROR(__xludf.DUMMYFUNCTION("""COMPUTED_VALUE"""),300000.0)</f>
        <v>300000</v>
      </c>
      <c r="BI6" s="180" t="str">
        <f>IFERROR(__xludf.DUMMYFUNCTION("""COMPUTED_VALUE"""),"Alta")</f>
        <v>Alta</v>
      </c>
      <c r="BJ6" s="180"/>
      <c r="BK6" s="180" t="str">
        <f>IFERROR(__xludf.DUMMYFUNCTION("""COMPUTED_VALUE"""),"ano")</f>
        <v>ano</v>
      </c>
      <c r="BL6" s="180" t="str">
        <f>IFERROR(__xludf.DUMMYFUNCTION("""COMPUTED_VALUE"""),"Dispensa")</f>
        <v>Dispensa</v>
      </c>
      <c r="BM6" s="180" t="str">
        <f>IFERROR(__xludf.DUMMYFUNCTION("""COMPUTED_VALUE"""),"ORÇAMENTO")</f>
        <v>ORÇAMENTO</v>
      </c>
      <c r="BN6" s="189"/>
      <c r="BO6" s="189"/>
      <c r="BP6" s="190"/>
      <c r="BQ6" s="190"/>
      <c r="BR6" s="190"/>
      <c r="BS6" s="190">
        <f>IFERROR(__xludf.DUMMYFUNCTION("""COMPUTED_VALUE"""),338693.6)</f>
        <v>338693.6</v>
      </c>
      <c r="BT6" s="190"/>
      <c r="BU6" s="180" t="str">
        <f>IFERROR(__xludf.DUMMYFUNCTION("""COMPUTED_VALUE"""),"Comunicação de dados e redes em geral")</f>
        <v>Comunicação de dados e redes em geral</v>
      </c>
      <c r="BV6" s="180" t="str">
        <f>IFERROR(__xludf.DUMMYFUNCTION("""COMPUTED_VALUE"""),"INFRA - Serviços de Telecomunicação de Dados e Voz - Rede-JT")</f>
        <v>INFRA - Serviços de Telecomunicação de Dados e Voz - Rede-JT</v>
      </c>
      <c r="BW6" s="180" t="str">
        <f>IFERROR(__xludf.DUMMYFUNCTION("""COMPUTED_VALUE"""),"01 - REDE JT")</f>
        <v>01 - REDE JT</v>
      </c>
      <c r="BX6" s="180"/>
      <c r="BY6" s="180" t="str">
        <f>IFERROR(__xludf.DUMMYFUNCTION("""COMPUTED_VALUE"""),"Serviços de Telecomunicação de Dados e Voz - Rede-JT")</f>
        <v>Serviços de Telecomunicação de Dados e Voz - Rede-JT</v>
      </c>
      <c r="BZ6" s="189"/>
      <c r="CA6" s="180"/>
      <c r="CB6" s="180" t="str">
        <f>IFERROR(__xludf.DUMMYFUNCTION("""COMPUTED_VALUE"""),"Manutenção e Gestão dos Serviços de Tecnologia da Informação")</f>
        <v>Manutenção e Gestão dos Serviços de Tecnologia da Informação</v>
      </c>
      <c r="CC6" s="180" t="str">
        <f>IFERROR(__xludf.DUMMYFUNCTION("""COMPUTED_VALUE"""),"INFRA - Serviços de Telecomunicação de Dados e Voz - Rede-JT - Serviços de Telecomunicação de Dados e Voz - Rede-JT")</f>
        <v>INFRA - Serviços de Telecomunicação de Dados e Voz - Rede-JT - Serviços de Telecomunicação de Dados e Voz - Rede-JT</v>
      </c>
      <c r="CD6" s="180" t="str">
        <f>IFERROR(__xludf.DUMMYFUNCTION("""COMPUTED_VALUE"""),"SERVIÇOS DE TECNOLOGIA DA INFORMAÇÃO E COMUNICAÇÃO - TIC")</f>
        <v>SERVIÇOS DE TECNOLOGIA DA INFORMAÇÃO E COMUNICAÇÃO - TIC</v>
      </c>
      <c r="CE6" s="180"/>
      <c r="CF6" s="180" t="str">
        <f>IFERROR(__xludf.DUMMYFUNCTION("""COMPUTED_VALUE"""),"COMUNICAÇÃO DE DADOS E REDES EM GERAL")</f>
        <v>COMUNICAÇÃO DE DADOS E REDES EM GERAL</v>
      </c>
      <c r="CG6" s="189"/>
      <c r="CH6" s="189">
        <f>IFERROR(__xludf.DUMMYFUNCTION("""COMPUTED_VALUE"""),45146.0)</f>
        <v>45146</v>
      </c>
      <c r="CI6" s="180" t="str">
        <f>IFERROR(__xludf.DUMMYFUNCTION("""COMPUTED_VALUE"""),"ORÇAMENTO")</f>
        <v>ORÇAMENTO</v>
      </c>
      <c r="CJ6" s="190">
        <f>IFERROR(__xludf.DUMMYFUNCTION("""COMPUTED_VALUE"""),448387.98)</f>
        <v>448387.98</v>
      </c>
      <c r="CK6" s="189">
        <f>IFERROR(__xludf.DUMMYFUNCTION("""COMPUTED_VALUE"""),44659.0)</f>
        <v>44659</v>
      </c>
      <c r="CL6" s="180" t="str">
        <f>IFERROR(__xludf.DUMMYFUNCTION("""COMPUTED_VALUE"""),"DISP_INEX")</f>
        <v>DISP_INEX</v>
      </c>
      <c r="CM6" s="180" t="str">
        <f>IFERROR(__xludf.DUMMYFUNCTION("""COMPUTED_VALUE"""),"x")</f>
        <v>x</v>
      </c>
      <c r="CN6" s="180" t="str">
        <f>IFERROR(__xludf.DUMMYFUNCTION("""COMPUTED_VALUE"""),"CD-5907/2017")</f>
        <v>CD-5907/2017</v>
      </c>
      <c r="CO6" s="234" t="str">
        <f>IFERROR(__xludf.DUMMYFUNCTION("""COMPUTED_VALUE"""),"https://www.trt12.jus.br/proad/pages/fichadoprocesso.xhtml?numeroProtocolo=5907&amp;numeroAno=2017&amp;tab=tabFichaDocumento")</f>
        <v>https://www.trt12.jus.br/proad/pages/fichadoprocesso.xhtml?numeroProtocolo=5907&amp;numeroAno=2017&amp;tab=tabFichaDocumento</v>
      </c>
      <c r="CP6" s="180"/>
      <c r="CQ6" s="180"/>
      <c r="CR6" s="180" t="str">
        <f>IFERROR(__xludf.DUMMYFUNCTION("""COMPUTED_VALUE"""),"GND3")</f>
        <v>GND3</v>
      </c>
      <c r="CS6" s="180"/>
      <c r="CT6" s="180"/>
      <c r="CU6" s="180"/>
      <c r="CV6" s="180"/>
      <c r="CW6" s="180"/>
      <c r="CX6" s="180"/>
      <c r="CY6" s="180"/>
      <c r="CZ6" s="180"/>
      <c r="DA6" s="180"/>
      <c r="DB6" s="180"/>
    </row>
    <row r="7">
      <c r="A7" s="230">
        <f>IFERROR(__xludf.DUMMYFUNCTION("""COMPUTED_VALUE"""),15057.0)</f>
        <v>15057</v>
      </c>
      <c r="B7" s="230">
        <f>IFERROR(__xludf.DUMMYFUNCTION("""COMPUTED_VALUE"""),0.0)</f>
        <v>0</v>
      </c>
      <c r="C7" s="180" t="str">
        <f>IFERROR(__xludf.DUMMYFUNCTION("""COMPUTED_VALUE"""),"INTERNET LINK 2 - Contratação de acesso corporativo à internet")</f>
        <v>INTERNET LINK 2 - Contratação de acesso corporativo à internet</v>
      </c>
      <c r="D7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7" s="180" t="str">
        <f>IFERROR(__xludf.DUMMYFUNCTION("""COMPUTED_VALUE"""),"EJ08 - PROMOVER SERVIÇOS DE INFRAESTRUTURA E SOLUÇÕES CORPORATIVAS")</f>
        <v>EJ08 - PROMOVER SERVIÇOS DE INFRAESTRUTURA E SOLUÇÕES CORPORATIVAS</v>
      </c>
      <c r="F7" s="180" t="str">
        <f>IFERROR(__xludf.DUMMYFUNCTION("""COMPUTED_VALUE"""),"Contratação de serviços para o suporte à infraestrutura tecnológica")</f>
        <v>Contratação de serviços para o suporte à infraestrutura tecnológica</v>
      </c>
      <c r="G7" s="180" t="str">
        <f>IFERROR(__xludf.DUMMYFUNCTION("""COMPUTED_VALUE"""),"(ID PAAC 15057) INTERNET LINK 2 - Contratação de acesso corporativo à internet")</f>
        <v>(ID PAAC 15057) INTERNET LINK 2 - Contratação de acesso corporativo à internet</v>
      </c>
      <c r="H7" s="180" t="str">
        <f>IFERROR(__xludf.DUMMYFUNCTION("""COMPUTED_VALUE"""),"Continuado")</f>
        <v>Continuado</v>
      </c>
      <c r="I7" s="180" t="str">
        <f>IFERROR(__xludf.DUMMYFUNCTION("""COMPUTED_VALUE"""),"SETIC")</f>
        <v>SETIC</v>
      </c>
      <c r="J7" s="180" t="str">
        <f>IFERROR(__xludf.DUMMYFUNCTION("""COMPUTED_VALUE"""),"SETIC")</f>
        <v>SETIC</v>
      </c>
      <c r="K7" s="180" t="str">
        <f>IFERROR(__xludf.DUMMYFUNCTION("""COMPUTED_VALUE"""),"GND3")</f>
        <v>GND3</v>
      </c>
      <c r="L7" s="231">
        <f>IFERROR(__xludf.DUMMYFUNCTION("""COMPUTED_VALUE"""),0.0)</f>
        <v>0</v>
      </c>
      <c r="M7" s="232">
        <f>IFERROR(__xludf.DUMMYFUNCTION("""COMPUTED_VALUE"""),3.3904013E7)</f>
        <v>33904013</v>
      </c>
      <c r="N7" s="232">
        <f>IFERROR(__xludf.DUMMYFUNCTION("""COMPUTED_VALUE"""),0.0)</f>
        <v>0</v>
      </c>
      <c r="O7" s="230">
        <f>IFERROR(__xludf.DUMMYFUNCTION("""COMPUTED_VALUE"""),168105.0)</f>
        <v>168105</v>
      </c>
      <c r="P7" s="180" t="str">
        <f>IFERROR(__xludf.DUMMYFUNCTION("""COMPUTED_VALUE"""),"Não")</f>
        <v>Não</v>
      </c>
      <c r="Q7" s="180" t="str">
        <f>IFERROR(__xludf.DUMMYFUNCTION("""COMPUTED_VALUE"""),"1 - Imprescindível")</f>
        <v>1 - Imprescindível</v>
      </c>
      <c r="R7" s="180" t="str">
        <f>IFERROR(__xludf.DUMMYFUNCTION("""COMPUTED_VALUE"""),"1 - Selecionado")</f>
        <v>1 - Selecionado</v>
      </c>
      <c r="S7" s="180"/>
      <c r="T7" s="180"/>
      <c r="U7" s="180" t="str">
        <f>IFERROR(__xludf.DUMMYFUNCTION("""COMPUTED_VALUE"""),"99 - Orçamentário")</f>
        <v>99 - Orçamentário</v>
      </c>
      <c r="V7" s="180"/>
      <c r="W7" s="180" t="str">
        <f>IFERROR(__xludf.DUMMYFUNCTION("""COMPUTED_VALUE"""),"280/2020")</f>
        <v>280/2020</v>
      </c>
      <c r="X7" s="180" t="str">
        <f>IFERROR(__xludf.DUMMYFUNCTION("""COMPUTED_VALUE"""),"SEINFRA")</f>
        <v>SEINFRA</v>
      </c>
      <c r="Y7" s="180" t="str">
        <f>IFERROR(__xludf.DUMMYFUNCTION("""COMPUTED_VALUE"""),"ORÇAMENTO")</f>
        <v>ORÇAMENTO</v>
      </c>
      <c r="Z7" s="180" t="str">
        <f>IFERROR(__xludf.DUMMYFUNCTION("""COMPUTED_VALUE"""),"PRE")</f>
        <v>PRE</v>
      </c>
      <c r="AA7" s="180" t="str">
        <f>IFERROR(__xludf.DUMMYFUNCTION("""COMPUTED_VALUE"""),"PRE-280/2020")</f>
        <v>PRE-280/2020</v>
      </c>
      <c r="AB7" s="230">
        <f>IFERROR(__xludf.DUMMYFUNCTION("""COMPUTED_VALUE"""),1.479874000012E13)</f>
        <v>14798740000120</v>
      </c>
      <c r="AC7" s="180" t="str">
        <f>IFERROR(__xludf.DUMMYFUNCTION("""COMPUTED_VALUE"""),"ACESSOLINE TELECOMUNICACOES LTDA")</f>
        <v>ACESSOLINE TELECOMUNICACOES LTDA</v>
      </c>
      <c r="AD7" s="189">
        <f>IFERROR(__xludf.DUMMYFUNCTION("""COMPUTED_VALUE"""),44859.0)</f>
        <v>44859</v>
      </c>
      <c r="AE7" s="189">
        <f>IFERROR(__xludf.DUMMYFUNCTION("""COMPUTED_VALUE"""),44859.0)</f>
        <v>44859</v>
      </c>
      <c r="AF7" s="180" t="str">
        <f>IFERROR(__xludf.DUMMYFUNCTION("""COMPUTED_VALUE"""),"Anderson Bastos
Diretor do SEINFRA")</f>
        <v>Anderson Bastos
Diretor do SEINFRA</v>
      </c>
      <c r="AG7" s="233">
        <f>IFERROR(__xludf.DUMMYFUNCTION("""COMPUTED_VALUE"""),1.0)</f>
        <v>1</v>
      </c>
      <c r="AH7" s="190">
        <f>IFERROR(__xludf.DUMMYFUNCTION("""COMPUTED_VALUE"""),9350.0)</f>
        <v>9350</v>
      </c>
      <c r="AI7" s="180" t="str">
        <f>IFERROR(__xludf.DUMMYFUNCTION("""COMPUTED_VALUE"""),"Não")</f>
        <v>Não</v>
      </c>
      <c r="AJ7" s="190"/>
      <c r="AK7" s="180" t="str">
        <f>IFERROR(__xludf.DUMMYFUNCTION("""COMPUTED_VALUE"""),"Anderson Bastos")</f>
        <v>Anderson Bastos</v>
      </c>
      <c r="AL7" s="180"/>
      <c r="AM7" s="180"/>
      <c r="AN7" s="190">
        <f>IFERROR(__xludf.DUMMYFUNCTION("""COMPUTED_VALUE"""),0.0)</f>
        <v>0</v>
      </c>
      <c r="AO7" s="190">
        <f>IFERROR(__xludf.DUMMYFUNCTION("""COMPUTED_VALUE"""),9350.0)</f>
        <v>9350</v>
      </c>
      <c r="AP7" s="180" t="str">
        <f>IFERROR(__xludf.DUMMYFUNCTION("""COMPUTED_VALUE"""),"2022NE000110")</f>
        <v>2022NE000110</v>
      </c>
      <c r="AQ7" s="190">
        <f>IFERROR(__xludf.DUMMYFUNCTION("""COMPUTED_VALUE"""),12835.0)</f>
        <v>12835</v>
      </c>
      <c r="AR7" s="190">
        <f>IFERROR(__xludf.DUMMYFUNCTION("""COMPUTED_VALUE"""),9350.0)</f>
        <v>9350</v>
      </c>
      <c r="AS7" s="180"/>
      <c r="AT7" s="190">
        <f>IFERROR(__xludf.DUMMYFUNCTION("""COMPUTED_VALUE"""),9350.0)</f>
        <v>9350</v>
      </c>
      <c r="AU7" s="190">
        <f>IFERROR(__xludf.DUMMYFUNCTION("""COMPUTED_VALUE"""),935.0)</f>
        <v>935</v>
      </c>
      <c r="AV7" s="232">
        <f>IFERROR(__xludf.DUMMYFUNCTION("""COMPUTED_VALUE"""),10.0)</f>
        <v>10</v>
      </c>
      <c r="AW7" s="190">
        <f>IFERROR(__xludf.DUMMYFUNCTION("""COMPUTED_VALUE"""),9350.0)</f>
        <v>9350</v>
      </c>
      <c r="AX7" s="190">
        <f>IFERROR(__xludf.DUMMYFUNCTION("""COMPUTED_VALUE"""),0.0)</f>
        <v>0</v>
      </c>
      <c r="AY7" s="190">
        <f>IFERROR(__xludf.DUMMYFUNCTION("""COMPUTED_VALUE"""),9350.0)</f>
        <v>9350</v>
      </c>
      <c r="AZ7" s="190">
        <f>IFERROR(__xludf.DUMMYFUNCTION("""COMPUTED_VALUE"""),2805.0)</f>
        <v>2805</v>
      </c>
      <c r="BA7" s="190">
        <f>IFERROR(__xludf.DUMMYFUNCTION("""COMPUTED_VALUE"""),6545.0)</f>
        <v>6545</v>
      </c>
      <c r="BB7" s="180" t="str">
        <f>IFERROR(__xludf.DUMMYFUNCTION("""COMPUTED_VALUE"""),"PRE-280/2020")</f>
        <v>PRE-280/2020</v>
      </c>
      <c r="BC7" s="232">
        <f>IFERROR(__xludf.DUMMYFUNCTION("""COMPUTED_VALUE"""),1.51132022236928E14)</f>
        <v>151132022236928</v>
      </c>
      <c r="BD7" s="180" t="str">
        <f>IFERROR(__xludf.DUMMYFUNCTION("""COMPUTED_VALUE"""),"Não")</f>
        <v>Não</v>
      </c>
      <c r="BE7" s="180" t="str">
        <f>IFERROR(__xludf.DUMMYFUNCTION("""COMPUTED_VALUE"""),"Sim")</f>
        <v>Sim</v>
      </c>
      <c r="BF7" s="180"/>
      <c r="BG7" s="180"/>
      <c r="BH7" s="233">
        <f>IFERROR(__xludf.DUMMYFUNCTION("""COMPUTED_VALUE"""),300000.0)</f>
        <v>300000</v>
      </c>
      <c r="BI7" s="180" t="str">
        <f>IFERROR(__xludf.DUMMYFUNCTION("""COMPUTED_VALUE"""),"Alta")</f>
        <v>Alta</v>
      </c>
      <c r="BJ7" s="180"/>
      <c r="BK7" s="180" t="str">
        <f>IFERROR(__xludf.DUMMYFUNCTION("""COMPUTED_VALUE"""),"ano")</f>
        <v>ano</v>
      </c>
      <c r="BL7" s="180" t="str">
        <f>IFERROR(__xludf.DUMMYFUNCTION("""COMPUTED_VALUE"""),"P. Eletrônico")</f>
        <v>P. Eletrônico</v>
      </c>
      <c r="BM7" s="180" t="str">
        <f>IFERROR(__xludf.DUMMYFUNCTION("""COMPUTED_VALUE"""),"ORÇAMENTO")</f>
        <v>ORÇAMENTO</v>
      </c>
      <c r="BN7" s="189"/>
      <c r="BO7" s="189"/>
      <c r="BP7" s="190"/>
      <c r="BQ7" s="190"/>
      <c r="BR7" s="190"/>
      <c r="BS7" s="190">
        <f>IFERROR(__xludf.DUMMYFUNCTION("""COMPUTED_VALUE"""),9350.0)</f>
        <v>9350</v>
      </c>
      <c r="BT7" s="190"/>
      <c r="BU7" s="180" t="str">
        <f>IFERROR(__xludf.DUMMYFUNCTION("""COMPUTED_VALUE"""),"Comunicação de dados e redes em geral")</f>
        <v>Comunicação de dados e redes em geral</v>
      </c>
      <c r="BV7" s="180"/>
      <c r="BW7" s="180"/>
      <c r="BX7" s="180"/>
      <c r="BY7" s="180"/>
      <c r="BZ7" s="189"/>
      <c r="CA7" s="180"/>
      <c r="CB7" s="180" t="str">
        <f>IFERROR(__xludf.DUMMYFUNCTION("""COMPUTED_VALUE"""),"Apreciação de Causas na Justiça do Trabalho")</f>
        <v>Apreciação de Causas na Justiça do Trabalho</v>
      </c>
      <c r="CC7" s="180" t="str">
        <f>IFERROR(__xludf.DUMMYFUNCTION("""COMPUTED_VALUE""")," - ")</f>
        <v> - </v>
      </c>
      <c r="CD7" s="180" t="str">
        <f>IFERROR(__xludf.DUMMYFUNCTION("""COMPUTED_VALUE"""),"SERVIÇOS DE TECNOLOGIA DA INFORMAÇÃO E COMUNICAÇÃO - TIC")</f>
        <v>SERVIÇOS DE TECNOLOGIA DA INFORMAÇÃO E COMUNICAÇÃO - TIC</v>
      </c>
      <c r="CE7" s="180"/>
      <c r="CF7" s="180" t="str">
        <f>IFERROR(__xludf.DUMMYFUNCTION("""COMPUTED_VALUE"""),"COMUNICAÇÃO DE DADOS E REDES EM GERAL")</f>
        <v>COMUNICAÇÃO DE DADOS E REDES EM GERAL</v>
      </c>
      <c r="CG7" s="189"/>
      <c r="CH7" s="189">
        <f>IFERROR(__xludf.DUMMYFUNCTION("""COMPUTED_VALUE"""),45224.0)</f>
        <v>45224</v>
      </c>
      <c r="CI7" s="180" t="str">
        <f>IFERROR(__xludf.DUMMYFUNCTION("""COMPUTED_VALUE"""),"ORÇAMENTO")</f>
        <v>ORÇAMENTO</v>
      </c>
      <c r="CJ7" s="190">
        <f>IFERROR(__xludf.DUMMYFUNCTION("""COMPUTED_VALUE"""),12223.0)</f>
        <v>12223</v>
      </c>
      <c r="CK7" s="189">
        <f>IFERROR(__xludf.DUMMYFUNCTION("""COMPUTED_VALUE"""),44859.0)</f>
        <v>44859</v>
      </c>
      <c r="CL7" s="180" t="str">
        <f>IFERROR(__xludf.DUMMYFUNCTION("""COMPUTED_VALUE"""),"PROR")</f>
        <v>PROR</v>
      </c>
      <c r="CM7" s="180" t="str">
        <f>IFERROR(__xludf.DUMMYFUNCTION("""COMPUTED_VALUE"""),"x")</f>
        <v>x</v>
      </c>
      <c r="CN7" s="180" t="str">
        <f>IFERROR(__xludf.DUMMYFUNCTION("""COMPUTED_VALUE"""),"PRE-280/2020")</f>
        <v>PRE-280/2020</v>
      </c>
      <c r="CO7" s="180"/>
      <c r="CP7" s="180"/>
      <c r="CQ7" s="180"/>
      <c r="CR7" s="180" t="str">
        <f>IFERROR(__xludf.DUMMYFUNCTION("""COMPUTED_VALUE"""),"GND3")</f>
        <v>GND3</v>
      </c>
      <c r="CS7" s="180"/>
      <c r="CT7" s="180"/>
      <c r="CU7" s="180"/>
      <c r="CV7" s="180"/>
      <c r="CW7" s="180"/>
      <c r="CX7" s="180"/>
      <c r="CY7" s="180"/>
      <c r="CZ7" s="180"/>
      <c r="DA7" s="180"/>
      <c r="DB7" s="180"/>
    </row>
    <row r="8">
      <c r="A8" s="230">
        <f>IFERROR(__xludf.DUMMYFUNCTION("""COMPUTED_VALUE"""),15060.0)</f>
        <v>15060</v>
      </c>
      <c r="B8" s="230">
        <f>IFERROR(__xludf.DUMMYFUNCTION("""COMPUTED_VALUE"""),15060.0)</f>
        <v>15060</v>
      </c>
      <c r="C8" s="180" t="str">
        <f>IFERROR(__xludf.DUMMYFUNCTION("""COMPUTED_VALUE"""),"CENTRAL DE SERVIÇOS - Contratação de serviços de suporte de TIC em 1º e 2º níveis - 2019, para fornecimento de técnicos terceirizados para atendimento aos chamados de TIC, no Estado.")</f>
        <v>CENTRAL DE SERVIÇOS - Contratação de serviços de suporte de TIC em 1º e 2º níveis - 2019, para fornecimento de técnicos terceirizados para atendimento aos chamados de TIC, no Estado.</v>
      </c>
      <c r="D8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8" s="180" t="str">
        <f>IFERROR(__xludf.DUMMYFUNCTION("""COMPUTED_VALUE"""),"EJ05 - APERFEIÇOAR A GOVERNANÇA E A GESTÃO")</f>
        <v>EJ05 - APERFEIÇOAR A GOVERNANÇA E A GESTÃO</v>
      </c>
      <c r="F8" s="180" t="str">
        <f>IFERROR(__xludf.DUMMYFUNCTION("""COMPUTED_VALUE"""),"Contratação de serviços de suporte à microinformática")</f>
        <v>Contratação de serviços de suporte à microinformática</v>
      </c>
      <c r="G8" s="180" t="str">
        <f>IFERROR(__xludf.DUMMYFUNCTION("""COMPUTED_VALUE"""),"(ID PAAC 15060) CENTRAL DE SERVIÇOS - Contratação de serviços de suporte de TIC em 1º e 2º níveis - 2019, para fornecimento de técnicos terceirizados para atendimento aos chamados de TIC, no Estado.")</f>
        <v>(ID PAAC 15060) CENTRAL DE SERVIÇOS - Contratação de serviços de suporte de TIC em 1º e 2º níveis - 2019, para fornecimento de técnicos terceirizados para atendimento aos chamados de TIC, no Estado.</v>
      </c>
      <c r="H8" s="180" t="str">
        <f>IFERROR(__xludf.DUMMYFUNCTION("""COMPUTED_VALUE"""),"Continuado")</f>
        <v>Continuado</v>
      </c>
      <c r="I8" s="180" t="str">
        <f>IFERROR(__xludf.DUMMYFUNCTION("""COMPUTED_VALUE"""),"SETIC")</f>
        <v>SETIC</v>
      </c>
      <c r="J8" s="180" t="str">
        <f>IFERROR(__xludf.DUMMYFUNCTION("""COMPUTED_VALUE"""),"SETIC")</f>
        <v>SETIC</v>
      </c>
      <c r="K8" s="180" t="str">
        <f>IFERROR(__xludf.DUMMYFUNCTION("""COMPUTED_VALUE"""),"GND3")</f>
        <v>GND3</v>
      </c>
      <c r="L8" s="231">
        <f>IFERROR(__xludf.DUMMYFUNCTION("""COMPUTED_VALUE"""),0.0)</f>
        <v>0</v>
      </c>
      <c r="M8" s="232">
        <f>IFERROR(__xludf.DUMMYFUNCTION("""COMPUTED_VALUE"""),3.390401E7)</f>
        <v>33904010</v>
      </c>
      <c r="N8" s="232">
        <f>IFERROR(__xludf.DUMMYFUNCTION("""COMPUTED_VALUE"""),0.0)</f>
        <v>0</v>
      </c>
      <c r="O8" s="230">
        <f>IFERROR(__xludf.DUMMYFUNCTION("""COMPUTED_VALUE"""),168105.0)</f>
        <v>168105</v>
      </c>
      <c r="P8" s="180" t="str">
        <f>IFERROR(__xludf.DUMMYFUNCTION("""COMPUTED_VALUE"""),"Não")</f>
        <v>Não</v>
      </c>
      <c r="Q8" s="180" t="str">
        <f>IFERROR(__xludf.DUMMYFUNCTION("""COMPUTED_VALUE"""),"1 - Imprescindível")</f>
        <v>1 - Imprescindível</v>
      </c>
      <c r="R8" s="180" t="str">
        <f>IFERROR(__xludf.DUMMYFUNCTION("""COMPUTED_VALUE"""),"1 - Selecionado")</f>
        <v>1 - Selecionado</v>
      </c>
      <c r="S8" s="180"/>
      <c r="T8" s="180"/>
      <c r="U8" s="180" t="str">
        <f>IFERROR(__xludf.DUMMYFUNCTION("""COMPUTED_VALUE"""),"07 - Concluída")</f>
        <v>07 - Concluída</v>
      </c>
      <c r="V8" s="180" t="str">
        <f>IFERROR(__xludf.DUMMYFUNCTION("""COMPUTED_VALUE"""),"1293/2021")</f>
        <v>1293/2021</v>
      </c>
      <c r="W8" s="180" t="str">
        <f>IFERROR(__xludf.DUMMYFUNCTION("""COMPUTED_VALUE"""),"3995/2019")</f>
        <v>3995/2019</v>
      </c>
      <c r="X8" s="180" t="str">
        <f>IFERROR(__xludf.DUMMYFUNCTION("""COMPUTED_VALUE"""),"SESUP")</f>
        <v>SESUP</v>
      </c>
      <c r="Y8" s="180" t="str">
        <f>IFERROR(__xludf.DUMMYFUNCTION("""COMPUTED_VALUE"""),"PROR")</f>
        <v>PROR</v>
      </c>
      <c r="Z8" s="180" t="str">
        <f>IFERROR(__xludf.DUMMYFUNCTION("""COMPUTED_VALUE"""),"PRE")</f>
        <v>PRE</v>
      </c>
      <c r="AA8" s="180" t="str">
        <f>IFERROR(__xludf.DUMMYFUNCTION("""COMPUTED_VALUE"""),"PRE-3995/2019")</f>
        <v>PRE-3995/2019</v>
      </c>
      <c r="AB8" s="230">
        <f>IFERROR(__xludf.DUMMYFUNCTION("""COMPUTED_VALUE"""),6.556008000115E12)</f>
        <v>6556008000115</v>
      </c>
      <c r="AC8" s="180" t="str">
        <f>IFERROR(__xludf.DUMMYFUNCTION("""COMPUTED_VALUE"""),"C GALATI EIRELI")</f>
        <v>C GALATI EIRELI</v>
      </c>
      <c r="AD8" s="189">
        <f>IFERROR(__xludf.DUMMYFUNCTION("""COMPUTED_VALUE"""),44529.0)</f>
        <v>44529</v>
      </c>
      <c r="AE8" s="189">
        <f>IFERROR(__xludf.DUMMYFUNCTION("""COMPUTED_VALUE"""),44619.0)</f>
        <v>44619</v>
      </c>
      <c r="AF8" s="180" t="str">
        <f>IFERROR(__xludf.DUMMYFUNCTION("""COMPUTED_VALUE"""),"Márcio César Jacinto
Diretor do SESUP - Substituto")</f>
        <v>Márcio César Jacinto
Diretor do SESUP - Substituto</v>
      </c>
      <c r="AG8" s="233">
        <f>IFERROR(__xludf.DUMMYFUNCTION("""COMPUTED_VALUE"""),1.0)</f>
        <v>1</v>
      </c>
      <c r="AH8" s="190">
        <f>IFERROR(__xludf.DUMMYFUNCTION("""COMPUTED_VALUE"""),891880.8)</f>
        <v>891880.8</v>
      </c>
      <c r="AI8" s="180" t="str">
        <f>IFERROR(__xludf.DUMMYFUNCTION("""COMPUTED_VALUE"""),"Não")</f>
        <v>Não</v>
      </c>
      <c r="AJ8" s="190"/>
      <c r="AK8" s="180" t="str">
        <f>IFERROR(__xludf.DUMMYFUNCTION("""COMPUTED_VALUE"""),"Cláudio Zamparetti")</f>
        <v>Cláudio Zamparetti</v>
      </c>
      <c r="AL8" s="180"/>
      <c r="AM8" s="180"/>
      <c r="AN8" s="190">
        <f>IFERROR(__xludf.DUMMYFUNCTION("""COMPUTED_VALUE"""),34841.80000000005)</f>
        <v>34841.8</v>
      </c>
      <c r="AO8" s="190">
        <f>IFERROR(__xludf.DUMMYFUNCTION("""COMPUTED_VALUE"""),857039.0)</f>
        <v>857039</v>
      </c>
      <c r="AP8" s="180" t="str">
        <f>IFERROR(__xludf.DUMMYFUNCTION("""COMPUTED_VALUE"""),"2022NE000128")</f>
        <v>2022NE000128</v>
      </c>
      <c r="AQ8" s="190">
        <f>IFERROR(__xludf.DUMMYFUNCTION("""COMPUTED_VALUE"""),857039.0)</f>
        <v>857039</v>
      </c>
      <c r="AR8" s="190">
        <f>IFERROR(__xludf.DUMMYFUNCTION("""COMPUTED_VALUE"""),891880.8)</f>
        <v>891880.8</v>
      </c>
      <c r="AS8" s="180" t="str">
        <f>IFERROR(__xludf.DUMMYFUNCTION("""COMPUTED_VALUE"""),"2021NE000159")</f>
        <v>2021NE000159</v>
      </c>
      <c r="AT8" s="190">
        <f>IFERROR(__xludf.DUMMYFUNCTION("""COMPUTED_VALUE"""),891880.8)</f>
        <v>891880.8</v>
      </c>
      <c r="AU8" s="190">
        <f>IFERROR(__xludf.DUMMYFUNCTION("""COMPUTED_VALUE"""),66809.71)</f>
        <v>66809.71</v>
      </c>
      <c r="AV8" s="232">
        <f>IFERROR(__xludf.DUMMYFUNCTION("""COMPUTED_VALUE"""),12.0)</f>
        <v>12</v>
      </c>
      <c r="AW8" s="190">
        <f>IFERROR(__xludf.DUMMYFUNCTION("""COMPUTED_VALUE"""),801716.52)</f>
        <v>801716.52</v>
      </c>
      <c r="AX8" s="190">
        <f>IFERROR(__xludf.DUMMYFUNCTION("""COMPUTED_VALUE"""),0.0)</f>
        <v>0</v>
      </c>
      <c r="AY8" s="190">
        <f>IFERROR(__xludf.DUMMYFUNCTION("""COMPUTED_VALUE"""),801716.52)</f>
        <v>801716.52</v>
      </c>
      <c r="AZ8" s="190">
        <f>IFERROR(__xludf.DUMMYFUNCTION("""COMPUTED_VALUE"""),148646.80000000005)</f>
        <v>148646.8</v>
      </c>
      <c r="BA8" s="190">
        <f>IFERROR(__xludf.DUMMYFUNCTION("""COMPUTED_VALUE"""),653069.72)</f>
        <v>653069.72</v>
      </c>
      <c r="BB8" s="180" t="str">
        <f>IFERROR(__xludf.DUMMYFUNCTION("""COMPUTED_VALUE"""),"PRE-3995/2019")</f>
        <v>PRE-3995/2019</v>
      </c>
      <c r="BC8" s="232">
        <f>IFERROR(__xludf.DUMMYFUNCTION("""COMPUTED_VALUE"""),1.51132022236916E14)</f>
        <v>151132022236916</v>
      </c>
      <c r="BD8" s="180" t="str">
        <f>IFERROR(__xludf.DUMMYFUNCTION("""COMPUTED_VALUE"""),"Sim")</f>
        <v>Sim</v>
      </c>
      <c r="BE8" s="180" t="str">
        <f>IFERROR(__xludf.DUMMYFUNCTION("""COMPUTED_VALUE"""),"Sim")</f>
        <v>Sim</v>
      </c>
      <c r="BF8" s="180"/>
      <c r="BG8" s="180"/>
      <c r="BH8" s="233">
        <f>IFERROR(__xludf.DUMMYFUNCTION("""COMPUTED_VALUE"""),300000.0)</f>
        <v>300000</v>
      </c>
      <c r="BI8" s="180" t="str">
        <f>IFERROR(__xludf.DUMMYFUNCTION("""COMPUTED_VALUE"""),"Alta")</f>
        <v>Alta</v>
      </c>
      <c r="BJ8" s="180"/>
      <c r="BK8" s="180" t="str">
        <f>IFERROR(__xludf.DUMMYFUNCTION("""COMPUTED_VALUE"""),"ano")</f>
        <v>ano</v>
      </c>
      <c r="BL8" s="180" t="str">
        <f>IFERROR(__xludf.DUMMYFUNCTION("""COMPUTED_VALUE"""),"P. Eletrônico")</f>
        <v>P. Eletrônico</v>
      </c>
      <c r="BM8" s="180" t="str">
        <f>IFERROR(__xludf.DUMMYFUNCTION("""COMPUTED_VALUE"""),"PROR")</f>
        <v>PROR</v>
      </c>
      <c r="BN8" s="189">
        <f>IFERROR(__xludf.DUMMYFUNCTION("""COMPUTED_VALUE"""),44529.0)</f>
        <v>44529</v>
      </c>
      <c r="BO8" s="189">
        <f>IFERROR(__xludf.DUMMYFUNCTION("""COMPUTED_VALUE"""),44559.0)</f>
        <v>44559</v>
      </c>
      <c r="BP8" s="190"/>
      <c r="BQ8" s="190">
        <f>IFERROR(__xludf.DUMMYFUNCTION("""COMPUTED_VALUE"""),801716.52)</f>
        <v>801716.52</v>
      </c>
      <c r="BR8" s="190">
        <f>IFERROR(__xludf.DUMMYFUNCTION("""COMPUTED_VALUE"""),801716.52)</f>
        <v>801716.52</v>
      </c>
      <c r="BS8" s="190">
        <f>IFERROR(__xludf.DUMMYFUNCTION("""COMPUTED_VALUE"""),891880.8)</f>
        <v>891880.8</v>
      </c>
      <c r="BT8" s="190">
        <f>IFERROR(__xludf.DUMMYFUNCTION("""COMPUTED_VALUE"""),891880.8)</f>
        <v>891880.8</v>
      </c>
      <c r="BU8" s="180" t="str">
        <f>IFERROR(__xludf.DUMMYFUNCTION("""COMPUTED_VALUE"""),"Suporte a usuários de TIC")</f>
        <v>Suporte a usuários de TIC</v>
      </c>
      <c r="BV8" s="180"/>
      <c r="BW8" s="180"/>
      <c r="BX8" s="180"/>
      <c r="BY8" s="180"/>
      <c r="BZ8" s="189"/>
      <c r="CA8" s="180"/>
      <c r="CB8" s="180" t="str">
        <f>IFERROR(__xludf.DUMMYFUNCTION("""COMPUTED_VALUE"""),"Apreciação de Causas na Justiça do Trabalho")</f>
        <v>Apreciação de Causas na Justiça do Trabalho</v>
      </c>
      <c r="CC8" s="180" t="str">
        <f>IFERROR(__xludf.DUMMYFUNCTION("""COMPUTED_VALUE""")," - ")</f>
        <v> - </v>
      </c>
      <c r="CD8" s="180" t="str">
        <f>IFERROR(__xludf.DUMMYFUNCTION("""COMPUTED_VALUE"""),"SERVIÇOS DE TECNOLOGIA DA INFORMAÇÃO E COMUNICAÇÃO - TIC")</f>
        <v>SERVIÇOS DE TECNOLOGIA DA INFORMAÇÃO E COMUNICAÇÃO - TIC</v>
      </c>
      <c r="CE8" s="180"/>
      <c r="CF8" s="180" t="str">
        <f>IFERROR(__xludf.DUMMYFUNCTION("""COMPUTED_VALUE"""),"SUPORTE A USUÁRIOS DE TIC")</f>
        <v>SUPORTE A USUÁRIOS DE TIC</v>
      </c>
      <c r="CG8" s="189"/>
      <c r="CH8" s="189">
        <f>IFERROR(__xludf.DUMMYFUNCTION("""COMPUTED_VALUE"""),44984.0)</f>
        <v>44984</v>
      </c>
      <c r="CI8" s="180" t="str">
        <f>IFERROR(__xludf.DUMMYFUNCTION("""COMPUTED_VALUE"""),"PROR")</f>
        <v>PROR</v>
      </c>
      <c r="CJ8" s="190">
        <f>IFERROR(__xludf.DUMMYFUNCTION("""COMPUTED_VALUE"""),816226.68)</f>
        <v>816226.68</v>
      </c>
      <c r="CK8" s="189">
        <f>IFERROR(__xludf.DUMMYFUNCTION("""COMPUTED_VALUE"""),44984.0)</f>
        <v>44984</v>
      </c>
      <c r="CL8" s="180" t="str">
        <f>IFERROR(__xludf.DUMMYFUNCTION("""COMPUTED_VALUE"""),"PROR")</f>
        <v>PROR</v>
      </c>
      <c r="CM8" s="180" t="str">
        <f>IFERROR(__xludf.DUMMYFUNCTION("""COMPUTED_VALUE"""),"x")</f>
        <v>x</v>
      </c>
      <c r="CN8" s="180" t="str">
        <f>IFERROR(__xludf.DUMMYFUNCTION("""COMPUTED_VALUE"""),"PRE-3995/2019")</f>
        <v>PRE-3995/2019</v>
      </c>
      <c r="CO8" s="234" t="str">
        <f>IFERROR(__xludf.DUMMYFUNCTION("""COMPUTED_VALUE"""),"https://www.trt12.jus.br/proad/pages/fichadoprocesso.xhtml?numeroProtocolo=3995&amp;numeroAno=2019&amp;tab=tabFichaDocumento")</f>
        <v>https://www.trt12.jus.br/proad/pages/fichadoprocesso.xhtml?numeroProtocolo=3995&amp;numeroAno=2019&amp;tab=tabFichaDocumento</v>
      </c>
      <c r="CP8" s="180"/>
      <c r="CQ8" s="180"/>
      <c r="CR8" s="180" t="str">
        <f>IFERROR(__xludf.DUMMYFUNCTION("""COMPUTED_VALUE"""),"GND3")</f>
        <v>GND3</v>
      </c>
      <c r="CS8" s="180"/>
      <c r="CT8" s="180"/>
      <c r="CU8" s="180"/>
      <c r="CV8" s="180"/>
      <c r="CW8" s="180"/>
      <c r="CX8" s="180"/>
      <c r="CY8" s="180"/>
      <c r="CZ8" s="180"/>
      <c r="DA8" s="180"/>
      <c r="DB8" s="180"/>
    </row>
    <row r="9">
      <c r="A9" s="230">
        <f>IFERROR(__xludf.DUMMYFUNCTION("""COMPUTED_VALUE"""),15066.0)</f>
        <v>15066</v>
      </c>
      <c r="B9" s="230">
        <f>IFERROR(__xludf.DUMMYFUNCTION("""COMPUTED_VALUE"""),0.0)</f>
        <v>0</v>
      </c>
      <c r="C9" s="180" t="str">
        <f>IFERROR(__xludf.DUMMYFUNCTION("""COMPUTED_VALUE"""),"INTERNET MOVEL - Contratação de linhas de internet móvel. O quantitativo atual é de 151 e deve ser confirmado pelos estudos da contração (Ato CSJT 43/2013).")</f>
        <v>INTERNET MOVEL - Contratação de linhas de internet móvel. O quantitativo atual é de 151 e deve ser confirmado pelos estudos da contração (Ato CSJT 43/2013).</v>
      </c>
      <c r="D9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9" s="180" t="str">
        <f>IFERROR(__xludf.DUMMYFUNCTION("""COMPUTED_VALUE"""),"EJ04 - BUSCAR A INOVAÇÃO DE FORMA COLABORATIVA")</f>
        <v>EJ04 - BUSCAR A INOVAÇÃO DE FORMA COLABORATIVA</v>
      </c>
      <c r="F9" s="180" t="str">
        <f>IFERROR(__xludf.DUMMYFUNCTION("""COMPUTED_VALUE"""),"Contratação de serviços de suporte à microinformática")</f>
        <v>Contratação de serviços de suporte à microinformática</v>
      </c>
      <c r="G9" s="180" t="str">
        <f>IFERROR(__xludf.DUMMYFUNCTION("""COMPUTED_VALUE"""),"(ID PAAC 15066) INTERNET MOVEL - Contratação de linhas de internet móvel. O quantitativo atual é de 151 e deve ser confirmado pelos estudos da contração (Ato CSJT 43/2013).")</f>
        <v>(ID PAAC 15066) INTERNET MOVEL - Contratação de linhas de internet móvel. O quantitativo atual é de 151 e deve ser confirmado pelos estudos da contração (Ato CSJT 43/2013).</v>
      </c>
      <c r="H9" s="180" t="str">
        <f>IFERROR(__xludf.DUMMYFUNCTION("""COMPUTED_VALUE"""),"Continuado")</f>
        <v>Continuado</v>
      </c>
      <c r="I9" s="180" t="str">
        <f>IFERROR(__xludf.DUMMYFUNCTION("""COMPUTED_VALUE"""),"SETIC")</f>
        <v>SETIC</v>
      </c>
      <c r="J9" s="180" t="str">
        <f>IFERROR(__xludf.DUMMYFUNCTION("""COMPUTED_VALUE"""),"SETIC")</f>
        <v>SETIC</v>
      </c>
      <c r="K9" s="180" t="str">
        <f>IFERROR(__xludf.DUMMYFUNCTION("""COMPUTED_VALUE"""),"GND3")</f>
        <v>GND3</v>
      </c>
      <c r="L9" s="231">
        <f>IFERROR(__xludf.DUMMYFUNCTION("""COMPUTED_VALUE"""),0.0)</f>
        <v>0</v>
      </c>
      <c r="M9" s="232">
        <f>IFERROR(__xludf.DUMMYFUNCTION("""COMPUTED_VALUE"""),3.3904014E7)</f>
        <v>33904014</v>
      </c>
      <c r="N9" s="232">
        <f>IFERROR(__xludf.DUMMYFUNCTION("""COMPUTED_VALUE"""),0.0)</f>
        <v>0</v>
      </c>
      <c r="O9" s="230">
        <f>IFERROR(__xludf.DUMMYFUNCTION("""COMPUTED_VALUE"""),168105.0)</f>
        <v>168105</v>
      </c>
      <c r="P9" s="180" t="str">
        <f>IFERROR(__xludf.DUMMYFUNCTION("""COMPUTED_VALUE"""),"Não")</f>
        <v>Não</v>
      </c>
      <c r="Q9" s="180" t="str">
        <f>IFERROR(__xludf.DUMMYFUNCTION("""COMPUTED_VALUE"""),"2 - Importante")</f>
        <v>2 - Importante</v>
      </c>
      <c r="R9" s="180" t="str">
        <f>IFERROR(__xludf.DUMMYFUNCTION("""COMPUTED_VALUE"""),"1 - Selecionado")</f>
        <v>1 - Selecionado</v>
      </c>
      <c r="S9" s="180"/>
      <c r="T9" s="180"/>
      <c r="U9" s="180" t="str">
        <f>IFERROR(__xludf.DUMMYFUNCTION("""COMPUTED_VALUE"""),"07 - Concluída")</f>
        <v>07 - Concluída</v>
      </c>
      <c r="V9" s="180" t="str">
        <f>IFERROR(__xludf.DUMMYFUNCTION("""COMPUTED_VALUE"""),"1287/2021")</f>
        <v>1287/2021</v>
      </c>
      <c r="W9" s="180" t="str">
        <f>IFERROR(__xludf.DUMMYFUNCTION("""COMPUTED_VALUE"""),"8560/2018")</f>
        <v>8560/2018</v>
      </c>
      <c r="X9" s="180" t="str">
        <f>IFERROR(__xludf.DUMMYFUNCTION("""COMPUTED_VALUE"""),"SESUP")</f>
        <v>SESUP</v>
      </c>
      <c r="Y9" s="180" t="str">
        <f>IFERROR(__xludf.DUMMYFUNCTION("""COMPUTED_VALUE"""),"PROR")</f>
        <v>PROR</v>
      </c>
      <c r="Z9" s="180" t="str">
        <f>IFERROR(__xludf.DUMMYFUNCTION("""COMPUTED_VALUE"""),"PRE")</f>
        <v>PRE</v>
      </c>
      <c r="AA9" s="180" t="str">
        <f>IFERROR(__xludf.DUMMYFUNCTION("""COMPUTED_VALUE"""),"PRE-8560/2018")</f>
        <v>PRE-8560/2018</v>
      </c>
      <c r="AB9" s="230">
        <f>IFERROR(__xludf.DUMMYFUNCTION("""COMPUTED_VALUE"""),4.0432544000147E13)</f>
        <v>40432544000147</v>
      </c>
      <c r="AC9" s="180" t="str">
        <f>IFERROR(__xludf.DUMMYFUNCTION("""COMPUTED_VALUE"""),"CLARO S.A.")</f>
        <v>CLARO S.A.</v>
      </c>
      <c r="AD9" s="189">
        <f>IFERROR(__xludf.DUMMYFUNCTION("""COMPUTED_VALUE"""),44510.0)</f>
        <v>44510</v>
      </c>
      <c r="AE9" s="189">
        <f>IFERROR(__xludf.DUMMYFUNCTION("""COMPUTED_VALUE"""),44600.0)</f>
        <v>44600</v>
      </c>
      <c r="AF9" s="180" t="str">
        <f>IFERROR(__xludf.DUMMYFUNCTION("""COMPUTED_VALUE"""),"Márcio César Jacinto
Diretor do SESUP - Substituto")</f>
        <v>Márcio César Jacinto
Diretor do SESUP - Substituto</v>
      </c>
      <c r="AG9" s="233">
        <f>IFERROR(__xludf.DUMMYFUNCTION("""COMPUTED_VALUE"""),151.0)</f>
        <v>151</v>
      </c>
      <c r="AH9" s="190">
        <f>IFERROR(__xludf.DUMMYFUNCTION("""COMPUTED_VALUE"""),274.8)</f>
        <v>274.8</v>
      </c>
      <c r="AI9" s="180" t="str">
        <f>IFERROR(__xludf.DUMMYFUNCTION("""COMPUTED_VALUE"""),"Não")</f>
        <v>Não</v>
      </c>
      <c r="AJ9" s="190"/>
      <c r="AK9" s="180" t="str">
        <f>IFERROR(__xludf.DUMMYFUNCTION("""COMPUTED_VALUE"""),"Pedro Paulo da Silva")</f>
        <v>Pedro Paulo da Silva</v>
      </c>
      <c r="AL9" s="180"/>
      <c r="AM9" s="180"/>
      <c r="AN9" s="190">
        <f>IFERROR(__xludf.DUMMYFUNCTION("""COMPUTED_VALUE"""),-7176.199999999997)</f>
        <v>-7176.2</v>
      </c>
      <c r="AO9" s="190">
        <f>IFERROR(__xludf.DUMMYFUNCTION("""COMPUTED_VALUE"""),48671.0)</f>
        <v>48671</v>
      </c>
      <c r="AP9" s="180" t="str">
        <f>IFERROR(__xludf.DUMMYFUNCTION("""COMPUTED_VALUE"""),"2022NE000098")</f>
        <v>2022NE000098</v>
      </c>
      <c r="AQ9" s="190">
        <f>IFERROR(__xludf.DUMMYFUNCTION("""COMPUTED_VALUE"""),48671.0)</f>
        <v>48671</v>
      </c>
      <c r="AR9" s="190">
        <f>IFERROR(__xludf.DUMMYFUNCTION("""COMPUTED_VALUE"""),41494.8)</f>
        <v>41494.8</v>
      </c>
      <c r="AS9" s="180"/>
      <c r="AT9" s="190">
        <f>IFERROR(__xludf.DUMMYFUNCTION("""COMPUTED_VALUE"""),41494.8)</f>
        <v>41494.8</v>
      </c>
      <c r="AU9" s="190">
        <f>IFERROR(__xludf.DUMMYFUNCTION("""COMPUTED_VALUE"""),3457.9)</f>
        <v>3457.9</v>
      </c>
      <c r="AV9" s="232">
        <f>IFERROR(__xludf.DUMMYFUNCTION("""COMPUTED_VALUE"""),12.0)</f>
        <v>12</v>
      </c>
      <c r="AW9" s="190">
        <f>IFERROR(__xludf.DUMMYFUNCTION("""COMPUTED_VALUE"""),41494.8)</f>
        <v>41494.8</v>
      </c>
      <c r="AX9" s="190">
        <f>IFERROR(__xludf.DUMMYFUNCTION("""COMPUTED_VALUE"""),0.0)</f>
        <v>0</v>
      </c>
      <c r="AY9" s="190">
        <f>IFERROR(__xludf.DUMMYFUNCTION("""COMPUTED_VALUE"""),41494.8)</f>
        <v>41494.8</v>
      </c>
      <c r="AZ9" s="190">
        <f>IFERROR(__xludf.DUMMYFUNCTION("""COMPUTED_VALUE"""),10373.700000000004)</f>
        <v>10373.7</v>
      </c>
      <c r="BA9" s="190">
        <f>IFERROR(__xludf.DUMMYFUNCTION("""COMPUTED_VALUE"""),31121.1)</f>
        <v>31121.1</v>
      </c>
      <c r="BB9" s="180" t="str">
        <f>IFERROR(__xludf.DUMMYFUNCTION("""COMPUTED_VALUE"""),"PRE-8560/2018")</f>
        <v>PRE-8560/2018</v>
      </c>
      <c r="BC9" s="232">
        <f>IFERROR(__xludf.DUMMYFUNCTION("""COMPUTED_VALUE"""),1.51132022236931E14)</f>
        <v>151132022236931</v>
      </c>
      <c r="BD9" s="180" t="str">
        <f>IFERROR(__xludf.DUMMYFUNCTION("""COMPUTED_VALUE"""),"Sim")</f>
        <v>Sim</v>
      </c>
      <c r="BE9" s="180" t="str">
        <f>IFERROR(__xludf.DUMMYFUNCTION("""COMPUTED_VALUE"""),"Sim")</f>
        <v>Sim</v>
      </c>
      <c r="BF9" s="180"/>
      <c r="BG9" s="180"/>
      <c r="BH9" s="233">
        <f>IFERROR(__xludf.DUMMYFUNCTION("""COMPUTED_VALUE"""),200000.0)</f>
        <v>200000</v>
      </c>
      <c r="BI9" s="180" t="str">
        <f>IFERROR(__xludf.DUMMYFUNCTION("""COMPUTED_VALUE"""),"Média")</f>
        <v>Média</v>
      </c>
      <c r="BJ9" s="180"/>
      <c r="BK9" s="180" t="str">
        <f>IFERROR(__xludf.DUMMYFUNCTION("""COMPUTED_VALUE"""),"ano")</f>
        <v>ano</v>
      </c>
      <c r="BL9" s="180" t="str">
        <f>IFERROR(__xludf.DUMMYFUNCTION("""COMPUTED_VALUE"""),"P. Eletrônico")</f>
        <v>P. Eletrônico</v>
      </c>
      <c r="BM9" s="180" t="str">
        <f>IFERROR(__xludf.DUMMYFUNCTION("""COMPUTED_VALUE"""),"PROR")</f>
        <v>PROR</v>
      </c>
      <c r="BN9" s="189">
        <f>IFERROR(__xludf.DUMMYFUNCTION("""COMPUTED_VALUE"""),44540.0)</f>
        <v>44540</v>
      </c>
      <c r="BO9" s="189">
        <f>IFERROR(__xludf.DUMMYFUNCTION("""COMPUTED_VALUE"""),44905.0)</f>
        <v>44905</v>
      </c>
      <c r="BP9" s="190"/>
      <c r="BQ9" s="190">
        <f>IFERROR(__xludf.DUMMYFUNCTION("""COMPUTED_VALUE"""),41494.8)</f>
        <v>41494.8</v>
      </c>
      <c r="BR9" s="190">
        <f>IFERROR(__xludf.DUMMYFUNCTION("""COMPUTED_VALUE"""),41494.8)</f>
        <v>41494.8</v>
      </c>
      <c r="BS9" s="190">
        <f>IFERROR(__xludf.DUMMYFUNCTION("""COMPUTED_VALUE"""),41494.8)</f>
        <v>41494.8</v>
      </c>
      <c r="BT9" s="190">
        <f>IFERROR(__xludf.DUMMYFUNCTION("""COMPUTED_VALUE"""),41494.8)</f>
        <v>41494.8</v>
      </c>
      <c r="BU9" s="180" t="str">
        <f>IFERROR(__xludf.DUMMYFUNCTION("""COMPUTED_VALUE"""),"Telefonia fixa e móvel - pacote de comunicação de dados")</f>
        <v>Telefonia fixa e móvel - pacote de comunicação de dados</v>
      </c>
      <c r="BV9" s="180"/>
      <c r="BW9" s="180"/>
      <c r="BX9" s="180"/>
      <c r="BY9" s="180"/>
      <c r="BZ9" s="189"/>
      <c r="CA9" s="180"/>
      <c r="CB9" s="180" t="str">
        <f>IFERROR(__xludf.DUMMYFUNCTION("""COMPUTED_VALUE"""),"Apreciação de Causas na Justiça do Trabalho")</f>
        <v>Apreciação de Causas na Justiça do Trabalho</v>
      </c>
      <c r="CC9" s="180" t="str">
        <f>IFERROR(__xludf.DUMMYFUNCTION("""COMPUTED_VALUE""")," - ")</f>
        <v> - </v>
      </c>
      <c r="CD9" s="180" t="str">
        <f>IFERROR(__xludf.DUMMYFUNCTION("""COMPUTED_VALUE"""),"SERVIÇOS DE TECNOLOGIA DA INFORMAÇÃO E COMUNICAÇÃO - TIC")</f>
        <v>SERVIÇOS DE TECNOLOGIA DA INFORMAÇÃO E COMUNICAÇÃO - TIC</v>
      </c>
      <c r="CE9" s="180"/>
      <c r="CF9" s="180" t="str">
        <f>IFERROR(__xludf.DUMMYFUNCTION("""COMPUTED_VALUE"""),"TELEFONIA FIXA E MÓVEL - PACOTE DE COMUNICAÇÃO DE DADOS")</f>
        <v>TELEFONIA FIXA E MÓVEL - PACOTE DE COMUNICAÇÃO DE DADOS</v>
      </c>
      <c r="CG9" s="189"/>
      <c r="CH9" s="189">
        <f>IFERROR(__xludf.DUMMYFUNCTION("""COMPUTED_VALUE"""),44965.0)</f>
        <v>44965</v>
      </c>
      <c r="CI9" s="180" t="str">
        <f>IFERROR(__xludf.DUMMYFUNCTION("""COMPUTED_VALUE"""),"PROR")</f>
        <v>PROR</v>
      </c>
      <c r="CJ9" s="190">
        <f>IFERROR(__xludf.DUMMYFUNCTION("""COMPUTED_VALUE"""),46343.28)</f>
        <v>46343.28</v>
      </c>
      <c r="CK9" s="189">
        <f>IFERROR(__xludf.DUMMYFUNCTION("""COMPUTED_VALUE"""),44965.0)</f>
        <v>44965</v>
      </c>
      <c r="CL9" s="180" t="str">
        <f>IFERROR(__xludf.DUMMYFUNCTION("""COMPUTED_VALUE"""),"PRE")</f>
        <v>PRE</v>
      </c>
      <c r="CM9" s="180" t="str">
        <f>IFERROR(__xludf.DUMMYFUNCTION("""COMPUTED_VALUE"""),"x")</f>
        <v>x</v>
      </c>
      <c r="CN9" s="180" t="str">
        <f>IFERROR(__xludf.DUMMYFUNCTION("""COMPUTED_VALUE"""),"PRE-8560/2018")</f>
        <v>PRE-8560/2018</v>
      </c>
      <c r="CO9" s="180"/>
      <c r="CP9" s="180"/>
      <c r="CQ9" s="180"/>
      <c r="CR9" s="180" t="str">
        <f>IFERROR(__xludf.DUMMYFUNCTION("""COMPUTED_VALUE"""),"GND3")</f>
        <v>GND3</v>
      </c>
      <c r="CS9" s="180"/>
      <c r="CT9" s="180"/>
      <c r="CU9" s="180"/>
      <c r="CV9" s="180"/>
      <c r="CW9" s="180"/>
      <c r="CX9" s="180"/>
      <c r="CY9" s="180"/>
      <c r="CZ9" s="180"/>
      <c r="DA9" s="180"/>
      <c r="DB9" s="180"/>
    </row>
    <row r="10">
      <c r="A10" s="230">
        <f>IFERROR(__xludf.DUMMYFUNCTION("""COMPUTED_VALUE"""),15070.0)</f>
        <v>15070</v>
      </c>
      <c r="B10" s="230">
        <f>IFERROR(__xludf.DUMMYFUNCTION("""COMPUTED_VALUE"""),0.0)</f>
        <v>0</v>
      </c>
      <c r="C10" s="180" t="str">
        <f>IFERROR(__xludf.DUMMYFUNCTION("""COMPUTED_VALUE"""),"REDE JT - Alt - Contratação de links para conexão da sede com as unidades do interior do estado.")</f>
        <v>REDE JT - Alt - Contratação de links para conexão da sede com as unidades do interior do estado.</v>
      </c>
      <c r="D10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10" s="180" t="str">
        <f>IFERROR(__xludf.DUMMYFUNCTION("""COMPUTED_VALUE"""),"EJ08 - PROMOVER SERVIÇOS DE INFRAESTRUTURA E SOLUÇÕES CORPORATIVAS")</f>
        <v>EJ08 - PROMOVER SERVIÇOS DE INFRAESTRUTURA E SOLUÇÕES CORPORATIVAS</v>
      </c>
      <c r="F10" s="180" t="str">
        <f>IFERROR(__xludf.DUMMYFUNCTION("""COMPUTED_VALUE"""),"Contratação de serviços para o suporte à infraestrutura tecnológica")</f>
        <v>Contratação de serviços para o suporte à infraestrutura tecnológica</v>
      </c>
      <c r="G10" s="180" t="str">
        <f>IFERROR(__xludf.DUMMYFUNCTION("""COMPUTED_VALUE"""),"(ID PAAC 15070) REDE JT - Alt - Contratação de links para conexão da sede com as unidades do interior do estado.")</f>
        <v>(ID PAAC 15070) REDE JT - Alt - Contratação de links para conexão da sede com as unidades do interior do estado.</v>
      </c>
      <c r="H10" s="180" t="str">
        <f>IFERROR(__xludf.DUMMYFUNCTION("""COMPUTED_VALUE"""),"Continuado")</f>
        <v>Continuado</v>
      </c>
      <c r="I10" s="180" t="str">
        <f>IFERROR(__xludf.DUMMYFUNCTION("""COMPUTED_VALUE"""),"SETIC")</f>
        <v>SETIC</v>
      </c>
      <c r="J10" s="180" t="str">
        <f>IFERROR(__xludf.DUMMYFUNCTION("""COMPUTED_VALUE"""),"SETIC")</f>
        <v>SETIC</v>
      </c>
      <c r="K10" s="180" t="str">
        <f>IFERROR(__xludf.DUMMYFUNCTION("""COMPUTED_VALUE"""),"GND3")</f>
        <v>GND3</v>
      </c>
      <c r="L10" s="231">
        <f>IFERROR(__xludf.DUMMYFUNCTION("""COMPUTED_VALUE"""),0.0)</f>
        <v>0</v>
      </c>
      <c r="M10" s="232">
        <f>IFERROR(__xludf.DUMMYFUNCTION("""COMPUTED_VALUE"""),3.3904013E7)</f>
        <v>33904013</v>
      </c>
      <c r="N10" s="232">
        <f>IFERROR(__xludf.DUMMYFUNCTION("""COMPUTED_VALUE"""),0.0)</f>
        <v>0</v>
      </c>
      <c r="O10" s="230">
        <f>IFERROR(__xludf.DUMMYFUNCTION("""COMPUTED_VALUE"""),168107.0)</f>
        <v>168107</v>
      </c>
      <c r="P10" s="180" t="str">
        <f>IFERROR(__xludf.DUMMYFUNCTION("""COMPUTED_VALUE"""),"Sim")</f>
        <v>Sim</v>
      </c>
      <c r="Q10" s="180" t="str">
        <f>IFERROR(__xludf.DUMMYFUNCTION("""COMPUTED_VALUE"""),"1 - Imprescindível")</f>
        <v>1 - Imprescindível</v>
      </c>
      <c r="R10" s="180" t="str">
        <f>IFERROR(__xludf.DUMMYFUNCTION("""COMPUTED_VALUE"""),"1 - Selecionado")</f>
        <v>1 - Selecionado</v>
      </c>
      <c r="S10" s="180"/>
      <c r="T10" s="180"/>
      <c r="U10" s="180" t="str">
        <f>IFERROR(__xludf.DUMMYFUNCTION("""COMPUTED_VALUE"""),"99 - Orçamentário")</f>
        <v>99 - Orçamentário</v>
      </c>
      <c r="V10" s="180"/>
      <c r="W10" s="180" t="str">
        <f>IFERROR(__xludf.DUMMYFUNCTION("""COMPUTED_VALUE"""),"5910/2017")</f>
        <v>5910/2017</v>
      </c>
      <c r="X10" s="180" t="str">
        <f>IFERROR(__xludf.DUMMYFUNCTION("""COMPUTED_VALUE"""),"SEINFRA")</f>
        <v>SEINFRA</v>
      </c>
      <c r="Y10" s="180" t="str">
        <f>IFERROR(__xludf.DUMMYFUNCTION("""COMPUTED_VALUE"""),"ORÇAMENTO")</f>
        <v>ORÇAMENTO</v>
      </c>
      <c r="Z10" s="180" t="str">
        <f>IFERROR(__xludf.DUMMYFUNCTION("""COMPUTED_VALUE"""),"PRE")</f>
        <v>PRE</v>
      </c>
      <c r="AA10" s="180" t="str">
        <f>IFERROR(__xludf.DUMMYFUNCTION("""COMPUTED_VALUE"""),"PRE-5910/2017")</f>
        <v>PRE-5910/2017</v>
      </c>
      <c r="AB10" s="230">
        <f>IFERROR(__xludf.DUMMYFUNCTION("""COMPUTED_VALUE"""),1.479874000012E13)</f>
        <v>14798740000120</v>
      </c>
      <c r="AC10" s="180" t="str">
        <f>IFERROR(__xludf.DUMMYFUNCTION("""COMPUTED_VALUE"""),"ACESSOLINE TELECOMUNICACOES LTDA")</f>
        <v>ACESSOLINE TELECOMUNICACOES LTDA</v>
      </c>
      <c r="AD10" s="189"/>
      <c r="AE10" s="189"/>
      <c r="AF10" s="180" t="str">
        <f>IFERROR(__xludf.DUMMYFUNCTION("""COMPUTED_VALUE"""),"Anderson Bastos
Diretor do SEINFRA")</f>
        <v>Anderson Bastos
Diretor do SEINFRA</v>
      </c>
      <c r="AG10" s="233">
        <f>IFERROR(__xludf.DUMMYFUNCTION("""COMPUTED_VALUE"""),1.0)</f>
        <v>1</v>
      </c>
      <c r="AH10" s="190">
        <f>IFERROR(__xludf.DUMMYFUNCTION("""COMPUTED_VALUE"""),125208.18000000001)</f>
        <v>125208.18</v>
      </c>
      <c r="AI10" s="180" t="str">
        <f>IFERROR(__xludf.DUMMYFUNCTION("""COMPUTED_VALUE"""),"Não")</f>
        <v>Não</v>
      </c>
      <c r="AJ10" s="190"/>
      <c r="AK10" s="180" t="str">
        <f>IFERROR(__xludf.DUMMYFUNCTION("""COMPUTED_VALUE"""),"Anderson Bastos")</f>
        <v>Anderson Bastos</v>
      </c>
      <c r="AL10" s="180"/>
      <c r="AM10" s="180"/>
      <c r="AN10" s="190">
        <f>IFERROR(__xludf.DUMMYFUNCTION("""COMPUTED_VALUE"""),0.0)</f>
        <v>0</v>
      </c>
      <c r="AO10" s="190">
        <f>IFERROR(__xludf.DUMMYFUNCTION("""COMPUTED_VALUE"""),125208.18000000001)</f>
        <v>125208.18</v>
      </c>
      <c r="AP10" s="180" t="str">
        <f>IFERROR(__xludf.DUMMYFUNCTION("""COMPUTED_VALUE"""),"2022NE000122")</f>
        <v>2022NE000122</v>
      </c>
      <c r="AQ10" s="190">
        <f>IFERROR(__xludf.DUMMYFUNCTION("""COMPUTED_VALUE"""),211610.0)</f>
        <v>211610</v>
      </c>
      <c r="AR10" s="190">
        <f>IFERROR(__xludf.DUMMYFUNCTION("""COMPUTED_VALUE"""),125208.18000000001)</f>
        <v>125208.18</v>
      </c>
      <c r="AS10" s="180" t="str">
        <f>IFERROR(__xludf.DUMMYFUNCTION("""COMPUTED_VALUE"""),"2021NE000243")</f>
        <v>2021NE000243</v>
      </c>
      <c r="AT10" s="190">
        <f>IFERROR(__xludf.DUMMYFUNCTION("""COMPUTED_VALUE"""),125208.18000000001)</f>
        <v>125208.18</v>
      </c>
      <c r="AU10" s="190">
        <f>IFERROR(__xludf.DUMMYFUNCTION("""COMPUTED_VALUE"""),13912.02)</f>
        <v>13912.02</v>
      </c>
      <c r="AV10" s="232">
        <f>IFERROR(__xludf.DUMMYFUNCTION("""COMPUTED_VALUE"""),9.0)</f>
        <v>9</v>
      </c>
      <c r="AW10" s="190">
        <f>IFERROR(__xludf.DUMMYFUNCTION("""COMPUTED_VALUE"""),125208.18000000001)</f>
        <v>125208.18</v>
      </c>
      <c r="AX10" s="190">
        <f>IFERROR(__xludf.DUMMYFUNCTION("""COMPUTED_VALUE"""),0.0)</f>
        <v>0</v>
      </c>
      <c r="AY10" s="190">
        <f>IFERROR(__xludf.DUMMYFUNCTION("""COMPUTED_VALUE"""),125208.18)</f>
        <v>125208.18</v>
      </c>
      <c r="AZ10" s="190">
        <f>IFERROR(__xludf.DUMMYFUNCTION("""COMPUTED_VALUE"""),41736.06)</f>
        <v>41736.06</v>
      </c>
      <c r="BA10" s="190">
        <f>IFERROR(__xludf.DUMMYFUNCTION("""COMPUTED_VALUE"""),83472.12)</f>
        <v>83472.12</v>
      </c>
      <c r="BB10" s="180" t="str">
        <f>IFERROR(__xludf.DUMMYFUNCTION("""COMPUTED_VALUE"""),"PRE-5910/2017")</f>
        <v>PRE-5910/2017</v>
      </c>
      <c r="BC10" s="232">
        <f>IFERROR(__xludf.DUMMYFUNCTION("""COMPUTED_VALUE"""),1.51132022236926E14)</f>
        <v>151132022236926</v>
      </c>
      <c r="BD10" s="180" t="str">
        <f>IFERROR(__xludf.DUMMYFUNCTION("""COMPUTED_VALUE"""),"Não")</f>
        <v>Não</v>
      </c>
      <c r="BE10" s="180" t="str">
        <f>IFERROR(__xludf.DUMMYFUNCTION("""COMPUTED_VALUE"""),"Não")</f>
        <v>Não</v>
      </c>
      <c r="BF10" s="180"/>
      <c r="BG10" s="180"/>
      <c r="BH10" s="233">
        <f>IFERROR(__xludf.DUMMYFUNCTION("""COMPUTED_VALUE"""),300000.0)</f>
        <v>300000</v>
      </c>
      <c r="BI10" s="180" t="str">
        <f>IFERROR(__xludf.DUMMYFUNCTION("""COMPUTED_VALUE"""),"Alta")</f>
        <v>Alta</v>
      </c>
      <c r="BJ10" s="180"/>
      <c r="BK10" s="180" t="str">
        <f>IFERROR(__xludf.DUMMYFUNCTION("""COMPUTED_VALUE"""),"ano")</f>
        <v>ano</v>
      </c>
      <c r="BL10" s="180"/>
      <c r="BM10" s="180" t="str">
        <f>IFERROR(__xludf.DUMMYFUNCTION("""COMPUTED_VALUE"""),"ORÇAMENTO")</f>
        <v>ORÇAMENTO</v>
      </c>
      <c r="BN10" s="189"/>
      <c r="BO10" s="189"/>
      <c r="BP10" s="190"/>
      <c r="BQ10" s="190"/>
      <c r="BR10" s="190"/>
      <c r="BS10" s="190">
        <f>IFERROR(__xludf.DUMMYFUNCTION("""COMPUTED_VALUE"""),125208.18000000001)</f>
        <v>125208.18</v>
      </c>
      <c r="BT10" s="190"/>
      <c r="BU10" s="180" t="str">
        <f>IFERROR(__xludf.DUMMYFUNCTION("""COMPUTED_VALUE"""),"Comunicação de dados e redes em geral")</f>
        <v>Comunicação de dados e redes em geral</v>
      </c>
      <c r="BV10" s="180" t="str">
        <f>IFERROR(__xludf.DUMMYFUNCTION("""COMPUTED_VALUE"""),"INFRA - Serviços de Telecomunicação de Dados e Voz - Rede-JT")</f>
        <v>INFRA - Serviços de Telecomunicação de Dados e Voz - Rede-JT</v>
      </c>
      <c r="BW10" s="180"/>
      <c r="BX10" s="180"/>
      <c r="BY10" s="180" t="str">
        <f>IFERROR(__xludf.DUMMYFUNCTION("""COMPUTED_VALUE"""),"Serviços de Telecomunicação de Dados e Voz - Rede-JT")</f>
        <v>Serviços de Telecomunicação de Dados e Voz - Rede-JT</v>
      </c>
      <c r="BZ10" s="189"/>
      <c r="CA10" s="180"/>
      <c r="CB10" s="180" t="str">
        <f>IFERROR(__xludf.DUMMYFUNCTION("""COMPUTED_VALUE"""),"Manutenção e Gestão dos Serviços de Tecnologia da Informação")</f>
        <v>Manutenção e Gestão dos Serviços de Tecnologia da Informação</v>
      </c>
      <c r="CC10" s="180" t="str">
        <f>IFERROR(__xludf.DUMMYFUNCTION("""COMPUTED_VALUE"""),"INFRA - Serviços de Telecomunicação de Dados e Voz - Rede-JT - Serviços de Telecomunicação de Dados e Voz - Rede-JT")</f>
        <v>INFRA - Serviços de Telecomunicação de Dados e Voz - Rede-JT - Serviços de Telecomunicação de Dados e Voz - Rede-JT</v>
      </c>
      <c r="CD10" s="180" t="str">
        <f>IFERROR(__xludf.DUMMYFUNCTION("""COMPUTED_VALUE"""),"SERVIÇOS DE TECNOLOGIA DA INFORMAÇÃO E COMUNICAÇÃO - TIC")</f>
        <v>SERVIÇOS DE TECNOLOGIA DA INFORMAÇÃO E COMUNICAÇÃO - TIC</v>
      </c>
      <c r="CE10" s="180"/>
      <c r="CF10" s="180" t="str">
        <f>IFERROR(__xludf.DUMMYFUNCTION("""COMPUTED_VALUE"""),"COMUNICAÇÃO DE DADOS E REDES EM GERAL")</f>
        <v>COMUNICAÇÃO DE DADOS E REDES EM GERAL</v>
      </c>
      <c r="CG10" s="189"/>
      <c r="CH10" s="189">
        <f>IFERROR(__xludf.DUMMYFUNCTION("""COMPUTED_VALUE"""),365.0)</f>
        <v>365</v>
      </c>
      <c r="CI10" s="180" t="str">
        <f>IFERROR(__xludf.DUMMYFUNCTION("""COMPUTED_VALUE"""),"ORÇAMENTO")</f>
        <v>ORÇAMENTO</v>
      </c>
      <c r="CJ10" s="190">
        <f>IFERROR(__xludf.DUMMYFUNCTION("""COMPUTED_VALUE"""),155809.08000000002)</f>
        <v>155809.08</v>
      </c>
      <c r="CK10" s="189">
        <f>IFERROR(__xludf.DUMMYFUNCTION("""COMPUTED_VALUE"""),44836.0)</f>
        <v>44836</v>
      </c>
      <c r="CL10" s="180" t="str">
        <f>IFERROR(__xludf.DUMMYFUNCTION("""COMPUTED_VALUE"""),"PROR")</f>
        <v>PROR</v>
      </c>
      <c r="CM10" s="180" t="str">
        <f>IFERROR(__xludf.DUMMYFUNCTION("""COMPUTED_VALUE"""),"x")</f>
        <v>x</v>
      </c>
      <c r="CN10" s="180" t="str">
        <f>IFERROR(__xludf.DUMMYFUNCTION("""COMPUTED_VALUE"""),"PRE-5910/2017")</f>
        <v>PRE-5910/2017</v>
      </c>
      <c r="CO10" s="234" t="str">
        <f>IFERROR(__xludf.DUMMYFUNCTION("""COMPUTED_VALUE"""),"https://www.trt12.jus.br/proad/pages/fichadoprocesso.xhtml?numeroProtocolo=5910&amp;numeroAno=2017&amp;tab=tabFichaDocumento")</f>
        <v>https://www.trt12.jus.br/proad/pages/fichadoprocesso.xhtml?numeroProtocolo=5910&amp;numeroAno=2017&amp;tab=tabFichaDocumento</v>
      </c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</row>
    <row r="11">
      <c r="A11" s="230">
        <f>IFERROR(__xludf.DUMMYFUNCTION("""COMPUTED_VALUE"""),15072.0)</f>
        <v>15072</v>
      </c>
      <c r="B11" s="230">
        <f>IFERROR(__xludf.DUMMYFUNCTION("""COMPUTED_VALUE"""),0.0)</f>
        <v>0</v>
      </c>
      <c r="C11" s="180" t="str">
        <f>IFERROR(__xludf.DUMMYFUNCTION("""COMPUTED_VALUE"""),"NUVEM GOOGLE 1 - Contratação de licença de uso de serviço de nuvem de comunicação e colaboração")</f>
        <v>NUVEM GOOGLE 1 - Contratação de licença de uso de serviço de nuvem de comunicação e colaboração</v>
      </c>
      <c r="D11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11" s="180" t="str">
        <f>IFERROR(__xludf.DUMMYFUNCTION("""COMPUTED_VALUE"""),"EJ08 - PROMOVER SERVIÇOS DE INFRAESTRUTURA E SOLUÇÕES CORPORATIVAS")</f>
        <v>EJ08 - PROMOVER SERVIÇOS DE INFRAESTRUTURA E SOLUÇÕES CORPORATIVAS</v>
      </c>
      <c r="F11" s="180" t="str">
        <f>IFERROR(__xludf.DUMMYFUNCTION("""COMPUTED_VALUE"""),"Contratação de serviços para o suporte à infraestrutura tecnológica")</f>
        <v>Contratação de serviços para o suporte à infraestrutura tecnológica</v>
      </c>
      <c r="G11" s="180" t="str">
        <f>IFERROR(__xludf.DUMMYFUNCTION("""COMPUTED_VALUE"""),"(ID PAAC 15072) NUVEM GOOGLE 1 - Contratação de licença de uso de serviço de nuvem de comunicação e colaboração")</f>
        <v>(ID PAAC 15072) NUVEM GOOGLE 1 - Contratação de licença de uso de serviço de nuvem de comunicação e colaboração</v>
      </c>
      <c r="H11" s="180" t="str">
        <f>IFERROR(__xludf.DUMMYFUNCTION("""COMPUTED_VALUE"""),"Continuado")</f>
        <v>Continuado</v>
      </c>
      <c r="I11" s="180" t="str">
        <f>IFERROR(__xludf.DUMMYFUNCTION("""COMPUTED_VALUE"""),"SETIC")</f>
        <v>SETIC</v>
      </c>
      <c r="J11" s="180" t="str">
        <f>IFERROR(__xludf.DUMMYFUNCTION("""COMPUTED_VALUE"""),"SETIC")</f>
        <v>SETIC</v>
      </c>
      <c r="K11" s="180" t="str">
        <f>IFERROR(__xludf.DUMMYFUNCTION("""COMPUTED_VALUE"""),"GND3")</f>
        <v>GND3</v>
      </c>
      <c r="L11" s="231">
        <f>IFERROR(__xludf.DUMMYFUNCTION("""COMPUTED_VALUE"""),0.0)</f>
        <v>0</v>
      </c>
      <c r="M11" s="232">
        <f>IFERROR(__xludf.DUMMYFUNCTION("""COMPUTED_VALUE"""),3.3904019E7)</f>
        <v>33904019</v>
      </c>
      <c r="N11" s="232">
        <f>IFERROR(__xludf.DUMMYFUNCTION("""COMPUTED_VALUE"""),0.0)</f>
        <v>0</v>
      </c>
      <c r="O11" s="230">
        <f>IFERROR(__xludf.DUMMYFUNCTION("""COMPUTED_VALUE"""),168105.0)</f>
        <v>168105</v>
      </c>
      <c r="P11" s="180" t="str">
        <f>IFERROR(__xludf.DUMMYFUNCTION("""COMPUTED_VALUE"""),"Não")</f>
        <v>Não</v>
      </c>
      <c r="Q11" s="180" t="str">
        <f>IFERROR(__xludf.DUMMYFUNCTION("""COMPUTED_VALUE"""),"1 - Imprescindível")</f>
        <v>1 - Imprescindível</v>
      </c>
      <c r="R11" s="180" t="str">
        <f>IFERROR(__xludf.DUMMYFUNCTION("""COMPUTED_VALUE"""),"1 - Selecionado")</f>
        <v>1 - Selecionado</v>
      </c>
      <c r="S11" s="180"/>
      <c r="T11" s="180"/>
      <c r="U11" s="180" t="str">
        <f>IFERROR(__xludf.DUMMYFUNCTION("""COMPUTED_VALUE"""),"99 - Orçamentário")</f>
        <v>99 - Orçamentário</v>
      </c>
      <c r="V11" s="180"/>
      <c r="W11" s="180" t="str">
        <f>IFERROR(__xludf.DUMMYFUNCTION("""COMPUTED_VALUE"""),"11741/2017")</f>
        <v>11741/2017</v>
      </c>
      <c r="X11" s="180" t="str">
        <f>IFERROR(__xludf.DUMMYFUNCTION("""COMPUTED_VALUE"""),"SEINFRA")</f>
        <v>SEINFRA</v>
      </c>
      <c r="Y11" s="180" t="str">
        <f>IFERROR(__xludf.DUMMYFUNCTION("""COMPUTED_VALUE"""),"ORÇAMENTO")</f>
        <v>ORÇAMENTO</v>
      </c>
      <c r="Z11" s="180" t="str">
        <f>IFERROR(__xludf.DUMMYFUNCTION("""COMPUTED_VALUE"""),"RP")</f>
        <v>RP</v>
      </c>
      <c r="AA11" s="180" t="str">
        <f>IFERROR(__xludf.DUMMYFUNCTION("""COMPUTED_VALUE"""),"RP-11741/2017")</f>
        <v>RP-11741/2017</v>
      </c>
      <c r="AB11" s="230">
        <f>IFERROR(__xludf.DUMMYFUNCTION("""COMPUTED_VALUE"""),1.1508825000138E13)</f>
        <v>11508825000138</v>
      </c>
      <c r="AC11" s="180" t="str">
        <f>IFERROR(__xludf.DUMMYFUNCTION("""COMPUTED_VALUE"""),"RJR SERVICOS DE INFORMATICA LTDA")</f>
        <v>RJR SERVICOS DE INFORMATICA LTDA</v>
      </c>
      <c r="AD11" s="189">
        <f>IFERROR(__xludf.DUMMYFUNCTION("""COMPUTED_VALUE"""),44908.0)</f>
        <v>44908</v>
      </c>
      <c r="AE11" s="189">
        <f>IFERROR(__xludf.DUMMYFUNCTION("""COMPUTED_VALUE"""),44908.0)</f>
        <v>44908</v>
      </c>
      <c r="AF11" s="180" t="str">
        <f>IFERROR(__xludf.DUMMYFUNCTION("""COMPUTED_VALUE"""),"Anderson Bastos
Diretor do SEINFRA")</f>
        <v>Anderson Bastos
Diretor do SEINFRA</v>
      </c>
      <c r="AG11" s="233">
        <f>IFERROR(__xludf.DUMMYFUNCTION("""COMPUTED_VALUE"""),1800.0)</f>
        <v>1800</v>
      </c>
      <c r="AH11" s="190">
        <f>IFERROR(__xludf.DUMMYFUNCTION("""COMPUTED_VALUE"""),146.80837666666665)</f>
        <v>146.8083767</v>
      </c>
      <c r="AI11" s="180" t="str">
        <f>IFERROR(__xludf.DUMMYFUNCTION("""COMPUTED_VALUE"""),"Não")</f>
        <v>Não</v>
      </c>
      <c r="AJ11" s="190"/>
      <c r="AK11" s="180" t="str">
        <f>IFERROR(__xludf.DUMMYFUNCTION("""COMPUTED_VALUE"""),"Gustavo Bestetti Ibarra")</f>
        <v>Gustavo Bestetti Ibarra</v>
      </c>
      <c r="AL11" s="180"/>
      <c r="AM11" s="180"/>
      <c r="AN11" s="190">
        <f>IFERROR(__xludf.DUMMYFUNCTION("""COMPUTED_VALUE"""),-115744.92200000002)</f>
        <v>-115744.922</v>
      </c>
      <c r="AO11" s="190">
        <f>IFERROR(__xludf.DUMMYFUNCTION("""COMPUTED_VALUE"""),380000.0)</f>
        <v>380000</v>
      </c>
      <c r="AP11" s="180" t="str">
        <f>IFERROR(__xludf.DUMMYFUNCTION("""COMPUTED_VALUE"""),"2022NE000127")</f>
        <v>2022NE000127</v>
      </c>
      <c r="AQ11" s="190">
        <f>IFERROR(__xludf.DUMMYFUNCTION("""COMPUTED_VALUE"""),400000.0)</f>
        <v>400000</v>
      </c>
      <c r="AR11" s="190">
        <f>IFERROR(__xludf.DUMMYFUNCTION("""COMPUTED_VALUE"""),264255.078)</f>
        <v>264255.078</v>
      </c>
      <c r="AS11" s="180" t="str">
        <f>IFERROR(__xludf.DUMMYFUNCTION("""COMPUTED_VALUE"""),"2021NE000147")</f>
        <v>2021NE000147</v>
      </c>
      <c r="AT11" s="190">
        <f>IFERROR(__xludf.DUMMYFUNCTION("""COMPUTED_VALUE"""),264255.078)</f>
        <v>264255.078</v>
      </c>
      <c r="AU11" s="190">
        <f>IFERROR(__xludf.DUMMYFUNCTION("""COMPUTED_VALUE"""),23180.27)</f>
        <v>23180.27</v>
      </c>
      <c r="AV11" s="232">
        <f>IFERROR(__xludf.DUMMYFUNCTION("""COMPUTED_VALUE"""),11.399999999999999)</f>
        <v>11.4</v>
      </c>
      <c r="AW11" s="190">
        <f>IFERROR(__xludf.DUMMYFUNCTION("""COMPUTED_VALUE"""),264255.078)</f>
        <v>264255.078</v>
      </c>
      <c r="AX11" s="190">
        <f>IFERROR(__xludf.DUMMYFUNCTION("""COMPUTED_VALUE"""),0.0)</f>
        <v>0</v>
      </c>
      <c r="AY11" s="190">
        <f>IFERROR(__xludf.DUMMYFUNCTION("""COMPUTED_VALUE"""),264255.08)</f>
        <v>264255.08</v>
      </c>
      <c r="AZ11" s="190">
        <f>IFERROR(__xludf.DUMMYFUNCTION("""COMPUTED_VALUE"""),69540.81000000003)</f>
        <v>69540.81</v>
      </c>
      <c r="BA11" s="190">
        <f>IFERROR(__xludf.DUMMYFUNCTION("""COMPUTED_VALUE"""),194714.27)</f>
        <v>194714.27</v>
      </c>
      <c r="BB11" s="180" t="str">
        <f>IFERROR(__xludf.DUMMYFUNCTION("""COMPUTED_VALUE"""),"RP-11741/2017")</f>
        <v>RP-11741/2017</v>
      </c>
      <c r="BC11" s="232">
        <f>IFERROR(__xludf.DUMMYFUNCTION("""COMPUTED_VALUE"""),1.51132022236944E14)</f>
        <v>151132022236944</v>
      </c>
      <c r="BD11" s="180" t="str">
        <f>IFERROR(__xludf.DUMMYFUNCTION("""COMPUTED_VALUE"""),"Não")</f>
        <v>Não</v>
      </c>
      <c r="BE11" s="180" t="str">
        <f>IFERROR(__xludf.DUMMYFUNCTION("""COMPUTED_VALUE"""),"Sim")</f>
        <v>Sim</v>
      </c>
      <c r="BF11" s="180"/>
      <c r="BG11" s="180"/>
      <c r="BH11" s="233">
        <f>IFERROR(__xludf.DUMMYFUNCTION("""COMPUTED_VALUE"""),300000.0)</f>
        <v>300000</v>
      </c>
      <c r="BI11" s="180" t="str">
        <f>IFERROR(__xludf.DUMMYFUNCTION("""COMPUTED_VALUE"""),"Alta")</f>
        <v>Alta</v>
      </c>
      <c r="BJ11" s="180"/>
      <c r="BK11" s="180" t="str">
        <f>IFERROR(__xludf.DUMMYFUNCTION("""COMPUTED_VALUE"""),"ano")</f>
        <v>ano</v>
      </c>
      <c r="BL11" s="180" t="str">
        <f>IFERROR(__xludf.DUMMYFUNCTION("""COMPUTED_VALUE"""),"ARP Participante")</f>
        <v>ARP Participante</v>
      </c>
      <c r="BM11" s="180" t="str">
        <f>IFERROR(__xludf.DUMMYFUNCTION("""COMPUTED_VALUE"""),"ORÇAMENTO")</f>
        <v>ORÇAMENTO</v>
      </c>
      <c r="BN11" s="189"/>
      <c r="BO11" s="189"/>
      <c r="BP11" s="190"/>
      <c r="BQ11" s="190"/>
      <c r="BR11" s="190"/>
      <c r="BS11" s="190">
        <f>IFERROR(__xludf.DUMMYFUNCTION("""COMPUTED_VALUE"""),264255.078)</f>
        <v>264255.078</v>
      </c>
      <c r="BT11" s="190"/>
      <c r="BU11" s="180" t="str">
        <f>IFERROR(__xludf.DUMMYFUNCTION("""COMPUTED_VALUE"""),"Computação em nuvem - software como serviço (SAAS)")</f>
        <v>Computação em nuvem - software como serviço (SAAS)</v>
      </c>
      <c r="BV11" s="180"/>
      <c r="BW11" s="180"/>
      <c r="BX11" s="180"/>
      <c r="BY11" s="180"/>
      <c r="BZ11" s="189"/>
      <c r="CA11" s="180"/>
      <c r="CB11" s="180" t="str">
        <f>IFERROR(__xludf.DUMMYFUNCTION("""COMPUTED_VALUE"""),"Apreciação de Causas na Justiça do Trabalho")</f>
        <v>Apreciação de Causas na Justiça do Trabalho</v>
      </c>
      <c r="CC11" s="180" t="str">
        <f>IFERROR(__xludf.DUMMYFUNCTION("""COMPUTED_VALUE""")," - ")</f>
        <v> - </v>
      </c>
      <c r="CD11" s="180" t="str">
        <f>IFERROR(__xludf.DUMMYFUNCTION("""COMPUTED_VALUE"""),"SERVIÇOS DE TECNOLOGIA DA INFORMAÇÃO E COMUNICAÇÃO - TIC")</f>
        <v>SERVIÇOS DE TECNOLOGIA DA INFORMAÇÃO E COMUNICAÇÃO - TIC</v>
      </c>
      <c r="CE11" s="180"/>
      <c r="CF11" s="180" t="str">
        <f>IFERROR(__xludf.DUMMYFUNCTION("""COMPUTED_VALUE"""),"COMPUTAÇÃO EM NUVEM - SOFTWARE COMO SERVIÇO (SAAS)")</f>
        <v>COMPUTAÇÃO EM NUVEM - SOFTWARE COMO SERVIÇO (SAAS)</v>
      </c>
      <c r="CG11" s="189"/>
      <c r="CH11" s="189">
        <f>IFERROR(__xludf.DUMMYFUNCTION("""COMPUTED_VALUE"""),45273.0)</f>
        <v>45273</v>
      </c>
      <c r="CI11" s="180" t="str">
        <f>IFERROR(__xludf.DUMMYFUNCTION("""COMPUTED_VALUE"""),"ORÇAMENTO")</f>
        <v>ORÇAMENTO</v>
      </c>
      <c r="CJ11" s="190">
        <f>IFERROR(__xludf.DUMMYFUNCTION("""COMPUTED_VALUE"""),400000.0)</f>
        <v>400000</v>
      </c>
      <c r="CK11" s="189">
        <f>IFERROR(__xludf.DUMMYFUNCTION("""COMPUTED_VALUE"""),44605.0)</f>
        <v>44605</v>
      </c>
      <c r="CL11" s="180" t="str">
        <f>IFERROR(__xludf.DUMMYFUNCTION("""COMPUTED_VALUE"""),"ARP_PARTICIPACAO")</f>
        <v>ARP_PARTICIPACAO</v>
      </c>
      <c r="CM11" s="180" t="str">
        <f>IFERROR(__xludf.DUMMYFUNCTION("""COMPUTED_VALUE"""),"x")</f>
        <v>x</v>
      </c>
      <c r="CN11" s="180" t="str">
        <f>IFERROR(__xludf.DUMMYFUNCTION("""COMPUTED_VALUE"""),"RP-11741/2017")</f>
        <v>RP-11741/2017</v>
      </c>
      <c r="CO11" s="234" t="str">
        <f>IFERROR(__xludf.DUMMYFUNCTION("""COMPUTED_VALUE"""),"https://www.trt12.jus.br/proad/pages/fichadoprocesso.xhtml?numeroProtocolo=11741&amp;numeroAno=2017&amp;tab=tabFichaDocumento")</f>
        <v>https://www.trt12.jus.br/proad/pages/fichadoprocesso.xhtml?numeroProtocolo=11741&amp;numeroAno=2017&amp;tab=tabFichaDocumento</v>
      </c>
      <c r="CP11" s="180"/>
      <c r="CQ11" s="180"/>
      <c r="CR11" s="180" t="str">
        <f>IFERROR(__xludf.DUMMYFUNCTION("""COMPUTED_VALUE"""),"GND3")</f>
        <v>GND3</v>
      </c>
      <c r="CS11" s="180"/>
      <c r="CT11" s="180"/>
      <c r="CU11" s="180"/>
      <c r="CV11" s="180"/>
      <c r="CW11" s="180"/>
      <c r="CX11" s="180"/>
      <c r="CY11" s="180"/>
      <c r="CZ11" s="180"/>
      <c r="DA11" s="180"/>
      <c r="DB11" s="180"/>
    </row>
    <row r="12">
      <c r="A12" s="230">
        <f>IFERROR(__xludf.DUMMYFUNCTION("""COMPUTED_VALUE"""),15099.0)</f>
        <v>15099</v>
      </c>
      <c r="B12" s="230">
        <f>IFERROR(__xludf.DUMMYFUNCTION("""COMPUTED_VALUE"""),0.0)</f>
        <v>0</v>
      </c>
      <c r="C12" s="180" t="str">
        <f>IFERROR(__xludf.DUMMYFUNCTION("""COMPUTED_VALUE"""),"RESERVA - Fundo de reserva e materiais diversos, para despesas imprevisíveis e reserva para capacitação a ser transferida tempestivamente à SEDUC")</f>
        <v>RESERVA - Fundo de reserva e materiais diversos, para despesas imprevisíveis e reserva para capacitação a ser transferida tempestivamente à SEDUC</v>
      </c>
      <c r="D12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12" s="180" t="str">
        <f>IFERROR(__xludf.DUMMYFUNCTION("""COMPUTED_VALUE"""),"PEI - APRIMORAR A GOVERNANÇA DE TIC E A PROTEÇÃO DE DADOS")</f>
        <v>PEI - APRIMORAR A GOVERNANÇA DE TIC E A PROTEÇÃO DE DADOS</v>
      </c>
      <c r="F12" s="180" t="str">
        <f>IFERROR(__xludf.DUMMYFUNCTION("""COMPUTED_VALUE"""),"Contratação de serviços de suporte à microinformática")</f>
        <v>Contratação de serviços de suporte à microinformática</v>
      </c>
      <c r="G12" s="180" t="str">
        <f>IFERROR(__xludf.DUMMYFUNCTION("""COMPUTED_VALUE"""),"(ID PAAC 15099) RESERVA - Fundo de reserva e materiais diversos, para despesas imprevisíveis e reserva para capacitação a ser transferida tempestivamente à SEDUC")</f>
        <v>(ID PAAC 15099) RESERVA - Fundo de reserva e materiais diversos, para despesas imprevisíveis e reserva para capacitação a ser transferida tempestivamente à SEDUC</v>
      </c>
      <c r="H12" s="180" t="str">
        <f>IFERROR(__xludf.DUMMYFUNCTION("""COMPUTED_VALUE"""),"Imediato")</f>
        <v>Imediato</v>
      </c>
      <c r="I12" s="180" t="str">
        <f>IFERROR(__xludf.DUMMYFUNCTION("""COMPUTED_VALUE"""),"SETIC")</f>
        <v>SETIC</v>
      </c>
      <c r="J12" s="180" t="str">
        <f>IFERROR(__xludf.DUMMYFUNCTION("""COMPUTED_VALUE"""),"SETIC")</f>
        <v>SETIC</v>
      </c>
      <c r="K12" s="180" t="str">
        <f>IFERROR(__xludf.DUMMYFUNCTION("""COMPUTED_VALUE"""),"GND3")</f>
        <v>GND3</v>
      </c>
      <c r="L12" s="231">
        <f>IFERROR(__xludf.DUMMYFUNCTION("""COMPUTED_VALUE"""),0.0)</f>
        <v>0</v>
      </c>
      <c r="M12" s="232">
        <f>IFERROR(__xludf.DUMMYFUNCTION("""COMPUTED_VALUE"""),3.3903017E7)</f>
        <v>33903017</v>
      </c>
      <c r="N12" s="232">
        <f>IFERROR(__xludf.DUMMYFUNCTION("""COMPUTED_VALUE"""),0.0)</f>
        <v>0</v>
      </c>
      <c r="O12" s="230">
        <f>IFERROR(__xludf.DUMMYFUNCTION("""COMPUTED_VALUE"""),168105.0)</f>
        <v>168105</v>
      </c>
      <c r="P12" s="180" t="str">
        <f>IFERROR(__xludf.DUMMYFUNCTION("""COMPUTED_VALUE"""),"Não")</f>
        <v>Não</v>
      </c>
      <c r="Q12" s="180" t="str">
        <f>IFERROR(__xludf.DUMMYFUNCTION("""COMPUTED_VALUE"""),"1 - Imprescindível")</f>
        <v>1 - Imprescindível</v>
      </c>
      <c r="R12" s="180" t="str">
        <f>IFERROR(__xludf.DUMMYFUNCTION("""COMPUTED_VALUE"""),"1 - Selecionado")</f>
        <v>1 - Selecionado</v>
      </c>
      <c r="S12" s="180"/>
      <c r="T12" s="180"/>
      <c r="U12" s="180" t="str">
        <f>IFERROR(__xludf.DUMMYFUNCTION("""COMPUTED_VALUE"""),"01 - Não oficializado")</f>
        <v>01 - Não oficializado</v>
      </c>
      <c r="V12" s="180"/>
      <c r="W12" s="180"/>
      <c r="X12" s="180" t="str">
        <f>IFERROR(__xludf.DUMMYFUNCTION("""COMPUTED_VALUE"""),"SESUP")</f>
        <v>SESUP</v>
      </c>
      <c r="Y12" s="180" t="str">
        <f>IFERROR(__xludf.DUMMYFUNCTION("""COMPUTED_VALUE"""),"DISPENSA_PELO_VALOR")</f>
        <v>DISPENSA_PELO_VALOR</v>
      </c>
      <c r="Z12" s="180" t="str">
        <f>IFERROR(__xludf.DUMMYFUNCTION("""COMPUTED_VALUE"""),"CD")</f>
        <v>CD</v>
      </c>
      <c r="AA12" s="180"/>
      <c r="AB12" s="230"/>
      <c r="AC12" s="180" t="str">
        <f>IFERROR(__xludf.DUMMYFUNCTION("""COMPUTED_VALUE"""),"#N/A")</f>
        <v>#N/A</v>
      </c>
      <c r="AD12" s="189">
        <f>IFERROR(__xludf.DUMMYFUNCTION("""COMPUTED_VALUE"""),44795.0)</f>
        <v>44795</v>
      </c>
      <c r="AE12" s="189">
        <f>IFERROR(__xludf.DUMMYFUNCTION("""COMPUTED_VALUE"""),44805.0)</f>
        <v>44805</v>
      </c>
      <c r="AF12" s="180" t="str">
        <f>IFERROR(__xludf.DUMMYFUNCTION("""COMPUTED_VALUE"""),"Márcio César Jacinto
Diretor do SESUP - Substituto")</f>
        <v>Márcio César Jacinto
Diretor do SESUP - Substituto</v>
      </c>
      <c r="AG12" s="233">
        <f>IFERROR(__xludf.DUMMYFUNCTION("""COMPUTED_VALUE"""),1.0)</f>
        <v>1</v>
      </c>
      <c r="AH12" s="190">
        <f>IFERROR(__xludf.DUMMYFUNCTION("""COMPUTED_VALUE"""),50000.0)</f>
        <v>50000</v>
      </c>
      <c r="AI12" s="180" t="str">
        <f>IFERROR(__xludf.DUMMYFUNCTION("""COMPUTED_VALUE"""),"Não")</f>
        <v>Não</v>
      </c>
      <c r="AJ12" s="190"/>
      <c r="AK12" s="180"/>
      <c r="AL12" s="180"/>
      <c r="AM12" s="180"/>
      <c r="AN12" s="190">
        <f>IFERROR(__xludf.DUMMYFUNCTION("""COMPUTED_VALUE"""),0.0)</f>
        <v>0</v>
      </c>
      <c r="AO12" s="190">
        <f>IFERROR(__xludf.DUMMYFUNCTION("""COMPUTED_VALUE"""),50000.0)</f>
        <v>50000</v>
      </c>
      <c r="AP12" s="180"/>
      <c r="AQ12" s="190">
        <f>IFERROR(__xludf.DUMMYFUNCTION("""COMPUTED_VALUE"""),50000.0)</f>
        <v>50000</v>
      </c>
      <c r="AR12" s="190">
        <f>IFERROR(__xludf.DUMMYFUNCTION("""COMPUTED_VALUE"""),50000.0)</f>
        <v>50000</v>
      </c>
      <c r="AS12" s="180"/>
      <c r="AT12" s="190">
        <f>IFERROR(__xludf.DUMMYFUNCTION("""COMPUTED_VALUE"""),50000.0)</f>
        <v>50000</v>
      </c>
      <c r="AU12" s="190"/>
      <c r="AV12" s="232"/>
      <c r="AW12" s="190">
        <f>IFERROR(__xludf.DUMMYFUNCTION("""COMPUTED_VALUE"""),0.0)</f>
        <v>0</v>
      </c>
      <c r="AX12" s="190">
        <f>IFERROR(__xludf.DUMMYFUNCTION("""COMPUTED_VALUE"""),0.0)</f>
        <v>0</v>
      </c>
      <c r="AY12" s="190">
        <f>IFERROR(__xludf.DUMMYFUNCTION("""COMPUTED_VALUE"""),0.0)</f>
        <v>0</v>
      </c>
      <c r="AZ12" s="190">
        <f>IFERROR(__xludf.DUMMYFUNCTION("""COMPUTED_VALUE"""),0.0)</f>
        <v>0</v>
      </c>
      <c r="BA12" s="190">
        <f>IFERROR(__xludf.DUMMYFUNCTION("""COMPUTED_VALUE"""),0.0)</f>
        <v>0</v>
      </c>
      <c r="BB12" s="180"/>
      <c r="BC12" s="232">
        <f>IFERROR(__xludf.DUMMYFUNCTION("""COMPUTED_VALUE"""),1.51132022236946E14)</f>
        <v>151132022236946</v>
      </c>
      <c r="BD12" s="180" t="str">
        <f>IFERROR(__xludf.DUMMYFUNCTION("""COMPUTED_VALUE"""),"Não")</f>
        <v>Não</v>
      </c>
      <c r="BE12" s="180" t="str">
        <f>IFERROR(__xludf.DUMMYFUNCTION("""COMPUTED_VALUE"""),"Não")</f>
        <v>Não</v>
      </c>
      <c r="BF12" s="180"/>
      <c r="BG12" s="180"/>
      <c r="BH12" s="233">
        <f>IFERROR(__xludf.DUMMYFUNCTION("""COMPUTED_VALUE"""),300000.0)</f>
        <v>300000</v>
      </c>
      <c r="BI12" s="180" t="str">
        <f>IFERROR(__xludf.DUMMYFUNCTION("""COMPUTED_VALUE"""),"Alta")</f>
        <v>Alta</v>
      </c>
      <c r="BJ12" s="180"/>
      <c r="BK12" s="180" t="str">
        <f>IFERROR(__xludf.DUMMYFUNCTION("""COMPUTED_VALUE"""),"unidade")</f>
        <v>unidade</v>
      </c>
      <c r="BL12" s="180"/>
      <c r="BM12" s="180" t="str">
        <f>IFERROR(__xludf.DUMMYFUNCTION("""COMPUTED_VALUE"""),"DISPENSA_PELO_VALOR")</f>
        <v>DISPENSA_PELO_VALOR</v>
      </c>
      <c r="BN12" s="189"/>
      <c r="BO12" s="189"/>
      <c r="BP12" s="190"/>
      <c r="BQ12" s="190"/>
      <c r="BR12" s="190"/>
      <c r="BS12" s="190">
        <f>IFERROR(__xludf.DUMMYFUNCTION("""COMPUTED_VALUE"""),50000.0)</f>
        <v>50000</v>
      </c>
      <c r="BT12" s="190"/>
      <c r="BU12" s="180" t="str">
        <f>IFERROR(__xludf.DUMMYFUNCTION("""COMPUTED_VALUE"""),"Material de TIC (consumo)")</f>
        <v>Material de TIC (consumo)</v>
      </c>
      <c r="BV12" s="180"/>
      <c r="BW12" s="180"/>
      <c r="BX12" s="180"/>
      <c r="BY12" s="180"/>
      <c r="BZ12" s="189"/>
      <c r="CA12" s="180"/>
      <c r="CB12" s="180" t="str">
        <f>IFERROR(__xludf.DUMMYFUNCTION("""COMPUTED_VALUE"""),"Apreciação de Causas na Justiça do Trabalho")</f>
        <v>Apreciação de Causas na Justiça do Trabalho</v>
      </c>
      <c r="CC12" s="180" t="str">
        <f>IFERROR(__xludf.DUMMYFUNCTION("""COMPUTED_VALUE""")," - ")</f>
        <v> - </v>
      </c>
      <c r="CD12" s="180" t="str">
        <f>IFERROR(__xludf.DUMMYFUNCTION("""COMPUTED_VALUE"""),"MATERIAL DE CONSUMO")</f>
        <v>MATERIAL DE CONSUMO</v>
      </c>
      <c r="CE12" s="180"/>
      <c r="CF12" s="180" t="str">
        <f>IFERROR(__xludf.DUMMYFUNCTION("""COMPUTED_VALUE"""),"MATERIAL DE TIC (CONSUMO)")</f>
        <v>MATERIAL DE TIC (CONSUMO)</v>
      </c>
      <c r="CG12" s="189"/>
      <c r="CH12" s="189">
        <f>IFERROR(__xludf.DUMMYFUNCTION("""COMPUTED_VALUE"""),45170.0)</f>
        <v>45170</v>
      </c>
      <c r="CI12" s="180" t="str">
        <f>IFERROR(__xludf.DUMMYFUNCTION("""COMPUTED_VALUE"""),"DISPENSA_PELO_VALOR")</f>
        <v>DISPENSA_PELO_VALOR</v>
      </c>
      <c r="CJ12" s="190">
        <f>IFERROR(__xludf.DUMMYFUNCTION("""COMPUTED_VALUE"""),50000.0)</f>
        <v>50000</v>
      </c>
      <c r="CK12" s="189">
        <f>IFERROR(__xludf.DUMMYFUNCTION("""COMPUTED_VALUE"""),44805.0)</f>
        <v>44805</v>
      </c>
      <c r="CL12" s="180" t="str">
        <f>IFERROR(__xludf.DUMMYFUNCTION("""COMPUTED_VALUE"""),"DISP_INEX")</f>
        <v>DISP_INEX</v>
      </c>
      <c r="CM12" s="180" t="str">
        <f>IFERROR(__xludf.DUMMYFUNCTION("""COMPUTED_VALUE"""),"x")</f>
        <v>x</v>
      </c>
      <c r="CN12" s="180"/>
      <c r="CO12" s="180"/>
      <c r="CP12" s="180"/>
      <c r="CQ12" s="180"/>
      <c r="CR12" s="180" t="str">
        <f>IFERROR(__xludf.DUMMYFUNCTION("""COMPUTED_VALUE"""),"GND3")</f>
        <v>GND3</v>
      </c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</row>
    <row r="13">
      <c r="A13" s="230">
        <f>IFERROR(__xludf.DUMMYFUNCTION("""COMPUTED_VALUE"""),15107.0)</f>
        <v>15107</v>
      </c>
      <c r="B13" s="230">
        <f>IFERROR(__xludf.DUMMYFUNCTION("""COMPUTED_VALUE"""),0.0)</f>
        <v>0</v>
      </c>
      <c r="C13" s="180" t="str">
        <f>IFERROR(__xludf.DUMMYFUNCTION("""COMPUTED_VALUE"""),"SCANNER MANUTENÇÃO - Contratação de manutenção dos scanneres para remessa de processo ao TST - SECART (Kodak i4600 e Fujitsu fi-6800)")</f>
        <v>SCANNER MANUTENÇÃO - Contratação de manutenção dos scanneres para remessa de processo ao TST - SECART (Kodak i4600 e Fujitsu fi-6800)</v>
      </c>
      <c r="D13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13" s="180" t="str">
        <f>IFERROR(__xludf.DUMMYFUNCTION("""COMPUTED_VALUE"""),"EJ05 - APERFEIÇOAR A GOVERNANÇA E A GESTÃO")</f>
        <v>EJ05 - APERFEIÇOAR A GOVERNANÇA E A GESTÃO</v>
      </c>
      <c r="F13" s="180" t="str">
        <f>IFERROR(__xludf.DUMMYFUNCTION("""COMPUTED_VALUE"""),"Contratação de serviços de suporte à microinformática")</f>
        <v>Contratação de serviços de suporte à microinformática</v>
      </c>
      <c r="G13" s="180" t="str">
        <f>IFERROR(__xludf.DUMMYFUNCTION("""COMPUTED_VALUE"""),"(ID PAAC 15107) SCANNER MANUTENÇÃO - Contratação de manutenção dos scanneres para remessa de processo ao TST - SECART (Kodak i4600 e Fujitsu fi-6800)")</f>
        <v>(ID PAAC 15107) SCANNER MANUTENÇÃO - Contratação de manutenção dos scanneres para remessa de processo ao TST - SECART (Kodak i4600 e Fujitsu fi-6800)</v>
      </c>
      <c r="H13" s="180" t="str">
        <f>IFERROR(__xludf.DUMMYFUNCTION("""COMPUTED_VALUE"""),"Continuado")</f>
        <v>Continuado</v>
      </c>
      <c r="I13" s="180" t="str">
        <f>IFERROR(__xludf.DUMMYFUNCTION("""COMPUTED_VALUE"""),"SECAP")</f>
        <v>SECAP</v>
      </c>
      <c r="J13" s="180" t="str">
        <f>IFERROR(__xludf.DUMMYFUNCTION("""COMPUTED_VALUE"""),"SETIC")</f>
        <v>SETIC</v>
      </c>
      <c r="K13" s="180" t="str">
        <f>IFERROR(__xludf.DUMMYFUNCTION("""COMPUTED_VALUE"""),"GND3")</f>
        <v>GND3</v>
      </c>
      <c r="L13" s="231">
        <f>IFERROR(__xludf.DUMMYFUNCTION("""COMPUTED_VALUE"""),0.0)</f>
        <v>0</v>
      </c>
      <c r="M13" s="232">
        <f>IFERROR(__xludf.DUMMYFUNCTION("""COMPUTED_VALUE"""),3.3904012E7)</f>
        <v>33904012</v>
      </c>
      <c r="N13" s="232">
        <f>IFERROR(__xludf.DUMMYFUNCTION("""COMPUTED_VALUE"""),0.0)</f>
        <v>0</v>
      </c>
      <c r="O13" s="230">
        <f>IFERROR(__xludf.DUMMYFUNCTION("""COMPUTED_VALUE"""),168105.0)</f>
        <v>168105</v>
      </c>
      <c r="P13" s="180" t="str">
        <f>IFERROR(__xludf.DUMMYFUNCTION("""COMPUTED_VALUE"""),"Não")</f>
        <v>Não</v>
      </c>
      <c r="Q13" s="180" t="str">
        <f>IFERROR(__xludf.DUMMYFUNCTION("""COMPUTED_VALUE"""),"1 - Imprescindível")</f>
        <v>1 - Imprescindível</v>
      </c>
      <c r="R13" s="180" t="str">
        <f>IFERROR(__xludf.DUMMYFUNCTION("""COMPUTED_VALUE"""),"1 - Selecionado")</f>
        <v>1 - Selecionado</v>
      </c>
      <c r="S13" s="180"/>
      <c r="T13" s="180"/>
      <c r="U13" s="180" t="str">
        <f>IFERROR(__xludf.DUMMYFUNCTION("""COMPUTED_VALUE"""),"01 - Não oficializado")</f>
        <v>01 - Não oficializado</v>
      </c>
      <c r="V13" s="180"/>
      <c r="W13" s="180" t="str">
        <f>IFERROR(__xludf.DUMMYFUNCTION("""COMPUTED_VALUE"""),"7373/2017")</f>
        <v>7373/2017</v>
      </c>
      <c r="X13" s="180" t="str">
        <f>IFERROR(__xludf.DUMMYFUNCTION("""COMPUTED_VALUE"""),"SESUP")</f>
        <v>SESUP</v>
      </c>
      <c r="Y13" s="180" t="str">
        <f>IFERROR(__xludf.DUMMYFUNCTION("""COMPUTED_VALUE"""),"PROR")</f>
        <v>PROR</v>
      </c>
      <c r="Z13" s="180" t="str">
        <f>IFERROR(__xludf.DUMMYFUNCTION("""COMPUTED_VALUE"""),"PRE")</f>
        <v>PRE</v>
      </c>
      <c r="AA13" s="180" t="str">
        <f>IFERROR(__xludf.DUMMYFUNCTION("""COMPUTED_VALUE"""),"PRE-7373/2017")</f>
        <v>PRE-7373/2017</v>
      </c>
      <c r="AB13" s="230">
        <f>IFERROR(__xludf.DUMMYFUNCTION("""COMPUTED_VALUE"""),7.452760000189E12)</f>
        <v>7452760000189</v>
      </c>
      <c r="AC13" s="180" t="str">
        <f>IFERROR(__xludf.DUMMYFUNCTION("""COMPUTED_VALUE"""),"VANTUTA PRESTACAO DE SERVICOS LTDA")</f>
        <v>VANTUTA PRESTACAO DE SERVICOS LTDA</v>
      </c>
      <c r="AD13" s="189">
        <f>IFERROR(__xludf.DUMMYFUNCTION("""COMPUTED_VALUE"""),44728.0)</f>
        <v>44728</v>
      </c>
      <c r="AE13" s="189">
        <f>IFERROR(__xludf.DUMMYFUNCTION("""COMPUTED_VALUE"""),44818.0)</f>
        <v>44818</v>
      </c>
      <c r="AF13" s="180" t="str">
        <f>IFERROR(__xludf.DUMMYFUNCTION("""COMPUTED_VALUE"""),"Márcio César Jacinto
Diretor do SESUP - Substituto")</f>
        <v>Márcio César Jacinto
Diretor do SESUP - Substituto</v>
      </c>
      <c r="AG13" s="233">
        <f>IFERROR(__xludf.DUMMYFUNCTION("""COMPUTED_VALUE"""),1.0)</f>
        <v>1</v>
      </c>
      <c r="AH13" s="190">
        <f>IFERROR(__xludf.DUMMYFUNCTION("""COMPUTED_VALUE"""),17940.0)</f>
        <v>17940</v>
      </c>
      <c r="AI13" s="180" t="str">
        <f>IFERROR(__xludf.DUMMYFUNCTION("""COMPUTED_VALUE"""),"Não")</f>
        <v>Não</v>
      </c>
      <c r="AJ13" s="190"/>
      <c r="AK13" s="180" t="str">
        <f>IFERROR(__xludf.DUMMYFUNCTION("""COMPUTED_VALUE"""),"Laís Helena Vieira da Luz")</f>
        <v>Laís Helena Vieira da Luz</v>
      </c>
      <c r="AL13" s="180"/>
      <c r="AM13" s="180"/>
      <c r="AN13" s="190">
        <f>IFERROR(__xludf.DUMMYFUNCTION("""COMPUTED_VALUE"""),-12060.0)</f>
        <v>-12060</v>
      </c>
      <c r="AO13" s="190">
        <f>IFERROR(__xludf.DUMMYFUNCTION("""COMPUTED_VALUE"""),30000.0)</f>
        <v>30000</v>
      </c>
      <c r="AP13" s="180" t="str">
        <f>IFERROR(__xludf.DUMMYFUNCTION("""COMPUTED_VALUE"""),"2022NE000097")</f>
        <v>2022NE000097</v>
      </c>
      <c r="AQ13" s="190">
        <f>IFERROR(__xludf.DUMMYFUNCTION("""COMPUTED_VALUE"""),30000.0)</f>
        <v>30000</v>
      </c>
      <c r="AR13" s="190">
        <f>IFERROR(__xludf.DUMMYFUNCTION("""COMPUTED_VALUE"""),17940.0)</f>
        <v>17940</v>
      </c>
      <c r="AS13" s="180"/>
      <c r="AT13" s="190">
        <f>IFERROR(__xludf.DUMMYFUNCTION("""COMPUTED_VALUE"""),17940.0)</f>
        <v>17940</v>
      </c>
      <c r="AU13" s="190">
        <f>IFERROR(__xludf.DUMMYFUNCTION("""COMPUTED_VALUE"""),1495.0)</f>
        <v>1495</v>
      </c>
      <c r="AV13" s="232">
        <f>IFERROR(__xludf.DUMMYFUNCTION("""COMPUTED_VALUE"""),12.0)</f>
        <v>12</v>
      </c>
      <c r="AW13" s="190">
        <f>IFERROR(__xludf.DUMMYFUNCTION("""COMPUTED_VALUE"""),17940.0)</f>
        <v>17940</v>
      </c>
      <c r="AX13" s="190">
        <f>IFERROR(__xludf.DUMMYFUNCTION("""COMPUTED_VALUE"""),0.0)</f>
        <v>0</v>
      </c>
      <c r="AY13" s="190">
        <f>IFERROR(__xludf.DUMMYFUNCTION("""COMPUTED_VALUE"""),17940.0)</f>
        <v>17940</v>
      </c>
      <c r="AZ13" s="190">
        <f>IFERROR(__xludf.DUMMYFUNCTION("""COMPUTED_VALUE"""),4485.0)</f>
        <v>4485</v>
      </c>
      <c r="BA13" s="190">
        <f>IFERROR(__xludf.DUMMYFUNCTION("""COMPUTED_VALUE"""),13455.0)</f>
        <v>13455</v>
      </c>
      <c r="BB13" s="180" t="str">
        <f>IFERROR(__xludf.DUMMYFUNCTION("""COMPUTED_VALUE"""),"PRE-7373/2017")</f>
        <v>PRE-7373/2017</v>
      </c>
      <c r="BC13" s="232">
        <f>IFERROR(__xludf.DUMMYFUNCTION("""COMPUTED_VALUE"""),1.51132022236923E14)</f>
        <v>151132022236923</v>
      </c>
      <c r="BD13" s="180" t="str">
        <f>IFERROR(__xludf.DUMMYFUNCTION("""COMPUTED_VALUE"""),"Sim")</f>
        <v>Sim</v>
      </c>
      <c r="BE13" s="180" t="str">
        <f>IFERROR(__xludf.DUMMYFUNCTION("""COMPUTED_VALUE"""),"Sim")</f>
        <v>Sim</v>
      </c>
      <c r="BF13" s="180"/>
      <c r="BG13" s="180"/>
      <c r="BH13" s="233">
        <f>IFERROR(__xludf.DUMMYFUNCTION("""COMPUTED_VALUE"""),300000.0)</f>
        <v>300000</v>
      </c>
      <c r="BI13" s="180" t="str">
        <f>IFERROR(__xludf.DUMMYFUNCTION("""COMPUTED_VALUE"""),"Alta")</f>
        <v>Alta</v>
      </c>
      <c r="BJ13" s="180"/>
      <c r="BK13" s="180" t="str">
        <f>IFERROR(__xludf.DUMMYFUNCTION("""COMPUTED_VALUE"""),"ano")</f>
        <v>ano</v>
      </c>
      <c r="BL13" s="180" t="str">
        <f>IFERROR(__xludf.DUMMYFUNCTION("""COMPUTED_VALUE"""),"P. Eletrônico")</f>
        <v>P. Eletrônico</v>
      </c>
      <c r="BM13" s="180" t="str">
        <f>IFERROR(__xludf.DUMMYFUNCTION("""COMPUTED_VALUE"""),"PROR")</f>
        <v>PROR</v>
      </c>
      <c r="BN13" s="189"/>
      <c r="BO13" s="189"/>
      <c r="BP13" s="190"/>
      <c r="BQ13" s="190"/>
      <c r="BR13" s="190"/>
      <c r="BS13" s="190">
        <f>IFERROR(__xludf.DUMMYFUNCTION("""COMPUTED_VALUE"""),17940.0)</f>
        <v>17940</v>
      </c>
      <c r="BT13" s="190">
        <f>IFERROR(__xludf.DUMMYFUNCTION("""COMPUTED_VALUE"""),17940.0)</f>
        <v>17940</v>
      </c>
      <c r="BU13" s="180" t="str">
        <f>IFERROR(__xludf.DUMMYFUNCTION("""COMPUTED_VALUE"""),"Manutenção e conservação de equipamentos de TIC")</f>
        <v>Manutenção e conservação de equipamentos de TIC</v>
      </c>
      <c r="BV13" s="180"/>
      <c r="BW13" s="180"/>
      <c r="BX13" s="180"/>
      <c r="BY13" s="180"/>
      <c r="BZ13" s="189"/>
      <c r="CA13" s="180"/>
      <c r="CB13" s="180" t="str">
        <f>IFERROR(__xludf.DUMMYFUNCTION("""COMPUTED_VALUE"""),"Apreciação de Causas na Justiça do Trabalho")</f>
        <v>Apreciação de Causas na Justiça do Trabalho</v>
      </c>
      <c r="CC13" s="180" t="str">
        <f>IFERROR(__xludf.DUMMYFUNCTION("""COMPUTED_VALUE""")," - ")</f>
        <v> - </v>
      </c>
      <c r="CD13" s="180" t="str">
        <f>IFERROR(__xludf.DUMMYFUNCTION("""COMPUTED_VALUE"""),"SERVIÇOS DE TECNOLOGIA DA INFORMAÇÃO E COMUNICAÇÃO - TIC")</f>
        <v>SERVIÇOS DE TECNOLOGIA DA INFORMAÇÃO E COMUNICAÇÃO - TIC</v>
      </c>
      <c r="CE13" s="180"/>
      <c r="CF13" s="180" t="str">
        <f>IFERROR(__xludf.DUMMYFUNCTION("""COMPUTED_VALUE"""),"MANUTENÇÃO E CONSERVAÇÃO DE EQUIPAMENTOS DE TIC")</f>
        <v>MANUTENÇÃO E CONSERVAÇÃO DE EQUIPAMENTOS DE TIC</v>
      </c>
      <c r="CG13" s="189"/>
      <c r="CH13" s="189">
        <f>IFERROR(__xludf.DUMMYFUNCTION("""COMPUTED_VALUE"""),45183.0)</f>
        <v>45183</v>
      </c>
      <c r="CI13" s="180" t="str">
        <f>IFERROR(__xludf.DUMMYFUNCTION("""COMPUTED_VALUE"""),"PROR")</f>
        <v>PROR</v>
      </c>
      <c r="CJ13" s="190">
        <f>IFERROR(__xludf.DUMMYFUNCTION("""COMPUTED_VALUE"""),17940.0)</f>
        <v>17940</v>
      </c>
      <c r="CK13" s="189">
        <f>IFERROR(__xludf.DUMMYFUNCTION("""COMPUTED_VALUE"""),44818.0)</f>
        <v>44818</v>
      </c>
      <c r="CL13" s="180" t="str">
        <f>IFERROR(__xludf.DUMMYFUNCTION("""COMPUTED_VALUE"""),"PROR")</f>
        <v>PROR</v>
      </c>
      <c r="CM13" s="180" t="str">
        <f>IFERROR(__xludf.DUMMYFUNCTION("""COMPUTED_VALUE"""),"x")</f>
        <v>x</v>
      </c>
      <c r="CN13" s="180" t="str">
        <f>IFERROR(__xludf.DUMMYFUNCTION("""COMPUTED_VALUE"""),"PRE-7373/2017")</f>
        <v>PRE-7373/2017</v>
      </c>
      <c r="CO13" s="180"/>
      <c r="CP13" s="180"/>
      <c r="CQ13" s="180"/>
      <c r="CR13" s="180" t="str">
        <f>IFERROR(__xludf.DUMMYFUNCTION("""COMPUTED_VALUE"""),"GND3")</f>
        <v>GND3</v>
      </c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</row>
    <row r="14">
      <c r="A14" s="230">
        <f>IFERROR(__xludf.DUMMYFUNCTION("""COMPUTED_VALUE"""),15151.0)</f>
        <v>15151</v>
      </c>
      <c r="B14" s="230">
        <f>IFERROR(__xludf.DUMMYFUNCTION("""COMPUTED_VALUE"""),0.0)</f>
        <v>0</v>
      </c>
      <c r="C14" s="180" t="str">
        <f>IFERROR(__xludf.DUMMYFUNCTION("""COMPUTED_VALUE"""),"BANCO DE DADOS - Contratação de monitoramento remoto e suporte técnico para os bancos de dados Oracle, PostgreSQL e MySQL, contratado como item obrigatório do CSJT")</f>
        <v>BANCO DE DADOS - Contratação de monitoramento remoto e suporte técnico para os bancos de dados Oracle, PostgreSQL e MySQL, contratado como item obrigatório do CSJT</v>
      </c>
      <c r="D14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14" s="180" t="str">
        <f>IFERROR(__xludf.DUMMYFUNCTION("""COMPUTED_VALUE"""),"EJ08 - PROMOVER SERVIÇOS DE INFRAESTRUTURA E SOLUÇÕES CORPORATIVAS")</f>
        <v>EJ08 - PROMOVER SERVIÇOS DE INFRAESTRUTURA E SOLUÇÕES CORPORATIVAS</v>
      </c>
      <c r="F14" s="180" t="str">
        <f>IFERROR(__xludf.DUMMYFUNCTION("""COMPUTED_VALUE"""),"Contratação de serviços para o suporte à infraestrutura tecnológica")</f>
        <v>Contratação de serviços para o suporte à infraestrutura tecnológica</v>
      </c>
      <c r="G14" s="180" t="str">
        <f>IFERROR(__xludf.DUMMYFUNCTION("""COMPUTED_VALUE"""),"(ID PAAC 15151) BANCO DE DADOS - Contratação de monitoramento remoto e suporte técnico para os bancos de dados Oracle, PostgreSQL e MySQL, contratado como item obrigatório do CSJT")</f>
        <v>(ID PAAC 15151) BANCO DE DADOS - Contratação de monitoramento remoto e suporte técnico para os bancos de dados Oracle, PostgreSQL e MySQL, contratado como item obrigatório do CSJT</v>
      </c>
      <c r="H14" s="180" t="str">
        <f>IFERROR(__xludf.DUMMYFUNCTION("""COMPUTED_VALUE"""),"Continuado")</f>
        <v>Continuado</v>
      </c>
      <c r="I14" s="180" t="str">
        <f>IFERROR(__xludf.DUMMYFUNCTION("""COMPUTED_VALUE"""),"SETIC")</f>
        <v>SETIC</v>
      </c>
      <c r="J14" s="180" t="str">
        <f>IFERROR(__xludf.DUMMYFUNCTION("""COMPUTED_VALUE"""),"SETIC")</f>
        <v>SETIC</v>
      </c>
      <c r="K14" s="180" t="str">
        <f>IFERROR(__xludf.DUMMYFUNCTION("""COMPUTED_VALUE"""),"GND3")</f>
        <v>GND3</v>
      </c>
      <c r="L14" s="231">
        <f>IFERROR(__xludf.DUMMYFUNCTION("""COMPUTED_VALUE"""),0.0)</f>
        <v>0</v>
      </c>
      <c r="M14" s="232">
        <f>IFERROR(__xludf.DUMMYFUNCTION("""COMPUTED_VALUE"""),3.3904007E7)</f>
        <v>33904007</v>
      </c>
      <c r="N14" s="232">
        <f>IFERROR(__xludf.DUMMYFUNCTION("""COMPUTED_VALUE"""),0.0)</f>
        <v>0</v>
      </c>
      <c r="O14" s="230">
        <f>IFERROR(__xludf.DUMMYFUNCTION("""COMPUTED_VALUE"""),168107.0)</f>
        <v>168107</v>
      </c>
      <c r="P14" s="180" t="str">
        <f>IFERROR(__xludf.DUMMYFUNCTION("""COMPUTED_VALUE"""),"Sim")</f>
        <v>Sim</v>
      </c>
      <c r="Q14" s="180" t="str">
        <f>IFERROR(__xludf.DUMMYFUNCTION("""COMPUTED_VALUE"""),"1 - Imprescindível")</f>
        <v>1 - Imprescindível</v>
      </c>
      <c r="R14" s="180" t="str">
        <f>IFERROR(__xludf.DUMMYFUNCTION("""COMPUTED_VALUE"""),"1 - Selecionado")</f>
        <v>1 - Selecionado</v>
      </c>
      <c r="S14" s="180"/>
      <c r="T14" s="180"/>
      <c r="U14" s="180" t="str">
        <f>IFERROR(__xludf.DUMMYFUNCTION("""COMPUTED_VALUE"""),"99 - Orçamentário")</f>
        <v>99 - Orçamentário</v>
      </c>
      <c r="V14" s="180"/>
      <c r="W14" s="180" t="str">
        <f>IFERROR(__xludf.DUMMYFUNCTION("""COMPUTED_VALUE"""),"9447/2017")</f>
        <v>9447/2017</v>
      </c>
      <c r="X14" s="180" t="str">
        <f>IFERROR(__xludf.DUMMYFUNCTION("""COMPUTED_VALUE"""),"SEINFRA")</f>
        <v>SEINFRA</v>
      </c>
      <c r="Y14" s="180" t="str">
        <f>IFERROR(__xludf.DUMMYFUNCTION("""COMPUTED_VALUE"""),"ORÇAMENTO")</f>
        <v>ORÇAMENTO</v>
      </c>
      <c r="Z14" s="180" t="str">
        <f>IFERROR(__xludf.DUMMYFUNCTION("""COMPUTED_VALUE"""),"PRE")</f>
        <v>PRE</v>
      </c>
      <c r="AA14" s="180" t="str">
        <f>IFERROR(__xludf.DUMMYFUNCTION("""COMPUTED_VALUE"""),"PRE-9447/2017")</f>
        <v>PRE-9447/2017</v>
      </c>
      <c r="AB14" s="230">
        <f>IFERROR(__xludf.DUMMYFUNCTION("""COMPUTED_VALUE"""),1.1140607000193E13)</f>
        <v>11140607000193</v>
      </c>
      <c r="AC14" s="180" t="str">
        <f>IFERROR(__xludf.DUMMYFUNCTION("""COMPUTED_VALUE"""),"BERTINI DO BRASIL LTDA.")</f>
        <v>BERTINI DO BRASIL LTDA.</v>
      </c>
      <c r="AD14" s="189">
        <f>IFERROR(__xludf.DUMMYFUNCTION("""COMPUTED_VALUE"""),44958.0)</f>
        <v>44958</v>
      </c>
      <c r="AE14" s="189">
        <f>IFERROR(__xludf.DUMMYFUNCTION("""COMPUTED_VALUE"""),44958.0)</f>
        <v>44958</v>
      </c>
      <c r="AF14" s="180" t="str">
        <f>IFERROR(__xludf.DUMMYFUNCTION("""COMPUTED_VALUE"""),"Anderson Bastos
Diretor do SEINFRA")</f>
        <v>Anderson Bastos
Diretor do SEINFRA</v>
      </c>
      <c r="AG14" s="233">
        <f>IFERROR(__xludf.DUMMYFUNCTION("""COMPUTED_VALUE"""),1.0)</f>
        <v>1</v>
      </c>
      <c r="AH14" s="190">
        <f>IFERROR(__xludf.DUMMYFUNCTION("""COMPUTED_VALUE"""),187200.0)</f>
        <v>187200</v>
      </c>
      <c r="AI14" s="180" t="str">
        <f>IFERROR(__xludf.DUMMYFUNCTION("""COMPUTED_VALUE"""),"Sim")</f>
        <v>Sim</v>
      </c>
      <c r="AJ14" s="190"/>
      <c r="AK14" s="180" t="str">
        <f>IFERROR(__xludf.DUMMYFUNCTION("""COMPUTED_VALUE"""),"Anderson Bastos")</f>
        <v>Anderson Bastos</v>
      </c>
      <c r="AL14" s="180"/>
      <c r="AM14" s="180"/>
      <c r="AN14" s="190">
        <f>IFERROR(__xludf.DUMMYFUNCTION("""COMPUTED_VALUE"""),-26067.0)</f>
        <v>-26067</v>
      </c>
      <c r="AO14" s="190">
        <f>IFERROR(__xludf.DUMMYFUNCTION("""COMPUTED_VALUE"""),213267.0)</f>
        <v>213267</v>
      </c>
      <c r="AP14" s="180" t="str">
        <f>IFERROR(__xludf.DUMMYFUNCTION("""COMPUTED_VALUE"""),"2022NE000123")</f>
        <v>2022NE000123</v>
      </c>
      <c r="AQ14" s="190">
        <f>IFERROR(__xludf.DUMMYFUNCTION("""COMPUTED_VALUE"""),213267.0)</f>
        <v>213267</v>
      </c>
      <c r="AR14" s="190">
        <f>IFERROR(__xludf.DUMMYFUNCTION("""COMPUTED_VALUE"""),187200.0)</f>
        <v>187200</v>
      </c>
      <c r="AS14" s="180" t="str">
        <f>IFERROR(__xludf.DUMMYFUNCTION("""COMPUTED_VALUE"""),"2021NE000127")</f>
        <v>2021NE000127</v>
      </c>
      <c r="AT14" s="190">
        <f>IFERROR(__xludf.DUMMYFUNCTION("""COMPUTED_VALUE"""),187200.0)</f>
        <v>187200</v>
      </c>
      <c r="AU14" s="190">
        <f>IFERROR(__xludf.DUMMYFUNCTION("""COMPUTED_VALUE"""),15600.0)</f>
        <v>15600</v>
      </c>
      <c r="AV14" s="232">
        <f>IFERROR(__xludf.DUMMYFUNCTION("""COMPUTED_VALUE"""),12.0)</f>
        <v>12</v>
      </c>
      <c r="AW14" s="190">
        <f>IFERROR(__xludf.DUMMYFUNCTION("""COMPUTED_VALUE"""),187200.0)</f>
        <v>187200</v>
      </c>
      <c r="AX14" s="190">
        <f>IFERROR(__xludf.DUMMYFUNCTION("""COMPUTED_VALUE"""),0.0)</f>
        <v>0</v>
      </c>
      <c r="AY14" s="190">
        <f>IFERROR(__xludf.DUMMYFUNCTION("""COMPUTED_VALUE"""),187200.0)</f>
        <v>187200</v>
      </c>
      <c r="AZ14" s="190">
        <f>IFERROR(__xludf.DUMMYFUNCTION("""COMPUTED_VALUE"""),46800.0)</f>
        <v>46800</v>
      </c>
      <c r="BA14" s="190">
        <f>IFERROR(__xludf.DUMMYFUNCTION("""COMPUTED_VALUE"""),140400.0)</f>
        <v>140400</v>
      </c>
      <c r="BB14" s="180" t="str">
        <f>IFERROR(__xludf.DUMMYFUNCTION("""COMPUTED_VALUE"""),"PRE-9447/2017")</f>
        <v>PRE-9447/2017</v>
      </c>
      <c r="BC14" s="232">
        <f>IFERROR(__xludf.DUMMYFUNCTION("""COMPUTED_VALUE"""),1.51132022236937E14)</f>
        <v>151132022236937</v>
      </c>
      <c r="BD14" s="180" t="str">
        <f>IFERROR(__xludf.DUMMYFUNCTION("""COMPUTED_VALUE"""),"Não")</f>
        <v>Não</v>
      </c>
      <c r="BE14" s="180" t="str">
        <f>IFERROR(__xludf.DUMMYFUNCTION("""COMPUTED_VALUE"""),"Sim")</f>
        <v>Sim</v>
      </c>
      <c r="BF14" s="180"/>
      <c r="BG14" s="180"/>
      <c r="BH14" s="233">
        <f>IFERROR(__xludf.DUMMYFUNCTION("""COMPUTED_VALUE"""),300000.0)</f>
        <v>300000</v>
      </c>
      <c r="BI14" s="180" t="str">
        <f>IFERROR(__xludf.DUMMYFUNCTION("""COMPUTED_VALUE"""),"Alta")</f>
        <v>Alta</v>
      </c>
      <c r="BJ14" s="180"/>
      <c r="BK14" s="180" t="str">
        <f>IFERROR(__xludf.DUMMYFUNCTION("""COMPUTED_VALUE"""),"ano")</f>
        <v>ano</v>
      </c>
      <c r="BL14" s="180" t="str">
        <f>IFERROR(__xludf.DUMMYFUNCTION("""COMPUTED_VALUE"""),"P. Eletrônico")</f>
        <v>P. Eletrônico</v>
      </c>
      <c r="BM14" s="180" t="str">
        <f>IFERROR(__xludf.DUMMYFUNCTION("""COMPUTED_VALUE"""),"ORÇAMENTO")</f>
        <v>ORÇAMENTO</v>
      </c>
      <c r="BN14" s="189"/>
      <c r="BO14" s="189"/>
      <c r="BP14" s="190"/>
      <c r="BQ14" s="190"/>
      <c r="BR14" s="190"/>
      <c r="BS14" s="190">
        <f>IFERROR(__xludf.DUMMYFUNCTION("""COMPUTED_VALUE"""),187200.0)</f>
        <v>187200</v>
      </c>
      <c r="BT14" s="190"/>
      <c r="BU14" s="180" t="str">
        <f>IFERROR(__xludf.DUMMYFUNCTION("""COMPUTED_VALUE"""),"Manutenção corretiva/adaptativa e sustentação softwares")</f>
        <v>Manutenção corretiva/adaptativa e sustentação softwares</v>
      </c>
      <c r="BV14" s="180" t="str">
        <f>IFERROR(__xludf.DUMMYFUNCTION("""COMPUTED_VALUE"""),"INFRA-PJe - Servidor de Banco de Dados Postgres (Suporte)")</f>
        <v>INFRA-PJe - Servidor de Banco de Dados Postgres (Suporte)</v>
      </c>
      <c r="BW14" s="180" t="str">
        <f>IFERROR(__xludf.DUMMYFUNCTION("""COMPUTED_VALUE"""),"06 - POSTGRESQL - Suporte ao Banco de Dados para Pje")</f>
        <v>06 - POSTGRESQL - Suporte ao Banco de Dados para Pje</v>
      </c>
      <c r="BX14" s="180"/>
      <c r="BY14" s="180" t="str">
        <f>IFERROR(__xludf.DUMMYFUNCTION("""COMPUTED_VALUE"""),"Servidor de Banco de Dados Postgres (Suporte)")</f>
        <v>Servidor de Banco de Dados Postgres (Suporte)</v>
      </c>
      <c r="BZ14" s="189"/>
      <c r="CA14" s="180"/>
      <c r="CB14" s="180" t="str">
        <f>IFERROR(__xludf.DUMMYFUNCTION("""COMPUTED_VALUE"""),"Manutenção e Gestão dos Serviços de Tecnologia da Informação")</f>
        <v>Manutenção e Gestão dos Serviços de Tecnologia da Informação</v>
      </c>
      <c r="CC14" s="180" t="str">
        <f>IFERROR(__xludf.DUMMYFUNCTION("""COMPUTED_VALUE"""),"INFRA-PJe - Servidor de Banco de Dados Postgres (Suporte) - Servidor de Banco de Dados Postgres (Suporte)")</f>
        <v>INFRA-PJe - Servidor de Banco de Dados Postgres (Suporte) - Servidor de Banco de Dados Postgres (Suporte)</v>
      </c>
      <c r="CD14" s="180" t="str">
        <f>IFERROR(__xludf.DUMMYFUNCTION("""COMPUTED_VALUE"""),"SERVIÇOS DE TECNOLOGIA DA INFORMAÇÃO E COMUNICAÇÃO - TIC")</f>
        <v>SERVIÇOS DE TECNOLOGIA DA INFORMAÇÃO E COMUNICAÇÃO - TIC</v>
      </c>
      <c r="CE14" s="180"/>
      <c r="CF14" s="180" t="str">
        <f>IFERROR(__xludf.DUMMYFUNCTION("""COMPUTED_VALUE"""),"MANUTENÇÃO CORRETIVA/ADAPTATIVA E SUSTENTAÇÃO SOFTWARES")</f>
        <v>MANUTENÇÃO CORRETIVA/ADAPTATIVA E SUSTENTAÇÃO SOFTWARES</v>
      </c>
      <c r="CG14" s="189"/>
      <c r="CH14" s="189">
        <f>IFERROR(__xludf.DUMMYFUNCTION("""COMPUTED_VALUE"""),45323.0)</f>
        <v>45323</v>
      </c>
      <c r="CI14" s="180" t="str">
        <f>IFERROR(__xludf.DUMMYFUNCTION("""COMPUTED_VALUE"""),"ORÇAMENTO")</f>
        <v>ORÇAMENTO</v>
      </c>
      <c r="CJ14" s="190">
        <f>IFERROR(__xludf.DUMMYFUNCTION("""COMPUTED_VALUE"""),213267.0)</f>
        <v>213267</v>
      </c>
      <c r="CK14" s="189">
        <f>IFERROR(__xludf.DUMMYFUNCTION("""COMPUTED_VALUE"""),44712.0)</f>
        <v>44712</v>
      </c>
      <c r="CL14" s="180" t="str">
        <f>IFERROR(__xludf.DUMMYFUNCTION("""COMPUTED_VALUE"""),"PROR")</f>
        <v>PROR</v>
      </c>
      <c r="CM14" s="180" t="str">
        <f>IFERROR(__xludf.DUMMYFUNCTION("""COMPUTED_VALUE"""),"x")</f>
        <v>x</v>
      </c>
      <c r="CN14" s="180" t="str">
        <f>IFERROR(__xludf.DUMMYFUNCTION("""COMPUTED_VALUE"""),"PRE-9447/2017")</f>
        <v>PRE-9447/2017</v>
      </c>
      <c r="CO14" s="234" t="str">
        <f>IFERROR(__xludf.DUMMYFUNCTION("""COMPUTED_VALUE"""),"https://www.trt12.jus.br/proad/pages/fichadoprocesso.xhtml?numeroProtocolo=9447&amp;numeroAno=2017&amp;tab=tabFichaDocumento")</f>
        <v>https://www.trt12.jus.br/proad/pages/fichadoprocesso.xhtml?numeroProtocolo=9447&amp;numeroAno=2017&amp;tab=tabFichaDocumento</v>
      </c>
      <c r="CP14" s="180"/>
      <c r="CQ14" s="180"/>
      <c r="CR14" s="180" t="str">
        <f>IFERROR(__xludf.DUMMYFUNCTION("""COMPUTED_VALUE"""),"GND3")</f>
        <v>GND3</v>
      </c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</row>
    <row r="15">
      <c r="A15" s="230">
        <f>IFERROR(__xludf.DUMMYFUNCTION("""COMPUTED_VALUE"""),15166.0)</f>
        <v>15166</v>
      </c>
      <c r="B15" s="230">
        <f>IFERROR(__xludf.DUMMYFUNCTION("""COMPUTED_VALUE"""),0.0)</f>
        <v>0</v>
      </c>
      <c r="C15" s="180" t="str">
        <f>IFERROR(__xludf.DUMMYFUNCTION("""COMPUTED_VALUE"""),"ADOBE LICENÇAS - Manutenção da LICENÇA DE SOFTWARE PACOTE ADOBE - EJUD e SECOM (para 3 anos)")</f>
        <v>ADOBE LICENÇAS - Manutenção da LICENÇA DE SOFTWARE PACOTE ADOBE - EJUD e SECOM (para 3 anos)</v>
      </c>
      <c r="D15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15" s="180" t="str">
        <f>IFERROR(__xludf.DUMMYFUNCTION("""COMPUTED_VALUE"""),"EJ05 - APERFEIÇOAR A GOVERNANÇA E A GESTÃO")</f>
        <v>EJ05 - APERFEIÇOAR A GOVERNANÇA E A GESTÃO</v>
      </c>
      <c r="F15" s="180" t="str">
        <f>IFERROR(__xludf.DUMMYFUNCTION("""COMPUTED_VALUE"""),"Contratação de serviços de suporte à microinformática")</f>
        <v>Contratação de serviços de suporte à microinformática</v>
      </c>
      <c r="G15" s="180" t="str">
        <f>IFERROR(__xludf.DUMMYFUNCTION("""COMPUTED_VALUE"""),"(ID PAAC 15166) ADOBE LICENÇAS - Manutenção da LICENÇA DE SOFTWARE PACOTE ADOBE - EJUD e SECOM (para 3 anos)")</f>
        <v>(ID PAAC 15166) ADOBE LICENÇAS - Manutenção da LICENÇA DE SOFTWARE PACOTE ADOBE - EJUD e SECOM (para 3 anos)</v>
      </c>
      <c r="H15" s="180" t="str">
        <f>IFERROR(__xludf.DUMMYFUNCTION("""COMPUTED_VALUE"""),"Continuado")</f>
        <v>Continuado</v>
      </c>
      <c r="I15" s="180" t="str">
        <f>IFERROR(__xludf.DUMMYFUNCTION("""COMPUTED_VALUE"""),"EJUD SECOM")</f>
        <v>EJUD SECOM</v>
      </c>
      <c r="J15" s="180" t="str">
        <f>IFERROR(__xludf.DUMMYFUNCTION("""COMPUTED_VALUE"""),"SETIC")</f>
        <v>SETIC</v>
      </c>
      <c r="K15" s="180" t="str">
        <f>IFERROR(__xludf.DUMMYFUNCTION("""COMPUTED_VALUE"""),"GND3")</f>
        <v>GND3</v>
      </c>
      <c r="L15" s="231">
        <f>IFERROR(__xludf.DUMMYFUNCTION("""COMPUTED_VALUE"""),0.0)</f>
        <v>0</v>
      </c>
      <c r="M15" s="232">
        <f>IFERROR(__xludf.DUMMYFUNCTION("""COMPUTED_VALUE"""),3.3904006E7)</f>
        <v>33904006</v>
      </c>
      <c r="N15" s="232">
        <f>IFERROR(__xludf.DUMMYFUNCTION("""COMPUTED_VALUE"""),0.0)</f>
        <v>0</v>
      </c>
      <c r="O15" s="230">
        <f>IFERROR(__xludf.DUMMYFUNCTION("""COMPUTED_VALUE"""),168105.0)</f>
        <v>168105</v>
      </c>
      <c r="P15" s="180" t="str">
        <f>IFERROR(__xludf.DUMMYFUNCTION("""COMPUTED_VALUE"""),"Não")</f>
        <v>Não</v>
      </c>
      <c r="Q15" s="180" t="str">
        <f>IFERROR(__xludf.DUMMYFUNCTION("""COMPUTED_VALUE"""),"2 - Importante")</f>
        <v>2 - Importante</v>
      </c>
      <c r="R15" s="180" t="str">
        <f>IFERROR(__xludf.DUMMYFUNCTION("""COMPUTED_VALUE"""),"1 - Selecionado")</f>
        <v>1 - Selecionado</v>
      </c>
      <c r="S15" s="180"/>
      <c r="T15" s="180"/>
      <c r="U15" s="180" t="str">
        <f>IFERROR(__xludf.DUMMYFUNCTION("""COMPUTED_VALUE"""),"07 - Concluída")</f>
        <v>07 - Concluída</v>
      </c>
      <c r="V15" s="180" t="str">
        <f>IFERROR(__xludf.DUMMYFUNCTION("""COMPUTED_VALUE"""),"10620/2020")</f>
        <v>10620/2020</v>
      </c>
      <c r="W15" s="180" t="str">
        <f>IFERROR(__xludf.DUMMYFUNCTION("""COMPUTED_VALUE"""),"447/2022")</f>
        <v>447/2022</v>
      </c>
      <c r="X15" s="180" t="str">
        <f>IFERROR(__xludf.DUMMYFUNCTION("""COMPUTED_VALUE"""),"SESUP")</f>
        <v>SESUP</v>
      </c>
      <c r="Y15" s="180" t="str">
        <f>IFERROR(__xludf.DUMMYFUNCTION("""COMPUTED_VALUE"""),"ARP_PARTICIPACAO")</f>
        <v>ARP_PARTICIPACAO</v>
      </c>
      <c r="Z15" s="180" t="str">
        <f>IFERROR(__xludf.DUMMYFUNCTION("""COMPUTED_VALUE"""),"RP")</f>
        <v>RP</v>
      </c>
      <c r="AA15" s="180" t="str">
        <f>IFERROR(__xludf.DUMMYFUNCTION("""COMPUTED_VALUE"""),"RP-447/2022")</f>
        <v>RP-447/2022</v>
      </c>
      <c r="AB15" s="230">
        <f>IFERROR(__xludf.DUMMYFUNCTION("""COMPUTED_VALUE"""),4.198254000117E12)</f>
        <v>4198254000117</v>
      </c>
      <c r="AC15" s="180" t="str">
        <f>IFERROR(__xludf.DUMMYFUNCTION("""COMPUTED_VALUE"""),"MCR SISTEMAS E CONSULTORIA LTDA")</f>
        <v>MCR SISTEMAS E CONSULTORIA LTDA</v>
      </c>
      <c r="AD15" s="189">
        <f>IFERROR(__xludf.DUMMYFUNCTION("""COMPUTED_VALUE"""),44536.0)</f>
        <v>44536</v>
      </c>
      <c r="AE15" s="189">
        <f>IFERROR(__xludf.DUMMYFUNCTION("""COMPUTED_VALUE"""),44581.0)</f>
        <v>44581</v>
      </c>
      <c r="AF15" s="180" t="str">
        <f>IFERROR(__xludf.DUMMYFUNCTION("""COMPUTED_VALUE"""),"Márcio César Jacinto
Diretor do SESUP - Substituto")</f>
        <v>Márcio César Jacinto
Diretor do SESUP - Substituto</v>
      </c>
      <c r="AG15" s="233">
        <f>IFERROR(__xludf.DUMMYFUNCTION("""COMPUTED_VALUE"""),4.0)</f>
        <v>4</v>
      </c>
      <c r="AH15" s="190">
        <f>IFERROR(__xludf.DUMMYFUNCTION("""COMPUTED_VALUE"""),14940.0)</f>
        <v>14940</v>
      </c>
      <c r="AI15" s="180" t="str">
        <f>IFERROR(__xludf.DUMMYFUNCTION("""COMPUTED_VALUE"""),"Não")</f>
        <v>Não</v>
      </c>
      <c r="AJ15" s="190">
        <f>IFERROR(__xludf.DUMMYFUNCTION("""COMPUTED_VALUE"""),20000.0)</f>
        <v>20000</v>
      </c>
      <c r="AK15" s="180"/>
      <c r="AL15" s="180"/>
      <c r="AM15" s="180"/>
      <c r="AN15" s="190">
        <f>IFERROR(__xludf.DUMMYFUNCTION("""COMPUTED_VALUE"""),-13091.0)</f>
        <v>-13091</v>
      </c>
      <c r="AO15" s="190">
        <f>IFERROR(__xludf.DUMMYFUNCTION("""COMPUTED_VALUE"""),72851.0)</f>
        <v>72851</v>
      </c>
      <c r="AP15" s="180" t="str">
        <f>IFERROR(__xludf.DUMMYFUNCTION("""COMPUTED_VALUE"""),"2022NE000191")</f>
        <v>2022NE000191</v>
      </c>
      <c r="AQ15" s="190">
        <f>IFERROR(__xludf.DUMMYFUNCTION("""COMPUTED_VALUE"""),72851.0)</f>
        <v>72851</v>
      </c>
      <c r="AR15" s="190">
        <f>IFERROR(__xludf.DUMMYFUNCTION("""COMPUTED_VALUE"""),59760.0)</f>
        <v>59760</v>
      </c>
      <c r="AS15" s="180"/>
      <c r="AT15" s="190">
        <f>IFERROR(__xludf.DUMMYFUNCTION("""COMPUTED_VALUE"""),59760.0)</f>
        <v>59760</v>
      </c>
      <c r="AU15" s="190"/>
      <c r="AV15" s="232">
        <f>IFERROR(__xludf.DUMMYFUNCTION("""COMPUTED_VALUE"""),0.0)</f>
        <v>0</v>
      </c>
      <c r="AW15" s="190">
        <f>IFERROR(__xludf.DUMMYFUNCTION("""COMPUTED_VALUE"""),0.0)</f>
        <v>0</v>
      </c>
      <c r="AX15" s="190">
        <f>IFERROR(__xludf.DUMMYFUNCTION("""COMPUTED_VALUE"""),0.0)</f>
        <v>0</v>
      </c>
      <c r="AY15" s="190">
        <f>IFERROR(__xludf.DUMMYFUNCTION("""COMPUTED_VALUE"""),59760.0)</f>
        <v>59760</v>
      </c>
      <c r="AZ15" s="190">
        <f>IFERROR(__xludf.DUMMYFUNCTION("""COMPUTED_VALUE"""),59760.0)</f>
        <v>59760</v>
      </c>
      <c r="BA15" s="190">
        <f>IFERROR(__xludf.DUMMYFUNCTION("""COMPUTED_VALUE"""),0.0)</f>
        <v>0</v>
      </c>
      <c r="BB15" s="180" t="str">
        <f>IFERROR(__xludf.DUMMYFUNCTION("""COMPUTED_VALUE"""),"RP-447/2022")</f>
        <v>RP-447/2022</v>
      </c>
      <c r="BC15" s="232">
        <f>IFERROR(__xludf.DUMMYFUNCTION("""COMPUTED_VALUE"""),1.51132022236935E14)</f>
        <v>151132022236935</v>
      </c>
      <c r="BD15" s="180" t="str">
        <f>IFERROR(__xludf.DUMMYFUNCTION("""COMPUTED_VALUE"""),"Sim")</f>
        <v>Sim</v>
      </c>
      <c r="BE15" s="180" t="str">
        <f>IFERROR(__xludf.DUMMYFUNCTION("""COMPUTED_VALUE"""),"Não")</f>
        <v>Não</v>
      </c>
      <c r="BF15" s="180"/>
      <c r="BG15" s="180"/>
      <c r="BH15" s="233">
        <f>IFERROR(__xludf.DUMMYFUNCTION("""COMPUTED_VALUE"""),200000.0)</f>
        <v>200000</v>
      </c>
      <c r="BI15" s="180" t="str">
        <f>IFERROR(__xludf.DUMMYFUNCTION("""COMPUTED_VALUE"""),"Média")</f>
        <v>Média</v>
      </c>
      <c r="BJ15" s="180"/>
      <c r="BK15" s="180" t="str">
        <f>IFERROR(__xludf.DUMMYFUNCTION("""COMPUTED_VALUE"""),"ano")</f>
        <v>ano</v>
      </c>
      <c r="BL15" s="180" t="str">
        <f>IFERROR(__xludf.DUMMYFUNCTION("""COMPUTED_VALUE"""),"Dispensa")</f>
        <v>Dispensa</v>
      </c>
      <c r="BM15" s="180" t="str">
        <f>IFERROR(__xludf.DUMMYFUNCTION("""COMPUTED_VALUE"""),"ARP_PARTICIPACAO")</f>
        <v>ARP_PARTICIPACAO</v>
      </c>
      <c r="BN15" s="189">
        <f>IFERROR(__xludf.DUMMYFUNCTION("""COMPUTED_VALUE"""),44123.0)</f>
        <v>44123</v>
      </c>
      <c r="BO15" s="189">
        <f>IFERROR(__xludf.DUMMYFUNCTION("""COMPUTED_VALUE"""),44580.0)</f>
        <v>44580</v>
      </c>
      <c r="BP15" s="190">
        <f>IFERROR(__xludf.DUMMYFUNCTION("""COMPUTED_VALUE"""),59760.0)</f>
        <v>59760</v>
      </c>
      <c r="BQ15" s="190">
        <f>IFERROR(__xludf.DUMMYFUNCTION("""COMPUTED_VALUE"""),59760.0)</f>
        <v>59760</v>
      </c>
      <c r="BR15" s="190">
        <f>IFERROR(__xludf.DUMMYFUNCTION("""COMPUTED_VALUE"""),59760.0)</f>
        <v>59760</v>
      </c>
      <c r="BS15" s="190">
        <f>IFERROR(__xludf.DUMMYFUNCTION("""COMPUTED_VALUE"""),59760.0)</f>
        <v>59760</v>
      </c>
      <c r="BT15" s="190">
        <f>IFERROR(__xludf.DUMMYFUNCTION("""COMPUTED_VALUE"""),59760.0)</f>
        <v>59760</v>
      </c>
      <c r="BU15" s="180" t="str">
        <f>IFERROR(__xludf.DUMMYFUNCTION("""COMPUTED_VALUE"""),"Locação de softwares")</f>
        <v>Locação de softwares</v>
      </c>
      <c r="BV15" s="180"/>
      <c r="BW15" s="180"/>
      <c r="BX15" s="180"/>
      <c r="BY15" s="180"/>
      <c r="BZ15" s="189"/>
      <c r="CA15" s="180"/>
      <c r="CB15" s="180" t="str">
        <f>IFERROR(__xludf.DUMMYFUNCTION("""COMPUTED_VALUE"""),"Apreciação de Causas na Justiça do Trabalho")</f>
        <v>Apreciação de Causas na Justiça do Trabalho</v>
      </c>
      <c r="CC15" s="180" t="str">
        <f>IFERROR(__xludf.DUMMYFUNCTION("""COMPUTED_VALUE""")," - ")</f>
        <v> - </v>
      </c>
      <c r="CD15" s="180" t="str">
        <f>IFERROR(__xludf.DUMMYFUNCTION("""COMPUTED_VALUE"""),"SERVIÇOS DE TECNOLOGIA DA INFORMAÇÃO E COMUNICAÇÃO - TIC")</f>
        <v>SERVIÇOS DE TECNOLOGIA DA INFORMAÇÃO E COMUNICAÇÃO - TIC</v>
      </c>
      <c r="CE15" s="180"/>
      <c r="CF15" s="180" t="str">
        <f>IFERROR(__xludf.DUMMYFUNCTION("""COMPUTED_VALUE"""),"LOCAÇÃO DE SOFTWARES")</f>
        <v>LOCAÇÃO DE SOFTWARES</v>
      </c>
      <c r="CG15" s="189"/>
      <c r="CH15" s="189">
        <f>IFERROR(__xludf.DUMMYFUNCTION("""COMPUTED_VALUE"""),44946.0)</f>
        <v>44946</v>
      </c>
      <c r="CI15" s="180" t="str">
        <f>IFERROR(__xludf.DUMMYFUNCTION("""COMPUTED_VALUE"""),"ARP_PARTICIPACAO")</f>
        <v>ARP_PARTICIPACAO</v>
      </c>
      <c r="CJ15" s="190">
        <f>IFERROR(__xludf.DUMMYFUNCTION("""COMPUTED_VALUE"""),23115.0)</f>
        <v>23115</v>
      </c>
      <c r="CK15" s="189">
        <f>IFERROR(__xludf.DUMMYFUNCTION("""COMPUTED_VALUE"""),44870.0)</f>
        <v>44870</v>
      </c>
      <c r="CL15" s="180" t="str">
        <f>IFERROR(__xludf.DUMMYFUNCTION("""COMPUTED_VALUE"""),"PRE")</f>
        <v>PRE</v>
      </c>
      <c r="CM15" s="180" t="str">
        <f>IFERROR(__xludf.DUMMYFUNCTION("""COMPUTED_VALUE"""),"x")</f>
        <v>x</v>
      </c>
      <c r="CN15" s="180" t="str">
        <f>IFERROR(__xludf.DUMMYFUNCTION("""COMPUTED_VALUE"""),"RP-447/2022")</f>
        <v>RP-447/2022</v>
      </c>
      <c r="CO15" s="180"/>
      <c r="CP15" s="180"/>
      <c r="CQ15" s="180"/>
      <c r="CR15" s="180" t="str">
        <f>IFERROR(__xludf.DUMMYFUNCTION("""COMPUTED_VALUE"""),"GND3")</f>
        <v>GND3</v>
      </c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</row>
    <row r="16">
      <c r="A16" s="230">
        <f>IFERROR(__xludf.DUMMYFUNCTION("""COMPUTED_VALUE"""),15201.0)</f>
        <v>15201</v>
      </c>
      <c r="B16" s="230">
        <f>IFERROR(__xludf.DUMMYFUNCTION("""COMPUTED_VALUE"""),0.0)</f>
        <v>0</v>
      </c>
      <c r="C16" s="180" t="str">
        <f>IFERROR(__xludf.DUMMYFUNCTION("""COMPUTED_VALUE"""),"NOBREAKS BATERIAS CANCELADA - Aquisição de conjunto de baterias seladas para nobreaks (quantitativo será alvo de estudo no planejamento da contratação)")</f>
        <v>NOBREAKS BATERIAS CANCELADA - Aquisição de conjunto de baterias seladas para nobreaks (quantitativo será alvo de estudo no planejamento da contratação)</v>
      </c>
      <c r="D16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16" s="180" t="str">
        <f>IFERROR(__xludf.DUMMYFUNCTION("""COMPUTED_VALUE"""),"EJ08 - PROMOVER SERVIÇOS DE INFRAESTRUTURA E SOLUÇÕES CORPORATIVAS")</f>
        <v>EJ08 - PROMOVER SERVIÇOS DE INFRAESTRUTURA E SOLUÇÕES CORPORATIVAS</v>
      </c>
      <c r="F16" s="180" t="str">
        <f>IFERROR(__xludf.DUMMYFUNCTION("""COMPUTED_VALUE"""),"Contratação de serviços de suporte à microinformática")</f>
        <v>Contratação de serviços de suporte à microinformática</v>
      </c>
      <c r="G16" s="180" t="str">
        <f>IFERROR(__xludf.DUMMYFUNCTION("""COMPUTED_VALUE"""),"(ID PAAC 15201) NOBREAKS BATERIAS CANCELADA - Aquisição de conjunto de baterias seladas para nobreaks (quantitativo será alvo de estudo no planejamento da contratação)")</f>
        <v>(ID PAAC 15201) NOBREAKS BATERIAS CANCELADA - Aquisição de conjunto de baterias seladas para nobreaks (quantitativo será alvo de estudo no planejamento da contratação)</v>
      </c>
      <c r="H16" s="180" t="str">
        <f>IFERROR(__xludf.DUMMYFUNCTION("""COMPUTED_VALUE"""),"Imediato")</f>
        <v>Imediato</v>
      </c>
      <c r="I16" s="180" t="str">
        <f>IFERROR(__xludf.DUMMYFUNCTION("""COMPUTED_VALUE"""),"SETIC")</f>
        <v>SETIC</v>
      </c>
      <c r="J16" s="180" t="str">
        <f>IFERROR(__xludf.DUMMYFUNCTION("""COMPUTED_VALUE"""),"SETIC")</f>
        <v>SETIC</v>
      </c>
      <c r="K16" s="180" t="str">
        <f>IFERROR(__xludf.DUMMYFUNCTION("""COMPUTED_VALUE"""),"GND3")</f>
        <v>GND3</v>
      </c>
      <c r="L16" s="231">
        <f>IFERROR(__xludf.DUMMYFUNCTION("""COMPUTED_VALUE"""),0.0)</f>
        <v>0</v>
      </c>
      <c r="M16" s="232">
        <f>IFERROR(__xludf.DUMMYFUNCTION("""COMPUTED_VALUE"""),3.3904007E7)</f>
        <v>33904007</v>
      </c>
      <c r="N16" s="232">
        <f>IFERROR(__xludf.DUMMYFUNCTION("""COMPUTED_VALUE"""),0.0)</f>
        <v>0</v>
      </c>
      <c r="O16" s="230">
        <f>IFERROR(__xludf.DUMMYFUNCTION("""COMPUTED_VALUE"""),168105.0)</f>
        <v>168105</v>
      </c>
      <c r="P16" s="180" t="str">
        <f>IFERROR(__xludf.DUMMYFUNCTION("""COMPUTED_VALUE"""),"Não")</f>
        <v>Não</v>
      </c>
      <c r="Q16" s="180" t="str">
        <f>IFERROR(__xludf.DUMMYFUNCTION("""COMPUTED_VALUE"""),"1 - Imprescindível")</f>
        <v>1 - Imprescindível</v>
      </c>
      <c r="R16" s="180" t="str">
        <f>IFERROR(__xludf.DUMMYFUNCTION("""COMPUTED_VALUE"""),"4 - Cancelado")</f>
        <v>4 - Cancelado</v>
      </c>
      <c r="S16" s="180"/>
      <c r="T16" s="180"/>
      <c r="U16" s="180" t="str">
        <f>IFERROR(__xludf.DUMMYFUNCTION("""COMPUTED_VALUE"""),"01 - Não oficializado")</f>
        <v>01 - Não oficializado</v>
      </c>
      <c r="V16" s="180"/>
      <c r="W16" s="180"/>
      <c r="X16" s="180" t="str">
        <f>IFERROR(__xludf.DUMMYFUNCTION("""COMPUTED_VALUE"""),"SESUP")</f>
        <v>SESUP</v>
      </c>
      <c r="Y16" s="180" t="str">
        <f>IFERROR(__xludf.DUMMYFUNCTION("""COMPUTED_VALUE"""),"PRE")</f>
        <v>PRE</v>
      </c>
      <c r="Z16" s="180" t="str">
        <f>IFERROR(__xludf.DUMMYFUNCTION("""COMPUTED_VALUE"""),"PRE")</f>
        <v>PRE</v>
      </c>
      <c r="AA16" s="180"/>
      <c r="AB16" s="230"/>
      <c r="AC16" s="180" t="str">
        <f>IFERROR(__xludf.DUMMYFUNCTION("""COMPUTED_VALUE"""),"#N/A")</f>
        <v>#N/A</v>
      </c>
      <c r="AD16" s="189">
        <f>IFERROR(__xludf.DUMMYFUNCTION("""COMPUTED_VALUE"""),44695.0)</f>
        <v>44695</v>
      </c>
      <c r="AE16" s="189">
        <f>IFERROR(__xludf.DUMMYFUNCTION("""COMPUTED_VALUE"""),44805.0)</f>
        <v>44805</v>
      </c>
      <c r="AF16" s="180" t="str">
        <f>IFERROR(__xludf.DUMMYFUNCTION("""COMPUTED_VALUE"""),"Márcio César Jacinto
Diretor do SESUP - Substituto")</f>
        <v>Márcio César Jacinto
Diretor do SESUP - Substituto</v>
      </c>
      <c r="AG16" s="233">
        <f>IFERROR(__xludf.DUMMYFUNCTION("""COMPUTED_VALUE"""),1.0)</f>
        <v>1</v>
      </c>
      <c r="AH16" s="190">
        <f>IFERROR(__xludf.DUMMYFUNCTION("""COMPUTED_VALUE"""),0.0)</f>
        <v>0</v>
      </c>
      <c r="AI16" s="180" t="str">
        <f>IFERROR(__xludf.DUMMYFUNCTION("""COMPUTED_VALUE"""),"Não")</f>
        <v>Não</v>
      </c>
      <c r="AJ16" s="190"/>
      <c r="AK16" s="180"/>
      <c r="AL16" s="180"/>
      <c r="AM16" s="180"/>
      <c r="AN16" s="190">
        <f>IFERROR(__xludf.DUMMYFUNCTION("""COMPUTED_VALUE"""),0.0)</f>
        <v>0</v>
      </c>
      <c r="AO16" s="190">
        <f>IFERROR(__xludf.DUMMYFUNCTION("""COMPUTED_VALUE"""),0.0)</f>
        <v>0</v>
      </c>
      <c r="AP16" s="180"/>
      <c r="AQ16" s="190">
        <f>IFERROR(__xludf.DUMMYFUNCTION("""COMPUTED_VALUE"""),70000.0)</f>
        <v>70000</v>
      </c>
      <c r="AR16" s="190">
        <f>IFERROR(__xludf.DUMMYFUNCTION("""COMPUTED_VALUE"""),0.0)</f>
        <v>0</v>
      </c>
      <c r="AS16" s="180"/>
      <c r="AT16" s="190">
        <f>IFERROR(__xludf.DUMMYFUNCTION("""COMPUTED_VALUE"""),0.0)</f>
        <v>0</v>
      </c>
      <c r="AU16" s="190"/>
      <c r="AV16" s="232"/>
      <c r="AW16" s="190">
        <f>IFERROR(__xludf.DUMMYFUNCTION("""COMPUTED_VALUE"""),0.0)</f>
        <v>0</v>
      </c>
      <c r="AX16" s="190">
        <f>IFERROR(__xludf.DUMMYFUNCTION("""COMPUTED_VALUE"""),0.0)</f>
        <v>0</v>
      </c>
      <c r="AY16" s="190">
        <f>IFERROR(__xludf.DUMMYFUNCTION("""COMPUTED_VALUE"""),0.0)</f>
        <v>0</v>
      </c>
      <c r="AZ16" s="190">
        <f>IFERROR(__xludf.DUMMYFUNCTION("""COMPUTED_VALUE"""),0.0)</f>
        <v>0</v>
      </c>
      <c r="BA16" s="190">
        <f>IFERROR(__xludf.DUMMYFUNCTION("""COMPUTED_VALUE"""),0.0)</f>
        <v>0</v>
      </c>
      <c r="BB16" s="180"/>
      <c r="BC16" s="232">
        <f>IFERROR(__xludf.DUMMYFUNCTION("""COMPUTED_VALUE"""),1.51132022236915E14)</f>
        <v>151132022236915</v>
      </c>
      <c r="BD16" s="180" t="str">
        <f>IFERROR(__xludf.DUMMYFUNCTION("""COMPUTED_VALUE"""),"Não")</f>
        <v>Não</v>
      </c>
      <c r="BE16" s="180" t="str">
        <f>IFERROR(__xludf.DUMMYFUNCTION("""COMPUTED_VALUE"""),"Não")</f>
        <v>Não</v>
      </c>
      <c r="BF16" s="180"/>
      <c r="BG16" s="180"/>
      <c r="BH16" s="233">
        <f>IFERROR(__xludf.DUMMYFUNCTION("""COMPUTED_VALUE"""),300000.0)</f>
        <v>300000</v>
      </c>
      <c r="BI16" s="180" t="str">
        <f>IFERROR(__xludf.DUMMYFUNCTION("""COMPUTED_VALUE"""),"Alta")</f>
        <v>Alta</v>
      </c>
      <c r="BJ16" s="180"/>
      <c r="BK16" s="180" t="str">
        <f>IFERROR(__xludf.DUMMYFUNCTION("""COMPUTED_VALUE"""),"unidade")</f>
        <v>unidade</v>
      </c>
      <c r="BL16" s="180"/>
      <c r="BM16" s="180" t="str">
        <f>IFERROR(__xludf.DUMMYFUNCTION("""COMPUTED_VALUE"""),"CANCELADO")</f>
        <v>CANCELADO</v>
      </c>
      <c r="BN16" s="189"/>
      <c r="BO16" s="189"/>
      <c r="BP16" s="190"/>
      <c r="BQ16" s="190"/>
      <c r="BR16" s="190"/>
      <c r="BS16" s="190">
        <f>IFERROR(__xludf.DUMMYFUNCTION("""COMPUTED_VALUE"""),0.0)</f>
        <v>0</v>
      </c>
      <c r="BT16" s="190"/>
      <c r="BU16" s="180" t="str">
        <f>IFERROR(__xludf.DUMMYFUNCTION("""COMPUTED_VALUE"""),"Manutenção corretiva/adaptativa e sustentação softwares")</f>
        <v>Manutenção corretiva/adaptativa e sustentação softwares</v>
      </c>
      <c r="BV16" s="180"/>
      <c r="BW16" s="180"/>
      <c r="BX16" s="180"/>
      <c r="BY16" s="180"/>
      <c r="BZ16" s="189"/>
      <c r="CA16" s="180"/>
      <c r="CB16" s="180" t="str">
        <f>IFERROR(__xludf.DUMMYFUNCTION("""COMPUTED_VALUE"""),"Apreciação de Causas na Justiça do Trabalho")</f>
        <v>Apreciação de Causas na Justiça do Trabalho</v>
      </c>
      <c r="CC16" s="180" t="str">
        <f>IFERROR(__xludf.DUMMYFUNCTION("""COMPUTED_VALUE""")," - ")</f>
        <v> - </v>
      </c>
      <c r="CD16" s="180" t="str">
        <f>IFERROR(__xludf.DUMMYFUNCTION("""COMPUTED_VALUE"""),"SERVIÇOS DE TECNOLOGIA DA INFORMAÇÃO E COMUNICAÇÃO - TIC")</f>
        <v>SERVIÇOS DE TECNOLOGIA DA INFORMAÇÃO E COMUNICAÇÃO - TIC</v>
      </c>
      <c r="CE16" s="180"/>
      <c r="CF16" s="180" t="str">
        <f>IFERROR(__xludf.DUMMYFUNCTION("""COMPUTED_VALUE"""),"MANUTENÇÃO CORRETIVA/ADAPTATIVA E SUSTENTAÇÃO SOFTWARES")</f>
        <v>MANUTENÇÃO CORRETIVA/ADAPTATIVA E SUSTENTAÇÃO SOFTWARES</v>
      </c>
      <c r="CG16" s="189">
        <f>IFERROR(__xludf.DUMMYFUNCTION("""COMPUTED_VALUE"""),45058.0)</f>
        <v>45058</v>
      </c>
      <c r="CH16" s="189">
        <f>IFERROR(__xludf.DUMMYFUNCTION("""COMPUTED_VALUE"""),45170.0)</f>
        <v>45170</v>
      </c>
      <c r="CI16" s="180" t="str">
        <f>IFERROR(__xludf.DUMMYFUNCTION("""COMPUTED_VALUE"""),"PRE")</f>
        <v>PRE</v>
      </c>
      <c r="CJ16" s="190">
        <f>IFERROR(__xludf.DUMMYFUNCTION("""COMPUTED_VALUE"""),15000.0)</f>
        <v>15000</v>
      </c>
      <c r="CK16" s="189">
        <f>IFERROR(__xludf.DUMMYFUNCTION("""COMPUTED_VALUE"""),44805.0)</f>
        <v>44805</v>
      </c>
      <c r="CL16" s="180" t="str">
        <f>IFERROR(__xludf.DUMMYFUNCTION("""COMPUTED_VALUE"""),"PRE")</f>
        <v>PRE</v>
      </c>
      <c r="CM16" s="180" t="str">
        <f>IFERROR(__xludf.DUMMYFUNCTION("""COMPUTED_VALUE"""),"x")</f>
        <v>x</v>
      </c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</row>
    <row r="17">
      <c r="A17" s="230">
        <f>IFERROR(__xludf.DUMMYFUNCTION("""COMPUTED_VALUE"""),15220.0)</f>
        <v>15220</v>
      </c>
      <c r="B17" s="230">
        <f>IFERROR(__xludf.DUMMYFUNCTION("""COMPUTED_VALUE"""),0.0)</f>
        <v>0</v>
      </c>
      <c r="C17" s="180" t="str">
        <f>IFERROR(__xludf.DUMMYFUNCTION("""COMPUTED_VALUE"""),"NOBREAKS SURT - Suporte e manutenção dos nobreaks de varas e foros (SURT 15kVA)")</f>
        <v>NOBREAKS SURT - Suporte e manutenção dos nobreaks de varas e foros (SURT 15kVA)</v>
      </c>
      <c r="D17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17" s="180" t="str">
        <f>IFERROR(__xludf.DUMMYFUNCTION("""COMPUTED_VALUE"""),"EJ08 - PROMOVER SERVIÇOS DE INFRAESTRUTURA E SOLUÇÕES CORPORATIVAS")</f>
        <v>EJ08 - PROMOVER SERVIÇOS DE INFRAESTRUTURA E SOLUÇÕES CORPORATIVAS</v>
      </c>
      <c r="F17" s="180" t="str">
        <f>IFERROR(__xludf.DUMMYFUNCTION("""COMPUTED_VALUE"""),"Contratação de serviços para o suporte à infraestrutura tecnológica")</f>
        <v>Contratação de serviços para o suporte à infraestrutura tecnológica</v>
      </c>
      <c r="G17" s="180" t="str">
        <f>IFERROR(__xludf.DUMMYFUNCTION("""COMPUTED_VALUE"""),"(ID PAAC 15220) NOBREAKS SURT - Suporte e manutenção dos nobreaks de varas e foros (SURT 15kVA)")</f>
        <v>(ID PAAC 15220) NOBREAKS SURT - Suporte e manutenção dos nobreaks de varas e foros (SURT 15kVA)</v>
      </c>
      <c r="H17" s="180" t="str">
        <f>IFERROR(__xludf.DUMMYFUNCTION("""COMPUTED_VALUE"""),"Continuado")</f>
        <v>Continuado</v>
      </c>
      <c r="I17" s="180" t="str">
        <f>IFERROR(__xludf.DUMMYFUNCTION("""COMPUTED_VALUE"""),"SETIC")</f>
        <v>SETIC</v>
      </c>
      <c r="J17" s="180" t="str">
        <f>IFERROR(__xludf.DUMMYFUNCTION("""COMPUTED_VALUE"""),"SETIC")</f>
        <v>SETIC</v>
      </c>
      <c r="K17" s="180" t="str">
        <f>IFERROR(__xludf.DUMMYFUNCTION("""COMPUTED_VALUE"""),"GND3")</f>
        <v>GND3</v>
      </c>
      <c r="L17" s="231">
        <f>IFERROR(__xludf.DUMMYFUNCTION("""COMPUTED_VALUE"""),0.0)</f>
        <v>0</v>
      </c>
      <c r="M17" s="232">
        <f>IFERROR(__xludf.DUMMYFUNCTION("""COMPUTED_VALUE"""),3.3904012E7)</f>
        <v>33904012</v>
      </c>
      <c r="N17" s="232">
        <f>IFERROR(__xludf.DUMMYFUNCTION("""COMPUTED_VALUE"""),0.0)</f>
        <v>0</v>
      </c>
      <c r="O17" s="230">
        <f>IFERROR(__xludf.DUMMYFUNCTION("""COMPUTED_VALUE"""),168105.0)</f>
        <v>168105</v>
      </c>
      <c r="P17" s="180" t="str">
        <f>IFERROR(__xludf.DUMMYFUNCTION("""COMPUTED_VALUE"""),"Não")</f>
        <v>Não</v>
      </c>
      <c r="Q17" s="180" t="str">
        <f>IFERROR(__xludf.DUMMYFUNCTION("""COMPUTED_VALUE"""),"1 - Imprescindível")</f>
        <v>1 - Imprescindível</v>
      </c>
      <c r="R17" s="180" t="str">
        <f>IFERROR(__xludf.DUMMYFUNCTION("""COMPUTED_VALUE"""),"1 - Selecionado")</f>
        <v>1 - Selecionado</v>
      </c>
      <c r="S17" s="180"/>
      <c r="T17" s="180"/>
      <c r="U17" s="180" t="str">
        <f>IFERROR(__xludf.DUMMYFUNCTION("""COMPUTED_VALUE"""),"01 - Não oficializado")</f>
        <v>01 - Não oficializado</v>
      </c>
      <c r="V17" s="180"/>
      <c r="W17" s="180" t="str">
        <f>IFERROR(__xludf.DUMMYFUNCTION("""COMPUTED_VALUE"""),"7005/2020")</f>
        <v>7005/2020</v>
      </c>
      <c r="X17" s="180" t="str">
        <f>IFERROR(__xludf.DUMMYFUNCTION("""COMPUTED_VALUE"""),"SESUP")</f>
        <v>SESUP</v>
      </c>
      <c r="Y17" s="180" t="str">
        <f>IFERROR(__xludf.DUMMYFUNCTION("""COMPUTED_VALUE"""),"PROR")</f>
        <v>PROR</v>
      </c>
      <c r="Z17" s="180" t="str">
        <f>IFERROR(__xludf.DUMMYFUNCTION("""COMPUTED_VALUE"""),"PRE")</f>
        <v>PRE</v>
      </c>
      <c r="AA17" s="180" t="str">
        <f>IFERROR(__xludf.DUMMYFUNCTION("""COMPUTED_VALUE"""),"PRE-7005/2020")</f>
        <v>PRE-7005/2020</v>
      </c>
      <c r="AB17" s="230">
        <f>IFERROR(__xludf.DUMMYFUNCTION("""COMPUTED_VALUE"""),2.4798024000104E13)</f>
        <v>24798024000104</v>
      </c>
      <c r="AC17" s="180" t="str">
        <f>IFERROR(__xludf.DUMMYFUNCTION("""COMPUTED_VALUE"""),"EFL SILVA MANUTENCAO DE NO-BREAKS E GERADORES")</f>
        <v>EFL SILVA MANUTENCAO DE NO-BREAKS E GERADORES</v>
      </c>
      <c r="AD17" s="189">
        <f>IFERROR(__xludf.DUMMYFUNCTION("""COMPUTED_VALUE"""),44758.0)</f>
        <v>44758</v>
      </c>
      <c r="AE17" s="189">
        <f>IFERROR(__xludf.DUMMYFUNCTION("""COMPUTED_VALUE"""),44848.0)</f>
        <v>44848</v>
      </c>
      <c r="AF17" s="180" t="str">
        <f>IFERROR(__xludf.DUMMYFUNCTION("""COMPUTED_VALUE"""),"Márcio César Jacinto
Diretor do SESUP - Substituto")</f>
        <v>Márcio César Jacinto
Diretor do SESUP - Substituto</v>
      </c>
      <c r="AG17" s="233">
        <f>IFERROR(__xludf.DUMMYFUNCTION("""COMPUTED_VALUE"""),1.0)</f>
        <v>1</v>
      </c>
      <c r="AH17" s="190">
        <f>IFERROR(__xludf.DUMMYFUNCTION("""COMPUTED_VALUE"""),32390.399999999998)</f>
        <v>32390.4</v>
      </c>
      <c r="AI17" s="180" t="str">
        <f>IFERROR(__xludf.DUMMYFUNCTION("""COMPUTED_VALUE"""),"Não")</f>
        <v>Não</v>
      </c>
      <c r="AJ17" s="190"/>
      <c r="AK17" s="180" t="str">
        <f>IFERROR(__xludf.DUMMYFUNCTION("""COMPUTED_VALUE"""),"Pedro Paulo da Silva")</f>
        <v>Pedro Paulo da Silva</v>
      </c>
      <c r="AL17" s="180"/>
      <c r="AM17" s="180"/>
      <c r="AN17" s="190">
        <f>IFERROR(__xludf.DUMMYFUNCTION("""COMPUTED_VALUE"""),-1619.6000000000022)</f>
        <v>-1619.6</v>
      </c>
      <c r="AO17" s="190">
        <f>IFERROR(__xludf.DUMMYFUNCTION("""COMPUTED_VALUE"""),34010.0)</f>
        <v>34010</v>
      </c>
      <c r="AP17" s="180" t="str">
        <f>IFERROR(__xludf.DUMMYFUNCTION("""COMPUTED_VALUE"""),"2022NE000095")</f>
        <v>2022NE000095</v>
      </c>
      <c r="AQ17" s="190">
        <f>IFERROR(__xludf.DUMMYFUNCTION("""COMPUTED_VALUE"""),34010.0)</f>
        <v>34010</v>
      </c>
      <c r="AR17" s="190">
        <f>IFERROR(__xludf.DUMMYFUNCTION("""COMPUTED_VALUE"""),32390.399999999998)</f>
        <v>32390.4</v>
      </c>
      <c r="AS17" s="180"/>
      <c r="AT17" s="190">
        <f>IFERROR(__xludf.DUMMYFUNCTION("""COMPUTED_VALUE"""),32390.399999999998)</f>
        <v>32390.4</v>
      </c>
      <c r="AU17" s="190">
        <f>IFERROR(__xludf.DUMMYFUNCTION("""COMPUTED_VALUE"""),2699.2)</f>
        <v>2699.2</v>
      </c>
      <c r="AV17" s="232">
        <f>IFERROR(__xludf.DUMMYFUNCTION("""COMPUTED_VALUE"""),12.0)</f>
        <v>12</v>
      </c>
      <c r="AW17" s="190">
        <f>IFERROR(__xludf.DUMMYFUNCTION("""COMPUTED_VALUE"""),32390.399999999998)</f>
        <v>32390.4</v>
      </c>
      <c r="AX17" s="190">
        <f>IFERROR(__xludf.DUMMYFUNCTION("""COMPUTED_VALUE"""),0.0)</f>
        <v>0</v>
      </c>
      <c r="AY17" s="190">
        <f>IFERROR(__xludf.DUMMYFUNCTION("""COMPUTED_VALUE"""),32390.4)</f>
        <v>32390.4</v>
      </c>
      <c r="AZ17" s="190">
        <f>IFERROR(__xludf.DUMMYFUNCTION("""COMPUTED_VALUE"""),8043.620000000003)</f>
        <v>8043.62</v>
      </c>
      <c r="BA17" s="190">
        <f>IFERROR(__xludf.DUMMYFUNCTION("""COMPUTED_VALUE"""),24346.78)</f>
        <v>24346.78</v>
      </c>
      <c r="BB17" s="180" t="str">
        <f>IFERROR(__xludf.DUMMYFUNCTION("""COMPUTED_VALUE"""),"PRE-7005/2020")</f>
        <v>PRE-7005/2020</v>
      </c>
      <c r="BC17" s="232">
        <f>IFERROR(__xludf.DUMMYFUNCTION("""COMPUTED_VALUE"""),1.51132022236922E14)</f>
        <v>151132022236922</v>
      </c>
      <c r="BD17" s="180" t="str">
        <f>IFERROR(__xludf.DUMMYFUNCTION("""COMPUTED_VALUE"""),"Sim")</f>
        <v>Sim</v>
      </c>
      <c r="BE17" s="180" t="str">
        <f>IFERROR(__xludf.DUMMYFUNCTION("""COMPUTED_VALUE"""),"Sim")</f>
        <v>Sim</v>
      </c>
      <c r="BF17" s="180"/>
      <c r="BG17" s="180"/>
      <c r="BH17" s="233">
        <f>IFERROR(__xludf.DUMMYFUNCTION("""COMPUTED_VALUE"""),300000.0)</f>
        <v>300000</v>
      </c>
      <c r="BI17" s="180" t="str">
        <f>IFERROR(__xludf.DUMMYFUNCTION("""COMPUTED_VALUE"""),"Alta")</f>
        <v>Alta</v>
      </c>
      <c r="BJ17" s="180"/>
      <c r="BK17" s="180" t="str">
        <f>IFERROR(__xludf.DUMMYFUNCTION("""COMPUTED_VALUE"""),"ano")</f>
        <v>ano</v>
      </c>
      <c r="BL17" s="180" t="str">
        <f>IFERROR(__xludf.DUMMYFUNCTION("""COMPUTED_VALUE"""),"P. Eletrônico")</f>
        <v>P. Eletrônico</v>
      </c>
      <c r="BM17" s="180" t="str">
        <f>IFERROR(__xludf.DUMMYFUNCTION("""COMPUTED_VALUE"""),"PROR")</f>
        <v>PROR</v>
      </c>
      <c r="BN17" s="189"/>
      <c r="BO17" s="189"/>
      <c r="BP17" s="190"/>
      <c r="BQ17" s="190"/>
      <c r="BR17" s="190"/>
      <c r="BS17" s="190">
        <f>IFERROR(__xludf.DUMMYFUNCTION("""COMPUTED_VALUE"""),32390.399999999998)</f>
        <v>32390.4</v>
      </c>
      <c r="BT17" s="190">
        <f>IFERROR(__xludf.DUMMYFUNCTION("""COMPUTED_VALUE"""),32390.399999999998)</f>
        <v>32390.4</v>
      </c>
      <c r="BU17" s="180" t="str">
        <f>IFERROR(__xludf.DUMMYFUNCTION("""COMPUTED_VALUE"""),"Manutenção e conservação de equipamentos de TIC")</f>
        <v>Manutenção e conservação de equipamentos de TIC</v>
      </c>
      <c r="BV17" s="180"/>
      <c r="BW17" s="180"/>
      <c r="BX17" s="180"/>
      <c r="BY17" s="180"/>
      <c r="BZ17" s="189"/>
      <c r="CA17" s="180"/>
      <c r="CB17" s="180" t="str">
        <f>IFERROR(__xludf.DUMMYFUNCTION("""COMPUTED_VALUE"""),"Apreciação de Causas na Justiça do Trabalho")</f>
        <v>Apreciação de Causas na Justiça do Trabalho</v>
      </c>
      <c r="CC17" s="180" t="str">
        <f>IFERROR(__xludf.DUMMYFUNCTION("""COMPUTED_VALUE""")," - ")</f>
        <v> - </v>
      </c>
      <c r="CD17" s="180" t="str">
        <f>IFERROR(__xludf.DUMMYFUNCTION("""COMPUTED_VALUE"""),"SERVIÇOS DE TECNOLOGIA DA INFORMAÇÃO E COMUNICAÇÃO - TIC")</f>
        <v>SERVIÇOS DE TECNOLOGIA DA INFORMAÇÃO E COMUNICAÇÃO - TIC</v>
      </c>
      <c r="CE17" s="180"/>
      <c r="CF17" s="180" t="str">
        <f>IFERROR(__xludf.DUMMYFUNCTION("""COMPUTED_VALUE"""),"MANUTENÇÃO E CONSERVAÇÃO DE EQUIPAMENTOS DE TIC")</f>
        <v>MANUTENÇÃO E CONSERVAÇÃO DE EQUIPAMENTOS DE TIC</v>
      </c>
      <c r="CG17" s="189"/>
      <c r="CH17" s="189">
        <f>IFERROR(__xludf.DUMMYFUNCTION("""COMPUTED_VALUE"""),45213.0)</f>
        <v>45213</v>
      </c>
      <c r="CI17" s="180" t="str">
        <f>IFERROR(__xludf.DUMMYFUNCTION("""COMPUTED_VALUE"""),"PROR")</f>
        <v>PROR</v>
      </c>
      <c r="CJ17" s="190">
        <f>IFERROR(__xludf.DUMMYFUNCTION("""COMPUTED_VALUE"""),32390.4)</f>
        <v>32390.4</v>
      </c>
      <c r="CK17" s="189">
        <f>IFERROR(__xludf.DUMMYFUNCTION("""COMPUTED_VALUE"""),44848.0)</f>
        <v>44848</v>
      </c>
      <c r="CL17" s="180" t="str">
        <f>IFERROR(__xludf.DUMMYFUNCTION("""COMPUTED_VALUE"""),"PROR")</f>
        <v>PROR</v>
      </c>
      <c r="CM17" s="180" t="str">
        <f>IFERROR(__xludf.DUMMYFUNCTION("""COMPUTED_VALUE"""),"x")</f>
        <v>x</v>
      </c>
      <c r="CN17" s="180" t="str">
        <f>IFERROR(__xludf.DUMMYFUNCTION("""COMPUTED_VALUE"""),"PRE-7005/2020")</f>
        <v>PRE-7005/2020</v>
      </c>
      <c r="CO17" s="180"/>
      <c r="CP17" s="180"/>
      <c r="CQ17" s="180"/>
      <c r="CR17" s="180" t="str">
        <f>IFERROR(__xludf.DUMMYFUNCTION("""COMPUTED_VALUE"""),"GND3")</f>
        <v>GND3</v>
      </c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</row>
    <row r="18">
      <c r="A18" s="230">
        <f>IFERROR(__xludf.DUMMYFUNCTION("""COMPUTED_VALUE"""),15244.0)</f>
        <v>15244</v>
      </c>
      <c r="B18" s="230">
        <f>IFERROR(__xludf.DUMMYFUNCTION("""COMPUTED_VALUE"""),0.0)</f>
        <v>0</v>
      </c>
      <c r="C18" s="180" t="str">
        <f>IFERROR(__xludf.DUMMYFUNCTION("""COMPUTED_VALUE"""),"SERPRO - Contratação de serviço web de acesso a dados")</f>
        <v>SERPRO - Contratação de serviço web de acesso a dados</v>
      </c>
      <c r="D18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18" s="180" t="str">
        <f>IFERROR(__xludf.DUMMYFUNCTION("""COMPUTED_VALUE"""),"EJ05 - APERFEIÇOAR A GOVERNANÇA E A GESTÃO")</f>
        <v>EJ05 - APERFEIÇOAR A GOVERNANÇA E A GESTÃO</v>
      </c>
      <c r="F18" s="180" t="str">
        <f>IFERROR(__xludf.DUMMYFUNCTION("""COMPUTED_VALUE"""),"Contratação de serviços de suporte à microinformática")</f>
        <v>Contratação de serviços de suporte à microinformática</v>
      </c>
      <c r="G18" s="180" t="str">
        <f>IFERROR(__xludf.DUMMYFUNCTION("""COMPUTED_VALUE"""),"(ID PAAC 15244) SERPRO - Contratação de serviço web de acesso a dados")</f>
        <v>(ID PAAC 15244) SERPRO - Contratação de serviço web de acesso a dados</v>
      </c>
      <c r="H18" s="180" t="str">
        <f>IFERROR(__xludf.DUMMYFUNCTION("""COMPUTED_VALUE"""),"Continuado")</f>
        <v>Continuado</v>
      </c>
      <c r="I18" s="180" t="str">
        <f>IFERROR(__xludf.DUMMYFUNCTION("""COMPUTED_VALUE"""),"SECAJ")</f>
        <v>SECAJ</v>
      </c>
      <c r="J18" s="180" t="str">
        <f>IFERROR(__xludf.DUMMYFUNCTION("""COMPUTED_VALUE"""),"SETIC")</f>
        <v>SETIC</v>
      </c>
      <c r="K18" s="180" t="str">
        <f>IFERROR(__xludf.DUMMYFUNCTION("""COMPUTED_VALUE"""),"GND3")</f>
        <v>GND3</v>
      </c>
      <c r="L18" s="231">
        <f>IFERROR(__xludf.DUMMYFUNCTION("""COMPUTED_VALUE"""),0.0)</f>
        <v>0</v>
      </c>
      <c r="M18" s="232">
        <f>IFERROR(__xludf.DUMMYFUNCTION("""COMPUTED_VALUE"""),3.3904013E7)</f>
        <v>33904013</v>
      </c>
      <c r="N18" s="232">
        <f>IFERROR(__xludf.DUMMYFUNCTION("""COMPUTED_VALUE"""),0.0)</f>
        <v>0</v>
      </c>
      <c r="O18" s="230">
        <f>IFERROR(__xludf.DUMMYFUNCTION("""COMPUTED_VALUE"""),168105.0)</f>
        <v>168105</v>
      </c>
      <c r="P18" s="180" t="str">
        <f>IFERROR(__xludf.DUMMYFUNCTION("""COMPUTED_VALUE"""),"Não")</f>
        <v>Não</v>
      </c>
      <c r="Q18" s="180" t="str">
        <f>IFERROR(__xludf.DUMMYFUNCTION("""COMPUTED_VALUE"""),"1 - Imprescindível")</f>
        <v>1 - Imprescindível</v>
      </c>
      <c r="R18" s="180" t="str">
        <f>IFERROR(__xludf.DUMMYFUNCTION("""COMPUTED_VALUE"""),"1 - Selecionado")</f>
        <v>1 - Selecionado</v>
      </c>
      <c r="S18" s="180"/>
      <c r="T18" s="180"/>
      <c r="U18" s="180" t="str">
        <f>IFERROR(__xludf.DUMMYFUNCTION("""COMPUTED_VALUE"""),"99 - Orçamentário")</f>
        <v>99 - Orçamentário</v>
      </c>
      <c r="V18" s="180"/>
      <c r="W18" s="180" t="str">
        <f>IFERROR(__xludf.DUMMYFUNCTION("""COMPUTED_VALUE"""),"14060/2018")</f>
        <v>14060/2018</v>
      </c>
      <c r="X18" s="180" t="str">
        <f>IFERROR(__xludf.DUMMYFUNCTION("""COMPUTED_VALUE"""),"SESUS")</f>
        <v>SESUS</v>
      </c>
      <c r="Y18" s="180" t="str">
        <f>IFERROR(__xludf.DUMMYFUNCTION("""COMPUTED_VALUE"""),"ORÇAMENTO")</f>
        <v>ORÇAMENTO</v>
      </c>
      <c r="Z18" s="180" t="str">
        <f>IFERROR(__xludf.DUMMYFUNCTION("""COMPUTED_VALUE"""),"CD")</f>
        <v>CD</v>
      </c>
      <c r="AA18" s="180" t="str">
        <f>IFERROR(__xludf.DUMMYFUNCTION("""COMPUTED_VALUE"""),"CD-14060/2018")</f>
        <v>CD-14060/2018</v>
      </c>
      <c r="AB18" s="230">
        <f>IFERROR(__xludf.DUMMYFUNCTION("""COMPUTED_VALUE"""),806030.0)</f>
        <v>806030</v>
      </c>
      <c r="AC18" s="180" t="str">
        <f>IFERROR(__xludf.DUMMYFUNCTION("""COMPUTED_VALUE"""),"SERPRO - SEDE - BRASILIA")</f>
        <v>SERPRO - SEDE - BRASILIA</v>
      </c>
      <c r="AD18" s="189">
        <f>IFERROR(__xludf.DUMMYFUNCTION("""COMPUTED_VALUE"""),45287.0)</f>
        <v>45287</v>
      </c>
      <c r="AE18" s="189">
        <f>IFERROR(__xludf.DUMMYFUNCTION("""COMPUTED_VALUE"""),45287.0)</f>
        <v>45287</v>
      </c>
      <c r="AF18" s="180" t="str">
        <f>IFERROR(__xludf.DUMMYFUNCTION("""COMPUTED_VALUE"""),"Alexandre de Lemos Dias
Diretor do SESUS - Substituto")</f>
        <v>Alexandre de Lemos Dias
Diretor do SESUS - Substituto</v>
      </c>
      <c r="AG18" s="233">
        <f>IFERROR(__xludf.DUMMYFUNCTION("""COMPUTED_VALUE"""),1.0)</f>
        <v>1</v>
      </c>
      <c r="AH18" s="190">
        <f>IFERROR(__xludf.DUMMYFUNCTION("""COMPUTED_VALUE"""),43954.44)</f>
        <v>43954.44</v>
      </c>
      <c r="AI18" s="180" t="str">
        <f>IFERROR(__xludf.DUMMYFUNCTION("""COMPUTED_VALUE"""),"Não")</f>
        <v>Não</v>
      </c>
      <c r="AJ18" s="190"/>
      <c r="AK18" s="180" t="str">
        <f>IFERROR(__xludf.DUMMYFUNCTION("""COMPUTED_VALUE"""),"Letícia Fernandes Furtado")</f>
        <v>Letícia Fernandes Furtado</v>
      </c>
      <c r="AL18" s="180"/>
      <c r="AM18" s="180"/>
      <c r="AN18" s="190">
        <f>IFERROR(__xludf.DUMMYFUNCTION("""COMPUTED_VALUE"""),3662.4400000000023)</f>
        <v>3662.44</v>
      </c>
      <c r="AO18" s="190">
        <f>IFERROR(__xludf.DUMMYFUNCTION("""COMPUTED_VALUE"""),40292.0)</f>
        <v>40292</v>
      </c>
      <c r="AP18" s="180" t="str">
        <f>IFERROR(__xludf.DUMMYFUNCTION("""COMPUTED_VALUE"""),"2022NE000104")</f>
        <v>2022NE000104</v>
      </c>
      <c r="AQ18" s="190">
        <f>IFERROR(__xludf.DUMMYFUNCTION("""COMPUTED_VALUE"""),40292.0)</f>
        <v>40292</v>
      </c>
      <c r="AR18" s="190">
        <f>IFERROR(__xludf.DUMMYFUNCTION("""COMPUTED_VALUE"""),43954.44)</f>
        <v>43954.44</v>
      </c>
      <c r="AS18" s="180"/>
      <c r="AT18" s="190">
        <f>IFERROR(__xludf.DUMMYFUNCTION("""COMPUTED_VALUE"""),43954.44)</f>
        <v>43954.44</v>
      </c>
      <c r="AU18" s="190">
        <f>IFERROR(__xludf.DUMMYFUNCTION("""COMPUTED_VALUE"""),3662.87)</f>
        <v>3662.87</v>
      </c>
      <c r="AV18" s="232">
        <f>IFERROR(__xludf.DUMMYFUNCTION("""COMPUTED_VALUE"""),12.0)</f>
        <v>12</v>
      </c>
      <c r="AW18" s="190">
        <f>IFERROR(__xludf.DUMMYFUNCTION("""COMPUTED_VALUE"""),43954.44)</f>
        <v>43954.44</v>
      </c>
      <c r="AX18" s="190">
        <f>IFERROR(__xludf.DUMMYFUNCTION("""COMPUTED_VALUE"""),0.0)</f>
        <v>0</v>
      </c>
      <c r="AY18" s="190">
        <f>IFERROR(__xludf.DUMMYFUNCTION("""COMPUTED_VALUE"""),43954.44)</f>
        <v>43954.44</v>
      </c>
      <c r="AZ18" s="190">
        <f>IFERROR(__xludf.DUMMYFUNCTION("""COMPUTED_VALUE"""),11231.370000000003)</f>
        <v>11231.37</v>
      </c>
      <c r="BA18" s="190">
        <f>IFERROR(__xludf.DUMMYFUNCTION("""COMPUTED_VALUE"""),32723.07)</f>
        <v>32723.07</v>
      </c>
      <c r="BB18" s="180" t="str">
        <f>IFERROR(__xludf.DUMMYFUNCTION("""COMPUTED_VALUE"""),"CD-14060/2018")</f>
        <v>CD-14060/2018</v>
      </c>
      <c r="BC18" s="232">
        <f>IFERROR(__xludf.DUMMYFUNCTION("""COMPUTED_VALUE"""),1.51132022236929E14)</f>
        <v>151132022236929</v>
      </c>
      <c r="BD18" s="180" t="str">
        <f>IFERROR(__xludf.DUMMYFUNCTION("""COMPUTED_VALUE"""),"Não")</f>
        <v>Não</v>
      </c>
      <c r="BE18" s="180" t="str">
        <f>IFERROR(__xludf.DUMMYFUNCTION("""COMPUTED_VALUE"""),"Não")</f>
        <v>Não</v>
      </c>
      <c r="BF18" s="180"/>
      <c r="BG18" s="180"/>
      <c r="BH18" s="233">
        <f>IFERROR(__xludf.DUMMYFUNCTION("""COMPUTED_VALUE"""),300000.0)</f>
        <v>300000</v>
      </c>
      <c r="BI18" s="180" t="str">
        <f>IFERROR(__xludf.DUMMYFUNCTION("""COMPUTED_VALUE"""),"Alta")</f>
        <v>Alta</v>
      </c>
      <c r="BJ18" s="180"/>
      <c r="BK18" s="180" t="str">
        <f>IFERROR(__xludf.DUMMYFUNCTION("""COMPUTED_VALUE"""),"ano")</f>
        <v>ano</v>
      </c>
      <c r="BL18" s="180" t="str">
        <f>IFERROR(__xludf.DUMMYFUNCTION("""COMPUTED_VALUE"""),"Dispensa")</f>
        <v>Dispensa</v>
      </c>
      <c r="BM18" s="180" t="str">
        <f>IFERROR(__xludf.DUMMYFUNCTION("""COMPUTED_VALUE"""),"ORÇAMENTO")</f>
        <v>ORÇAMENTO</v>
      </c>
      <c r="BN18" s="189"/>
      <c r="BO18" s="189"/>
      <c r="BP18" s="190"/>
      <c r="BQ18" s="190"/>
      <c r="BR18" s="190"/>
      <c r="BS18" s="190">
        <f>IFERROR(__xludf.DUMMYFUNCTION("""COMPUTED_VALUE"""),43954.44)</f>
        <v>43954.44</v>
      </c>
      <c r="BT18" s="190"/>
      <c r="BU18" s="180" t="str">
        <f>IFERROR(__xludf.DUMMYFUNCTION("""COMPUTED_VALUE"""),"Comunicação de dados e redes em geral")</f>
        <v>Comunicação de dados e redes em geral</v>
      </c>
      <c r="BV18" s="180"/>
      <c r="BW18" s="180"/>
      <c r="BX18" s="180"/>
      <c r="BY18" s="180"/>
      <c r="BZ18" s="189"/>
      <c r="CA18" s="180"/>
      <c r="CB18" s="180" t="str">
        <f>IFERROR(__xludf.DUMMYFUNCTION("""COMPUTED_VALUE"""),"Apreciação de Causas na Justiça do Trabalho")</f>
        <v>Apreciação de Causas na Justiça do Trabalho</v>
      </c>
      <c r="CC18" s="180" t="str">
        <f>IFERROR(__xludf.DUMMYFUNCTION("""COMPUTED_VALUE""")," - ")</f>
        <v> - </v>
      </c>
      <c r="CD18" s="180" t="str">
        <f>IFERROR(__xludf.DUMMYFUNCTION("""COMPUTED_VALUE"""),"SERVIÇOS DE TECNOLOGIA DA INFORMAÇÃO E COMUNICAÇÃO - TIC")</f>
        <v>SERVIÇOS DE TECNOLOGIA DA INFORMAÇÃO E COMUNICAÇÃO - TIC</v>
      </c>
      <c r="CE18" s="180"/>
      <c r="CF18" s="180" t="str">
        <f>IFERROR(__xludf.DUMMYFUNCTION("""COMPUTED_VALUE"""),"COMUNICAÇÃO DE DADOS E REDES EM GERAL")</f>
        <v>COMUNICAÇÃO DE DADOS E REDES EM GERAL</v>
      </c>
      <c r="CG18" s="189"/>
      <c r="CH18" s="189">
        <f>IFERROR(__xludf.DUMMYFUNCTION("""COMPUTED_VALUE"""),45652.0)</f>
        <v>45652</v>
      </c>
      <c r="CI18" s="180" t="str">
        <f>IFERROR(__xludf.DUMMYFUNCTION("""COMPUTED_VALUE"""),"ORÇAMENTO")</f>
        <v>ORÇAMENTO</v>
      </c>
      <c r="CJ18" s="190">
        <f>IFERROR(__xludf.DUMMYFUNCTION("""COMPUTED_VALUE"""),40291.57)</f>
        <v>40291.57</v>
      </c>
      <c r="CK18" s="189">
        <f>IFERROR(__xludf.DUMMYFUNCTION("""COMPUTED_VALUE"""),45287.0)</f>
        <v>45287</v>
      </c>
      <c r="CL18" s="180" t="str">
        <f>IFERROR(__xludf.DUMMYFUNCTION("""COMPUTED_VALUE"""),"ORÇAMENTO")</f>
        <v>ORÇAMENTO</v>
      </c>
      <c r="CM18" s="180" t="str">
        <f>IFERROR(__xludf.DUMMYFUNCTION("""COMPUTED_VALUE"""),"x")</f>
        <v>x</v>
      </c>
      <c r="CN18" s="180" t="str">
        <f>IFERROR(__xludf.DUMMYFUNCTION("""COMPUTED_VALUE"""),"CD-14060/2018")</f>
        <v>CD-14060/2018</v>
      </c>
      <c r="CO18" s="180"/>
      <c r="CP18" s="180"/>
      <c r="CQ18" s="180"/>
      <c r="CR18" s="180" t="str">
        <f>IFERROR(__xludf.DUMMYFUNCTION("""COMPUTED_VALUE"""),"GND3")</f>
        <v>GND3</v>
      </c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</row>
    <row r="19">
      <c r="A19" s="230">
        <f>IFERROR(__xludf.DUMMYFUNCTION("""COMPUTED_VALUE"""),15254.0)</f>
        <v>15254</v>
      </c>
      <c r="B19" s="230">
        <f>IFERROR(__xludf.DUMMYFUNCTION("""COMPUTED_VALUE"""),15254.0)</f>
        <v>15254</v>
      </c>
      <c r="C19" s="180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(CERTISIGN).")</f>
        <v>CERTIFICADOS PJ - Aquisição Certificados Digitais SSL (PJe, domínio trt12.jus.br e siscondj), obrigatório para estabelecer autenticação de confiança entre sistemas de informação. Exigido pela instituição bancária (CERTISIGN).</v>
      </c>
      <c r="D19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19" s="180" t="str">
        <f>IFERROR(__xludf.DUMMYFUNCTION("""COMPUTED_VALUE"""),"EJ08 - PROMOVER SERVIÇOS DE INFRAESTRUTURA E SOLUÇÕES CORPORATIVAS")</f>
        <v>EJ08 - PROMOVER SERVIÇOS DE INFRAESTRUTURA E SOLUÇÕES CORPORATIVAS</v>
      </c>
      <c r="F19" s="180" t="str">
        <f>IFERROR(__xludf.DUMMYFUNCTION("""COMPUTED_VALUE"""),"Contratação de serviços de suporte à microinformática")</f>
        <v>Contratação de serviços de suporte à microinformática</v>
      </c>
      <c r="G19" s="180" t="str">
        <f>IFERROR(__xludf.DUMMYFUNCTION("""COMPUTED_VALUE"""),"(ID PAAC 15254) CERTIFICADOS PJ - Aquisição Certificados Digitais SSL (PJe, domínio trt12.jus.br e siscondj), obrigatório para estabelecer autenticação de confiança entre sistemas de informação. Exigido pela instituição bancária (CERTISIGN).")</f>
        <v>(ID PAAC 15254) CERTIFICADOS PJ - Aquisição Certificados Digitais SSL (PJe, domínio trt12.jus.br e siscondj), obrigatório para estabelecer autenticação de confiança entre sistemas de informação. Exigido pela instituição bancária (CERTISIGN).</v>
      </c>
      <c r="H19" s="180" t="str">
        <f>IFERROR(__xludf.DUMMYFUNCTION("""COMPUTED_VALUE"""),"Imediato")</f>
        <v>Imediato</v>
      </c>
      <c r="I19" s="180" t="str">
        <f>IFERROR(__xludf.DUMMYFUNCTION("""COMPUTED_VALUE"""),"SETIC")</f>
        <v>SETIC</v>
      </c>
      <c r="J19" s="180" t="str">
        <f>IFERROR(__xludf.DUMMYFUNCTION("""COMPUTED_VALUE"""),"SETIC")</f>
        <v>SETIC</v>
      </c>
      <c r="K19" s="180" t="str">
        <f>IFERROR(__xludf.DUMMYFUNCTION("""COMPUTED_VALUE"""),"GND3")</f>
        <v>GND3</v>
      </c>
      <c r="L19" s="231">
        <f>IFERROR(__xludf.DUMMYFUNCTION("""COMPUTED_VALUE"""),0.0)</f>
        <v>0</v>
      </c>
      <c r="M19" s="232">
        <f>IFERROR(__xludf.DUMMYFUNCTION("""COMPUTED_VALUE"""),3.3904023E7)</f>
        <v>33904023</v>
      </c>
      <c r="N19" s="232">
        <f>IFERROR(__xludf.DUMMYFUNCTION("""COMPUTED_VALUE"""),0.0)</f>
        <v>0</v>
      </c>
      <c r="O19" s="230">
        <f>IFERROR(__xludf.DUMMYFUNCTION("""COMPUTED_VALUE"""),168105.0)</f>
        <v>168105</v>
      </c>
      <c r="P19" s="180" t="str">
        <f>IFERROR(__xludf.DUMMYFUNCTION("""COMPUTED_VALUE"""),"Não")</f>
        <v>Não</v>
      </c>
      <c r="Q19" s="180" t="str">
        <f>IFERROR(__xludf.DUMMYFUNCTION("""COMPUTED_VALUE"""),"1 - Imprescindível")</f>
        <v>1 - Imprescindível</v>
      </c>
      <c r="R19" s="180" t="str">
        <f>IFERROR(__xludf.DUMMYFUNCTION("""COMPUTED_VALUE"""),"1 - Selecionado")</f>
        <v>1 - Selecionado</v>
      </c>
      <c r="S19" s="180"/>
      <c r="T19" s="180"/>
      <c r="U19" s="180" t="str">
        <f>IFERROR(__xludf.DUMMYFUNCTION("""COMPUTED_VALUE"""),"07 - Concluída")</f>
        <v>07 - Concluída</v>
      </c>
      <c r="V19" s="180" t="str">
        <f>IFERROR(__xludf.DUMMYFUNCTION("""COMPUTED_VALUE"""),"1891/2022")</f>
        <v>1891/2022</v>
      </c>
      <c r="W19" s="180" t="str">
        <f>IFERROR(__xludf.DUMMYFUNCTION("""COMPUTED_VALUE"""),"2832/2022")</f>
        <v>2832/2022</v>
      </c>
      <c r="X19" s="180" t="str">
        <f>IFERROR(__xludf.DUMMYFUNCTION("""COMPUTED_VALUE"""),"SEINFRA")</f>
        <v>SEINFRA</v>
      </c>
      <c r="Y19" s="180" t="str">
        <f>IFERROR(__xludf.DUMMYFUNCTION("""COMPUTED_VALUE"""),"DISPENSA_PELO_VALOR")</f>
        <v>DISPENSA_PELO_VALOR</v>
      </c>
      <c r="Z19" s="180" t="str">
        <f>IFERROR(__xludf.DUMMYFUNCTION("""COMPUTED_VALUE"""),"CD")</f>
        <v>CD</v>
      </c>
      <c r="AA19" s="180" t="str">
        <f>IFERROR(__xludf.DUMMYFUNCTION("""COMPUTED_VALUE"""),"CD-2832/2022")</f>
        <v>CD-2832/2022</v>
      </c>
      <c r="AB19" s="230">
        <f>IFERROR(__xludf.DUMMYFUNCTION("""COMPUTED_VALUE"""),1.554285000175E12)</f>
        <v>1554285000175</v>
      </c>
      <c r="AC19" s="180" t="str">
        <f>IFERROR(__xludf.DUMMYFUNCTION("""COMPUTED_VALUE"""),"CERTISIGN CERTIFICADORA DIGITAL S.A")</f>
        <v>CERTISIGN CERTIFICADORA DIGITAL S.A</v>
      </c>
      <c r="AD19" s="189">
        <f>IFERROR(__xludf.DUMMYFUNCTION("""COMPUTED_VALUE"""),44643.0)</f>
        <v>44643</v>
      </c>
      <c r="AE19" s="189">
        <f>IFERROR(__xludf.DUMMYFUNCTION("""COMPUTED_VALUE"""),44653.0)</f>
        <v>44653</v>
      </c>
      <c r="AF19" s="180" t="str">
        <f>IFERROR(__xludf.DUMMYFUNCTION("""COMPUTED_VALUE"""),"Anderson Bastos
Diretor do SEINFRA")</f>
        <v>Anderson Bastos
Diretor do SEINFRA</v>
      </c>
      <c r="AG19" s="233">
        <f>IFERROR(__xludf.DUMMYFUNCTION("""COMPUTED_VALUE"""),2.0)</f>
        <v>2</v>
      </c>
      <c r="AH19" s="190">
        <f>IFERROR(__xludf.DUMMYFUNCTION("""COMPUTED_VALUE"""),945.0)</f>
        <v>945</v>
      </c>
      <c r="AI19" s="180" t="str">
        <f>IFERROR(__xludf.DUMMYFUNCTION("""COMPUTED_VALUE"""),"Não")</f>
        <v>Não</v>
      </c>
      <c r="AJ19" s="190"/>
      <c r="AK19" s="180"/>
      <c r="AL19" s="180"/>
      <c r="AM19" s="180"/>
      <c r="AN19" s="190">
        <f>IFERROR(__xludf.DUMMYFUNCTION("""COMPUTED_VALUE"""),-5380.0)</f>
        <v>-5380</v>
      </c>
      <c r="AO19" s="190">
        <f>IFERROR(__xludf.DUMMYFUNCTION("""COMPUTED_VALUE"""),7270.0)</f>
        <v>7270</v>
      </c>
      <c r="AP19" s="180" t="str">
        <f>IFERROR(__xludf.DUMMYFUNCTION("""COMPUTED_VALUE"""),"2022NE000266")</f>
        <v>2022NE000266</v>
      </c>
      <c r="AQ19" s="190">
        <f>IFERROR(__xludf.DUMMYFUNCTION("""COMPUTED_VALUE"""),7270.0)</f>
        <v>7270</v>
      </c>
      <c r="AR19" s="190">
        <f>IFERROR(__xludf.DUMMYFUNCTION("""COMPUTED_VALUE"""),1890.0)</f>
        <v>1890</v>
      </c>
      <c r="AS19" s="180"/>
      <c r="AT19" s="190">
        <f>IFERROR(__xludf.DUMMYFUNCTION("""COMPUTED_VALUE"""),1890.0)</f>
        <v>1890</v>
      </c>
      <c r="AU19" s="190"/>
      <c r="AV19" s="232"/>
      <c r="AW19" s="190">
        <f>IFERROR(__xludf.DUMMYFUNCTION("""COMPUTED_VALUE"""),0.0)</f>
        <v>0</v>
      </c>
      <c r="AX19" s="190">
        <f>IFERROR(__xludf.DUMMYFUNCTION("""COMPUTED_VALUE"""),0.0)</f>
        <v>0</v>
      </c>
      <c r="AY19" s="190">
        <f>IFERROR(__xludf.DUMMYFUNCTION("""COMPUTED_VALUE"""),1890.0)</f>
        <v>1890</v>
      </c>
      <c r="AZ19" s="190">
        <f>IFERROR(__xludf.DUMMYFUNCTION("""COMPUTED_VALUE"""),0.0)</f>
        <v>0</v>
      </c>
      <c r="BA19" s="190">
        <f>IFERROR(__xludf.DUMMYFUNCTION("""COMPUTED_VALUE"""),1890.0)</f>
        <v>1890</v>
      </c>
      <c r="BB19" s="180" t="str">
        <f>IFERROR(__xludf.DUMMYFUNCTION("""COMPUTED_VALUE"""),"CD-2832/2022")</f>
        <v>CD-2832/2022</v>
      </c>
      <c r="BC19" s="232">
        <f>IFERROR(__xludf.DUMMYFUNCTION("""COMPUTED_VALUE"""),1.5113202223695E14)</f>
        <v>151132022236950</v>
      </c>
      <c r="BD19" s="180" t="str">
        <f>IFERROR(__xludf.DUMMYFUNCTION("""COMPUTED_VALUE"""),"Sim")</f>
        <v>Sim</v>
      </c>
      <c r="BE19" s="180" t="str">
        <f>IFERROR(__xludf.DUMMYFUNCTION("""COMPUTED_VALUE"""),"Não")</f>
        <v>Não</v>
      </c>
      <c r="BF19" s="180"/>
      <c r="BG19" s="180"/>
      <c r="BH19" s="233">
        <f>IFERROR(__xludf.DUMMYFUNCTION("""COMPUTED_VALUE"""),300000.0)</f>
        <v>300000</v>
      </c>
      <c r="BI19" s="180" t="str">
        <f>IFERROR(__xludf.DUMMYFUNCTION("""COMPUTED_VALUE"""),"Alta")</f>
        <v>Alta</v>
      </c>
      <c r="BJ19" s="180"/>
      <c r="BK19" s="180" t="str">
        <f>IFERROR(__xludf.DUMMYFUNCTION("""COMPUTED_VALUE"""),"unidade")</f>
        <v>unidade</v>
      </c>
      <c r="BL19" s="180" t="str">
        <f>IFERROR(__xludf.DUMMYFUNCTION("""COMPUTED_VALUE"""),"Dispensa")</f>
        <v>Dispensa</v>
      </c>
      <c r="BM19" s="180" t="str">
        <f>IFERROR(__xludf.DUMMYFUNCTION("""COMPUTED_VALUE"""),"DISPENSA_PELO_VALOR")</f>
        <v>DISPENSA_PELO_VALOR</v>
      </c>
      <c r="BN19" s="189">
        <f>IFERROR(__xludf.DUMMYFUNCTION("""COMPUTED_VALUE"""),44643.0)</f>
        <v>44643</v>
      </c>
      <c r="BO19" s="189">
        <f>IFERROR(__xludf.DUMMYFUNCTION("""COMPUTED_VALUE"""),44643.0)</f>
        <v>44643</v>
      </c>
      <c r="BP19" s="190">
        <f>IFERROR(__xludf.DUMMYFUNCTION("""COMPUTED_VALUE"""),1890.0)</f>
        <v>1890</v>
      </c>
      <c r="BQ19" s="190">
        <f>IFERROR(__xludf.DUMMYFUNCTION("""COMPUTED_VALUE"""),1890.0)</f>
        <v>1890</v>
      </c>
      <c r="BR19" s="190">
        <f>IFERROR(__xludf.DUMMYFUNCTION("""COMPUTED_VALUE"""),1890.0)</f>
        <v>1890</v>
      </c>
      <c r="BS19" s="190">
        <f>IFERROR(__xludf.DUMMYFUNCTION("""COMPUTED_VALUE"""),1890.0)</f>
        <v>1890</v>
      </c>
      <c r="BT19" s="190">
        <f>IFERROR(__xludf.DUMMYFUNCTION("""COMPUTED_VALUE"""),1890.0)</f>
        <v>1890</v>
      </c>
      <c r="BU19" s="180" t="str">
        <f>IFERROR(__xludf.DUMMYFUNCTION("""COMPUTED_VALUE"""),"Emissão de Certificados Digitais")</f>
        <v>Emissão de Certificados Digitais</v>
      </c>
      <c r="BV19" s="180"/>
      <c r="BW19" s="180"/>
      <c r="BX19" s="180"/>
      <c r="BY19" s="180"/>
      <c r="BZ19" s="189"/>
      <c r="CA19" s="180"/>
      <c r="CB19" s="180" t="str">
        <f>IFERROR(__xludf.DUMMYFUNCTION("""COMPUTED_VALUE"""),"Apreciação de Causas na Justiça do Trabalho")</f>
        <v>Apreciação de Causas na Justiça do Trabalho</v>
      </c>
      <c r="CC19" s="180" t="str">
        <f>IFERROR(__xludf.DUMMYFUNCTION("""COMPUTED_VALUE""")," - ")</f>
        <v> - </v>
      </c>
      <c r="CD19" s="180" t="str">
        <f>IFERROR(__xludf.DUMMYFUNCTION("""COMPUTED_VALUE"""),"SERVIÇOS DE TECNOLOGIA DA INFORMAÇÃO E COMUNICAÇÃO - TIC")</f>
        <v>SERVIÇOS DE TECNOLOGIA DA INFORMAÇÃO E COMUNICAÇÃO - TIC</v>
      </c>
      <c r="CE19" s="180"/>
      <c r="CF19" s="180" t="str">
        <f>IFERROR(__xludf.DUMMYFUNCTION("""COMPUTED_VALUE"""),"EMISSÃO DE CERTIFICADOS DIGITAIS")</f>
        <v>EMISSÃO DE CERTIFICADOS DIGITAIS</v>
      </c>
      <c r="CG19" s="189"/>
      <c r="CH19" s="189">
        <f>IFERROR(__xludf.DUMMYFUNCTION("""COMPUTED_VALUE"""),45018.0)</f>
        <v>45018</v>
      </c>
      <c r="CI19" s="180" t="str">
        <f>IFERROR(__xludf.DUMMYFUNCTION("""COMPUTED_VALUE"""),"DISPENSA_PELO_VALOR")</f>
        <v>DISPENSA_PELO_VALOR</v>
      </c>
      <c r="CJ19" s="190">
        <f>IFERROR(__xludf.DUMMYFUNCTION("""COMPUTED_VALUE"""),7270.0)</f>
        <v>7270</v>
      </c>
      <c r="CK19" s="189">
        <f>IFERROR(__xludf.DUMMYFUNCTION("""COMPUTED_VALUE"""),44805.0)</f>
        <v>44805</v>
      </c>
      <c r="CL19" s="180" t="str">
        <f>IFERROR(__xludf.DUMMYFUNCTION("""COMPUTED_VALUE"""),"DISP_INEX")</f>
        <v>DISP_INEX</v>
      </c>
      <c r="CM19" s="180" t="str">
        <f>IFERROR(__xludf.DUMMYFUNCTION("""COMPUTED_VALUE"""),"x")</f>
        <v>x</v>
      </c>
      <c r="CN19" s="180" t="str">
        <f>IFERROR(__xludf.DUMMYFUNCTION("""COMPUTED_VALUE"""),"CD-2832/2022")</f>
        <v>CD-2832/2022</v>
      </c>
      <c r="CO19" s="180"/>
      <c r="CP19" s="180"/>
      <c r="CQ19" s="180"/>
      <c r="CR19" s="180" t="str">
        <f>IFERROR(__xludf.DUMMYFUNCTION("""COMPUTED_VALUE"""),"GND3")</f>
        <v>GND3</v>
      </c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</row>
    <row r="20">
      <c r="A20" s="230">
        <f>IFERROR(__xludf.DUMMYFUNCTION("""COMPUTED_VALUE"""),15259.0)</f>
        <v>15259</v>
      </c>
      <c r="B20" s="230">
        <f>IFERROR(__xludf.DUMMYFUNCTION("""COMPUTED_VALUE"""),0.0)</f>
        <v>0</v>
      </c>
      <c r="C20" s="180" t="str">
        <f>IFERROR(__xludf.DUMMYFUNCTION("""COMPUTED_VALUE"""),"INTERNET LINK 1 - Contratação de acesso corporativo à internet")</f>
        <v>INTERNET LINK 1 - Contratação de acesso corporativo à internet</v>
      </c>
      <c r="D20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20" s="180" t="str">
        <f>IFERROR(__xludf.DUMMYFUNCTION("""COMPUTED_VALUE"""),"EJ08 - PROMOVER SERVIÇOS DE INFRAESTRUTURA E SOLUÇÕES CORPORATIVAS")</f>
        <v>EJ08 - PROMOVER SERVIÇOS DE INFRAESTRUTURA E SOLUÇÕES CORPORATIVAS</v>
      </c>
      <c r="F20" s="180" t="str">
        <f>IFERROR(__xludf.DUMMYFUNCTION("""COMPUTED_VALUE"""),"Contratação de serviços para o suporte à infraestrutura tecnológica")</f>
        <v>Contratação de serviços para o suporte à infraestrutura tecnológica</v>
      </c>
      <c r="G20" s="180" t="str">
        <f>IFERROR(__xludf.DUMMYFUNCTION("""COMPUTED_VALUE"""),"(ID PAAC 15259) INTERNET LINK 1 - Contratação de acesso corporativo à internet")</f>
        <v>(ID PAAC 15259) INTERNET LINK 1 - Contratação de acesso corporativo à internet</v>
      </c>
      <c r="H20" s="180" t="str">
        <f>IFERROR(__xludf.DUMMYFUNCTION("""COMPUTED_VALUE"""),"Continuado")</f>
        <v>Continuado</v>
      </c>
      <c r="I20" s="180" t="str">
        <f>IFERROR(__xludf.DUMMYFUNCTION("""COMPUTED_VALUE"""),"SETIC")</f>
        <v>SETIC</v>
      </c>
      <c r="J20" s="180" t="str">
        <f>IFERROR(__xludf.DUMMYFUNCTION("""COMPUTED_VALUE"""),"SETIC")</f>
        <v>SETIC</v>
      </c>
      <c r="K20" s="180" t="str">
        <f>IFERROR(__xludf.DUMMYFUNCTION("""COMPUTED_VALUE"""),"GND3")</f>
        <v>GND3</v>
      </c>
      <c r="L20" s="231">
        <f>IFERROR(__xludf.DUMMYFUNCTION("""COMPUTED_VALUE"""),0.0)</f>
        <v>0</v>
      </c>
      <c r="M20" s="232">
        <f>IFERROR(__xludf.DUMMYFUNCTION("""COMPUTED_VALUE"""),3.3904013E7)</f>
        <v>33904013</v>
      </c>
      <c r="N20" s="232">
        <f>IFERROR(__xludf.DUMMYFUNCTION("""COMPUTED_VALUE"""),0.0)</f>
        <v>0</v>
      </c>
      <c r="O20" s="230">
        <f>IFERROR(__xludf.DUMMYFUNCTION("""COMPUTED_VALUE"""),168105.0)</f>
        <v>168105</v>
      </c>
      <c r="P20" s="180" t="str">
        <f>IFERROR(__xludf.DUMMYFUNCTION("""COMPUTED_VALUE"""),"Não")</f>
        <v>Não</v>
      </c>
      <c r="Q20" s="180" t="str">
        <f>IFERROR(__xludf.DUMMYFUNCTION("""COMPUTED_VALUE"""),"1 - Imprescindível")</f>
        <v>1 - Imprescindível</v>
      </c>
      <c r="R20" s="180" t="str">
        <f>IFERROR(__xludf.DUMMYFUNCTION("""COMPUTED_VALUE"""),"1 - Selecionado")</f>
        <v>1 - Selecionado</v>
      </c>
      <c r="S20" s="180"/>
      <c r="T20" s="180"/>
      <c r="U20" s="180" t="str">
        <f>IFERROR(__xludf.DUMMYFUNCTION("""COMPUTED_VALUE"""),"99 - Orçamentário")</f>
        <v>99 - Orçamentário</v>
      </c>
      <c r="V20" s="180"/>
      <c r="W20" s="180" t="str">
        <f>IFERROR(__xludf.DUMMYFUNCTION("""COMPUTED_VALUE"""),"8016/2019")</f>
        <v>8016/2019</v>
      </c>
      <c r="X20" s="180" t="str">
        <f>IFERROR(__xludf.DUMMYFUNCTION("""COMPUTED_VALUE"""),"SEINFRA")</f>
        <v>SEINFRA</v>
      </c>
      <c r="Y20" s="180" t="str">
        <f>IFERROR(__xludf.DUMMYFUNCTION("""COMPUTED_VALUE"""),"ORÇAMENTO")</f>
        <v>ORÇAMENTO</v>
      </c>
      <c r="Z20" s="180" t="str">
        <f>IFERROR(__xludf.DUMMYFUNCTION("""COMPUTED_VALUE"""),"PRE")</f>
        <v>PRE</v>
      </c>
      <c r="AA20" s="180" t="str">
        <f>IFERROR(__xludf.DUMMYFUNCTION("""COMPUTED_VALUE"""),"PRE-8016/2019")</f>
        <v>PRE-8016/2019</v>
      </c>
      <c r="AB20" s="230">
        <f>IFERROR(__xludf.DUMMYFUNCTION("""COMPUTED_VALUE"""),2.255187000108E12)</f>
        <v>2255187000108</v>
      </c>
      <c r="AC20" s="180" t="str">
        <f>IFERROR(__xludf.DUMMYFUNCTION("""COMPUTED_VALUE"""),"UNIFIQUE TELECOMUNICACOES S/A")</f>
        <v>UNIFIQUE TELECOMUNICACOES S/A</v>
      </c>
      <c r="AD20" s="189">
        <f>IFERROR(__xludf.DUMMYFUNCTION("""COMPUTED_VALUE"""),44726.0)</f>
        <v>44726</v>
      </c>
      <c r="AE20" s="189">
        <f>IFERROR(__xludf.DUMMYFUNCTION("""COMPUTED_VALUE"""),44726.0)</f>
        <v>44726</v>
      </c>
      <c r="AF20" s="180" t="str">
        <f>IFERROR(__xludf.DUMMYFUNCTION("""COMPUTED_VALUE"""),"Anderson Bastos
Diretor do SEINFRA")</f>
        <v>Anderson Bastos
Diretor do SEINFRA</v>
      </c>
      <c r="AG20" s="233">
        <f>IFERROR(__xludf.DUMMYFUNCTION("""COMPUTED_VALUE"""),1.0)</f>
        <v>1</v>
      </c>
      <c r="AH20" s="190">
        <f>IFERROR(__xludf.DUMMYFUNCTION("""COMPUTED_VALUE"""),6000.0)</f>
        <v>6000</v>
      </c>
      <c r="AI20" s="180" t="str">
        <f>IFERROR(__xludf.DUMMYFUNCTION("""COMPUTED_VALUE"""),"Não")</f>
        <v>Não</v>
      </c>
      <c r="AJ20" s="190"/>
      <c r="AK20" s="180" t="str">
        <f>IFERROR(__xludf.DUMMYFUNCTION("""COMPUTED_VALUE"""),"Anderson Bastos")</f>
        <v>Anderson Bastos</v>
      </c>
      <c r="AL20" s="180"/>
      <c r="AM20" s="180"/>
      <c r="AN20" s="190">
        <f>IFERROR(__xludf.DUMMYFUNCTION("""COMPUTED_VALUE"""),0.0)</f>
        <v>0</v>
      </c>
      <c r="AO20" s="190">
        <f>IFERROR(__xludf.DUMMYFUNCTION("""COMPUTED_VALUE"""),6000.0)</f>
        <v>6000</v>
      </c>
      <c r="AP20" s="180" t="str">
        <f>IFERROR(__xludf.DUMMYFUNCTION("""COMPUTED_VALUE"""),"2022NE000096")</f>
        <v>2022NE000096</v>
      </c>
      <c r="AQ20" s="190">
        <f>IFERROR(__xludf.DUMMYFUNCTION("""COMPUTED_VALUE"""),13617.0)</f>
        <v>13617</v>
      </c>
      <c r="AR20" s="190">
        <f>IFERROR(__xludf.DUMMYFUNCTION("""COMPUTED_VALUE"""),6000.0)</f>
        <v>6000</v>
      </c>
      <c r="AS20" s="180"/>
      <c r="AT20" s="190">
        <f>IFERROR(__xludf.DUMMYFUNCTION("""COMPUTED_VALUE"""),6000.0)</f>
        <v>6000</v>
      </c>
      <c r="AU20" s="190">
        <f>IFERROR(__xludf.DUMMYFUNCTION("""COMPUTED_VALUE"""),1000.0)</f>
        <v>1000</v>
      </c>
      <c r="AV20" s="232">
        <f>IFERROR(__xludf.DUMMYFUNCTION("""COMPUTED_VALUE"""),6.0)</f>
        <v>6</v>
      </c>
      <c r="AW20" s="190">
        <f>IFERROR(__xludf.DUMMYFUNCTION("""COMPUTED_VALUE"""),6000.0)</f>
        <v>6000</v>
      </c>
      <c r="AX20" s="190">
        <f>IFERROR(__xludf.DUMMYFUNCTION("""COMPUTED_VALUE"""),0.0)</f>
        <v>0</v>
      </c>
      <c r="AY20" s="190">
        <f>IFERROR(__xludf.DUMMYFUNCTION("""COMPUTED_VALUE"""),6000.0)</f>
        <v>6000</v>
      </c>
      <c r="AZ20" s="190">
        <f>IFERROR(__xludf.DUMMYFUNCTION("""COMPUTED_VALUE"""),3000.0)</f>
        <v>3000</v>
      </c>
      <c r="BA20" s="190">
        <f>IFERROR(__xludf.DUMMYFUNCTION("""COMPUTED_VALUE"""),3000.0)</f>
        <v>3000</v>
      </c>
      <c r="BB20" s="180" t="str">
        <f>IFERROR(__xludf.DUMMYFUNCTION("""COMPUTED_VALUE"""),"PRE-8016/2019")</f>
        <v>PRE-8016/2019</v>
      </c>
      <c r="BC20" s="232">
        <f>IFERROR(__xludf.DUMMYFUNCTION("""COMPUTED_VALUE"""),1.5113202223693E14)</f>
        <v>151132022236930</v>
      </c>
      <c r="BD20" s="180" t="str">
        <f>IFERROR(__xludf.DUMMYFUNCTION("""COMPUTED_VALUE"""),"Não")</f>
        <v>Não</v>
      </c>
      <c r="BE20" s="180" t="str">
        <f>IFERROR(__xludf.DUMMYFUNCTION("""COMPUTED_VALUE"""),"Sim")</f>
        <v>Sim</v>
      </c>
      <c r="BF20" s="180"/>
      <c r="BG20" s="180"/>
      <c r="BH20" s="233">
        <f>IFERROR(__xludf.DUMMYFUNCTION("""COMPUTED_VALUE"""),300000.0)</f>
        <v>300000</v>
      </c>
      <c r="BI20" s="180" t="str">
        <f>IFERROR(__xludf.DUMMYFUNCTION("""COMPUTED_VALUE"""),"Alta")</f>
        <v>Alta</v>
      </c>
      <c r="BJ20" s="180"/>
      <c r="BK20" s="180" t="str">
        <f>IFERROR(__xludf.DUMMYFUNCTION("""COMPUTED_VALUE"""),"ano")</f>
        <v>ano</v>
      </c>
      <c r="BL20" s="180" t="str">
        <f>IFERROR(__xludf.DUMMYFUNCTION("""COMPUTED_VALUE"""),"P. Eletrônico")</f>
        <v>P. Eletrônico</v>
      </c>
      <c r="BM20" s="180" t="str">
        <f>IFERROR(__xludf.DUMMYFUNCTION("""COMPUTED_VALUE"""),"ORÇAMENTO")</f>
        <v>ORÇAMENTO</v>
      </c>
      <c r="BN20" s="189"/>
      <c r="BO20" s="189"/>
      <c r="BP20" s="190"/>
      <c r="BQ20" s="190"/>
      <c r="BR20" s="190"/>
      <c r="BS20" s="190">
        <f>IFERROR(__xludf.DUMMYFUNCTION("""COMPUTED_VALUE"""),6000.0)</f>
        <v>6000</v>
      </c>
      <c r="BT20" s="190"/>
      <c r="BU20" s="180" t="str">
        <f>IFERROR(__xludf.DUMMYFUNCTION("""COMPUTED_VALUE"""),"Comunicação de dados e redes em geral")</f>
        <v>Comunicação de dados e redes em geral</v>
      </c>
      <c r="BV20" s="180"/>
      <c r="BW20" s="180"/>
      <c r="BX20" s="180"/>
      <c r="BY20" s="180"/>
      <c r="BZ20" s="189"/>
      <c r="CA20" s="180"/>
      <c r="CB20" s="180" t="str">
        <f>IFERROR(__xludf.DUMMYFUNCTION("""COMPUTED_VALUE"""),"Apreciação de Causas na Justiça do Trabalho")</f>
        <v>Apreciação de Causas na Justiça do Trabalho</v>
      </c>
      <c r="CC20" s="180" t="str">
        <f>IFERROR(__xludf.DUMMYFUNCTION("""COMPUTED_VALUE""")," - ")</f>
        <v> - </v>
      </c>
      <c r="CD20" s="180" t="str">
        <f>IFERROR(__xludf.DUMMYFUNCTION("""COMPUTED_VALUE"""),"SERVIÇOS DE TECNOLOGIA DA INFORMAÇÃO E COMUNICAÇÃO - TIC")</f>
        <v>SERVIÇOS DE TECNOLOGIA DA INFORMAÇÃO E COMUNICAÇÃO - TIC</v>
      </c>
      <c r="CE20" s="180"/>
      <c r="CF20" s="180" t="str">
        <f>IFERROR(__xludf.DUMMYFUNCTION("""COMPUTED_VALUE"""),"COMUNICAÇÃO DE DADOS E REDES EM GERAL")</f>
        <v>COMUNICAÇÃO DE DADOS E REDES EM GERAL</v>
      </c>
      <c r="CG20" s="189"/>
      <c r="CH20" s="189">
        <f>IFERROR(__xludf.DUMMYFUNCTION("""COMPUTED_VALUE"""),45091.0)</f>
        <v>45091</v>
      </c>
      <c r="CI20" s="180" t="str">
        <f>IFERROR(__xludf.DUMMYFUNCTION("""COMPUTED_VALUE"""),"ORÇAMENTO")</f>
        <v>ORÇAMENTO</v>
      </c>
      <c r="CJ20" s="190">
        <f>IFERROR(__xludf.DUMMYFUNCTION("""COMPUTED_VALUE"""),12968.0)</f>
        <v>12968</v>
      </c>
      <c r="CK20" s="189">
        <f>IFERROR(__xludf.DUMMYFUNCTION("""COMPUTED_VALUE"""),44725.0)</f>
        <v>44725</v>
      </c>
      <c r="CL20" s="180" t="str">
        <f>IFERROR(__xludf.DUMMYFUNCTION("""COMPUTED_VALUE"""),"PROR")</f>
        <v>PROR</v>
      </c>
      <c r="CM20" s="180" t="str">
        <f>IFERROR(__xludf.DUMMYFUNCTION("""COMPUTED_VALUE"""),"x")</f>
        <v>x</v>
      </c>
      <c r="CN20" s="180" t="str">
        <f>IFERROR(__xludf.DUMMYFUNCTION("""COMPUTED_VALUE"""),"PRE-8016/2019")</f>
        <v>PRE-8016/2019</v>
      </c>
      <c r="CO20" s="180"/>
      <c r="CP20" s="180"/>
      <c r="CQ20" s="180"/>
      <c r="CR20" s="180" t="str">
        <f>IFERROR(__xludf.DUMMYFUNCTION("""COMPUTED_VALUE"""),"GND3")</f>
        <v>GND3</v>
      </c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</row>
    <row r="21">
      <c r="A21" s="230">
        <f>IFERROR(__xludf.DUMMYFUNCTION("""COMPUTED_VALUE"""),15304.0)</f>
        <v>15304</v>
      </c>
      <c r="B21" s="230">
        <f>IFERROR(__xludf.DUMMYFUNCTION("""COMPUTED_VALUE"""),15304.0)</f>
        <v>15304</v>
      </c>
      <c r="C21" s="180" t="str">
        <f>IFERROR(__xludf.DUMMYFUNCTION("""COMPUTED_VALUE"""),"BACKUP EQUIPAMENTOS - Aquisição de um novo equipamento para atualizar o sistema de backup do datacenter auxiliar.")</f>
        <v>BACKUP EQUIPAMENTOS - Aquisição de um novo equipamento para atualizar o sistema de backup do datacenter auxiliar.</v>
      </c>
      <c r="D21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21" s="180" t="str">
        <f>IFERROR(__xludf.DUMMYFUNCTION("""COMPUTED_VALUE"""),"EJ07 - APRIMORAR A SEGURANÇA DA INFORMAÇÃO E A GESTÃO DE DADOS")</f>
        <v>EJ07 - APRIMORAR A SEGURANÇA DA INFORMAÇÃO E A GESTÃO DE DADOS</v>
      </c>
      <c r="F21" s="180" t="str">
        <f>IFERROR(__xludf.DUMMYFUNCTION("""COMPUTED_VALUE"""),"Aquisição de bens de infraestrutura tecnológica")</f>
        <v>Aquisição de bens de infraestrutura tecnológica</v>
      </c>
      <c r="G21" s="180" t="str">
        <f>IFERROR(__xludf.DUMMYFUNCTION("""COMPUTED_VALUE"""),"(ID PAAC 15304) BACKUP EQUIPAMENTOS - Aquisição de um novo equipamento para atualizar o sistema de backup do datacenter auxiliar.")</f>
        <v>(ID PAAC 15304) BACKUP EQUIPAMENTOS - Aquisição de um novo equipamento para atualizar o sistema de backup do datacenter auxiliar.</v>
      </c>
      <c r="H21" s="180" t="str">
        <f>IFERROR(__xludf.DUMMYFUNCTION("""COMPUTED_VALUE"""),"Imediato")</f>
        <v>Imediato</v>
      </c>
      <c r="I21" s="180" t="str">
        <f>IFERROR(__xludf.DUMMYFUNCTION("""COMPUTED_VALUE"""),"SETIC")</f>
        <v>SETIC</v>
      </c>
      <c r="J21" s="180" t="str">
        <f>IFERROR(__xludf.DUMMYFUNCTION("""COMPUTED_VALUE"""),"SETIC")</f>
        <v>SETIC</v>
      </c>
      <c r="K21" s="180" t="str">
        <f>IFERROR(__xludf.DUMMYFUNCTION("""COMPUTED_VALUE"""),"GND4")</f>
        <v>GND4</v>
      </c>
      <c r="L21" s="231">
        <f>IFERROR(__xludf.DUMMYFUNCTION("""COMPUTED_VALUE"""),0.0)</f>
        <v>0</v>
      </c>
      <c r="M21" s="232"/>
      <c r="N21" s="232">
        <f>IFERROR(__xludf.DUMMYFUNCTION("""COMPUTED_VALUE"""),0.0)</f>
        <v>0</v>
      </c>
      <c r="O21" s="230">
        <f>IFERROR(__xludf.DUMMYFUNCTION("""COMPUTED_VALUE"""),168105.0)</f>
        <v>168105</v>
      </c>
      <c r="P21" s="180" t="str">
        <f>IFERROR(__xludf.DUMMYFUNCTION("""COMPUTED_VALUE"""),"Não")</f>
        <v>Não</v>
      </c>
      <c r="Q21" s="180" t="str">
        <f>IFERROR(__xludf.DUMMYFUNCTION("""COMPUTED_VALUE"""),"1 - Imprescindível")</f>
        <v>1 - Imprescindível</v>
      </c>
      <c r="R21" s="180" t="str">
        <f>IFERROR(__xludf.DUMMYFUNCTION("""COMPUTED_VALUE"""),"1 - Selecionado")</f>
        <v>1 - Selecionado</v>
      </c>
      <c r="S21" s="180"/>
      <c r="T21" s="180" t="str">
        <f>IFERROR(__xludf.DUMMYFUNCTION("""COMPUTED_VALUE"""),"Transferido de 2021 para 2022")</f>
        <v>Transferido de 2021 para 2022</v>
      </c>
      <c r="U21" s="180" t="str">
        <f>IFERROR(__xludf.DUMMYFUNCTION("""COMPUTED_VALUE"""),"05 - PB enviado")</f>
        <v>05 - PB enviado</v>
      </c>
      <c r="V21" s="180" t="str">
        <f>IFERROR(__xludf.DUMMYFUNCTION("""COMPUTED_VALUE"""),"8147/2021")</f>
        <v>8147/2021</v>
      </c>
      <c r="W21" s="180" t="str">
        <f>IFERROR(__xludf.DUMMYFUNCTION("""COMPUTED_VALUE"""),"10394/2021")</f>
        <v>10394/2021</v>
      </c>
      <c r="X21" s="180" t="str">
        <f>IFERROR(__xludf.DUMMYFUNCTION("""COMPUTED_VALUE"""),"SEINFRA")</f>
        <v>SEINFRA</v>
      </c>
      <c r="Y21" s="180" t="str">
        <f>IFERROR(__xludf.DUMMYFUNCTION("""COMPUTED_VALUE"""),"PRE")</f>
        <v>PRE</v>
      </c>
      <c r="Z21" s="180" t="str">
        <f>IFERROR(__xludf.DUMMYFUNCTION("""COMPUTED_VALUE"""),"PRE")</f>
        <v>PRE</v>
      </c>
      <c r="AA21" s="180" t="str">
        <f>IFERROR(__xludf.DUMMYFUNCTION("""COMPUTED_VALUE"""),"PRE-10394/2021")</f>
        <v>PRE-10394/2021</v>
      </c>
      <c r="AB21" s="230"/>
      <c r="AC21" s="180" t="str">
        <f>IFERROR(__xludf.DUMMYFUNCTION("""COMPUTED_VALUE"""),"#N/A")</f>
        <v>#N/A</v>
      </c>
      <c r="AD21" s="189">
        <f>IFERROR(__xludf.DUMMYFUNCTION("""COMPUTED_VALUE"""),44525.0)</f>
        <v>44525</v>
      </c>
      <c r="AE21" s="189">
        <f>IFERROR(__xludf.DUMMYFUNCTION("""COMPUTED_VALUE"""),44635.0)</f>
        <v>44635</v>
      </c>
      <c r="AF21" s="180" t="str">
        <f>IFERROR(__xludf.DUMMYFUNCTION("""COMPUTED_VALUE"""),"Anderson Bastos
Diretor do SEINFRA")</f>
        <v>Anderson Bastos
Diretor do SEINFRA</v>
      </c>
      <c r="AG21" s="233">
        <f>IFERROR(__xludf.DUMMYFUNCTION("""COMPUTED_VALUE"""),1.0)</f>
        <v>1</v>
      </c>
      <c r="AH21" s="190">
        <f>IFERROR(__xludf.DUMMYFUNCTION("""COMPUTED_VALUE"""),433000.0)</f>
        <v>433000</v>
      </c>
      <c r="AI21" s="180" t="str">
        <f>IFERROR(__xludf.DUMMYFUNCTION("""COMPUTED_VALUE"""),"Não")</f>
        <v>Não</v>
      </c>
      <c r="AJ21" s="190">
        <f>IFERROR(__xludf.DUMMYFUNCTION("""COMPUTED_VALUE"""),433000.0)</f>
        <v>433000</v>
      </c>
      <c r="AK21" s="180"/>
      <c r="AL21" s="180"/>
      <c r="AM21" s="180"/>
      <c r="AN21" s="190">
        <f>IFERROR(__xludf.DUMMYFUNCTION("""COMPUTED_VALUE"""),0.0)</f>
        <v>0</v>
      </c>
      <c r="AO21" s="190">
        <f>IFERROR(__xludf.DUMMYFUNCTION("""COMPUTED_VALUE"""),433000.0)</f>
        <v>433000</v>
      </c>
      <c r="AP21" s="180"/>
      <c r="AQ21" s="190">
        <f>IFERROR(__xludf.DUMMYFUNCTION("""COMPUTED_VALUE"""),0.0)</f>
        <v>0</v>
      </c>
      <c r="AR21" s="190">
        <f>IFERROR(__xludf.DUMMYFUNCTION("""COMPUTED_VALUE"""),433000.0)</f>
        <v>433000</v>
      </c>
      <c r="AS21" s="180"/>
      <c r="AT21" s="190">
        <f>IFERROR(__xludf.DUMMYFUNCTION("""COMPUTED_VALUE"""),433000.0)</f>
        <v>433000</v>
      </c>
      <c r="AU21" s="190"/>
      <c r="AV21" s="232"/>
      <c r="AW21" s="190">
        <f>IFERROR(__xludf.DUMMYFUNCTION("""COMPUTED_VALUE"""),0.0)</f>
        <v>0</v>
      </c>
      <c r="AX21" s="190">
        <f>IFERROR(__xludf.DUMMYFUNCTION("""COMPUTED_VALUE"""),0.0)</f>
        <v>0</v>
      </c>
      <c r="AY21" s="190">
        <f>IFERROR(__xludf.DUMMYFUNCTION("""COMPUTED_VALUE"""),0.0)</f>
        <v>0</v>
      </c>
      <c r="AZ21" s="190">
        <f>IFERROR(__xludf.DUMMYFUNCTION("""COMPUTED_VALUE"""),0.0)</f>
        <v>0</v>
      </c>
      <c r="BA21" s="190">
        <f>IFERROR(__xludf.DUMMYFUNCTION("""COMPUTED_VALUE"""),0.0)</f>
        <v>0</v>
      </c>
      <c r="BB21" s="180" t="str">
        <f>IFERROR(__xludf.DUMMYFUNCTION("""COMPUTED_VALUE"""),"PRE-10394/2021")</f>
        <v>PRE-10394/2021</v>
      </c>
      <c r="BC21" s="232"/>
      <c r="BD21" s="180" t="str">
        <f>IFERROR(__xludf.DUMMYFUNCTION("""COMPUTED_VALUE"""),"Sim")</f>
        <v>Sim</v>
      </c>
      <c r="BE21" s="180"/>
      <c r="BF21" s="180"/>
      <c r="BG21" s="180"/>
      <c r="BH21" s="233">
        <f>IFERROR(__xludf.DUMMYFUNCTION("""COMPUTED_VALUE"""),300000.0)</f>
        <v>300000</v>
      </c>
      <c r="BI21" s="180" t="str">
        <f>IFERROR(__xludf.DUMMYFUNCTION("""COMPUTED_VALUE"""),"Alta")</f>
        <v>Alta</v>
      </c>
      <c r="BJ21" s="180"/>
      <c r="BK21" s="180" t="str">
        <f>IFERROR(__xludf.DUMMYFUNCTION("""COMPUTED_VALUE"""),"unidade")</f>
        <v>unidade</v>
      </c>
      <c r="BL21" s="180"/>
      <c r="BM21" s="180" t="str">
        <f>IFERROR(__xludf.DUMMYFUNCTION("""COMPUTED_VALUE"""),"PRE")</f>
        <v>PRE</v>
      </c>
      <c r="BN21" s="189">
        <f>IFERROR(__xludf.DUMMYFUNCTION("""COMPUTED_VALUE"""),44464.0)</f>
        <v>44464</v>
      </c>
      <c r="BO21" s="189">
        <f>IFERROR(__xludf.DUMMYFUNCTION("""COMPUTED_VALUE"""),44494.0)</f>
        <v>44494</v>
      </c>
      <c r="BP21" s="190"/>
      <c r="BQ21" s="190"/>
      <c r="BR21" s="190"/>
      <c r="BS21" s="190">
        <f>IFERROR(__xludf.DUMMYFUNCTION("""COMPUTED_VALUE"""),433000.0)</f>
        <v>433000</v>
      </c>
      <c r="BT21" s="190">
        <f>IFERROR(__xludf.DUMMYFUNCTION("""COMPUTED_VALUE"""),433000.0)</f>
        <v>433000</v>
      </c>
      <c r="BU21" s="180" t="str">
        <f>IFERROR(__xludf.DUMMYFUNCTION("""COMPUTED_VALUE"""),"#N/A")</f>
        <v>#N/A</v>
      </c>
      <c r="BV21" s="180"/>
      <c r="BW21" s="180"/>
      <c r="BX21" s="180"/>
      <c r="BY21" s="180"/>
      <c r="BZ21" s="189"/>
      <c r="CA21" s="180"/>
      <c r="CB21" s="180" t="str">
        <f>IFERROR(__xludf.DUMMYFUNCTION("""COMPUTED_VALUE"""),"Apreciação de Causas na Justiça do Trabalho")</f>
        <v>Apreciação de Causas na Justiça do Trabalho</v>
      </c>
      <c r="CC21" s="180" t="str">
        <f>IFERROR(__xludf.DUMMYFUNCTION("""COMPUTED_VALUE""")," - ")</f>
        <v> - </v>
      </c>
      <c r="CD21" s="180" t="str">
        <f>IFERROR(__xludf.DUMMYFUNCTION("""COMPUTED_VALUE"""),"#N/A")</f>
        <v>#N/A</v>
      </c>
      <c r="CE21" s="180"/>
      <c r="CF21" s="180" t="str">
        <f>IFERROR(__xludf.DUMMYFUNCTION("""COMPUTED_VALUE"""),"#N/A")</f>
        <v>#N/A</v>
      </c>
      <c r="CG21" s="189">
        <f>IFERROR(__xludf.DUMMYFUNCTION("""COMPUTED_VALUE"""),44888.0)</f>
        <v>44888</v>
      </c>
      <c r="CH21" s="189">
        <f>IFERROR(__xludf.DUMMYFUNCTION("""COMPUTED_VALUE"""),45000.0)</f>
        <v>45000</v>
      </c>
      <c r="CI21" s="180" t="str">
        <f>IFERROR(__xludf.DUMMYFUNCTION("""COMPUTED_VALUE"""),"PRE")</f>
        <v>PRE</v>
      </c>
      <c r="CJ21" s="190"/>
      <c r="CK21" s="189"/>
      <c r="CL21" s="180"/>
      <c r="CM21" s="180"/>
      <c r="CN21" s="180" t="str">
        <f>IFERROR(__xludf.DUMMYFUNCTION("""COMPUTED_VALUE"""),"PRE-10394/2021")</f>
        <v>PRE-10394/2021</v>
      </c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</row>
    <row r="22">
      <c r="A22" s="230">
        <f>IFERROR(__xludf.DUMMYFUNCTION("""COMPUTED_VALUE"""),15306.0)</f>
        <v>15306</v>
      </c>
      <c r="B22" s="230">
        <f>IFERROR(__xludf.DUMMYFUNCTION("""COMPUTED_VALUE"""),0.0)</f>
        <v>0</v>
      </c>
      <c r="C22" s="180" t="str">
        <f>IFERROR(__xludf.DUMMYFUNCTION("""COMPUTED_VALUE"""),"AUTOCAD LICENÇAS - Contratação/prorrogação de licanças de Autodesk AutoCAD Revit Suite")</f>
        <v>AUTOCAD LICENÇAS - Contratação/prorrogação de licanças de Autodesk AutoCAD Revit Suite</v>
      </c>
      <c r="D22" s="180" t="str">
        <f>IFERROR(__xludf.DUMMYFUNCTION("""COMPUTED_VALUE"""),"Aquisição de produto, peça de reposição, material de consumo e/ou de serviço não continuado de tecnologia da informação e telecomunicações desejável para a melhoria na prestação de serviços.
")</f>
        <v>Aquisição de produto, peça de reposição, material de consumo e/ou de serviço não continuado de tecnologia da informação e telecomunicações desejável para a melhoria na prestação de serviços.
</v>
      </c>
      <c r="E22" s="180" t="str">
        <f>IFERROR(__xludf.DUMMYFUNCTION("""COMPUTED_VALUE"""),"EJ05 - APERFEIÇOAR A GOVERNANÇA E A GESTÃO")</f>
        <v>EJ05 - APERFEIÇOAR A GOVERNANÇA E A GESTÃO</v>
      </c>
      <c r="F22" s="180" t="str">
        <f>IFERROR(__xludf.DUMMYFUNCTION("""COMPUTED_VALUE"""),"Contratação de serviços de suporte à microinformática")</f>
        <v>Contratação de serviços de suporte à microinformática</v>
      </c>
      <c r="G22" s="180" t="str">
        <f>IFERROR(__xludf.DUMMYFUNCTION("""COMPUTED_VALUE"""),"(ID PAAC 15306) AUTOCAD LICENÇAS - Contratação/prorrogação de licanças de Autodesk AutoCAD Revit Suite")</f>
        <v>(ID PAAC 15306) AUTOCAD LICENÇAS - Contratação/prorrogação de licanças de Autodesk AutoCAD Revit Suite</v>
      </c>
      <c r="H22" s="180" t="str">
        <f>IFERROR(__xludf.DUMMYFUNCTION("""COMPUTED_VALUE"""),"Imediato")</f>
        <v>Imediato</v>
      </c>
      <c r="I22" s="180" t="str">
        <f>IFERROR(__xludf.DUMMYFUNCTION("""COMPUTED_VALUE"""),"SPO")</f>
        <v>SPO</v>
      </c>
      <c r="J22" s="180" t="str">
        <f>IFERROR(__xludf.DUMMYFUNCTION("""COMPUTED_VALUE"""),"SETIC")</f>
        <v>SETIC</v>
      </c>
      <c r="K22" s="180" t="str">
        <f>IFERROR(__xludf.DUMMYFUNCTION("""COMPUTED_VALUE"""),"GND3")</f>
        <v>GND3</v>
      </c>
      <c r="L22" s="231">
        <f>IFERROR(__xludf.DUMMYFUNCTION("""COMPUTED_VALUE"""),0.0)</f>
        <v>0</v>
      </c>
      <c r="M22" s="232">
        <f>IFERROR(__xludf.DUMMYFUNCTION("""COMPUTED_VALUE"""),3.3904006E7)</f>
        <v>33904006</v>
      </c>
      <c r="N22" s="232">
        <f>IFERROR(__xludf.DUMMYFUNCTION("""COMPUTED_VALUE"""),0.0)</f>
        <v>0</v>
      </c>
      <c r="O22" s="230">
        <f>IFERROR(__xludf.DUMMYFUNCTION("""COMPUTED_VALUE"""),168105.0)</f>
        <v>168105</v>
      </c>
      <c r="P22" s="180" t="str">
        <f>IFERROR(__xludf.DUMMYFUNCTION("""COMPUTED_VALUE"""),"Não")</f>
        <v>Não</v>
      </c>
      <c r="Q22" s="180" t="str">
        <f>IFERROR(__xludf.DUMMYFUNCTION("""COMPUTED_VALUE"""),"3 - Desejável")</f>
        <v>3 - Desejável</v>
      </c>
      <c r="R22" s="180" t="str">
        <f>IFERROR(__xludf.DUMMYFUNCTION("""COMPUTED_VALUE"""),"1 - Selecionado")</f>
        <v>1 - Selecionado</v>
      </c>
      <c r="S22" s="180"/>
      <c r="T22" s="180"/>
      <c r="U22" s="180" t="str">
        <f>IFERROR(__xludf.DUMMYFUNCTION("""COMPUTED_VALUE"""),"02 - DOD emitido")</f>
        <v>02 - DOD emitido</v>
      </c>
      <c r="V22" s="180" t="str">
        <f>IFERROR(__xludf.DUMMYFUNCTION("""COMPUTED_VALUE"""),"1964/2022")</f>
        <v>1964/2022</v>
      </c>
      <c r="W22" s="180"/>
      <c r="X22" s="180" t="str">
        <f>IFERROR(__xludf.DUMMYFUNCTION("""COMPUTED_VALUE"""),"SESUP")</f>
        <v>SESUP</v>
      </c>
      <c r="Y22" s="180" t="str">
        <f>IFERROR(__xludf.DUMMYFUNCTION("""COMPUTED_VALUE"""),"PRE")</f>
        <v>PRE</v>
      </c>
      <c r="Z22" s="180" t="str">
        <f>IFERROR(__xludf.DUMMYFUNCTION("""COMPUTED_VALUE"""),"PRE")</f>
        <v>PRE</v>
      </c>
      <c r="AA22" s="180"/>
      <c r="AB22" s="230"/>
      <c r="AC22" s="180" t="str">
        <f>IFERROR(__xludf.DUMMYFUNCTION("""COMPUTED_VALUE"""),"#N/A")</f>
        <v>#N/A</v>
      </c>
      <c r="AD22" s="189">
        <f>IFERROR(__xludf.DUMMYFUNCTION("""COMPUTED_VALUE"""),44756.0)</f>
        <v>44756</v>
      </c>
      <c r="AE22" s="189">
        <f>IFERROR(__xludf.DUMMYFUNCTION("""COMPUTED_VALUE"""),44866.0)</f>
        <v>44866</v>
      </c>
      <c r="AF22" s="180" t="str">
        <f>IFERROR(__xludf.DUMMYFUNCTION("""COMPUTED_VALUE"""),"Márcio César Jacinto
Diretor do SESUP - Substituto")</f>
        <v>Márcio César Jacinto
Diretor do SESUP - Substituto</v>
      </c>
      <c r="AG22" s="233">
        <f>IFERROR(__xludf.DUMMYFUNCTION("""COMPUTED_VALUE"""),2.0)</f>
        <v>2</v>
      </c>
      <c r="AH22" s="190">
        <f>IFERROR(__xludf.DUMMYFUNCTION("""COMPUTED_VALUE"""),34324.0)</f>
        <v>34324</v>
      </c>
      <c r="AI22" s="180" t="str">
        <f>IFERROR(__xludf.DUMMYFUNCTION("""COMPUTED_VALUE"""),"Não")</f>
        <v>Não</v>
      </c>
      <c r="AJ22" s="190"/>
      <c r="AK22" s="180"/>
      <c r="AL22" s="180"/>
      <c r="AM22" s="180"/>
      <c r="AN22" s="190">
        <f>IFERROR(__xludf.DUMMYFUNCTION("""COMPUTED_VALUE"""),49407.0)</f>
        <v>49407</v>
      </c>
      <c r="AO22" s="190">
        <f>IFERROR(__xludf.DUMMYFUNCTION("""COMPUTED_VALUE"""),19241.0)</f>
        <v>19241</v>
      </c>
      <c r="AP22" s="180"/>
      <c r="AQ22" s="190">
        <f>IFERROR(__xludf.DUMMYFUNCTION("""COMPUTED_VALUE"""),19241.0)</f>
        <v>19241</v>
      </c>
      <c r="AR22" s="190">
        <f>IFERROR(__xludf.DUMMYFUNCTION("""COMPUTED_VALUE"""),68648.0)</f>
        <v>68648</v>
      </c>
      <c r="AS22" s="180"/>
      <c r="AT22" s="190">
        <f>IFERROR(__xludf.DUMMYFUNCTION("""COMPUTED_VALUE"""),68648.0)</f>
        <v>68648</v>
      </c>
      <c r="AU22" s="190"/>
      <c r="AV22" s="232"/>
      <c r="AW22" s="190">
        <f>IFERROR(__xludf.DUMMYFUNCTION("""COMPUTED_VALUE"""),0.0)</f>
        <v>0</v>
      </c>
      <c r="AX22" s="190">
        <f>IFERROR(__xludf.DUMMYFUNCTION("""COMPUTED_VALUE"""),0.0)</f>
        <v>0</v>
      </c>
      <c r="AY22" s="190">
        <f>IFERROR(__xludf.DUMMYFUNCTION("""COMPUTED_VALUE"""),0.0)</f>
        <v>0</v>
      </c>
      <c r="AZ22" s="190">
        <f>IFERROR(__xludf.DUMMYFUNCTION("""COMPUTED_VALUE"""),0.0)</f>
        <v>0</v>
      </c>
      <c r="BA22" s="190">
        <f>IFERROR(__xludf.DUMMYFUNCTION("""COMPUTED_VALUE"""),0.0)</f>
        <v>0</v>
      </c>
      <c r="BB22" s="180"/>
      <c r="BC22" s="232">
        <f>IFERROR(__xludf.DUMMYFUNCTION("""COMPUTED_VALUE"""),1.51132022236932E14)</f>
        <v>151132022236932</v>
      </c>
      <c r="BD22" s="180" t="str">
        <f>IFERROR(__xludf.DUMMYFUNCTION("""COMPUTED_VALUE"""),"Sim")</f>
        <v>Sim</v>
      </c>
      <c r="BE22" s="180"/>
      <c r="BF22" s="180"/>
      <c r="BG22" s="180"/>
      <c r="BH22" s="233">
        <f>IFERROR(__xludf.DUMMYFUNCTION("""COMPUTED_VALUE"""),100000.0)</f>
        <v>100000</v>
      </c>
      <c r="BI22" s="180" t="str">
        <f>IFERROR(__xludf.DUMMYFUNCTION("""COMPUTED_VALUE"""),"Baixa")</f>
        <v>Baixa</v>
      </c>
      <c r="BJ22" s="180"/>
      <c r="BK22" s="180" t="str">
        <f>IFERROR(__xludf.DUMMYFUNCTION("""COMPUTED_VALUE"""),"unidade")</f>
        <v>unidade</v>
      </c>
      <c r="BL22" s="180"/>
      <c r="BM22" s="180" t="str">
        <f>IFERROR(__xludf.DUMMYFUNCTION("""COMPUTED_VALUE"""),"PRE")</f>
        <v>PRE</v>
      </c>
      <c r="BN22" s="189"/>
      <c r="BO22" s="189"/>
      <c r="BP22" s="190"/>
      <c r="BQ22" s="190"/>
      <c r="BR22" s="190"/>
      <c r="BS22" s="190">
        <f>IFERROR(__xludf.DUMMYFUNCTION("""COMPUTED_VALUE"""),68648.0)</f>
        <v>68648</v>
      </c>
      <c r="BT22" s="190">
        <f>IFERROR(__xludf.DUMMYFUNCTION("""COMPUTED_VALUE"""),68648.0)</f>
        <v>68648</v>
      </c>
      <c r="BU22" s="180" t="str">
        <f>IFERROR(__xludf.DUMMYFUNCTION("""COMPUTED_VALUE"""),"Locação de softwares")</f>
        <v>Locação de softwares</v>
      </c>
      <c r="BV22" s="180"/>
      <c r="BW22" s="180"/>
      <c r="BX22" s="180"/>
      <c r="BY22" s="180"/>
      <c r="BZ22" s="189"/>
      <c r="CA22" s="180"/>
      <c r="CB22" s="180" t="str">
        <f>IFERROR(__xludf.DUMMYFUNCTION("""COMPUTED_VALUE"""),"Apreciação de Causas na Justiça do Trabalho")</f>
        <v>Apreciação de Causas na Justiça do Trabalho</v>
      </c>
      <c r="CC22" s="180" t="str">
        <f>IFERROR(__xludf.DUMMYFUNCTION("""COMPUTED_VALUE""")," - ")</f>
        <v> - </v>
      </c>
      <c r="CD22" s="180" t="str">
        <f>IFERROR(__xludf.DUMMYFUNCTION("""COMPUTED_VALUE"""),"SERVIÇOS DE TECNOLOGIA DA INFORMAÇÃO E COMUNICAÇÃO - TIC")</f>
        <v>SERVIÇOS DE TECNOLOGIA DA INFORMAÇÃO E COMUNICAÇÃO - TIC</v>
      </c>
      <c r="CE22" s="180"/>
      <c r="CF22" s="180" t="str">
        <f>IFERROR(__xludf.DUMMYFUNCTION("""COMPUTED_VALUE"""),"LOCAÇÃO DE SOFTWARES")</f>
        <v>LOCAÇÃO DE SOFTWARES</v>
      </c>
      <c r="CG22" s="189">
        <f>IFERROR(__xludf.DUMMYFUNCTION("""COMPUTED_VALUE"""),45119.0)</f>
        <v>45119</v>
      </c>
      <c r="CH22" s="189">
        <f>IFERROR(__xludf.DUMMYFUNCTION("""COMPUTED_VALUE"""),45231.0)</f>
        <v>45231</v>
      </c>
      <c r="CI22" s="180" t="str">
        <f>IFERROR(__xludf.DUMMYFUNCTION("""COMPUTED_VALUE"""),"PRE")</f>
        <v>PRE</v>
      </c>
      <c r="CJ22" s="190"/>
      <c r="CK22" s="189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</row>
    <row r="23">
      <c r="A23" s="230">
        <f>IFERROR(__xludf.DUMMYFUNCTION("""COMPUTED_VALUE"""),15307.0)</f>
        <v>15307</v>
      </c>
      <c r="B23" s="230">
        <f>IFERROR(__xludf.DUMMYFUNCTION("""COMPUTED_VALUE"""),0.0)</f>
        <v>0</v>
      </c>
      <c r="C23" s="180" t="str">
        <f>IFERROR(__xludf.DUMMYFUNCTION("""COMPUTED_VALUE"""),"SKETCHUP PRO - Licença SketchUp Pro - Trimble (12 meses)")</f>
        <v>SKETCHUP PRO - Licença SketchUp Pro - Trimble (12 meses)</v>
      </c>
      <c r="D23" s="180" t="str">
        <f>IFERROR(__xludf.DUMMYFUNCTION("""COMPUTED_VALUE"""),"Contratação/prorrogação de contrato de prestação de serviço continuado de tecnologia da informação e telecomunicações desejável para a melhoria na prestação de serviços.
")</f>
        <v>Contratação/prorrogação de contrato de prestação de serviço continuado de tecnologia da informação e telecomunicações desejável para a melhoria na prestação de serviços.
</v>
      </c>
      <c r="E23" s="180" t="str">
        <f>IFERROR(__xludf.DUMMYFUNCTION("""COMPUTED_VALUE"""),"EJ05 - APERFEIÇOAR A GOVERNANÇA E A GESTÃO")</f>
        <v>EJ05 - APERFEIÇOAR A GOVERNANÇA E A GESTÃO</v>
      </c>
      <c r="F23" s="180" t="str">
        <f>IFERROR(__xludf.DUMMYFUNCTION("""COMPUTED_VALUE"""),"Contratação de serviços de suporte à microinformática")</f>
        <v>Contratação de serviços de suporte à microinformática</v>
      </c>
      <c r="G23" s="180" t="str">
        <f>IFERROR(__xludf.DUMMYFUNCTION("""COMPUTED_VALUE"""),"(ID PAAC 15307) SKETCHUP PRO - Licença SketchUp Pro - Trimble (12 meses)")</f>
        <v>(ID PAAC 15307) SKETCHUP PRO - Licença SketchUp Pro - Trimble (12 meses)</v>
      </c>
      <c r="H23" s="180" t="str">
        <f>IFERROR(__xludf.DUMMYFUNCTION("""COMPUTED_VALUE"""),"Continuado")</f>
        <v>Continuado</v>
      </c>
      <c r="I23" s="180" t="str">
        <f>IFERROR(__xludf.DUMMYFUNCTION("""COMPUTED_VALUE"""),"SPO")</f>
        <v>SPO</v>
      </c>
      <c r="J23" s="180" t="str">
        <f>IFERROR(__xludf.DUMMYFUNCTION("""COMPUTED_VALUE"""),"SETIC")</f>
        <v>SETIC</v>
      </c>
      <c r="K23" s="180" t="str">
        <f>IFERROR(__xludf.DUMMYFUNCTION("""COMPUTED_VALUE"""),"GND3")</f>
        <v>GND3</v>
      </c>
      <c r="L23" s="231">
        <f>IFERROR(__xludf.DUMMYFUNCTION("""COMPUTED_VALUE"""),0.0)</f>
        <v>0</v>
      </c>
      <c r="M23" s="232">
        <f>IFERROR(__xludf.DUMMYFUNCTION("""COMPUTED_VALUE"""),3.3904006E7)</f>
        <v>33904006</v>
      </c>
      <c r="N23" s="232">
        <f>IFERROR(__xludf.DUMMYFUNCTION("""COMPUTED_VALUE"""),0.0)</f>
        <v>0</v>
      </c>
      <c r="O23" s="230">
        <f>IFERROR(__xludf.DUMMYFUNCTION("""COMPUTED_VALUE"""),168105.0)</f>
        <v>168105</v>
      </c>
      <c r="P23" s="180" t="str">
        <f>IFERROR(__xludf.DUMMYFUNCTION("""COMPUTED_VALUE"""),"Não")</f>
        <v>Não</v>
      </c>
      <c r="Q23" s="180" t="str">
        <f>IFERROR(__xludf.DUMMYFUNCTION("""COMPUTED_VALUE"""),"3 - Desejável")</f>
        <v>3 - Desejável</v>
      </c>
      <c r="R23" s="180" t="str">
        <f>IFERROR(__xludf.DUMMYFUNCTION("""COMPUTED_VALUE"""),"1 - Selecionado")</f>
        <v>1 - Selecionado</v>
      </c>
      <c r="S23" s="180"/>
      <c r="T23" s="180"/>
      <c r="U23" s="180" t="str">
        <f>IFERROR(__xludf.DUMMYFUNCTION("""COMPUTED_VALUE"""),"02 - DOD emitido")</f>
        <v>02 - DOD emitido</v>
      </c>
      <c r="V23" s="180" t="str">
        <f>IFERROR(__xludf.DUMMYFUNCTION("""COMPUTED_VALUE"""),"2265/2022")</f>
        <v>2265/2022</v>
      </c>
      <c r="W23" s="180"/>
      <c r="X23" s="180" t="str">
        <f>IFERROR(__xludf.DUMMYFUNCTION("""COMPUTED_VALUE"""),"SESUP")</f>
        <v>SESUP</v>
      </c>
      <c r="Y23" s="180" t="str">
        <f>IFERROR(__xludf.DUMMYFUNCTION("""COMPUTED_VALUE"""),"DISPENSA_PELO_VALOR")</f>
        <v>DISPENSA_PELO_VALOR</v>
      </c>
      <c r="Z23" s="180" t="str">
        <f>IFERROR(__xludf.DUMMYFUNCTION("""COMPUTED_VALUE"""),"CD")</f>
        <v>CD</v>
      </c>
      <c r="AA23" s="180"/>
      <c r="AB23" s="230"/>
      <c r="AC23" s="180" t="str">
        <f>IFERROR(__xludf.DUMMYFUNCTION("""COMPUTED_VALUE"""),"#N/A")</f>
        <v>#N/A</v>
      </c>
      <c r="AD23" s="189">
        <f>IFERROR(__xludf.DUMMYFUNCTION("""COMPUTED_VALUE"""),44825.0)</f>
        <v>44825</v>
      </c>
      <c r="AE23" s="189">
        <f>IFERROR(__xludf.DUMMYFUNCTION("""COMPUTED_VALUE"""),44835.0)</f>
        <v>44835</v>
      </c>
      <c r="AF23" s="180" t="str">
        <f>IFERROR(__xludf.DUMMYFUNCTION("""COMPUTED_VALUE"""),"Márcio César Jacinto
Diretor do SESUP - Substituto")</f>
        <v>Márcio César Jacinto
Diretor do SESUP - Substituto</v>
      </c>
      <c r="AG23" s="233">
        <f>IFERROR(__xludf.DUMMYFUNCTION("""COMPUTED_VALUE"""),1.0)</f>
        <v>1</v>
      </c>
      <c r="AH23" s="190">
        <f>IFERROR(__xludf.DUMMYFUNCTION("""COMPUTED_VALUE"""),1881.0)</f>
        <v>1881</v>
      </c>
      <c r="AI23" s="180" t="str">
        <f>IFERROR(__xludf.DUMMYFUNCTION("""COMPUTED_VALUE"""),"Não")</f>
        <v>Não</v>
      </c>
      <c r="AJ23" s="190"/>
      <c r="AK23" s="180"/>
      <c r="AL23" s="180"/>
      <c r="AM23" s="180"/>
      <c r="AN23" s="190">
        <f>IFERROR(__xludf.DUMMYFUNCTION("""COMPUTED_VALUE"""),0.0)</f>
        <v>0</v>
      </c>
      <c r="AO23" s="190">
        <f>IFERROR(__xludf.DUMMYFUNCTION("""COMPUTED_VALUE"""),1881.0)</f>
        <v>1881</v>
      </c>
      <c r="AP23" s="180"/>
      <c r="AQ23" s="190">
        <f>IFERROR(__xludf.DUMMYFUNCTION("""COMPUTED_VALUE"""),0.0)</f>
        <v>0</v>
      </c>
      <c r="AR23" s="190">
        <f>IFERROR(__xludf.DUMMYFUNCTION("""COMPUTED_VALUE"""),1881.0)</f>
        <v>1881</v>
      </c>
      <c r="AS23" s="180"/>
      <c r="AT23" s="190">
        <f>IFERROR(__xludf.DUMMYFUNCTION("""COMPUTED_VALUE"""),1881.0)</f>
        <v>1881</v>
      </c>
      <c r="AU23" s="190"/>
      <c r="AV23" s="232"/>
      <c r="AW23" s="190">
        <f>IFERROR(__xludf.DUMMYFUNCTION("""COMPUTED_VALUE"""),0.0)</f>
        <v>0</v>
      </c>
      <c r="AX23" s="190">
        <f>IFERROR(__xludf.DUMMYFUNCTION("""COMPUTED_VALUE"""),0.0)</f>
        <v>0</v>
      </c>
      <c r="AY23" s="190">
        <f>IFERROR(__xludf.DUMMYFUNCTION("""COMPUTED_VALUE"""),0.0)</f>
        <v>0</v>
      </c>
      <c r="AZ23" s="190">
        <f>IFERROR(__xludf.DUMMYFUNCTION("""COMPUTED_VALUE"""),0.0)</f>
        <v>0</v>
      </c>
      <c r="BA23" s="190">
        <f>IFERROR(__xludf.DUMMYFUNCTION("""COMPUTED_VALUE"""),0.0)</f>
        <v>0</v>
      </c>
      <c r="BB23" s="180"/>
      <c r="BC23" s="232"/>
      <c r="BD23" s="180" t="str">
        <f>IFERROR(__xludf.DUMMYFUNCTION("""COMPUTED_VALUE"""),"Sim")</f>
        <v>Sim</v>
      </c>
      <c r="BE23" s="180"/>
      <c r="BF23" s="180"/>
      <c r="BG23" s="180"/>
      <c r="BH23" s="233">
        <f>IFERROR(__xludf.DUMMYFUNCTION("""COMPUTED_VALUE"""),100000.0)</f>
        <v>100000</v>
      </c>
      <c r="BI23" s="180" t="str">
        <f>IFERROR(__xludf.DUMMYFUNCTION("""COMPUTED_VALUE"""),"Baixa")</f>
        <v>Baixa</v>
      </c>
      <c r="BJ23" s="180"/>
      <c r="BK23" s="180" t="str">
        <f>IFERROR(__xludf.DUMMYFUNCTION("""COMPUTED_VALUE"""),"ano")</f>
        <v>ano</v>
      </c>
      <c r="BL23" s="180"/>
      <c r="BM23" s="180" t="str">
        <f>IFERROR(__xludf.DUMMYFUNCTION("""COMPUTED_VALUE"""),"DISPENSA_PELO_VALOR")</f>
        <v>DISPENSA_PELO_VALOR</v>
      </c>
      <c r="BN23" s="189"/>
      <c r="BO23" s="189"/>
      <c r="BP23" s="190"/>
      <c r="BQ23" s="190"/>
      <c r="BR23" s="190"/>
      <c r="BS23" s="190">
        <f>IFERROR(__xludf.DUMMYFUNCTION("""COMPUTED_VALUE"""),1881.0)</f>
        <v>1881</v>
      </c>
      <c r="BT23" s="190">
        <f>IFERROR(__xludf.DUMMYFUNCTION("""COMPUTED_VALUE"""),1881.0)</f>
        <v>1881</v>
      </c>
      <c r="BU23" s="180" t="str">
        <f>IFERROR(__xludf.DUMMYFUNCTION("""COMPUTED_VALUE"""),"Locação de softwares")</f>
        <v>Locação de softwares</v>
      </c>
      <c r="BV23" s="180"/>
      <c r="BW23" s="180"/>
      <c r="BX23" s="180"/>
      <c r="BY23" s="180"/>
      <c r="BZ23" s="189"/>
      <c r="CA23" s="180"/>
      <c r="CB23" s="180" t="str">
        <f>IFERROR(__xludf.DUMMYFUNCTION("""COMPUTED_VALUE"""),"Apreciação de Causas na Justiça do Trabalho")</f>
        <v>Apreciação de Causas na Justiça do Trabalho</v>
      </c>
      <c r="CC23" s="180" t="str">
        <f>IFERROR(__xludf.DUMMYFUNCTION("""COMPUTED_VALUE""")," - ")</f>
        <v> - </v>
      </c>
      <c r="CD23" s="180" t="str">
        <f>IFERROR(__xludf.DUMMYFUNCTION("""COMPUTED_VALUE"""),"SERVIÇOS DE TECNOLOGIA DA INFORMAÇÃO E COMUNICAÇÃO - TIC")</f>
        <v>SERVIÇOS DE TECNOLOGIA DA INFORMAÇÃO E COMUNICAÇÃO - TIC</v>
      </c>
      <c r="CE23" s="180"/>
      <c r="CF23" s="180" t="str">
        <f>IFERROR(__xludf.DUMMYFUNCTION("""COMPUTED_VALUE"""),"LOCAÇÃO DE SOFTWARES")</f>
        <v>LOCAÇÃO DE SOFTWARES</v>
      </c>
      <c r="CG23" s="189"/>
      <c r="CH23" s="189">
        <f>IFERROR(__xludf.DUMMYFUNCTION("""COMPUTED_VALUE"""),45200.0)</f>
        <v>45200</v>
      </c>
      <c r="CI23" s="180" t="str">
        <f>IFERROR(__xludf.DUMMYFUNCTION("""COMPUTED_VALUE"""),"DISPENSA_PELO_VALOR")</f>
        <v>DISPENSA_PELO_VALOR</v>
      </c>
      <c r="CJ23" s="190"/>
      <c r="CK23" s="189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</row>
    <row r="24">
      <c r="A24" s="230">
        <f>IFERROR(__xludf.DUMMYFUNCTION("""COMPUTED_VALUE"""),15308.0)</f>
        <v>15308</v>
      </c>
      <c r="B24" s="230">
        <f>IFERROR(__xludf.DUMMYFUNCTION("""COMPUTED_VALUE"""),0.0)</f>
        <v>0</v>
      </c>
      <c r="C24" s="180" t="str">
        <f>IFERROR(__xludf.DUMMYFUNCTION("""COMPUTED_VALUE"""),"SEGURANÇA SUPORTE - Continuidade do serviço de suporte técnico do Sistema de Softwares de Segurança em uso nas unidades do TRT/SC (SENIOR)")</f>
        <v>SEGURANÇA SUPORTE - Continuidade do serviço de suporte técnico do Sistema de Softwares de Segurança em uso nas unidades do TRT/SC (SENIOR)</v>
      </c>
      <c r="D24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24" s="180" t="str">
        <f>IFERROR(__xludf.DUMMYFUNCTION("""COMPUTED_VALUE"""),"EJ08 - PROMOVER SERVIÇOS DE INFRAESTRUTURA E SOLUÇÕES CORPORATIVAS")</f>
        <v>EJ08 - PROMOVER SERVIÇOS DE INFRAESTRUTURA E SOLUÇÕES CORPORATIVAS</v>
      </c>
      <c r="F24" s="180" t="str">
        <f>IFERROR(__xludf.DUMMYFUNCTION("""COMPUTED_VALUE"""),"Contratação de serviços para o suporte à infraestrutura tecnológica")</f>
        <v>Contratação de serviços para o suporte à infraestrutura tecnológica</v>
      </c>
      <c r="G24" s="180" t="str">
        <f>IFERROR(__xludf.DUMMYFUNCTION("""COMPUTED_VALUE"""),"(ID PAAC 15308) SEGURANÇA SUPORTE - Continuidade do serviço de suporte técnico do Sistema de Softwares de Segurança em uso nas unidades do TRT/SC (SENIOR)")</f>
        <v>(ID PAAC 15308) SEGURANÇA SUPORTE - Continuidade do serviço de suporte técnico do Sistema de Softwares de Segurança em uso nas unidades do TRT/SC (SENIOR)</v>
      </c>
      <c r="H24" s="180" t="str">
        <f>IFERROR(__xludf.DUMMYFUNCTION("""COMPUTED_VALUE"""),"Continuado")</f>
        <v>Continuado</v>
      </c>
      <c r="I24" s="180" t="str">
        <f>IFERROR(__xludf.DUMMYFUNCTION("""COMPUTED_VALUE"""),"CPJUD")</f>
        <v>CPJUD</v>
      </c>
      <c r="J24" s="180" t="str">
        <f>IFERROR(__xludf.DUMMYFUNCTION("""COMPUTED_VALUE"""),"SETIC")</f>
        <v>SETIC</v>
      </c>
      <c r="K24" s="180" t="str">
        <f>IFERROR(__xludf.DUMMYFUNCTION("""COMPUTED_VALUE"""),"GND3")</f>
        <v>GND3</v>
      </c>
      <c r="L24" s="231">
        <f>IFERROR(__xludf.DUMMYFUNCTION("""COMPUTED_VALUE"""),0.0)</f>
        <v>0</v>
      </c>
      <c r="M24" s="232">
        <f>IFERROR(__xludf.DUMMYFUNCTION("""COMPUTED_VALUE"""),3.3904011E7)</f>
        <v>33904011</v>
      </c>
      <c r="N24" s="232">
        <f>IFERROR(__xludf.DUMMYFUNCTION("""COMPUTED_VALUE"""),0.0)</f>
        <v>0</v>
      </c>
      <c r="O24" s="230">
        <f>IFERROR(__xludf.DUMMYFUNCTION("""COMPUTED_VALUE"""),168105.0)</f>
        <v>168105</v>
      </c>
      <c r="P24" s="180" t="str">
        <f>IFERROR(__xludf.DUMMYFUNCTION("""COMPUTED_VALUE"""),"Não")</f>
        <v>Não</v>
      </c>
      <c r="Q24" s="180" t="str">
        <f>IFERROR(__xludf.DUMMYFUNCTION("""COMPUTED_VALUE"""),"2 - Importante")</f>
        <v>2 - Importante</v>
      </c>
      <c r="R24" s="180" t="str">
        <f>IFERROR(__xludf.DUMMYFUNCTION("""COMPUTED_VALUE"""),"1 - Selecionado")</f>
        <v>1 - Selecionado</v>
      </c>
      <c r="S24" s="180"/>
      <c r="T24" s="180"/>
      <c r="U24" s="180" t="str">
        <f>IFERROR(__xludf.DUMMYFUNCTION("""COMPUTED_VALUE"""),"01 - Não oficializado")</f>
        <v>01 - Não oficializado</v>
      </c>
      <c r="V24" s="180"/>
      <c r="W24" s="180" t="str">
        <f>IFERROR(__xludf.DUMMYFUNCTION("""COMPUTED_VALUE"""),"7825/2020")</f>
        <v>7825/2020</v>
      </c>
      <c r="X24" s="180" t="str">
        <f>IFERROR(__xludf.DUMMYFUNCTION("""COMPUTED_VALUE"""),"SEINFRA")</f>
        <v>SEINFRA</v>
      </c>
      <c r="Y24" s="180" t="str">
        <f>IFERROR(__xludf.DUMMYFUNCTION("""COMPUTED_VALUE"""),"PROR")</f>
        <v>PROR</v>
      </c>
      <c r="Z24" s="180" t="str">
        <f>IFERROR(__xludf.DUMMYFUNCTION("""COMPUTED_VALUE"""),"CD")</f>
        <v>CD</v>
      </c>
      <c r="AA24" s="180" t="str">
        <f>IFERROR(__xludf.DUMMYFUNCTION("""COMPUTED_VALUE"""),"CD-7825/2020")</f>
        <v>CD-7825/2020</v>
      </c>
      <c r="AB24" s="230">
        <f>IFERROR(__xludf.DUMMYFUNCTION("""COMPUTED_VALUE"""),8.0680093000181E13)</f>
        <v>80680093000181</v>
      </c>
      <c r="AC24" s="180" t="str">
        <f>IFERROR(__xludf.DUMMYFUNCTION("""COMPUTED_VALUE"""),"SENIOR SISTEMAS S/A")</f>
        <v>SENIOR SISTEMAS S/A</v>
      </c>
      <c r="AD24" s="189">
        <f>IFERROR(__xludf.DUMMYFUNCTION("""COMPUTED_VALUE"""),44745.0)</f>
        <v>44745</v>
      </c>
      <c r="AE24" s="189">
        <f>IFERROR(__xludf.DUMMYFUNCTION("""COMPUTED_VALUE"""),44835.0)</f>
        <v>44835</v>
      </c>
      <c r="AF24" s="180" t="str">
        <f>IFERROR(__xludf.DUMMYFUNCTION("""COMPUTED_VALUE"""),"Anderson Bastos
Diretor do SEINFRA")</f>
        <v>Anderson Bastos
Diretor do SEINFRA</v>
      </c>
      <c r="AG24" s="233">
        <f>IFERROR(__xludf.DUMMYFUNCTION("""COMPUTED_VALUE"""),1.0)</f>
        <v>1</v>
      </c>
      <c r="AH24" s="190">
        <f>IFERROR(__xludf.DUMMYFUNCTION("""COMPUTED_VALUE"""),64215.96)</f>
        <v>64215.96</v>
      </c>
      <c r="AI24" s="180" t="str">
        <f>IFERROR(__xludf.DUMMYFUNCTION("""COMPUTED_VALUE"""),"Não")</f>
        <v>Não</v>
      </c>
      <c r="AJ24" s="190"/>
      <c r="AK24" s="180" t="str">
        <f>IFERROR(__xludf.DUMMYFUNCTION("""COMPUTED_VALUE"""),"Claudionor da Silva")</f>
        <v>Claudionor da Silva</v>
      </c>
      <c r="AL24" s="180"/>
      <c r="AM24" s="180"/>
      <c r="AN24" s="190">
        <f>IFERROR(__xludf.DUMMYFUNCTION("""COMPUTED_VALUE"""),-5784.040000000001)</f>
        <v>-5784.04</v>
      </c>
      <c r="AO24" s="190">
        <f>IFERROR(__xludf.DUMMYFUNCTION("""COMPUTED_VALUE"""),70000.0)</f>
        <v>70000</v>
      </c>
      <c r="AP24" s="180" t="str">
        <f>IFERROR(__xludf.DUMMYFUNCTION("""COMPUTED_VALUE"""),"2022NE000129")</f>
        <v>2022NE000129</v>
      </c>
      <c r="AQ24" s="190">
        <f>IFERROR(__xludf.DUMMYFUNCTION("""COMPUTED_VALUE"""),66000.0)</f>
        <v>66000</v>
      </c>
      <c r="AR24" s="190">
        <f>IFERROR(__xludf.DUMMYFUNCTION("""COMPUTED_VALUE"""),64215.96)</f>
        <v>64215.96</v>
      </c>
      <c r="AS24" s="180" t="str">
        <f>IFERROR(__xludf.DUMMYFUNCTION("""COMPUTED_VALUE"""),"2021NE000332")</f>
        <v>2021NE000332</v>
      </c>
      <c r="AT24" s="190">
        <f>IFERROR(__xludf.DUMMYFUNCTION("""COMPUTED_VALUE"""),64215.96)</f>
        <v>64215.96</v>
      </c>
      <c r="AU24" s="190">
        <f>IFERROR(__xludf.DUMMYFUNCTION("""COMPUTED_VALUE"""),5351.33)</f>
        <v>5351.33</v>
      </c>
      <c r="AV24" s="232">
        <f>IFERROR(__xludf.DUMMYFUNCTION("""COMPUTED_VALUE"""),12.0)</f>
        <v>12</v>
      </c>
      <c r="AW24" s="190">
        <f>IFERROR(__xludf.DUMMYFUNCTION("""COMPUTED_VALUE"""),64215.96)</f>
        <v>64215.96</v>
      </c>
      <c r="AX24" s="190">
        <f>IFERROR(__xludf.DUMMYFUNCTION("""COMPUTED_VALUE"""),0.0)</f>
        <v>0</v>
      </c>
      <c r="AY24" s="190">
        <f>IFERROR(__xludf.DUMMYFUNCTION("""COMPUTED_VALUE"""),64215.96)</f>
        <v>64215.96</v>
      </c>
      <c r="AZ24" s="190">
        <f>IFERROR(__xludf.DUMMYFUNCTION("""COMPUTED_VALUE"""),17608.019999999997)</f>
        <v>17608.02</v>
      </c>
      <c r="BA24" s="190">
        <f>IFERROR(__xludf.DUMMYFUNCTION("""COMPUTED_VALUE"""),46607.94)</f>
        <v>46607.94</v>
      </c>
      <c r="BB24" s="180" t="str">
        <f>IFERROR(__xludf.DUMMYFUNCTION("""COMPUTED_VALUE"""),"CD-7825/2020")</f>
        <v>CD-7825/2020</v>
      </c>
      <c r="BC24" s="232">
        <f>IFERROR(__xludf.DUMMYFUNCTION("""COMPUTED_VALUE"""),1.51132022236919E14)</f>
        <v>151132022236919</v>
      </c>
      <c r="BD24" s="180" t="str">
        <f>IFERROR(__xludf.DUMMYFUNCTION("""COMPUTED_VALUE"""),"Sim")</f>
        <v>Sim</v>
      </c>
      <c r="BE24" s="180" t="str">
        <f>IFERROR(__xludf.DUMMYFUNCTION("""COMPUTED_VALUE"""),"Sim")</f>
        <v>Sim</v>
      </c>
      <c r="BF24" s="180"/>
      <c r="BG24" s="180"/>
      <c r="BH24" s="233">
        <f>IFERROR(__xludf.DUMMYFUNCTION("""COMPUTED_VALUE"""),200000.0)</f>
        <v>200000</v>
      </c>
      <c r="BI24" s="180" t="str">
        <f>IFERROR(__xludf.DUMMYFUNCTION("""COMPUTED_VALUE"""),"Média")</f>
        <v>Média</v>
      </c>
      <c r="BJ24" s="180"/>
      <c r="BK24" s="180" t="str">
        <f>IFERROR(__xludf.DUMMYFUNCTION("""COMPUTED_VALUE"""),"ano")</f>
        <v>ano</v>
      </c>
      <c r="BL24" s="180" t="str">
        <f>IFERROR(__xludf.DUMMYFUNCTION("""COMPUTED_VALUE"""),"P. Eletrônico")</f>
        <v>P. Eletrônico</v>
      </c>
      <c r="BM24" s="180" t="str">
        <f>IFERROR(__xludf.DUMMYFUNCTION("""COMPUTED_VALUE"""),"PROR")</f>
        <v>PROR</v>
      </c>
      <c r="BN24" s="189"/>
      <c r="BO24" s="189"/>
      <c r="BP24" s="190"/>
      <c r="BQ24" s="190"/>
      <c r="BR24" s="190"/>
      <c r="BS24" s="190">
        <f>IFERROR(__xludf.DUMMYFUNCTION("""COMPUTED_VALUE"""),64215.96)</f>
        <v>64215.96</v>
      </c>
      <c r="BT24" s="190">
        <f>IFERROR(__xludf.DUMMYFUNCTION("""COMPUTED_VALUE"""),64215.96)</f>
        <v>64215.96</v>
      </c>
      <c r="BU24" s="180" t="str">
        <f>IFERROR(__xludf.DUMMYFUNCTION("""COMPUTED_VALUE"""),"Suporte de infraestrutura de TIC")</f>
        <v>Suporte de infraestrutura de TIC</v>
      </c>
      <c r="BV24" s="180"/>
      <c r="BW24" s="180"/>
      <c r="BX24" s="180"/>
      <c r="BY24" s="180"/>
      <c r="BZ24" s="189"/>
      <c r="CA24" s="180"/>
      <c r="CB24" s="180" t="str">
        <f>IFERROR(__xludf.DUMMYFUNCTION("""COMPUTED_VALUE"""),"Apreciação de Causas na Justiça do Trabalho")</f>
        <v>Apreciação de Causas na Justiça do Trabalho</v>
      </c>
      <c r="CC24" s="180" t="str">
        <f>IFERROR(__xludf.DUMMYFUNCTION("""COMPUTED_VALUE""")," - ")</f>
        <v> - </v>
      </c>
      <c r="CD24" s="180" t="str">
        <f>IFERROR(__xludf.DUMMYFUNCTION("""COMPUTED_VALUE"""),"SERVIÇOS DE TECNOLOGIA DA INFORMAÇÃO E COMUNICAÇÃO - TIC")</f>
        <v>SERVIÇOS DE TECNOLOGIA DA INFORMAÇÃO E COMUNICAÇÃO - TIC</v>
      </c>
      <c r="CE24" s="180"/>
      <c r="CF24" s="180" t="str">
        <f>IFERROR(__xludf.DUMMYFUNCTION("""COMPUTED_VALUE"""),"SUPORTE DE INFRAESTRUTURA DE TIC")</f>
        <v>SUPORTE DE INFRAESTRUTURA DE TIC</v>
      </c>
      <c r="CG24" s="189"/>
      <c r="CH24" s="189">
        <f>IFERROR(__xludf.DUMMYFUNCTION("""COMPUTED_VALUE"""),45200.0)</f>
        <v>45200</v>
      </c>
      <c r="CI24" s="180" t="str">
        <f>IFERROR(__xludf.DUMMYFUNCTION("""COMPUTED_VALUE"""),"PROR")</f>
        <v>PROR</v>
      </c>
      <c r="CJ24" s="190">
        <f>IFERROR(__xludf.DUMMYFUNCTION("""COMPUTED_VALUE"""),66000.0)</f>
        <v>66000</v>
      </c>
      <c r="CK24" s="189">
        <f>IFERROR(__xludf.DUMMYFUNCTION("""COMPUTED_VALUE"""),44835.0)</f>
        <v>44835</v>
      </c>
      <c r="CL24" s="180" t="str">
        <f>IFERROR(__xludf.DUMMYFUNCTION("""COMPUTED_VALUE"""),"PROR")</f>
        <v>PROR</v>
      </c>
      <c r="CM24" s="180" t="str">
        <f>IFERROR(__xludf.DUMMYFUNCTION("""COMPUTED_VALUE"""),"x")</f>
        <v>x</v>
      </c>
      <c r="CN24" s="180" t="str">
        <f>IFERROR(__xludf.DUMMYFUNCTION("""COMPUTED_VALUE"""),"CD-7825/2020")</f>
        <v>CD-7825/2020</v>
      </c>
      <c r="CO24" s="234" t="str">
        <f>IFERROR(__xludf.DUMMYFUNCTION("""COMPUTED_VALUE"""),"https://www.trt12.jus.br/proad/pages/fichadoprocesso.xhtml?numeroProtocolo=7825&amp;numeroAno=2020&amp;tab=tabFichaDocumento")</f>
        <v>https://www.trt12.jus.br/proad/pages/fichadoprocesso.xhtml?numeroProtocolo=7825&amp;numeroAno=2020&amp;tab=tabFichaDocumento</v>
      </c>
      <c r="CP24" s="180"/>
      <c r="CQ24" s="180"/>
      <c r="CR24" s="180" t="str">
        <f>IFERROR(__xludf.DUMMYFUNCTION("""COMPUTED_VALUE"""),"GND3")</f>
        <v>GND3</v>
      </c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</row>
    <row r="25">
      <c r="A25" s="230">
        <f>IFERROR(__xludf.DUMMYFUNCTION("""COMPUTED_VALUE"""),15310.0)</f>
        <v>15310</v>
      </c>
      <c r="B25" s="230">
        <f>IFERROR(__xludf.DUMMYFUNCTION("""COMPUTED_VALUE"""),0.0)</f>
        <v>0</v>
      </c>
      <c r="C25" s="180" t="str">
        <f>IFERROR(__xludf.DUMMYFUNCTION("""COMPUTED_VALUE"""),"SEGURANÇA - Aquisição de câmeras de CFTV e licenças de software para monitoramento de imagens")</f>
        <v>SEGURANÇA - Aquisição de câmeras de CFTV e licenças de software para monitoramento de imagens</v>
      </c>
      <c r="D25" s="180" t="str">
        <f>IFERROR(__xludf.DUMMYFUNCTION("""COMPUTED_VALUE"""),"Aquisição de produto, peça de reposição, material de consumo e/ou de serviço não continuado de tecnologia da informação e telecomunicações que atende a projeto estratégico, garante a prestação jurisdicional, evita a interrupção da prestação administrativa"&amp;" e/ou atende a normativo.
")</f>
        <v>Aquisição de produto, peça de reposição, material de consumo e/ou de serviço não continuado de tecnologia da informação e telecomunicações que atende a projeto estratégico, garante a prestação jurisdicional, evita a interrupção da prestação administrativa e/ou atende a normativo.
</v>
      </c>
      <c r="E25" s="180" t="str">
        <f>IFERROR(__xludf.DUMMYFUNCTION("""COMPUTED_VALUE"""),"EJ08 - PROMOVER SERVIÇOS DE INFRAESTRUTURA E SOLUÇÕES CORPORATIVAS")</f>
        <v>EJ08 - PROMOVER SERVIÇOS DE INFRAESTRUTURA E SOLUÇÕES CORPORATIVAS</v>
      </c>
      <c r="F25" s="180" t="str">
        <f>IFERROR(__xludf.DUMMYFUNCTION("""COMPUTED_VALUE"""),"Contratação de serviços de suporte à microinformática")</f>
        <v>Contratação de serviços de suporte à microinformática</v>
      </c>
      <c r="G25" s="180" t="str">
        <f>IFERROR(__xludf.DUMMYFUNCTION("""COMPUTED_VALUE"""),"(ID PAAC 15310) SEGURANÇA - Aquisição de câmeras de CFTV e licenças de software para monitoramento de imagens")</f>
        <v>(ID PAAC 15310) SEGURANÇA - Aquisição de câmeras de CFTV e licenças de software para monitoramento de imagens</v>
      </c>
      <c r="H25" s="180" t="str">
        <f>IFERROR(__xludf.DUMMYFUNCTION("""COMPUTED_VALUE"""),"Imediato")</f>
        <v>Imediato</v>
      </c>
      <c r="I25" s="180" t="str">
        <f>IFERROR(__xludf.DUMMYFUNCTION("""COMPUTED_VALUE"""),"SSI")</f>
        <v>SSI</v>
      </c>
      <c r="J25" s="180" t="str">
        <f>IFERROR(__xludf.DUMMYFUNCTION("""COMPUTED_VALUE"""),"SETIC")</f>
        <v>SETIC</v>
      </c>
      <c r="K25" s="180" t="str">
        <f>IFERROR(__xludf.DUMMYFUNCTION("""COMPUTED_VALUE"""),"GND4")</f>
        <v>GND4</v>
      </c>
      <c r="L25" s="231">
        <f>IFERROR(__xludf.DUMMYFUNCTION("""COMPUTED_VALUE"""),0.0)</f>
        <v>0</v>
      </c>
      <c r="M25" s="232"/>
      <c r="N25" s="232">
        <f>IFERROR(__xludf.DUMMYFUNCTION("""COMPUTED_VALUE"""),0.0)</f>
        <v>0</v>
      </c>
      <c r="O25" s="230">
        <f>IFERROR(__xludf.DUMMYFUNCTION("""COMPUTED_VALUE"""),168105.0)</f>
        <v>168105</v>
      </c>
      <c r="P25" s="180" t="str">
        <f>IFERROR(__xludf.DUMMYFUNCTION("""COMPUTED_VALUE"""),"Não")</f>
        <v>Não</v>
      </c>
      <c r="Q25" s="180" t="str">
        <f>IFERROR(__xludf.DUMMYFUNCTION("""COMPUTED_VALUE"""),"2 - Importante")</f>
        <v>2 - Importante</v>
      </c>
      <c r="R25" s="180" t="str">
        <f>IFERROR(__xludf.DUMMYFUNCTION("""COMPUTED_VALUE"""),"4 - Cancelado")</f>
        <v>4 - Cancelado</v>
      </c>
      <c r="S25" s="180"/>
      <c r="T25" s="180"/>
      <c r="U25" s="180" t="str">
        <f>IFERROR(__xludf.DUMMYFUNCTION("""COMPUTED_VALUE"""),"02 - DOD emitido")</f>
        <v>02 - DOD emitido</v>
      </c>
      <c r="V25" s="180" t="str">
        <f>IFERROR(__xludf.DUMMYFUNCTION("""COMPUTED_VALUE"""),"10812/2020")</f>
        <v>10812/2020</v>
      </c>
      <c r="W25" s="180"/>
      <c r="X25" s="180" t="str">
        <f>IFERROR(__xludf.DUMMYFUNCTION("""COMPUTED_VALUE"""),"SEINFRA")</f>
        <v>SEINFRA</v>
      </c>
      <c r="Y25" s="180" t="str">
        <f>IFERROR(__xludf.DUMMYFUNCTION("""COMPUTED_VALUE"""),"PRE")</f>
        <v>PRE</v>
      </c>
      <c r="Z25" s="180" t="str">
        <f>IFERROR(__xludf.DUMMYFUNCTION("""COMPUTED_VALUE"""),"PRE")</f>
        <v>PRE</v>
      </c>
      <c r="AA25" s="180"/>
      <c r="AB25" s="230"/>
      <c r="AC25" s="180" t="str">
        <f>IFERROR(__xludf.DUMMYFUNCTION("""COMPUTED_VALUE"""),"#N/A")</f>
        <v>#N/A</v>
      </c>
      <c r="AD25" s="189">
        <f>IFERROR(__xludf.DUMMYFUNCTION("""COMPUTED_VALUE"""),44633.0)</f>
        <v>44633</v>
      </c>
      <c r="AE25" s="189">
        <f>IFERROR(__xludf.DUMMYFUNCTION("""COMPUTED_VALUE"""),44743.0)</f>
        <v>44743</v>
      </c>
      <c r="AF25" s="180" t="str">
        <f>IFERROR(__xludf.DUMMYFUNCTION("""COMPUTED_VALUE"""),"Anderson Bastos
Diretor do SEINFRA")</f>
        <v>Anderson Bastos
Diretor do SEINFRA</v>
      </c>
      <c r="AG25" s="233">
        <f>IFERROR(__xludf.DUMMYFUNCTION("""COMPUTED_VALUE"""),1.0)</f>
        <v>1</v>
      </c>
      <c r="AH25" s="190">
        <f>IFERROR(__xludf.DUMMYFUNCTION("""COMPUTED_VALUE"""),0.0)</f>
        <v>0</v>
      </c>
      <c r="AI25" s="180" t="str">
        <f>IFERROR(__xludf.DUMMYFUNCTION("""COMPUTED_VALUE"""),"Não")</f>
        <v>Não</v>
      </c>
      <c r="AJ25" s="190"/>
      <c r="AK25" s="180"/>
      <c r="AL25" s="180"/>
      <c r="AM25" s="180"/>
      <c r="AN25" s="190">
        <f>IFERROR(__xludf.DUMMYFUNCTION("""COMPUTED_VALUE"""),-200000.0)</f>
        <v>-200000</v>
      </c>
      <c r="AO25" s="190">
        <f>IFERROR(__xludf.DUMMYFUNCTION("""COMPUTED_VALUE"""),200000.0)</f>
        <v>200000</v>
      </c>
      <c r="AP25" s="180"/>
      <c r="AQ25" s="190">
        <f>IFERROR(__xludf.DUMMYFUNCTION("""COMPUTED_VALUE"""),200000.0)</f>
        <v>200000</v>
      </c>
      <c r="AR25" s="190">
        <f>IFERROR(__xludf.DUMMYFUNCTION("""COMPUTED_VALUE"""),200000.0)</f>
        <v>200000</v>
      </c>
      <c r="AS25" s="180"/>
      <c r="AT25" s="190">
        <f>IFERROR(__xludf.DUMMYFUNCTION("""COMPUTED_VALUE"""),0.0)</f>
        <v>0</v>
      </c>
      <c r="AU25" s="190"/>
      <c r="AV25" s="232"/>
      <c r="AW25" s="190">
        <f>IFERROR(__xludf.DUMMYFUNCTION("""COMPUTED_VALUE"""),0.0)</f>
        <v>0</v>
      </c>
      <c r="AX25" s="190">
        <f>IFERROR(__xludf.DUMMYFUNCTION("""COMPUTED_VALUE"""),0.0)</f>
        <v>0</v>
      </c>
      <c r="AY25" s="190">
        <f>IFERROR(__xludf.DUMMYFUNCTION("""COMPUTED_VALUE"""),0.0)</f>
        <v>0</v>
      </c>
      <c r="AZ25" s="190">
        <f>IFERROR(__xludf.DUMMYFUNCTION("""COMPUTED_VALUE"""),0.0)</f>
        <v>0</v>
      </c>
      <c r="BA25" s="190">
        <f>IFERROR(__xludf.DUMMYFUNCTION("""COMPUTED_VALUE"""),0.0)</f>
        <v>0</v>
      </c>
      <c r="BB25" s="180"/>
      <c r="BC25" s="232">
        <f>IFERROR(__xludf.DUMMYFUNCTION("""COMPUTED_VALUE"""),1.51132022236914E14)</f>
        <v>151132022236914</v>
      </c>
      <c r="BD25" s="180" t="str">
        <f>IFERROR(__xludf.DUMMYFUNCTION("""COMPUTED_VALUE"""),"Não")</f>
        <v>Não</v>
      </c>
      <c r="BE25" s="180"/>
      <c r="BF25" s="180"/>
      <c r="BG25" s="180"/>
      <c r="BH25" s="233">
        <f>IFERROR(__xludf.DUMMYFUNCTION("""COMPUTED_VALUE"""),200000.0)</f>
        <v>200000</v>
      </c>
      <c r="BI25" s="180" t="str">
        <f>IFERROR(__xludf.DUMMYFUNCTION("""COMPUTED_VALUE"""),"Média")</f>
        <v>Média</v>
      </c>
      <c r="BJ25" s="180"/>
      <c r="BK25" s="180" t="str">
        <f>IFERROR(__xludf.DUMMYFUNCTION("""COMPUTED_VALUE"""),"unidade")</f>
        <v>unidade</v>
      </c>
      <c r="BL25" s="180"/>
      <c r="BM25" s="180" t="str">
        <f>IFERROR(__xludf.DUMMYFUNCTION("""COMPUTED_VALUE"""),"CANCELADO")</f>
        <v>CANCELADO</v>
      </c>
      <c r="BN25" s="189"/>
      <c r="BO25" s="189"/>
      <c r="BP25" s="190"/>
      <c r="BQ25" s="190"/>
      <c r="BR25" s="190"/>
      <c r="BS25" s="190">
        <f>IFERROR(__xludf.DUMMYFUNCTION("""COMPUTED_VALUE"""),0.0)</f>
        <v>0</v>
      </c>
      <c r="BT25" s="190"/>
      <c r="BU25" s="180" t="str">
        <f>IFERROR(__xludf.DUMMYFUNCTION("""COMPUTED_VALUE"""),"#N/A")</f>
        <v>#N/A</v>
      </c>
      <c r="BV25" s="180"/>
      <c r="BW25" s="180"/>
      <c r="BX25" s="180"/>
      <c r="BY25" s="180"/>
      <c r="BZ25" s="189"/>
      <c r="CA25" s="180"/>
      <c r="CB25" s="180" t="str">
        <f>IFERROR(__xludf.DUMMYFUNCTION("""COMPUTED_VALUE"""),"Apreciação de Causas na Justiça do Trabalho")</f>
        <v>Apreciação de Causas na Justiça do Trabalho</v>
      </c>
      <c r="CC25" s="180" t="str">
        <f>IFERROR(__xludf.DUMMYFUNCTION("""COMPUTED_VALUE""")," - ")</f>
        <v> - </v>
      </c>
      <c r="CD25" s="180" t="str">
        <f>IFERROR(__xludf.DUMMYFUNCTION("""COMPUTED_VALUE"""),"#N/A")</f>
        <v>#N/A</v>
      </c>
      <c r="CE25" s="180"/>
      <c r="CF25" s="180" t="str">
        <f>IFERROR(__xludf.DUMMYFUNCTION("""COMPUTED_VALUE"""),"#N/A")</f>
        <v>#N/A</v>
      </c>
      <c r="CG25" s="189">
        <f>IFERROR(__xludf.DUMMYFUNCTION("""COMPUTED_VALUE"""),44996.0)</f>
        <v>44996</v>
      </c>
      <c r="CH25" s="189">
        <f>IFERROR(__xludf.DUMMYFUNCTION("""COMPUTED_VALUE"""),45108.0)</f>
        <v>45108</v>
      </c>
      <c r="CI25" s="180" t="str">
        <f>IFERROR(__xludf.DUMMYFUNCTION("""COMPUTED_VALUE"""),"PRE")</f>
        <v>PRE</v>
      </c>
      <c r="CJ25" s="190"/>
      <c r="CK25" s="189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</row>
    <row r="26">
      <c r="A26" s="230">
        <f>IFERROR(__xludf.DUMMYFUNCTION("""COMPUTED_VALUE"""),15311.0)</f>
        <v>15311</v>
      </c>
      <c r="B26" s="230">
        <f>IFERROR(__xludf.DUMMYFUNCTION("""COMPUTED_VALUE"""),15304.0)</f>
        <v>15304</v>
      </c>
      <c r="C26" s="180" t="str">
        <f>IFERROR(__xludf.DUMMYFUNCTION("""COMPUTED_VALUE"""),"BACKUP FITAS - Aquisição de fitas com capacidade de 12TB (272 unidades) e de limpeza (20 unidades).")</f>
        <v>BACKUP FITAS - Aquisição de fitas com capacidade de 12TB (272 unidades) e de limpeza (20 unidades).</v>
      </c>
      <c r="D26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26" s="180" t="str">
        <f>IFERROR(__xludf.DUMMYFUNCTION("""COMPUTED_VALUE"""),"EJ07 - APRIMORAR A SEGURANÇA DA INFORMAÇÃO E A GESTÃO DE DADOS")</f>
        <v>EJ07 - APRIMORAR A SEGURANÇA DA INFORMAÇÃO E A GESTÃO DE DADOS</v>
      </c>
      <c r="F26" s="180" t="str">
        <f>IFERROR(__xludf.DUMMYFUNCTION("""COMPUTED_VALUE"""),"Contratação de serviços para o suporte à infraestrutura tecnológica")</f>
        <v>Contratação de serviços para o suporte à infraestrutura tecnológica</v>
      </c>
      <c r="G26" s="180" t="str">
        <f>IFERROR(__xludf.DUMMYFUNCTION("""COMPUTED_VALUE"""),"(ID PAAC 15311) BACKUP FITAS - Aquisição de fitas com capacidade de 12TB (272 unidades) e de limpeza (20 unidades).")</f>
        <v>(ID PAAC 15311) BACKUP FITAS - Aquisição de fitas com capacidade de 12TB (272 unidades) e de limpeza (20 unidades).</v>
      </c>
      <c r="H26" s="180" t="str">
        <f>IFERROR(__xludf.DUMMYFUNCTION("""COMPUTED_VALUE"""),"Imediato")</f>
        <v>Imediato</v>
      </c>
      <c r="I26" s="180" t="str">
        <f>IFERROR(__xludf.DUMMYFUNCTION("""COMPUTED_VALUE"""),"SETIC")</f>
        <v>SETIC</v>
      </c>
      <c r="J26" s="180" t="str">
        <f>IFERROR(__xludf.DUMMYFUNCTION("""COMPUTED_VALUE"""),"SETIC")</f>
        <v>SETIC</v>
      </c>
      <c r="K26" s="180" t="str">
        <f>IFERROR(__xludf.DUMMYFUNCTION("""COMPUTED_VALUE"""),"GND3")</f>
        <v>GND3</v>
      </c>
      <c r="L26" s="231">
        <f>IFERROR(__xludf.DUMMYFUNCTION("""COMPUTED_VALUE"""),0.0)</f>
        <v>0</v>
      </c>
      <c r="M26" s="232"/>
      <c r="N26" s="232">
        <f>IFERROR(__xludf.DUMMYFUNCTION("""COMPUTED_VALUE"""),0.0)</f>
        <v>0</v>
      </c>
      <c r="O26" s="230">
        <f>IFERROR(__xludf.DUMMYFUNCTION("""COMPUTED_VALUE"""),168107.0)</f>
        <v>168107</v>
      </c>
      <c r="P26" s="180" t="str">
        <f>IFERROR(__xludf.DUMMYFUNCTION("""COMPUTED_VALUE"""),"Sim")</f>
        <v>Sim</v>
      </c>
      <c r="Q26" s="180" t="str">
        <f>IFERROR(__xludf.DUMMYFUNCTION("""COMPUTED_VALUE"""),"1 - Imprescindível")</f>
        <v>1 - Imprescindível</v>
      </c>
      <c r="R26" s="180" t="str">
        <f>IFERROR(__xludf.DUMMYFUNCTION("""COMPUTED_VALUE"""),"1 - Selecionado")</f>
        <v>1 - Selecionado</v>
      </c>
      <c r="S26" s="180"/>
      <c r="T26" s="180" t="str">
        <f>IFERROR(__xludf.DUMMYFUNCTION("""COMPUTED_VALUE"""),"Transferido de 2021 para 2022")</f>
        <v>Transferido de 2021 para 2022</v>
      </c>
      <c r="U26" s="180" t="str">
        <f>IFERROR(__xludf.DUMMYFUNCTION("""COMPUTED_VALUE"""),"05 - PB enviado")</f>
        <v>05 - PB enviado</v>
      </c>
      <c r="V26" s="180" t="str">
        <f>IFERROR(__xludf.DUMMYFUNCTION("""COMPUTED_VALUE"""),"8147/2021")</f>
        <v>8147/2021</v>
      </c>
      <c r="W26" s="180" t="str">
        <f>IFERROR(__xludf.DUMMYFUNCTION("""COMPUTED_VALUE"""),"10394/2021")</f>
        <v>10394/2021</v>
      </c>
      <c r="X26" s="180" t="str">
        <f>IFERROR(__xludf.DUMMYFUNCTION("""COMPUTED_VALUE"""),"SEINFRA")</f>
        <v>SEINFRA</v>
      </c>
      <c r="Y26" s="180" t="str">
        <f>IFERROR(__xludf.DUMMYFUNCTION("""COMPUTED_VALUE"""),"PRE")</f>
        <v>PRE</v>
      </c>
      <c r="Z26" s="180" t="str">
        <f>IFERROR(__xludf.DUMMYFUNCTION("""COMPUTED_VALUE"""),"PRE")</f>
        <v>PRE</v>
      </c>
      <c r="AA26" s="180" t="str">
        <f>IFERROR(__xludf.DUMMYFUNCTION("""COMPUTED_VALUE"""),"PRE-10394/2021")</f>
        <v>PRE-10394/2021</v>
      </c>
      <c r="AB26" s="230"/>
      <c r="AC26" s="180" t="str">
        <f>IFERROR(__xludf.DUMMYFUNCTION("""COMPUTED_VALUE"""),"#N/A")</f>
        <v>#N/A</v>
      </c>
      <c r="AD26" s="189">
        <f>IFERROR(__xludf.DUMMYFUNCTION("""COMPUTED_VALUE"""),44525.0)</f>
        <v>44525</v>
      </c>
      <c r="AE26" s="189">
        <f>IFERROR(__xludf.DUMMYFUNCTION("""COMPUTED_VALUE"""),44635.0)</f>
        <v>44635</v>
      </c>
      <c r="AF26" s="180" t="str">
        <f>IFERROR(__xludf.DUMMYFUNCTION("""COMPUTED_VALUE"""),"Anderson Bastos
Diretor do SEINFRA")</f>
        <v>Anderson Bastos
Diretor do SEINFRA</v>
      </c>
      <c r="AG26" s="233">
        <f>IFERROR(__xludf.DUMMYFUNCTION("""COMPUTED_VALUE"""),292.0)</f>
        <v>292</v>
      </c>
      <c r="AH26" s="190">
        <f>IFERROR(__xludf.DUMMYFUNCTION("""COMPUTED_VALUE"""),898.7808219178082)</f>
        <v>898.7808219</v>
      </c>
      <c r="AI26" s="180" t="str">
        <f>IFERROR(__xludf.DUMMYFUNCTION("""COMPUTED_VALUE"""),"Não")</f>
        <v>Não</v>
      </c>
      <c r="AJ26" s="190">
        <f>IFERROR(__xludf.DUMMYFUNCTION("""COMPUTED_VALUE"""),262444.0)</f>
        <v>262444</v>
      </c>
      <c r="AK26" s="180"/>
      <c r="AL26" s="180"/>
      <c r="AM26" s="180"/>
      <c r="AN26" s="190">
        <f>IFERROR(__xludf.DUMMYFUNCTION("""COMPUTED_VALUE"""),0.0)</f>
        <v>0</v>
      </c>
      <c r="AO26" s="190">
        <f>IFERROR(__xludf.DUMMYFUNCTION("""COMPUTED_VALUE"""),262444.0)</f>
        <v>262444</v>
      </c>
      <c r="AP26" s="180"/>
      <c r="AQ26" s="190">
        <f>IFERROR(__xludf.DUMMYFUNCTION("""COMPUTED_VALUE"""),0.0)</f>
        <v>0</v>
      </c>
      <c r="AR26" s="190">
        <f>IFERROR(__xludf.DUMMYFUNCTION("""COMPUTED_VALUE"""),262444.0)</f>
        <v>262444</v>
      </c>
      <c r="AS26" s="180"/>
      <c r="AT26" s="190">
        <f>IFERROR(__xludf.DUMMYFUNCTION("""COMPUTED_VALUE"""),262444.0)</f>
        <v>262444</v>
      </c>
      <c r="AU26" s="190"/>
      <c r="AV26" s="232"/>
      <c r="AW26" s="190">
        <f>IFERROR(__xludf.DUMMYFUNCTION("""COMPUTED_VALUE"""),0.0)</f>
        <v>0</v>
      </c>
      <c r="AX26" s="190">
        <f>IFERROR(__xludf.DUMMYFUNCTION("""COMPUTED_VALUE"""),0.0)</f>
        <v>0</v>
      </c>
      <c r="AY26" s="190">
        <f>IFERROR(__xludf.DUMMYFUNCTION("""COMPUTED_VALUE"""),0.0)</f>
        <v>0</v>
      </c>
      <c r="AZ26" s="190">
        <f>IFERROR(__xludf.DUMMYFUNCTION("""COMPUTED_VALUE"""),0.0)</f>
        <v>0</v>
      </c>
      <c r="BA26" s="190">
        <f>IFERROR(__xludf.DUMMYFUNCTION("""COMPUTED_VALUE"""),0.0)</f>
        <v>0</v>
      </c>
      <c r="BB26" s="180" t="str">
        <f>IFERROR(__xludf.DUMMYFUNCTION("""COMPUTED_VALUE"""),"PRE-10394/2021")</f>
        <v>PRE-10394/2021</v>
      </c>
      <c r="BC26" s="232"/>
      <c r="BD26" s="180" t="str">
        <f>IFERROR(__xludf.DUMMYFUNCTION("""COMPUTED_VALUE"""),"Sim")</f>
        <v>Sim</v>
      </c>
      <c r="BE26" s="180"/>
      <c r="BF26" s="180"/>
      <c r="BG26" s="180"/>
      <c r="BH26" s="233">
        <f>IFERROR(__xludf.DUMMYFUNCTION("""COMPUTED_VALUE"""),300000.0)</f>
        <v>300000</v>
      </c>
      <c r="BI26" s="180" t="str">
        <f>IFERROR(__xludf.DUMMYFUNCTION("""COMPUTED_VALUE"""),"Alta")</f>
        <v>Alta</v>
      </c>
      <c r="BJ26" s="180"/>
      <c r="BK26" s="180" t="str">
        <f>IFERROR(__xludf.DUMMYFUNCTION("""COMPUTED_VALUE"""),"unidade")</f>
        <v>unidade</v>
      </c>
      <c r="BL26" s="180"/>
      <c r="BM26" s="180" t="str">
        <f>IFERROR(__xludf.DUMMYFUNCTION("""COMPUTED_VALUE"""),"PRE")</f>
        <v>PRE</v>
      </c>
      <c r="BN26" s="189">
        <f>IFERROR(__xludf.DUMMYFUNCTION("""COMPUTED_VALUE"""),44464.0)</f>
        <v>44464</v>
      </c>
      <c r="BO26" s="189">
        <f>IFERROR(__xludf.DUMMYFUNCTION("""COMPUTED_VALUE"""),44494.0)</f>
        <v>44494</v>
      </c>
      <c r="BP26" s="190"/>
      <c r="BQ26" s="190"/>
      <c r="BR26" s="190"/>
      <c r="BS26" s="190">
        <f>IFERROR(__xludf.DUMMYFUNCTION("""COMPUTED_VALUE"""),262444.0)</f>
        <v>262444</v>
      </c>
      <c r="BT26" s="190">
        <f>IFERROR(__xludf.DUMMYFUNCTION("""COMPUTED_VALUE"""),262444.0)</f>
        <v>262444</v>
      </c>
      <c r="BU26" s="180" t="str">
        <f>IFERROR(__xludf.DUMMYFUNCTION("""COMPUTED_VALUE"""),"#N/A")</f>
        <v>#N/A</v>
      </c>
      <c r="BV26" s="180"/>
      <c r="BW26" s="180"/>
      <c r="BX26" s="180"/>
      <c r="BY26" s="180"/>
      <c r="BZ26" s="189"/>
      <c r="CA26" s="180"/>
      <c r="CB26" s="180" t="str">
        <f>IFERROR(__xludf.DUMMYFUNCTION("""COMPUTED_VALUE"""),"Manutenção e Gestão dos Serviços de Tecnologia da Informação")</f>
        <v>Manutenção e Gestão dos Serviços de Tecnologia da Informação</v>
      </c>
      <c r="CC26" s="180" t="str">
        <f>IFERROR(__xludf.DUMMYFUNCTION("""COMPUTED_VALUE""")," - ")</f>
        <v> - </v>
      </c>
      <c r="CD26" s="180" t="str">
        <f>IFERROR(__xludf.DUMMYFUNCTION("""COMPUTED_VALUE"""),"#N/A")</f>
        <v>#N/A</v>
      </c>
      <c r="CE26" s="180"/>
      <c r="CF26" s="180" t="str">
        <f>IFERROR(__xludf.DUMMYFUNCTION("""COMPUTED_VALUE"""),"#N/A")</f>
        <v>#N/A</v>
      </c>
      <c r="CG26" s="189">
        <f>IFERROR(__xludf.DUMMYFUNCTION("""COMPUTED_VALUE"""),44888.0)</f>
        <v>44888</v>
      </c>
      <c r="CH26" s="189">
        <f>IFERROR(__xludf.DUMMYFUNCTION("""COMPUTED_VALUE"""),45000.0)</f>
        <v>45000</v>
      </c>
      <c r="CI26" s="180" t="str">
        <f>IFERROR(__xludf.DUMMYFUNCTION("""COMPUTED_VALUE"""),"PRE")</f>
        <v>PRE</v>
      </c>
      <c r="CJ26" s="190"/>
      <c r="CK26" s="189"/>
      <c r="CL26" s="180"/>
      <c r="CM26" s="180"/>
      <c r="CN26" s="180" t="str">
        <f>IFERROR(__xludf.DUMMYFUNCTION("""COMPUTED_VALUE"""),"PRE-10394/2021")</f>
        <v>PRE-10394/2021</v>
      </c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</row>
    <row r="27">
      <c r="A27" s="230">
        <f>IFERROR(__xludf.DUMMYFUNCTION("""COMPUTED_VALUE"""),15314.0)</f>
        <v>15314</v>
      </c>
      <c r="B27" s="230">
        <f>IFERROR(__xludf.DUMMYFUNCTION("""COMPUTED_VALUE"""),15314.0)</f>
        <v>15314</v>
      </c>
      <c r="C27" s="180" t="str">
        <f>IFERROR(__xludf.DUMMYFUNCTION("""COMPUTED_VALUE"""),"NOBREAKS SYMMETRA - Suporte e manutenção de nobreaks do datacenter - SYMMETRA")</f>
        <v>NOBREAKS SYMMETRA - Suporte e manutenção de nobreaks do datacenter - SYMMETRA</v>
      </c>
      <c r="D27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27" s="180" t="str">
        <f>IFERROR(__xludf.DUMMYFUNCTION("""COMPUTED_VALUE"""),"EJ08 - PROMOVER SERVIÇOS DE INFRAESTRUTURA E SOLUÇÕES CORPORATIVAS")</f>
        <v>EJ08 - PROMOVER SERVIÇOS DE INFRAESTRUTURA E SOLUÇÕES CORPORATIVAS</v>
      </c>
      <c r="F27" s="180" t="str">
        <f>IFERROR(__xludf.DUMMYFUNCTION("""COMPUTED_VALUE"""),"Contratação de serviços para o suporte à infraestrutura tecnológica")</f>
        <v>Contratação de serviços para o suporte à infraestrutura tecnológica</v>
      </c>
      <c r="G27" s="180" t="str">
        <f>IFERROR(__xludf.DUMMYFUNCTION("""COMPUTED_VALUE"""),"(ID PAAC 15314) NOBREAKS SYMMETRA - Suporte e manutenção de nobreaks do datacenter - SYMMETRA")</f>
        <v>(ID PAAC 15314) NOBREAKS SYMMETRA - Suporte e manutenção de nobreaks do datacenter - SYMMETRA</v>
      </c>
      <c r="H27" s="180" t="str">
        <f>IFERROR(__xludf.DUMMYFUNCTION("""COMPUTED_VALUE"""),"Continuado")</f>
        <v>Continuado</v>
      </c>
      <c r="I27" s="180" t="str">
        <f>IFERROR(__xludf.DUMMYFUNCTION("""COMPUTED_VALUE"""),"SETIC")</f>
        <v>SETIC</v>
      </c>
      <c r="J27" s="180" t="str">
        <f>IFERROR(__xludf.DUMMYFUNCTION("""COMPUTED_VALUE"""),"SETIC")</f>
        <v>SETIC</v>
      </c>
      <c r="K27" s="180" t="str">
        <f>IFERROR(__xludf.DUMMYFUNCTION("""COMPUTED_VALUE"""),"GND3")</f>
        <v>GND3</v>
      </c>
      <c r="L27" s="231">
        <f>IFERROR(__xludf.DUMMYFUNCTION("""COMPUTED_VALUE"""),0.0)</f>
        <v>0</v>
      </c>
      <c r="M27" s="232">
        <f>IFERROR(__xludf.DUMMYFUNCTION("""COMPUTED_VALUE"""),3.3904012E7)</f>
        <v>33904012</v>
      </c>
      <c r="N27" s="232">
        <f>IFERROR(__xludf.DUMMYFUNCTION("""COMPUTED_VALUE"""),0.0)</f>
        <v>0</v>
      </c>
      <c r="O27" s="230">
        <f>IFERROR(__xludf.DUMMYFUNCTION("""COMPUTED_VALUE"""),168105.0)</f>
        <v>168105</v>
      </c>
      <c r="P27" s="180" t="str">
        <f>IFERROR(__xludf.DUMMYFUNCTION("""COMPUTED_VALUE"""),"Não")</f>
        <v>Não</v>
      </c>
      <c r="Q27" s="180" t="str">
        <f>IFERROR(__xludf.DUMMYFUNCTION("""COMPUTED_VALUE"""),"1 - Imprescindível")</f>
        <v>1 - Imprescindível</v>
      </c>
      <c r="R27" s="180" t="str">
        <f>IFERROR(__xludf.DUMMYFUNCTION("""COMPUTED_VALUE"""),"1 - Selecionado")</f>
        <v>1 - Selecionado</v>
      </c>
      <c r="S27" s="180"/>
      <c r="T27" s="180"/>
      <c r="U27" s="180" t="str">
        <f>IFERROR(__xludf.DUMMYFUNCTION("""COMPUTED_VALUE"""),"07 - Concluída")</f>
        <v>07 - Concluída</v>
      </c>
      <c r="V27" s="180" t="str">
        <f>IFERROR(__xludf.DUMMYFUNCTION("""COMPUTED_VALUE"""),"3731/2021")</f>
        <v>3731/2021</v>
      </c>
      <c r="W27" s="180" t="str">
        <f>IFERROR(__xludf.DUMMYFUNCTION("""COMPUTED_VALUE"""),"5228/2020")</f>
        <v>5228/2020</v>
      </c>
      <c r="X27" s="180" t="str">
        <f>IFERROR(__xludf.DUMMYFUNCTION("""COMPUTED_VALUE"""),"SESUP")</f>
        <v>SESUP</v>
      </c>
      <c r="Y27" s="180" t="str">
        <f>IFERROR(__xludf.DUMMYFUNCTION("""COMPUTED_VALUE"""),"PROR")</f>
        <v>PROR</v>
      </c>
      <c r="Z27" s="180" t="str">
        <f>IFERROR(__xludf.DUMMYFUNCTION("""COMPUTED_VALUE"""),"CD")</f>
        <v>CD</v>
      </c>
      <c r="AA27" s="180" t="str">
        <f>IFERROR(__xludf.DUMMYFUNCTION("""COMPUTED_VALUE"""),"CD-5228/2020")</f>
        <v>CD-5228/2020</v>
      </c>
      <c r="AB27" s="230">
        <f>IFERROR(__xludf.DUMMYFUNCTION("""COMPUTED_VALUE"""),7.108509000282E12)</f>
        <v>7108509000282</v>
      </c>
      <c r="AC27" s="180" t="str">
        <f>IFERROR(__xludf.DUMMYFUNCTION("""COMPUTED_VALUE"""),"SCHNEIDER ELECTRIC IT BRASIL INDUSTRIA E COMERCIO DE E")</f>
        <v>SCHNEIDER ELECTRIC IT BRASIL INDUSTRIA E COMERCIO DE E</v>
      </c>
      <c r="AD27" s="189">
        <f>IFERROR(__xludf.DUMMYFUNCTION("""COMPUTED_VALUE"""),44519.0)</f>
        <v>44519</v>
      </c>
      <c r="AE27" s="189">
        <f>IFERROR(__xludf.DUMMYFUNCTION("""COMPUTED_VALUE"""),44609.0)</f>
        <v>44609</v>
      </c>
      <c r="AF27" s="180" t="str">
        <f>IFERROR(__xludf.DUMMYFUNCTION("""COMPUTED_VALUE"""),"Márcio César Jacinto
Diretor do SESUP - Substituto")</f>
        <v>Márcio César Jacinto
Diretor do SESUP - Substituto</v>
      </c>
      <c r="AG27" s="233">
        <f>IFERROR(__xludf.DUMMYFUNCTION("""COMPUTED_VALUE"""),1.0)</f>
        <v>1</v>
      </c>
      <c r="AH27" s="190">
        <f>IFERROR(__xludf.DUMMYFUNCTION("""COMPUTED_VALUE"""),8886.37)</f>
        <v>8886.37</v>
      </c>
      <c r="AI27" s="180" t="str">
        <f>IFERROR(__xludf.DUMMYFUNCTION("""COMPUTED_VALUE"""),"Não")</f>
        <v>Não</v>
      </c>
      <c r="AJ27" s="190"/>
      <c r="AK27" s="180" t="str">
        <f>IFERROR(__xludf.DUMMYFUNCTION("""COMPUTED_VALUE"""),"Pedro Paulo da Silva")</f>
        <v>Pedro Paulo da Silva</v>
      </c>
      <c r="AL27" s="180"/>
      <c r="AM27" s="180"/>
      <c r="AN27" s="190">
        <f>IFERROR(__xludf.DUMMYFUNCTION("""COMPUTED_VALUE"""),-95993.63)</f>
        <v>-95993.63</v>
      </c>
      <c r="AO27" s="190">
        <f>IFERROR(__xludf.DUMMYFUNCTION("""COMPUTED_VALUE"""),104880.0)</f>
        <v>104880</v>
      </c>
      <c r="AP27" s="180" t="str">
        <f>IFERROR(__xludf.DUMMYFUNCTION("""COMPUTED_VALUE"""),"2022NE000229")</f>
        <v>2022NE000229</v>
      </c>
      <c r="AQ27" s="190">
        <f>IFERROR(__xludf.DUMMYFUNCTION("""COMPUTED_VALUE"""),104880.0)</f>
        <v>104880</v>
      </c>
      <c r="AR27" s="190">
        <f>IFERROR(__xludf.DUMMYFUNCTION("""COMPUTED_VALUE"""),8886.37)</f>
        <v>8886.37</v>
      </c>
      <c r="AS27" s="180" t="str">
        <f>IFERROR(__xludf.DUMMYFUNCTION("""COMPUTED_VALUE"""),"2021NE000154")</f>
        <v>2021NE000154</v>
      </c>
      <c r="AT27" s="190">
        <f>IFERROR(__xludf.DUMMYFUNCTION("""COMPUTED_VALUE"""),8886.37)</f>
        <v>8886.37</v>
      </c>
      <c r="AU27" s="190">
        <f>IFERROR(__xludf.DUMMYFUNCTION("""COMPUTED_VALUE"""),8886.37)</f>
        <v>8886.37</v>
      </c>
      <c r="AV27" s="232">
        <f>IFERROR(__xludf.DUMMYFUNCTION("""COMPUTED_VALUE"""),6.0)</f>
        <v>6</v>
      </c>
      <c r="AW27" s="190">
        <f>IFERROR(__xludf.DUMMYFUNCTION("""COMPUTED_VALUE"""),53318.22)</f>
        <v>53318.22</v>
      </c>
      <c r="AX27" s="190">
        <f>IFERROR(__xludf.DUMMYFUNCTION("""COMPUTED_VALUE"""),0.0)</f>
        <v>0</v>
      </c>
      <c r="AY27" s="190">
        <f>IFERROR(__xludf.DUMMYFUNCTION("""COMPUTED_VALUE"""),8886.37)</f>
        <v>8886.37</v>
      </c>
      <c r="AZ27" s="190">
        <f>IFERROR(__xludf.DUMMYFUNCTION("""COMPUTED_VALUE"""),8886.37)</f>
        <v>8886.37</v>
      </c>
      <c r="BA27" s="190">
        <f>IFERROR(__xludf.DUMMYFUNCTION("""COMPUTED_VALUE"""),0.0)</f>
        <v>0</v>
      </c>
      <c r="BB27" s="180" t="str">
        <f>IFERROR(__xludf.DUMMYFUNCTION("""COMPUTED_VALUE"""),"CD-5228/2020")</f>
        <v>CD-5228/2020</v>
      </c>
      <c r="BC27" s="232">
        <f>IFERROR(__xludf.DUMMYFUNCTION("""COMPUTED_VALUE"""),1.51132022236912E14)</f>
        <v>151132022236912</v>
      </c>
      <c r="BD27" s="180" t="str">
        <f>IFERROR(__xludf.DUMMYFUNCTION("""COMPUTED_VALUE"""),"Sim")</f>
        <v>Sim</v>
      </c>
      <c r="BE27" s="180" t="str">
        <f>IFERROR(__xludf.DUMMYFUNCTION("""COMPUTED_VALUE"""),"Sim")</f>
        <v>Sim</v>
      </c>
      <c r="BF27" s="180"/>
      <c r="BG27" s="180"/>
      <c r="BH27" s="233">
        <f>IFERROR(__xludf.DUMMYFUNCTION("""COMPUTED_VALUE"""),300000.0)</f>
        <v>300000</v>
      </c>
      <c r="BI27" s="180" t="str">
        <f>IFERROR(__xludf.DUMMYFUNCTION("""COMPUTED_VALUE"""),"Alta")</f>
        <v>Alta</v>
      </c>
      <c r="BJ27" s="180"/>
      <c r="BK27" s="180" t="str">
        <f>IFERROR(__xludf.DUMMYFUNCTION("""COMPUTED_VALUE"""),"ano")</f>
        <v>ano</v>
      </c>
      <c r="BL27" s="180"/>
      <c r="BM27" s="180" t="str">
        <f>IFERROR(__xludf.DUMMYFUNCTION("""COMPUTED_VALUE"""),"PROR")</f>
        <v>PROR</v>
      </c>
      <c r="BN27" s="189">
        <f>IFERROR(__xludf.DUMMYFUNCTION("""COMPUTED_VALUE"""),44578.0)</f>
        <v>44578</v>
      </c>
      <c r="BO27" s="189">
        <f>IFERROR(__xludf.DUMMYFUNCTION("""COMPUTED_VALUE"""),44609.0)</f>
        <v>44609</v>
      </c>
      <c r="BP27" s="190"/>
      <c r="BQ27" s="190">
        <f>IFERROR(__xludf.DUMMYFUNCTION("""COMPUTED_VALUE"""),8886.37)</f>
        <v>8886.37</v>
      </c>
      <c r="BR27" s="190">
        <f>IFERROR(__xludf.DUMMYFUNCTION("""COMPUTED_VALUE"""),8886.37)</f>
        <v>8886.37</v>
      </c>
      <c r="BS27" s="190">
        <f>IFERROR(__xludf.DUMMYFUNCTION("""COMPUTED_VALUE"""),8886.37)</f>
        <v>8886.37</v>
      </c>
      <c r="BT27" s="190">
        <f>IFERROR(__xludf.DUMMYFUNCTION("""COMPUTED_VALUE"""),106636.44)</f>
        <v>106636.44</v>
      </c>
      <c r="BU27" s="180" t="str">
        <f>IFERROR(__xludf.DUMMYFUNCTION("""COMPUTED_VALUE"""),"Manutenção e conservação de equipamentos de TIC")</f>
        <v>Manutenção e conservação de equipamentos de TIC</v>
      </c>
      <c r="BV27" s="180"/>
      <c r="BW27" s="180"/>
      <c r="BX27" s="180"/>
      <c r="BY27" s="180"/>
      <c r="BZ27" s="189"/>
      <c r="CA27" s="180"/>
      <c r="CB27" s="180" t="str">
        <f>IFERROR(__xludf.DUMMYFUNCTION("""COMPUTED_VALUE"""),"Apreciação de Causas na Justiça do Trabalho")</f>
        <v>Apreciação de Causas na Justiça do Trabalho</v>
      </c>
      <c r="CC27" s="180" t="str">
        <f>IFERROR(__xludf.DUMMYFUNCTION("""COMPUTED_VALUE""")," - ")</f>
        <v> - </v>
      </c>
      <c r="CD27" s="180" t="str">
        <f>IFERROR(__xludf.DUMMYFUNCTION("""COMPUTED_VALUE"""),"SERVIÇOS DE TECNOLOGIA DA INFORMAÇÃO E COMUNICAÇÃO - TIC")</f>
        <v>SERVIÇOS DE TECNOLOGIA DA INFORMAÇÃO E COMUNICAÇÃO - TIC</v>
      </c>
      <c r="CE27" s="180"/>
      <c r="CF27" s="180" t="str">
        <f>IFERROR(__xludf.DUMMYFUNCTION("""COMPUTED_VALUE"""),"MANUTENÇÃO E CONSERVAÇÃO DE EQUIPAMENTOS DE TIC")</f>
        <v>MANUTENÇÃO E CONSERVAÇÃO DE EQUIPAMENTOS DE TIC</v>
      </c>
      <c r="CG27" s="189"/>
      <c r="CH27" s="189">
        <f>IFERROR(__xludf.DUMMYFUNCTION("""COMPUTED_VALUE"""),44974.0)</f>
        <v>44974</v>
      </c>
      <c r="CI27" s="180" t="str">
        <f>IFERROR(__xludf.DUMMYFUNCTION("""COMPUTED_VALUE"""),"PROR")</f>
        <v>PROR</v>
      </c>
      <c r="CJ27" s="190">
        <f>IFERROR(__xludf.DUMMYFUNCTION("""COMPUTED_VALUE"""),99885.0)</f>
        <v>99885</v>
      </c>
      <c r="CK27" s="189">
        <f>IFERROR(__xludf.DUMMYFUNCTION("""COMPUTED_VALUE"""),44609.0)</f>
        <v>44609</v>
      </c>
      <c r="CL27" s="180" t="str">
        <f>IFERROR(__xludf.DUMMYFUNCTION("""COMPUTED_VALUE"""),"PROR")</f>
        <v>PROR</v>
      </c>
      <c r="CM27" s="180" t="str">
        <f>IFERROR(__xludf.DUMMYFUNCTION("""COMPUTED_VALUE"""),"x")</f>
        <v>x</v>
      </c>
      <c r="CN27" s="180" t="str">
        <f>IFERROR(__xludf.DUMMYFUNCTION("""COMPUTED_VALUE"""),"CD-5228/2020")</f>
        <v>CD-5228/2020</v>
      </c>
      <c r="CO27" s="234" t="str">
        <f>IFERROR(__xludf.DUMMYFUNCTION("""COMPUTED_VALUE"""),"https://www.trt12.jus.br/proad/pages/fichadoprocesso.xhtml?numeroProtocolo=5228&amp;numeroAno=2020&amp;tab=tabFichaDocumento")</f>
        <v>https://www.trt12.jus.br/proad/pages/fichadoprocesso.xhtml?numeroProtocolo=5228&amp;numeroAno=2020&amp;tab=tabFichaDocumento</v>
      </c>
      <c r="CP27" s="180"/>
      <c r="CQ27" s="180"/>
      <c r="CR27" s="180" t="str">
        <f>IFERROR(__xludf.DUMMYFUNCTION("""COMPUTED_VALUE"""),"GND3")</f>
        <v>GND3</v>
      </c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</row>
    <row r="28">
      <c r="A28" s="230">
        <f>IFERROR(__xludf.DUMMYFUNCTION("""COMPUTED_VALUE"""),15315.0)</f>
        <v>15315</v>
      </c>
      <c r="B28" s="230">
        <f>IFERROR(__xludf.DUMMYFUNCTION("""COMPUTED_VALUE"""),0.0)</f>
        <v>0</v>
      </c>
      <c r="C28" s="180" t="str">
        <f>IFERROR(__xludf.DUMMYFUNCTION("""COMPUTED_VALUE"""),"CERTIFICADOS PF - Aquisição de certificados digitais (tokens) para pessoa física, para todo o Estado")</f>
        <v>CERTIFICADOS PF - Aquisição de certificados digitais (tokens) para pessoa física, para todo o Estado</v>
      </c>
      <c r="D28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28" s="180" t="str">
        <f>IFERROR(__xludf.DUMMYFUNCTION("""COMPUTED_VALUE"""),"EJ05 - APERFEIÇOAR A GOVERNANÇA E A GESTÃO")</f>
        <v>EJ05 - APERFEIÇOAR A GOVERNANÇA E A GESTÃO</v>
      </c>
      <c r="F28" s="180" t="str">
        <f>IFERROR(__xludf.DUMMYFUNCTION("""COMPUTED_VALUE"""),"Contratação de serviços de suporte à microinformática")</f>
        <v>Contratação de serviços de suporte à microinformática</v>
      </c>
      <c r="G28" s="180" t="str">
        <f>IFERROR(__xludf.DUMMYFUNCTION("""COMPUTED_VALUE"""),"(ID PAAC 15315) CERTIFICADOS PF - Aquisição de certificados digitais (tokens) para pessoa física, para todo o Estado")</f>
        <v>(ID PAAC 15315) CERTIFICADOS PF - Aquisição de certificados digitais (tokens) para pessoa física, para todo o Estado</v>
      </c>
      <c r="H28" s="180" t="str">
        <f>IFERROR(__xludf.DUMMYFUNCTION("""COMPUTED_VALUE"""),"Imediato")</f>
        <v>Imediato</v>
      </c>
      <c r="I28" s="180" t="str">
        <f>IFERROR(__xludf.DUMMYFUNCTION("""COMPUTED_VALUE"""),"SETIC")</f>
        <v>SETIC</v>
      </c>
      <c r="J28" s="180" t="str">
        <f>IFERROR(__xludf.DUMMYFUNCTION("""COMPUTED_VALUE"""),"SETIC")</f>
        <v>SETIC</v>
      </c>
      <c r="K28" s="180" t="str">
        <f>IFERROR(__xludf.DUMMYFUNCTION("""COMPUTED_VALUE"""),"GND3")</f>
        <v>GND3</v>
      </c>
      <c r="L28" s="231">
        <f>IFERROR(__xludf.DUMMYFUNCTION("""COMPUTED_VALUE"""),0.0)</f>
        <v>0</v>
      </c>
      <c r="M28" s="232">
        <f>IFERROR(__xludf.DUMMYFUNCTION("""COMPUTED_VALUE"""),3.3904023E7)</f>
        <v>33904023</v>
      </c>
      <c r="N28" s="232">
        <f>IFERROR(__xludf.DUMMYFUNCTION("""COMPUTED_VALUE"""),0.0)</f>
        <v>0</v>
      </c>
      <c r="O28" s="230">
        <f>IFERROR(__xludf.DUMMYFUNCTION("""COMPUTED_VALUE"""),168105.0)</f>
        <v>168105</v>
      </c>
      <c r="P28" s="180" t="str">
        <f>IFERROR(__xludf.DUMMYFUNCTION("""COMPUTED_VALUE"""),"Não")</f>
        <v>Não</v>
      </c>
      <c r="Q28" s="180" t="str">
        <f>IFERROR(__xludf.DUMMYFUNCTION("""COMPUTED_VALUE"""),"1 - Imprescindível")</f>
        <v>1 - Imprescindível</v>
      </c>
      <c r="R28" s="180" t="str">
        <f>IFERROR(__xludf.DUMMYFUNCTION("""COMPUTED_VALUE"""),"1 - Selecionado")</f>
        <v>1 - Selecionado</v>
      </c>
      <c r="S28" s="180"/>
      <c r="T28" s="180"/>
      <c r="U28" s="180" t="str">
        <f>IFERROR(__xludf.DUMMYFUNCTION("""COMPUTED_VALUE"""),"02 - DOD emitido")</f>
        <v>02 - DOD emitido</v>
      </c>
      <c r="V28" s="180" t="str">
        <f>IFERROR(__xludf.DUMMYFUNCTION("""COMPUTED_VALUE"""),"2836/2022")</f>
        <v>2836/2022</v>
      </c>
      <c r="W28" s="180" t="str">
        <f>IFERROR(__xludf.DUMMYFUNCTION("""COMPUTED_VALUE"""),"4057/2020")</f>
        <v>4057/2020</v>
      </c>
      <c r="X28" s="180" t="str">
        <f>IFERROR(__xludf.DUMMYFUNCTION("""COMPUTED_VALUE"""),"SETIC")</f>
        <v>SETIC</v>
      </c>
      <c r="Y28" s="180" t="str">
        <f>IFERROR(__xludf.DUMMYFUNCTION("""COMPUTED_VALUE"""),"PROR")</f>
        <v>PROR</v>
      </c>
      <c r="Z28" s="180" t="str">
        <f>IFERROR(__xludf.DUMMYFUNCTION("""COMPUTED_VALUE"""),"PRE")</f>
        <v>PRE</v>
      </c>
      <c r="AA28" s="180" t="str">
        <f>IFERROR(__xludf.DUMMYFUNCTION("""COMPUTED_VALUE"""),"PRE-4057/2020")</f>
        <v>PRE-4057/2020</v>
      </c>
      <c r="AB28" s="230">
        <f>IFERROR(__xludf.DUMMYFUNCTION("""COMPUTED_VALUE"""),1.554285000175E12)</f>
        <v>1554285000175</v>
      </c>
      <c r="AC28" s="180" t="str">
        <f>IFERROR(__xludf.DUMMYFUNCTION("""COMPUTED_VALUE"""),"CERTISIGN CERTIFICADORA DIGITAL S.A")</f>
        <v>CERTISIGN CERTIFICADORA DIGITAL S.A</v>
      </c>
      <c r="AD28" s="189">
        <f>IFERROR(__xludf.DUMMYFUNCTION("""COMPUTED_VALUE"""),44710.0)</f>
        <v>44710</v>
      </c>
      <c r="AE28" s="189">
        <f>IFERROR(__xludf.DUMMYFUNCTION("""COMPUTED_VALUE"""),44800.0)</f>
        <v>44800</v>
      </c>
      <c r="AF28" s="180" t="str">
        <f>IFERROR(__xludf.DUMMYFUNCTION("""COMPUTED_VALUE"""),"Lis Pavin Nemmen
Assistente Chefe de Setor")</f>
        <v>Lis Pavin Nemmen
Assistente Chefe de Setor</v>
      </c>
      <c r="AG28" s="233">
        <f>IFERROR(__xludf.DUMMYFUNCTION("""COMPUTED_VALUE"""),1.0)</f>
        <v>1</v>
      </c>
      <c r="AH28" s="190">
        <f>IFERROR(__xludf.DUMMYFUNCTION("""COMPUTED_VALUE"""),42020.0)</f>
        <v>42020</v>
      </c>
      <c r="AI28" s="180" t="str">
        <f>IFERROR(__xludf.DUMMYFUNCTION("""COMPUTED_VALUE"""),"Não")</f>
        <v>Não</v>
      </c>
      <c r="AJ28" s="190"/>
      <c r="AK28" s="180"/>
      <c r="AL28" s="180"/>
      <c r="AM28" s="180"/>
      <c r="AN28" s="190">
        <f>IFERROR(__xludf.DUMMYFUNCTION("""COMPUTED_VALUE"""),0.0)</f>
        <v>0</v>
      </c>
      <c r="AO28" s="190">
        <f>IFERROR(__xludf.DUMMYFUNCTION("""COMPUTED_VALUE"""),42020.0)</f>
        <v>42020</v>
      </c>
      <c r="AP28" s="180" t="str">
        <f>IFERROR(__xludf.DUMMYFUNCTION("""COMPUTED_VALUE"""),"2022NE000237")</f>
        <v>2022NE000237</v>
      </c>
      <c r="AQ28" s="190">
        <f>IFERROR(__xludf.DUMMYFUNCTION("""COMPUTED_VALUE"""),42020.0)</f>
        <v>42020</v>
      </c>
      <c r="AR28" s="190">
        <f>IFERROR(__xludf.DUMMYFUNCTION("""COMPUTED_VALUE"""),42020.0)</f>
        <v>42020</v>
      </c>
      <c r="AS28" s="180"/>
      <c r="AT28" s="190">
        <f>IFERROR(__xludf.DUMMYFUNCTION("""COMPUTED_VALUE"""),42020.0)</f>
        <v>42020</v>
      </c>
      <c r="AU28" s="190"/>
      <c r="AV28" s="232">
        <f>IFERROR(__xludf.DUMMYFUNCTION("""COMPUTED_VALUE"""),0.0)</f>
        <v>0</v>
      </c>
      <c r="AW28" s="190">
        <f>IFERROR(__xludf.DUMMYFUNCTION("""COMPUTED_VALUE"""),0.0)</f>
        <v>0</v>
      </c>
      <c r="AX28" s="190">
        <f>IFERROR(__xludf.DUMMYFUNCTION("""COMPUTED_VALUE"""),0.0)</f>
        <v>0</v>
      </c>
      <c r="AY28" s="190">
        <f>IFERROR(__xludf.DUMMYFUNCTION("""COMPUTED_VALUE"""),6375.0)</f>
        <v>6375</v>
      </c>
      <c r="AZ28" s="190">
        <f>IFERROR(__xludf.DUMMYFUNCTION("""COMPUTED_VALUE"""),4055.0)</f>
        <v>4055</v>
      </c>
      <c r="BA28" s="190">
        <f>IFERROR(__xludf.DUMMYFUNCTION("""COMPUTED_VALUE"""),2320.0)</f>
        <v>2320</v>
      </c>
      <c r="BB28" s="180" t="str">
        <f>IFERROR(__xludf.DUMMYFUNCTION("""COMPUTED_VALUE"""),"PRE-4057/2020")</f>
        <v>PRE-4057/2020</v>
      </c>
      <c r="BC28" s="232">
        <f>IFERROR(__xludf.DUMMYFUNCTION("""COMPUTED_VALUE"""),1.51132022236951E14)</f>
        <v>151132022236951</v>
      </c>
      <c r="BD28" s="180" t="str">
        <f>IFERROR(__xludf.DUMMYFUNCTION("""COMPUTED_VALUE"""),"Sim")</f>
        <v>Sim</v>
      </c>
      <c r="BE28" s="180" t="str">
        <f>IFERROR(__xludf.DUMMYFUNCTION("""COMPUTED_VALUE"""),"Sim")</f>
        <v>Sim</v>
      </c>
      <c r="BF28" s="180"/>
      <c r="BG28" s="180"/>
      <c r="BH28" s="233">
        <f>IFERROR(__xludf.DUMMYFUNCTION("""COMPUTED_VALUE"""),300000.0)</f>
        <v>300000</v>
      </c>
      <c r="BI28" s="180" t="str">
        <f>IFERROR(__xludf.DUMMYFUNCTION("""COMPUTED_VALUE"""),"Alta")</f>
        <v>Alta</v>
      </c>
      <c r="BJ28" s="180"/>
      <c r="BK28" s="180" t="str">
        <f>IFERROR(__xludf.DUMMYFUNCTION("""COMPUTED_VALUE"""),"unidade")</f>
        <v>unidade</v>
      </c>
      <c r="BL28" s="180" t="str">
        <f>IFERROR(__xludf.DUMMYFUNCTION("""COMPUTED_VALUE"""),"P. Eletrônico")</f>
        <v>P. Eletrônico</v>
      </c>
      <c r="BM28" s="180" t="str">
        <f>IFERROR(__xludf.DUMMYFUNCTION("""COMPUTED_VALUE"""),"PROR")</f>
        <v>PROR</v>
      </c>
      <c r="BN28" s="189"/>
      <c r="BO28" s="189"/>
      <c r="BP28" s="190"/>
      <c r="BQ28" s="190"/>
      <c r="BR28" s="190"/>
      <c r="BS28" s="190">
        <f>IFERROR(__xludf.DUMMYFUNCTION("""COMPUTED_VALUE"""),42020.0)</f>
        <v>42020</v>
      </c>
      <c r="BT28" s="190">
        <f>IFERROR(__xludf.DUMMYFUNCTION("""COMPUTED_VALUE"""),42020.0)</f>
        <v>42020</v>
      </c>
      <c r="BU28" s="180" t="str">
        <f>IFERROR(__xludf.DUMMYFUNCTION("""COMPUTED_VALUE"""),"Emissão de Certificados Digitais")</f>
        <v>Emissão de Certificados Digitais</v>
      </c>
      <c r="BV28" s="180"/>
      <c r="BW28" s="180"/>
      <c r="BX28" s="180"/>
      <c r="BY28" s="180"/>
      <c r="BZ28" s="189"/>
      <c r="CA28" s="180"/>
      <c r="CB28" s="180" t="str">
        <f>IFERROR(__xludf.DUMMYFUNCTION("""COMPUTED_VALUE"""),"Apreciação de Causas na Justiça do Trabalho")</f>
        <v>Apreciação de Causas na Justiça do Trabalho</v>
      </c>
      <c r="CC28" s="180" t="str">
        <f>IFERROR(__xludf.DUMMYFUNCTION("""COMPUTED_VALUE""")," - ")</f>
        <v> - </v>
      </c>
      <c r="CD28" s="180" t="str">
        <f>IFERROR(__xludf.DUMMYFUNCTION("""COMPUTED_VALUE"""),"SERVIÇOS DE TECNOLOGIA DA INFORMAÇÃO E COMUNICAÇÃO - TIC")</f>
        <v>SERVIÇOS DE TECNOLOGIA DA INFORMAÇÃO E COMUNICAÇÃO - TIC</v>
      </c>
      <c r="CE28" s="180"/>
      <c r="CF28" s="180" t="str">
        <f>IFERROR(__xludf.DUMMYFUNCTION("""COMPUTED_VALUE"""),"EMISSÃO DE CERTIFICADOS DIGITAIS")</f>
        <v>EMISSÃO DE CERTIFICADOS DIGITAIS</v>
      </c>
      <c r="CG28" s="189"/>
      <c r="CH28" s="189">
        <f>IFERROR(__xludf.DUMMYFUNCTION("""COMPUTED_VALUE"""),45165.0)</f>
        <v>45165</v>
      </c>
      <c r="CI28" s="180" t="str">
        <f>IFERROR(__xludf.DUMMYFUNCTION("""COMPUTED_VALUE"""),"PROR")</f>
        <v>PROR</v>
      </c>
      <c r="CJ28" s="190">
        <f>IFERROR(__xludf.DUMMYFUNCTION("""COMPUTED_VALUE"""),42020.0)</f>
        <v>42020</v>
      </c>
      <c r="CK28" s="189">
        <f>IFERROR(__xludf.DUMMYFUNCTION("""COMPUTED_VALUE"""),44800.0)</f>
        <v>44800</v>
      </c>
      <c r="CL28" s="180" t="str">
        <f>IFERROR(__xludf.DUMMYFUNCTION("""COMPUTED_VALUE"""),"PROR")</f>
        <v>PROR</v>
      </c>
      <c r="CM28" s="180" t="str">
        <f>IFERROR(__xludf.DUMMYFUNCTION("""COMPUTED_VALUE"""),"x")</f>
        <v>x</v>
      </c>
      <c r="CN28" s="180" t="str">
        <f>IFERROR(__xludf.DUMMYFUNCTION("""COMPUTED_VALUE"""),"PRE-4057/2020")</f>
        <v>PRE-4057/2020</v>
      </c>
      <c r="CO28" s="180"/>
      <c r="CP28" s="180"/>
      <c r="CQ28" s="180"/>
      <c r="CR28" s="180" t="str">
        <f>IFERROR(__xludf.DUMMYFUNCTION("""COMPUTED_VALUE"""),"GND3")</f>
        <v>GND3</v>
      </c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</row>
    <row r="29">
      <c r="A29" s="230">
        <f>IFERROR(__xludf.DUMMYFUNCTION("""COMPUTED_VALUE"""),15327.0)</f>
        <v>15327</v>
      </c>
      <c r="B29" s="230">
        <f>IFERROR(__xludf.DUMMYFUNCTION("""COMPUTED_VALUE"""),0.0)</f>
        <v>0</v>
      </c>
      <c r="C29" s="180" t="str">
        <f>IFERROR(__xludf.DUMMYFUNCTION("""COMPUTED_VALUE"""),"SWITCHES EQUIPAMENTOS - Ampliação da capacidade da rede SAN, que conecta os equipamentos servidores e sistema de backup às unidades de armazenamento.")</f>
        <v>SWITCHES EQUIPAMENTOS - Ampliação da capacidade da rede SAN, que conecta os equipamentos servidores e sistema de backup às unidades de armazenamento.</v>
      </c>
      <c r="D29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29" s="180" t="str">
        <f>IFERROR(__xludf.DUMMYFUNCTION("""COMPUTED_VALUE"""),"EJ07 - APRIMORAR A SEGURANÇA DA INFORMAÇÃO E A GESTÃO DE DADOS")</f>
        <v>EJ07 - APRIMORAR A SEGURANÇA DA INFORMAÇÃO E A GESTÃO DE DADOS</v>
      </c>
      <c r="F29" s="180" t="str">
        <f>IFERROR(__xludf.DUMMYFUNCTION("""COMPUTED_VALUE"""),"Aquisição de bens de infraestrutura tecnológica")</f>
        <v>Aquisição de bens de infraestrutura tecnológica</v>
      </c>
      <c r="G29" s="180" t="str">
        <f>IFERROR(__xludf.DUMMYFUNCTION("""COMPUTED_VALUE"""),"(ID PAAC 15327) SWITCHES EQUIPAMENTOS - Ampliação da capacidade da rede SAN, que conecta os equipamentos servidores e sistema de backup às unidades de armazenamento.")</f>
        <v>(ID PAAC 15327) SWITCHES EQUIPAMENTOS - Ampliação da capacidade da rede SAN, que conecta os equipamentos servidores e sistema de backup às unidades de armazenamento.</v>
      </c>
      <c r="H29" s="180" t="str">
        <f>IFERROR(__xludf.DUMMYFUNCTION("""COMPUTED_VALUE"""),"Imediato")</f>
        <v>Imediato</v>
      </c>
      <c r="I29" s="180" t="str">
        <f>IFERROR(__xludf.DUMMYFUNCTION("""COMPUTED_VALUE"""),"SETIC")</f>
        <v>SETIC</v>
      </c>
      <c r="J29" s="180" t="str">
        <f>IFERROR(__xludf.DUMMYFUNCTION("""COMPUTED_VALUE"""),"SETIC")</f>
        <v>SETIC</v>
      </c>
      <c r="K29" s="180" t="str">
        <f>IFERROR(__xludf.DUMMYFUNCTION("""COMPUTED_VALUE"""),"GND4")</f>
        <v>GND4</v>
      </c>
      <c r="L29" s="231">
        <f>IFERROR(__xludf.DUMMYFUNCTION("""COMPUTED_VALUE"""),0.0)</f>
        <v>0</v>
      </c>
      <c r="M29" s="232">
        <f>IFERROR(__xludf.DUMMYFUNCTION("""COMPUTED_VALUE"""),4.4905247E7)</f>
        <v>44905247</v>
      </c>
      <c r="N29" s="232">
        <f>IFERROR(__xludf.DUMMYFUNCTION("""COMPUTED_VALUE"""),0.0)</f>
        <v>0</v>
      </c>
      <c r="O29" s="230">
        <f>IFERROR(__xludf.DUMMYFUNCTION("""COMPUTED_VALUE"""),168105.0)</f>
        <v>168105</v>
      </c>
      <c r="P29" s="180" t="str">
        <f>IFERROR(__xludf.DUMMYFUNCTION("""COMPUTED_VALUE"""),"Não")</f>
        <v>Não</v>
      </c>
      <c r="Q29" s="180" t="str">
        <f>IFERROR(__xludf.DUMMYFUNCTION("""COMPUTED_VALUE"""),"1 - Imprescindível")</f>
        <v>1 - Imprescindível</v>
      </c>
      <c r="R29" s="180" t="str">
        <f>IFERROR(__xludf.DUMMYFUNCTION("""COMPUTED_VALUE"""),"1 - Selecionado")</f>
        <v>1 - Selecionado</v>
      </c>
      <c r="S29" s="180"/>
      <c r="T29" s="180" t="str">
        <f>IFERROR(__xludf.DUMMYFUNCTION("""COMPUTED_VALUE"""),"Transferido de 2021 para 2022")</f>
        <v>Transferido de 2021 para 2022</v>
      </c>
      <c r="U29" s="180" t="str">
        <f>IFERROR(__xludf.DUMMYFUNCTION("""COMPUTED_VALUE"""),"02 - DOD emitido")</f>
        <v>02 - DOD emitido</v>
      </c>
      <c r="V29" s="180" t="str">
        <f>IFERROR(__xludf.DUMMYFUNCTION("""COMPUTED_VALUE"""),"9109/2021")</f>
        <v>9109/2021</v>
      </c>
      <c r="W29" s="180"/>
      <c r="X29" s="180" t="str">
        <f>IFERROR(__xludf.DUMMYFUNCTION("""COMPUTED_VALUE"""),"SEINFRA")</f>
        <v>SEINFRA</v>
      </c>
      <c r="Y29" s="180" t="str">
        <f>IFERROR(__xludf.DUMMYFUNCTION("""COMPUTED_VALUE"""),"PRE")</f>
        <v>PRE</v>
      </c>
      <c r="Z29" s="180" t="str">
        <f>IFERROR(__xludf.DUMMYFUNCTION("""COMPUTED_VALUE"""),"PRE")</f>
        <v>PRE</v>
      </c>
      <c r="AA29" s="180"/>
      <c r="AB29" s="230"/>
      <c r="AC29" s="180" t="str">
        <f>IFERROR(__xludf.DUMMYFUNCTION("""COMPUTED_VALUE"""),"#N/A")</f>
        <v>#N/A</v>
      </c>
      <c r="AD29" s="189">
        <f>IFERROR(__xludf.DUMMYFUNCTION("""COMPUTED_VALUE"""),44695.0)</f>
        <v>44695</v>
      </c>
      <c r="AE29" s="189">
        <f>IFERROR(__xludf.DUMMYFUNCTION("""COMPUTED_VALUE"""),44805.0)</f>
        <v>44805</v>
      </c>
      <c r="AF29" s="180" t="str">
        <f>IFERROR(__xludf.DUMMYFUNCTION("""COMPUTED_VALUE"""),"Anderson Bastos
Diretor do SEINFRA")</f>
        <v>Anderson Bastos
Diretor do SEINFRA</v>
      </c>
      <c r="AG29" s="233">
        <f>IFERROR(__xludf.DUMMYFUNCTION("""COMPUTED_VALUE"""),2.0)</f>
        <v>2</v>
      </c>
      <c r="AH29" s="190">
        <f>IFERROR(__xludf.DUMMYFUNCTION("""COMPUTED_VALUE"""),180000.0)</f>
        <v>180000</v>
      </c>
      <c r="AI29" s="180" t="str">
        <f>IFERROR(__xludf.DUMMYFUNCTION("""COMPUTED_VALUE"""),"Não")</f>
        <v>Não</v>
      </c>
      <c r="AJ29" s="190">
        <f>IFERROR(__xludf.DUMMYFUNCTION("""COMPUTED_VALUE"""),331400.0)</f>
        <v>331400</v>
      </c>
      <c r="AK29" s="180"/>
      <c r="AL29" s="180"/>
      <c r="AM29" s="180"/>
      <c r="AN29" s="190">
        <f>IFERROR(__xludf.DUMMYFUNCTION("""COMPUTED_VALUE"""),0.0)</f>
        <v>0</v>
      </c>
      <c r="AO29" s="190">
        <f>IFERROR(__xludf.DUMMYFUNCTION("""COMPUTED_VALUE"""),360000.0)</f>
        <v>360000</v>
      </c>
      <c r="AP29" s="180"/>
      <c r="AQ29" s="190">
        <f>IFERROR(__xludf.DUMMYFUNCTION("""COMPUTED_VALUE"""),0.0)</f>
        <v>0</v>
      </c>
      <c r="AR29" s="190">
        <f>IFERROR(__xludf.DUMMYFUNCTION("""COMPUTED_VALUE"""),360000.0)</f>
        <v>360000</v>
      </c>
      <c r="AS29" s="180"/>
      <c r="AT29" s="190">
        <f>IFERROR(__xludf.DUMMYFUNCTION("""COMPUTED_VALUE"""),360000.0)</f>
        <v>360000</v>
      </c>
      <c r="AU29" s="190"/>
      <c r="AV29" s="232"/>
      <c r="AW29" s="190">
        <f>IFERROR(__xludf.DUMMYFUNCTION("""COMPUTED_VALUE"""),0.0)</f>
        <v>0</v>
      </c>
      <c r="AX29" s="190">
        <f>IFERROR(__xludf.DUMMYFUNCTION("""COMPUTED_VALUE"""),0.0)</f>
        <v>0</v>
      </c>
      <c r="AY29" s="190">
        <f>IFERROR(__xludf.DUMMYFUNCTION("""COMPUTED_VALUE"""),0.0)</f>
        <v>0</v>
      </c>
      <c r="AZ29" s="190">
        <f>IFERROR(__xludf.DUMMYFUNCTION("""COMPUTED_VALUE"""),0.0)</f>
        <v>0</v>
      </c>
      <c r="BA29" s="190">
        <f>IFERROR(__xludf.DUMMYFUNCTION("""COMPUTED_VALUE"""),0.0)</f>
        <v>0</v>
      </c>
      <c r="BB29" s="180"/>
      <c r="BC29" s="232"/>
      <c r="BD29" s="180" t="str">
        <f>IFERROR(__xludf.DUMMYFUNCTION("""COMPUTED_VALUE"""),"Sim")</f>
        <v>Sim</v>
      </c>
      <c r="BE29" s="180"/>
      <c r="BF29" s="180"/>
      <c r="BG29" s="180"/>
      <c r="BH29" s="233">
        <f>IFERROR(__xludf.DUMMYFUNCTION("""COMPUTED_VALUE"""),300000.0)</f>
        <v>300000</v>
      </c>
      <c r="BI29" s="180" t="str">
        <f>IFERROR(__xludf.DUMMYFUNCTION("""COMPUTED_VALUE"""),"Alta")</f>
        <v>Alta</v>
      </c>
      <c r="BJ29" s="180"/>
      <c r="BK29" s="180" t="str">
        <f>IFERROR(__xludf.DUMMYFUNCTION("""COMPUTED_VALUE"""),"unidade")</f>
        <v>unidade</v>
      </c>
      <c r="BL29" s="180"/>
      <c r="BM29" s="180" t="str">
        <f>IFERROR(__xludf.DUMMYFUNCTION("""COMPUTED_VALUE"""),"PRE")</f>
        <v>PRE</v>
      </c>
      <c r="BN29" s="189"/>
      <c r="BO29" s="189"/>
      <c r="BP29" s="190"/>
      <c r="BQ29" s="190"/>
      <c r="BR29" s="190"/>
      <c r="BS29" s="190">
        <f>IFERROR(__xludf.DUMMYFUNCTION("""COMPUTED_VALUE"""),360000.0)</f>
        <v>360000</v>
      </c>
      <c r="BT29" s="190">
        <f>IFERROR(__xludf.DUMMYFUNCTION("""COMPUTED_VALUE"""),360000.0)</f>
        <v>360000</v>
      </c>
      <c r="BU29" s="180" t="str">
        <f>IFERROR(__xludf.DUMMYFUNCTION("""COMPUTED_VALUE"""),"Equipamentos de TIC - telefonia")</f>
        <v>Equipamentos de TIC - telefonia</v>
      </c>
      <c r="BV29" s="180"/>
      <c r="BW29" s="180"/>
      <c r="BX29" s="180"/>
      <c r="BY29" s="180"/>
      <c r="BZ29" s="189"/>
      <c r="CA29" s="180"/>
      <c r="CB29" s="180" t="str">
        <f>IFERROR(__xludf.DUMMYFUNCTION("""COMPUTED_VALUE"""),"Apreciação de Causas na Justiça do Trabalho")</f>
        <v>Apreciação de Causas na Justiça do Trabalho</v>
      </c>
      <c r="CC29" s="180" t="str">
        <f>IFERROR(__xludf.DUMMYFUNCTION("""COMPUTED_VALUE""")," - ")</f>
        <v> - </v>
      </c>
      <c r="CD29" s="180" t="str">
        <f>IFERROR(__xludf.DUMMYFUNCTION("""COMPUTED_VALUE"""),"EQUIPAMENTOS E MATERIAL PERMANENTE")</f>
        <v>EQUIPAMENTOS E MATERIAL PERMANENTE</v>
      </c>
      <c r="CE29" s="180"/>
      <c r="CF29" s="180" t="str">
        <f>IFERROR(__xludf.DUMMYFUNCTION("""COMPUTED_VALUE"""),"EQUIPAMENTOS DE TIC - TELEFONIA")</f>
        <v>EQUIPAMENTOS DE TIC - TELEFONIA</v>
      </c>
      <c r="CG29" s="189">
        <f>IFERROR(__xludf.DUMMYFUNCTION("""COMPUTED_VALUE"""),45058.0)</f>
        <v>45058</v>
      </c>
      <c r="CH29" s="189">
        <f>IFERROR(__xludf.DUMMYFUNCTION("""COMPUTED_VALUE"""),45170.0)</f>
        <v>45170</v>
      </c>
      <c r="CI29" s="180" t="str">
        <f>IFERROR(__xludf.DUMMYFUNCTION("""COMPUTED_VALUE"""),"PRE")</f>
        <v>PRE</v>
      </c>
      <c r="CJ29" s="190"/>
      <c r="CK29" s="189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</row>
    <row r="30">
      <c r="A30" s="230">
        <f>IFERROR(__xludf.DUMMYFUNCTION("""COMPUTED_VALUE"""),15329.0)</f>
        <v>15329</v>
      </c>
      <c r="B30" s="230">
        <f>IFERROR(__xludf.DUMMYFUNCTION("""COMPUTED_VALUE"""),0.0)</f>
        <v>0</v>
      </c>
      <c r="C30" s="180" t="str">
        <f>IFERROR(__xludf.DUMMYFUNCTION("""COMPUTED_VALUE"""),"DRUPAL SUPORTE - Suporte técnico para o portal de internet e intranet do TRT12, em tecnologia DRUPAL 8")</f>
        <v>DRUPAL SUPORTE - Suporte técnico para o portal de internet e intranet do TRT12, em tecnologia DRUPAL 8</v>
      </c>
      <c r="D30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30" s="180" t="str">
        <f>IFERROR(__xludf.DUMMYFUNCTION("""COMPUTED_VALUE"""),"EJ05 - APERFEIÇOAR A GOVERNANÇA E A GESTÃO")</f>
        <v>EJ05 - APERFEIÇOAR A GOVERNANÇA E A GESTÃO</v>
      </c>
      <c r="F30" s="180" t="str">
        <f>IFERROR(__xludf.DUMMYFUNCTION("""COMPUTED_VALUE"""),"Contratação de serviços para o desenvolvimento e a sustentação de software")</f>
        <v>Contratação de serviços para o desenvolvimento e a sustentação de software</v>
      </c>
      <c r="G30" s="180" t="str">
        <f>IFERROR(__xludf.DUMMYFUNCTION("""COMPUTED_VALUE"""),"(ID PAAC 15329) DRUPAL SUPORTE - Suporte técnico para o portal de internet e intranet do TRT12, em tecnologia DRUPAL 8")</f>
        <v>(ID PAAC 15329) DRUPAL SUPORTE - Suporte técnico para o portal de internet e intranet do TRT12, em tecnologia DRUPAL 8</v>
      </c>
      <c r="H30" s="180" t="str">
        <f>IFERROR(__xludf.DUMMYFUNCTION("""COMPUTED_VALUE"""),"Continuado")</f>
        <v>Continuado</v>
      </c>
      <c r="I30" s="180" t="str">
        <f>IFERROR(__xludf.DUMMYFUNCTION("""COMPUTED_VALUE"""),"SETIC")</f>
        <v>SETIC</v>
      </c>
      <c r="J30" s="180" t="str">
        <f>IFERROR(__xludf.DUMMYFUNCTION("""COMPUTED_VALUE"""),"SETIC")</f>
        <v>SETIC</v>
      </c>
      <c r="K30" s="180" t="str">
        <f>IFERROR(__xludf.DUMMYFUNCTION("""COMPUTED_VALUE"""),"GND3")</f>
        <v>GND3</v>
      </c>
      <c r="L30" s="231">
        <f>IFERROR(__xludf.DUMMYFUNCTION("""COMPUTED_VALUE"""),0.0)</f>
        <v>0</v>
      </c>
      <c r="M30" s="232">
        <f>IFERROR(__xludf.DUMMYFUNCTION("""COMPUTED_VALUE"""),3.3903504E7)</f>
        <v>33903504</v>
      </c>
      <c r="N30" s="232">
        <f>IFERROR(__xludf.DUMMYFUNCTION("""COMPUTED_VALUE"""),0.0)</f>
        <v>0</v>
      </c>
      <c r="O30" s="230">
        <f>IFERROR(__xludf.DUMMYFUNCTION("""COMPUTED_VALUE"""),168105.0)</f>
        <v>168105</v>
      </c>
      <c r="P30" s="180" t="str">
        <f>IFERROR(__xludf.DUMMYFUNCTION("""COMPUTED_VALUE"""),"Não")</f>
        <v>Não</v>
      </c>
      <c r="Q30" s="180" t="str">
        <f>IFERROR(__xludf.DUMMYFUNCTION("""COMPUTED_VALUE"""),"2 - Importante")</f>
        <v>2 - Importante</v>
      </c>
      <c r="R30" s="180" t="str">
        <f>IFERROR(__xludf.DUMMYFUNCTION("""COMPUTED_VALUE"""),"1 - Selecionado")</f>
        <v>1 - Selecionado</v>
      </c>
      <c r="S30" s="180"/>
      <c r="T30" s="180"/>
      <c r="U30" s="180" t="str">
        <f>IFERROR(__xludf.DUMMYFUNCTION("""COMPUTED_VALUE"""),"02 - DOD emitido")</f>
        <v>02 - DOD emitido</v>
      </c>
      <c r="V30" s="180" t="str">
        <f>IFERROR(__xludf.DUMMYFUNCTION("""COMPUTED_VALUE"""),"12196/2021")</f>
        <v>12196/2021</v>
      </c>
      <c r="W30" s="180"/>
      <c r="X30" s="180" t="str">
        <f>IFERROR(__xludf.DUMMYFUNCTION("""COMPUTED_VALUE"""),"SEDES")</f>
        <v>SEDES</v>
      </c>
      <c r="Y30" s="180" t="str">
        <f>IFERROR(__xludf.DUMMYFUNCTION("""COMPUTED_VALUE"""),"PRE")</f>
        <v>PRE</v>
      </c>
      <c r="Z30" s="180" t="str">
        <f>IFERROR(__xludf.DUMMYFUNCTION("""COMPUTED_VALUE"""),"PRE")</f>
        <v>PRE</v>
      </c>
      <c r="AA30" s="180"/>
      <c r="AB30" s="230"/>
      <c r="AC30" s="180" t="str">
        <f>IFERROR(__xludf.DUMMYFUNCTION("""COMPUTED_VALUE"""),"#N/A")</f>
        <v>#N/A</v>
      </c>
      <c r="AD30" s="189">
        <f>IFERROR(__xludf.DUMMYFUNCTION("""COMPUTED_VALUE"""),44511.0)</f>
        <v>44511</v>
      </c>
      <c r="AE30" s="189">
        <f>IFERROR(__xludf.DUMMYFUNCTION("""COMPUTED_VALUE"""),44621.0)</f>
        <v>44621</v>
      </c>
      <c r="AF30" s="180" t="str">
        <f>IFERROR(__xludf.DUMMYFUNCTION("""COMPUTED_VALUE"""),"Carlos Eduardo Mazzi
Diretor do SEDES")</f>
        <v>Carlos Eduardo Mazzi
Diretor do SEDES</v>
      </c>
      <c r="AG30" s="233">
        <f>IFERROR(__xludf.DUMMYFUNCTION("""COMPUTED_VALUE"""),1.0)</f>
        <v>1</v>
      </c>
      <c r="AH30" s="190">
        <f>IFERROR(__xludf.DUMMYFUNCTION("""COMPUTED_VALUE"""),76800.0)</f>
        <v>76800</v>
      </c>
      <c r="AI30" s="180" t="str">
        <f>IFERROR(__xludf.DUMMYFUNCTION("""COMPUTED_VALUE"""),"Não")</f>
        <v>Não</v>
      </c>
      <c r="AJ30" s="190"/>
      <c r="AK30" s="180" t="str">
        <f>IFERROR(__xludf.DUMMYFUNCTION("""COMPUTED_VALUE"""),"Carlos Eduardo Mazzi")</f>
        <v>Carlos Eduardo Mazzi</v>
      </c>
      <c r="AL30" s="180"/>
      <c r="AM30" s="180"/>
      <c r="AN30" s="190">
        <f>IFERROR(__xludf.DUMMYFUNCTION("""COMPUTED_VALUE"""),1800.0)</f>
        <v>1800</v>
      </c>
      <c r="AO30" s="190">
        <f>IFERROR(__xludf.DUMMYFUNCTION("""COMPUTED_VALUE"""),75000.0)</f>
        <v>75000</v>
      </c>
      <c r="AP30" s="180"/>
      <c r="AQ30" s="190">
        <f>IFERROR(__xludf.DUMMYFUNCTION("""COMPUTED_VALUE"""),68250.0)</f>
        <v>68250</v>
      </c>
      <c r="AR30" s="190">
        <f>IFERROR(__xludf.DUMMYFUNCTION("""COMPUTED_VALUE"""),76800.0)</f>
        <v>76800</v>
      </c>
      <c r="AS30" s="180"/>
      <c r="AT30" s="190">
        <f>IFERROR(__xludf.DUMMYFUNCTION("""COMPUTED_VALUE"""),76800.0)</f>
        <v>76800</v>
      </c>
      <c r="AU30" s="190">
        <f>IFERROR(__xludf.DUMMYFUNCTION("""COMPUTED_VALUE"""),3069.07)</f>
        <v>3069.07</v>
      </c>
      <c r="AV30" s="232">
        <f>IFERROR(__xludf.DUMMYFUNCTION("""COMPUTED_VALUE"""),0.0)</f>
        <v>0</v>
      </c>
      <c r="AW30" s="190">
        <f>IFERROR(__xludf.DUMMYFUNCTION("""COMPUTED_VALUE"""),0.0)</f>
        <v>0</v>
      </c>
      <c r="AX30" s="190">
        <f>IFERROR(__xludf.DUMMYFUNCTION("""COMPUTED_VALUE"""),0.0)</f>
        <v>0</v>
      </c>
      <c r="AY30" s="190">
        <f>IFERROR(__xludf.DUMMYFUNCTION("""COMPUTED_VALUE"""),0.0)</f>
        <v>0</v>
      </c>
      <c r="AZ30" s="190">
        <f>IFERROR(__xludf.DUMMYFUNCTION("""COMPUTED_VALUE"""),0.0)</f>
        <v>0</v>
      </c>
      <c r="BA30" s="190">
        <f>IFERROR(__xludf.DUMMYFUNCTION("""COMPUTED_VALUE"""),0.0)</f>
        <v>0</v>
      </c>
      <c r="BB30" s="180"/>
      <c r="BC30" s="232">
        <f>IFERROR(__xludf.DUMMYFUNCTION("""COMPUTED_VALUE"""),1.51132022236911E14)</f>
        <v>151132022236911</v>
      </c>
      <c r="BD30" s="180" t="str">
        <f>IFERROR(__xludf.DUMMYFUNCTION("""COMPUTED_VALUE"""),"Sim")</f>
        <v>Sim</v>
      </c>
      <c r="BE30" s="180" t="str">
        <f>IFERROR(__xludf.DUMMYFUNCTION("""COMPUTED_VALUE"""),"Não")</f>
        <v>Não</v>
      </c>
      <c r="BF30" s="180"/>
      <c r="BG30" s="180"/>
      <c r="BH30" s="233">
        <f>IFERROR(__xludf.DUMMYFUNCTION("""COMPUTED_VALUE"""),200000.0)</f>
        <v>200000</v>
      </c>
      <c r="BI30" s="180" t="str">
        <f>IFERROR(__xludf.DUMMYFUNCTION("""COMPUTED_VALUE"""),"Média")</f>
        <v>Média</v>
      </c>
      <c r="BJ30" s="180"/>
      <c r="BK30" s="180" t="str">
        <f>IFERROR(__xludf.DUMMYFUNCTION("""COMPUTED_VALUE"""),"ano")</f>
        <v>ano</v>
      </c>
      <c r="BL30" s="180" t="str">
        <f>IFERROR(__xludf.DUMMYFUNCTION("""COMPUTED_VALUE"""),"P. Eletrônico")</f>
        <v>P. Eletrônico</v>
      </c>
      <c r="BM30" s="180" t="str">
        <f>IFERROR(__xludf.DUMMYFUNCTION("""COMPUTED_VALUE"""),"PRE")</f>
        <v>PRE</v>
      </c>
      <c r="BN30" s="189"/>
      <c r="BO30" s="189"/>
      <c r="BP30" s="190"/>
      <c r="BQ30" s="190"/>
      <c r="BR30" s="190"/>
      <c r="BS30" s="190">
        <f>IFERROR(__xludf.DUMMYFUNCTION("""COMPUTED_VALUE"""),76800.0)</f>
        <v>76800</v>
      </c>
      <c r="BT30" s="190">
        <f>IFERROR(__xludf.DUMMYFUNCTION("""COMPUTED_VALUE"""),76800.0)</f>
        <v>76800</v>
      </c>
      <c r="BU30" s="180" t="str">
        <f>IFERROR(__xludf.DUMMYFUNCTION("""COMPUTED_VALUE"""),"Consultoria em tecnologia da informação e comunicação")</f>
        <v>Consultoria em tecnologia da informação e comunicação</v>
      </c>
      <c r="BV30" s="180"/>
      <c r="BW30" s="180"/>
      <c r="BX30" s="180"/>
      <c r="BY30" s="180"/>
      <c r="BZ30" s="189"/>
      <c r="CA30" s="180"/>
      <c r="CB30" s="180" t="str">
        <f>IFERROR(__xludf.DUMMYFUNCTION("""COMPUTED_VALUE"""),"Apreciação de Causas na Justiça do Trabalho")</f>
        <v>Apreciação de Causas na Justiça do Trabalho</v>
      </c>
      <c r="CC30" s="180" t="str">
        <f>IFERROR(__xludf.DUMMYFUNCTION("""COMPUTED_VALUE""")," - ")</f>
        <v> - </v>
      </c>
      <c r="CD30" s="180" t="str">
        <f>IFERROR(__xludf.DUMMYFUNCTION("""COMPUTED_VALUE"""),"SERVIÇOS DE CONSULTORIA")</f>
        <v>SERVIÇOS DE CONSULTORIA</v>
      </c>
      <c r="CE30" s="180"/>
      <c r="CF30" s="180" t="str">
        <f>IFERROR(__xludf.DUMMYFUNCTION("""COMPUTED_VALUE"""),"CONSULTORIA EM TECNOLOGIA DA INFORMAÇÃO E COMUNICAÇÃO")</f>
        <v>CONSULTORIA EM TECNOLOGIA DA INFORMAÇÃO E COMUNICAÇÃO</v>
      </c>
      <c r="CG30" s="189">
        <f>IFERROR(__xludf.DUMMYFUNCTION("""COMPUTED_VALUE"""),44874.0)</f>
        <v>44874</v>
      </c>
      <c r="CH30" s="189">
        <f>IFERROR(__xludf.DUMMYFUNCTION("""COMPUTED_VALUE"""),44986.0)</f>
        <v>44986</v>
      </c>
      <c r="CI30" s="180" t="str">
        <f>IFERROR(__xludf.DUMMYFUNCTION("""COMPUTED_VALUE"""),"PRE")</f>
        <v>PRE</v>
      </c>
      <c r="CJ30" s="190">
        <f>IFERROR(__xludf.DUMMYFUNCTION("""COMPUTED_VALUE"""),65000.0)</f>
        <v>65000</v>
      </c>
      <c r="CK30" s="189">
        <f>IFERROR(__xludf.DUMMYFUNCTION("""COMPUTED_VALUE"""),44909.0)</f>
        <v>44909</v>
      </c>
      <c r="CL30" s="180" t="str">
        <f>IFERROR(__xludf.DUMMYFUNCTION("""COMPUTED_VALUE"""),"PROR")</f>
        <v>PROR</v>
      </c>
      <c r="CM30" s="180" t="str">
        <f>IFERROR(__xludf.DUMMYFUNCTION("""COMPUTED_VALUE"""),"x")</f>
        <v>x</v>
      </c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</row>
    <row r="31">
      <c r="A31" s="230">
        <f>IFERROR(__xludf.DUMMYFUNCTION("""COMPUTED_VALUE"""),15330.0)</f>
        <v>15330</v>
      </c>
      <c r="B31" s="230">
        <f>IFERROR(__xludf.DUMMYFUNCTION("""COMPUTED_VALUE"""),0.0)</f>
        <v>0</v>
      </c>
      <c r="C31" s="180" t="str">
        <f>IFERROR(__xludf.DUMMYFUNCTION("""COMPUTED_VALUE"""),"JT-FONE - Serviço de envio de mensagens SMS (JT-fone)")</f>
        <v>JT-FONE - Serviço de envio de mensagens SMS (JT-fone)</v>
      </c>
      <c r="D31" s="180" t="str">
        <f>IFERROR(__xludf.DUMMYFUNCTION("""COMPUTED_VALUE"""),"Aquisição de produto, peça de reposição, material de consumo e/ou de serviço não continuado de tecnologia da informação e telecomunicações desejável para a melhoria na prestação de serviços.
")</f>
        <v>Aquisição de produto, peça de reposição, material de consumo e/ou de serviço não continuado de tecnologia da informação e telecomunicações desejável para a melhoria na prestação de serviços.
</v>
      </c>
      <c r="E31" s="180" t="str">
        <f>IFERROR(__xludf.DUMMYFUNCTION("""COMPUTED_VALUE"""),"EJ04 - BUSCAR A INOVAÇÃO DE FORMA COLABORATIVA")</f>
        <v>EJ04 - BUSCAR A INOVAÇÃO DE FORMA COLABORATIVA</v>
      </c>
      <c r="F31" s="180" t="str">
        <f>IFERROR(__xludf.DUMMYFUNCTION("""COMPUTED_VALUE"""),"Contratação de serviços para o suporte à infraestrutura tecnológica")</f>
        <v>Contratação de serviços para o suporte à infraestrutura tecnológica</v>
      </c>
      <c r="G31" s="180" t="str">
        <f>IFERROR(__xludf.DUMMYFUNCTION("""COMPUTED_VALUE"""),"(ID PAAC 15330) JT-FONE - Serviço de envio de mensagens SMS (JT-fone)")</f>
        <v>(ID PAAC 15330) JT-FONE - Serviço de envio de mensagens SMS (JT-fone)</v>
      </c>
      <c r="H31" s="180" t="str">
        <f>IFERROR(__xludf.DUMMYFUNCTION("""COMPUTED_VALUE"""),"Imediato")</f>
        <v>Imediato</v>
      </c>
      <c r="I31" s="180" t="str">
        <f>IFERROR(__xludf.DUMMYFUNCTION("""COMPUTED_VALUE"""),"SETIC")</f>
        <v>SETIC</v>
      </c>
      <c r="J31" s="180" t="str">
        <f>IFERROR(__xludf.DUMMYFUNCTION("""COMPUTED_VALUE"""),"SETIC")</f>
        <v>SETIC</v>
      </c>
      <c r="K31" s="180" t="str">
        <f>IFERROR(__xludf.DUMMYFUNCTION("""COMPUTED_VALUE"""),"GND3")</f>
        <v>GND3</v>
      </c>
      <c r="L31" s="231">
        <f>IFERROR(__xludf.DUMMYFUNCTION("""COMPUTED_VALUE"""),0.0)</f>
        <v>0</v>
      </c>
      <c r="M31" s="232"/>
      <c r="N31" s="232">
        <f>IFERROR(__xludf.DUMMYFUNCTION("""COMPUTED_VALUE"""),0.0)</f>
        <v>0</v>
      </c>
      <c r="O31" s="230">
        <f>IFERROR(__xludf.DUMMYFUNCTION("""COMPUTED_VALUE"""),168105.0)</f>
        <v>168105</v>
      </c>
      <c r="P31" s="180" t="str">
        <f>IFERROR(__xludf.DUMMYFUNCTION("""COMPUTED_VALUE"""),"Não")</f>
        <v>Não</v>
      </c>
      <c r="Q31" s="180" t="str">
        <f>IFERROR(__xludf.DUMMYFUNCTION("""COMPUTED_VALUE"""),"3 - Desejável")</f>
        <v>3 - Desejável</v>
      </c>
      <c r="R31" s="180" t="str">
        <f>IFERROR(__xludf.DUMMYFUNCTION("""COMPUTED_VALUE"""),"4 - Cancelado")</f>
        <v>4 - Cancelado</v>
      </c>
      <c r="S31" s="180"/>
      <c r="T31" s="180" t="str">
        <f>IFERROR(__xludf.DUMMYFUNCTION("""COMPUTED_VALUE"""),"Transferido de 2021 para 2022")</f>
        <v>Transferido de 2021 para 2022</v>
      </c>
      <c r="U31" s="180" t="str">
        <f>IFERROR(__xludf.DUMMYFUNCTION("""COMPUTED_VALUE"""),"02 - DOD emitido")</f>
        <v>02 - DOD emitido</v>
      </c>
      <c r="V31" s="180" t="str">
        <f>IFERROR(__xludf.DUMMYFUNCTION("""COMPUTED_VALUE"""),"5595/2020")</f>
        <v>5595/2020</v>
      </c>
      <c r="W31" s="180"/>
      <c r="X31" s="180" t="str">
        <f>IFERROR(__xludf.DUMMYFUNCTION("""COMPUTED_VALUE"""),"SEINFRA")</f>
        <v>SEINFRA</v>
      </c>
      <c r="Y31" s="180" t="str">
        <f>IFERROR(__xludf.DUMMYFUNCTION("""COMPUTED_VALUE"""),"DISPENSA_PELO_VALOR")</f>
        <v>DISPENSA_PELO_VALOR</v>
      </c>
      <c r="Z31" s="180" t="str">
        <f>IFERROR(__xludf.DUMMYFUNCTION("""COMPUTED_VALUE"""),"CD")</f>
        <v>CD</v>
      </c>
      <c r="AA31" s="180"/>
      <c r="AB31" s="230"/>
      <c r="AC31" s="180" t="str">
        <f>IFERROR(__xludf.DUMMYFUNCTION("""COMPUTED_VALUE"""),"#N/A")</f>
        <v>#N/A</v>
      </c>
      <c r="AD31" s="189">
        <f>IFERROR(__xludf.DUMMYFUNCTION("""COMPUTED_VALUE"""),44856.0)</f>
        <v>44856</v>
      </c>
      <c r="AE31" s="189">
        <f>IFERROR(__xludf.DUMMYFUNCTION("""COMPUTED_VALUE"""),44866.0)</f>
        <v>44866</v>
      </c>
      <c r="AF31" s="180" t="str">
        <f>IFERROR(__xludf.DUMMYFUNCTION("""COMPUTED_VALUE"""),"Anderson Bastos
Diretor do SEINFRA")</f>
        <v>Anderson Bastos
Diretor do SEINFRA</v>
      </c>
      <c r="AG31" s="233">
        <f>IFERROR(__xludf.DUMMYFUNCTION("""COMPUTED_VALUE"""),1.0)</f>
        <v>1</v>
      </c>
      <c r="AH31" s="190">
        <f>IFERROR(__xludf.DUMMYFUNCTION("""COMPUTED_VALUE"""),0.0)</f>
        <v>0</v>
      </c>
      <c r="AI31" s="180" t="str">
        <f>IFERROR(__xludf.DUMMYFUNCTION("""COMPUTED_VALUE"""),"Não")</f>
        <v>Não</v>
      </c>
      <c r="AJ31" s="190"/>
      <c r="AK31" s="180"/>
      <c r="AL31" s="180"/>
      <c r="AM31" s="180"/>
      <c r="AN31" s="190">
        <f>IFERROR(__xludf.DUMMYFUNCTION("""COMPUTED_VALUE"""),-10000.0)</f>
        <v>-10000</v>
      </c>
      <c r="AO31" s="190">
        <f>IFERROR(__xludf.DUMMYFUNCTION("""COMPUTED_VALUE"""),10000.0)</f>
        <v>10000</v>
      </c>
      <c r="AP31" s="180"/>
      <c r="AQ31" s="190">
        <f>IFERROR(__xludf.DUMMYFUNCTION("""COMPUTED_VALUE"""),0.0)</f>
        <v>0</v>
      </c>
      <c r="AR31" s="190">
        <f>IFERROR(__xludf.DUMMYFUNCTION("""COMPUTED_VALUE"""),10000.0)</f>
        <v>10000</v>
      </c>
      <c r="AS31" s="180"/>
      <c r="AT31" s="190">
        <f>IFERROR(__xludf.DUMMYFUNCTION("""COMPUTED_VALUE"""),0.0)</f>
        <v>0</v>
      </c>
      <c r="AU31" s="190"/>
      <c r="AV31" s="232"/>
      <c r="AW31" s="190">
        <f>IFERROR(__xludf.DUMMYFUNCTION("""COMPUTED_VALUE"""),0.0)</f>
        <v>0</v>
      </c>
      <c r="AX31" s="190">
        <f>IFERROR(__xludf.DUMMYFUNCTION("""COMPUTED_VALUE"""),0.0)</f>
        <v>0</v>
      </c>
      <c r="AY31" s="190">
        <f>IFERROR(__xludf.DUMMYFUNCTION("""COMPUTED_VALUE"""),0.0)</f>
        <v>0</v>
      </c>
      <c r="AZ31" s="190">
        <f>IFERROR(__xludf.DUMMYFUNCTION("""COMPUTED_VALUE"""),0.0)</f>
        <v>0</v>
      </c>
      <c r="BA31" s="190">
        <f>IFERROR(__xludf.DUMMYFUNCTION("""COMPUTED_VALUE"""),0.0)</f>
        <v>0</v>
      </c>
      <c r="BB31" s="180"/>
      <c r="BC31" s="232"/>
      <c r="BD31" s="180" t="str">
        <f>IFERROR(__xludf.DUMMYFUNCTION("""COMPUTED_VALUE"""),"Não")</f>
        <v>Não</v>
      </c>
      <c r="BE31" s="180"/>
      <c r="BF31" s="180"/>
      <c r="BG31" s="180"/>
      <c r="BH31" s="233">
        <f>IFERROR(__xludf.DUMMYFUNCTION("""COMPUTED_VALUE"""),100000.0)</f>
        <v>100000</v>
      </c>
      <c r="BI31" s="180" t="str">
        <f>IFERROR(__xludf.DUMMYFUNCTION("""COMPUTED_VALUE"""),"Baixa")</f>
        <v>Baixa</v>
      </c>
      <c r="BJ31" s="180"/>
      <c r="BK31" s="180" t="str">
        <f>IFERROR(__xludf.DUMMYFUNCTION("""COMPUTED_VALUE"""),"unidade")</f>
        <v>unidade</v>
      </c>
      <c r="BL31" s="180"/>
      <c r="BM31" s="180" t="str">
        <f>IFERROR(__xludf.DUMMYFUNCTION("""COMPUTED_VALUE"""),"CANCELADO")</f>
        <v>CANCELADO</v>
      </c>
      <c r="BN31" s="189"/>
      <c r="BO31" s="189"/>
      <c r="BP31" s="190"/>
      <c r="BQ31" s="190"/>
      <c r="BR31" s="190"/>
      <c r="BS31" s="190">
        <f>IFERROR(__xludf.DUMMYFUNCTION("""COMPUTED_VALUE"""),0.0)</f>
        <v>0</v>
      </c>
      <c r="BT31" s="190"/>
      <c r="BU31" s="180" t="str">
        <f>IFERROR(__xludf.DUMMYFUNCTION("""COMPUTED_VALUE"""),"#N/A")</f>
        <v>#N/A</v>
      </c>
      <c r="BV31" s="180"/>
      <c r="BW31" s="180"/>
      <c r="BX31" s="180"/>
      <c r="BY31" s="180"/>
      <c r="BZ31" s="189"/>
      <c r="CA31" s="180"/>
      <c r="CB31" s="180" t="str">
        <f>IFERROR(__xludf.DUMMYFUNCTION("""COMPUTED_VALUE"""),"Apreciação de Causas na Justiça do Trabalho")</f>
        <v>Apreciação de Causas na Justiça do Trabalho</v>
      </c>
      <c r="CC31" s="180" t="str">
        <f>IFERROR(__xludf.DUMMYFUNCTION("""COMPUTED_VALUE""")," - ")</f>
        <v> - </v>
      </c>
      <c r="CD31" s="180" t="str">
        <f>IFERROR(__xludf.DUMMYFUNCTION("""COMPUTED_VALUE"""),"#N/A")</f>
        <v>#N/A</v>
      </c>
      <c r="CE31" s="180"/>
      <c r="CF31" s="180" t="str">
        <f>IFERROR(__xludf.DUMMYFUNCTION("""COMPUTED_VALUE"""),"#N/A")</f>
        <v>#N/A</v>
      </c>
      <c r="CG31" s="189"/>
      <c r="CH31" s="189">
        <f>IFERROR(__xludf.DUMMYFUNCTION("""COMPUTED_VALUE"""),45231.0)</f>
        <v>45231</v>
      </c>
      <c r="CI31" s="180" t="str">
        <f>IFERROR(__xludf.DUMMYFUNCTION("""COMPUTED_VALUE"""),"DISPENSA_PELO_VALOR")</f>
        <v>DISPENSA_PELO_VALOR</v>
      </c>
      <c r="CJ31" s="190"/>
      <c r="CK31" s="189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</row>
    <row r="32">
      <c r="A32" s="230">
        <f>IFERROR(__xludf.DUMMYFUNCTION("""COMPUTED_VALUE"""),15332.0)</f>
        <v>15332</v>
      </c>
      <c r="B32" s="230">
        <f>IFERROR(__xludf.DUMMYFUNCTION("""COMPUTED_VALUE"""),0.0)</f>
        <v>0</v>
      </c>
      <c r="C32" s="180" t="str">
        <f>IFERROR(__xludf.DUMMYFUNCTION("""COMPUTED_VALUE"""),"FÁBRICA - Contratação de fábrica de software para plataforma JEE")</f>
        <v>FÁBRICA - Contratação de fábrica de software para plataforma JEE</v>
      </c>
      <c r="D32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32" s="180" t="str">
        <f>IFERROR(__xludf.DUMMYFUNCTION("""COMPUTED_VALUE"""),"EJ02 - PROMOVER A TRANSFORMAÇÃO DIGITAL")</f>
        <v>EJ02 - PROMOVER A TRANSFORMAÇÃO DIGITAL</v>
      </c>
      <c r="F32" s="180" t="str">
        <f>IFERROR(__xludf.DUMMYFUNCTION("""COMPUTED_VALUE"""),"Contratação de serviços para o desenvolvimento e a sustentação de software")</f>
        <v>Contratação de serviços para o desenvolvimento e a sustentação de software</v>
      </c>
      <c r="G32" s="180" t="str">
        <f>IFERROR(__xludf.DUMMYFUNCTION("""COMPUTED_VALUE"""),"(ID PAAC 15332) FÁBRICA - Contratação de fábrica de software para plataforma JEE")</f>
        <v>(ID PAAC 15332) FÁBRICA - Contratação de fábrica de software para plataforma JEE</v>
      </c>
      <c r="H32" s="180" t="str">
        <f>IFERROR(__xludf.DUMMYFUNCTION("""COMPUTED_VALUE"""),"Continuado")</f>
        <v>Continuado</v>
      </c>
      <c r="I32" s="180" t="str">
        <f>IFERROR(__xludf.DUMMYFUNCTION("""COMPUTED_VALUE"""),"SETIC")</f>
        <v>SETIC</v>
      </c>
      <c r="J32" s="180" t="str">
        <f>IFERROR(__xludf.DUMMYFUNCTION("""COMPUTED_VALUE"""),"SETIC")</f>
        <v>SETIC</v>
      </c>
      <c r="K32" s="180" t="str">
        <f>IFERROR(__xludf.DUMMYFUNCTION("""COMPUTED_VALUE"""),"GND3")</f>
        <v>GND3</v>
      </c>
      <c r="L32" s="231">
        <f>IFERROR(__xludf.DUMMYFUNCTION("""COMPUTED_VALUE"""),0.0)</f>
        <v>0</v>
      </c>
      <c r="M32" s="232">
        <f>IFERROR(__xludf.DUMMYFUNCTION("""COMPUTED_VALUE"""),3.3904008E7)</f>
        <v>33904008</v>
      </c>
      <c r="N32" s="232">
        <f>IFERROR(__xludf.DUMMYFUNCTION("""COMPUTED_VALUE"""),0.0)</f>
        <v>0</v>
      </c>
      <c r="O32" s="230">
        <f>IFERROR(__xludf.DUMMYFUNCTION("""COMPUTED_VALUE"""),168105.0)</f>
        <v>168105</v>
      </c>
      <c r="P32" s="180" t="str">
        <f>IFERROR(__xludf.DUMMYFUNCTION("""COMPUTED_VALUE"""),"Não")</f>
        <v>Não</v>
      </c>
      <c r="Q32" s="180" t="str">
        <f>IFERROR(__xludf.DUMMYFUNCTION("""COMPUTED_VALUE"""),"2 - Importante")</f>
        <v>2 - Importante</v>
      </c>
      <c r="R32" s="180" t="str">
        <f>IFERROR(__xludf.DUMMYFUNCTION("""COMPUTED_VALUE"""),"4 - Cancelado")</f>
        <v>4 - Cancelado</v>
      </c>
      <c r="S32" s="180"/>
      <c r="T32" s="180"/>
      <c r="U32" s="180" t="str">
        <f>IFERROR(__xludf.DUMMYFUNCTION("""COMPUTED_VALUE"""),"01 - Não oficializado")</f>
        <v>01 - Não oficializado</v>
      </c>
      <c r="V32" s="180"/>
      <c r="W32" s="180"/>
      <c r="X32" s="180" t="str">
        <f>IFERROR(__xludf.DUMMYFUNCTION("""COMPUTED_VALUE"""),"SEDES")</f>
        <v>SEDES</v>
      </c>
      <c r="Y32" s="180" t="str">
        <f>IFERROR(__xludf.DUMMYFUNCTION("""COMPUTED_VALUE"""),"PROR")</f>
        <v>PROR</v>
      </c>
      <c r="Z32" s="180" t="str">
        <f>IFERROR(__xludf.DUMMYFUNCTION("""COMPUTED_VALUE"""),"PRE")</f>
        <v>PRE</v>
      </c>
      <c r="AA32" s="180"/>
      <c r="AB32" s="230"/>
      <c r="AC32" s="180" t="str">
        <f>IFERROR(__xludf.DUMMYFUNCTION("""COMPUTED_VALUE"""),"#N/A")</f>
        <v>#N/A</v>
      </c>
      <c r="AD32" s="189">
        <f>IFERROR(__xludf.DUMMYFUNCTION("""COMPUTED_VALUE"""),44592.0)</f>
        <v>44592</v>
      </c>
      <c r="AE32" s="189">
        <f>IFERROR(__xludf.DUMMYFUNCTION("""COMPUTED_VALUE"""),44682.0)</f>
        <v>44682</v>
      </c>
      <c r="AF32" s="180" t="str">
        <f>IFERROR(__xludf.DUMMYFUNCTION("""COMPUTED_VALUE"""),"Carlos Eduardo Mazzi
Diretor do SEDES")</f>
        <v>Carlos Eduardo Mazzi
Diretor do SEDES</v>
      </c>
      <c r="AG32" s="233">
        <f>IFERROR(__xludf.DUMMYFUNCTION("""COMPUTED_VALUE"""),1.0)</f>
        <v>1</v>
      </c>
      <c r="AH32" s="190">
        <f>IFERROR(__xludf.DUMMYFUNCTION("""COMPUTED_VALUE"""),0.0)</f>
        <v>0</v>
      </c>
      <c r="AI32" s="180" t="str">
        <f>IFERROR(__xludf.DUMMYFUNCTION("""COMPUTED_VALUE"""),"Não")</f>
        <v>Não</v>
      </c>
      <c r="AJ32" s="190">
        <f>IFERROR(__xludf.DUMMYFUNCTION("""COMPUTED_VALUE"""),400000.0)</f>
        <v>400000</v>
      </c>
      <c r="AK32" s="180"/>
      <c r="AL32" s="180"/>
      <c r="AM32" s="180"/>
      <c r="AN32" s="190">
        <f>IFERROR(__xludf.DUMMYFUNCTION("""COMPUTED_VALUE"""),0.0)</f>
        <v>0</v>
      </c>
      <c r="AO32" s="190">
        <f>IFERROR(__xludf.DUMMYFUNCTION("""COMPUTED_VALUE"""),0.0)</f>
        <v>0</v>
      </c>
      <c r="AP32" s="180"/>
      <c r="AQ32" s="190">
        <f>IFERROR(__xludf.DUMMYFUNCTION("""COMPUTED_VALUE"""),400000.0)</f>
        <v>400000</v>
      </c>
      <c r="AR32" s="190">
        <f>IFERROR(__xludf.DUMMYFUNCTION("""COMPUTED_VALUE"""),400000.0)</f>
        <v>400000</v>
      </c>
      <c r="AS32" s="180"/>
      <c r="AT32" s="190">
        <f>IFERROR(__xludf.DUMMYFUNCTION("""COMPUTED_VALUE"""),0.0)</f>
        <v>0</v>
      </c>
      <c r="AU32" s="190"/>
      <c r="AV32" s="232">
        <f>IFERROR(__xludf.DUMMYFUNCTION("""COMPUTED_VALUE"""),0.0)</f>
        <v>0</v>
      </c>
      <c r="AW32" s="190">
        <f>IFERROR(__xludf.DUMMYFUNCTION("""COMPUTED_VALUE"""),0.0)</f>
        <v>0</v>
      </c>
      <c r="AX32" s="190">
        <f>IFERROR(__xludf.DUMMYFUNCTION("""COMPUTED_VALUE"""),0.0)</f>
        <v>0</v>
      </c>
      <c r="AY32" s="190">
        <f>IFERROR(__xludf.DUMMYFUNCTION("""COMPUTED_VALUE"""),0.0)</f>
        <v>0</v>
      </c>
      <c r="AZ32" s="190">
        <f>IFERROR(__xludf.DUMMYFUNCTION("""COMPUTED_VALUE"""),0.0)</f>
        <v>0</v>
      </c>
      <c r="BA32" s="190">
        <f>IFERROR(__xludf.DUMMYFUNCTION("""COMPUTED_VALUE"""),0.0)</f>
        <v>0</v>
      </c>
      <c r="BB32" s="180"/>
      <c r="BC32" s="232">
        <f>IFERROR(__xludf.DUMMYFUNCTION("""COMPUTED_VALUE"""),1.51132022236942E14)</f>
        <v>151132022236942</v>
      </c>
      <c r="BD32" s="180" t="str">
        <f>IFERROR(__xludf.DUMMYFUNCTION("""COMPUTED_VALUE"""),"Não")</f>
        <v>Não</v>
      </c>
      <c r="BE32" s="180" t="str">
        <f>IFERROR(__xludf.DUMMYFUNCTION("""COMPUTED_VALUE"""),"Não")</f>
        <v>Não</v>
      </c>
      <c r="BF32" s="180"/>
      <c r="BG32" s="180"/>
      <c r="BH32" s="233">
        <f>IFERROR(__xludf.DUMMYFUNCTION("""COMPUTED_VALUE"""),200000.0)</f>
        <v>200000</v>
      </c>
      <c r="BI32" s="180" t="str">
        <f>IFERROR(__xludf.DUMMYFUNCTION("""COMPUTED_VALUE"""),"Média")</f>
        <v>Média</v>
      </c>
      <c r="BJ32" s="180"/>
      <c r="BK32" s="180" t="str">
        <f>IFERROR(__xludf.DUMMYFUNCTION("""COMPUTED_VALUE"""),"ano")</f>
        <v>ano</v>
      </c>
      <c r="BL32" s="180"/>
      <c r="BM32" s="180" t="str">
        <f>IFERROR(__xludf.DUMMYFUNCTION("""COMPUTED_VALUE"""),"CANCELADO")</f>
        <v>CANCELADO</v>
      </c>
      <c r="BN32" s="189">
        <f>IFERROR(__xludf.DUMMYFUNCTION("""COMPUTED_VALUE"""),43991.0)</f>
        <v>43991</v>
      </c>
      <c r="BO32" s="189">
        <f>IFERROR(__xludf.DUMMYFUNCTION("""COMPUTED_VALUE"""),44207.0)</f>
        <v>44207</v>
      </c>
      <c r="BP32" s="190"/>
      <c r="BQ32" s="190"/>
      <c r="BR32" s="190">
        <f>IFERROR(__xludf.DUMMYFUNCTION("""COMPUTED_VALUE"""),4639000.0)</f>
        <v>4639000</v>
      </c>
      <c r="BS32" s="190">
        <f>IFERROR(__xludf.DUMMYFUNCTION("""COMPUTED_VALUE"""),0.0)</f>
        <v>0</v>
      </c>
      <c r="BT32" s="190">
        <f>IFERROR(__xludf.DUMMYFUNCTION("""COMPUTED_VALUE"""),4639000.0)</f>
        <v>4639000</v>
      </c>
      <c r="BU32" s="180" t="str">
        <f>IFERROR(__xludf.DUMMYFUNCTION("""COMPUTED_VALUE"""),"Desenvolvimento de software")</f>
        <v>Desenvolvimento de software</v>
      </c>
      <c r="BV32" s="180"/>
      <c r="BW32" s="180"/>
      <c r="BX32" s="180"/>
      <c r="BY32" s="180"/>
      <c r="BZ32" s="189"/>
      <c r="CA32" s="180"/>
      <c r="CB32" s="180" t="str">
        <f>IFERROR(__xludf.DUMMYFUNCTION("""COMPUTED_VALUE"""),"Apreciação de Causas na Justiça do Trabalho")</f>
        <v>Apreciação de Causas na Justiça do Trabalho</v>
      </c>
      <c r="CC32" s="180" t="str">
        <f>IFERROR(__xludf.DUMMYFUNCTION("""COMPUTED_VALUE""")," - ")</f>
        <v> - </v>
      </c>
      <c r="CD32" s="180" t="str">
        <f>IFERROR(__xludf.DUMMYFUNCTION("""COMPUTED_VALUE"""),"SERVIÇOS DE TECNOLOGIA DA INFORMAÇÃO E COMUNICAÇÃO - TIC")</f>
        <v>SERVIÇOS DE TECNOLOGIA DA INFORMAÇÃO E COMUNICAÇÃO - TIC</v>
      </c>
      <c r="CE32" s="180"/>
      <c r="CF32" s="180" t="str">
        <f>IFERROR(__xludf.DUMMYFUNCTION("""COMPUTED_VALUE"""),"DESENVOLVIMENTO DE SOFTWARE")</f>
        <v>DESENVOLVIMENTO DE SOFTWARE</v>
      </c>
      <c r="CG32" s="189"/>
      <c r="CH32" s="189">
        <f>IFERROR(__xludf.DUMMYFUNCTION("""COMPUTED_VALUE"""),45047.0)</f>
        <v>45047</v>
      </c>
      <c r="CI32" s="180" t="str">
        <f>IFERROR(__xludf.DUMMYFUNCTION("""COMPUTED_VALUE"""),"PROR")</f>
        <v>PROR</v>
      </c>
      <c r="CJ32" s="190">
        <f>IFERROR(__xludf.DUMMYFUNCTION("""COMPUTED_VALUE"""),927800.0)</f>
        <v>927800</v>
      </c>
      <c r="CK32" s="189">
        <f>IFERROR(__xludf.DUMMYFUNCTION("""COMPUTED_VALUE"""),44682.0)</f>
        <v>44682</v>
      </c>
      <c r="CL32" s="180" t="str">
        <f>IFERROR(__xludf.DUMMYFUNCTION("""COMPUTED_VALUE"""),"PROR")</f>
        <v>PROR</v>
      </c>
      <c r="CM32" s="180" t="str">
        <f>IFERROR(__xludf.DUMMYFUNCTION("""COMPUTED_VALUE"""),"x")</f>
        <v>x</v>
      </c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</row>
    <row r="33">
      <c r="A33" s="230">
        <f>IFERROR(__xludf.DUMMYFUNCTION("""COMPUTED_VALUE"""),15347.0)</f>
        <v>15347</v>
      </c>
      <c r="B33" s="230">
        <f>IFERROR(__xludf.DUMMYFUNCTION("""COMPUTED_VALUE"""),0.0)</f>
        <v>0</v>
      </c>
      <c r="C33" s="180" t="str">
        <f>IFERROR(__xludf.DUMMYFUNCTION("""COMPUTED_VALUE"""),"SEGURANÇA MANUTENÇÃO - Contratação de serviços de manutenção preventiva e corretiva, com eventual fornecimento de peças de reposição, para as câmeras IP e outros equipamentos que compõem o sistema de imagens de segurança.")</f>
        <v>SEGURANÇA MANUTENÇÃO - Contratação de serviços de manutenção preventiva e corretiva, com eventual fornecimento de peças de reposição, para as câmeras IP e outros equipamentos que compõem o sistema de imagens de segurança.</v>
      </c>
      <c r="D33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33" s="180" t="str">
        <f>IFERROR(__xludf.DUMMYFUNCTION("""COMPUTED_VALUE"""),"EJ08 - PROMOVER SERVIÇOS DE INFRAESTRUTURA E SOLUÇÕES CORPORATIVAS")</f>
        <v>EJ08 - PROMOVER SERVIÇOS DE INFRAESTRUTURA E SOLUÇÕES CORPORATIVAS</v>
      </c>
      <c r="F33" s="180" t="str">
        <f>IFERROR(__xludf.DUMMYFUNCTION("""COMPUTED_VALUE"""),"Contratação de serviços de suporte à microinformática")</f>
        <v>Contratação de serviços de suporte à microinformática</v>
      </c>
      <c r="G33" s="180" t="str">
        <f>IFERROR(__xludf.DUMMYFUNCTION("""COMPUTED_VALUE"""),"(ID PAAC 15347) SEGURANÇA MANUTENÇÃO - Contratação de serviços de manutenção preventiva e corretiva, com eventual fornecimento de peças de reposição, para as câmeras IP e outros equipamentos que compõem o sistema de imagens de segurança.")</f>
        <v>(ID PAAC 15347) SEGURANÇA MANUTENÇÃO - Contratação de serviços de manutenção preventiva e corretiva, com eventual fornecimento de peças de reposição, para as câmeras IP e outros equipamentos que compõem o sistema de imagens de segurança.</v>
      </c>
      <c r="H33" s="180" t="str">
        <f>IFERROR(__xludf.DUMMYFUNCTION("""COMPUTED_VALUE"""),"Continuado")</f>
        <v>Continuado</v>
      </c>
      <c r="I33" s="180" t="str">
        <f>IFERROR(__xludf.DUMMYFUNCTION("""COMPUTED_VALUE"""),"CPJUD")</f>
        <v>CPJUD</v>
      </c>
      <c r="J33" s="180" t="str">
        <f>IFERROR(__xludf.DUMMYFUNCTION("""COMPUTED_VALUE"""),"SETIC")</f>
        <v>SETIC</v>
      </c>
      <c r="K33" s="180" t="str">
        <f>IFERROR(__xludf.DUMMYFUNCTION("""COMPUTED_VALUE"""),"GND3")</f>
        <v>GND3</v>
      </c>
      <c r="L33" s="231">
        <f>IFERROR(__xludf.DUMMYFUNCTION("""COMPUTED_VALUE"""),0.0)</f>
        <v>0</v>
      </c>
      <c r="M33" s="232">
        <f>IFERROR(__xludf.DUMMYFUNCTION("""COMPUTED_VALUE"""),3.3904011E7)</f>
        <v>33904011</v>
      </c>
      <c r="N33" s="232">
        <f>IFERROR(__xludf.DUMMYFUNCTION("""COMPUTED_VALUE"""),0.0)</f>
        <v>0</v>
      </c>
      <c r="O33" s="230">
        <f>IFERROR(__xludf.DUMMYFUNCTION("""COMPUTED_VALUE"""),168105.0)</f>
        <v>168105</v>
      </c>
      <c r="P33" s="180" t="str">
        <f>IFERROR(__xludf.DUMMYFUNCTION("""COMPUTED_VALUE"""),"Não")</f>
        <v>Não</v>
      </c>
      <c r="Q33" s="180" t="str">
        <f>IFERROR(__xludf.DUMMYFUNCTION("""COMPUTED_VALUE"""),"2 - Importante")</f>
        <v>2 - Importante</v>
      </c>
      <c r="R33" s="180" t="str">
        <f>IFERROR(__xludf.DUMMYFUNCTION("""COMPUTED_VALUE"""),"1 - Selecionado")</f>
        <v>1 - Selecionado</v>
      </c>
      <c r="S33" s="180"/>
      <c r="T33" s="180"/>
      <c r="U33" s="180" t="str">
        <f>IFERROR(__xludf.DUMMYFUNCTION("""COMPUTED_VALUE"""),"01 - Não oficializado")</f>
        <v>01 - Não oficializado</v>
      </c>
      <c r="V33" s="180"/>
      <c r="W33" s="180"/>
      <c r="X33" s="180" t="str">
        <f>IFERROR(__xludf.DUMMYFUNCTION("""COMPUTED_VALUE"""),"SEINFRA")</f>
        <v>SEINFRA</v>
      </c>
      <c r="Y33" s="180" t="str">
        <f>IFERROR(__xludf.DUMMYFUNCTION("""COMPUTED_VALUE"""),"PRE")</f>
        <v>PRE</v>
      </c>
      <c r="Z33" s="180" t="str">
        <f>IFERROR(__xludf.DUMMYFUNCTION("""COMPUTED_VALUE"""),"PRE")</f>
        <v>PRE</v>
      </c>
      <c r="AA33" s="180"/>
      <c r="AB33" s="230"/>
      <c r="AC33" s="180" t="str">
        <f>IFERROR(__xludf.DUMMYFUNCTION("""COMPUTED_VALUE"""),"#N/A")</f>
        <v>#N/A</v>
      </c>
      <c r="AD33" s="189">
        <f>IFERROR(__xludf.DUMMYFUNCTION("""COMPUTED_VALUE"""),44632.0)</f>
        <v>44632</v>
      </c>
      <c r="AE33" s="189">
        <f>IFERROR(__xludf.DUMMYFUNCTION("""COMPUTED_VALUE"""),44742.0)</f>
        <v>44742</v>
      </c>
      <c r="AF33" s="180" t="str">
        <f>IFERROR(__xludf.DUMMYFUNCTION("""COMPUTED_VALUE"""),"Anderson Bastos
Diretor do SEINFRA")</f>
        <v>Anderson Bastos
Diretor do SEINFRA</v>
      </c>
      <c r="AG33" s="233">
        <f>IFERROR(__xludf.DUMMYFUNCTION("""COMPUTED_VALUE"""),1.0)</f>
        <v>1</v>
      </c>
      <c r="AH33" s="190">
        <f>IFERROR(__xludf.DUMMYFUNCTION("""COMPUTED_VALUE"""),258600.0)</f>
        <v>258600</v>
      </c>
      <c r="AI33" s="180" t="str">
        <f>IFERROR(__xludf.DUMMYFUNCTION("""COMPUTED_VALUE"""),"Não")</f>
        <v>Não</v>
      </c>
      <c r="AJ33" s="190">
        <f>IFERROR(__xludf.DUMMYFUNCTION("""COMPUTED_VALUE"""),258600.0)</f>
        <v>258600</v>
      </c>
      <c r="AK33" s="180"/>
      <c r="AL33" s="180"/>
      <c r="AM33" s="180"/>
      <c r="AN33" s="190">
        <f>IFERROR(__xludf.DUMMYFUNCTION("""COMPUTED_VALUE"""),0.0)</f>
        <v>0</v>
      </c>
      <c r="AO33" s="190">
        <f>IFERROR(__xludf.DUMMYFUNCTION("""COMPUTED_VALUE"""),258600.0)</f>
        <v>258600</v>
      </c>
      <c r="AP33" s="180"/>
      <c r="AQ33" s="190">
        <f>IFERROR(__xludf.DUMMYFUNCTION("""COMPUTED_VALUE"""),258600.0)</f>
        <v>258600</v>
      </c>
      <c r="AR33" s="190">
        <f>IFERROR(__xludf.DUMMYFUNCTION("""COMPUTED_VALUE"""),258600.0)</f>
        <v>258600</v>
      </c>
      <c r="AS33" s="180"/>
      <c r="AT33" s="190">
        <f>IFERROR(__xludf.DUMMYFUNCTION("""COMPUTED_VALUE"""),258600.0)</f>
        <v>258600</v>
      </c>
      <c r="AU33" s="190"/>
      <c r="AV33" s="232">
        <f>IFERROR(__xludf.DUMMYFUNCTION("""COMPUTED_VALUE"""),0.0)</f>
        <v>0</v>
      </c>
      <c r="AW33" s="190">
        <f>IFERROR(__xludf.DUMMYFUNCTION("""COMPUTED_VALUE"""),0.0)</f>
        <v>0</v>
      </c>
      <c r="AX33" s="190">
        <f>IFERROR(__xludf.DUMMYFUNCTION("""COMPUTED_VALUE"""),0.0)</f>
        <v>0</v>
      </c>
      <c r="AY33" s="190">
        <f>IFERROR(__xludf.DUMMYFUNCTION("""COMPUTED_VALUE"""),0.0)</f>
        <v>0</v>
      </c>
      <c r="AZ33" s="190">
        <f>IFERROR(__xludf.DUMMYFUNCTION("""COMPUTED_VALUE"""),0.0)</f>
        <v>0</v>
      </c>
      <c r="BA33" s="190">
        <f>IFERROR(__xludf.DUMMYFUNCTION("""COMPUTED_VALUE"""),0.0)</f>
        <v>0</v>
      </c>
      <c r="BB33" s="180"/>
      <c r="BC33" s="232">
        <f>IFERROR(__xludf.DUMMYFUNCTION("""COMPUTED_VALUE"""),1.51132022236917E14)</f>
        <v>151132022236917</v>
      </c>
      <c r="BD33" s="180" t="str">
        <f>IFERROR(__xludf.DUMMYFUNCTION("""COMPUTED_VALUE"""),"Sim")</f>
        <v>Sim</v>
      </c>
      <c r="BE33" s="180" t="str">
        <f>IFERROR(__xludf.DUMMYFUNCTION("""COMPUTED_VALUE"""),"Não")</f>
        <v>Não</v>
      </c>
      <c r="BF33" s="180"/>
      <c r="BG33" s="180"/>
      <c r="BH33" s="233">
        <f>IFERROR(__xludf.DUMMYFUNCTION("""COMPUTED_VALUE"""),200000.0)</f>
        <v>200000</v>
      </c>
      <c r="BI33" s="180" t="str">
        <f>IFERROR(__xludf.DUMMYFUNCTION("""COMPUTED_VALUE"""),"Média")</f>
        <v>Média</v>
      </c>
      <c r="BJ33" s="180"/>
      <c r="BK33" s="180" t="str">
        <f>IFERROR(__xludf.DUMMYFUNCTION("""COMPUTED_VALUE"""),"ano")</f>
        <v>ano</v>
      </c>
      <c r="BL33" s="180"/>
      <c r="BM33" s="180" t="str">
        <f>IFERROR(__xludf.DUMMYFUNCTION("""COMPUTED_VALUE"""),"PRE")</f>
        <v>PRE</v>
      </c>
      <c r="BN33" s="189">
        <f>IFERROR(__xludf.DUMMYFUNCTION("""COMPUTED_VALUE"""),44167.0)</f>
        <v>44167</v>
      </c>
      <c r="BO33" s="189"/>
      <c r="BP33" s="190"/>
      <c r="BQ33" s="190"/>
      <c r="BR33" s="190"/>
      <c r="BS33" s="190">
        <f>IFERROR(__xludf.DUMMYFUNCTION("""COMPUTED_VALUE"""),258600.0)</f>
        <v>258600</v>
      </c>
      <c r="BT33" s="190">
        <f>IFERROR(__xludf.DUMMYFUNCTION("""COMPUTED_VALUE"""),258600.0)</f>
        <v>258600</v>
      </c>
      <c r="BU33" s="180" t="str">
        <f>IFERROR(__xludf.DUMMYFUNCTION("""COMPUTED_VALUE"""),"Suporte de infraestrutura de TIC")</f>
        <v>Suporte de infraestrutura de TIC</v>
      </c>
      <c r="BV33" s="180"/>
      <c r="BW33" s="180"/>
      <c r="BX33" s="180"/>
      <c r="BY33" s="180"/>
      <c r="BZ33" s="189"/>
      <c r="CA33" s="180"/>
      <c r="CB33" s="180" t="str">
        <f>IFERROR(__xludf.DUMMYFUNCTION("""COMPUTED_VALUE"""),"Apreciação de Causas na Justiça do Trabalho")</f>
        <v>Apreciação de Causas na Justiça do Trabalho</v>
      </c>
      <c r="CC33" s="180" t="str">
        <f>IFERROR(__xludf.DUMMYFUNCTION("""COMPUTED_VALUE""")," - ")</f>
        <v> - </v>
      </c>
      <c r="CD33" s="180" t="str">
        <f>IFERROR(__xludf.DUMMYFUNCTION("""COMPUTED_VALUE"""),"SERVIÇOS DE TECNOLOGIA DA INFORMAÇÃO E COMUNICAÇÃO - TIC")</f>
        <v>SERVIÇOS DE TECNOLOGIA DA INFORMAÇÃO E COMUNICAÇÃO - TIC</v>
      </c>
      <c r="CE33" s="180"/>
      <c r="CF33" s="180" t="str">
        <f>IFERROR(__xludf.DUMMYFUNCTION("""COMPUTED_VALUE"""),"SUPORTE DE INFRAESTRUTURA DE TIC")</f>
        <v>SUPORTE DE INFRAESTRUTURA DE TIC</v>
      </c>
      <c r="CG33" s="189">
        <f>IFERROR(__xludf.DUMMYFUNCTION("""COMPUTED_VALUE"""),44995.0)</f>
        <v>44995</v>
      </c>
      <c r="CH33" s="189">
        <f>IFERROR(__xludf.DUMMYFUNCTION("""COMPUTED_VALUE"""),45107.0)</f>
        <v>45107</v>
      </c>
      <c r="CI33" s="180" t="str">
        <f>IFERROR(__xludf.DUMMYFUNCTION("""COMPUTED_VALUE"""),"PRE")</f>
        <v>PRE</v>
      </c>
      <c r="CJ33" s="190">
        <f>IFERROR(__xludf.DUMMYFUNCTION("""COMPUTED_VALUE"""),258600.0)</f>
        <v>258600</v>
      </c>
      <c r="CK33" s="189">
        <f>IFERROR(__xludf.DUMMYFUNCTION("""COMPUTED_VALUE"""),44377.0)</f>
        <v>44377</v>
      </c>
      <c r="CL33" s="180" t="str">
        <f>IFERROR(__xludf.DUMMYFUNCTION("""COMPUTED_VALUE"""),"PRE")</f>
        <v>PRE</v>
      </c>
      <c r="CM33" s="180" t="str">
        <f>IFERROR(__xludf.DUMMYFUNCTION("""COMPUTED_VALUE"""),"x")</f>
        <v>x</v>
      </c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</row>
    <row r="34">
      <c r="A34" s="230">
        <f>IFERROR(__xludf.DUMMYFUNCTION("""COMPUTED_VALUE"""),15349.0)</f>
        <v>15349</v>
      </c>
      <c r="B34" s="230">
        <f>IFERROR(__xludf.DUMMYFUNCTION("""COMPUTED_VALUE"""),0.0)</f>
        <v>0</v>
      </c>
      <c r="C34" s="180" t="str">
        <f>IFERROR(__xludf.DUMMYFUNCTION("""COMPUTED_VALUE"""),"BI SOFTWARE - Contratação de uso de software em nuvem, para gerar relatórios e informações gerenciais para apoio à decisão e à gestão")</f>
        <v>BI SOFTWARE - Contratação de uso de software em nuvem, para gerar relatórios e informações gerenciais para apoio à decisão e à gestão</v>
      </c>
      <c r="D34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34" s="180" t="str">
        <f>IFERROR(__xludf.DUMMYFUNCTION("""COMPUTED_VALUE"""),"EJ04 - BUSCAR A INOVAÇÃO DE FORMA COLABORATIVA")</f>
        <v>EJ04 - BUSCAR A INOVAÇÃO DE FORMA COLABORATIVA</v>
      </c>
      <c r="F34" s="180" t="str">
        <f>IFERROR(__xludf.DUMMYFUNCTION("""COMPUTED_VALUE"""),"Contratação de softwares para o desenvolvimento e a sustentação de software")</f>
        <v>Contratação de softwares para o desenvolvimento e a sustentação de software</v>
      </c>
      <c r="G34" s="180" t="str">
        <f>IFERROR(__xludf.DUMMYFUNCTION("""COMPUTED_VALUE"""),"(ID PAAC 15349) BI SOFTWARE - Contratação de uso de software em nuvem, para gerar relatórios e informações gerenciais para apoio à decisão e à gestão")</f>
        <v>(ID PAAC 15349) BI SOFTWARE - Contratação de uso de software em nuvem, para gerar relatórios e informações gerenciais para apoio à decisão e à gestão</v>
      </c>
      <c r="H34" s="180" t="str">
        <f>IFERROR(__xludf.DUMMYFUNCTION("""COMPUTED_VALUE"""),"Continuado")</f>
        <v>Continuado</v>
      </c>
      <c r="I34" s="180" t="str">
        <f>IFERROR(__xludf.DUMMYFUNCTION("""COMPUTED_VALUE"""),"SETIC")</f>
        <v>SETIC</v>
      </c>
      <c r="J34" s="180" t="str">
        <f>IFERROR(__xludf.DUMMYFUNCTION("""COMPUTED_VALUE"""),"SETIC")</f>
        <v>SETIC</v>
      </c>
      <c r="K34" s="180" t="str">
        <f>IFERROR(__xludf.DUMMYFUNCTION("""COMPUTED_VALUE"""),"GND3")</f>
        <v>GND3</v>
      </c>
      <c r="L34" s="231">
        <f>IFERROR(__xludf.DUMMYFUNCTION("""COMPUTED_VALUE"""),0.0)</f>
        <v>0</v>
      </c>
      <c r="M34" s="232">
        <f>IFERROR(__xludf.DUMMYFUNCTION("""COMPUTED_VALUE"""),3.3904019E7)</f>
        <v>33904019</v>
      </c>
      <c r="N34" s="232">
        <f>IFERROR(__xludf.DUMMYFUNCTION("""COMPUTED_VALUE"""),0.0)</f>
        <v>0</v>
      </c>
      <c r="O34" s="230">
        <f>IFERROR(__xludf.DUMMYFUNCTION("""COMPUTED_VALUE"""),168105.0)</f>
        <v>168105</v>
      </c>
      <c r="P34" s="180" t="str">
        <f>IFERROR(__xludf.DUMMYFUNCTION("""COMPUTED_VALUE"""),"Não")</f>
        <v>Não</v>
      </c>
      <c r="Q34" s="180" t="str">
        <f>IFERROR(__xludf.DUMMYFUNCTION("""COMPUTED_VALUE"""),"2 - Importante")</f>
        <v>2 - Importante</v>
      </c>
      <c r="R34" s="180" t="str">
        <f>IFERROR(__xludf.DUMMYFUNCTION("""COMPUTED_VALUE"""),"1 - Selecionado")</f>
        <v>1 - Selecionado</v>
      </c>
      <c r="S34" s="180" t="str">
        <f>IFERROR(__xludf.DUMMYFUNCTION("""COMPUTED_VALUE"""),"Valores das linhas de base iniciais transferidos do ID 2020 15187")</f>
        <v>Valores das linhas de base iniciais transferidos do ID 2020 15187</v>
      </c>
      <c r="T34" s="180"/>
      <c r="U34" s="180" t="str">
        <f>IFERROR(__xludf.DUMMYFUNCTION("""COMPUTED_VALUE"""),"01 - Não oficializado")</f>
        <v>01 - Não oficializado</v>
      </c>
      <c r="V34" s="180"/>
      <c r="W34" s="180" t="str">
        <f>IFERROR(__xludf.DUMMYFUNCTION("""COMPUTED_VALUE"""),"12010/2020")</f>
        <v>12010/2020</v>
      </c>
      <c r="X34" s="180" t="str">
        <f>IFERROR(__xludf.DUMMYFUNCTION("""COMPUTED_VALUE"""),"SESUS")</f>
        <v>SESUS</v>
      </c>
      <c r="Y34" s="180" t="str">
        <f>IFERROR(__xludf.DUMMYFUNCTION("""COMPUTED_VALUE"""),"PROR")</f>
        <v>PROR</v>
      </c>
      <c r="Z34" s="180" t="str">
        <f>IFERROR(__xludf.DUMMYFUNCTION("""COMPUTED_VALUE"""),"RP")</f>
        <v>RP</v>
      </c>
      <c r="AA34" s="180" t="str">
        <f>IFERROR(__xludf.DUMMYFUNCTION("""COMPUTED_VALUE"""),"RP-12010/2020")</f>
        <v>RP-12010/2020</v>
      </c>
      <c r="AB34" s="230">
        <f>IFERROR(__xludf.DUMMYFUNCTION("""COMPUTED_VALUE"""),4.1587502001209E13)</f>
        <v>41587502001209</v>
      </c>
      <c r="AC34" s="180" t="str">
        <f>IFERROR(__xludf.DUMMYFUNCTION("""COMPUTED_VALUE"""),"LANLINK INFORMATICA LTDA")</f>
        <v>LANLINK INFORMATICA LTDA</v>
      </c>
      <c r="AD34" s="189">
        <f>IFERROR(__xludf.DUMMYFUNCTION("""COMPUTED_VALUE"""),44835.0)</f>
        <v>44835</v>
      </c>
      <c r="AE34" s="189">
        <f>IFERROR(__xludf.DUMMYFUNCTION("""COMPUTED_VALUE"""),44925.0)</f>
        <v>44925</v>
      </c>
      <c r="AF34" s="180" t="str">
        <f>IFERROR(__xludf.DUMMYFUNCTION("""COMPUTED_VALUE"""),"Alexandre de Lemos Dias
Diretor do SESUS - Substituto")</f>
        <v>Alexandre de Lemos Dias
Diretor do SESUS - Substituto</v>
      </c>
      <c r="AG34" s="233">
        <f>IFERROR(__xludf.DUMMYFUNCTION("""COMPUTED_VALUE"""),1.0)</f>
        <v>1</v>
      </c>
      <c r="AH34" s="190">
        <f>IFERROR(__xludf.DUMMYFUNCTION("""COMPUTED_VALUE"""),11870.76)</f>
        <v>11870.76</v>
      </c>
      <c r="AI34" s="180" t="str">
        <f>IFERROR(__xludf.DUMMYFUNCTION("""COMPUTED_VALUE"""),"Não")</f>
        <v>Não</v>
      </c>
      <c r="AJ34" s="190">
        <f>IFERROR(__xludf.DUMMYFUNCTION("""COMPUTED_VALUE"""),11895.6)</f>
        <v>11895.6</v>
      </c>
      <c r="AK34" s="180" t="str">
        <f>IFERROR(__xludf.DUMMYFUNCTION("""COMPUTED_VALUE"""),"Cláudio Zamparetti")</f>
        <v>Cláudio Zamparetti</v>
      </c>
      <c r="AL34" s="180"/>
      <c r="AM34" s="180"/>
      <c r="AN34" s="190">
        <f>IFERROR(__xludf.DUMMYFUNCTION("""COMPUTED_VALUE"""),-1070.8799999999992)</f>
        <v>-1070.88</v>
      </c>
      <c r="AO34" s="190">
        <f>IFERROR(__xludf.DUMMYFUNCTION("""COMPUTED_VALUE"""),12941.64)</f>
        <v>12941.64</v>
      </c>
      <c r="AP34" s="180" t="str">
        <f>IFERROR(__xludf.DUMMYFUNCTION("""COMPUTED_VALUE"""),"2022NE000105")</f>
        <v>2022NE000105</v>
      </c>
      <c r="AQ34" s="190">
        <f>IFERROR(__xludf.DUMMYFUNCTION("""COMPUTED_VALUE"""),11871.0)</f>
        <v>11871</v>
      </c>
      <c r="AR34" s="190">
        <f>IFERROR(__xludf.DUMMYFUNCTION("""COMPUTED_VALUE"""),11870.76)</f>
        <v>11870.76</v>
      </c>
      <c r="AS34" s="180"/>
      <c r="AT34" s="190">
        <f>IFERROR(__xludf.DUMMYFUNCTION("""COMPUTED_VALUE"""),11870.76)</f>
        <v>11870.76</v>
      </c>
      <c r="AU34" s="190">
        <f>IFERROR(__xludf.DUMMYFUNCTION("""COMPUTED_VALUE"""),989.23)</f>
        <v>989.23</v>
      </c>
      <c r="AV34" s="232">
        <f>IFERROR(__xludf.DUMMYFUNCTION("""COMPUTED_VALUE"""),12.0)</f>
        <v>12</v>
      </c>
      <c r="AW34" s="190">
        <f>IFERROR(__xludf.DUMMYFUNCTION("""COMPUTED_VALUE"""),11870.76)</f>
        <v>11870.76</v>
      </c>
      <c r="AX34" s="190">
        <f>IFERROR(__xludf.DUMMYFUNCTION("""COMPUTED_VALUE"""),0.0)</f>
        <v>0</v>
      </c>
      <c r="AY34" s="190">
        <f>IFERROR(__xludf.DUMMYFUNCTION("""COMPUTED_VALUE"""),11870.76)</f>
        <v>11870.76</v>
      </c>
      <c r="AZ34" s="190">
        <f>IFERROR(__xludf.DUMMYFUNCTION("""COMPUTED_VALUE"""),989.2299999999996)</f>
        <v>989.23</v>
      </c>
      <c r="BA34" s="190">
        <f>IFERROR(__xludf.DUMMYFUNCTION("""COMPUTED_VALUE"""),10881.53)</f>
        <v>10881.53</v>
      </c>
      <c r="BB34" s="180" t="str">
        <f>IFERROR(__xludf.DUMMYFUNCTION("""COMPUTED_VALUE"""),"RP-12010/2020")</f>
        <v>RP-12010/2020</v>
      </c>
      <c r="BC34" s="232">
        <f>IFERROR(__xludf.DUMMYFUNCTION("""COMPUTED_VALUE"""),1.51132022236945E14)</f>
        <v>151132022236945</v>
      </c>
      <c r="BD34" s="180" t="str">
        <f>IFERROR(__xludf.DUMMYFUNCTION("""COMPUTED_VALUE"""),"Sim")</f>
        <v>Sim</v>
      </c>
      <c r="BE34" s="180" t="str">
        <f>IFERROR(__xludf.DUMMYFUNCTION("""COMPUTED_VALUE"""),"Sim")</f>
        <v>Sim</v>
      </c>
      <c r="BF34" s="180"/>
      <c r="BG34" s="180"/>
      <c r="BH34" s="233">
        <f>IFERROR(__xludf.DUMMYFUNCTION("""COMPUTED_VALUE"""),200000.0)</f>
        <v>200000</v>
      </c>
      <c r="BI34" s="180" t="str">
        <f>IFERROR(__xludf.DUMMYFUNCTION("""COMPUTED_VALUE"""),"Média")</f>
        <v>Média</v>
      </c>
      <c r="BJ34" s="180"/>
      <c r="BK34" s="180" t="str">
        <f>IFERROR(__xludf.DUMMYFUNCTION("""COMPUTED_VALUE"""),"ano")</f>
        <v>ano</v>
      </c>
      <c r="BL34" s="180"/>
      <c r="BM34" s="180" t="str">
        <f>IFERROR(__xludf.DUMMYFUNCTION("""COMPUTED_VALUE"""),"PROR")</f>
        <v>PROR</v>
      </c>
      <c r="BN34" s="189"/>
      <c r="BO34" s="189"/>
      <c r="BP34" s="190"/>
      <c r="BQ34" s="190"/>
      <c r="BR34" s="190"/>
      <c r="BS34" s="190">
        <f>IFERROR(__xludf.DUMMYFUNCTION("""COMPUTED_VALUE"""),11870.76)</f>
        <v>11870.76</v>
      </c>
      <c r="BT34" s="190">
        <f>IFERROR(__xludf.DUMMYFUNCTION("""COMPUTED_VALUE"""),11870.76)</f>
        <v>11870.76</v>
      </c>
      <c r="BU34" s="180" t="str">
        <f>IFERROR(__xludf.DUMMYFUNCTION("""COMPUTED_VALUE"""),"Computação em nuvem - software como serviço (SAAS)")</f>
        <v>Computação em nuvem - software como serviço (SAAS)</v>
      </c>
      <c r="BV34" s="180"/>
      <c r="BW34" s="180"/>
      <c r="BX34" s="180"/>
      <c r="BY34" s="180"/>
      <c r="BZ34" s="189"/>
      <c r="CA34" s="180"/>
      <c r="CB34" s="180" t="str">
        <f>IFERROR(__xludf.DUMMYFUNCTION("""COMPUTED_VALUE"""),"Apreciação de Causas na Justiça do Trabalho")</f>
        <v>Apreciação de Causas na Justiça do Trabalho</v>
      </c>
      <c r="CC34" s="180" t="str">
        <f>IFERROR(__xludf.DUMMYFUNCTION("""COMPUTED_VALUE""")," - ")</f>
        <v> - </v>
      </c>
      <c r="CD34" s="180" t="str">
        <f>IFERROR(__xludf.DUMMYFUNCTION("""COMPUTED_VALUE"""),"SERVIÇOS DE TECNOLOGIA DA INFORMAÇÃO E COMUNICAÇÃO - TIC")</f>
        <v>SERVIÇOS DE TECNOLOGIA DA INFORMAÇÃO E COMUNICAÇÃO - TIC</v>
      </c>
      <c r="CE34" s="180"/>
      <c r="CF34" s="180" t="str">
        <f>IFERROR(__xludf.DUMMYFUNCTION("""COMPUTED_VALUE"""),"COMPUTAÇÃO EM NUVEM - SOFTWARE COMO SERVIÇO (SAAS)")</f>
        <v>COMPUTAÇÃO EM NUVEM - SOFTWARE COMO SERVIÇO (SAAS)</v>
      </c>
      <c r="CG34" s="189"/>
      <c r="CH34" s="189">
        <f>IFERROR(__xludf.DUMMYFUNCTION("""COMPUTED_VALUE"""),45290.0)</f>
        <v>45290</v>
      </c>
      <c r="CI34" s="180" t="str">
        <f>IFERROR(__xludf.DUMMYFUNCTION("""COMPUTED_VALUE"""),"PROR")</f>
        <v>PROR</v>
      </c>
      <c r="CJ34" s="190">
        <f>IFERROR(__xludf.DUMMYFUNCTION("""COMPUTED_VALUE"""),11870.76)</f>
        <v>11870.76</v>
      </c>
      <c r="CK34" s="189">
        <f>IFERROR(__xludf.DUMMYFUNCTION("""COMPUTED_VALUE"""),44925.0)</f>
        <v>44925</v>
      </c>
      <c r="CL34" s="180" t="str">
        <f>IFERROR(__xludf.DUMMYFUNCTION("""COMPUTED_VALUE"""),"PROR")</f>
        <v>PROR</v>
      </c>
      <c r="CM34" s="180" t="str">
        <f>IFERROR(__xludf.DUMMYFUNCTION("""COMPUTED_VALUE"""),"x")</f>
        <v>x</v>
      </c>
      <c r="CN34" s="180" t="str">
        <f>IFERROR(__xludf.DUMMYFUNCTION("""COMPUTED_VALUE"""),"RP-12010/2020")</f>
        <v>RP-12010/2020</v>
      </c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</row>
    <row r="35">
      <c r="A35" s="230">
        <f>IFERROR(__xludf.DUMMYFUNCTION("""COMPUTED_VALUE"""),15353.0)</f>
        <v>15353</v>
      </c>
      <c r="B35" s="230">
        <f>IFERROR(__xludf.DUMMYFUNCTION("""COMPUTED_VALUE"""),15353.0)</f>
        <v>15353</v>
      </c>
      <c r="C35" s="180" t="str">
        <f>IFERROR(__xludf.DUMMYFUNCTION("""COMPUTED_VALUE"""),"AUDIÊNCIAS ZOOM - Viabilizar a continuidade de audiências, sessões e reuniões por meio de videoconferências (Zoom)")</f>
        <v>AUDIÊNCIAS ZOOM - Viabilizar a continuidade de audiências, sessões e reuniões por meio de videoconferências (Zoom)</v>
      </c>
      <c r="D35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35" s="180" t="str">
        <f>IFERROR(__xludf.DUMMYFUNCTION("""COMPUTED_VALUE"""),"EJ04 - BUSCAR A INOVAÇÃO DE FORMA COLABORATIVA")</f>
        <v>EJ04 - BUSCAR A INOVAÇÃO DE FORMA COLABORATIVA</v>
      </c>
      <c r="F35" s="180" t="str">
        <f>IFERROR(__xludf.DUMMYFUNCTION("""COMPUTED_VALUE"""),"Contratação de serviços de suporte à microinformática")</f>
        <v>Contratação de serviços de suporte à microinformática</v>
      </c>
      <c r="G35" s="180" t="str">
        <f>IFERROR(__xludf.DUMMYFUNCTION("""COMPUTED_VALUE"""),"(ID PAAC 15353) AUDIÊNCIAS ZOOM - Viabilizar a continuidade de audiências, sessões e reuniões por meio de videoconferências (Zoom)")</f>
        <v>(ID PAAC 15353) AUDIÊNCIAS ZOOM - Viabilizar a continuidade de audiências, sessões e reuniões por meio de videoconferências (Zoom)</v>
      </c>
      <c r="H35" s="180" t="str">
        <f>IFERROR(__xludf.DUMMYFUNCTION("""COMPUTED_VALUE"""),"Continuado")</f>
        <v>Continuado</v>
      </c>
      <c r="I35" s="180" t="str">
        <f>IFERROR(__xludf.DUMMYFUNCTION("""COMPUTED_VALUE"""),"SETIC")</f>
        <v>SETIC</v>
      </c>
      <c r="J35" s="180" t="str">
        <f>IFERROR(__xludf.DUMMYFUNCTION("""COMPUTED_VALUE"""),"SETIC")</f>
        <v>SETIC</v>
      </c>
      <c r="K35" s="180" t="str">
        <f>IFERROR(__xludf.DUMMYFUNCTION("""COMPUTED_VALUE"""),"GND3")</f>
        <v>GND3</v>
      </c>
      <c r="L35" s="231">
        <f>IFERROR(__xludf.DUMMYFUNCTION("""COMPUTED_VALUE"""),0.0)</f>
        <v>0</v>
      </c>
      <c r="M35" s="232">
        <f>IFERROR(__xludf.DUMMYFUNCTION("""COMPUTED_VALUE"""),3.3904019E7)</f>
        <v>33904019</v>
      </c>
      <c r="N35" s="232">
        <f>IFERROR(__xludf.DUMMYFUNCTION("""COMPUTED_VALUE"""),0.0)</f>
        <v>0</v>
      </c>
      <c r="O35" s="230">
        <f>IFERROR(__xludf.DUMMYFUNCTION("""COMPUTED_VALUE"""),168107.0)</f>
        <v>168107</v>
      </c>
      <c r="P35" s="180" t="str">
        <f>IFERROR(__xludf.DUMMYFUNCTION("""COMPUTED_VALUE"""),"Sim")</f>
        <v>Sim</v>
      </c>
      <c r="Q35" s="180" t="str">
        <f>IFERROR(__xludf.DUMMYFUNCTION("""COMPUTED_VALUE"""),"1 - Imprescindível")</f>
        <v>1 - Imprescindível</v>
      </c>
      <c r="R35" s="180" t="str">
        <f>IFERROR(__xludf.DUMMYFUNCTION("""COMPUTED_VALUE"""),"1 - Selecionado")</f>
        <v>1 - Selecionado</v>
      </c>
      <c r="S35" s="180"/>
      <c r="T35" s="180"/>
      <c r="U35" s="180" t="str">
        <f>IFERROR(__xludf.DUMMYFUNCTION("""COMPUTED_VALUE"""),"07 - Concluída")</f>
        <v>07 - Concluída</v>
      </c>
      <c r="V35" s="180" t="str">
        <f>IFERROR(__xludf.DUMMYFUNCTION("""COMPUTED_VALUE"""),"150/2022")</f>
        <v>150/2022</v>
      </c>
      <c r="W35" s="180" t="str">
        <f>IFERROR(__xludf.DUMMYFUNCTION("""COMPUTED_VALUE"""),"1038/2021")</f>
        <v>1038/2021</v>
      </c>
      <c r="X35" s="180" t="str">
        <f>IFERROR(__xludf.DUMMYFUNCTION("""COMPUTED_VALUE"""),"SEINFRA")</f>
        <v>SEINFRA</v>
      </c>
      <c r="Y35" s="180" t="str">
        <f>IFERROR(__xludf.DUMMYFUNCTION("""COMPUTED_VALUE"""),"PROR")</f>
        <v>PROR</v>
      </c>
      <c r="Z35" s="180" t="str">
        <f>IFERROR(__xludf.DUMMYFUNCTION("""COMPUTED_VALUE"""),"RP")</f>
        <v>RP</v>
      </c>
      <c r="AA35" s="180" t="str">
        <f>IFERROR(__xludf.DUMMYFUNCTION("""COMPUTED_VALUE"""),"RP-1038/2021")</f>
        <v>RP-1038/2021</v>
      </c>
      <c r="AB35" s="230">
        <f>IFERROR(__xludf.DUMMYFUNCTION("""COMPUTED_VALUE"""),2.3518065000129E13)</f>
        <v>23518065000129</v>
      </c>
      <c r="AC35" s="180" t="str">
        <f>IFERROR(__xludf.DUMMYFUNCTION("""COMPUTED_VALUE"""),"XP ON CONSULTORIA LTDA")</f>
        <v>XP ON CONSULTORIA LTDA</v>
      </c>
      <c r="AD35" s="189">
        <f>IFERROR(__xludf.DUMMYFUNCTION("""COMPUTED_VALUE"""),44561.0)</f>
        <v>44561</v>
      </c>
      <c r="AE35" s="189">
        <f>IFERROR(__xludf.DUMMYFUNCTION("""COMPUTED_VALUE"""),44651.0)</f>
        <v>44651</v>
      </c>
      <c r="AF35" s="180" t="str">
        <f>IFERROR(__xludf.DUMMYFUNCTION("""COMPUTED_VALUE"""),"Anderson Bastos
Diretor do SEINFRA")</f>
        <v>Anderson Bastos
Diretor do SEINFRA</v>
      </c>
      <c r="AG35" s="233">
        <f>IFERROR(__xludf.DUMMYFUNCTION("""COMPUTED_VALUE"""),200.0)</f>
        <v>200</v>
      </c>
      <c r="AH35" s="190">
        <f>IFERROR(__xludf.DUMMYFUNCTION("""COMPUTED_VALUE"""),279.9996)</f>
        <v>279.9996</v>
      </c>
      <c r="AI35" s="180" t="str">
        <f>IFERROR(__xludf.DUMMYFUNCTION("""COMPUTED_VALUE"""),"Não")</f>
        <v>Não</v>
      </c>
      <c r="AJ35" s="190">
        <f>IFERROR(__xludf.DUMMYFUNCTION("""COMPUTED_VALUE"""),56000.04)</f>
        <v>56000.04</v>
      </c>
      <c r="AK35" s="180" t="str">
        <f>IFERROR(__xludf.DUMMYFUNCTION("""COMPUTED_VALUE"""),"Roberto Masami Nakajo")</f>
        <v>Roberto Masami Nakajo</v>
      </c>
      <c r="AL35" s="180"/>
      <c r="AM35" s="180"/>
      <c r="AN35" s="190">
        <f>IFERROR(__xludf.DUMMYFUNCTION("""COMPUTED_VALUE"""),-1.0800000000017462)</f>
        <v>-1.08</v>
      </c>
      <c r="AO35" s="190">
        <f>IFERROR(__xludf.DUMMYFUNCTION("""COMPUTED_VALUE"""),56001.0)</f>
        <v>56001</v>
      </c>
      <c r="AP35" s="180" t="str">
        <f>IFERROR(__xludf.DUMMYFUNCTION("""COMPUTED_VALUE"""),"2022NE000108")</f>
        <v>2022NE000108</v>
      </c>
      <c r="AQ35" s="190">
        <f>IFERROR(__xludf.DUMMYFUNCTION("""COMPUTED_VALUE"""),56000.0)</f>
        <v>56000</v>
      </c>
      <c r="AR35" s="190">
        <f>IFERROR(__xludf.DUMMYFUNCTION("""COMPUTED_VALUE"""),55999.92)</f>
        <v>55999.92</v>
      </c>
      <c r="AS35" s="180"/>
      <c r="AT35" s="190">
        <f>IFERROR(__xludf.DUMMYFUNCTION("""COMPUTED_VALUE"""),55999.92)</f>
        <v>55999.92</v>
      </c>
      <c r="AU35" s="190">
        <f>IFERROR(__xludf.DUMMYFUNCTION("""COMPUTED_VALUE"""),4666.66)</f>
        <v>4666.66</v>
      </c>
      <c r="AV35" s="232">
        <f>IFERROR(__xludf.DUMMYFUNCTION("""COMPUTED_VALUE"""),12.0)</f>
        <v>12</v>
      </c>
      <c r="AW35" s="190">
        <f>IFERROR(__xludf.DUMMYFUNCTION("""COMPUTED_VALUE"""),55999.92)</f>
        <v>55999.92</v>
      </c>
      <c r="AX35" s="190">
        <f>IFERROR(__xludf.DUMMYFUNCTION("""COMPUTED_VALUE"""),0.0)</f>
        <v>0</v>
      </c>
      <c r="AY35" s="190">
        <f>IFERROR(__xludf.DUMMYFUNCTION("""COMPUTED_VALUE"""),55999.92)</f>
        <v>55999.92</v>
      </c>
      <c r="AZ35" s="190">
        <f>IFERROR(__xludf.DUMMYFUNCTION("""COMPUTED_VALUE"""),10335.659999999996)</f>
        <v>10335.66</v>
      </c>
      <c r="BA35" s="190">
        <f>IFERROR(__xludf.DUMMYFUNCTION("""COMPUTED_VALUE"""),45664.26)</f>
        <v>45664.26</v>
      </c>
      <c r="BB35" s="180" t="str">
        <f>IFERROR(__xludf.DUMMYFUNCTION("""COMPUTED_VALUE"""),"RP-1038/2021")</f>
        <v>RP-1038/2021</v>
      </c>
      <c r="BC35" s="232">
        <f>IFERROR(__xludf.DUMMYFUNCTION("""COMPUTED_VALUE"""),1.51132022236918E14)</f>
        <v>151132022236918</v>
      </c>
      <c r="BD35" s="180" t="str">
        <f>IFERROR(__xludf.DUMMYFUNCTION("""COMPUTED_VALUE"""),"Sim")</f>
        <v>Sim</v>
      </c>
      <c r="BE35" s="180" t="str">
        <f>IFERROR(__xludf.DUMMYFUNCTION("""COMPUTED_VALUE"""),"Não")</f>
        <v>Não</v>
      </c>
      <c r="BF35" s="180"/>
      <c r="BG35" s="180"/>
      <c r="BH35" s="233">
        <f>IFERROR(__xludf.DUMMYFUNCTION("""COMPUTED_VALUE"""),300000.0)</f>
        <v>300000</v>
      </c>
      <c r="BI35" s="180" t="str">
        <f>IFERROR(__xludf.DUMMYFUNCTION("""COMPUTED_VALUE"""),"Alta")</f>
        <v>Alta</v>
      </c>
      <c r="BJ35" s="180"/>
      <c r="BK35" s="180" t="str">
        <f>IFERROR(__xludf.DUMMYFUNCTION("""COMPUTED_VALUE"""),"ano")</f>
        <v>ano</v>
      </c>
      <c r="BL35" s="180"/>
      <c r="BM35" s="180" t="str">
        <f>IFERROR(__xludf.DUMMYFUNCTION("""COMPUTED_VALUE"""),"PROR")</f>
        <v>PROR</v>
      </c>
      <c r="BN35" s="189">
        <f>IFERROR(__xludf.DUMMYFUNCTION("""COMPUTED_VALUE"""),44591.0)</f>
        <v>44591</v>
      </c>
      <c r="BO35" s="189">
        <f>IFERROR(__xludf.DUMMYFUNCTION("""COMPUTED_VALUE"""),44591.0)</f>
        <v>44591</v>
      </c>
      <c r="BP35" s="190">
        <f>IFERROR(__xludf.DUMMYFUNCTION("""COMPUTED_VALUE"""),55999.92)</f>
        <v>55999.92</v>
      </c>
      <c r="BQ35" s="190">
        <f>IFERROR(__xludf.DUMMYFUNCTION("""COMPUTED_VALUE"""),55999.92)</f>
        <v>55999.92</v>
      </c>
      <c r="BR35" s="190">
        <f>IFERROR(__xludf.DUMMYFUNCTION("""COMPUTED_VALUE"""),55999.92)</f>
        <v>55999.92</v>
      </c>
      <c r="BS35" s="190">
        <f>IFERROR(__xludf.DUMMYFUNCTION("""COMPUTED_VALUE"""),55999.92)</f>
        <v>55999.92</v>
      </c>
      <c r="BT35" s="190">
        <f>IFERROR(__xludf.DUMMYFUNCTION("""COMPUTED_VALUE"""),55999.92)</f>
        <v>55999.92</v>
      </c>
      <c r="BU35" s="180" t="str">
        <f>IFERROR(__xludf.DUMMYFUNCTION("""COMPUTED_VALUE"""),"Computação em nuvem - software como serviço (SAAS)")</f>
        <v>Computação em nuvem - software como serviço (SAAS)</v>
      </c>
      <c r="BV35" s="180" t="str">
        <f>IFERROR(__xludf.DUMMYFUNCTION("""COMPUTED_VALUE"""),"INFRA - Serviços de Telecomunicação de Dados e Voz - Rede-JT")</f>
        <v>INFRA - Serviços de Telecomunicação de Dados e Voz - Rede-JT</v>
      </c>
      <c r="BW35" s="180"/>
      <c r="BX35" s="180"/>
      <c r="BY35" s="180" t="str">
        <f>IFERROR(__xludf.DUMMYFUNCTION("""COMPUTED_VALUE"""),"Serviços de Telecomunicação de Dados e Voz - Rede-JT")</f>
        <v>Serviços de Telecomunicação de Dados e Voz - Rede-JT</v>
      </c>
      <c r="BZ35" s="189"/>
      <c r="CA35" s="180"/>
      <c r="CB35" s="180" t="str">
        <f>IFERROR(__xludf.DUMMYFUNCTION("""COMPUTED_VALUE"""),"Manutenção e Gestão dos Serviços de Tecnologia da Informação")</f>
        <v>Manutenção e Gestão dos Serviços de Tecnologia da Informação</v>
      </c>
      <c r="CC35" s="180" t="str">
        <f>IFERROR(__xludf.DUMMYFUNCTION("""COMPUTED_VALUE"""),"INFRA - Serviços de Telecomunicação de Dados e Voz - Rede-JT - Serviços de Telecomunicação de Dados e Voz - Rede-JT")</f>
        <v>INFRA - Serviços de Telecomunicação de Dados e Voz - Rede-JT - Serviços de Telecomunicação de Dados e Voz - Rede-JT</v>
      </c>
      <c r="CD35" s="180" t="str">
        <f>IFERROR(__xludf.DUMMYFUNCTION("""COMPUTED_VALUE"""),"SERVIÇOS DE TECNOLOGIA DA INFORMAÇÃO E COMUNICAÇÃO - TIC")</f>
        <v>SERVIÇOS DE TECNOLOGIA DA INFORMAÇÃO E COMUNICAÇÃO - TIC</v>
      </c>
      <c r="CE35" s="180"/>
      <c r="CF35" s="180" t="str">
        <f>IFERROR(__xludf.DUMMYFUNCTION("""COMPUTED_VALUE"""),"COMPUTAÇÃO EM NUVEM - SOFTWARE COMO SERVIÇO (SAAS)")</f>
        <v>COMPUTAÇÃO EM NUVEM - SOFTWARE COMO SERVIÇO (SAAS)</v>
      </c>
      <c r="CG35" s="189"/>
      <c r="CH35" s="189">
        <f>IFERROR(__xludf.DUMMYFUNCTION("""COMPUTED_VALUE"""),45016.0)</f>
        <v>45016</v>
      </c>
      <c r="CI35" s="180" t="str">
        <f>IFERROR(__xludf.DUMMYFUNCTION("""COMPUTED_VALUE"""),"PROR")</f>
        <v>PROR</v>
      </c>
      <c r="CJ35" s="190">
        <f>IFERROR(__xludf.DUMMYFUNCTION("""COMPUTED_VALUE"""),51383.37)</f>
        <v>51383.37</v>
      </c>
      <c r="CK35" s="189">
        <f>IFERROR(__xludf.DUMMYFUNCTION("""COMPUTED_VALUE"""),44651.0)</f>
        <v>44651</v>
      </c>
      <c r="CL35" s="180" t="str">
        <f>IFERROR(__xludf.DUMMYFUNCTION("""COMPUTED_VALUE"""),"PROR")</f>
        <v>PROR</v>
      </c>
      <c r="CM35" s="180" t="str">
        <f>IFERROR(__xludf.DUMMYFUNCTION("""COMPUTED_VALUE"""),"x")</f>
        <v>x</v>
      </c>
      <c r="CN35" s="180" t="str">
        <f>IFERROR(__xludf.DUMMYFUNCTION("""COMPUTED_VALUE"""),"RP-1038/2021")</f>
        <v>RP-1038/2021</v>
      </c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</row>
    <row r="36">
      <c r="A36" s="230">
        <f>IFERROR(__xludf.DUMMYFUNCTION("""COMPUTED_VALUE"""),15355.0)</f>
        <v>15355</v>
      </c>
      <c r="B36" s="230">
        <f>IFERROR(__xludf.DUMMYFUNCTION("""COMPUTED_VALUE"""),0.0)</f>
        <v>0</v>
      </c>
      <c r="C36" s="180" t="str">
        <f>IFERROR(__xludf.DUMMYFUNCTION("""COMPUTED_VALUE"""),"BANCO DE DADOS ORACLE - Contratação de suporte e atualização de licenças Oracle, para os sistemas PROAD, SIGEP")</f>
        <v>BANCO DE DADOS ORACLE - Contratação de suporte e atualização de licenças Oracle, para os sistemas PROAD, SIGEP</v>
      </c>
      <c r="D36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36" s="180" t="str">
        <f>IFERROR(__xludf.DUMMYFUNCTION("""COMPUTED_VALUE"""),"EJ08 - PROMOVER SERVIÇOS DE INFRAESTRUTURA E SOLUÇÕES CORPORATIVAS")</f>
        <v>EJ08 - PROMOVER SERVIÇOS DE INFRAESTRUTURA E SOLUÇÕES CORPORATIVAS</v>
      </c>
      <c r="F36" s="180" t="str">
        <f>IFERROR(__xludf.DUMMYFUNCTION("""COMPUTED_VALUE"""),"Contratação de serviços para o suporte à infraestrutura tecnológica")</f>
        <v>Contratação de serviços para o suporte à infraestrutura tecnológica</v>
      </c>
      <c r="G36" s="180" t="str">
        <f>IFERROR(__xludf.DUMMYFUNCTION("""COMPUTED_VALUE"""),"(ID PAAC 15355) BANCO DE DADOS ORACLE - Contratação de suporte e atualização de licenças Oracle, para os sistemas PROAD, SIGEP")</f>
        <v>(ID PAAC 15355) BANCO DE DADOS ORACLE - Contratação de suporte e atualização de licenças Oracle, para os sistemas PROAD, SIGEP</v>
      </c>
      <c r="H36" s="180" t="str">
        <f>IFERROR(__xludf.DUMMYFUNCTION("""COMPUTED_VALUE"""),"Continuado")</f>
        <v>Continuado</v>
      </c>
      <c r="I36" s="180" t="str">
        <f>IFERROR(__xludf.DUMMYFUNCTION("""COMPUTED_VALUE"""),"SETIC")</f>
        <v>SETIC</v>
      </c>
      <c r="J36" s="180" t="str">
        <f>IFERROR(__xludf.DUMMYFUNCTION("""COMPUTED_VALUE"""),"SETIC")</f>
        <v>SETIC</v>
      </c>
      <c r="K36" s="180" t="str">
        <f>IFERROR(__xludf.DUMMYFUNCTION("""COMPUTED_VALUE"""),"GND3")</f>
        <v>GND3</v>
      </c>
      <c r="L36" s="231">
        <f>IFERROR(__xludf.DUMMYFUNCTION("""COMPUTED_VALUE"""),0.0)</f>
        <v>0</v>
      </c>
      <c r="M36" s="232">
        <f>IFERROR(__xludf.DUMMYFUNCTION("""COMPUTED_VALUE"""),3.3904007E7)</f>
        <v>33904007</v>
      </c>
      <c r="N36" s="232">
        <f>IFERROR(__xludf.DUMMYFUNCTION("""COMPUTED_VALUE"""),0.0)</f>
        <v>0</v>
      </c>
      <c r="O36" s="230">
        <f>IFERROR(__xludf.DUMMYFUNCTION("""COMPUTED_VALUE"""),168107.0)</f>
        <v>168107</v>
      </c>
      <c r="P36" s="180" t="str">
        <f>IFERROR(__xludf.DUMMYFUNCTION("""COMPUTED_VALUE"""),"Sim")</f>
        <v>Sim</v>
      </c>
      <c r="Q36" s="180" t="str">
        <f>IFERROR(__xludf.DUMMYFUNCTION("""COMPUTED_VALUE"""),"1 - Imprescindível")</f>
        <v>1 - Imprescindível</v>
      </c>
      <c r="R36" s="180" t="str">
        <f>IFERROR(__xludf.DUMMYFUNCTION("""COMPUTED_VALUE"""),"1 - Selecionado")</f>
        <v>1 - Selecionado</v>
      </c>
      <c r="S36" s="180"/>
      <c r="T36" s="180"/>
      <c r="U36" s="180" t="str">
        <f>IFERROR(__xludf.DUMMYFUNCTION("""COMPUTED_VALUE"""),"01 - Não oficializado")</f>
        <v>01 - Não oficializado</v>
      </c>
      <c r="V36" s="180"/>
      <c r="W36" s="180" t="str">
        <f>IFERROR(__xludf.DUMMYFUNCTION("""COMPUTED_VALUE"""),"9758/2021")</f>
        <v>9758/2021</v>
      </c>
      <c r="X36" s="180" t="str">
        <f>IFERROR(__xludf.DUMMYFUNCTION("""COMPUTED_VALUE"""),"SEINFRA")</f>
        <v>SEINFRA</v>
      </c>
      <c r="Y36" s="180" t="str">
        <f>IFERROR(__xludf.DUMMYFUNCTION("""COMPUTED_VALUE"""),"PROR")</f>
        <v>PROR</v>
      </c>
      <c r="Z36" s="180" t="str">
        <f>IFERROR(__xludf.DUMMYFUNCTION("""COMPUTED_VALUE"""),"CD")</f>
        <v>CD</v>
      </c>
      <c r="AA36" s="180" t="str">
        <f>IFERROR(__xludf.DUMMYFUNCTION("""COMPUTED_VALUE"""),"CD-9758/2021")</f>
        <v>CD-9758/2021</v>
      </c>
      <c r="AB36" s="230">
        <f>IFERROR(__xludf.DUMMYFUNCTION("""COMPUTED_VALUE"""),5.9456277000176E13)</f>
        <v>59456277000176</v>
      </c>
      <c r="AC36" s="180" t="str">
        <f>IFERROR(__xludf.DUMMYFUNCTION("""COMPUTED_VALUE"""),"ORACLE DO BRASIL SISTEMAS LTDA")</f>
        <v>ORACLE DO BRASIL SISTEMAS LTDA</v>
      </c>
      <c r="AD36" s="189">
        <f>IFERROR(__xludf.DUMMYFUNCTION("""COMPUTED_VALUE"""),44784.0)</f>
        <v>44784</v>
      </c>
      <c r="AE36" s="189">
        <f>IFERROR(__xludf.DUMMYFUNCTION("""COMPUTED_VALUE"""),44874.0)</f>
        <v>44874</v>
      </c>
      <c r="AF36" s="180" t="str">
        <f>IFERROR(__xludf.DUMMYFUNCTION("""COMPUTED_VALUE"""),"Anderson Bastos
Diretor do SEINFRA")</f>
        <v>Anderson Bastos
Diretor do SEINFRA</v>
      </c>
      <c r="AG36" s="233">
        <f>IFERROR(__xludf.DUMMYFUNCTION("""COMPUTED_VALUE"""),1.0)</f>
        <v>1</v>
      </c>
      <c r="AH36" s="190">
        <f>IFERROR(__xludf.DUMMYFUNCTION("""COMPUTED_VALUE"""),314626.19999999995)</f>
        <v>314626.2</v>
      </c>
      <c r="AI36" s="180" t="str">
        <f>IFERROR(__xludf.DUMMYFUNCTION("""COMPUTED_VALUE"""),"Não")</f>
        <v>Não</v>
      </c>
      <c r="AJ36" s="190"/>
      <c r="AK36" s="180" t="str">
        <f>IFERROR(__xludf.DUMMYFUNCTION("""COMPUTED_VALUE"""),"Anderson Bastos")</f>
        <v>Anderson Bastos</v>
      </c>
      <c r="AL36" s="180"/>
      <c r="AM36" s="180"/>
      <c r="AN36" s="190">
        <f>IFERROR(__xludf.DUMMYFUNCTION("""COMPUTED_VALUE"""),-5373.800000000047)</f>
        <v>-5373.8</v>
      </c>
      <c r="AO36" s="190">
        <f>IFERROR(__xludf.DUMMYFUNCTION("""COMPUTED_VALUE"""),320000.0)</f>
        <v>320000</v>
      </c>
      <c r="AP36" s="180" t="str">
        <f>IFERROR(__xludf.DUMMYFUNCTION("""COMPUTED_VALUE"""),"2022NE000124")</f>
        <v>2022NE000124</v>
      </c>
      <c r="AQ36" s="190">
        <f>IFERROR(__xludf.DUMMYFUNCTION("""COMPUTED_VALUE"""),300000.0)</f>
        <v>300000</v>
      </c>
      <c r="AR36" s="190">
        <f>IFERROR(__xludf.DUMMYFUNCTION("""COMPUTED_VALUE"""),314626.19999999995)</f>
        <v>314626.2</v>
      </c>
      <c r="AS36" s="180" t="str">
        <f>IFERROR(__xludf.DUMMYFUNCTION("""COMPUTED_VALUE"""),"2021NE000445")</f>
        <v>2021NE000445</v>
      </c>
      <c r="AT36" s="190">
        <f>IFERROR(__xludf.DUMMYFUNCTION("""COMPUTED_VALUE"""),314626.19999999995)</f>
        <v>314626.2</v>
      </c>
      <c r="AU36" s="190">
        <f>IFERROR(__xludf.DUMMYFUNCTION("""COMPUTED_VALUE"""),26218.85)</f>
        <v>26218.85</v>
      </c>
      <c r="AV36" s="232">
        <f>IFERROR(__xludf.DUMMYFUNCTION("""COMPUTED_VALUE"""),11.999999999999998)</f>
        <v>12</v>
      </c>
      <c r="AW36" s="190">
        <f>IFERROR(__xludf.DUMMYFUNCTION("""COMPUTED_VALUE"""),314626.19999999995)</f>
        <v>314626.2</v>
      </c>
      <c r="AX36" s="190">
        <f>IFERROR(__xludf.DUMMYFUNCTION("""COMPUTED_VALUE"""),0.0)</f>
        <v>0</v>
      </c>
      <c r="AY36" s="190">
        <f>IFERROR(__xludf.DUMMYFUNCTION("""COMPUTED_VALUE"""),314626.2)</f>
        <v>314626.2</v>
      </c>
      <c r="AZ36" s="190">
        <f>IFERROR(__xludf.DUMMYFUNCTION("""COMPUTED_VALUE"""),52437.70000000001)</f>
        <v>52437.7</v>
      </c>
      <c r="BA36" s="190">
        <f>IFERROR(__xludf.DUMMYFUNCTION("""COMPUTED_VALUE"""),262188.5)</f>
        <v>262188.5</v>
      </c>
      <c r="BB36" s="180" t="str">
        <f>IFERROR(__xludf.DUMMYFUNCTION("""COMPUTED_VALUE"""),"CD-9758/2021")</f>
        <v>CD-9758/2021</v>
      </c>
      <c r="BC36" s="232">
        <f>IFERROR(__xludf.DUMMYFUNCTION("""COMPUTED_VALUE"""),1.51132022236936E14)</f>
        <v>151132022236936</v>
      </c>
      <c r="BD36" s="180" t="str">
        <f>IFERROR(__xludf.DUMMYFUNCTION("""COMPUTED_VALUE"""),"Sim")</f>
        <v>Sim</v>
      </c>
      <c r="BE36" s="180" t="str">
        <f>IFERROR(__xludf.DUMMYFUNCTION("""COMPUTED_VALUE"""),"Não")</f>
        <v>Não</v>
      </c>
      <c r="BF36" s="180"/>
      <c r="BG36" s="180"/>
      <c r="BH36" s="233">
        <f>IFERROR(__xludf.DUMMYFUNCTION("""COMPUTED_VALUE"""),300000.0)</f>
        <v>300000</v>
      </c>
      <c r="BI36" s="180" t="str">
        <f>IFERROR(__xludf.DUMMYFUNCTION("""COMPUTED_VALUE"""),"Alta")</f>
        <v>Alta</v>
      </c>
      <c r="BJ36" s="180"/>
      <c r="BK36" s="180" t="str">
        <f>IFERROR(__xludf.DUMMYFUNCTION("""COMPUTED_VALUE"""),"ano")</f>
        <v>ano</v>
      </c>
      <c r="BL36" s="180"/>
      <c r="BM36" s="180" t="str">
        <f>IFERROR(__xludf.DUMMYFUNCTION("""COMPUTED_VALUE"""),"PROR")</f>
        <v>PROR</v>
      </c>
      <c r="BN36" s="189"/>
      <c r="BO36" s="189"/>
      <c r="BP36" s="190"/>
      <c r="BQ36" s="190"/>
      <c r="BR36" s="190"/>
      <c r="BS36" s="190">
        <f>IFERROR(__xludf.DUMMYFUNCTION("""COMPUTED_VALUE"""),314626.19999999995)</f>
        <v>314626.2</v>
      </c>
      <c r="BT36" s="190">
        <f>IFERROR(__xludf.DUMMYFUNCTION("""COMPUTED_VALUE"""),314626.19999999995)</f>
        <v>314626.2</v>
      </c>
      <c r="BU36" s="180" t="str">
        <f>IFERROR(__xludf.DUMMYFUNCTION("""COMPUTED_VALUE"""),"Manutenção corretiva/adaptativa e sustentação softwares")</f>
        <v>Manutenção corretiva/adaptativa e sustentação softwares</v>
      </c>
      <c r="BV36" s="180" t="str">
        <f>IFERROR(__xludf.DUMMYFUNCTION("""COMPUTED_VALUE"""),"INFRA - Plataforma de Banco de Dados Oracle (Suporte)")</f>
        <v>INFRA - Plataforma de Banco de Dados Oracle (Suporte)</v>
      </c>
      <c r="BW36" s="180"/>
      <c r="BX36" s="180"/>
      <c r="BY36" s="180" t="str">
        <f>IFERROR(__xludf.DUMMYFUNCTION("""COMPUTED_VALUE"""),"Plataforma de Banco de Dados Oracle (Suporte)")</f>
        <v>Plataforma de Banco de Dados Oracle (Suporte)</v>
      </c>
      <c r="BZ36" s="189"/>
      <c r="CA36" s="180"/>
      <c r="CB36" s="180" t="str">
        <f>IFERROR(__xludf.DUMMYFUNCTION("""COMPUTED_VALUE"""),"Manutenção e Gestão dos Serviços de Tecnologia da Informação")</f>
        <v>Manutenção e Gestão dos Serviços de Tecnologia da Informação</v>
      </c>
      <c r="CC36" s="180" t="str">
        <f>IFERROR(__xludf.DUMMYFUNCTION("""COMPUTED_VALUE"""),"INFRA - Plataforma de Banco de Dados Oracle (Suporte) - Plataforma de Banco de Dados Oracle (Suporte)")</f>
        <v>INFRA - Plataforma de Banco de Dados Oracle (Suporte) - Plataforma de Banco de Dados Oracle (Suporte)</v>
      </c>
      <c r="CD36" s="180" t="str">
        <f>IFERROR(__xludf.DUMMYFUNCTION("""COMPUTED_VALUE"""),"SERVIÇOS DE TECNOLOGIA DA INFORMAÇÃO E COMUNICAÇÃO - TIC")</f>
        <v>SERVIÇOS DE TECNOLOGIA DA INFORMAÇÃO E COMUNICAÇÃO - TIC</v>
      </c>
      <c r="CE36" s="180"/>
      <c r="CF36" s="180" t="str">
        <f>IFERROR(__xludf.DUMMYFUNCTION("""COMPUTED_VALUE"""),"MANUTENÇÃO CORRETIVA/ADAPTATIVA E SUSTENTAÇÃO SOFTWARES")</f>
        <v>MANUTENÇÃO CORRETIVA/ADAPTATIVA E SUSTENTAÇÃO SOFTWARES</v>
      </c>
      <c r="CG36" s="189"/>
      <c r="CH36" s="189">
        <f>IFERROR(__xludf.DUMMYFUNCTION("""COMPUTED_VALUE"""),45239.0)</f>
        <v>45239</v>
      </c>
      <c r="CI36" s="180" t="str">
        <f>IFERROR(__xludf.DUMMYFUNCTION("""COMPUTED_VALUE"""),"PROR")</f>
        <v>PROR</v>
      </c>
      <c r="CJ36" s="190">
        <f>IFERROR(__xludf.DUMMYFUNCTION("""COMPUTED_VALUE"""),300000.0)</f>
        <v>300000</v>
      </c>
      <c r="CK36" s="189">
        <f>IFERROR(__xludf.DUMMYFUNCTION("""COMPUTED_VALUE"""),44874.0)</f>
        <v>44874</v>
      </c>
      <c r="CL36" s="180" t="str">
        <f>IFERROR(__xludf.DUMMYFUNCTION("""COMPUTED_VALUE"""),"PROR")</f>
        <v>PROR</v>
      </c>
      <c r="CM36" s="180" t="str">
        <f>IFERROR(__xludf.DUMMYFUNCTION("""COMPUTED_VALUE"""),"x")</f>
        <v>x</v>
      </c>
      <c r="CN36" s="180" t="str">
        <f>IFERROR(__xludf.DUMMYFUNCTION("""COMPUTED_VALUE"""),"CD-9758/2021")</f>
        <v>CD-9758/2021</v>
      </c>
      <c r="CO36" s="234" t="str">
        <f>IFERROR(__xludf.DUMMYFUNCTION("""COMPUTED_VALUE"""),"https://www.trt12.jus.br/proad/pages/fichadoprocesso.xhtml?numeroProtocolo=9758&amp;numeroAno=2021&amp;tab=tabFichaDocumento")</f>
        <v>https://www.trt12.jus.br/proad/pages/fichadoprocesso.xhtml?numeroProtocolo=9758&amp;numeroAno=2021&amp;tab=tabFichaDocumento</v>
      </c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</row>
    <row r="37">
      <c r="A37" s="230">
        <f>IFERROR(__xludf.DUMMYFUNCTION("""COMPUTED_VALUE"""),15356.0)</f>
        <v>15356</v>
      </c>
      <c r="B37" s="230">
        <f>IFERROR(__xludf.DUMMYFUNCTION("""COMPUTED_VALUE"""),0.0)</f>
        <v>0</v>
      </c>
      <c r="C37" s="180" t="str">
        <f>IFERROR(__xludf.DUMMYFUNCTION("""COMPUTED_VALUE"""),"ANTIVÍRUS - Aquisição de licenças de solução de antivírus com suporte e atualização, para proteção contra ameaças externas (continua o 1366/2017, ID 15004)")</f>
        <v>ANTIVÍRUS - Aquisição de licenças de solução de antivírus com suporte e atualização, para proteção contra ameaças externas (continua o 1366/2017, ID 15004)</v>
      </c>
      <c r="D37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37" s="180" t="str">
        <f>IFERROR(__xludf.DUMMYFUNCTION("""COMPUTED_VALUE"""),"EJ07 - APRIMORAR A SEGURANÇA DA INFORMAÇÃO E A GESTÃO DE DADOS")</f>
        <v>EJ07 - APRIMORAR A SEGURANÇA DA INFORMAÇÃO E A GESTÃO DE DADOS</v>
      </c>
      <c r="F37" s="180" t="str">
        <f>IFERROR(__xludf.DUMMYFUNCTION("""COMPUTED_VALUE"""),"Contratação de serviços de suporte à microinformática")</f>
        <v>Contratação de serviços de suporte à microinformática</v>
      </c>
      <c r="G37" s="180" t="str">
        <f>IFERROR(__xludf.DUMMYFUNCTION("""COMPUTED_VALUE"""),"(ID PAAC 15356) ANTIVÍRUS - Aquisição de licenças de solução de antivírus com suporte e atualização, para proteção contra ameaças externas (continua o 1366/2017, ID 15004)")</f>
        <v>(ID PAAC 15356) ANTIVÍRUS - Aquisição de licenças de solução de antivírus com suporte e atualização, para proteção contra ameaças externas (continua o 1366/2017, ID 15004)</v>
      </c>
      <c r="H37" s="180" t="str">
        <f>IFERROR(__xludf.DUMMYFUNCTION("""COMPUTED_VALUE"""),"Continuado")</f>
        <v>Continuado</v>
      </c>
      <c r="I37" s="180" t="str">
        <f>IFERROR(__xludf.DUMMYFUNCTION("""COMPUTED_VALUE"""),"SETIC")</f>
        <v>SETIC</v>
      </c>
      <c r="J37" s="180" t="str">
        <f>IFERROR(__xludf.DUMMYFUNCTION("""COMPUTED_VALUE"""),"SETIC")</f>
        <v>SETIC</v>
      </c>
      <c r="K37" s="180" t="str">
        <f>IFERROR(__xludf.DUMMYFUNCTION("""COMPUTED_VALUE"""),"GND3")</f>
        <v>GND3</v>
      </c>
      <c r="L37" s="231">
        <f>IFERROR(__xludf.DUMMYFUNCTION("""COMPUTED_VALUE"""),0.0)</f>
        <v>0</v>
      </c>
      <c r="M37" s="232">
        <f>IFERROR(__xludf.DUMMYFUNCTION("""COMPUTED_VALUE"""),3.3904006E7)</f>
        <v>33904006</v>
      </c>
      <c r="N37" s="232">
        <f>IFERROR(__xludf.DUMMYFUNCTION("""COMPUTED_VALUE"""),0.0)</f>
        <v>0</v>
      </c>
      <c r="O37" s="230">
        <f>IFERROR(__xludf.DUMMYFUNCTION("""COMPUTED_VALUE"""),168107.0)</f>
        <v>168107</v>
      </c>
      <c r="P37" s="180" t="str">
        <f>IFERROR(__xludf.DUMMYFUNCTION("""COMPUTED_VALUE"""),"Sim")</f>
        <v>Sim</v>
      </c>
      <c r="Q37" s="180" t="str">
        <f>IFERROR(__xludf.DUMMYFUNCTION("""COMPUTED_VALUE"""),"1 - Imprescindível")</f>
        <v>1 - Imprescindível</v>
      </c>
      <c r="R37" s="180" t="str">
        <f>IFERROR(__xludf.DUMMYFUNCTION("""COMPUTED_VALUE"""),"1 - Selecionado")</f>
        <v>1 - Selecionado</v>
      </c>
      <c r="S37" s="180" t="str">
        <f>IFERROR(__xludf.DUMMYFUNCTION("""COMPUTED_VALUE"""),"2021 ok SIGEO ok")</f>
        <v>2021 ok SIGEO ok</v>
      </c>
      <c r="T37" s="180"/>
      <c r="U37" s="180" t="str">
        <f>IFERROR(__xludf.DUMMYFUNCTION("""COMPUTED_VALUE"""),"99 - Orçamentário")</f>
        <v>99 - Orçamentário</v>
      </c>
      <c r="V37" s="180"/>
      <c r="W37" s="180" t="str">
        <f>IFERROR(__xludf.DUMMYFUNCTION("""COMPUTED_VALUE"""),"9019/2021")</f>
        <v>9019/2021</v>
      </c>
      <c r="X37" s="180" t="str">
        <f>IFERROR(__xludf.DUMMYFUNCTION("""COMPUTED_VALUE"""),"SEINFRA")</f>
        <v>SEINFRA</v>
      </c>
      <c r="Y37" s="180" t="str">
        <f>IFERROR(__xludf.DUMMYFUNCTION("""COMPUTED_VALUE"""),"ORÇAMENTO")</f>
        <v>ORÇAMENTO</v>
      </c>
      <c r="Z37" s="180" t="str">
        <f>IFERROR(__xludf.DUMMYFUNCTION("""COMPUTED_VALUE"""),"RP")</f>
        <v>RP</v>
      </c>
      <c r="AA37" s="180" t="str">
        <f>IFERROR(__xludf.DUMMYFUNCTION("""COMPUTED_VALUE"""),"RP-9019/2021")</f>
        <v>RP-9019/2021</v>
      </c>
      <c r="AB37" s="230">
        <f>IFERROR(__xludf.DUMMYFUNCTION("""COMPUTED_VALUE"""),1.707536000104E12)</f>
        <v>1707536000104</v>
      </c>
      <c r="AC37" s="180" t="str">
        <f>IFERROR(__xludf.DUMMYFUNCTION("""COMPUTED_VALUE"""),"ISH TECNOLOGIA S/A")</f>
        <v>ISH TECNOLOGIA S/A</v>
      </c>
      <c r="AD37" s="189">
        <f>IFERROR(__xludf.DUMMYFUNCTION("""COMPUTED_VALUE"""),45934.0)</f>
        <v>45934</v>
      </c>
      <c r="AE37" s="189">
        <f>IFERROR(__xludf.DUMMYFUNCTION("""COMPUTED_VALUE"""),45934.0)</f>
        <v>45934</v>
      </c>
      <c r="AF37" s="180" t="str">
        <f>IFERROR(__xludf.DUMMYFUNCTION("""COMPUTED_VALUE"""),"Anderson Bastos
Diretor do SEINFRA")</f>
        <v>Anderson Bastos
Diretor do SEINFRA</v>
      </c>
      <c r="AG37" s="233">
        <f>IFERROR(__xludf.DUMMYFUNCTION("""COMPUTED_VALUE"""),1.0)</f>
        <v>1</v>
      </c>
      <c r="AH37" s="190">
        <f>IFERROR(__xludf.DUMMYFUNCTION("""COMPUTED_VALUE"""),192000.0)</f>
        <v>192000</v>
      </c>
      <c r="AI37" s="180" t="str">
        <f>IFERROR(__xludf.DUMMYFUNCTION("""COMPUTED_VALUE"""),"Não")</f>
        <v>Não</v>
      </c>
      <c r="AJ37" s="190"/>
      <c r="AK37" s="180" t="str">
        <f>IFERROR(__xludf.DUMMYFUNCTION("""COMPUTED_VALUE"""),"Anderson Bastos")</f>
        <v>Anderson Bastos</v>
      </c>
      <c r="AL37" s="180"/>
      <c r="AM37" s="180"/>
      <c r="AN37" s="190">
        <f>IFERROR(__xludf.DUMMYFUNCTION("""COMPUTED_VALUE"""),92000.0)</f>
        <v>92000</v>
      </c>
      <c r="AO37" s="190">
        <f>IFERROR(__xludf.DUMMYFUNCTION("""COMPUTED_VALUE"""),100000.0)</f>
        <v>100000</v>
      </c>
      <c r="AP37" s="180" t="str">
        <f>IFERROR(__xludf.DUMMYFUNCTION("""COMPUTED_VALUE"""),"2022NE000125")</f>
        <v>2022NE000125</v>
      </c>
      <c r="AQ37" s="190">
        <f>IFERROR(__xludf.DUMMYFUNCTION("""COMPUTED_VALUE"""),126213.0)</f>
        <v>126213</v>
      </c>
      <c r="AR37" s="190">
        <f>IFERROR(__xludf.DUMMYFUNCTION("""COMPUTED_VALUE"""),192000.0)</f>
        <v>192000</v>
      </c>
      <c r="AS37" s="180" t="str">
        <f>IFERROR(__xludf.DUMMYFUNCTION("""COMPUTED_VALUE"""),"2021NE000403")</f>
        <v>2021NE000403</v>
      </c>
      <c r="AT37" s="190">
        <f>IFERROR(__xludf.DUMMYFUNCTION("""COMPUTED_VALUE"""),192000.0)</f>
        <v>192000</v>
      </c>
      <c r="AU37" s="190">
        <f>IFERROR(__xludf.DUMMYFUNCTION("""COMPUTED_VALUE"""),16000.0)</f>
        <v>16000</v>
      </c>
      <c r="AV37" s="232">
        <f>IFERROR(__xludf.DUMMYFUNCTION("""COMPUTED_VALUE"""),12.0)</f>
        <v>12</v>
      </c>
      <c r="AW37" s="190">
        <f>IFERROR(__xludf.DUMMYFUNCTION("""COMPUTED_VALUE"""),192000.0)</f>
        <v>192000</v>
      </c>
      <c r="AX37" s="190">
        <f>IFERROR(__xludf.DUMMYFUNCTION("""COMPUTED_VALUE"""),0.0)</f>
        <v>0</v>
      </c>
      <c r="AY37" s="190">
        <f>IFERROR(__xludf.DUMMYFUNCTION("""COMPUTED_VALUE"""),192000.0)</f>
        <v>192000</v>
      </c>
      <c r="AZ37" s="190">
        <f>IFERROR(__xludf.DUMMYFUNCTION("""COMPUTED_VALUE"""),0.0)</f>
        <v>0</v>
      </c>
      <c r="BA37" s="190">
        <f>IFERROR(__xludf.DUMMYFUNCTION("""COMPUTED_VALUE"""),192000.0)</f>
        <v>192000</v>
      </c>
      <c r="BB37" s="180" t="str">
        <f>IFERROR(__xludf.DUMMYFUNCTION("""COMPUTED_VALUE"""),"RP-9019/2021")</f>
        <v>RP-9019/2021</v>
      </c>
      <c r="BC37" s="232">
        <f>IFERROR(__xludf.DUMMYFUNCTION("""COMPUTED_VALUE"""),1.51132022236934E14)</f>
        <v>151132022236934</v>
      </c>
      <c r="BD37" s="180" t="str">
        <f>IFERROR(__xludf.DUMMYFUNCTION("""COMPUTED_VALUE"""),"Não")</f>
        <v>Não</v>
      </c>
      <c r="BE37" s="180"/>
      <c r="BF37" s="180"/>
      <c r="BG37" s="180"/>
      <c r="BH37" s="233">
        <f>IFERROR(__xludf.DUMMYFUNCTION("""COMPUTED_VALUE"""),300000.0)</f>
        <v>300000</v>
      </c>
      <c r="BI37" s="180" t="str">
        <f>IFERROR(__xludf.DUMMYFUNCTION("""COMPUTED_VALUE"""),"Alta")</f>
        <v>Alta</v>
      </c>
      <c r="BJ37" s="180"/>
      <c r="BK37" s="180" t="str">
        <f>IFERROR(__xludf.DUMMYFUNCTION("""COMPUTED_VALUE"""),"ano")</f>
        <v>ano</v>
      </c>
      <c r="BL37" s="180"/>
      <c r="BM37" s="180" t="str">
        <f>IFERROR(__xludf.DUMMYFUNCTION("""COMPUTED_VALUE"""),"ORÇAMENTO")</f>
        <v>ORÇAMENTO</v>
      </c>
      <c r="BN37" s="189"/>
      <c r="BO37" s="189"/>
      <c r="BP37" s="190"/>
      <c r="BQ37" s="190"/>
      <c r="BR37" s="190"/>
      <c r="BS37" s="190">
        <f>IFERROR(__xludf.DUMMYFUNCTION("""COMPUTED_VALUE"""),192000.0)</f>
        <v>192000</v>
      </c>
      <c r="BT37" s="190"/>
      <c r="BU37" s="180" t="str">
        <f>IFERROR(__xludf.DUMMYFUNCTION("""COMPUTED_VALUE"""),"Locação de softwares")</f>
        <v>Locação de softwares</v>
      </c>
      <c r="BV37" s="180" t="str">
        <f>IFERROR(__xludf.DUMMYFUNCTION("""COMPUTED_VALUE"""),"SEGURANÇA - Solução de Antivírus (Suporte)")</f>
        <v>SEGURANÇA - Solução de Antivírus (Suporte)</v>
      </c>
      <c r="BW37" s="180"/>
      <c r="BX37" s="180"/>
      <c r="BY37" s="180" t="str">
        <f>IFERROR(__xludf.DUMMYFUNCTION("""COMPUTED_VALUE"""),"Solução de Antivírus (Suporte)")</f>
        <v>Solução de Antivírus (Suporte)</v>
      </c>
      <c r="BZ37" s="189"/>
      <c r="CA37" s="180"/>
      <c r="CB37" s="180" t="str">
        <f>IFERROR(__xludf.DUMMYFUNCTION("""COMPUTED_VALUE"""),"Manutenção e Gestão dos Serviços de Tecnologia da Informação")</f>
        <v>Manutenção e Gestão dos Serviços de Tecnologia da Informação</v>
      </c>
      <c r="CC37" s="180" t="str">
        <f>IFERROR(__xludf.DUMMYFUNCTION("""COMPUTED_VALUE"""),"SEGURANÇA - Solução de Antivírus (Suporte) - Solução de Antivírus (Suporte)")</f>
        <v>SEGURANÇA - Solução de Antivírus (Suporte) - Solução de Antivírus (Suporte)</v>
      </c>
      <c r="CD37" s="180" t="str">
        <f>IFERROR(__xludf.DUMMYFUNCTION("""COMPUTED_VALUE"""),"SERVIÇOS DE TECNOLOGIA DA INFORMAÇÃO E COMUNICAÇÃO - TIC")</f>
        <v>SERVIÇOS DE TECNOLOGIA DA INFORMAÇÃO E COMUNICAÇÃO - TIC</v>
      </c>
      <c r="CE37" s="180"/>
      <c r="CF37" s="180" t="str">
        <f>IFERROR(__xludf.DUMMYFUNCTION("""COMPUTED_VALUE"""),"LOCAÇÃO DE SOFTWARES")</f>
        <v>LOCAÇÃO DE SOFTWARES</v>
      </c>
      <c r="CG37" s="189"/>
      <c r="CH37" s="189">
        <f>IFERROR(__xludf.DUMMYFUNCTION("""COMPUTED_VALUE"""),46299.0)</f>
        <v>46299</v>
      </c>
      <c r="CI37" s="180" t="str">
        <f>IFERROR(__xludf.DUMMYFUNCTION("""COMPUTED_VALUE"""),"ORÇAMENTO")</f>
        <v>ORÇAMENTO</v>
      </c>
      <c r="CJ37" s="190">
        <f>IFERROR(__xludf.DUMMYFUNCTION("""COMPUTED_VALUE"""),400000.0)</f>
        <v>400000</v>
      </c>
      <c r="CK37" s="189">
        <f>IFERROR(__xludf.DUMMYFUNCTION("""COMPUTED_VALUE"""),44661.0)</f>
        <v>44661</v>
      </c>
      <c r="CL37" s="180" t="str">
        <f>IFERROR(__xludf.DUMMYFUNCTION("""COMPUTED_VALUE"""),"PROR")</f>
        <v>PROR</v>
      </c>
      <c r="CM37" s="180" t="str">
        <f>IFERROR(__xludf.DUMMYFUNCTION("""COMPUTED_VALUE"""),"x")</f>
        <v>x</v>
      </c>
      <c r="CN37" s="180" t="str">
        <f>IFERROR(__xludf.DUMMYFUNCTION("""COMPUTED_VALUE"""),"RP-9019/2021")</f>
        <v>RP-9019/2021</v>
      </c>
      <c r="CO37" s="234" t="str">
        <f>IFERROR(__xludf.DUMMYFUNCTION("""COMPUTED_VALUE"""),"https://www.trt12.jus.br/proad/pages/fichadoprocesso.xhtml?numeroProtocolo=9019&amp;numeroAno=2021&amp;tab=tabFichaDocumento")</f>
        <v>https://www.trt12.jus.br/proad/pages/fichadoprocesso.xhtml?numeroProtocolo=9019&amp;numeroAno=2021&amp;tab=tabFichaDocumento</v>
      </c>
      <c r="CP37" s="180"/>
      <c r="CQ37" s="180"/>
      <c r="CR37" s="180"/>
      <c r="CS37" s="180"/>
      <c r="CT37" s="180"/>
      <c r="CU37" s="180"/>
      <c r="CV37" s="180"/>
      <c r="CW37" s="180"/>
      <c r="CX37" s="180"/>
      <c r="CY37" s="180"/>
      <c r="CZ37" s="180"/>
      <c r="DA37" s="180"/>
      <c r="DB37" s="180"/>
    </row>
    <row r="38">
      <c r="A38" s="230">
        <f>IFERROR(__xludf.DUMMYFUNCTION("""COMPUTED_VALUE"""),15357.0)</f>
        <v>15357</v>
      </c>
      <c r="B38" s="230">
        <f>IFERROR(__xludf.DUMMYFUNCTION("""COMPUTED_VALUE"""),0.0)</f>
        <v>0</v>
      </c>
      <c r="C38" s="180" t="str">
        <f>IFERROR(__xludf.DUMMYFUNCTION("""COMPUTED_VALUE"""),"NOBREAKS SUVT 2022 - Suporte e manutenção dos nobreaks SUVT 40kVA do Datacenter e dos foros da Capital, de São José e da sede (substitui o 15019; há indicativo preliminar de que a aquisição de novos equipamentos pode ser mais vantajosa, o que será definid"&amp;"o pelo planejamento da contratação)")</f>
        <v>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D38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38" s="180" t="str">
        <f>IFERROR(__xludf.DUMMYFUNCTION("""COMPUTED_VALUE"""),"EJ08 - PROMOVER SERVIÇOS DE INFRAESTRUTURA E SOLUÇÕES CORPORATIVAS")</f>
        <v>EJ08 - PROMOVER SERVIÇOS DE INFRAESTRUTURA E SOLUÇÕES CORPORATIVAS</v>
      </c>
      <c r="F38" s="180" t="str">
        <f>IFERROR(__xludf.DUMMYFUNCTION("""COMPUTED_VALUE"""),"Contratação de serviços para o suporte à infraestrutura tecnológica")</f>
        <v>Contratação de serviços para o suporte à infraestrutura tecnológica</v>
      </c>
      <c r="G38" s="180" t="str">
        <f>IFERROR(__xludf.DUMMYFUNCTION("""COMPUTED_VALUE"""),"(ID PAAC 15357) NOBREAKS SUVT 2022 - Suporte e manutenção dos nobreaks SUVT 40kVA do Datacenter e dos foros da Capital, de São José e da sede (substitui o 15019; há indicativo preliminar de que a aquisição de novos equipamentos pode ser mais vantajosa, o "&amp;"que será definido pelo planejamento da contratação)")</f>
        <v>(ID PAAC 15357) 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H38" s="180" t="str">
        <f>IFERROR(__xludf.DUMMYFUNCTION("""COMPUTED_VALUE"""),"Continuado")</f>
        <v>Continuado</v>
      </c>
      <c r="I38" s="180" t="str">
        <f>IFERROR(__xludf.DUMMYFUNCTION("""COMPUTED_VALUE"""),"SETIC")</f>
        <v>SETIC</v>
      </c>
      <c r="J38" s="180" t="str">
        <f>IFERROR(__xludf.DUMMYFUNCTION("""COMPUTED_VALUE"""),"SETIC")</f>
        <v>SETIC</v>
      </c>
      <c r="K38" s="180" t="str">
        <f>IFERROR(__xludf.DUMMYFUNCTION("""COMPUTED_VALUE"""),"GND3")</f>
        <v>GND3</v>
      </c>
      <c r="L38" s="231">
        <f>IFERROR(__xludf.DUMMYFUNCTION("""COMPUTED_VALUE"""),0.0)</f>
        <v>0</v>
      </c>
      <c r="M38" s="232">
        <f>IFERROR(__xludf.DUMMYFUNCTION("""COMPUTED_VALUE"""),3.3904012E7)</f>
        <v>33904012</v>
      </c>
      <c r="N38" s="232">
        <f>IFERROR(__xludf.DUMMYFUNCTION("""COMPUTED_VALUE"""),0.0)</f>
        <v>0</v>
      </c>
      <c r="O38" s="230">
        <f>IFERROR(__xludf.DUMMYFUNCTION("""COMPUTED_VALUE"""),168105.0)</f>
        <v>168105</v>
      </c>
      <c r="P38" s="180" t="str">
        <f>IFERROR(__xludf.DUMMYFUNCTION("""COMPUTED_VALUE"""),"Não")</f>
        <v>Não</v>
      </c>
      <c r="Q38" s="180" t="str">
        <f>IFERROR(__xludf.DUMMYFUNCTION("""COMPUTED_VALUE"""),"1 - Imprescindível")</f>
        <v>1 - Imprescindível</v>
      </c>
      <c r="R38" s="180" t="str">
        <f>IFERROR(__xludf.DUMMYFUNCTION("""COMPUTED_VALUE"""),"1 - Selecionado")</f>
        <v>1 - Selecionado</v>
      </c>
      <c r="S38" s="180"/>
      <c r="T38" s="180"/>
      <c r="U38" s="180" t="str">
        <f>IFERROR(__xludf.DUMMYFUNCTION("""COMPUTED_VALUE"""),"07 - Concluída")</f>
        <v>07 - Concluída</v>
      </c>
      <c r="V38" s="180" t="str">
        <f>IFERROR(__xludf.DUMMYFUNCTION("""COMPUTED_VALUE"""),"3551/2021")</f>
        <v>3551/2021</v>
      </c>
      <c r="W38" s="180" t="str">
        <f>IFERROR(__xludf.DUMMYFUNCTION("""COMPUTED_VALUE"""),"148/2022")</f>
        <v>148/2022</v>
      </c>
      <c r="X38" s="180" t="str">
        <f>IFERROR(__xludf.DUMMYFUNCTION("""COMPUTED_VALUE"""),"SESUP")</f>
        <v>SESUP</v>
      </c>
      <c r="Y38" s="180" t="str">
        <f>IFERROR(__xludf.DUMMYFUNCTION("""COMPUTED_VALUE"""),"INEXIGIBILIDADE")</f>
        <v>INEXIGIBILIDADE</v>
      </c>
      <c r="Z38" s="180" t="str">
        <f>IFERROR(__xludf.DUMMYFUNCTION("""COMPUTED_VALUE"""),"CD")</f>
        <v>CD</v>
      </c>
      <c r="AA38" s="180" t="str">
        <f>IFERROR(__xludf.DUMMYFUNCTION("""COMPUTED_VALUE"""),"CD-148/2022")</f>
        <v>CD-148/2022</v>
      </c>
      <c r="AB38" s="230">
        <f>IFERROR(__xludf.DUMMYFUNCTION("""COMPUTED_VALUE"""),8.2743287003553E13)</f>
        <v>82743287003553</v>
      </c>
      <c r="AC38" s="180" t="str">
        <f>IFERROR(__xludf.DUMMYFUNCTION("""COMPUTED_VALUE"""),"SCHNEIDER ELECTRIC BRASIL LTDA")</f>
        <v>SCHNEIDER ELECTRIC BRASIL LTDA</v>
      </c>
      <c r="AD38" s="189">
        <f>IFERROR(__xludf.DUMMYFUNCTION("""COMPUTED_VALUE"""),44733.0)</f>
        <v>44733</v>
      </c>
      <c r="AE38" s="189">
        <f>IFERROR(__xludf.DUMMYFUNCTION("""COMPUTED_VALUE"""),44743.0)</f>
        <v>44743</v>
      </c>
      <c r="AF38" s="180" t="str">
        <f>IFERROR(__xludf.DUMMYFUNCTION("""COMPUTED_VALUE"""),"Márcio César Jacinto
Diretor do SESUP - Substituto")</f>
        <v>Márcio César Jacinto
Diretor do SESUP - Substituto</v>
      </c>
      <c r="AG38" s="233">
        <f>IFERROR(__xludf.DUMMYFUNCTION("""COMPUTED_VALUE"""),1.0)</f>
        <v>1</v>
      </c>
      <c r="AH38" s="190">
        <f>IFERROR(__xludf.DUMMYFUNCTION("""COMPUTED_VALUE"""),65100.0)</f>
        <v>65100</v>
      </c>
      <c r="AI38" s="180" t="str">
        <f>IFERROR(__xludf.DUMMYFUNCTION("""COMPUTED_VALUE"""),"Não")</f>
        <v>Não</v>
      </c>
      <c r="AJ38" s="190"/>
      <c r="AK38" s="180"/>
      <c r="AL38" s="180"/>
      <c r="AM38" s="180"/>
      <c r="AN38" s="190">
        <f>IFERROR(__xludf.DUMMYFUNCTION("""COMPUTED_VALUE"""),-3463.0)</f>
        <v>-3463</v>
      </c>
      <c r="AO38" s="190">
        <f>IFERROR(__xludf.DUMMYFUNCTION("""COMPUTED_VALUE"""),68563.0)</f>
        <v>68563</v>
      </c>
      <c r="AP38" s="180" t="str">
        <f>IFERROR(__xludf.DUMMYFUNCTION("""COMPUTED_VALUE"""),"2022NE000190")</f>
        <v>2022NE000190</v>
      </c>
      <c r="AQ38" s="190">
        <f>IFERROR(__xludf.DUMMYFUNCTION("""COMPUTED_VALUE"""),131683.0)</f>
        <v>131683</v>
      </c>
      <c r="AR38" s="190">
        <f>IFERROR(__xludf.DUMMYFUNCTION("""COMPUTED_VALUE"""),65100.0)</f>
        <v>65100</v>
      </c>
      <c r="AS38" s="180"/>
      <c r="AT38" s="190">
        <f>IFERROR(__xludf.DUMMYFUNCTION("""COMPUTED_VALUE"""),65100.0)</f>
        <v>65100</v>
      </c>
      <c r="AU38" s="190">
        <f>IFERROR(__xludf.DUMMYFUNCTION("""COMPUTED_VALUE"""),0.0)</f>
        <v>0</v>
      </c>
      <c r="AV38" s="232">
        <f>IFERROR(__xludf.DUMMYFUNCTION("""COMPUTED_VALUE"""),0.0)</f>
        <v>0</v>
      </c>
      <c r="AW38" s="190">
        <f>IFERROR(__xludf.DUMMYFUNCTION("""COMPUTED_VALUE"""),0.0)</f>
        <v>0</v>
      </c>
      <c r="AX38" s="190">
        <f>IFERROR(__xludf.DUMMYFUNCTION("""COMPUTED_VALUE"""),0.0)</f>
        <v>0</v>
      </c>
      <c r="AY38" s="190">
        <f>IFERROR(__xludf.DUMMYFUNCTION("""COMPUTED_VALUE"""),65100.0)</f>
        <v>65100</v>
      </c>
      <c r="AZ38" s="190">
        <f>IFERROR(__xludf.DUMMYFUNCTION("""COMPUTED_VALUE"""),3589.8799999999974)</f>
        <v>3589.88</v>
      </c>
      <c r="BA38" s="190">
        <f>IFERROR(__xludf.DUMMYFUNCTION("""COMPUTED_VALUE"""),61510.12)</f>
        <v>61510.12</v>
      </c>
      <c r="BB38" s="180" t="str">
        <f>IFERROR(__xludf.DUMMYFUNCTION("""COMPUTED_VALUE"""),"CD-148/2022")</f>
        <v>CD-148/2022</v>
      </c>
      <c r="BC38" s="232">
        <f>IFERROR(__xludf.DUMMYFUNCTION("""COMPUTED_VALUE"""),1.51132022236924E14)</f>
        <v>151132022236924</v>
      </c>
      <c r="BD38" s="180" t="str">
        <f>IFERROR(__xludf.DUMMYFUNCTION("""COMPUTED_VALUE"""),"Sim")</f>
        <v>Sim</v>
      </c>
      <c r="BE38" s="180" t="str">
        <f>IFERROR(__xludf.DUMMYFUNCTION("""COMPUTED_VALUE"""),"Não")</f>
        <v>Não</v>
      </c>
      <c r="BF38" s="180"/>
      <c r="BG38" s="180"/>
      <c r="BH38" s="233">
        <f>IFERROR(__xludf.DUMMYFUNCTION("""COMPUTED_VALUE"""),300000.0)</f>
        <v>300000</v>
      </c>
      <c r="BI38" s="180" t="str">
        <f>IFERROR(__xludf.DUMMYFUNCTION("""COMPUTED_VALUE"""),"Alta")</f>
        <v>Alta</v>
      </c>
      <c r="BJ38" s="180"/>
      <c r="BK38" s="180" t="str">
        <f>IFERROR(__xludf.DUMMYFUNCTION("""COMPUTED_VALUE"""),"ano")</f>
        <v>ano</v>
      </c>
      <c r="BL38" s="180"/>
      <c r="BM38" s="180" t="str">
        <f>IFERROR(__xludf.DUMMYFUNCTION("""COMPUTED_VALUE"""),"INEXIGIBILIDADE")</f>
        <v>INEXIGIBILIDADE</v>
      </c>
      <c r="BN38" s="189">
        <f>IFERROR(__xludf.DUMMYFUNCTION("""COMPUTED_VALUE"""),44605.0)</f>
        <v>44605</v>
      </c>
      <c r="BO38" s="189">
        <f>IFERROR(__xludf.DUMMYFUNCTION("""COMPUTED_VALUE"""),44633.0)</f>
        <v>44633</v>
      </c>
      <c r="BP38" s="190">
        <f>IFERROR(__xludf.DUMMYFUNCTION("""COMPUTED_VALUE"""),65100.0)</f>
        <v>65100</v>
      </c>
      <c r="BQ38" s="190">
        <f>IFERROR(__xludf.DUMMYFUNCTION("""COMPUTED_VALUE"""),65100.0)</f>
        <v>65100</v>
      </c>
      <c r="BR38" s="190">
        <f>IFERROR(__xludf.DUMMYFUNCTION("""COMPUTED_VALUE"""),119663.0)</f>
        <v>119663</v>
      </c>
      <c r="BS38" s="190">
        <f>IFERROR(__xludf.DUMMYFUNCTION("""COMPUTED_VALUE"""),65100.0)</f>
        <v>65100</v>
      </c>
      <c r="BT38" s="190">
        <f>IFERROR(__xludf.DUMMYFUNCTION("""COMPUTED_VALUE"""),119663.0)</f>
        <v>119663</v>
      </c>
      <c r="BU38" s="180" t="str">
        <f>IFERROR(__xludf.DUMMYFUNCTION("""COMPUTED_VALUE"""),"Manutenção e conservação de equipamentos de TIC")</f>
        <v>Manutenção e conservação de equipamentos de TIC</v>
      </c>
      <c r="BV38" s="180"/>
      <c r="BW38" s="180"/>
      <c r="BX38" s="180"/>
      <c r="BY38" s="180"/>
      <c r="BZ38" s="189"/>
      <c r="CA38" s="180"/>
      <c r="CB38" s="180" t="str">
        <f>IFERROR(__xludf.DUMMYFUNCTION("""COMPUTED_VALUE"""),"Apreciação de Causas na Justiça do Trabalho")</f>
        <v>Apreciação de Causas na Justiça do Trabalho</v>
      </c>
      <c r="CC38" s="180" t="str">
        <f>IFERROR(__xludf.DUMMYFUNCTION("""COMPUTED_VALUE""")," - ")</f>
        <v> - </v>
      </c>
      <c r="CD38" s="180" t="str">
        <f>IFERROR(__xludf.DUMMYFUNCTION("""COMPUTED_VALUE"""),"SERVIÇOS DE TECNOLOGIA DA INFORMAÇÃO E COMUNICAÇÃO - TIC")</f>
        <v>SERVIÇOS DE TECNOLOGIA DA INFORMAÇÃO E COMUNICAÇÃO - TIC</v>
      </c>
      <c r="CE38" s="180"/>
      <c r="CF38" s="180" t="str">
        <f>IFERROR(__xludf.DUMMYFUNCTION("""COMPUTED_VALUE"""),"MANUTENÇÃO E CONSERVAÇÃO DE EQUIPAMENTOS DE TIC")</f>
        <v>MANUTENÇÃO E CONSERVAÇÃO DE EQUIPAMENTOS DE TIC</v>
      </c>
      <c r="CG38" s="189"/>
      <c r="CH38" s="189">
        <f>IFERROR(__xludf.DUMMYFUNCTION("""COMPUTED_VALUE"""),45108.0)</f>
        <v>45108</v>
      </c>
      <c r="CI38" s="180" t="str">
        <f>IFERROR(__xludf.DUMMYFUNCTION("""COMPUTED_VALUE"""),"INEXIGIBILIDADE")</f>
        <v>INEXIGIBILIDADE</v>
      </c>
      <c r="CJ38" s="190">
        <f>IFERROR(__xludf.DUMMYFUNCTION("""COMPUTED_VALUE"""),126240.0)</f>
        <v>126240</v>
      </c>
      <c r="CK38" s="189">
        <f>IFERROR(__xludf.DUMMYFUNCTION("""COMPUTED_VALUE"""),44900.0)</f>
        <v>44900</v>
      </c>
      <c r="CL38" s="180" t="str">
        <f>IFERROR(__xludf.DUMMYFUNCTION("""COMPUTED_VALUE"""),"PROR")</f>
        <v>PROR</v>
      </c>
      <c r="CM38" s="180" t="str">
        <f>IFERROR(__xludf.DUMMYFUNCTION("""COMPUTED_VALUE"""),"x")</f>
        <v>x</v>
      </c>
      <c r="CN38" s="180" t="str">
        <f>IFERROR(__xludf.DUMMYFUNCTION("""COMPUTED_VALUE"""),"CD-148/2022")</f>
        <v>CD-148/2022</v>
      </c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</row>
    <row r="39">
      <c r="A39" s="230">
        <f>IFERROR(__xludf.DUMMYFUNCTION("""COMPUTED_VALUE"""),15360.0)</f>
        <v>15360</v>
      </c>
      <c r="B39" s="230">
        <f>IFERROR(__xludf.DUMMYFUNCTION("""COMPUTED_VALUE"""),0.0)</f>
        <v>0</v>
      </c>
      <c r="C39" s="180" t="str">
        <f>IFERROR(__xludf.DUMMYFUNCTION("""COMPUTED_VALUE"""),"SIABI - Contratação de suporte técnico e atualização de licenças do software de gerenciamento de bibliotecas")</f>
        <v>SIABI - Contratação de suporte técnico e atualização de licenças do software de gerenciamento de bibliotecas</v>
      </c>
      <c r="D39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39" s="180" t="str">
        <f>IFERROR(__xludf.DUMMYFUNCTION("""COMPUTED_VALUE"""),"EJ05 - APERFEIÇOAR A GOVERNANÇA E A GESTÃO")</f>
        <v>EJ05 - APERFEIÇOAR A GOVERNANÇA E A GESTÃO</v>
      </c>
      <c r="F39" s="180" t="str">
        <f>IFERROR(__xludf.DUMMYFUNCTION("""COMPUTED_VALUE"""),"Contratação de serviços de suporte à microinformática")</f>
        <v>Contratação de serviços de suporte à microinformática</v>
      </c>
      <c r="G39" s="180" t="str">
        <f>IFERROR(__xludf.DUMMYFUNCTION("""COMPUTED_VALUE"""),"(ID PAAC 15360) SIABI - Contratação de suporte técnico e atualização de licenças do software de gerenciamento de bibliotecas")</f>
        <v>(ID PAAC 15360) SIABI - Contratação de suporte técnico e atualização de licenças do software de gerenciamento de bibliotecas</v>
      </c>
      <c r="H39" s="180" t="str">
        <f>IFERROR(__xludf.DUMMYFUNCTION("""COMPUTED_VALUE"""),"Continuado")</f>
        <v>Continuado</v>
      </c>
      <c r="I39" s="180" t="str">
        <f>IFERROR(__xludf.DUMMYFUNCTION("""COMPUTED_VALUE"""),"SEJUP")</f>
        <v>SEJUP</v>
      </c>
      <c r="J39" s="180" t="str">
        <f>IFERROR(__xludf.DUMMYFUNCTION("""COMPUTED_VALUE"""),"SETIC")</f>
        <v>SETIC</v>
      </c>
      <c r="K39" s="180" t="str">
        <f>IFERROR(__xludf.DUMMYFUNCTION("""COMPUTED_VALUE"""),"GND3")</f>
        <v>GND3</v>
      </c>
      <c r="L39" s="231">
        <f>IFERROR(__xludf.DUMMYFUNCTION("""COMPUTED_VALUE"""),0.0)</f>
        <v>0</v>
      </c>
      <c r="M39" s="232">
        <f>IFERROR(__xludf.DUMMYFUNCTION("""COMPUTED_VALUE"""),3.3904007E7)</f>
        <v>33904007</v>
      </c>
      <c r="N39" s="232">
        <f>IFERROR(__xludf.DUMMYFUNCTION("""COMPUTED_VALUE"""),0.0)</f>
        <v>0</v>
      </c>
      <c r="O39" s="230">
        <f>IFERROR(__xludf.DUMMYFUNCTION("""COMPUTED_VALUE"""),168105.0)</f>
        <v>168105</v>
      </c>
      <c r="P39" s="180" t="str">
        <f>IFERROR(__xludf.DUMMYFUNCTION("""COMPUTED_VALUE"""),"Não")</f>
        <v>Não</v>
      </c>
      <c r="Q39" s="180" t="str">
        <f>IFERROR(__xludf.DUMMYFUNCTION("""COMPUTED_VALUE"""),"2 - Importante")</f>
        <v>2 - Importante</v>
      </c>
      <c r="R39" s="180" t="str">
        <f>IFERROR(__xludf.DUMMYFUNCTION("""COMPUTED_VALUE"""),"1 - Selecionado")</f>
        <v>1 - Selecionado</v>
      </c>
      <c r="S39" s="180"/>
      <c r="T39" s="180"/>
      <c r="U39" s="180" t="str">
        <f>IFERROR(__xludf.DUMMYFUNCTION("""COMPUTED_VALUE"""),"07 - Concluída")</f>
        <v>07 - Concluída</v>
      </c>
      <c r="V39" s="180" t="str">
        <f>IFERROR(__xludf.DUMMYFUNCTION("""COMPUTED_VALUE"""),"532/2022")</f>
        <v>532/2022</v>
      </c>
      <c r="W39" s="180" t="str">
        <f>IFERROR(__xludf.DUMMYFUNCTION("""COMPUTED_VALUE"""),"2689/2021")</f>
        <v>2689/2021</v>
      </c>
      <c r="X39" s="180" t="str">
        <f>IFERROR(__xludf.DUMMYFUNCTION("""COMPUTED_VALUE"""),"SESUP")</f>
        <v>SESUP</v>
      </c>
      <c r="Y39" s="180" t="str">
        <f>IFERROR(__xludf.DUMMYFUNCTION("""COMPUTED_VALUE"""),"PROR")</f>
        <v>PROR</v>
      </c>
      <c r="Z39" s="180" t="str">
        <f>IFERROR(__xludf.DUMMYFUNCTION("""COMPUTED_VALUE"""),"CD")</f>
        <v>CD</v>
      </c>
      <c r="AA39" s="180" t="str">
        <f>IFERROR(__xludf.DUMMYFUNCTION("""COMPUTED_VALUE"""),"CD-2689/2021")</f>
        <v>CD-2689/2021</v>
      </c>
      <c r="AB39" s="230">
        <f>IFERROR(__xludf.DUMMYFUNCTION("""COMPUTED_VALUE"""),5.116014000199E12)</f>
        <v>5116014000199</v>
      </c>
      <c r="AC39" s="180" t="str">
        <f>IFERROR(__xludf.DUMMYFUNCTION("""COMPUTED_VALUE"""),"W J SERVICOS DE INFORMATICA LTDA")</f>
        <v>W J SERVICOS DE INFORMATICA LTDA</v>
      </c>
      <c r="AD39" s="189">
        <f>IFERROR(__xludf.DUMMYFUNCTION("""COMPUTED_VALUE"""),44546.0)</f>
        <v>44546</v>
      </c>
      <c r="AE39" s="189">
        <f>IFERROR(__xludf.DUMMYFUNCTION("""COMPUTED_VALUE"""),44636.0)</f>
        <v>44636</v>
      </c>
      <c r="AF39" s="180" t="str">
        <f>IFERROR(__xludf.DUMMYFUNCTION("""COMPUTED_VALUE"""),"Márcio César Jacinto
Diretor do SESUP - Substituto")</f>
        <v>Márcio César Jacinto
Diretor do SESUP - Substituto</v>
      </c>
      <c r="AG39" s="233">
        <f>IFERROR(__xludf.DUMMYFUNCTION("""COMPUTED_VALUE"""),1.0)</f>
        <v>1</v>
      </c>
      <c r="AH39" s="190">
        <f>IFERROR(__xludf.DUMMYFUNCTION("""COMPUTED_VALUE"""),7626.48)</f>
        <v>7626.48</v>
      </c>
      <c r="AI39" s="180" t="str">
        <f>IFERROR(__xludf.DUMMYFUNCTION("""COMPUTED_VALUE"""),"Não")</f>
        <v>Não</v>
      </c>
      <c r="AJ39" s="190">
        <f>IFERROR(__xludf.DUMMYFUNCTION("""COMPUTED_VALUE"""),7000.0)</f>
        <v>7000</v>
      </c>
      <c r="AK39" s="180" t="str">
        <f>IFERROR(__xludf.DUMMYFUNCTION("""COMPUTED_VALUE"""),"Kátia Alberto Jeremias Monticelli")</f>
        <v>Kátia Alberto Jeremias Monticelli</v>
      </c>
      <c r="AL39" s="180"/>
      <c r="AM39" s="180"/>
      <c r="AN39" s="190">
        <f>IFERROR(__xludf.DUMMYFUNCTION("""COMPUTED_VALUE"""),-2373.5200000000004)</f>
        <v>-2373.52</v>
      </c>
      <c r="AO39" s="190">
        <f>IFERROR(__xludf.DUMMYFUNCTION("""COMPUTED_VALUE"""),10000.0)</f>
        <v>10000</v>
      </c>
      <c r="AP39" s="180" t="str">
        <f>IFERROR(__xludf.DUMMYFUNCTION("""COMPUTED_VALUE"""),"2022NE000094")</f>
        <v>2022NE000094</v>
      </c>
      <c r="AQ39" s="190">
        <f>IFERROR(__xludf.DUMMYFUNCTION("""COMPUTED_VALUE"""),8008.0)</f>
        <v>8008</v>
      </c>
      <c r="AR39" s="190">
        <f>IFERROR(__xludf.DUMMYFUNCTION("""COMPUTED_VALUE"""),7626.48)</f>
        <v>7626.48</v>
      </c>
      <c r="AS39" s="180"/>
      <c r="AT39" s="190">
        <f>IFERROR(__xludf.DUMMYFUNCTION("""COMPUTED_VALUE"""),7626.48)</f>
        <v>7626.48</v>
      </c>
      <c r="AU39" s="190">
        <f>IFERROR(__xludf.DUMMYFUNCTION("""COMPUTED_VALUE"""),635.54)</f>
        <v>635.54</v>
      </c>
      <c r="AV39" s="232">
        <f>IFERROR(__xludf.DUMMYFUNCTION("""COMPUTED_VALUE"""),12.0)</f>
        <v>12</v>
      </c>
      <c r="AW39" s="190">
        <f>IFERROR(__xludf.DUMMYFUNCTION("""COMPUTED_VALUE"""),7626.48)</f>
        <v>7626.48</v>
      </c>
      <c r="AX39" s="190">
        <f>IFERROR(__xludf.DUMMYFUNCTION("""COMPUTED_VALUE"""),0.0)</f>
        <v>0</v>
      </c>
      <c r="AY39" s="190">
        <f>IFERROR(__xludf.DUMMYFUNCTION("""COMPUTED_VALUE"""),7626.48)</f>
        <v>7626.48</v>
      </c>
      <c r="AZ39" s="190">
        <f>IFERROR(__xludf.DUMMYFUNCTION("""COMPUTED_VALUE"""),1906.62)</f>
        <v>1906.62</v>
      </c>
      <c r="BA39" s="190">
        <f>IFERROR(__xludf.DUMMYFUNCTION("""COMPUTED_VALUE"""),5719.86)</f>
        <v>5719.86</v>
      </c>
      <c r="BB39" s="180" t="str">
        <f>IFERROR(__xludf.DUMMYFUNCTION("""COMPUTED_VALUE"""),"CD-2689/2021")</f>
        <v>CD-2689/2021</v>
      </c>
      <c r="BC39" s="232">
        <f>IFERROR(__xludf.DUMMYFUNCTION("""COMPUTED_VALUE"""),1.5113202223694E14)</f>
        <v>151132022236940</v>
      </c>
      <c r="BD39" s="180" t="str">
        <f>IFERROR(__xludf.DUMMYFUNCTION("""COMPUTED_VALUE"""),"Sim")</f>
        <v>Sim</v>
      </c>
      <c r="BE39" s="180" t="str">
        <f>IFERROR(__xludf.DUMMYFUNCTION("""COMPUTED_VALUE"""),"Sim")</f>
        <v>Sim</v>
      </c>
      <c r="BF39" s="180"/>
      <c r="BG39" s="180"/>
      <c r="BH39" s="233">
        <f>IFERROR(__xludf.DUMMYFUNCTION("""COMPUTED_VALUE"""),200000.0)</f>
        <v>200000</v>
      </c>
      <c r="BI39" s="180" t="str">
        <f>IFERROR(__xludf.DUMMYFUNCTION("""COMPUTED_VALUE"""),"Média")</f>
        <v>Média</v>
      </c>
      <c r="BJ39" s="180"/>
      <c r="BK39" s="180" t="str">
        <f>IFERROR(__xludf.DUMMYFUNCTION("""COMPUTED_VALUE"""),"ano")</f>
        <v>ano</v>
      </c>
      <c r="BL39" s="180" t="str">
        <f>IFERROR(__xludf.DUMMYFUNCTION("""COMPUTED_VALUE"""),"Inexigibilidade")</f>
        <v>Inexigibilidade</v>
      </c>
      <c r="BM39" s="180" t="str">
        <f>IFERROR(__xludf.DUMMYFUNCTION("""COMPUTED_VALUE"""),"PROR")</f>
        <v>PROR</v>
      </c>
      <c r="BN39" s="189">
        <f>IFERROR(__xludf.DUMMYFUNCTION("""COMPUTED_VALUE"""),44485.0)</f>
        <v>44485</v>
      </c>
      <c r="BO39" s="189">
        <f>IFERROR(__xludf.DUMMYFUNCTION("""COMPUTED_VALUE"""),44546.0)</f>
        <v>44546</v>
      </c>
      <c r="BP39" s="190"/>
      <c r="BQ39" s="190">
        <f>IFERROR(__xludf.DUMMYFUNCTION("""COMPUTED_VALUE"""),7626.48)</f>
        <v>7626.48</v>
      </c>
      <c r="BR39" s="190">
        <f>IFERROR(__xludf.DUMMYFUNCTION("""COMPUTED_VALUE"""),7626.48)</f>
        <v>7626.48</v>
      </c>
      <c r="BS39" s="190">
        <f>IFERROR(__xludf.DUMMYFUNCTION("""COMPUTED_VALUE"""),7626.48)</f>
        <v>7626.48</v>
      </c>
      <c r="BT39" s="190">
        <f>IFERROR(__xludf.DUMMYFUNCTION("""COMPUTED_VALUE"""),7626.48)</f>
        <v>7626.48</v>
      </c>
      <c r="BU39" s="180" t="str">
        <f>IFERROR(__xludf.DUMMYFUNCTION("""COMPUTED_VALUE"""),"Manutenção corretiva/adaptativa e sustentação softwares")</f>
        <v>Manutenção corretiva/adaptativa e sustentação softwares</v>
      </c>
      <c r="BV39" s="180"/>
      <c r="BW39" s="180"/>
      <c r="BX39" s="180"/>
      <c r="BY39" s="180"/>
      <c r="BZ39" s="189">
        <f>IFERROR(__xludf.DUMMYFUNCTION("""COMPUTED_VALUE"""),44140.0)</f>
        <v>44140</v>
      </c>
      <c r="CA39" s="180"/>
      <c r="CB39" s="180" t="str">
        <f>IFERROR(__xludf.DUMMYFUNCTION("""COMPUTED_VALUE"""),"Apreciação de Causas na Justiça do Trabalho")</f>
        <v>Apreciação de Causas na Justiça do Trabalho</v>
      </c>
      <c r="CC39" s="180" t="str">
        <f>IFERROR(__xludf.DUMMYFUNCTION("""COMPUTED_VALUE""")," - ")</f>
        <v> - </v>
      </c>
      <c r="CD39" s="180" t="str">
        <f>IFERROR(__xludf.DUMMYFUNCTION("""COMPUTED_VALUE"""),"SERVIÇOS DE TECNOLOGIA DA INFORMAÇÃO E COMUNICAÇÃO - TIC")</f>
        <v>SERVIÇOS DE TECNOLOGIA DA INFORMAÇÃO E COMUNICAÇÃO - TIC</v>
      </c>
      <c r="CE39" s="180"/>
      <c r="CF39" s="180" t="str">
        <f>IFERROR(__xludf.DUMMYFUNCTION("""COMPUTED_VALUE"""),"MANUTENÇÃO CORRETIVA/ADAPTATIVA E SUSTENTAÇÃO SOFTWARES")</f>
        <v>MANUTENÇÃO CORRETIVA/ADAPTATIVA E SUSTENTAÇÃO SOFTWARES</v>
      </c>
      <c r="CG39" s="189"/>
      <c r="CH39" s="189">
        <f>IFERROR(__xludf.DUMMYFUNCTION("""COMPUTED_VALUE"""),45001.0)</f>
        <v>45001</v>
      </c>
      <c r="CI39" s="180" t="str">
        <f>IFERROR(__xludf.DUMMYFUNCTION("""COMPUTED_VALUE"""),"PROR")</f>
        <v>PROR</v>
      </c>
      <c r="CJ39" s="190">
        <f>IFERROR(__xludf.DUMMYFUNCTION("""COMPUTED_VALUE"""),7296.36)</f>
        <v>7296.36</v>
      </c>
      <c r="CK39" s="189">
        <f>IFERROR(__xludf.DUMMYFUNCTION("""COMPUTED_VALUE"""),44636.0)</f>
        <v>44636</v>
      </c>
      <c r="CL39" s="180" t="str">
        <f>IFERROR(__xludf.DUMMYFUNCTION("""COMPUTED_VALUE"""),"DISP_INEX")</f>
        <v>DISP_INEX</v>
      </c>
      <c r="CM39" s="180" t="str">
        <f>IFERROR(__xludf.DUMMYFUNCTION("""COMPUTED_VALUE"""),"x")</f>
        <v>x</v>
      </c>
      <c r="CN39" s="180" t="str">
        <f>IFERROR(__xludf.DUMMYFUNCTION("""COMPUTED_VALUE"""),"CD-2689/2021")</f>
        <v>CD-2689/2021</v>
      </c>
      <c r="CO39" s="180"/>
      <c r="CP39" s="180"/>
      <c r="CQ39" s="180"/>
      <c r="CR39" s="180" t="str">
        <f>IFERROR(__xludf.DUMMYFUNCTION("""COMPUTED_VALUE"""),"GND3")</f>
        <v>GND3</v>
      </c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</row>
    <row r="40">
      <c r="A40" s="230">
        <f>IFERROR(__xludf.DUMMYFUNCTION("""COMPUTED_VALUE"""),15361.0)</f>
        <v>15361</v>
      </c>
      <c r="B40" s="230">
        <f>IFERROR(__xludf.DUMMYFUNCTION("""COMPUTED_VALUE"""),0.0)</f>
        <v>0</v>
      </c>
      <c r="C40" s="180" t="str">
        <f>IFERROR(__xludf.DUMMYFUNCTION("""COMPUTED_VALUE"""),"MICROCOMPUTADORES - Aquisição de microcomputadores modelo mini desktop tipo 2 com wi-fi")</f>
        <v>MICROCOMPUTADORES - Aquisição de microcomputadores modelo mini desktop tipo 2 com wi-fi</v>
      </c>
      <c r="D40" s="180" t="str">
        <f>IFERROR(__xludf.DUMMYFUNCTION("""COMPUTED_VALUE"""),"Aquisição de produto, peça de reposição, material de consumo e/ou de serviço não continuado de tecnologia da informação e telecomunicações que atende a projeto estratégico, garante a prestação jurisdicional, evita a interrupção da prestação administrativa"&amp;" e/ou atende a normativo.
")</f>
        <v>Aquisição de produto, peça de reposição, material de consumo e/ou de serviço não continuado de tecnologia da informação e telecomunicações que atende a projeto estratégico, garante a prestação jurisdicional, evita a interrupção da prestação administrativa e/ou atende a normativo.
</v>
      </c>
      <c r="E40" s="180" t="str">
        <f>IFERROR(__xludf.DUMMYFUNCTION("""COMPUTED_VALUE"""),"EJ05 - APERFEIÇOAR A GOVERNANÇA E A GESTÃO")</f>
        <v>EJ05 - APERFEIÇOAR A GOVERNANÇA E A GESTÃO</v>
      </c>
      <c r="F40" s="180" t="str">
        <f>IFERROR(__xludf.DUMMYFUNCTION("""COMPUTED_VALUE"""),"Aquisição de bens de microinformática")</f>
        <v>Aquisição de bens de microinformática</v>
      </c>
      <c r="G40" s="180" t="str">
        <f>IFERROR(__xludf.DUMMYFUNCTION("""COMPUTED_VALUE"""),"(ID PAAC 15361) MICROCOMPUTADORES - Aquisição de microcomputadores modelo mini desktop tipo 2 com wi-fi")</f>
        <v>(ID PAAC 15361) MICROCOMPUTADORES - Aquisição de microcomputadores modelo mini desktop tipo 2 com wi-fi</v>
      </c>
      <c r="H40" s="180" t="str">
        <f>IFERROR(__xludf.DUMMYFUNCTION("""COMPUTED_VALUE"""),"Imediato")</f>
        <v>Imediato</v>
      </c>
      <c r="I40" s="180" t="str">
        <f>IFERROR(__xludf.DUMMYFUNCTION("""COMPUTED_VALUE"""),"SETIC")</f>
        <v>SETIC</v>
      </c>
      <c r="J40" s="180" t="str">
        <f>IFERROR(__xludf.DUMMYFUNCTION("""COMPUTED_VALUE"""),"SETIC")</f>
        <v>SETIC</v>
      </c>
      <c r="K40" s="180" t="str">
        <f>IFERROR(__xludf.DUMMYFUNCTION("""COMPUTED_VALUE"""),"GND4")</f>
        <v>GND4</v>
      </c>
      <c r="L40" s="231">
        <f>IFERROR(__xludf.DUMMYFUNCTION("""COMPUTED_VALUE"""),0.0)</f>
        <v>0</v>
      </c>
      <c r="M40" s="232">
        <f>IFERROR(__xludf.DUMMYFUNCTION("""COMPUTED_VALUE"""),4.4905241E7)</f>
        <v>44905241</v>
      </c>
      <c r="N40" s="232">
        <f>IFERROR(__xludf.DUMMYFUNCTION("""COMPUTED_VALUE"""),0.0)</f>
        <v>0</v>
      </c>
      <c r="O40" s="230">
        <f>IFERROR(__xludf.DUMMYFUNCTION("""COMPUTED_VALUE"""),168105.0)</f>
        <v>168105</v>
      </c>
      <c r="P40" s="180" t="str">
        <f>IFERROR(__xludf.DUMMYFUNCTION("""COMPUTED_VALUE"""),"Não")</f>
        <v>Não</v>
      </c>
      <c r="Q40" s="180" t="str">
        <f>IFERROR(__xludf.DUMMYFUNCTION("""COMPUTED_VALUE"""),"2 - Importante")</f>
        <v>2 - Importante</v>
      </c>
      <c r="R40" s="180" t="str">
        <f>IFERROR(__xludf.DUMMYFUNCTION("""COMPUTED_VALUE"""),"1 - Selecionado")</f>
        <v>1 - Selecionado</v>
      </c>
      <c r="S40" s="180"/>
      <c r="T40" s="180"/>
      <c r="U40" s="180" t="str">
        <f>IFERROR(__xludf.DUMMYFUNCTION("""COMPUTED_VALUE"""),"02 - DOD emitido")</f>
        <v>02 - DOD emitido</v>
      </c>
      <c r="V40" s="180" t="str">
        <f>IFERROR(__xludf.DUMMYFUNCTION("""COMPUTED_VALUE"""),"9944/2021")</f>
        <v>9944/2021</v>
      </c>
      <c r="W40" s="180"/>
      <c r="X40" s="180" t="str">
        <f>IFERROR(__xludf.DUMMYFUNCTION("""COMPUTED_VALUE"""),"SESUP")</f>
        <v>SESUP</v>
      </c>
      <c r="Y40" s="180" t="str">
        <f>IFERROR(__xludf.DUMMYFUNCTION("""COMPUTED_VALUE"""),"ARP_PARTICIPACAO")</f>
        <v>ARP_PARTICIPACAO</v>
      </c>
      <c r="Z40" s="180" t="str">
        <f>IFERROR(__xludf.DUMMYFUNCTION("""COMPUTED_VALUE"""),"RP")</f>
        <v>RP</v>
      </c>
      <c r="AA40" s="180"/>
      <c r="AB40" s="230"/>
      <c r="AC40" s="180" t="str">
        <f>IFERROR(__xludf.DUMMYFUNCTION("""COMPUTED_VALUE"""),"#N/A")</f>
        <v>#N/A</v>
      </c>
      <c r="AD40" s="189">
        <f>IFERROR(__xludf.DUMMYFUNCTION("""COMPUTED_VALUE"""),44698.0)</f>
        <v>44698</v>
      </c>
      <c r="AE40" s="189">
        <f>IFERROR(__xludf.DUMMYFUNCTION("""COMPUTED_VALUE"""),44743.0)</f>
        <v>44743</v>
      </c>
      <c r="AF40" s="180" t="str">
        <f>IFERROR(__xludf.DUMMYFUNCTION("""COMPUTED_VALUE"""),"Márcio César Jacinto
Diretor do SESUP - Substituto")</f>
        <v>Márcio César Jacinto
Diretor do SESUP - Substituto</v>
      </c>
      <c r="AG40" s="233">
        <f>IFERROR(__xludf.DUMMYFUNCTION("""COMPUTED_VALUE"""),700.0)</f>
        <v>700</v>
      </c>
      <c r="AH40" s="190">
        <f>IFERROR(__xludf.DUMMYFUNCTION("""COMPUTED_VALUE"""),4339.0)</f>
        <v>4339</v>
      </c>
      <c r="AI40" s="180" t="str">
        <f>IFERROR(__xludf.DUMMYFUNCTION("""COMPUTED_VALUE"""),"Não")</f>
        <v>Não</v>
      </c>
      <c r="AJ40" s="190">
        <f>IFERROR(__xludf.DUMMYFUNCTION("""COMPUTED_VALUE"""),3037300.0)</f>
        <v>3037300</v>
      </c>
      <c r="AK40" s="180"/>
      <c r="AL40" s="180"/>
      <c r="AM40" s="180"/>
      <c r="AN40" s="190">
        <f>IFERROR(__xludf.DUMMYFUNCTION("""COMPUTED_VALUE"""),0.0)</f>
        <v>0</v>
      </c>
      <c r="AO40" s="190">
        <f>IFERROR(__xludf.DUMMYFUNCTION("""COMPUTED_VALUE"""),3037300.0)</f>
        <v>3037300</v>
      </c>
      <c r="AP40" s="180"/>
      <c r="AQ40" s="190">
        <f>IFERROR(__xludf.DUMMYFUNCTION("""COMPUTED_VALUE"""),4472267.0)</f>
        <v>4472267</v>
      </c>
      <c r="AR40" s="190">
        <f>IFERROR(__xludf.DUMMYFUNCTION("""COMPUTED_VALUE"""),3037300.0)</f>
        <v>3037300</v>
      </c>
      <c r="AS40" s="180"/>
      <c r="AT40" s="190">
        <f>IFERROR(__xludf.DUMMYFUNCTION("""COMPUTED_VALUE"""),3037300.0)</f>
        <v>3037300</v>
      </c>
      <c r="AU40" s="190"/>
      <c r="AV40" s="232"/>
      <c r="AW40" s="190">
        <f>IFERROR(__xludf.DUMMYFUNCTION("""COMPUTED_VALUE"""),0.0)</f>
        <v>0</v>
      </c>
      <c r="AX40" s="190">
        <f>IFERROR(__xludf.DUMMYFUNCTION("""COMPUTED_VALUE"""),0.0)</f>
        <v>0</v>
      </c>
      <c r="AY40" s="190">
        <f>IFERROR(__xludf.DUMMYFUNCTION("""COMPUTED_VALUE"""),0.0)</f>
        <v>0</v>
      </c>
      <c r="AZ40" s="190">
        <f>IFERROR(__xludf.DUMMYFUNCTION("""COMPUTED_VALUE"""),0.0)</f>
        <v>0</v>
      </c>
      <c r="BA40" s="190">
        <f>IFERROR(__xludf.DUMMYFUNCTION("""COMPUTED_VALUE"""),0.0)</f>
        <v>0</v>
      </c>
      <c r="BB40" s="180"/>
      <c r="BC40" s="232">
        <f>IFERROR(__xludf.DUMMYFUNCTION("""COMPUTED_VALUE"""),1.51132022236947E14)</f>
        <v>151132022236947</v>
      </c>
      <c r="BD40" s="180" t="str">
        <f>IFERROR(__xludf.DUMMYFUNCTION("""COMPUTED_VALUE"""),"Sim")</f>
        <v>Sim</v>
      </c>
      <c r="BE40" s="180"/>
      <c r="BF40" s="180"/>
      <c r="BG40" s="180"/>
      <c r="BH40" s="233">
        <f>IFERROR(__xludf.DUMMYFUNCTION("""COMPUTED_VALUE"""),200000.0)</f>
        <v>200000</v>
      </c>
      <c r="BI40" s="180" t="str">
        <f>IFERROR(__xludf.DUMMYFUNCTION("""COMPUTED_VALUE"""),"Média")</f>
        <v>Média</v>
      </c>
      <c r="BJ40" s="180"/>
      <c r="BK40" s="180" t="str">
        <f>IFERROR(__xludf.DUMMYFUNCTION("""COMPUTED_VALUE"""),"unidade")</f>
        <v>unidade</v>
      </c>
      <c r="BL40" s="180"/>
      <c r="BM40" s="180" t="str">
        <f>IFERROR(__xludf.DUMMYFUNCTION("""COMPUTED_VALUE"""),"ARP_PARTICIPACAO")</f>
        <v>ARP_PARTICIPACAO</v>
      </c>
      <c r="BN40" s="189"/>
      <c r="BO40" s="189"/>
      <c r="BP40" s="190"/>
      <c r="BQ40" s="190"/>
      <c r="BR40" s="190"/>
      <c r="BS40" s="190">
        <f>IFERROR(__xludf.DUMMYFUNCTION("""COMPUTED_VALUE"""),3037300.0)</f>
        <v>3037300</v>
      </c>
      <c r="BT40" s="190">
        <f>IFERROR(__xludf.DUMMYFUNCTION("""COMPUTED_VALUE"""),3037300.0)</f>
        <v>3037300</v>
      </c>
      <c r="BU40" s="180" t="str">
        <f>IFERROR(__xludf.DUMMYFUNCTION("""COMPUTED_VALUE"""),"Equipamentos de TIC - computadores")</f>
        <v>Equipamentos de TIC - computadores</v>
      </c>
      <c r="BV40" s="180"/>
      <c r="BW40" s="180"/>
      <c r="BX40" s="180"/>
      <c r="BY40" s="180"/>
      <c r="BZ40" s="189"/>
      <c r="CA40" s="180"/>
      <c r="CB40" s="180" t="str">
        <f>IFERROR(__xludf.DUMMYFUNCTION("""COMPUTED_VALUE"""),"Apreciação de Causas na Justiça do Trabalho")</f>
        <v>Apreciação de Causas na Justiça do Trabalho</v>
      </c>
      <c r="CC40" s="180" t="str">
        <f>IFERROR(__xludf.DUMMYFUNCTION("""COMPUTED_VALUE""")," - ")</f>
        <v> - </v>
      </c>
      <c r="CD40" s="180" t="str">
        <f>IFERROR(__xludf.DUMMYFUNCTION("""COMPUTED_VALUE"""),"EQUIPAMENTOS E MATERIAL PERMANENTE")</f>
        <v>EQUIPAMENTOS E MATERIAL PERMANENTE</v>
      </c>
      <c r="CE40" s="180"/>
      <c r="CF40" s="180" t="str">
        <f>IFERROR(__xludf.DUMMYFUNCTION("""COMPUTED_VALUE"""),"EQUIPAMENTOS DE TIC – COMPUTADORES")</f>
        <v>EQUIPAMENTOS DE TIC – COMPUTADORES</v>
      </c>
      <c r="CG40" s="189"/>
      <c r="CH40" s="189">
        <f>IFERROR(__xludf.DUMMYFUNCTION("""COMPUTED_VALUE"""),45108.0)</f>
        <v>45108</v>
      </c>
      <c r="CI40" s="180" t="str">
        <f>IFERROR(__xludf.DUMMYFUNCTION("""COMPUTED_VALUE"""),"ARP_PARTICIPACAO")</f>
        <v>ARP_PARTICIPACAO</v>
      </c>
      <c r="CJ40" s="190"/>
      <c r="CK40" s="189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</row>
    <row r="41">
      <c r="A41" s="230">
        <f>IFERROR(__xludf.DUMMYFUNCTION("""COMPUTED_VALUE"""),15362.0)</f>
        <v>15362</v>
      </c>
      <c r="B41" s="230">
        <f>IFERROR(__xludf.DUMMYFUNCTION("""COMPUTED_VALUE"""),0.0)</f>
        <v>0</v>
      </c>
      <c r="C41" s="180" t="str">
        <f>IFERROR(__xludf.DUMMYFUNCTION("""COMPUTED_VALUE"""),"IMPRESSORAS - Aquisição de impressoras de pequeno porte convencionais")</f>
        <v>IMPRESSORAS - Aquisição de impressoras de pequeno porte convencionais</v>
      </c>
      <c r="D41" s="180" t="str">
        <f>IFERROR(__xludf.DUMMYFUNCTION("""COMPUTED_VALUE"""),"Aquisição de produto, peça de reposição, material de consumo e/ou de serviço não continuado de tecnologia da informação e telecomunicações que atende a projeto estratégico, garante a prestação jurisdicional, evita a interrupção da prestação administrativa"&amp;" e/ou atende a normativo.
")</f>
        <v>Aquisição de produto, peça de reposição, material de consumo e/ou de serviço não continuado de tecnologia da informação e telecomunicações que atende a projeto estratégico, garante a prestação jurisdicional, evita a interrupção da prestação administrativa e/ou atende a normativo.
</v>
      </c>
      <c r="E41" s="180" t="str">
        <f>IFERROR(__xludf.DUMMYFUNCTION("""COMPUTED_VALUE"""),"EJ05 - APERFEIÇOAR A GOVERNANÇA E A GESTÃO")</f>
        <v>EJ05 - APERFEIÇOAR A GOVERNANÇA E A GESTÃO</v>
      </c>
      <c r="F41" s="180" t="str">
        <f>IFERROR(__xludf.DUMMYFUNCTION("""COMPUTED_VALUE"""),"Aquisição de bens de microinformática")</f>
        <v>Aquisição de bens de microinformática</v>
      </c>
      <c r="G41" s="180" t="str">
        <f>IFERROR(__xludf.DUMMYFUNCTION("""COMPUTED_VALUE"""),"(ID PAAC 15362) IMPRESSORAS - Aquisição de impressoras de pequeno porte convencionais")</f>
        <v>(ID PAAC 15362) IMPRESSORAS - Aquisição de impressoras de pequeno porte convencionais</v>
      </c>
      <c r="H41" s="180" t="str">
        <f>IFERROR(__xludf.DUMMYFUNCTION("""COMPUTED_VALUE"""),"Imediato")</f>
        <v>Imediato</v>
      </c>
      <c r="I41" s="180" t="str">
        <f>IFERROR(__xludf.DUMMYFUNCTION("""COMPUTED_VALUE"""),"SETIC")</f>
        <v>SETIC</v>
      </c>
      <c r="J41" s="180" t="str">
        <f>IFERROR(__xludf.DUMMYFUNCTION("""COMPUTED_VALUE"""),"SETIC")</f>
        <v>SETIC</v>
      </c>
      <c r="K41" s="180" t="str">
        <f>IFERROR(__xludf.DUMMYFUNCTION("""COMPUTED_VALUE"""),"GND4")</f>
        <v>GND4</v>
      </c>
      <c r="L41" s="231">
        <f>IFERROR(__xludf.DUMMYFUNCTION("""COMPUTED_VALUE"""),0.0)</f>
        <v>0</v>
      </c>
      <c r="M41" s="232">
        <f>IFERROR(__xludf.DUMMYFUNCTION("""COMPUTED_VALUE"""),4.4905245E7)</f>
        <v>44905245</v>
      </c>
      <c r="N41" s="232">
        <f>IFERROR(__xludf.DUMMYFUNCTION("""COMPUTED_VALUE"""),0.0)</f>
        <v>0</v>
      </c>
      <c r="O41" s="230">
        <f>IFERROR(__xludf.DUMMYFUNCTION("""COMPUTED_VALUE"""),168105.0)</f>
        <v>168105</v>
      </c>
      <c r="P41" s="180" t="str">
        <f>IFERROR(__xludf.DUMMYFUNCTION("""COMPUTED_VALUE"""),"Não")</f>
        <v>Não</v>
      </c>
      <c r="Q41" s="180" t="str">
        <f>IFERROR(__xludf.DUMMYFUNCTION("""COMPUTED_VALUE"""),"2 - Importante")</f>
        <v>2 - Importante</v>
      </c>
      <c r="R41" s="180" t="str">
        <f>IFERROR(__xludf.DUMMYFUNCTION("""COMPUTED_VALUE"""),"1 - Selecionado")</f>
        <v>1 - Selecionado</v>
      </c>
      <c r="S41" s="180"/>
      <c r="T41" s="180"/>
      <c r="U41" s="180" t="str">
        <f>IFERROR(__xludf.DUMMYFUNCTION("""COMPUTED_VALUE"""),"01 - Não oficializado")</f>
        <v>01 - Não oficializado</v>
      </c>
      <c r="V41" s="180"/>
      <c r="W41" s="180"/>
      <c r="X41" s="180" t="str">
        <f>IFERROR(__xludf.DUMMYFUNCTION("""COMPUTED_VALUE"""),"SESUP")</f>
        <v>SESUP</v>
      </c>
      <c r="Y41" s="180" t="str">
        <f>IFERROR(__xludf.DUMMYFUNCTION("""COMPUTED_VALUE"""),"ARP_PARTICIPACAO")</f>
        <v>ARP_PARTICIPACAO</v>
      </c>
      <c r="Z41" s="180" t="str">
        <f>IFERROR(__xludf.DUMMYFUNCTION("""COMPUTED_VALUE"""),"RP")</f>
        <v>RP</v>
      </c>
      <c r="AA41" s="180"/>
      <c r="AB41" s="230"/>
      <c r="AC41" s="180" t="str">
        <f>IFERROR(__xludf.DUMMYFUNCTION("""COMPUTED_VALUE"""),"#N/A")</f>
        <v>#N/A</v>
      </c>
      <c r="AD41" s="189">
        <f>IFERROR(__xludf.DUMMYFUNCTION("""COMPUTED_VALUE"""),44698.0)</f>
        <v>44698</v>
      </c>
      <c r="AE41" s="189">
        <f>IFERROR(__xludf.DUMMYFUNCTION("""COMPUTED_VALUE"""),44743.0)</f>
        <v>44743</v>
      </c>
      <c r="AF41" s="180" t="str">
        <f>IFERROR(__xludf.DUMMYFUNCTION("""COMPUTED_VALUE"""),"Márcio César Jacinto
Diretor do SESUP - Substituto")</f>
        <v>Márcio César Jacinto
Diretor do SESUP - Substituto</v>
      </c>
      <c r="AG41" s="233">
        <f>IFERROR(__xludf.DUMMYFUNCTION("""COMPUTED_VALUE"""),85.0)</f>
        <v>85</v>
      </c>
      <c r="AH41" s="190">
        <f>IFERROR(__xludf.DUMMYFUNCTION("""COMPUTED_VALUE"""),1392.22)</f>
        <v>1392.22</v>
      </c>
      <c r="AI41" s="180" t="str">
        <f>IFERROR(__xludf.DUMMYFUNCTION("""COMPUTED_VALUE"""),"Não")</f>
        <v>Não</v>
      </c>
      <c r="AJ41" s="190"/>
      <c r="AK41" s="180"/>
      <c r="AL41" s="180"/>
      <c r="AM41" s="180"/>
      <c r="AN41" s="190">
        <f>IFERROR(__xludf.DUMMYFUNCTION("""COMPUTED_VALUE"""),0.0)</f>
        <v>0</v>
      </c>
      <c r="AO41" s="190">
        <f>IFERROR(__xludf.DUMMYFUNCTION("""COMPUTED_VALUE"""),118338.70000000001)</f>
        <v>118338.7</v>
      </c>
      <c r="AP41" s="180"/>
      <c r="AQ41" s="190">
        <f>IFERROR(__xludf.DUMMYFUNCTION("""COMPUTED_VALUE"""),568600.0)</f>
        <v>568600</v>
      </c>
      <c r="AR41" s="190">
        <f>IFERROR(__xludf.DUMMYFUNCTION("""COMPUTED_VALUE"""),118338.70000000001)</f>
        <v>118338.7</v>
      </c>
      <c r="AS41" s="180"/>
      <c r="AT41" s="190">
        <f>IFERROR(__xludf.DUMMYFUNCTION("""COMPUTED_VALUE"""),118338.70000000001)</f>
        <v>118338.7</v>
      </c>
      <c r="AU41" s="190"/>
      <c r="AV41" s="232"/>
      <c r="AW41" s="190">
        <f>IFERROR(__xludf.DUMMYFUNCTION("""COMPUTED_VALUE"""),0.0)</f>
        <v>0</v>
      </c>
      <c r="AX41" s="190">
        <f>IFERROR(__xludf.DUMMYFUNCTION("""COMPUTED_VALUE"""),0.0)</f>
        <v>0</v>
      </c>
      <c r="AY41" s="190">
        <f>IFERROR(__xludf.DUMMYFUNCTION("""COMPUTED_VALUE"""),0.0)</f>
        <v>0</v>
      </c>
      <c r="AZ41" s="190">
        <f>IFERROR(__xludf.DUMMYFUNCTION("""COMPUTED_VALUE"""),0.0)</f>
        <v>0</v>
      </c>
      <c r="BA41" s="190">
        <f>IFERROR(__xludf.DUMMYFUNCTION("""COMPUTED_VALUE"""),0.0)</f>
        <v>0</v>
      </c>
      <c r="BB41" s="180"/>
      <c r="BC41" s="232">
        <f>IFERROR(__xludf.DUMMYFUNCTION("""COMPUTED_VALUE"""),1.51132022236948E14)</f>
        <v>151132022236948</v>
      </c>
      <c r="BD41" s="180" t="str">
        <f>IFERROR(__xludf.DUMMYFUNCTION("""COMPUTED_VALUE"""),"Sim")</f>
        <v>Sim</v>
      </c>
      <c r="BE41" s="180"/>
      <c r="BF41" s="180"/>
      <c r="BG41" s="180"/>
      <c r="BH41" s="233">
        <f>IFERROR(__xludf.DUMMYFUNCTION("""COMPUTED_VALUE"""),200000.0)</f>
        <v>200000</v>
      </c>
      <c r="BI41" s="180" t="str">
        <f>IFERROR(__xludf.DUMMYFUNCTION("""COMPUTED_VALUE"""),"Média")</f>
        <v>Média</v>
      </c>
      <c r="BJ41" s="180"/>
      <c r="BK41" s="180" t="str">
        <f>IFERROR(__xludf.DUMMYFUNCTION("""COMPUTED_VALUE"""),"unidade")</f>
        <v>unidade</v>
      </c>
      <c r="BL41" s="180"/>
      <c r="BM41" s="180" t="str">
        <f>IFERROR(__xludf.DUMMYFUNCTION("""COMPUTED_VALUE"""),"ARP_PARTICIPACAO")</f>
        <v>ARP_PARTICIPACAO</v>
      </c>
      <c r="BN41" s="189"/>
      <c r="BO41" s="189"/>
      <c r="BP41" s="190"/>
      <c r="BQ41" s="190"/>
      <c r="BR41" s="190"/>
      <c r="BS41" s="190">
        <f>IFERROR(__xludf.DUMMYFUNCTION("""COMPUTED_VALUE"""),118338.70000000001)</f>
        <v>118338.7</v>
      </c>
      <c r="BT41" s="190">
        <f>IFERROR(__xludf.DUMMYFUNCTION("""COMPUTED_VALUE"""),118338.70000000001)</f>
        <v>118338.7</v>
      </c>
      <c r="BU41" s="180" t="str">
        <f>IFERROR(__xludf.DUMMYFUNCTION("""COMPUTED_VALUE"""),"Equipamentos de TIC - impressoras")</f>
        <v>Equipamentos de TIC - impressoras</v>
      </c>
      <c r="BV41" s="180"/>
      <c r="BW41" s="180"/>
      <c r="BX41" s="180"/>
      <c r="BY41" s="180"/>
      <c r="BZ41" s="189"/>
      <c r="CA41" s="180"/>
      <c r="CB41" s="180" t="str">
        <f>IFERROR(__xludf.DUMMYFUNCTION("""COMPUTED_VALUE"""),"Apreciação de Causas na Justiça do Trabalho")</f>
        <v>Apreciação de Causas na Justiça do Trabalho</v>
      </c>
      <c r="CC41" s="180" t="str">
        <f>IFERROR(__xludf.DUMMYFUNCTION("""COMPUTED_VALUE""")," - ")</f>
        <v> - </v>
      </c>
      <c r="CD41" s="180" t="str">
        <f>IFERROR(__xludf.DUMMYFUNCTION("""COMPUTED_VALUE"""),"EQUIPAMENTOS E MATERIAL PERMANENTE")</f>
        <v>EQUIPAMENTOS E MATERIAL PERMANENTE</v>
      </c>
      <c r="CE41" s="180"/>
      <c r="CF41" s="180" t="str">
        <f>IFERROR(__xludf.DUMMYFUNCTION("""COMPUTED_VALUE"""),"EQUIPAMENTOS DE TIC - IMPRESSORAS")</f>
        <v>EQUIPAMENTOS DE TIC - IMPRESSORAS</v>
      </c>
      <c r="CG41" s="189"/>
      <c r="CH41" s="189">
        <f>IFERROR(__xludf.DUMMYFUNCTION("""COMPUTED_VALUE"""),45108.0)</f>
        <v>45108</v>
      </c>
      <c r="CI41" s="180" t="str">
        <f>IFERROR(__xludf.DUMMYFUNCTION("""COMPUTED_VALUE"""),"ARP_PARTICIPACAO")</f>
        <v>ARP_PARTICIPACAO</v>
      </c>
      <c r="CJ41" s="190"/>
      <c r="CK41" s="189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</row>
    <row r="42">
      <c r="A42" s="230">
        <f>IFERROR(__xludf.DUMMYFUNCTION("""COMPUTED_VALUE"""),15364.0)</f>
        <v>15364</v>
      </c>
      <c r="B42" s="230">
        <f>IFERROR(__xludf.DUMMYFUNCTION("""COMPUTED_VALUE"""),15364.0)</f>
        <v>15364</v>
      </c>
      <c r="C42" s="180" t="str">
        <f>IFERROR(__xludf.DUMMYFUNCTION("""COMPUTED_VALUE"""),"SALA COFRE 2017 - Contratação de manutenção de sala cofre, que abriga o Datacenter principal, onde são armazenados todos os dados e os equipamentos de processamento de dados corporativos ")</f>
        <v>SALA COFRE 2017 - Contratação de manutenção de sala cofre, que abriga o Datacenter principal, onde são armazenados todos os dados e os equipamentos de processamento de dados corporativos </v>
      </c>
      <c r="D42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42" s="180" t="str">
        <f>IFERROR(__xludf.DUMMYFUNCTION("""COMPUTED_VALUE"""),"EJ08 - PROMOVER SERVIÇOS DE INFRAESTRUTURA E SOLUÇÕES CORPORATIVAS")</f>
        <v>EJ08 - PROMOVER SERVIÇOS DE INFRAESTRUTURA E SOLUÇÕES CORPORATIVAS</v>
      </c>
      <c r="F42" s="180" t="str">
        <f>IFERROR(__xludf.DUMMYFUNCTION("""COMPUTED_VALUE"""),"Contratação de serviços para o suporte à infraestrutura tecnológica")</f>
        <v>Contratação de serviços para o suporte à infraestrutura tecnológica</v>
      </c>
      <c r="G42" s="180" t="str">
        <f>IFERROR(__xludf.DUMMYFUNCTION("""COMPUTED_VALUE"""),"(ID PAAC 15364) SALA COFRE 2017 - Contratação de manutenção de sala cofre, que abriga o Datacenter principal, onde são armazenados todos os dados e os equipamentos de processamento de dados corporativos ")</f>
        <v>(ID PAAC 15364) SALA COFRE 2017 - Contratação de manutenção de sala cofre, que abriga o Datacenter principal, onde são armazenados todos os dados e os equipamentos de processamento de dados corporativos </v>
      </c>
      <c r="H42" s="180" t="str">
        <f>IFERROR(__xludf.DUMMYFUNCTION("""COMPUTED_VALUE"""),"Continuado")</f>
        <v>Continuado</v>
      </c>
      <c r="I42" s="180" t="str">
        <f>IFERROR(__xludf.DUMMYFUNCTION("""COMPUTED_VALUE"""),"SETIC")</f>
        <v>SETIC</v>
      </c>
      <c r="J42" s="180" t="str">
        <f>IFERROR(__xludf.DUMMYFUNCTION("""COMPUTED_VALUE"""),"SETIC")</f>
        <v>SETIC</v>
      </c>
      <c r="K42" s="180" t="str">
        <f>IFERROR(__xludf.DUMMYFUNCTION("""COMPUTED_VALUE"""),"GND3")</f>
        <v>GND3</v>
      </c>
      <c r="L42" s="231">
        <f>IFERROR(__xludf.DUMMYFUNCTION("""COMPUTED_VALUE"""),0.0)</f>
        <v>0</v>
      </c>
      <c r="M42" s="232">
        <f>IFERROR(__xludf.DUMMYFUNCTION("""COMPUTED_VALUE"""),3.3904011E7)</f>
        <v>33904011</v>
      </c>
      <c r="N42" s="232">
        <f>IFERROR(__xludf.DUMMYFUNCTION("""COMPUTED_VALUE"""),0.0)</f>
        <v>0</v>
      </c>
      <c r="O42" s="230">
        <f>IFERROR(__xludf.DUMMYFUNCTION("""COMPUTED_VALUE"""),168107.0)</f>
        <v>168107</v>
      </c>
      <c r="P42" s="180" t="str">
        <f>IFERROR(__xludf.DUMMYFUNCTION("""COMPUTED_VALUE"""),"Sim")</f>
        <v>Sim</v>
      </c>
      <c r="Q42" s="180" t="str">
        <f>IFERROR(__xludf.DUMMYFUNCTION("""COMPUTED_VALUE"""),"1 - Imprescindível")</f>
        <v>1 - Imprescindível</v>
      </c>
      <c r="R42" s="180" t="str">
        <f>IFERROR(__xludf.DUMMYFUNCTION("""COMPUTED_VALUE"""),"1 - Selecionado")</f>
        <v>1 - Selecionado</v>
      </c>
      <c r="S42" s="180"/>
      <c r="T42" s="180"/>
      <c r="U42" s="180" t="str">
        <f>IFERROR(__xludf.DUMMYFUNCTION("""COMPUTED_VALUE"""),"99 - Orçamentário")</f>
        <v>99 - Orçamentário</v>
      </c>
      <c r="V42" s="180"/>
      <c r="W42" s="180" t="str">
        <f>IFERROR(__xludf.DUMMYFUNCTION("""COMPUTED_VALUE"""),"6133/2017")</f>
        <v>6133/2017</v>
      </c>
      <c r="X42" s="180" t="str">
        <f>IFERROR(__xludf.DUMMYFUNCTION("""COMPUTED_VALUE"""),"SEINFRA")</f>
        <v>SEINFRA</v>
      </c>
      <c r="Y42" s="180" t="str">
        <f>IFERROR(__xludf.DUMMYFUNCTION("""COMPUTED_VALUE"""),"ORÇAMENTO")</f>
        <v>ORÇAMENTO</v>
      </c>
      <c r="Z42" s="180" t="str">
        <f>IFERROR(__xludf.DUMMYFUNCTION("""COMPUTED_VALUE"""),"PRE")</f>
        <v>PRE</v>
      </c>
      <c r="AA42" s="180" t="str">
        <f>IFERROR(__xludf.DUMMYFUNCTION("""COMPUTED_VALUE"""),"PRE-6133/2017")</f>
        <v>PRE-6133/2017</v>
      </c>
      <c r="AB42" s="230">
        <f>IFERROR(__xludf.DUMMYFUNCTION("""COMPUTED_VALUE"""),3.698620000134E12)</f>
        <v>3698620000134</v>
      </c>
      <c r="AC42" s="180" t="str">
        <f>IFERROR(__xludf.DUMMYFUNCTION("""COMPUTED_VALUE"""),"GREEN4T SOLUCOES TI LTDA.")</f>
        <v>GREEN4T SOLUCOES TI LTDA.</v>
      </c>
      <c r="AD42" s="189">
        <f>IFERROR(__xludf.DUMMYFUNCTION("""COMPUTED_VALUE"""),44845.0)</f>
        <v>44845</v>
      </c>
      <c r="AE42" s="189">
        <f>IFERROR(__xludf.DUMMYFUNCTION("""COMPUTED_VALUE"""),44845.0)</f>
        <v>44845</v>
      </c>
      <c r="AF42" s="180" t="str">
        <f>IFERROR(__xludf.DUMMYFUNCTION("""COMPUTED_VALUE"""),"Anderson Bastos
Diretor do SEINFRA")</f>
        <v>Anderson Bastos
Diretor do SEINFRA</v>
      </c>
      <c r="AG42" s="233">
        <f>IFERROR(__xludf.DUMMYFUNCTION("""COMPUTED_VALUE"""),1.0)</f>
        <v>1</v>
      </c>
      <c r="AH42" s="190">
        <f>IFERROR(__xludf.DUMMYFUNCTION("""COMPUTED_VALUE"""),263192.44)</f>
        <v>263192.44</v>
      </c>
      <c r="AI42" s="180" t="str">
        <f>IFERROR(__xludf.DUMMYFUNCTION("""COMPUTED_VALUE"""),"Não")</f>
        <v>Não</v>
      </c>
      <c r="AJ42" s="190"/>
      <c r="AK42" s="180" t="str">
        <f>IFERROR(__xludf.DUMMYFUNCTION("""COMPUTED_VALUE"""),"Anderson Bastos")</f>
        <v>Anderson Bastos</v>
      </c>
      <c r="AL42" s="180"/>
      <c r="AM42" s="180"/>
      <c r="AN42" s="190">
        <f>IFERROR(__xludf.DUMMYFUNCTION("""COMPUTED_VALUE"""),-18275.059999999998)</f>
        <v>-18275.06</v>
      </c>
      <c r="AO42" s="190">
        <f>IFERROR(__xludf.DUMMYFUNCTION("""COMPUTED_VALUE"""),281467.5)</f>
        <v>281467.5</v>
      </c>
      <c r="AP42" s="180" t="str">
        <f>IFERROR(__xludf.DUMMYFUNCTION("""COMPUTED_VALUE"""),"2022NE000126")</f>
        <v>2022NE000126</v>
      </c>
      <c r="AQ42" s="190">
        <f>IFERROR(__xludf.DUMMYFUNCTION("""COMPUTED_VALUE"""),337760.0)</f>
        <v>337760</v>
      </c>
      <c r="AR42" s="190">
        <f>IFERROR(__xludf.DUMMYFUNCTION("""COMPUTED_VALUE"""),263192.44)</f>
        <v>263192.44</v>
      </c>
      <c r="AS42" s="180" t="str">
        <f>IFERROR(__xludf.DUMMYFUNCTION("""COMPUTED_VALUE"""),"2021NE000328")</f>
        <v>2021NE000328</v>
      </c>
      <c r="AT42" s="190">
        <f>IFERROR(__xludf.DUMMYFUNCTION("""COMPUTED_VALUE"""),263192.44)</f>
        <v>263192.44</v>
      </c>
      <c r="AU42" s="190">
        <f>IFERROR(__xludf.DUMMYFUNCTION("""COMPUTED_VALUE"""),28199.19)</f>
        <v>28199.19</v>
      </c>
      <c r="AV42" s="232">
        <f>IFERROR(__xludf.DUMMYFUNCTION("""COMPUTED_VALUE"""),9.333333333333334)</f>
        <v>9.333333333</v>
      </c>
      <c r="AW42" s="190">
        <f>IFERROR(__xludf.DUMMYFUNCTION("""COMPUTED_VALUE"""),263192.44)</f>
        <v>263192.44</v>
      </c>
      <c r="AX42" s="190">
        <f>IFERROR(__xludf.DUMMYFUNCTION("""COMPUTED_VALUE"""),0.0)</f>
        <v>0</v>
      </c>
      <c r="AY42" s="190">
        <f>IFERROR(__xludf.DUMMYFUNCTION("""COMPUTED_VALUE"""),263192.44)</f>
        <v>263192.44</v>
      </c>
      <c r="AZ42" s="190">
        <f>IFERROR(__xludf.DUMMYFUNCTION("""COMPUTED_VALUE"""),84597.57)</f>
        <v>84597.57</v>
      </c>
      <c r="BA42" s="190">
        <f>IFERROR(__xludf.DUMMYFUNCTION("""COMPUTED_VALUE"""),178594.87)</f>
        <v>178594.87</v>
      </c>
      <c r="BB42" s="180" t="str">
        <f>IFERROR(__xludf.DUMMYFUNCTION("""COMPUTED_VALUE"""),"PRE-6133/2017")</f>
        <v>PRE-6133/2017</v>
      </c>
      <c r="BC42" s="232">
        <f>IFERROR(__xludf.DUMMYFUNCTION("""COMPUTED_VALUE"""),1.51132022236921E14)</f>
        <v>151132022236921</v>
      </c>
      <c r="BD42" s="180" t="str">
        <f>IFERROR(__xludf.DUMMYFUNCTION("""COMPUTED_VALUE"""),"Não")</f>
        <v>Não</v>
      </c>
      <c r="BE42" s="180" t="str">
        <f>IFERROR(__xludf.DUMMYFUNCTION("""COMPUTED_VALUE"""),"Sim")</f>
        <v>Sim</v>
      </c>
      <c r="BF42" s="180"/>
      <c r="BG42" s="180"/>
      <c r="BH42" s="233">
        <f>IFERROR(__xludf.DUMMYFUNCTION("""COMPUTED_VALUE"""),300000.0)</f>
        <v>300000</v>
      </c>
      <c r="BI42" s="180" t="str">
        <f>IFERROR(__xludf.DUMMYFUNCTION("""COMPUTED_VALUE"""),"Alta")</f>
        <v>Alta</v>
      </c>
      <c r="BJ42" s="180"/>
      <c r="BK42" s="180" t="str">
        <f>IFERROR(__xludf.DUMMYFUNCTION("""COMPUTED_VALUE"""),"ano")</f>
        <v>ano</v>
      </c>
      <c r="BL42" s="180" t="str">
        <f>IFERROR(__xludf.DUMMYFUNCTION("""COMPUTED_VALUE"""),"P. Eletrônico")</f>
        <v>P. Eletrônico</v>
      </c>
      <c r="BM42" s="180" t="str">
        <f>IFERROR(__xludf.DUMMYFUNCTION("""COMPUTED_VALUE"""),"ORÇAMENTO")</f>
        <v>ORÇAMENTO</v>
      </c>
      <c r="BN42" s="189">
        <f>IFERROR(__xludf.DUMMYFUNCTION("""COMPUTED_VALUE"""),43964.0)</f>
        <v>43964</v>
      </c>
      <c r="BO42" s="189">
        <f>IFERROR(__xludf.DUMMYFUNCTION("""COMPUTED_VALUE"""),44237.0)</f>
        <v>44237</v>
      </c>
      <c r="BP42" s="190"/>
      <c r="BQ42" s="190">
        <f>IFERROR(__xludf.DUMMYFUNCTION("""COMPUTED_VALUE"""),335760.0)</f>
        <v>335760</v>
      </c>
      <c r="BR42" s="190">
        <f>IFERROR(__xludf.DUMMYFUNCTION("""COMPUTED_VALUE"""),335760.0)</f>
        <v>335760</v>
      </c>
      <c r="BS42" s="190">
        <f>IFERROR(__xludf.DUMMYFUNCTION("""COMPUTED_VALUE"""),263192.44)</f>
        <v>263192.44</v>
      </c>
      <c r="BT42" s="190">
        <f>IFERROR(__xludf.DUMMYFUNCTION("""COMPUTED_VALUE"""),335760.0)</f>
        <v>335760</v>
      </c>
      <c r="BU42" s="180" t="str">
        <f>IFERROR(__xludf.DUMMYFUNCTION("""COMPUTED_VALUE"""),"Suporte de infraestrutura de TIC")</f>
        <v>Suporte de infraestrutura de TIC</v>
      </c>
      <c r="BV42" s="180" t="str">
        <f>IFERROR(__xludf.DUMMYFUNCTION("""COMPUTED_VALUE"""),"INFRA - Serviços de Manutenção e Suporte das Soluções de Segurança Física dos Datacenters da Justiça do Trabalho (Salas-Cofre)")</f>
        <v>INFRA - Serviços de Manutenção e Suporte das Soluções de Segurança Física dos Datacenters da Justiça do Trabalho (Salas-Cofre)</v>
      </c>
      <c r="BW42" s="180" t="str">
        <f>IFERROR(__xludf.DUMMYFUNCTION("""COMPUTED_VALUE"""),"04 - SALA-COFRE Suporte e Manutenção")</f>
        <v>04 - SALA-COFRE Suporte e Manutenção</v>
      </c>
      <c r="BX42" s="180"/>
      <c r="BY42" s="180" t="str">
        <f>IFERROR(__xludf.DUMMYFUNCTION("""COMPUTED_VALUE"""),"Serviços de Manutenção e Suporte das Soluções de Segurança Física dos Datacenters da Justiça do Trabalho (Salas-Cofre)")</f>
        <v>Serviços de Manutenção e Suporte das Soluções de Segurança Física dos Datacenters da Justiça do Trabalho (Salas-Cofre)</v>
      </c>
      <c r="BZ42" s="189"/>
      <c r="CA42" s="180"/>
      <c r="CB42" s="180" t="str">
        <f>IFERROR(__xludf.DUMMYFUNCTION("""COMPUTED_VALUE"""),"Manutenção e Gestão dos Serviços de Tecnologia da Informação")</f>
        <v>Manutenção e Gestão dos Serviços de Tecnologia da Informação</v>
      </c>
      <c r="CC42" s="180" t="str">
        <f>IFERROR(__xludf.DUMMYFUNCTION("""COMPUTED_VALUE"""),"INFRA - Serviços de Manutenção e Suporte das Soluções de Segurança Física dos Datacenters da Justiça do Trabalho (Salas-Cofre) - Serviços de Manutenção e Suporte das Soluções de Segurança Física dos Datacenters da Justiça do Trabalho (Salas-Cofre)")</f>
        <v>INFRA - Serviços de Manutenção e Suporte das Soluções de Segurança Física dos Datacenters da Justiça do Trabalho (Salas-Cofre) - Serviços de Manutenção e Suporte das Soluções de Segurança Física dos Datacenters da Justiça do Trabalho (Salas-Cofre)</v>
      </c>
      <c r="CD42" s="180" t="str">
        <f>IFERROR(__xludf.DUMMYFUNCTION("""COMPUTED_VALUE"""),"SERVIÇOS DE TECNOLOGIA DA INFORMAÇÃO E COMUNICAÇÃO - TIC")</f>
        <v>SERVIÇOS DE TECNOLOGIA DA INFORMAÇÃO E COMUNICAÇÃO - TIC</v>
      </c>
      <c r="CE42" s="180"/>
      <c r="CF42" s="180" t="str">
        <f>IFERROR(__xludf.DUMMYFUNCTION("""COMPUTED_VALUE"""),"SUPORTE DE INFRAESTRUTURA DE TIC")</f>
        <v>SUPORTE DE INFRAESTRUTURA DE TIC</v>
      </c>
      <c r="CG42" s="189"/>
      <c r="CH42" s="189">
        <f>IFERROR(__xludf.DUMMYFUNCTION("""COMPUTED_VALUE"""),45210.0)</f>
        <v>45210</v>
      </c>
      <c r="CI42" s="180" t="str">
        <f>IFERROR(__xludf.DUMMYFUNCTION("""COMPUTED_VALUE"""),"ORÇAMENTO")</f>
        <v>ORÇAMENTO</v>
      </c>
      <c r="CJ42" s="190">
        <f>IFERROR(__xludf.DUMMYFUNCTION("""COMPUTED_VALUE"""),335760.0)</f>
        <v>335760</v>
      </c>
      <c r="CK42" s="189">
        <f>IFERROR(__xludf.DUMMYFUNCTION("""COMPUTED_VALUE"""),44844.0)</f>
        <v>44844</v>
      </c>
      <c r="CL42" s="180" t="str">
        <f>IFERROR(__xludf.DUMMYFUNCTION("""COMPUTED_VALUE"""),"PRE")</f>
        <v>PRE</v>
      </c>
      <c r="CM42" s="180" t="str">
        <f>IFERROR(__xludf.DUMMYFUNCTION("""COMPUTED_VALUE"""),"x")</f>
        <v>x</v>
      </c>
      <c r="CN42" s="180" t="str">
        <f>IFERROR(__xludf.DUMMYFUNCTION("""COMPUTED_VALUE"""),"PRE-6133/2017")</f>
        <v>PRE-6133/2017</v>
      </c>
      <c r="CO42" s="234" t="str">
        <f>IFERROR(__xludf.DUMMYFUNCTION("""COMPUTED_VALUE"""),"https://www.trt12.jus.br/proad/pages/fichadoprocesso.xhtml?numeroProtocolo=6133&amp;numeroAno=2017&amp;tab=tabFichaDocumento")</f>
        <v>https://www.trt12.jus.br/proad/pages/fichadoprocesso.xhtml?numeroProtocolo=6133&amp;numeroAno=2017&amp;tab=tabFichaDocumento</v>
      </c>
      <c r="CP42" s="180"/>
      <c r="CQ42" s="180"/>
      <c r="CR42" s="180" t="str">
        <f>IFERROR(__xludf.DUMMYFUNCTION("""COMPUTED_VALUE"""),"GND3")</f>
        <v>GND3</v>
      </c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</row>
    <row r="43">
      <c r="A43" s="230">
        <f>IFERROR(__xludf.DUMMYFUNCTION("""COMPUTED_VALUE"""),15366.0)</f>
        <v>15366</v>
      </c>
      <c r="B43" s="230">
        <f>IFERROR(__xludf.DUMMYFUNCTION("""COMPUTED_VALUE"""),0.0)</f>
        <v>0</v>
      </c>
      <c r="C43" s="180" t="str">
        <f>IFERROR(__xludf.DUMMYFUNCTION("""COMPUTED_VALUE"""),"MÍDIAS SERVIÇO - Contratação de serviço/espaço de armazenamento para mídias")</f>
        <v>MÍDIAS SERVIÇO - Contratação de serviço/espaço de armazenamento para mídias</v>
      </c>
      <c r="D43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43" s="180" t="str">
        <f>IFERROR(__xludf.DUMMYFUNCTION("""COMPUTED_VALUE"""),"EJ08 - PROMOVER SERVIÇOS DE INFRAESTRUTURA E SOLUÇÕES CORPORATIVAS")</f>
        <v>EJ08 - PROMOVER SERVIÇOS DE INFRAESTRUTURA E SOLUÇÕES CORPORATIVAS</v>
      </c>
      <c r="F43" s="180" t="str">
        <f>IFERROR(__xludf.DUMMYFUNCTION("""COMPUTED_VALUE"""),"Contratação de serviços para o suporte à infraestrutura tecnológica")</f>
        <v>Contratação de serviços para o suporte à infraestrutura tecnológica</v>
      </c>
      <c r="G43" s="180" t="str">
        <f>IFERROR(__xludf.DUMMYFUNCTION("""COMPUTED_VALUE"""),"(ID PAAC 15366) MÍDIAS SERVIÇO - Contratação de serviço/espaço de armazenamento para mídias")</f>
        <v>(ID PAAC 15366) MÍDIAS SERVIÇO - Contratação de serviço/espaço de armazenamento para mídias</v>
      </c>
      <c r="H43" s="180" t="str">
        <f>IFERROR(__xludf.DUMMYFUNCTION("""COMPUTED_VALUE"""),"Continuado")</f>
        <v>Continuado</v>
      </c>
      <c r="I43" s="180" t="str">
        <f>IFERROR(__xludf.DUMMYFUNCTION("""COMPUTED_VALUE"""),"SETIC")</f>
        <v>SETIC</v>
      </c>
      <c r="J43" s="180" t="str">
        <f>IFERROR(__xludf.DUMMYFUNCTION("""COMPUTED_VALUE"""),"SETIC")</f>
        <v>SETIC</v>
      </c>
      <c r="K43" s="180" t="str">
        <f>IFERROR(__xludf.DUMMYFUNCTION("""COMPUTED_VALUE"""),"GND3")</f>
        <v>GND3</v>
      </c>
      <c r="L43" s="231">
        <f>IFERROR(__xludf.DUMMYFUNCTION("""COMPUTED_VALUE"""),0.0)</f>
        <v>0</v>
      </c>
      <c r="M43" s="232">
        <f>IFERROR(__xludf.DUMMYFUNCTION("""COMPUTED_VALUE"""),3.3904019E7)</f>
        <v>33904019</v>
      </c>
      <c r="N43" s="232">
        <f>IFERROR(__xludf.DUMMYFUNCTION("""COMPUTED_VALUE"""),0.0)</f>
        <v>0</v>
      </c>
      <c r="O43" s="230">
        <f>IFERROR(__xludf.DUMMYFUNCTION("""COMPUTED_VALUE"""),168105.0)</f>
        <v>168105</v>
      </c>
      <c r="P43" s="180" t="str">
        <f>IFERROR(__xludf.DUMMYFUNCTION("""COMPUTED_VALUE"""),"Não")</f>
        <v>Não</v>
      </c>
      <c r="Q43" s="180" t="str">
        <f>IFERROR(__xludf.DUMMYFUNCTION("""COMPUTED_VALUE"""),"1 - Imprescindível")</f>
        <v>1 - Imprescindível</v>
      </c>
      <c r="R43" s="180" t="str">
        <f>IFERROR(__xludf.DUMMYFUNCTION("""COMPUTED_VALUE"""),"4 - Cancelado")</f>
        <v>4 - Cancelado</v>
      </c>
      <c r="S43" s="180"/>
      <c r="T43" s="180"/>
      <c r="U43" s="180" t="str">
        <f>IFERROR(__xludf.DUMMYFUNCTION("""COMPUTED_VALUE"""),"01 - Não oficializado")</f>
        <v>01 - Não oficializado</v>
      </c>
      <c r="V43" s="180"/>
      <c r="W43" s="180"/>
      <c r="X43" s="180" t="str">
        <f>IFERROR(__xludf.DUMMYFUNCTION("""COMPUTED_VALUE"""),"SEINFRA")</f>
        <v>SEINFRA</v>
      </c>
      <c r="Y43" s="180" t="str">
        <f>IFERROR(__xludf.DUMMYFUNCTION("""COMPUTED_VALUE"""),"PRE")</f>
        <v>PRE</v>
      </c>
      <c r="Z43" s="180" t="str">
        <f>IFERROR(__xludf.DUMMYFUNCTION("""COMPUTED_VALUE"""),"PRE")</f>
        <v>PRE</v>
      </c>
      <c r="AA43" s="180"/>
      <c r="AB43" s="230"/>
      <c r="AC43" s="180" t="str">
        <f>IFERROR(__xludf.DUMMYFUNCTION("""COMPUTED_VALUE"""),"#N/A")</f>
        <v>#N/A</v>
      </c>
      <c r="AD43" s="189">
        <f>IFERROR(__xludf.DUMMYFUNCTION("""COMPUTED_VALUE"""),44725.0)</f>
        <v>44725</v>
      </c>
      <c r="AE43" s="189">
        <f>IFERROR(__xludf.DUMMYFUNCTION("""COMPUTED_VALUE"""),44835.0)</f>
        <v>44835</v>
      </c>
      <c r="AF43" s="180" t="str">
        <f>IFERROR(__xludf.DUMMYFUNCTION("""COMPUTED_VALUE"""),"Anderson Bastos
Diretor do SEINFRA")</f>
        <v>Anderson Bastos
Diretor do SEINFRA</v>
      </c>
      <c r="AG43" s="233">
        <f>IFERROR(__xludf.DUMMYFUNCTION("""COMPUTED_VALUE"""),1.0)</f>
        <v>1</v>
      </c>
      <c r="AH43" s="190">
        <f>IFERROR(__xludf.DUMMYFUNCTION("""COMPUTED_VALUE"""),0.0)</f>
        <v>0</v>
      </c>
      <c r="AI43" s="180" t="str">
        <f>IFERROR(__xludf.DUMMYFUNCTION("""COMPUTED_VALUE"""),"Não")</f>
        <v>Não</v>
      </c>
      <c r="AJ43" s="190"/>
      <c r="AK43" s="180"/>
      <c r="AL43" s="180"/>
      <c r="AM43" s="180"/>
      <c r="AN43" s="190">
        <f>IFERROR(__xludf.DUMMYFUNCTION("""COMPUTED_VALUE"""),-200000.0)</f>
        <v>-200000</v>
      </c>
      <c r="AO43" s="190">
        <f>IFERROR(__xludf.DUMMYFUNCTION("""COMPUTED_VALUE"""),200000.0)</f>
        <v>200000</v>
      </c>
      <c r="AP43" s="180"/>
      <c r="AQ43" s="190">
        <f>IFERROR(__xludf.DUMMYFUNCTION("""COMPUTED_VALUE"""),100000.0)</f>
        <v>100000</v>
      </c>
      <c r="AR43" s="190">
        <f>IFERROR(__xludf.DUMMYFUNCTION("""COMPUTED_VALUE"""),200000.0)</f>
        <v>200000</v>
      </c>
      <c r="AS43" s="180"/>
      <c r="AT43" s="190">
        <f>IFERROR(__xludf.DUMMYFUNCTION("""COMPUTED_VALUE"""),0.0)</f>
        <v>0</v>
      </c>
      <c r="AU43" s="190"/>
      <c r="AV43" s="232"/>
      <c r="AW43" s="190">
        <f>IFERROR(__xludf.DUMMYFUNCTION("""COMPUTED_VALUE"""),0.0)</f>
        <v>0</v>
      </c>
      <c r="AX43" s="190">
        <f>IFERROR(__xludf.DUMMYFUNCTION("""COMPUTED_VALUE"""),0.0)</f>
        <v>0</v>
      </c>
      <c r="AY43" s="190">
        <f>IFERROR(__xludf.DUMMYFUNCTION("""COMPUTED_VALUE"""),0.0)</f>
        <v>0</v>
      </c>
      <c r="AZ43" s="190">
        <f>IFERROR(__xludf.DUMMYFUNCTION("""COMPUTED_VALUE"""),0.0)</f>
        <v>0</v>
      </c>
      <c r="BA43" s="190">
        <f>IFERROR(__xludf.DUMMYFUNCTION("""COMPUTED_VALUE"""),0.0)</f>
        <v>0</v>
      </c>
      <c r="BB43" s="180"/>
      <c r="BC43" s="232">
        <f>IFERROR(__xludf.DUMMYFUNCTION("""COMPUTED_VALUE"""),1.51132022236943E14)</f>
        <v>151132022236943</v>
      </c>
      <c r="BD43" s="180" t="str">
        <f>IFERROR(__xludf.DUMMYFUNCTION("""COMPUTED_VALUE"""),"Não")</f>
        <v>Não</v>
      </c>
      <c r="BE43" s="180"/>
      <c r="BF43" s="180"/>
      <c r="BG43" s="180"/>
      <c r="BH43" s="233">
        <f>IFERROR(__xludf.DUMMYFUNCTION("""COMPUTED_VALUE"""),300000.0)</f>
        <v>300000</v>
      </c>
      <c r="BI43" s="180" t="str">
        <f>IFERROR(__xludf.DUMMYFUNCTION("""COMPUTED_VALUE"""),"Alta")</f>
        <v>Alta</v>
      </c>
      <c r="BJ43" s="180"/>
      <c r="BK43" s="180" t="str">
        <f>IFERROR(__xludf.DUMMYFUNCTION("""COMPUTED_VALUE"""),"ano")</f>
        <v>ano</v>
      </c>
      <c r="BL43" s="180"/>
      <c r="BM43" s="180" t="str">
        <f>IFERROR(__xludf.DUMMYFUNCTION("""COMPUTED_VALUE"""),"CANCELADO")</f>
        <v>CANCELADO</v>
      </c>
      <c r="BN43" s="189"/>
      <c r="BO43" s="189"/>
      <c r="BP43" s="190"/>
      <c r="BQ43" s="190"/>
      <c r="BR43" s="190"/>
      <c r="BS43" s="190">
        <f>IFERROR(__xludf.DUMMYFUNCTION("""COMPUTED_VALUE"""),0.0)</f>
        <v>0</v>
      </c>
      <c r="BT43" s="190">
        <f>IFERROR(__xludf.DUMMYFUNCTION("""COMPUTED_VALUE"""),200000.0)</f>
        <v>200000</v>
      </c>
      <c r="BU43" s="180" t="str">
        <f>IFERROR(__xludf.DUMMYFUNCTION("""COMPUTED_VALUE"""),"Computação em nuvem - software como serviço (SAAS)")</f>
        <v>Computação em nuvem - software como serviço (SAAS)</v>
      </c>
      <c r="BV43" s="180"/>
      <c r="BW43" s="180"/>
      <c r="BX43" s="180"/>
      <c r="BY43" s="180"/>
      <c r="BZ43" s="189"/>
      <c r="CA43" s="180"/>
      <c r="CB43" s="180" t="str">
        <f>IFERROR(__xludf.DUMMYFUNCTION("""COMPUTED_VALUE"""),"Apreciação de Causas na Justiça do Trabalho")</f>
        <v>Apreciação de Causas na Justiça do Trabalho</v>
      </c>
      <c r="CC43" s="180" t="str">
        <f>IFERROR(__xludf.DUMMYFUNCTION("""COMPUTED_VALUE""")," - ")</f>
        <v> - </v>
      </c>
      <c r="CD43" s="180" t="str">
        <f>IFERROR(__xludf.DUMMYFUNCTION("""COMPUTED_VALUE"""),"SERVIÇOS DE TECNOLOGIA DA INFORMAÇÃO E COMUNICAÇÃO - TIC")</f>
        <v>SERVIÇOS DE TECNOLOGIA DA INFORMAÇÃO E COMUNICAÇÃO - TIC</v>
      </c>
      <c r="CE43" s="180"/>
      <c r="CF43" s="180" t="str">
        <f>IFERROR(__xludf.DUMMYFUNCTION("""COMPUTED_VALUE"""),"COMPUTAÇÃO EM NUVEM - SOFTWARE COMO SERVIÇO (SAAS)")</f>
        <v>COMPUTAÇÃO EM NUVEM - SOFTWARE COMO SERVIÇO (SAAS)</v>
      </c>
      <c r="CG43" s="189">
        <f>IFERROR(__xludf.DUMMYFUNCTION("""COMPUTED_VALUE"""),45088.0)</f>
        <v>45088</v>
      </c>
      <c r="CH43" s="189">
        <f>IFERROR(__xludf.DUMMYFUNCTION("""COMPUTED_VALUE"""),45200.0)</f>
        <v>45200</v>
      </c>
      <c r="CI43" s="180" t="str">
        <f>IFERROR(__xludf.DUMMYFUNCTION("""COMPUTED_VALUE"""),"PRE")</f>
        <v>PRE</v>
      </c>
      <c r="CJ43" s="190"/>
      <c r="CK43" s="189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</row>
    <row r="44">
      <c r="A44" s="230">
        <f>IFERROR(__xludf.DUMMYFUNCTION("""COMPUTED_VALUE"""),15367.0)</f>
        <v>15367</v>
      </c>
      <c r="B44" s="230">
        <f>IFERROR(__xludf.DUMMYFUNCTION("""COMPUTED_VALUE"""),0.0)</f>
        <v>0</v>
      </c>
      <c r="C44" s="180" t="str">
        <f>IFERROR(__xludf.DUMMYFUNCTION("""COMPUTED_VALUE"""),"MICROCOMPUTADORES - Aquisição de lote câmeras tipo webcam para uso em monitores convencionais")</f>
        <v>MICROCOMPUTADORES - Aquisição de lote câmeras tipo webcam para uso em monitores convencionais</v>
      </c>
      <c r="D44" s="180" t="str">
        <f>IFERROR(__xludf.DUMMYFUNCTION("""COMPUTED_VALUE"""),"Aquisição de produto, peça de reposição, material de consumo e/ou de serviço não continuado de tecnologia da informação e telecomunicações desejável para a melhoria na prestação de serviços.
")</f>
        <v>Aquisição de produto, peça de reposição, material de consumo e/ou de serviço não continuado de tecnologia da informação e telecomunicações desejável para a melhoria na prestação de serviços.
</v>
      </c>
      <c r="E44" s="180" t="str">
        <f>IFERROR(__xludf.DUMMYFUNCTION("""COMPUTED_VALUE"""),"EJ08 - PROMOVER SERVIÇOS DE INFRAESTRUTURA E SOLUÇÕES CORPORATIVAS")</f>
        <v>EJ08 - PROMOVER SERVIÇOS DE INFRAESTRUTURA E SOLUÇÕES CORPORATIVAS</v>
      </c>
      <c r="F44" s="180" t="str">
        <f>IFERROR(__xludf.DUMMYFUNCTION("""COMPUTED_VALUE"""),"Contratação de serviços de suporte à microinformática")</f>
        <v>Contratação de serviços de suporte à microinformática</v>
      </c>
      <c r="G44" s="180" t="str">
        <f>IFERROR(__xludf.DUMMYFUNCTION("""COMPUTED_VALUE"""),"(ID PAAC 15367) MICROCOMPUTADORES - Aquisição de lote câmeras tipo webcam para uso em monitores convencionais")</f>
        <v>(ID PAAC 15367) MICROCOMPUTADORES - Aquisição de lote câmeras tipo webcam para uso em monitores convencionais</v>
      </c>
      <c r="H44" s="180" t="str">
        <f>IFERROR(__xludf.DUMMYFUNCTION("""COMPUTED_VALUE"""),"Imediato")</f>
        <v>Imediato</v>
      </c>
      <c r="I44" s="180" t="str">
        <f>IFERROR(__xludf.DUMMYFUNCTION("""COMPUTED_VALUE"""),"SETIC")</f>
        <v>SETIC</v>
      </c>
      <c r="J44" s="180" t="str">
        <f>IFERROR(__xludf.DUMMYFUNCTION("""COMPUTED_VALUE"""),"SETIC")</f>
        <v>SETIC</v>
      </c>
      <c r="K44" s="180" t="str">
        <f>IFERROR(__xludf.DUMMYFUNCTION("""COMPUTED_VALUE"""),"GND3")</f>
        <v>GND3</v>
      </c>
      <c r="L44" s="231">
        <f>IFERROR(__xludf.DUMMYFUNCTION("""COMPUTED_VALUE"""),0.0)</f>
        <v>0</v>
      </c>
      <c r="M44" s="232"/>
      <c r="N44" s="232">
        <f>IFERROR(__xludf.DUMMYFUNCTION("""COMPUTED_VALUE"""),0.0)</f>
        <v>0</v>
      </c>
      <c r="O44" s="230">
        <f>IFERROR(__xludf.DUMMYFUNCTION("""COMPUTED_VALUE"""),168105.0)</f>
        <v>168105</v>
      </c>
      <c r="P44" s="180" t="str">
        <f>IFERROR(__xludf.DUMMYFUNCTION("""COMPUTED_VALUE"""),"Não")</f>
        <v>Não</v>
      </c>
      <c r="Q44" s="180" t="str">
        <f>IFERROR(__xludf.DUMMYFUNCTION("""COMPUTED_VALUE"""),"3 - Desejável")</f>
        <v>3 - Desejável</v>
      </c>
      <c r="R44" s="180" t="str">
        <f>IFERROR(__xludf.DUMMYFUNCTION("""COMPUTED_VALUE"""),"4 - Cancelado")</f>
        <v>4 - Cancelado</v>
      </c>
      <c r="S44" s="180"/>
      <c r="T44" s="180"/>
      <c r="U44" s="180" t="str">
        <f>IFERROR(__xludf.DUMMYFUNCTION("""COMPUTED_VALUE"""),"01 - Não oficializado")</f>
        <v>01 - Não oficializado</v>
      </c>
      <c r="V44" s="180"/>
      <c r="W44" s="180"/>
      <c r="X44" s="180"/>
      <c r="Y44" s="180" t="str">
        <f>IFERROR(__xludf.DUMMYFUNCTION("""COMPUTED_VALUE"""),"ARP_ADESAO")</f>
        <v>ARP_ADESAO</v>
      </c>
      <c r="Z44" s="180" t="str">
        <f>IFERROR(__xludf.DUMMYFUNCTION("""COMPUTED_VALUE"""),"RP")</f>
        <v>RP</v>
      </c>
      <c r="AA44" s="180"/>
      <c r="AB44" s="230"/>
      <c r="AC44" s="180" t="str">
        <f>IFERROR(__xludf.DUMMYFUNCTION("""COMPUTED_VALUE"""),"#N/A")</f>
        <v>#N/A</v>
      </c>
      <c r="AD44" s="189">
        <f>IFERROR(__xludf.DUMMYFUNCTION("""COMPUTED_VALUE"""),44653.0)</f>
        <v>44653</v>
      </c>
      <c r="AE44" s="189">
        <f>IFERROR(__xludf.DUMMYFUNCTION("""COMPUTED_VALUE"""),44713.0)</f>
        <v>44713</v>
      </c>
      <c r="AF44" s="180" t="str">
        <f>IFERROR(__xludf.DUMMYFUNCTION("""COMPUTED_VALUE"""),"#N/A")</f>
        <v>#N/A</v>
      </c>
      <c r="AG44" s="233">
        <f>IFERROR(__xludf.DUMMYFUNCTION("""COMPUTED_VALUE"""),1.0)</f>
        <v>1</v>
      </c>
      <c r="AH44" s="190">
        <f>IFERROR(__xludf.DUMMYFUNCTION("""COMPUTED_VALUE"""),0.0)</f>
        <v>0</v>
      </c>
      <c r="AI44" s="180" t="str">
        <f>IFERROR(__xludf.DUMMYFUNCTION("""COMPUTED_VALUE"""),"Não")</f>
        <v>Não</v>
      </c>
      <c r="AJ44" s="190"/>
      <c r="AK44" s="180"/>
      <c r="AL44" s="180"/>
      <c r="AM44" s="180"/>
      <c r="AN44" s="190">
        <f>IFERROR(__xludf.DUMMYFUNCTION("""COMPUTED_VALUE"""),0.0)</f>
        <v>0</v>
      </c>
      <c r="AO44" s="190">
        <f>IFERROR(__xludf.DUMMYFUNCTION("""COMPUTED_VALUE"""),0.0)</f>
        <v>0</v>
      </c>
      <c r="AP44" s="180"/>
      <c r="AQ44" s="190">
        <f>IFERROR(__xludf.DUMMYFUNCTION("""COMPUTED_VALUE"""),75000.0)</f>
        <v>75000</v>
      </c>
      <c r="AR44" s="190">
        <f>IFERROR(__xludf.DUMMYFUNCTION("""COMPUTED_VALUE"""),0.0)</f>
        <v>0</v>
      </c>
      <c r="AS44" s="180"/>
      <c r="AT44" s="190">
        <f>IFERROR(__xludf.DUMMYFUNCTION("""COMPUTED_VALUE"""),0.0)</f>
        <v>0</v>
      </c>
      <c r="AU44" s="190"/>
      <c r="AV44" s="232"/>
      <c r="AW44" s="190">
        <f>IFERROR(__xludf.DUMMYFUNCTION("""COMPUTED_VALUE"""),0.0)</f>
        <v>0</v>
      </c>
      <c r="AX44" s="190">
        <f>IFERROR(__xludf.DUMMYFUNCTION("""COMPUTED_VALUE"""),0.0)</f>
        <v>0</v>
      </c>
      <c r="AY44" s="190">
        <f>IFERROR(__xludf.DUMMYFUNCTION("""COMPUTED_VALUE"""),0.0)</f>
        <v>0</v>
      </c>
      <c r="AZ44" s="190">
        <f>IFERROR(__xludf.DUMMYFUNCTION("""COMPUTED_VALUE"""),0.0)</f>
        <v>0</v>
      </c>
      <c r="BA44" s="190">
        <f>IFERROR(__xludf.DUMMYFUNCTION("""COMPUTED_VALUE"""),0.0)</f>
        <v>0</v>
      </c>
      <c r="BB44" s="180"/>
      <c r="BC44" s="232">
        <f>IFERROR(__xludf.DUMMYFUNCTION("""COMPUTED_VALUE"""),1.51132022236913E14)</f>
        <v>151132022236913</v>
      </c>
      <c r="BD44" s="180" t="str">
        <f>IFERROR(__xludf.DUMMYFUNCTION("""COMPUTED_VALUE"""),"Não")</f>
        <v>Não</v>
      </c>
      <c r="BE44" s="180"/>
      <c r="BF44" s="180"/>
      <c r="BG44" s="180"/>
      <c r="BH44" s="233">
        <f>IFERROR(__xludf.DUMMYFUNCTION("""COMPUTED_VALUE"""),100000.0)</f>
        <v>100000</v>
      </c>
      <c r="BI44" s="180" t="str">
        <f>IFERROR(__xludf.DUMMYFUNCTION("""COMPUTED_VALUE"""),"Baixa")</f>
        <v>Baixa</v>
      </c>
      <c r="BJ44" s="180"/>
      <c r="BK44" s="180" t="str">
        <f>IFERROR(__xludf.DUMMYFUNCTION("""COMPUTED_VALUE"""),"unidade")</f>
        <v>unidade</v>
      </c>
      <c r="BL44" s="180"/>
      <c r="BM44" s="180" t="str">
        <f>IFERROR(__xludf.DUMMYFUNCTION("""COMPUTED_VALUE"""),"CANCELADO")</f>
        <v>CANCELADO</v>
      </c>
      <c r="BN44" s="189"/>
      <c r="BO44" s="189"/>
      <c r="BP44" s="190"/>
      <c r="BQ44" s="190"/>
      <c r="BR44" s="190"/>
      <c r="BS44" s="190">
        <f>IFERROR(__xludf.DUMMYFUNCTION("""COMPUTED_VALUE"""),0.0)</f>
        <v>0</v>
      </c>
      <c r="BT44" s="190"/>
      <c r="BU44" s="180" t="str">
        <f>IFERROR(__xludf.DUMMYFUNCTION("""COMPUTED_VALUE"""),"#N/A")</f>
        <v>#N/A</v>
      </c>
      <c r="BV44" s="180"/>
      <c r="BW44" s="180"/>
      <c r="BX44" s="180"/>
      <c r="BY44" s="180"/>
      <c r="BZ44" s="189"/>
      <c r="CA44" s="180"/>
      <c r="CB44" s="180" t="str">
        <f>IFERROR(__xludf.DUMMYFUNCTION("""COMPUTED_VALUE"""),"Apreciação de Causas na Justiça do Trabalho")</f>
        <v>Apreciação de Causas na Justiça do Trabalho</v>
      </c>
      <c r="CC44" s="180" t="str">
        <f>IFERROR(__xludf.DUMMYFUNCTION("""COMPUTED_VALUE""")," - ")</f>
        <v> - </v>
      </c>
      <c r="CD44" s="180" t="str">
        <f>IFERROR(__xludf.DUMMYFUNCTION("""COMPUTED_VALUE"""),"#N/A")</f>
        <v>#N/A</v>
      </c>
      <c r="CE44" s="180"/>
      <c r="CF44" s="180" t="str">
        <f>IFERROR(__xludf.DUMMYFUNCTION("""COMPUTED_VALUE"""),"#N/A")</f>
        <v>#N/A</v>
      </c>
      <c r="CG44" s="189"/>
      <c r="CH44" s="189">
        <f>IFERROR(__xludf.DUMMYFUNCTION("""COMPUTED_VALUE"""),45078.0)</f>
        <v>45078</v>
      </c>
      <c r="CI44" s="180" t="str">
        <f>IFERROR(__xludf.DUMMYFUNCTION("""COMPUTED_VALUE"""),"ARP_ADESAO")</f>
        <v>ARP_ADESAO</v>
      </c>
      <c r="CJ44" s="190"/>
      <c r="CK44" s="189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</row>
    <row r="45">
      <c r="A45" s="230">
        <f>IFERROR(__xludf.DUMMYFUNCTION("""COMPUTED_VALUE"""),15368.0)</f>
        <v>15368</v>
      </c>
      <c r="B45" s="230">
        <f>IFERROR(__xludf.DUMMYFUNCTION("""COMPUTED_VALUE"""),0.0)</f>
        <v>0</v>
      </c>
      <c r="C45" s="180" t="str">
        <f>IFERROR(__xludf.DUMMYFUNCTION("""COMPUTED_VALUE"""),"AUDIÊNCIAS - Solução para indexação e marcação de videoconferências das audiências ")</f>
        <v>AUDIÊNCIAS - Solução para indexação e marcação de videoconferências das audiências </v>
      </c>
      <c r="D45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45" s="180" t="str">
        <f>IFERROR(__xludf.DUMMYFUNCTION("""COMPUTED_VALUE"""),"EJ04 - BUSCAR A INOVAÇÃO DE FORMA COLABORATIVA")</f>
        <v>EJ04 - BUSCAR A INOVAÇÃO DE FORMA COLABORATIVA</v>
      </c>
      <c r="F45" s="180" t="str">
        <f>IFERROR(__xludf.DUMMYFUNCTION("""COMPUTED_VALUE"""),"Contratação de serviços para o suporte à infraestrutura tecnológica")</f>
        <v>Contratação de serviços para o suporte à infraestrutura tecnológica</v>
      </c>
      <c r="G45" s="180" t="str">
        <f>IFERROR(__xludf.DUMMYFUNCTION("""COMPUTED_VALUE"""),"(ID PAAC 15368) AUDIÊNCIAS - Solução para indexação e marcação de videoconferências das audiências ")</f>
        <v>(ID PAAC 15368) AUDIÊNCIAS - Solução para indexação e marcação de videoconferências das audiências </v>
      </c>
      <c r="H45" s="180" t="str">
        <f>IFERROR(__xludf.DUMMYFUNCTION("""COMPUTED_VALUE"""),"Continuado")</f>
        <v>Continuado</v>
      </c>
      <c r="I45" s="180" t="str">
        <f>IFERROR(__xludf.DUMMYFUNCTION("""COMPUTED_VALUE"""),"SETIC")</f>
        <v>SETIC</v>
      </c>
      <c r="J45" s="180" t="str">
        <f>IFERROR(__xludf.DUMMYFUNCTION("""COMPUTED_VALUE"""),"SETIC")</f>
        <v>SETIC</v>
      </c>
      <c r="K45" s="180" t="str">
        <f>IFERROR(__xludf.DUMMYFUNCTION("""COMPUTED_VALUE"""),"GND3")</f>
        <v>GND3</v>
      </c>
      <c r="L45" s="231">
        <f>IFERROR(__xludf.DUMMYFUNCTION("""COMPUTED_VALUE"""),0.0)</f>
        <v>0</v>
      </c>
      <c r="M45" s="232">
        <f>IFERROR(__xludf.DUMMYFUNCTION("""COMPUTED_VALUE"""),3.3904006E7)</f>
        <v>33904006</v>
      </c>
      <c r="N45" s="232">
        <f>IFERROR(__xludf.DUMMYFUNCTION("""COMPUTED_VALUE"""),0.0)</f>
        <v>0</v>
      </c>
      <c r="O45" s="230">
        <f>IFERROR(__xludf.DUMMYFUNCTION("""COMPUTED_VALUE"""),168105.0)</f>
        <v>168105</v>
      </c>
      <c r="P45" s="180" t="str">
        <f>IFERROR(__xludf.DUMMYFUNCTION("""COMPUTED_VALUE"""),"Não")</f>
        <v>Não</v>
      </c>
      <c r="Q45" s="180" t="str">
        <f>IFERROR(__xludf.DUMMYFUNCTION("""COMPUTED_VALUE"""),"2 - Importante")</f>
        <v>2 - Importante</v>
      </c>
      <c r="R45" s="180" t="str">
        <f>IFERROR(__xludf.DUMMYFUNCTION("""COMPUTED_VALUE"""),"4 - Cancelado")</f>
        <v>4 - Cancelado</v>
      </c>
      <c r="S45" s="180"/>
      <c r="T45" s="180"/>
      <c r="U45" s="180" t="str">
        <f>IFERROR(__xludf.DUMMYFUNCTION("""COMPUTED_VALUE"""),"01 - Não oficializado")</f>
        <v>01 - Não oficializado</v>
      </c>
      <c r="V45" s="180"/>
      <c r="W45" s="180"/>
      <c r="X45" s="180" t="str">
        <f>IFERROR(__xludf.DUMMYFUNCTION("""COMPUTED_VALUE"""),"SESUS")</f>
        <v>SESUS</v>
      </c>
      <c r="Y45" s="180" t="str">
        <f>IFERROR(__xludf.DUMMYFUNCTION("""COMPUTED_VALUE"""),"PRE")</f>
        <v>PRE</v>
      </c>
      <c r="Z45" s="180" t="str">
        <f>IFERROR(__xludf.DUMMYFUNCTION("""COMPUTED_VALUE"""),"PRE")</f>
        <v>PRE</v>
      </c>
      <c r="AA45" s="180"/>
      <c r="AB45" s="230"/>
      <c r="AC45" s="180" t="str">
        <f>IFERROR(__xludf.DUMMYFUNCTION("""COMPUTED_VALUE"""),"#N/A")</f>
        <v>#N/A</v>
      </c>
      <c r="AD45" s="189">
        <f>IFERROR(__xludf.DUMMYFUNCTION("""COMPUTED_VALUE"""),44511.0)</f>
        <v>44511</v>
      </c>
      <c r="AE45" s="189">
        <f>IFERROR(__xludf.DUMMYFUNCTION("""COMPUTED_VALUE"""),44621.0)</f>
        <v>44621</v>
      </c>
      <c r="AF45" s="180" t="str">
        <f>IFERROR(__xludf.DUMMYFUNCTION("""COMPUTED_VALUE"""),"Alexandre de Lemos Dias
Diretor do SESUS - Substituto")</f>
        <v>Alexandre de Lemos Dias
Diretor do SESUS - Substituto</v>
      </c>
      <c r="AG45" s="233">
        <f>IFERROR(__xludf.DUMMYFUNCTION("""COMPUTED_VALUE"""),1.0)</f>
        <v>1</v>
      </c>
      <c r="AH45" s="190">
        <f>IFERROR(__xludf.DUMMYFUNCTION("""COMPUTED_VALUE"""),0.0)</f>
        <v>0</v>
      </c>
      <c r="AI45" s="180" t="str">
        <f>IFERROR(__xludf.DUMMYFUNCTION("""COMPUTED_VALUE"""),"Não")</f>
        <v>Não</v>
      </c>
      <c r="AJ45" s="190"/>
      <c r="AK45" s="180"/>
      <c r="AL45" s="180"/>
      <c r="AM45" s="180"/>
      <c r="AN45" s="190">
        <f>IFERROR(__xludf.DUMMYFUNCTION("""COMPUTED_VALUE"""),0.0)</f>
        <v>0</v>
      </c>
      <c r="AO45" s="190">
        <f>IFERROR(__xludf.DUMMYFUNCTION("""COMPUTED_VALUE"""),0.0)</f>
        <v>0</v>
      </c>
      <c r="AP45" s="180"/>
      <c r="AQ45" s="190">
        <f>IFERROR(__xludf.DUMMYFUNCTION("""COMPUTED_VALUE"""),50000.0)</f>
        <v>50000</v>
      </c>
      <c r="AR45" s="190">
        <f>IFERROR(__xludf.DUMMYFUNCTION("""COMPUTED_VALUE"""),0.0)</f>
        <v>0</v>
      </c>
      <c r="AS45" s="180"/>
      <c r="AT45" s="190">
        <f>IFERROR(__xludf.DUMMYFUNCTION("""COMPUTED_VALUE"""),0.0)</f>
        <v>0</v>
      </c>
      <c r="AU45" s="190"/>
      <c r="AV45" s="232"/>
      <c r="AW45" s="190">
        <f>IFERROR(__xludf.DUMMYFUNCTION("""COMPUTED_VALUE"""),0.0)</f>
        <v>0</v>
      </c>
      <c r="AX45" s="190">
        <f>IFERROR(__xludf.DUMMYFUNCTION("""COMPUTED_VALUE"""),0.0)</f>
        <v>0</v>
      </c>
      <c r="AY45" s="190">
        <f>IFERROR(__xludf.DUMMYFUNCTION("""COMPUTED_VALUE"""),0.0)</f>
        <v>0</v>
      </c>
      <c r="AZ45" s="190">
        <f>IFERROR(__xludf.DUMMYFUNCTION("""COMPUTED_VALUE"""),0.0)</f>
        <v>0</v>
      </c>
      <c r="BA45" s="190">
        <f>IFERROR(__xludf.DUMMYFUNCTION("""COMPUTED_VALUE"""),0.0)</f>
        <v>0</v>
      </c>
      <c r="BB45" s="180"/>
      <c r="BC45" s="232">
        <f>IFERROR(__xludf.DUMMYFUNCTION("""COMPUTED_VALUE"""),1.51132022236933E14)</f>
        <v>151132022236933</v>
      </c>
      <c r="BD45" s="180" t="str">
        <f>IFERROR(__xludf.DUMMYFUNCTION("""COMPUTED_VALUE"""),"Não")</f>
        <v>Não</v>
      </c>
      <c r="BE45" s="180"/>
      <c r="BF45" s="180"/>
      <c r="BG45" s="180"/>
      <c r="BH45" s="233">
        <f>IFERROR(__xludf.DUMMYFUNCTION("""COMPUTED_VALUE"""),200000.0)</f>
        <v>200000</v>
      </c>
      <c r="BI45" s="180" t="str">
        <f>IFERROR(__xludf.DUMMYFUNCTION("""COMPUTED_VALUE"""),"Média")</f>
        <v>Média</v>
      </c>
      <c r="BJ45" s="180"/>
      <c r="BK45" s="180" t="str">
        <f>IFERROR(__xludf.DUMMYFUNCTION("""COMPUTED_VALUE"""),"ano")</f>
        <v>ano</v>
      </c>
      <c r="BL45" s="180"/>
      <c r="BM45" s="180" t="str">
        <f>IFERROR(__xludf.DUMMYFUNCTION("""COMPUTED_VALUE"""),"CANCELADO")</f>
        <v>CANCELADO</v>
      </c>
      <c r="BN45" s="189"/>
      <c r="BO45" s="189"/>
      <c r="BP45" s="190"/>
      <c r="BQ45" s="190"/>
      <c r="BR45" s="190"/>
      <c r="BS45" s="190">
        <f>IFERROR(__xludf.DUMMYFUNCTION("""COMPUTED_VALUE"""),0.0)</f>
        <v>0</v>
      </c>
      <c r="BT45" s="190"/>
      <c r="BU45" s="180" t="str">
        <f>IFERROR(__xludf.DUMMYFUNCTION("""COMPUTED_VALUE"""),"Locação de softwares")</f>
        <v>Locação de softwares</v>
      </c>
      <c r="BV45" s="180"/>
      <c r="BW45" s="180"/>
      <c r="BX45" s="180"/>
      <c r="BY45" s="180"/>
      <c r="BZ45" s="189"/>
      <c r="CA45" s="180"/>
      <c r="CB45" s="180" t="str">
        <f>IFERROR(__xludf.DUMMYFUNCTION("""COMPUTED_VALUE"""),"Apreciação de Causas na Justiça do Trabalho")</f>
        <v>Apreciação de Causas na Justiça do Trabalho</v>
      </c>
      <c r="CC45" s="180" t="str">
        <f>IFERROR(__xludf.DUMMYFUNCTION("""COMPUTED_VALUE""")," - ")</f>
        <v> - </v>
      </c>
      <c r="CD45" s="180" t="str">
        <f>IFERROR(__xludf.DUMMYFUNCTION("""COMPUTED_VALUE"""),"SERVIÇOS DE TECNOLOGIA DA INFORMAÇÃO E COMUNICAÇÃO - TIC")</f>
        <v>SERVIÇOS DE TECNOLOGIA DA INFORMAÇÃO E COMUNICAÇÃO - TIC</v>
      </c>
      <c r="CE45" s="180"/>
      <c r="CF45" s="180" t="str">
        <f>IFERROR(__xludf.DUMMYFUNCTION("""COMPUTED_VALUE"""),"LOCAÇÃO DE SOFTWARES")</f>
        <v>LOCAÇÃO DE SOFTWARES</v>
      </c>
      <c r="CG45" s="189">
        <f>IFERROR(__xludf.DUMMYFUNCTION("""COMPUTED_VALUE"""),44874.0)</f>
        <v>44874</v>
      </c>
      <c r="CH45" s="189">
        <f>IFERROR(__xludf.DUMMYFUNCTION("""COMPUTED_VALUE"""),44986.0)</f>
        <v>44986</v>
      </c>
      <c r="CI45" s="180" t="str">
        <f>IFERROR(__xludf.DUMMYFUNCTION("""COMPUTED_VALUE"""),"PRE")</f>
        <v>PRE</v>
      </c>
      <c r="CJ45" s="190"/>
      <c r="CK45" s="189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</row>
    <row r="46">
      <c r="A46" s="230">
        <f>IFERROR(__xludf.DUMMYFUNCTION("""COMPUTED_VALUE"""),15369.0)</f>
        <v>15369</v>
      </c>
      <c r="B46" s="230">
        <f>IFERROR(__xludf.DUMMYFUNCTION("""COMPUTED_VALUE"""),0.0)</f>
        <v>0</v>
      </c>
      <c r="C46" s="180" t="str">
        <f>IFERROR(__xludf.DUMMYFUNCTION("""COMPUTED_VALUE"""),"INTERNET LINK 3 - Contratação de acesso corporativo à internet (substitui LINK 1)")</f>
        <v>INTERNET LINK 3 - Contratação de acesso corporativo à internet (substitui LINK 1)</v>
      </c>
      <c r="D46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46" s="180" t="str">
        <f>IFERROR(__xludf.DUMMYFUNCTION("""COMPUTED_VALUE"""),"EJ08 - PROMOVER SERVIÇOS DE INFRAESTRUTURA E SOLUÇÕES CORPORATIVAS")</f>
        <v>EJ08 - PROMOVER SERVIÇOS DE INFRAESTRUTURA E SOLUÇÕES CORPORATIVAS</v>
      </c>
      <c r="F46" s="180" t="str">
        <f>IFERROR(__xludf.DUMMYFUNCTION("""COMPUTED_VALUE"""),"Contratação de serviços para o suporte à infraestrutura tecnológica")</f>
        <v>Contratação de serviços para o suporte à infraestrutura tecnológica</v>
      </c>
      <c r="G46" s="180" t="str">
        <f>IFERROR(__xludf.DUMMYFUNCTION("""COMPUTED_VALUE"""),"(ID PAAC 15369) INTERNET LINK 3 - Contratação de acesso corporativo à internet (substitui LINK 1)")</f>
        <v>(ID PAAC 15369) INTERNET LINK 3 - Contratação de acesso corporativo à internet (substitui LINK 1)</v>
      </c>
      <c r="H46" s="180" t="str">
        <f>IFERROR(__xludf.DUMMYFUNCTION("""COMPUTED_VALUE"""),"Continuado")</f>
        <v>Continuado</v>
      </c>
      <c r="I46" s="180" t="str">
        <f>IFERROR(__xludf.DUMMYFUNCTION("""COMPUTED_VALUE"""),"SETIC")</f>
        <v>SETIC</v>
      </c>
      <c r="J46" s="180" t="str">
        <f>IFERROR(__xludf.DUMMYFUNCTION("""COMPUTED_VALUE"""),"SETIC")</f>
        <v>SETIC</v>
      </c>
      <c r="K46" s="180" t="str">
        <f>IFERROR(__xludf.DUMMYFUNCTION("""COMPUTED_VALUE"""),"GND3")</f>
        <v>GND3</v>
      </c>
      <c r="L46" s="231">
        <f>IFERROR(__xludf.DUMMYFUNCTION("""COMPUTED_VALUE"""),0.0)</f>
        <v>0</v>
      </c>
      <c r="M46" s="232">
        <f>IFERROR(__xludf.DUMMYFUNCTION("""COMPUTED_VALUE"""),3.3904013E7)</f>
        <v>33904013</v>
      </c>
      <c r="N46" s="232">
        <f>IFERROR(__xludf.DUMMYFUNCTION("""COMPUTED_VALUE"""),0.0)</f>
        <v>0</v>
      </c>
      <c r="O46" s="230">
        <f>IFERROR(__xludf.DUMMYFUNCTION("""COMPUTED_VALUE"""),168105.0)</f>
        <v>168105</v>
      </c>
      <c r="P46" s="180" t="str">
        <f>IFERROR(__xludf.DUMMYFUNCTION("""COMPUTED_VALUE"""),"Não")</f>
        <v>Não</v>
      </c>
      <c r="Q46" s="180" t="str">
        <f>IFERROR(__xludf.DUMMYFUNCTION("""COMPUTED_VALUE"""),"1 - Imprescindível")</f>
        <v>1 - Imprescindível</v>
      </c>
      <c r="R46" s="180" t="str">
        <f>IFERROR(__xludf.DUMMYFUNCTION("""COMPUTED_VALUE"""),"1 - Selecionado")</f>
        <v>1 - Selecionado</v>
      </c>
      <c r="S46" s="180"/>
      <c r="T46" s="180"/>
      <c r="U46" s="180" t="str">
        <f>IFERROR(__xludf.DUMMYFUNCTION("""COMPUTED_VALUE"""),"05 - PB enviado")</f>
        <v>05 - PB enviado</v>
      </c>
      <c r="V46" s="180" t="str">
        <f>IFERROR(__xludf.DUMMYFUNCTION("""COMPUTED_VALUE"""),"1358/2022")</f>
        <v>1358/2022</v>
      </c>
      <c r="W46" s="180" t="str">
        <f>IFERROR(__xludf.DUMMYFUNCTION("""COMPUTED_VALUE"""),"2049/2022")</f>
        <v>2049/2022</v>
      </c>
      <c r="X46" s="180" t="str">
        <f>IFERROR(__xludf.DUMMYFUNCTION("""COMPUTED_VALUE"""),"SEINFRA")</f>
        <v>SEINFRA</v>
      </c>
      <c r="Y46" s="180" t="str">
        <f>IFERROR(__xludf.DUMMYFUNCTION("""COMPUTED_VALUE"""),"PRE")</f>
        <v>PRE</v>
      </c>
      <c r="Z46" s="180" t="str">
        <f>IFERROR(__xludf.DUMMYFUNCTION("""COMPUTED_VALUE"""),"PRE")</f>
        <v>PRE</v>
      </c>
      <c r="AA46" s="180" t="str">
        <f>IFERROR(__xludf.DUMMYFUNCTION("""COMPUTED_VALUE"""),"PRE-2049/2022")</f>
        <v>PRE-2049/2022</v>
      </c>
      <c r="AB46" s="230"/>
      <c r="AC46" s="180" t="str">
        <f>IFERROR(__xludf.DUMMYFUNCTION("""COMPUTED_VALUE"""),"#N/A")</f>
        <v>#N/A</v>
      </c>
      <c r="AD46" s="189">
        <f>IFERROR(__xludf.DUMMYFUNCTION("""COMPUTED_VALUE"""),44647.0)</f>
        <v>44647</v>
      </c>
      <c r="AE46" s="189">
        <f>IFERROR(__xludf.DUMMYFUNCTION("""COMPUTED_VALUE"""),44757.0)</f>
        <v>44757</v>
      </c>
      <c r="AF46" s="180" t="str">
        <f>IFERROR(__xludf.DUMMYFUNCTION("""COMPUTED_VALUE"""),"Anderson Bastos
Diretor do SEINFRA")</f>
        <v>Anderson Bastos
Diretor do SEINFRA</v>
      </c>
      <c r="AG46" s="233">
        <f>IFERROR(__xludf.DUMMYFUNCTION("""COMPUTED_VALUE"""),1.0)</f>
        <v>1</v>
      </c>
      <c r="AH46" s="190">
        <f>IFERROR(__xludf.DUMMYFUNCTION("""COMPUTED_VALUE"""),10450.0)</f>
        <v>10450</v>
      </c>
      <c r="AI46" s="180" t="str">
        <f>IFERROR(__xludf.DUMMYFUNCTION("""COMPUTED_VALUE"""),"Não")</f>
        <v>Não</v>
      </c>
      <c r="AJ46" s="190"/>
      <c r="AK46" s="180" t="str">
        <f>IFERROR(__xludf.DUMMYFUNCTION("""COMPUTED_VALUE"""),"Anderson Bastos")</f>
        <v>Anderson Bastos</v>
      </c>
      <c r="AL46" s="180"/>
      <c r="AM46" s="180"/>
      <c r="AN46" s="190">
        <f>IFERROR(__xludf.DUMMYFUNCTION("""COMPUTED_VALUE"""),-12350.0)</f>
        <v>-12350</v>
      </c>
      <c r="AO46" s="190">
        <f>IFERROR(__xludf.DUMMYFUNCTION("""COMPUTED_VALUE"""),22800.0)</f>
        <v>22800</v>
      </c>
      <c r="AP46" s="180"/>
      <c r="AQ46" s="190">
        <f>IFERROR(__xludf.DUMMYFUNCTION("""COMPUTED_VALUE"""),0.0)</f>
        <v>0</v>
      </c>
      <c r="AR46" s="190">
        <f>IFERROR(__xludf.DUMMYFUNCTION("""COMPUTED_VALUE"""),10450.0)</f>
        <v>10450</v>
      </c>
      <c r="AS46" s="180"/>
      <c r="AT46" s="190">
        <f>IFERROR(__xludf.DUMMYFUNCTION("""COMPUTED_VALUE"""),10450.0)</f>
        <v>10450</v>
      </c>
      <c r="AU46" s="190">
        <f>IFERROR(__xludf.DUMMYFUNCTION("""COMPUTED_VALUE"""),1900.0)</f>
        <v>1900</v>
      </c>
      <c r="AV46" s="232">
        <f>IFERROR(__xludf.DUMMYFUNCTION("""COMPUTED_VALUE"""),0.0)</f>
        <v>0</v>
      </c>
      <c r="AW46" s="190">
        <f>IFERROR(__xludf.DUMMYFUNCTION("""COMPUTED_VALUE"""),0.0)</f>
        <v>0</v>
      </c>
      <c r="AX46" s="190">
        <f>IFERROR(__xludf.DUMMYFUNCTION("""COMPUTED_VALUE"""),0.0)</f>
        <v>0</v>
      </c>
      <c r="AY46" s="190">
        <f>IFERROR(__xludf.DUMMYFUNCTION("""COMPUTED_VALUE"""),0.0)</f>
        <v>0</v>
      </c>
      <c r="AZ46" s="190">
        <f>IFERROR(__xludf.DUMMYFUNCTION("""COMPUTED_VALUE"""),0.0)</f>
        <v>0</v>
      </c>
      <c r="BA46" s="190">
        <f>IFERROR(__xludf.DUMMYFUNCTION("""COMPUTED_VALUE"""),0.0)</f>
        <v>0</v>
      </c>
      <c r="BB46" s="180" t="str">
        <f>IFERROR(__xludf.DUMMYFUNCTION("""COMPUTED_VALUE"""),"PRE-2049/2022")</f>
        <v>PRE-2049/2022</v>
      </c>
      <c r="BC46" s="232"/>
      <c r="BD46" s="180" t="str">
        <f>IFERROR(__xludf.DUMMYFUNCTION("""COMPUTED_VALUE"""),"Sim")</f>
        <v>Sim</v>
      </c>
      <c r="BE46" s="180"/>
      <c r="BF46" s="180"/>
      <c r="BG46" s="180"/>
      <c r="BH46" s="233">
        <f>IFERROR(__xludf.DUMMYFUNCTION("""COMPUTED_VALUE"""),300000.0)</f>
        <v>300000</v>
      </c>
      <c r="BI46" s="180" t="str">
        <f>IFERROR(__xludf.DUMMYFUNCTION("""COMPUTED_VALUE"""),"Alta")</f>
        <v>Alta</v>
      </c>
      <c r="BJ46" s="180"/>
      <c r="BK46" s="180" t="str">
        <f>IFERROR(__xludf.DUMMYFUNCTION("""COMPUTED_VALUE"""),"ano")</f>
        <v>ano</v>
      </c>
      <c r="BL46" s="180"/>
      <c r="BM46" s="180" t="str">
        <f>IFERROR(__xludf.DUMMYFUNCTION("""COMPUTED_VALUE"""),"PRE")</f>
        <v>PRE</v>
      </c>
      <c r="BN46" s="189">
        <f>IFERROR(__xludf.DUMMYFUNCTION("""COMPUTED_VALUE"""),44619.0)</f>
        <v>44619</v>
      </c>
      <c r="BO46" s="189">
        <f>IFERROR(__xludf.DUMMYFUNCTION("""COMPUTED_VALUE"""),44647.0)</f>
        <v>44647</v>
      </c>
      <c r="BP46" s="190"/>
      <c r="BQ46" s="190"/>
      <c r="BR46" s="190"/>
      <c r="BS46" s="190">
        <f>IFERROR(__xludf.DUMMYFUNCTION("""COMPUTED_VALUE"""),10450.0)</f>
        <v>10450</v>
      </c>
      <c r="BT46" s="190">
        <f>IFERROR(__xludf.DUMMYFUNCTION("""COMPUTED_VALUE"""),10450.0)</f>
        <v>10450</v>
      </c>
      <c r="BU46" s="180" t="str">
        <f>IFERROR(__xludf.DUMMYFUNCTION("""COMPUTED_VALUE"""),"Comunicação de dados e redes em geral")</f>
        <v>Comunicação de dados e redes em geral</v>
      </c>
      <c r="BV46" s="180"/>
      <c r="BW46" s="180"/>
      <c r="BX46" s="180"/>
      <c r="BY46" s="180"/>
      <c r="BZ46" s="189"/>
      <c r="CA46" s="180"/>
      <c r="CB46" s="180" t="str">
        <f>IFERROR(__xludf.DUMMYFUNCTION("""COMPUTED_VALUE"""),"Apreciação de Causas na Justiça do Trabalho")</f>
        <v>Apreciação de Causas na Justiça do Trabalho</v>
      </c>
      <c r="CC46" s="180" t="str">
        <f>IFERROR(__xludf.DUMMYFUNCTION("""COMPUTED_VALUE""")," - ")</f>
        <v> - </v>
      </c>
      <c r="CD46" s="180" t="str">
        <f>IFERROR(__xludf.DUMMYFUNCTION("""COMPUTED_VALUE"""),"SERVIÇOS DE TECNOLOGIA DA INFORMAÇÃO E COMUNICAÇÃO - TIC")</f>
        <v>SERVIÇOS DE TECNOLOGIA DA INFORMAÇÃO E COMUNICAÇÃO - TIC</v>
      </c>
      <c r="CE46" s="180"/>
      <c r="CF46" s="180" t="str">
        <f>IFERROR(__xludf.DUMMYFUNCTION("""COMPUTED_VALUE"""),"COMUNICAÇÃO DE DADOS E REDES EM GERAL")</f>
        <v>COMUNICAÇÃO DE DADOS E REDES EM GERAL</v>
      </c>
      <c r="CG46" s="189">
        <f>IFERROR(__xludf.DUMMYFUNCTION("""COMPUTED_VALUE"""),45010.0)</f>
        <v>45010</v>
      </c>
      <c r="CH46" s="189">
        <f>IFERROR(__xludf.DUMMYFUNCTION("""COMPUTED_VALUE"""),45122.0)</f>
        <v>45122</v>
      </c>
      <c r="CI46" s="180" t="str">
        <f>IFERROR(__xludf.DUMMYFUNCTION("""COMPUTED_VALUE"""),"PRE")</f>
        <v>PRE</v>
      </c>
      <c r="CJ46" s="190"/>
      <c r="CK46" s="189"/>
      <c r="CL46" s="180"/>
      <c r="CM46" s="180"/>
      <c r="CN46" s="180" t="str">
        <f>IFERROR(__xludf.DUMMYFUNCTION("""COMPUTED_VALUE"""),"PRE-2049/2022")</f>
        <v>PRE-2049/2022</v>
      </c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</row>
    <row r="47">
      <c r="A47" s="230">
        <f>IFERROR(__xludf.DUMMYFUNCTION("""COMPUTED_VALUE"""),15371.0)</f>
        <v>15371</v>
      </c>
      <c r="B47" s="230">
        <f>IFERROR(__xludf.DUMMYFUNCTION("""COMPUTED_VALUE"""),0.0)</f>
        <v>0</v>
      </c>
      <c r="C47" s="180" t="str">
        <f>IFERROR(__xludf.DUMMYFUNCTION("""COMPUTED_VALUE"""),"PRODENT - Contratação de suporte e atualização para licenças de software odontológico")</f>
        <v>PRODENT - Contratação de suporte e atualização para licenças de software odontológico</v>
      </c>
      <c r="D47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47" s="180" t="str">
        <f>IFERROR(__xludf.DUMMYFUNCTION("""COMPUTED_VALUE"""),"EJ05 - APERFEIÇOAR A GOVERNANÇA E A GESTÃO")</f>
        <v>EJ05 - APERFEIÇOAR A GOVERNANÇA E A GESTÃO</v>
      </c>
      <c r="F47" s="180" t="str">
        <f>IFERROR(__xludf.DUMMYFUNCTION("""COMPUTED_VALUE"""),"Contratação de serviços de suporte à microinformática")</f>
        <v>Contratação de serviços de suporte à microinformática</v>
      </c>
      <c r="G47" s="180" t="str">
        <f>IFERROR(__xludf.DUMMYFUNCTION("""COMPUTED_VALUE"""),"(ID PAAC 15371) PRODENT - Contratação de suporte e atualização para licenças de software odontológico")</f>
        <v>(ID PAAC 15371) PRODENT - Contratação de suporte e atualização para licenças de software odontológico</v>
      </c>
      <c r="H47" s="180" t="str">
        <f>IFERROR(__xludf.DUMMYFUNCTION("""COMPUTED_VALUE"""),"Continuado")</f>
        <v>Continuado</v>
      </c>
      <c r="I47" s="180" t="str">
        <f>IFERROR(__xludf.DUMMYFUNCTION("""COMPUTED_VALUE"""),"SAÚDE")</f>
        <v>SAÚDE</v>
      </c>
      <c r="J47" s="180" t="str">
        <f>IFERROR(__xludf.DUMMYFUNCTION("""COMPUTED_VALUE"""),"SETIC")</f>
        <v>SETIC</v>
      </c>
      <c r="K47" s="180" t="str">
        <f>IFERROR(__xludf.DUMMYFUNCTION("""COMPUTED_VALUE"""),"GND3")</f>
        <v>GND3</v>
      </c>
      <c r="L47" s="231">
        <f>IFERROR(__xludf.DUMMYFUNCTION("""COMPUTED_VALUE"""),0.0)</f>
        <v>0</v>
      </c>
      <c r="M47" s="232">
        <f>IFERROR(__xludf.DUMMYFUNCTION("""COMPUTED_VALUE"""),3.3904007E7)</f>
        <v>33904007</v>
      </c>
      <c r="N47" s="232">
        <f>IFERROR(__xludf.DUMMYFUNCTION("""COMPUTED_VALUE"""),0.0)</f>
        <v>0</v>
      </c>
      <c r="O47" s="230">
        <f>IFERROR(__xludf.DUMMYFUNCTION("""COMPUTED_VALUE"""),168105.0)</f>
        <v>168105</v>
      </c>
      <c r="P47" s="180" t="str">
        <f>IFERROR(__xludf.DUMMYFUNCTION("""COMPUTED_VALUE"""),"Não")</f>
        <v>Não</v>
      </c>
      <c r="Q47" s="180" t="str">
        <f>IFERROR(__xludf.DUMMYFUNCTION("""COMPUTED_VALUE"""),"2 - Importante")</f>
        <v>2 - Importante</v>
      </c>
      <c r="R47" s="180" t="str">
        <f>IFERROR(__xludf.DUMMYFUNCTION("""COMPUTED_VALUE"""),"1 - Selecionado")</f>
        <v>1 - Selecionado</v>
      </c>
      <c r="S47" s="180"/>
      <c r="T47" s="180"/>
      <c r="U47" s="180" t="str">
        <f>IFERROR(__xludf.DUMMYFUNCTION("""COMPUTED_VALUE"""),"02 - DOD emitido")</f>
        <v>02 - DOD emitido</v>
      </c>
      <c r="V47" s="180" t="str">
        <f>IFERROR(__xludf.DUMMYFUNCTION("""COMPUTED_VALUE"""),"2407/2022")</f>
        <v>2407/2022</v>
      </c>
      <c r="W47" s="180" t="str">
        <f>IFERROR(__xludf.DUMMYFUNCTION("""COMPUTED_VALUE"""),"5707/2021")</f>
        <v>5707/2021</v>
      </c>
      <c r="X47" s="180" t="str">
        <f>IFERROR(__xludf.DUMMYFUNCTION("""COMPUTED_VALUE"""),"SESUP")</f>
        <v>SESUP</v>
      </c>
      <c r="Y47" s="180" t="str">
        <f>IFERROR(__xludf.DUMMYFUNCTION("""COMPUTED_VALUE"""),"PROR")</f>
        <v>PROR</v>
      </c>
      <c r="Z47" s="180" t="str">
        <f>IFERROR(__xludf.DUMMYFUNCTION("""COMPUTED_VALUE"""),"CD")</f>
        <v>CD</v>
      </c>
      <c r="AA47" s="180" t="str">
        <f>IFERROR(__xludf.DUMMYFUNCTION("""COMPUTED_VALUE"""),"CD-5707/2021")</f>
        <v>CD-5707/2021</v>
      </c>
      <c r="AB47" s="230">
        <f>IFERROR(__xludf.DUMMYFUNCTION("""COMPUTED_VALUE"""),7.3922171000141E13)</f>
        <v>73922171000141</v>
      </c>
      <c r="AC47" s="180" t="str">
        <f>IFERROR(__xludf.DUMMYFUNCTION("""COMPUTED_VALUE"""),"HARTSYSTEM SISTEMAS LTDA")</f>
        <v>HARTSYSTEM SISTEMAS LTDA</v>
      </c>
      <c r="AD47" s="189">
        <f>IFERROR(__xludf.DUMMYFUNCTION("""COMPUTED_VALUE"""),44693.0)</f>
        <v>44693</v>
      </c>
      <c r="AE47" s="189">
        <f>IFERROR(__xludf.DUMMYFUNCTION("""COMPUTED_VALUE"""),44783.0)</f>
        <v>44783</v>
      </c>
      <c r="AF47" s="180" t="str">
        <f>IFERROR(__xludf.DUMMYFUNCTION("""COMPUTED_VALUE"""),"Márcio César Jacinto
Diretor do SESUP - Substituto")</f>
        <v>Márcio César Jacinto
Diretor do SESUP - Substituto</v>
      </c>
      <c r="AG47" s="233">
        <f>IFERROR(__xludf.DUMMYFUNCTION("""COMPUTED_VALUE"""),1.0)</f>
        <v>1</v>
      </c>
      <c r="AH47" s="190">
        <f>IFERROR(__xludf.DUMMYFUNCTION("""COMPUTED_VALUE"""),2992.44)</f>
        <v>2992.44</v>
      </c>
      <c r="AI47" s="180" t="str">
        <f>IFERROR(__xludf.DUMMYFUNCTION("""COMPUTED_VALUE"""),"Não")</f>
        <v>Não</v>
      </c>
      <c r="AJ47" s="190">
        <f>IFERROR(__xludf.DUMMYFUNCTION("""COMPUTED_VALUE"""),2897.64)</f>
        <v>2897.64</v>
      </c>
      <c r="AK47" s="180" t="str">
        <f>IFERROR(__xludf.DUMMYFUNCTION("""COMPUTED_VALUE"""),"Dolores Cunha de Amorim Santos")</f>
        <v>Dolores Cunha de Amorim Santos</v>
      </c>
      <c r="AL47" s="180"/>
      <c r="AM47" s="180"/>
      <c r="AN47" s="190">
        <f>IFERROR(__xludf.DUMMYFUNCTION("""COMPUTED_VALUE"""),-50.559999999999945)</f>
        <v>-50.56</v>
      </c>
      <c r="AO47" s="190">
        <f>IFERROR(__xludf.DUMMYFUNCTION("""COMPUTED_VALUE"""),3043.0)</f>
        <v>3043</v>
      </c>
      <c r="AP47" s="180" t="str">
        <f>IFERROR(__xludf.DUMMYFUNCTION("""COMPUTED_VALUE"""),"2022NE000103")</f>
        <v>2022NE000103</v>
      </c>
      <c r="AQ47" s="190">
        <f>IFERROR(__xludf.DUMMYFUNCTION("""COMPUTED_VALUE"""),3043.0)</f>
        <v>3043</v>
      </c>
      <c r="AR47" s="190">
        <f>IFERROR(__xludf.DUMMYFUNCTION("""COMPUTED_VALUE"""),2992.44)</f>
        <v>2992.44</v>
      </c>
      <c r="AS47" s="180"/>
      <c r="AT47" s="190">
        <f>IFERROR(__xludf.DUMMYFUNCTION("""COMPUTED_VALUE"""),2992.44)</f>
        <v>2992.44</v>
      </c>
      <c r="AU47" s="190">
        <f>IFERROR(__xludf.DUMMYFUNCTION("""COMPUTED_VALUE"""),249.37)</f>
        <v>249.37</v>
      </c>
      <c r="AV47" s="232">
        <f>IFERROR(__xludf.DUMMYFUNCTION("""COMPUTED_VALUE"""),12.0)</f>
        <v>12</v>
      </c>
      <c r="AW47" s="190">
        <f>IFERROR(__xludf.DUMMYFUNCTION("""COMPUTED_VALUE"""),2992.44)</f>
        <v>2992.44</v>
      </c>
      <c r="AX47" s="190">
        <f>IFERROR(__xludf.DUMMYFUNCTION("""COMPUTED_VALUE"""),0.0)</f>
        <v>0</v>
      </c>
      <c r="AY47" s="190">
        <f>IFERROR(__xludf.DUMMYFUNCTION("""COMPUTED_VALUE"""),2992.44)</f>
        <v>2992.44</v>
      </c>
      <c r="AZ47" s="190">
        <f>IFERROR(__xludf.DUMMYFUNCTION("""COMPUTED_VALUE"""),748.1100000000001)</f>
        <v>748.11</v>
      </c>
      <c r="BA47" s="190">
        <f>IFERROR(__xludf.DUMMYFUNCTION("""COMPUTED_VALUE"""),2244.33)</f>
        <v>2244.33</v>
      </c>
      <c r="BB47" s="180" t="str">
        <f>IFERROR(__xludf.DUMMYFUNCTION("""COMPUTED_VALUE"""),"CD-5707/2021")</f>
        <v>CD-5707/2021</v>
      </c>
      <c r="BC47" s="232">
        <f>IFERROR(__xludf.DUMMYFUNCTION("""COMPUTED_VALUE"""),1.51132022236941E14)</f>
        <v>151132022236941</v>
      </c>
      <c r="BD47" s="180" t="str">
        <f>IFERROR(__xludf.DUMMYFUNCTION("""COMPUTED_VALUE"""),"Sim")</f>
        <v>Sim</v>
      </c>
      <c r="BE47" s="180" t="str">
        <f>IFERROR(__xludf.DUMMYFUNCTION("""COMPUTED_VALUE"""),"Sim")</f>
        <v>Sim</v>
      </c>
      <c r="BF47" s="180"/>
      <c r="BG47" s="180"/>
      <c r="BH47" s="233">
        <f>IFERROR(__xludf.DUMMYFUNCTION("""COMPUTED_VALUE"""),200000.0)</f>
        <v>200000</v>
      </c>
      <c r="BI47" s="180" t="str">
        <f>IFERROR(__xludf.DUMMYFUNCTION("""COMPUTED_VALUE"""),"Média")</f>
        <v>Média</v>
      </c>
      <c r="BJ47" s="180"/>
      <c r="BK47" s="180" t="str">
        <f>IFERROR(__xludf.DUMMYFUNCTION("""COMPUTED_VALUE"""),"ano")</f>
        <v>ano</v>
      </c>
      <c r="BL47" s="180" t="str">
        <f>IFERROR(__xludf.DUMMYFUNCTION("""COMPUTED_VALUE"""),"Inexigibilidade")</f>
        <v>Inexigibilidade</v>
      </c>
      <c r="BM47" s="180" t="str">
        <f>IFERROR(__xludf.DUMMYFUNCTION("""COMPUTED_VALUE"""),"PROR")</f>
        <v>PROR</v>
      </c>
      <c r="BN47" s="189"/>
      <c r="BO47" s="189"/>
      <c r="BP47" s="190"/>
      <c r="BQ47" s="190"/>
      <c r="BR47" s="190"/>
      <c r="BS47" s="190">
        <f>IFERROR(__xludf.DUMMYFUNCTION("""COMPUTED_VALUE"""),2992.44)</f>
        <v>2992.44</v>
      </c>
      <c r="BT47" s="190">
        <f>IFERROR(__xludf.DUMMYFUNCTION("""COMPUTED_VALUE"""),2992.44)</f>
        <v>2992.44</v>
      </c>
      <c r="BU47" s="180" t="str">
        <f>IFERROR(__xludf.DUMMYFUNCTION("""COMPUTED_VALUE"""),"Manutenção corretiva/adaptativa e sustentação softwares")</f>
        <v>Manutenção corretiva/adaptativa e sustentação softwares</v>
      </c>
      <c r="BV47" s="180"/>
      <c r="BW47" s="180"/>
      <c r="BX47" s="180"/>
      <c r="BY47" s="180"/>
      <c r="BZ47" s="189"/>
      <c r="CA47" s="180"/>
      <c r="CB47" s="180" t="str">
        <f>IFERROR(__xludf.DUMMYFUNCTION("""COMPUTED_VALUE"""),"Apreciação de Causas na Justiça do Trabalho")</f>
        <v>Apreciação de Causas na Justiça do Trabalho</v>
      </c>
      <c r="CC47" s="180" t="str">
        <f>IFERROR(__xludf.DUMMYFUNCTION("""COMPUTED_VALUE""")," - ")</f>
        <v> - </v>
      </c>
      <c r="CD47" s="180" t="str">
        <f>IFERROR(__xludf.DUMMYFUNCTION("""COMPUTED_VALUE"""),"SERVIÇOS DE TECNOLOGIA DA INFORMAÇÃO E COMUNICAÇÃO - TIC")</f>
        <v>SERVIÇOS DE TECNOLOGIA DA INFORMAÇÃO E COMUNICAÇÃO - TIC</v>
      </c>
      <c r="CE47" s="180"/>
      <c r="CF47" s="180" t="str">
        <f>IFERROR(__xludf.DUMMYFUNCTION("""COMPUTED_VALUE"""),"MANUTENÇÃO CORRETIVA/ADAPTATIVA E SUSTENTAÇÃO SOFTWARES")</f>
        <v>MANUTENÇÃO CORRETIVA/ADAPTATIVA E SUSTENTAÇÃO SOFTWARES</v>
      </c>
      <c r="CG47" s="189"/>
      <c r="CH47" s="189">
        <f>IFERROR(__xludf.DUMMYFUNCTION("""COMPUTED_VALUE"""),45148.0)</f>
        <v>45148</v>
      </c>
      <c r="CI47" s="180" t="str">
        <f>IFERROR(__xludf.DUMMYFUNCTION("""COMPUTED_VALUE"""),"PROR")</f>
        <v>PROR</v>
      </c>
      <c r="CJ47" s="190">
        <f>IFERROR(__xludf.DUMMYFUNCTION("""COMPUTED_VALUE"""),2897.64)</f>
        <v>2897.64</v>
      </c>
      <c r="CK47" s="189">
        <f>IFERROR(__xludf.DUMMYFUNCTION("""COMPUTED_VALUE"""),44781.0)</f>
        <v>44781</v>
      </c>
      <c r="CL47" s="180" t="str">
        <f>IFERROR(__xludf.DUMMYFUNCTION("""COMPUTED_VALUE"""),"DISP_INEX")</f>
        <v>DISP_INEX</v>
      </c>
      <c r="CM47" s="180" t="str">
        <f>IFERROR(__xludf.DUMMYFUNCTION("""COMPUTED_VALUE"""),"x")</f>
        <v>x</v>
      </c>
      <c r="CN47" s="180" t="str">
        <f>IFERROR(__xludf.DUMMYFUNCTION("""COMPUTED_VALUE"""),"CD-5707/2021")</f>
        <v>CD-5707/2021</v>
      </c>
      <c r="CO47" s="180"/>
      <c r="CP47" s="180"/>
      <c r="CQ47" s="180"/>
      <c r="CR47" s="180" t="str">
        <f>IFERROR(__xludf.DUMMYFUNCTION("""COMPUTED_VALUE"""),"GND3")</f>
        <v>GND3</v>
      </c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</row>
    <row r="48">
      <c r="A48" s="230">
        <f>IFERROR(__xludf.DUMMYFUNCTION("""COMPUTED_VALUE"""),15373.0)</f>
        <v>15373</v>
      </c>
      <c r="B48" s="230">
        <f>IFERROR(__xludf.DUMMYFUNCTION("""COMPUTED_VALUE"""),15373.0)</f>
        <v>15373</v>
      </c>
      <c r="C48" s="180" t="str">
        <f>IFERROR(__xludf.DUMMYFUNCTION("""COMPUTED_VALUE"""),"SO SUPORTE - Contratação de suporte e operação de infraestrutura de TIC/PJe - PO CSJT, inclui suporte Linux, contrato obrigatório dedicado ao PJe")</f>
        <v>SO SUPORTE - Contratação de suporte e operação de infraestrutura de TIC/PJe - PO CSJT, inclui suporte Linux, contrato obrigatório dedicado ao PJe</v>
      </c>
      <c r="D48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48" s="180" t="str">
        <f>IFERROR(__xludf.DUMMYFUNCTION("""COMPUTED_VALUE"""),"EJ08 - PROMOVER SERVIÇOS DE INFRAESTRUTURA E SOLUÇÕES CORPORATIVAS")</f>
        <v>EJ08 - PROMOVER SERVIÇOS DE INFRAESTRUTURA E SOLUÇÕES CORPORATIVAS</v>
      </c>
      <c r="F48" s="180" t="str">
        <f>IFERROR(__xludf.DUMMYFUNCTION("""COMPUTED_VALUE"""),"Contratação de serviços para o suporte à infraestrutura tecnológica")</f>
        <v>Contratação de serviços para o suporte à infraestrutura tecnológica</v>
      </c>
      <c r="G48" s="180" t="str">
        <f>IFERROR(__xludf.DUMMYFUNCTION("""COMPUTED_VALUE"""),"(ID PAAC 15373) SO SUPORTE - Contratação de suporte e operação de infraestrutura de TIC/PJe - PO CSJT, inclui suporte Linux, contrato obrigatório dedicado ao PJe")</f>
        <v>(ID PAAC 15373) SO SUPORTE - Contratação de suporte e operação de infraestrutura de TIC/PJe - PO CSJT, inclui suporte Linux, contrato obrigatório dedicado ao PJe</v>
      </c>
      <c r="H48" s="180" t="str">
        <f>IFERROR(__xludf.DUMMYFUNCTION("""COMPUTED_VALUE"""),"Continuado")</f>
        <v>Continuado</v>
      </c>
      <c r="I48" s="180" t="str">
        <f>IFERROR(__xludf.DUMMYFUNCTION("""COMPUTED_VALUE"""),"SETIC")</f>
        <v>SETIC</v>
      </c>
      <c r="J48" s="180" t="str">
        <f>IFERROR(__xludf.DUMMYFUNCTION("""COMPUTED_VALUE"""),"SETIC")</f>
        <v>SETIC</v>
      </c>
      <c r="K48" s="180" t="str">
        <f>IFERROR(__xludf.DUMMYFUNCTION("""COMPUTED_VALUE"""),"GND3")</f>
        <v>GND3</v>
      </c>
      <c r="L48" s="231">
        <f>IFERROR(__xludf.DUMMYFUNCTION("""COMPUTED_VALUE"""),0.0)</f>
        <v>0</v>
      </c>
      <c r="M48" s="232">
        <f>IFERROR(__xludf.DUMMYFUNCTION("""COMPUTED_VALUE"""),3.3904007E7)</f>
        <v>33904007</v>
      </c>
      <c r="N48" s="232">
        <f>IFERROR(__xludf.DUMMYFUNCTION("""COMPUTED_VALUE"""),0.0)</f>
        <v>0</v>
      </c>
      <c r="O48" s="230">
        <f>IFERROR(__xludf.DUMMYFUNCTION("""COMPUTED_VALUE"""),168107.0)</f>
        <v>168107</v>
      </c>
      <c r="P48" s="180" t="str">
        <f>IFERROR(__xludf.DUMMYFUNCTION("""COMPUTED_VALUE"""),"Sim")</f>
        <v>Sim</v>
      </c>
      <c r="Q48" s="180" t="str">
        <f>IFERROR(__xludf.DUMMYFUNCTION("""COMPUTED_VALUE"""),"1 - Imprescindível")</f>
        <v>1 - Imprescindível</v>
      </c>
      <c r="R48" s="180" t="str">
        <f>IFERROR(__xludf.DUMMYFUNCTION("""COMPUTED_VALUE"""),"1 - Selecionado")</f>
        <v>1 - Selecionado</v>
      </c>
      <c r="S48" s="180"/>
      <c r="T48" s="180"/>
      <c r="U48" s="180" t="str">
        <f>IFERROR(__xludf.DUMMYFUNCTION("""COMPUTED_VALUE"""),"01 - Não oficializado")</f>
        <v>01 - Não oficializado</v>
      </c>
      <c r="V48" s="180"/>
      <c r="W48" s="180" t="str">
        <f>IFERROR(__xludf.DUMMYFUNCTION("""COMPUTED_VALUE"""),"6789/2021")</f>
        <v>6789/2021</v>
      </c>
      <c r="X48" s="180" t="str">
        <f>IFERROR(__xludf.DUMMYFUNCTION("""COMPUTED_VALUE"""),"SEINFRA")</f>
        <v>SEINFRA</v>
      </c>
      <c r="Y48" s="180" t="str">
        <f>IFERROR(__xludf.DUMMYFUNCTION("""COMPUTED_VALUE"""),"PROR")</f>
        <v>PROR</v>
      </c>
      <c r="Z48" s="180" t="str">
        <f>IFERROR(__xludf.DUMMYFUNCTION("""COMPUTED_VALUE"""),"PRE")</f>
        <v>PRE</v>
      </c>
      <c r="AA48" s="180" t="str">
        <f>IFERROR(__xludf.DUMMYFUNCTION("""COMPUTED_VALUE"""),"PRE-6789/2021")</f>
        <v>PRE-6789/2021</v>
      </c>
      <c r="AB48" s="230">
        <f>IFERROR(__xludf.DUMMYFUNCTION("""COMPUTED_VALUE"""),4.892991000115E12)</f>
        <v>4892991000115</v>
      </c>
      <c r="AC48" s="180" t="str">
        <f>IFERROR(__xludf.DUMMYFUNCTION("""COMPUTED_VALUE"""),"TELTEC SOLUTIONS LTDA")</f>
        <v>TELTEC SOLUTIONS LTDA</v>
      </c>
      <c r="AD48" s="189">
        <f>IFERROR(__xludf.DUMMYFUNCTION("""COMPUTED_VALUE"""),44779.0)</f>
        <v>44779</v>
      </c>
      <c r="AE48" s="189">
        <f>IFERROR(__xludf.DUMMYFUNCTION("""COMPUTED_VALUE"""),44869.0)</f>
        <v>44869</v>
      </c>
      <c r="AF48" s="180" t="str">
        <f>IFERROR(__xludf.DUMMYFUNCTION("""COMPUTED_VALUE"""),"Anderson Bastos
Diretor do SEINFRA")</f>
        <v>Anderson Bastos
Diretor do SEINFRA</v>
      </c>
      <c r="AG48" s="233">
        <f>IFERROR(__xludf.DUMMYFUNCTION("""COMPUTED_VALUE"""),1.0)</f>
        <v>1</v>
      </c>
      <c r="AH48" s="190">
        <f>IFERROR(__xludf.DUMMYFUNCTION("""COMPUTED_VALUE"""),42000.0)</f>
        <v>42000</v>
      </c>
      <c r="AI48" s="180" t="str">
        <f>IFERROR(__xludf.DUMMYFUNCTION("""COMPUTED_VALUE"""),"Não")</f>
        <v>Não</v>
      </c>
      <c r="AJ48" s="190">
        <f>IFERROR(__xludf.DUMMYFUNCTION("""COMPUTED_VALUE"""),179640.0)</f>
        <v>179640</v>
      </c>
      <c r="AK48" s="180" t="str">
        <f>IFERROR(__xludf.DUMMYFUNCTION("""COMPUTED_VALUE"""),"Anderson Bastos")</f>
        <v>Anderson Bastos</v>
      </c>
      <c r="AL48" s="180"/>
      <c r="AM48" s="180"/>
      <c r="AN48" s="190">
        <f>IFERROR(__xludf.DUMMYFUNCTION("""COMPUTED_VALUE"""),0.0)</f>
        <v>0</v>
      </c>
      <c r="AO48" s="190">
        <f>IFERROR(__xludf.DUMMYFUNCTION("""COMPUTED_VALUE"""),42000.0)</f>
        <v>42000</v>
      </c>
      <c r="AP48" s="180" t="str">
        <f>IFERROR(__xludf.DUMMYFUNCTION("""COMPUTED_VALUE"""),"2022NE000107")</f>
        <v>2022NE000107</v>
      </c>
      <c r="AQ48" s="190">
        <f>IFERROR(__xludf.DUMMYFUNCTION("""COMPUTED_VALUE"""),84000.0)</f>
        <v>84000</v>
      </c>
      <c r="AR48" s="190">
        <f>IFERROR(__xludf.DUMMYFUNCTION("""COMPUTED_VALUE"""),42000.0)</f>
        <v>42000</v>
      </c>
      <c r="AS48" s="180"/>
      <c r="AT48" s="190">
        <f>IFERROR(__xludf.DUMMYFUNCTION("""COMPUTED_VALUE"""),42000.0)</f>
        <v>42000</v>
      </c>
      <c r="AU48" s="190">
        <f>IFERROR(__xludf.DUMMYFUNCTION("""COMPUTED_VALUE"""),3500.0)</f>
        <v>3500</v>
      </c>
      <c r="AV48" s="232">
        <f>IFERROR(__xludf.DUMMYFUNCTION("""COMPUTED_VALUE"""),12.0)</f>
        <v>12</v>
      </c>
      <c r="AW48" s="190">
        <f>IFERROR(__xludf.DUMMYFUNCTION("""COMPUTED_VALUE"""),42000.0)</f>
        <v>42000</v>
      </c>
      <c r="AX48" s="190">
        <f>IFERROR(__xludf.DUMMYFUNCTION("""COMPUTED_VALUE"""),0.0)</f>
        <v>0</v>
      </c>
      <c r="AY48" s="190">
        <f>IFERROR(__xludf.DUMMYFUNCTION("""COMPUTED_VALUE"""),42000.0)</f>
        <v>42000</v>
      </c>
      <c r="AZ48" s="190">
        <f>IFERROR(__xludf.DUMMYFUNCTION("""COMPUTED_VALUE"""),10500.0)</f>
        <v>10500</v>
      </c>
      <c r="BA48" s="190">
        <f>IFERROR(__xludf.DUMMYFUNCTION("""COMPUTED_VALUE"""),31500.0)</f>
        <v>31500</v>
      </c>
      <c r="BB48" s="180" t="str">
        <f>IFERROR(__xludf.DUMMYFUNCTION("""COMPUTED_VALUE"""),"PRE-6789/2021")</f>
        <v>PRE-6789/2021</v>
      </c>
      <c r="BC48" s="232">
        <f>IFERROR(__xludf.DUMMYFUNCTION("""COMPUTED_VALUE"""),1.51132022236938E14)</f>
        <v>151132022236938</v>
      </c>
      <c r="BD48" s="180" t="str">
        <f>IFERROR(__xludf.DUMMYFUNCTION("""COMPUTED_VALUE"""),"Sim")</f>
        <v>Sim</v>
      </c>
      <c r="BE48" s="180" t="str">
        <f>IFERROR(__xludf.DUMMYFUNCTION("""COMPUTED_VALUE"""),"Sim")</f>
        <v>Sim</v>
      </c>
      <c r="BF48" s="180"/>
      <c r="BG48" s="180"/>
      <c r="BH48" s="233">
        <f>IFERROR(__xludf.DUMMYFUNCTION("""COMPUTED_VALUE"""),300000.0)</f>
        <v>300000</v>
      </c>
      <c r="BI48" s="180" t="str">
        <f>IFERROR(__xludf.DUMMYFUNCTION("""COMPUTED_VALUE"""),"Alta")</f>
        <v>Alta</v>
      </c>
      <c r="BJ48" s="180"/>
      <c r="BK48" s="180" t="str">
        <f>IFERROR(__xludf.DUMMYFUNCTION("""COMPUTED_VALUE"""),"ano")</f>
        <v>ano</v>
      </c>
      <c r="BL48" s="180" t="str">
        <f>IFERROR(__xludf.DUMMYFUNCTION("""COMPUTED_VALUE"""),"PRE")</f>
        <v>PRE</v>
      </c>
      <c r="BM48" s="180" t="str">
        <f>IFERROR(__xludf.DUMMYFUNCTION("""COMPUTED_VALUE"""),"PROR")</f>
        <v>PROR</v>
      </c>
      <c r="BN48" s="189"/>
      <c r="BO48" s="189"/>
      <c r="BP48" s="190"/>
      <c r="BQ48" s="190"/>
      <c r="BR48" s="190"/>
      <c r="BS48" s="190">
        <f>IFERROR(__xludf.DUMMYFUNCTION("""COMPUTED_VALUE"""),42000.0)</f>
        <v>42000</v>
      </c>
      <c r="BT48" s="190">
        <f>IFERROR(__xludf.DUMMYFUNCTION("""COMPUTED_VALUE"""),42000.0)</f>
        <v>42000</v>
      </c>
      <c r="BU48" s="180" t="str">
        <f>IFERROR(__xludf.DUMMYFUNCTION("""COMPUTED_VALUE"""),"Manutenção corretiva/adaptativa e sustentação softwares")</f>
        <v>Manutenção corretiva/adaptativa e sustentação softwares</v>
      </c>
      <c r="BV48" s="180" t="str">
        <f>IFERROR(__xludf.DUMMYFUNCTION("""COMPUTED_VALUE"""),"INFRA-PJe - Sistema Operacional (Suporte)")</f>
        <v>INFRA-PJe - Sistema Operacional (Suporte)</v>
      </c>
      <c r="BW48" s="180" t="str">
        <f>IFERROR(__xludf.DUMMYFUNCTION("""COMPUTED_VALUE"""),"08 - LINUX - Suporte para o Sistema Operacional para o Pje")</f>
        <v>08 - LINUX - Suporte para o Sistema Operacional para o Pje</v>
      </c>
      <c r="BX48" s="180"/>
      <c r="BY48" s="180" t="str">
        <f>IFERROR(__xludf.DUMMYFUNCTION("""COMPUTED_VALUE"""),"Sistema Operacional (Suporte)")</f>
        <v>Sistema Operacional (Suporte)</v>
      </c>
      <c r="BZ48" s="189"/>
      <c r="CA48" s="180"/>
      <c r="CB48" s="180" t="str">
        <f>IFERROR(__xludf.DUMMYFUNCTION("""COMPUTED_VALUE"""),"Manutenção e Gestão dos Serviços de Tecnologia da Informação")</f>
        <v>Manutenção e Gestão dos Serviços de Tecnologia da Informação</v>
      </c>
      <c r="CC48" s="180" t="str">
        <f>IFERROR(__xludf.DUMMYFUNCTION("""COMPUTED_VALUE"""),"INFRA-PJe - Sistema Operacional (Suporte) - Sistema Operacional (Suporte)")</f>
        <v>INFRA-PJe - Sistema Operacional (Suporte) - Sistema Operacional (Suporte)</v>
      </c>
      <c r="CD48" s="180" t="str">
        <f>IFERROR(__xludf.DUMMYFUNCTION("""COMPUTED_VALUE"""),"SERVIÇOS DE TECNOLOGIA DA INFORMAÇÃO E COMUNICAÇÃO - TIC")</f>
        <v>SERVIÇOS DE TECNOLOGIA DA INFORMAÇÃO E COMUNICAÇÃO - TIC</v>
      </c>
      <c r="CE48" s="180"/>
      <c r="CF48" s="180" t="str">
        <f>IFERROR(__xludf.DUMMYFUNCTION("""COMPUTED_VALUE"""),"MANUTENÇÃO CORRETIVA/ADAPTATIVA E SUSTENTAÇÃO SOFTWARES")</f>
        <v>MANUTENÇÃO CORRETIVA/ADAPTATIVA E SUSTENTAÇÃO SOFTWARES</v>
      </c>
      <c r="CG48" s="189"/>
      <c r="CH48" s="189">
        <f>IFERROR(__xludf.DUMMYFUNCTION("""COMPUTED_VALUE"""),45234.0)</f>
        <v>45234</v>
      </c>
      <c r="CI48" s="180" t="str">
        <f>IFERROR(__xludf.DUMMYFUNCTION("""COMPUTED_VALUE"""),"PROR")</f>
        <v>PROR</v>
      </c>
      <c r="CJ48" s="190">
        <f>IFERROR(__xludf.DUMMYFUNCTION("""COMPUTED_VALUE"""),179640.0)</f>
        <v>179640</v>
      </c>
      <c r="CK48" s="189">
        <f>IFERROR(__xludf.DUMMYFUNCTION("""COMPUTED_VALUE"""),44774.0)</f>
        <v>44774</v>
      </c>
      <c r="CL48" s="180" t="str">
        <f>IFERROR(__xludf.DUMMYFUNCTION("""COMPUTED_VALUE"""),"PROR")</f>
        <v>PROR</v>
      </c>
      <c r="CM48" s="180" t="str">
        <f>IFERROR(__xludf.DUMMYFUNCTION("""COMPUTED_VALUE"""),"x")</f>
        <v>x</v>
      </c>
      <c r="CN48" s="180" t="str">
        <f>IFERROR(__xludf.DUMMYFUNCTION("""COMPUTED_VALUE"""),"PRE-6789/2021")</f>
        <v>PRE-6789/2021</v>
      </c>
      <c r="CO48" s="180"/>
      <c r="CP48" s="180"/>
      <c r="CQ48" s="180"/>
      <c r="CR48" s="180" t="str">
        <f>IFERROR(__xludf.DUMMYFUNCTION("""COMPUTED_VALUE"""),"GND3")</f>
        <v>GND3</v>
      </c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</row>
    <row r="49">
      <c r="A49" s="230">
        <f>IFERROR(__xludf.DUMMYFUNCTION("""COMPUTED_VALUE"""),15374.0)</f>
        <v>15374</v>
      </c>
      <c r="B49" s="230">
        <f>IFERROR(__xludf.DUMMYFUNCTION("""COMPUTED_VALUE"""),0.0)</f>
        <v>0</v>
      </c>
      <c r="C49" s="180" t="str">
        <f>IFERROR(__xludf.DUMMYFUNCTION("""COMPUTED_VALUE"""),"VIDEOCONFERÊNCIAS EQUIPAMENTOS - Aquisição de câmeras com microfone")</f>
        <v>VIDEOCONFERÊNCIAS EQUIPAMENTOS - Aquisição de câmeras com microfone</v>
      </c>
      <c r="D49" s="180" t="str">
        <f>IFERROR(__xludf.DUMMYFUNCTION("""COMPUTED_VALUE"""),"Aquisição de produto, peça de reposição, material de consumo e/ou de serviço não continuado de tecnologia da informação e telecomunicações que atende a projeto estratégico, garante a prestação jurisdicional, evita a interrupção da prestação administrativa"&amp;" e/ou atende a normativo.
")</f>
        <v>Aquisição de produto, peça de reposição, material de consumo e/ou de serviço não continuado de tecnologia da informação e telecomunicações que atende a projeto estratégico, garante a prestação jurisdicional, evita a interrupção da prestação administrativa e/ou atende a normativo.
</v>
      </c>
      <c r="E49" s="180" t="str">
        <f>IFERROR(__xludf.DUMMYFUNCTION("""COMPUTED_VALUE"""),"EJ04 - BUSCAR A INOVAÇÃO DE FORMA COLABORATIVA")</f>
        <v>EJ04 - BUSCAR A INOVAÇÃO DE FORMA COLABORATIVA</v>
      </c>
      <c r="F49" s="180" t="str">
        <f>IFERROR(__xludf.DUMMYFUNCTION("""COMPUTED_VALUE"""),"Contratação de serviços para o suporte à infraestrutura tecnológica")</f>
        <v>Contratação de serviços para o suporte à infraestrutura tecnológica</v>
      </c>
      <c r="G49" s="180" t="str">
        <f>IFERROR(__xludf.DUMMYFUNCTION("""COMPUTED_VALUE"""),"(ID PAAC 15374) VIDEOCONFERÊNCIAS EQUIPAMENTOS - Aquisição de câmeras com microfone")</f>
        <v>(ID PAAC 15374) VIDEOCONFERÊNCIAS EQUIPAMENTOS - Aquisição de câmeras com microfone</v>
      </c>
      <c r="H49" s="180" t="str">
        <f>IFERROR(__xludf.DUMMYFUNCTION("""COMPUTED_VALUE"""),"Imediato")</f>
        <v>Imediato</v>
      </c>
      <c r="I49" s="180" t="str">
        <f>IFERROR(__xludf.DUMMYFUNCTION("""COMPUTED_VALUE"""),"SETIC")</f>
        <v>SETIC</v>
      </c>
      <c r="J49" s="180" t="str">
        <f>IFERROR(__xludf.DUMMYFUNCTION("""COMPUTED_VALUE"""),"SETIC")</f>
        <v>SETIC</v>
      </c>
      <c r="K49" s="180" t="str">
        <f>IFERROR(__xludf.DUMMYFUNCTION("""COMPUTED_VALUE"""),"GND3")</f>
        <v>GND3</v>
      </c>
      <c r="L49" s="231">
        <f>IFERROR(__xludf.DUMMYFUNCTION("""COMPUTED_VALUE"""),0.0)</f>
        <v>0</v>
      </c>
      <c r="M49" s="232"/>
      <c r="N49" s="232">
        <f>IFERROR(__xludf.DUMMYFUNCTION("""COMPUTED_VALUE"""),0.0)</f>
        <v>0</v>
      </c>
      <c r="O49" s="230">
        <f>IFERROR(__xludf.DUMMYFUNCTION("""COMPUTED_VALUE"""),168105.0)</f>
        <v>168105</v>
      </c>
      <c r="P49" s="180" t="str">
        <f>IFERROR(__xludf.DUMMYFUNCTION("""COMPUTED_VALUE"""),"Não")</f>
        <v>Não</v>
      </c>
      <c r="Q49" s="180" t="str">
        <f>IFERROR(__xludf.DUMMYFUNCTION("""COMPUTED_VALUE"""),"2 - Importante")</f>
        <v>2 - Importante</v>
      </c>
      <c r="R49" s="180" t="str">
        <f>IFERROR(__xludf.DUMMYFUNCTION("""COMPUTED_VALUE"""),"1 - Selecionado")</f>
        <v>1 - Selecionado</v>
      </c>
      <c r="S49" s="180"/>
      <c r="T49" s="180" t="str">
        <f>IFERROR(__xludf.DUMMYFUNCTION("""COMPUTED_VALUE"""),"Transferido de 2021 para 2022")</f>
        <v>Transferido de 2021 para 2022</v>
      </c>
      <c r="U49" s="180" t="str">
        <f>IFERROR(__xludf.DUMMYFUNCTION("""COMPUTED_VALUE"""),"02 - DOD emitido")</f>
        <v>02 - DOD emitido</v>
      </c>
      <c r="V49" s="180" t="str">
        <f>IFERROR(__xludf.DUMMYFUNCTION("""COMPUTED_VALUE"""),"8623/2021")</f>
        <v>8623/2021</v>
      </c>
      <c r="W49" s="180"/>
      <c r="X49" s="180" t="str">
        <f>IFERROR(__xludf.DUMMYFUNCTION("""COMPUTED_VALUE"""),"SESUP")</f>
        <v>SESUP</v>
      </c>
      <c r="Y49" s="180" t="str">
        <f>IFERROR(__xludf.DUMMYFUNCTION("""COMPUTED_VALUE"""),"ARP_PARTICIPACAO")</f>
        <v>ARP_PARTICIPACAO</v>
      </c>
      <c r="Z49" s="180" t="str">
        <f>IFERROR(__xludf.DUMMYFUNCTION("""COMPUTED_VALUE"""),"RP")</f>
        <v>RP</v>
      </c>
      <c r="AA49" s="180"/>
      <c r="AB49" s="230"/>
      <c r="AC49" s="180" t="str">
        <f>IFERROR(__xludf.DUMMYFUNCTION("""COMPUTED_VALUE"""),"#N/A")</f>
        <v>#N/A</v>
      </c>
      <c r="AD49" s="189">
        <f>IFERROR(__xludf.DUMMYFUNCTION("""COMPUTED_VALUE"""),44697.0)</f>
        <v>44697</v>
      </c>
      <c r="AE49" s="189">
        <f>IFERROR(__xludf.DUMMYFUNCTION("""COMPUTED_VALUE"""),44742.0)</f>
        <v>44742</v>
      </c>
      <c r="AF49" s="180" t="str">
        <f>IFERROR(__xludf.DUMMYFUNCTION("""COMPUTED_VALUE"""),"Márcio César Jacinto
Diretor do SESUP - Substituto")</f>
        <v>Márcio César Jacinto
Diretor do SESUP - Substituto</v>
      </c>
      <c r="AG49" s="233">
        <f>IFERROR(__xludf.DUMMYFUNCTION("""COMPUTED_VALUE"""),200.0)</f>
        <v>200</v>
      </c>
      <c r="AH49" s="190">
        <f>IFERROR(__xludf.DUMMYFUNCTION("""COMPUTED_VALUE"""),681.5)</f>
        <v>681.5</v>
      </c>
      <c r="AI49" s="180" t="str">
        <f>IFERROR(__xludf.DUMMYFUNCTION("""COMPUTED_VALUE"""),"Não")</f>
        <v>Não</v>
      </c>
      <c r="AJ49" s="190">
        <f>IFERROR(__xludf.DUMMYFUNCTION("""COMPUTED_VALUE"""),439614.0)</f>
        <v>439614</v>
      </c>
      <c r="AK49" s="180"/>
      <c r="AL49" s="180"/>
      <c r="AM49" s="180"/>
      <c r="AN49" s="190">
        <f>IFERROR(__xludf.DUMMYFUNCTION("""COMPUTED_VALUE"""),0.0)</f>
        <v>0</v>
      </c>
      <c r="AO49" s="190">
        <f>IFERROR(__xludf.DUMMYFUNCTION("""COMPUTED_VALUE"""),136300.0)</f>
        <v>136300</v>
      </c>
      <c r="AP49" s="180"/>
      <c r="AQ49" s="190">
        <f>IFERROR(__xludf.DUMMYFUNCTION("""COMPUTED_VALUE"""),0.0)</f>
        <v>0</v>
      </c>
      <c r="AR49" s="190">
        <f>IFERROR(__xludf.DUMMYFUNCTION("""COMPUTED_VALUE"""),136300.0)</f>
        <v>136300</v>
      </c>
      <c r="AS49" s="180"/>
      <c r="AT49" s="190">
        <f>IFERROR(__xludf.DUMMYFUNCTION("""COMPUTED_VALUE"""),136300.0)</f>
        <v>136300</v>
      </c>
      <c r="AU49" s="190"/>
      <c r="AV49" s="232"/>
      <c r="AW49" s="190">
        <f>IFERROR(__xludf.DUMMYFUNCTION("""COMPUTED_VALUE"""),0.0)</f>
        <v>0</v>
      </c>
      <c r="AX49" s="190">
        <f>IFERROR(__xludf.DUMMYFUNCTION("""COMPUTED_VALUE"""),0.0)</f>
        <v>0</v>
      </c>
      <c r="AY49" s="190">
        <f>IFERROR(__xludf.DUMMYFUNCTION("""COMPUTED_VALUE"""),0.0)</f>
        <v>0</v>
      </c>
      <c r="AZ49" s="190">
        <f>IFERROR(__xludf.DUMMYFUNCTION("""COMPUTED_VALUE"""),0.0)</f>
        <v>0</v>
      </c>
      <c r="BA49" s="190">
        <f>IFERROR(__xludf.DUMMYFUNCTION("""COMPUTED_VALUE"""),0.0)</f>
        <v>0</v>
      </c>
      <c r="BB49" s="180"/>
      <c r="BC49" s="232"/>
      <c r="BD49" s="180" t="str">
        <f>IFERROR(__xludf.DUMMYFUNCTION("""COMPUTED_VALUE"""),"Sim")</f>
        <v>Sim</v>
      </c>
      <c r="BE49" s="180"/>
      <c r="BF49" s="180"/>
      <c r="BG49" s="180"/>
      <c r="BH49" s="233">
        <f>IFERROR(__xludf.DUMMYFUNCTION("""COMPUTED_VALUE"""),200000.0)</f>
        <v>200000</v>
      </c>
      <c r="BI49" s="180" t="str">
        <f>IFERROR(__xludf.DUMMYFUNCTION("""COMPUTED_VALUE"""),"Média")</f>
        <v>Média</v>
      </c>
      <c r="BJ49" s="180"/>
      <c r="BK49" s="180" t="str">
        <f>IFERROR(__xludf.DUMMYFUNCTION("""COMPUTED_VALUE"""),"unidade")</f>
        <v>unidade</v>
      </c>
      <c r="BL49" s="180"/>
      <c r="BM49" s="180" t="str">
        <f>IFERROR(__xludf.DUMMYFUNCTION("""COMPUTED_VALUE"""),"ARP_PARTICIPACAO")</f>
        <v>ARP_PARTICIPACAO</v>
      </c>
      <c r="BN49" s="189"/>
      <c r="BO49" s="189"/>
      <c r="BP49" s="190"/>
      <c r="BQ49" s="190"/>
      <c r="BR49" s="190"/>
      <c r="BS49" s="190">
        <f>IFERROR(__xludf.DUMMYFUNCTION("""COMPUTED_VALUE"""),136300.0)</f>
        <v>136300</v>
      </c>
      <c r="BT49" s="190">
        <f>IFERROR(__xludf.DUMMYFUNCTION("""COMPUTED_VALUE"""),136300.0)</f>
        <v>136300</v>
      </c>
      <c r="BU49" s="180" t="str">
        <f>IFERROR(__xludf.DUMMYFUNCTION("""COMPUTED_VALUE"""),"#N/A")</f>
        <v>#N/A</v>
      </c>
      <c r="BV49" s="180"/>
      <c r="BW49" s="180"/>
      <c r="BX49" s="180"/>
      <c r="BY49" s="180"/>
      <c r="BZ49" s="189"/>
      <c r="CA49" s="180"/>
      <c r="CB49" s="180" t="str">
        <f>IFERROR(__xludf.DUMMYFUNCTION("""COMPUTED_VALUE"""),"Apreciação de Causas na Justiça do Trabalho")</f>
        <v>Apreciação de Causas na Justiça do Trabalho</v>
      </c>
      <c r="CC49" s="180" t="str">
        <f>IFERROR(__xludf.DUMMYFUNCTION("""COMPUTED_VALUE""")," - ")</f>
        <v> - </v>
      </c>
      <c r="CD49" s="180" t="str">
        <f>IFERROR(__xludf.DUMMYFUNCTION("""COMPUTED_VALUE"""),"#N/A")</f>
        <v>#N/A</v>
      </c>
      <c r="CE49" s="180"/>
      <c r="CF49" s="180" t="str">
        <f>IFERROR(__xludf.DUMMYFUNCTION("""COMPUTED_VALUE"""),"#N/A")</f>
        <v>#N/A</v>
      </c>
      <c r="CG49" s="189"/>
      <c r="CH49" s="189">
        <f>IFERROR(__xludf.DUMMYFUNCTION("""COMPUTED_VALUE"""),45107.0)</f>
        <v>45107</v>
      </c>
      <c r="CI49" s="180" t="str">
        <f>IFERROR(__xludf.DUMMYFUNCTION("""COMPUTED_VALUE"""),"ARP_PARTICIPACAO")</f>
        <v>ARP_PARTICIPACAO</v>
      </c>
      <c r="CJ49" s="190"/>
      <c r="CK49" s="189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</row>
    <row r="50">
      <c r="A50" s="230">
        <f>IFERROR(__xludf.DUMMYFUNCTION("""COMPUTED_VALUE"""),15376.0)</f>
        <v>15376</v>
      </c>
      <c r="B50" s="230">
        <f>IFERROR(__xludf.DUMMYFUNCTION("""COMPUTED_VALUE"""),0.0)</f>
        <v>0</v>
      </c>
      <c r="C50" s="180" t="str">
        <f>IFERROR(__xludf.DUMMYFUNCTION("""COMPUTED_VALUE"""),"NOBREAKS EQUIPAMENTOS - Aquisição de equipamentos de 8 e 10 kVA")</f>
        <v>NOBREAKS EQUIPAMENTOS - Aquisição de equipamentos de 8 e 10 kVA</v>
      </c>
      <c r="D50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50" s="180" t="str">
        <f>IFERROR(__xludf.DUMMYFUNCTION("""COMPUTED_VALUE"""),"EJ08 - PROMOVER SERVIÇOS DE INFRAESTRUTURA E SOLUÇÕES CORPORATIVAS")</f>
        <v>EJ08 - PROMOVER SERVIÇOS DE INFRAESTRUTURA E SOLUÇÕES CORPORATIVAS</v>
      </c>
      <c r="F50" s="180" t="str">
        <f>IFERROR(__xludf.DUMMYFUNCTION("""COMPUTED_VALUE"""),"Aquisição de bens de infraestrutura tecnológica")</f>
        <v>Aquisição de bens de infraestrutura tecnológica</v>
      </c>
      <c r="G50" s="180" t="str">
        <f>IFERROR(__xludf.DUMMYFUNCTION("""COMPUTED_VALUE"""),"(ID PAAC 15376) NOBREAKS EQUIPAMENTOS - Aquisição de equipamentos de 8 e 10 kVA")</f>
        <v>(ID PAAC 15376) NOBREAKS EQUIPAMENTOS - Aquisição de equipamentos de 8 e 10 kVA</v>
      </c>
      <c r="H50" s="180" t="str">
        <f>IFERROR(__xludf.DUMMYFUNCTION("""COMPUTED_VALUE"""),"Imediato")</f>
        <v>Imediato</v>
      </c>
      <c r="I50" s="180" t="str">
        <f>IFERROR(__xludf.DUMMYFUNCTION("""COMPUTED_VALUE"""),"SETIC")</f>
        <v>SETIC</v>
      </c>
      <c r="J50" s="180" t="str">
        <f>IFERROR(__xludf.DUMMYFUNCTION("""COMPUTED_VALUE"""),"SETIC")</f>
        <v>SETIC</v>
      </c>
      <c r="K50" s="180" t="str">
        <f>IFERROR(__xludf.DUMMYFUNCTION("""COMPUTED_VALUE"""),"GND4")</f>
        <v>GND4</v>
      </c>
      <c r="L50" s="231">
        <f>IFERROR(__xludf.DUMMYFUNCTION("""COMPUTED_VALUE"""),0.0)</f>
        <v>0</v>
      </c>
      <c r="M50" s="232">
        <f>IFERROR(__xludf.DUMMYFUNCTION("""COMPUTED_VALUE"""),4.4905235E7)</f>
        <v>44905235</v>
      </c>
      <c r="N50" s="232">
        <f>IFERROR(__xludf.DUMMYFUNCTION("""COMPUTED_VALUE"""),0.0)</f>
        <v>0</v>
      </c>
      <c r="O50" s="230">
        <f>IFERROR(__xludf.DUMMYFUNCTION("""COMPUTED_VALUE"""),168105.0)</f>
        <v>168105</v>
      </c>
      <c r="P50" s="180" t="str">
        <f>IFERROR(__xludf.DUMMYFUNCTION("""COMPUTED_VALUE"""),"Não")</f>
        <v>Não</v>
      </c>
      <c r="Q50" s="180" t="str">
        <f>IFERROR(__xludf.DUMMYFUNCTION("""COMPUTED_VALUE"""),"1 - Imprescindível")</f>
        <v>1 - Imprescindível</v>
      </c>
      <c r="R50" s="180" t="str">
        <f>IFERROR(__xludf.DUMMYFUNCTION("""COMPUTED_VALUE"""),"1 - Selecionado")</f>
        <v>1 - Selecionado</v>
      </c>
      <c r="S50" s="180"/>
      <c r="T50" s="180"/>
      <c r="U50" s="180" t="str">
        <f>IFERROR(__xludf.DUMMYFUNCTION("""COMPUTED_VALUE"""),"05 - PB enviado")</f>
        <v>05 - PB enviado</v>
      </c>
      <c r="V50" s="180" t="str">
        <f>IFERROR(__xludf.DUMMYFUNCTION("""COMPUTED_VALUE"""),"3569/2021")</f>
        <v>3569/2021</v>
      </c>
      <c r="W50" s="180" t="str">
        <f>IFERROR(__xludf.DUMMYFUNCTION("""COMPUTED_VALUE"""),"9240/2021")</f>
        <v>9240/2021</v>
      </c>
      <c r="X50" s="180" t="str">
        <f>IFERROR(__xludf.DUMMYFUNCTION("""COMPUTED_VALUE"""),"SESUP")</f>
        <v>SESUP</v>
      </c>
      <c r="Y50" s="180" t="str">
        <f>IFERROR(__xludf.DUMMYFUNCTION("""COMPUTED_VALUE"""),"PRE")</f>
        <v>PRE</v>
      </c>
      <c r="Z50" s="180" t="str">
        <f>IFERROR(__xludf.DUMMYFUNCTION("""COMPUTED_VALUE"""),"PRE")</f>
        <v>PRE</v>
      </c>
      <c r="AA50" s="180" t="str">
        <f>IFERROR(__xludf.DUMMYFUNCTION("""COMPUTED_VALUE"""),"PRE-9240/2021")</f>
        <v>PRE-9240/2021</v>
      </c>
      <c r="AB50" s="230"/>
      <c r="AC50" s="180" t="str">
        <f>IFERROR(__xludf.DUMMYFUNCTION("""COMPUTED_VALUE"""),"#N/A")</f>
        <v>#N/A</v>
      </c>
      <c r="AD50" s="189">
        <f>IFERROR(__xludf.DUMMYFUNCTION("""COMPUTED_VALUE"""),44603.0)</f>
        <v>44603</v>
      </c>
      <c r="AE50" s="189">
        <f>IFERROR(__xludf.DUMMYFUNCTION("""COMPUTED_VALUE"""),44713.0)</f>
        <v>44713</v>
      </c>
      <c r="AF50" s="180" t="str">
        <f>IFERROR(__xludf.DUMMYFUNCTION("""COMPUTED_VALUE"""),"Márcio César Jacinto
Diretor do SESUP - Substituto")</f>
        <v>Márcio César Jacinto
Diretor do SESUP - Substituto</v>
      </c>
      <c r="AG50" s="233">
        <f>IFERROR(__xludf.DUMMYFUNCTION("""COMPUTED_VALUE"""),25.0)</f>
        <v>25</v>
      </c>
      <c r="AH50" s="190">
        <f>IFERROR(__xludf.DUMMYFUNCTION("""COMPUTED_VALUE"""),34741.542400000006)</f>
        <v>34741.5424</v>
      </c>
      <c r="AI50" s="180" t="str">
        <f>IFERROR(__xludf.DUMMYFUNCTION("""COMPUTED_VALUE"""),"Não")</f>
        <v>Não</v>
      </c>
      <c r="AJ50" s="190"/>
      <c r="AK50" s="180"/>
      <c r="AL50" s="180"/>
      <c r="AM50" s="180"/>
      <c r="AN50" s="190">
        <f>IFERROR(__xludf.DUMMYFUNCTION("""COMPUTED_VALUE"""),0.0)</f>
        <v>0</v>
      </c>
      <c r="AO50" s="190">
        <f>IFERROR(__xludf.DUMMYFUNCTION("""COMPUTED_VALUE"""),868538.56)</f>
        <v>868538.56</v>
      </c>
      <c r="AP50" s="180"/>
      <c r="AQ50" s="190">
        <f>IFERROR(__xludf.DUMMYFUNCTION("""COMPUTED_VALUE"""),0.0)</f>
        <v>0</v>
      </c>
      <c r="AR50" s="190">
        <f>IFERROR(__xludf.DUMMYFUNCTION("""COMPUTED_VALUE"""),868538.56)</f>
        <v>868538.56</v>
      </c>
      <c r="AS50" s="180"/>
      <c r="AT50" s="190">
        <f>IFERROR(__xludf.DUMMYFUNCTION("""COMPUTED_VALUE"""),868538.56)</f>
        <v>868538.56</v>
      </c>
      <c r="AU50" s="190">
        <f>IFERROR(__xludf.DUMMYFUNCTION("""COMPUTED_VALUE"""),0.0)</f>
        <v>0</v>
      </c>
      <c r="AV50" s="232">
        <f>IFERROR(__xludf.DUMMYFUNCTION("""COMPUTED_VALUE"""),0.0)</f>
        <v>0</v>
      </c>
      <c r="AW50" s="190">
        <f>IFERROR(__xludf.DUMMYFUNCTION("""COMPUTED_VALUE"""),0.0)</f>
        <v>0</v>
      </c>
      <c r="AX50" s="190">
        <f>IFERROR(__xludf.DUMMYFUNCTION("""COMPUTED_VALUE"""),0.0)</f>
        <v>0</v>
      </c>
      <c r="AY50" s="190">
        <f>IFERROR(__xludf.DUMMYFUNCTION("""COMPUTED_VALUE"""),0.0)</f>
        <v>0</v>
      </c>
      <c r="AZ50" s="190">
        <f>IFERROR(__xludf.DUMMYFUNCTION("""COMPUTED_VALUE"""),0.0)</f>
        <v>0</v>
      </c>
      <c r="BA50" s="190">
        <f>IFERROR(__xludf.DUMMYFUNCTION("""COMPUTED_VALUE"""),0.0)</f>
        <v>0</v>
      </c>
      <c r="BB50" s="180" t="str">
        <f>IFERROR(__xludf.DUMMYFUNCTION("""COMPUTED_VALUE"""),"PRE-9240/2021")</f>
        <v>PRE-9240/2021</v>
      </c>
      <c r="BC50" s="232"/>
      <c r="BD50" s="180" t="str">
        <f>IFERROR(__xludf.DUMMYFUNCTION("""COMPUTED_VALUE"""),"Sim")</f>
        <v>Sim</v>
      </c>
      <c r="BE50" s="180" t="str">
        <f>IFERROR(__xludf.DUMMYFUNCTION("""COMPUTED_VALUE"""),"Não")</f>
        <v>Não</v>
      </c>
      <c r="BF50" s="180"/>
      <c r="BG50" s="180"/>
      <c r="BH50" s="233">
        <f>IFERROR(__xludf.DUMMYFUNCTION("""COMPUTED_VALUE"""),300000.0)</f>
        <v>300000</v>
      </c>
      <c r="BI50" s="180" t="str">
        <f>IFERROR(__xludf.DUMMYFUNCTION("""COMPUTED_VALUE"""),"Alta")</f>
        <v>Alta</v>
      </c>
      <c r="BJ50" s="180"/>
      <c r="BK50" s="180" t="str">
        <f>IFERROR(__xludf.DUMMYFUNCTION("""COMPUTED_VALUE"""),"unidade")</f>
        <v>unidade</v>
      </c>
      <c r="BL50" s="180"/>
      <c r="BM50" s="180" t="str">
        <f>IFERROR(__xludf.DUMMYFUNCTION("""COMPUTED_VALUE"""),"PRE")</f>
        <v>PRE</v>
      </c>
      <c r="BN50" s="189">
        <f>IFERROR(__xludf.DUMMYFUNCTION("""COMPUTED_VALUE"""),44501.0)</f>
        <v>44501</v>
      </c>
      <c r="BO50" s="189">
        <f>IFERROR(__xludf.DUMMYFUNCTION("""COMPUTED_VALUE"""),44515.0)</f>
        <v>44515</v>
      </c>
      <c r="BP50" s="190"/>
      <c r="BQ50" s="190"/>
      <c r="BR50" s="190"/>
      <c r="BS50" s="190">
        <f>IFERROR(__xludf.DUMMYFUNCTION("""COMPUTED_VALUE"""),868538.56)</f>
        <v>868538.56</v>
      </c>
      <c r="BT50" s="190">
        <f>IFERROR(__xludf.DUMMYFUNCTION("""COMPUTED_VALUE"""),868538.56)</f>
        <v>868538.56</v>
      </c>
      <c r="BU50" s="180" t="str">
        <f>IFERROR(__xludf.DUMMYFUNCTION("""COMPUTED_VALUE"""),"Material de TIC (permanente)")</f>
        <v>Material de TIC (permanente)</v>
      </c>
      <c r="BV50" s="180"/>
      <c r="BW50" s="180"/>
      <c r="BX50" s="180"/>
      <c r="BY50" s="180"/>
      <c r="BZ50" s="189"/>
      <c r="CA50" s="180"/>
      <c r="CB50" s="180" t="str">
        <f>IFERROR(__xludf.DUMMYFUNCTION("""COMPUTED_VALUE"""),"Apreciação de Causas na Justiça do Trabalho")</f>
        <v>Apreciação de Causas na Justiça do Trabalho</v>
      </c>
      <c r="CC50" s="180" t="str">
        <f>IFERROR(__xludf.DUMMYFUNCTION("""COMPUTED_VALUE""")," - ")</f>
        <v> - </v>
      </c>
      <c r="CD50" s="180" t="str">
        <f>IFERROR(__xludf.DUMMYFUNCTION("""COMPUTED_VALUE"""),"EQUIPAMENTOS E MATERIAL PERMANENTE")</f>
        <v>EQUIPAMENTOS E MATERIAL PERMANENTE</v>
      </c>
      <c r="CE50" s="180"/>
      <c r="CF50" s="180" t="str">
        <f>IFERROR(__xludf.DUMMYFUNCTION("""COMPUTED_VALUE"""),"MATERIAL DE TIC (PERMANENTE)")</f>
        <v>MATERIAL DE TIC (PERMANENTE)</v>
      </c>
      <c r="CG50" s="189">
        <f>IFERROR(__xludf.DUMMYFUNCTION("""COMPUTED_VALUE"""),44966.0)</f>
        <v>44966</v>
      </c>
      <c r="CH50" s="189">
        <f>IFERROR(__xludf.DUMMYFUNCTION("""COMPUTED_VALUE"""),45078.0)</f>
        <v>45078</v>
      </c>
      <c r="CI50" s="180" t="str">
        <f>IFERROR(__xludf.DUMMYFUNCTION("""COMPUTED_VALUE"""),"PRE")</f>
        <v>PRE</v>
      </c>
      <c r="CJ50" s="190"/>
      <c r="CK50" s="189"/>
      <c r="CL50" s="180"/>
      <c r="CM50" s="180"/>
      <c r="CN50" s="180" t="str">
        <f>IFERROR(__xludf.DUMMYFUNCTION("""COMPUTED_VALUE"""),"PRE-9240/2021")</f>
        <v>PRE-9240/2021</v>
      </c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</row>
    <row r="51">
      <c r="A51" s="230">
        <f>IFERROR(__xludf.DUMMYFUNCTION("""COMPUTED_VALUE"""),15379.0)</f>
        <v>15379</v>
      </c>
      <c r="B51" s="230">
        <f>IFERROR(__xludf.DUMMYFUNCTION("""COMPUTED_VALUE"""),0.0)</f>
        <v>0</v>
      </c>
      <c r="C51" s="180" t="str">
        <f>IFERROR(__xludf.DUMMYFUNCTION("""COMPUTED_VALUE"""),"NOBREAKS BATERIAS - Aquisição baterias dos Nobreaks de 40kVA (SUVT)")</f>
        <v>NOBREAKS BATERIAS - Aquisição baterias dos Nobreaks de 40kVA (SUVT)</v>
      </c>
      <c r="D51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51" s="180" t="str">
        <f>IFERROR(__xludf.DUMMYFUNCTION("""COMPUTED_VALUE"""),"EJ08 - PROMOVER SERVIÇOS DE INFRAESTRUTURA E SOLUÇÕES CORPORATIVAS")</f>
        <v>EJ08 - PROMOVER SERVIÇOS DE INFRAESTRUTURA E SOLUÇÕES CORPORATIVAS</v>
      </c>
      <c r="F51" s="180" t="str">
        <f>IFERROR(__xludf.DUMMYFUNCTION("""COMPUTED_VALUE"""),"Contratação de serviços de suporte à microinformática")</f>
        <v>Contratação de serviços de suporte à microinformática</v>
      </c>
      <c r="G51" s="180" t="str">
        <f>IFERROR(__xludf.DUMMYFUNCTION("""COMPUTED_VALUE"""),"(ID PAAC 15379) NOBREAKS BATERIAS - Aquisição baterias dos Nobreaks de 40kVA (SUVT)")</f>
        <v>(ID PAAC 15379) NOBREAKS BATERIAS - Aquisição baterias dos Nobreaks de 40kVA (SUVT)</v>
      </c>
      <c r="H51" s="180" t="str">
        <f>IFERROR(__xludf.DUMMYFUNCTION("""COMPUTED_VALUE"""),"Imediato")</f>
        <v>Imediato</v>
      </c>
      <c r="I51" s="180" t="str">
        <f>IFERROR(__xludf.DUMMYFUNCTION("""COMPUTED_VALUE"""),"SETIC")</f>
        <v>SETIC</v>
      </c>
      <c r="J51" s="180" t="str">
        <f>IFERROR(__xludf.DUMMYFUNCTION("""COMPUTED_VALUE"""),"SETIC")</f>
        <v>SETIC</v>
      </c>
      <c r="K51" s="180" t="str">
        <f>IFERROR(__xludf.DUMMYFUNCTION("""COMPUTED_VALUE"""),"GND3")</f>
        <v>GND3</v>
      </c>
      <c r="L51" s="231">
        <f>IFERROR(__xludf.DUMMYFUNCTION("""COMPUTED_VALUE"""),0.0)</f>
        <v>0</v>
      </c>
      <c r="M51" s="232">
        <f>IFERROR(__xludf.DUMMYFUNCTION("""COMPUTED_VALUE"""),3.3904007E7)</f>
        <v>33904007</v>
      </c>
      <c r="N51" s="232">
        <f>IFERROR(__xludf.DUMMYFUNCTION("""COMPUTED_VALUE"""),0.0)</f>
        <v>0</v>
      </c>
      <c r="O51" s="230">
        <f>IFERROR(__xludf.DUMMYFUNCTION("""COMPUTED_VALUE"""),168105.0)</f>
        <v>168105</v>
      </c>
      <c r="P51" s="180" t="str">
        <f>IFERROR(__xludf.DUMMYFUNCTION("""COMPUTED_VALUE"""),"Não")</f>
        <v>Não</v>
      </c>
      <c r="Q51" s="180" t="str">
        <f>IFERROR(__xludf.DUMMYFUNCTION("""COMPUTED_VALUE"""),"1 - Imprescindível")</f>
        <v>1 - Imprescindível</v>
      </c>
      <c r="R51" s="180" t="str">
        <f>IFERROR(__xludf.DUMMYFUNCTION("""COMPUTED_VALUE"""),"1 - Selecionado")</f>
        <v>1 - Selecionado</v>
      </c>
      <c r="S51" s="180"/>
      <c r="T51" s="180"/>
      <c r="U51" s="180" t="str">
        <f>IFERROR(__xludf.DUMMYFUNCTION("""COMPUTED_VALUE"""),"01 - Não oficializado")</f>
        <v>01 - Não oficializado</v>
      </c>
      <c r="V51" s="180"/>
      <c r="W51" s="180"/>
      <c r="X51" s="180" t="str">
        <f>IFERROR(__xludf.DUMMYFUNCTION("""COMPUTED_VALUE"""),"SESUP")</f>
        <v>SESUP</v>
      </c>
      <c r="Y51" s="180" t="str">
        <f>IFERROR(__xludf.DUMMYFUNCTION("""COMPUTED_VALUE"""),"INEXIGIBILIDADE")</f>
        <v>INEXIGIBILIDADE</v>
      </c>
      <c r="Z51" s="180" t="str">
        <f>IFERROR(__xludf.DUMMYFUNCTION("""COMPUTED_VALUE"""),"CD")</f>
        <v>CD</v>
      </c>
      <c r="AA51" s="180"/>
      <c r="AB51" s="230"/>
      <c r="AC51" s="180" t="str">
        <f>IFERROR(__xludf.DUMMYFUNCTION("""COMPUTED_VALUE"""),"#N/A")</f>
        <v>#N/A</v>
      </c>
      <c r="AD51" s="189">
        <f>IFERROR(__xludf.DUMMYFUNCTION("""COMPUTED_VALUE"""),44795.0)</f>
        <v>44795</v>
      </c>
      <c r="AE51" s="189">
        <f>IFERROR(__xludf.DUMMYFUNCTION("""COMPUTED_VALUE"""),44805.0)</f>
        <v>44805</v>
      </c>
      <c r="AF51" s="180" t="str">
        <f>IFERROR(__xludf.DUMMYFUNCTION("""COMPUTED_VALUE"""),"Márcio César Jacinto
Diretor do SESUP - Substituto")</f>
        <v>Márcio César Jacinto
Diretor do SESUP - Substituto</v>
      </c>
      <c r="AG51" s="233">
        <f>IFERROR(__xludf.DUMMYFUNCTION("""COMPUTED_VALUE"""),3.0)</f>
        <v>3</v>
      </c>
      <c r="AH51" s="190">
        <f>IFERROR(__xludf.DUMMYFUNCTION("""COMPUTED_VALUE"""),33333.333333333336)</f>
        <v>33333.33333</v>
      </c>
      <c r="AI51" s="180" t="str">
        <f>IFERROR(__xludf.DUMMYFUNCTION("""COMPUTED_VALUE"""),"Não")</f>
        <v>Não</v>
      </c>
      <c r="AJ51" s="190"/>
      <c r="AK51" s="180"/>
      <c r="AL51" s="180"/>
      <c r="AM51" s="180"/>
      <c r="AN51" s="190">
        <f>IFERROR(__xludf.DUMMYFUNCTION("""COMPUTED_VALUE"""),-65000.0)</f>
        <v>-65000</v>
      </c>
      <c r="AO51" s="190">
        <f>IFERROR(__xludf.DUMMYFUNCTION("""COMPUTED_VALUE"""),165000.0)</f>
        <v>165000</v>
      </c>
      <c r="AP51" s="180"/>
      <c r="AQ51" s="190">
        <f>IFERROR(__xludf.DUMMYFUNCTION("""COMPUTED_VALUE"""),0.0)</f>
        <v>0</v>
      </c>
      <c r="AR51" s="190">
        <f>IFERROR(__xludf.DUMMYFUNCTION("""COMPUTED_VALUE"""),100000.0)</f>
        <v>100000</v>
      </c>
      <c r="AS51" s="180"/>
      <c r="AT51" s="190">
        <f>IFERROR(__xludf.DUMMYFUNCTION("""COMPUTED_VALUE"""),100000.0)</f>
        <v>100000</v>
      </c>
      <c r="AU51" s="190"/>
      <c r="AV51" s="232"/>
      <c r="AW51" s="190">
        <f>IFERROR(__xludf.DUMMYFUNCTION("""COMPUTED_VALUE"""),0.0)</f>
        <v>0</v>
      </c>
      <c r="AX51" s="190">
        <f>IFERROR(__xludf.DUMMYFUNCTION("""COMPUTED_VALUE"""),0.0)</f>
        <v>0</v>
      </c>
      <c r="AY51" s="190">
        <f>IFERROR(__xludf.DUMMYFUNCTION("""COMPUTED_VALUE"""),0.0)</f>
        <v>0</v>
      </c>
      <c r="AZ51" s="190">
        <f>IFERROR(__xludf.DUMMYFUNCTION("""COMPUTED_VALUE"""),0.0)</f>
        <v>0</v>
      </c>
      <c r="BA51" s="190">
        <f>IFERROR(__xludf.DUMMYFUNCTION("""COMPUTED_VALUE"""),0.0)</f>
        <v>0</v>
      </c>
      <c r="BB51" s="180"/>
      <c r="BC51" s="232"/>
      <c r="BD51" s="180" t="str">
        <f>IFERROR(__xludf.DUMMYFUNCTION("""COMPUTED_VALUE"""),"Sim")</f>
        <v>Sim</v>
      </c>
      <c r="BE51" s="180"/>
      <c r="BF51" s="180"/>
      <c r="BG51" s="180"/>
      <c r="BH51" s="233">
        <f>IFERROR(__xludf.DUMMYFUNCTION("""COMPUTED_VALUE"""),300000.0)</f>
        <v>300000</v>
      </c>
      <c r="BI51" s="180" t="str">
        <f>IFERROR(__xludf.DUMMYFUNCTION("""COMPUTED_VALUE"""),"Alta")</f>
        <v>Alta</v>
      </c>
      <c r="BJ51" s="180"/>
      <c r="BK51" s="180" t="str">
        <f>IFERROR(__xludf.DUMMYFUNCTION("""COMPUTED_VALUE"""),"unidade")</f>
        <v>unidade</v>
      </c>
      <c r="BL51" s="180"/>
      <c r="BM51" s="180" t="str">
        <f>IFERROR(__xludf.DUMMYFUNCTION("""COMPUTED_VALUE"""),"INEXIGIBILIDADE")</f>
        <v>INEXIGIBILIDADE</v>
      </c>
      <c r="BN51" s="189"/>
      <c r="BO51" s="189"/>
      <c r="BP51" s="190"/>
      <c r="BQ51" s="190"/>
      <c r="BR51" s="190"/>
      <c r="BS51" s="190">
        <f>IFERROR(__xludf.DUMMYFUNCTION("""COMPUTED_VALUE"""),100000.0)</f>
        <v>100000</v>
      </c>
      <c r="BT51" s="190">
        <f>IFERROR(__xludf.DUMMYFUNCTION("""COMPUTED_VALUE"""),100000.0)</f>
        <v>100000</v>
      </c>
      <c r="BU51" s="180" t="str">
        <f>IFERROR(__xludf.DUMMYFUNCTION("""COMPUTED_VALUE"""),"Manutenção corretiva/adaptativa e sustentação softwares")</f>
        <v>Manutenção corretiva/adaptativa e sustentação softwares</v>
      </c>
      <c r="BV51" s="180"/>
      <c r="BW51" s="180"/>
      <c r="BX51" s="180"/>
      <c r="BY51" s="180"/>
      <c r="BZ51" s="189"/>
      <c r="CA51" s="180"/>
      <c r="CB51" s="180" t="str">
        <f>IFERROR(__xludf.DUMMYFUNCTION("""COMPUTED_VALUE"""),"Apreciação de Causas na Justiça do Trabalho")</f>
        <v>Apreciação de Causas na Justiça do Trabalho</v>
      </c>
      <c r="CC51" s="180" t="str">
        <f>IFERROR(__xludf.DUMMYFUNCTION("""COMPUTED_VALUE""")," - ")</f>
        <v> - </v>
      </c>
      <c r="CD51" s="180" t="str">
        <f>IFERROR(__xludf.DUMMYFUNCTION("""COMPUTED_VALUE"""),"SERVIÇOS DE TECNOLOGIA DA INFORMAÇÃO E COMUNICAÇÃO - TIC")</f>
        <v>SERVIÇOS DE TECNOLOGIA DA INFORMAÇÃO E COMUNICAÇÃO - TIC</v>
      </c>
      <c r="CE51" s="180"/>
      <c r="CF51" s="180" t="str">
        <f>IFERROR(__xludf.DUMMYFUNCTION("""COMPUTED_VALUE"""),"MANUTENÇÃO CORRETIVA/ADAPTATIVA E SUSTENTAÇÃO SOFTWARES")</f>
        <v>MANUTENÇÃO CORRETIVA/ADAPTATIVA E SUSTENTAÇÃO SOFTWARES</v>
      </c>
      <c r="CG51" s="189"/>
      <c r="CH51" s="189">
        <f>IFERROR(__xludf.DUMMYFUNCTION("""COMPUTED_VALUE"""),45170.0)</f>
        <v>45170</v>
      </c>
      <c r="CI51" s="180" t="str">
        <f>IFERROR(__xludf.DUMMYFUNCTION("""COMPUTED_VALUE"""),"INEXIGIBILIDADE")</f>
        <v>INEXIGIBILIDADE</v>
      </c>
      <c r="CJ51" s="190"/>
      <c r="CK51" s="189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</row>
    <row r="52">
      <c r="A52" s="230">
        <f>IFERROR(__xludf.DUMMYFUNCTION("""COMPUTED_VALUE"""),15380.0)</f>
        <v>15380</v>
      </c>
      <c r="B52" s="230">
        <f>IFERROR(__xludf.DUMMYFUNCTION("""COMPUTED_VALUE"""),0.0)</f>
        <v>0</v>
      </c>
      <c r="C52" s="180" t="str">
        <f>IFERROR(__xludf.DUMMYFUNCTION("""COMPUTED_VALUE"""),"IMPRESSORAS MANUTENÇÃO - Contatação de manutenção de impressoras multifuncionais Lexmark MX722")</f>
        <v>IMPRESSORAS MANUTENÇÃO - Contatação de manutenção de impressoras multifuncionais Lexmark MX722</v>
      </c>
      <c r="D52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52" s="180" t="str">
        <f>IFERROR(__xludf.DUMMYFUNCTION("""COMPUTED_VALUE"""),"EJ08 - PROMOVER SERVIÇOS DE INFRAESTRUTURA E SOLUÇÕES CORPORATIVAS")</f>
        <v>EJ08 - PROMOVER SERVIÇOS DE INFRAESTRUTURA E SOLUÇÕES CORPORATIVAS</v>
      </c>
      <c r="F52" s="180" t="str">
        <f>IFERROR(__xludf.DUMMYFUNCTION("""COMPUTED_VALUE"""),"Contratação de serviços para o suporte à infraestrutura tecnológica")</f>
        <v>Contratação de serviços para o suporte à infraestrutura tecnológica</v>
      </c>
      <c r="G52" s="180" t="str">
        <f>IFERROR(__xludf.DUMMYFUNCTION("""COMPUTED_VALUE"""),"(ID PAAC 15380) IMPRESSORAS MANUTENÇÃO - Contatação de manutenção de impressoras multifuncionais Lexmark MX722")</f>
        <v>(ID PAAC 15380) IMPRESSORAS MANUTENÇÃO - Contatação de manutenção de impressoras multifuncionais Lexmark MX722</v>
      </c>
      <c r="H52" s="180" t="str">
        <f>IFERROR(__xludf.DUMMYFUNCTION("""COMPUTED_VALUE"""),"Continuado")</f>
        <v>Continuado</v>
      </c>
      <c r="I52" s="180" t="str">
        <f>IFERROR(__xludf.DUMMYFUNCTION("""COMPUTED_VALUE"""),"SETIC")</f>
        <v>SETIC</v>
      </c>
      <c r="J52" s="180" t="str">
        <f>IFERROR(__xludf.DUMMYFUNCTION("""COMPUTED_VALUE"""),"SETIC")</f>
        <v>SETIC</v>
      </c>
      <c r="K52" s="180" t="str">
        <f>IFERROR(__xludf.DUMMYFUNCTION("""COMPUTED_VALUE"""),"GND3")</f>
        <v>GND3</v>
      </c>
      <c r="L52" s="231">
        <f>IFERROR(__xludf.DUMMYFUNCTION("""COMPUTED_VALUE"""),0.0)</f>
        <v>0</v>
      </c>
      <c r="M52" s="232">
        <f>IFERROR(__xludf.DUMMYFUNCTION("""COMPUTED_VALUE"""),3.3904012E7)</f>
        <v>33904012</v>
      </c>
      <c r="N52" s="232">
        <f>IFERROR(__xludf.DUMMYFUNCTION("""COMPUTED_VALUE"""),0.0)</f>
        <v>0</v>
      </c>
      <c r="O52" s="230">
        <f>IFERROR(__xludf.DUMMYFUNCTION("""COMPUTED_VALUE"""),168105.0)</f>
        <v>168105</v>
      </c>
      <c r="P52" s="180" t="str">
        <f>IFERROR(__xludf.DUMMYFUNCTION("""COMPUTED_VALUE"""),"Não")</f>
        <v>Não</v>
      </c>
      <c r="Q52" s="180" t="str">
        <f>IFERROR(__xludf.DUMMYFUNCTION("""COMPUTED_VALUE"""),"2 - Importante")</f>
        <v>2 - Importante</v>
      </c>
      <c r="R52" s="180" t="str">
        <f>IFERROR(__xludf.DUMMYFUNCTION("""COMPUTED_VALUE"""),"1 - Selecionado")</f>
        <v>1 - Selecionado</v>
      </c>
      <c r="S52" s="180"/>
      <c r="T52" s="180"/>
      <c r="U52" s="180" t="str">
        <f>IFERROR(__xludf.DUMMYFUNCTION("""COMPUTED_VALUE"""),"01 - Não oficializado")</f>
        <v>01 - Não oficializado</v>
      </c>
      <c r="V52" s="180"/>
      <c r="W52" s="180"/>
      <c r="X52" s="180" t="str">
        <f>IFERROR(__xludf.DUMMYFUNCTION("""COMPUTED_VALUE"""),"SESUP")</f>
        <v>SESUP</v>
      </c>
      <c r="Y52" s="180" t="str">
        <f>IFERROR(__xludf.DUMMYFUNCTION("""COMPUTED_VALUE"""),"PRE")</f>
        <v>PRE</v>
      </c>
      <c r="Z52" s="180" t="str">
        <f>IFERROR(__xludf.DUMMYFUNCTION("""COMPUTED_VALUE"""),"PRE")</f>
        <v>PRE</v>
      </c>
      <c r="AA52" s="180"/>
      <c r="AB52" s="230"/>
      <c r="AC52" s="180" t="str">
        <f>IFERROR(__xludf.DUMMYFUNCTION("""COMPUTED_VALUE"""),"#N/A")</f>
        <v>#N/A</v>
      </c>
      <c r="AD52" s="189">
        <f>IFERROR(__xludf.DUMMYFUNCTION("""COMPUTED_VALUE"""),44735.0)</f>
        <v>44735</v>
      </c>
      <c r="AE52" s="189">
        <f>IFERROR(__xludf.DUMMYFUNCTION("""COMPUTED_VALUE"""),44845.0)</f>
        <v>44845</v>
      </c>
      <c r="AF52" s="180" t="str">
        <f>IFERROR(__xludf.DUMMYFUNCTION("""COMPUTED_VALUE"""),"Márcio César Jacinto
Diretor do SESUP - Substituto")</f>
        <v>Márcio César Jacinto
Diretor do SESUP - Substituto</v>
      </c>
      <c r="AG52" s="233">
        <f>IFERROR(__xludf.DUMMYFUNCTION("""COMPUTED_VALUE"""),1.0)</f>
        <v>1</v>
      </c>
      <c r="AH52" s="190">
        <f>IFERROR(__xludf.DUMMYFUNCTION("""COMPUTED_VALUE"""),12000.0)</f>
        <v>12000</v>
      </c>
      <c r="AI52" s="180" t="str">
        <f>IFERROR(__xludf.DUMMYFUNCTION("""COMPUTED_VALUE"""),"Não")</f>
        <v>Não</v>
      </c>
      <c r="AJ52" s="190"/>
      <c r="AK52" s="180"/>
      <c r="AL52" s="180"/>
      <c r="AM52" s="180"/>
      <c r="AN52" s="190">
        <f>IFERROR(__xludf.DUMMYFUNCTION("""COMPUTED_VALUE"""),-36000.0)</f>
        <v>-36000</v>
      </c>
      <c r="AO52" s="190">
        <f>IFERROR(__xludf.DUMMYFUNCTION("""COMPUTED_VALUE"""),48000.0)</f>
        <v>48000</v>
      </c>
      <c r="AP52" s="180"/>
      <c r="AQ52" s="190">
        <f>IFERROR(__xludf.DUMMYFUNCTION("""COMPUTED_VALUE"""),0.0)</f>
        <v>0</v>
      </c>
      <c r="AR52" s="190">
        <f>IFERROR(__xludf.DUMMYFUNCTION("""COMPUTED_VALUE"""),12000.0)</f>
        <v>12000</v>
      </c>
      <c r="AS52" s="180"/>
      <c r="AT52" s="190">
        <f>IFERROR(__xludf.DUMMYFUNCTION("""COMPUTED_VALUE"""),12000.0)</f>
        <v>12000</v>
      </c>
      <c r="AU52" s="190"/>
      <c r="AV52" s="232"/>
      <c r="AW52" s="190">
        <f>IFERROR(__xludf.DUMMYFUNCTION("""COMPUTED_VALUE"""),0.0)</f>
        <v>0</v>
      </c>
      <c r="AX52" s="190">
        <f>IFERROR(__xludf.DUMMYFUNCTION("""COMPUTED_VALUE"""),0.0)</f>
        <v>0</v>
      </c>
      <c r="AY52" s="190">
        <f>IFERROR(__xludf.DUMMYFUNCTION("""COMPUTED_VALUE"""),0.0)</f>
        <v>0</v>
      </c>
      <c r="AZ52" s="190">
        <f>IFERROR(__xludf.DUMMYFUNCTION("""COMPUTED_VALUE"""),0.0)</f>
        <v>0</v>
      </c>
      <c r="BA52" s="190">
        <f>IFERROR(__xludf.DUMMYFUNCTION("""COMPUTED_VALUE"""),0.0)</f>
        <v>0</v>
      </c>
      <c r="BB52" s="180"/>
      <c r="BC52" s="232"/>
      <c r="BD52" s="180" t="str">
        <f>IFERROR(__xludf.DUMMYFUNCTION("""COMPUTED_VALUE"""),"Sim")</f>
        <v>Sim</v>
      </c>
      <c r="BE52" s="180"/>
      <c r="BF52" s="180"/>
      <c r="BG52" s="180"/>
      <c r="BH52" s="233">
        <f>IFERROR(__xludf.DUMMYFUNCTION("""COMPUTED_VALUE"""),200000.0)</f>
        <v>200000</v>
      </c>
      <c r="BI52" s="180" t="str">
        <f>IFERROR(__xludf.DUMMYFUNCTION("""COMPUTED_VALUE"""),"Média")</f>
        <v>Média</v>
      </c>
      <c r="BJ52" s="180"/>
      <c r="BK52" s="180" t="str">
        <f>IFERROR(__xludf.DUMMYFUNCTION("""COMPUTED_VALUE"""),"ano")</f>
        <v>ano</v>
      </c>
      <c r="BL52" s="180"/>
      <c r="BM52" s="180" t="str">
        <f>IFERROR(__xludf.DUMMYFUNCTION("""COMPUTED_VALUE"""),"PRE")</f>
        <v>PRE</v>
      </c>
      <c r="BN52" s="189"/>
      <c r="BO52" s="189"/>
      <c r="BP52" s="190"/>
      <c r="BQ52" s="190"/>
      <c r="BR52" s="190"/>
      <c r="BS52" s="190">
        <f>IFERROR(__xludf.DUMMYFUNCTION("""COMPUTED_VALUE"""),12000.0)</f>
        <v>12000</v>
      </c>
      <c r="BT52" s="190">
        <f>IFERROR(__xludf.DUMMYFUNCTION("""COMPUTED_VALUE"""),48000.0)</f>
        <v>48000</v>
      </c>
      <c r="BU52" s="180" t="str">
        <f>IFERROR(__xludf.DUMMYFUNCTION("""COMPUTED_VALUE"""),"Manutenção e conservação de equipamentos de TIC")</f>
        <v>Manutenção e conservação de equipamentos de TIC</v>
      </c>
      <c r="BV52" s="180"/>
      <c r="BW52" s="180"/>
      <c r="BX52" s="180"/>
      <c r="BY52" s="180"/>
      <c r="BZ52" s="189"/>
      <c r="CA52" s="180"/>
      <c r="CB52" s="180" t="str">
        <f>IFERROR(__xludf.DUMMYFUNCTION("""COMPUTED_VALUE"""),"Apreciação de Causas na Justiça do Trabalho")</f>
        <v>Apreciação de Causas na Justiça do Trabalho</v>
      </c>
      <c r="CC52" s="180" t="str">
        <f>IFERROR(__xludf.DUMMYFUNCTION("""COMPUTED_VALUE""")," - ")</f>
        <v> - </v>
      </c>
      <c r="CD52" s="180" t="str">
        <f>IFERROR(__xludf.DUMMYFUNCTION("""COMPUTED_VALUE"""),"SERVIÇOS DE TECNOLOGIA DA INFORMAÇÃO E COMUNICAÇÃO - TIC")</f>
        <v>SERVIÇOS DE TECNOLOGIA DA INFORMAÇÃO E COMUNICAÇÃO - TIC</v>
      </c>
      <c r="CE52" s="180"/>
      <c r="CF52" s="180" t="str">
        <f>IFERROR(__xludf.DUMMYFUNCTION("""COMPUTED_VALUE"""),"MANUTENÇÃO E CONSERVAÇÃO DE EQUIPAMENTOS DE TIC")</f>
        <v>MANUTENÇÃO E CONSERVAÇÃO DE EQUIPAMENTOS DE TIC</v>
      </c>
      <c r="CG52" s="189">
        <f>IFERROR(__xludf.DUMMYFUNCTION("""COMPUTED_VALUE"""),45098.0)</f>
        <v>45098</v>
      </c>
      <c r="CH52" s="189">
        <f>IFERROR(__xludf.DUMMYFUNCTION("""COMPUTED_VALUE"""),45210.0)</f>
        <v>45210</v>
      </c>
      <c r="CI52" s="180" t="str">
        <f>IFERROR(__xludf.DUMMYFUNCTION("""COMPUTED_VALUE"""),"PRE")</f>
        <v>PRE</v>
      </c>
      <c r="CJ52" s="190"/>
      <c r="CK52" s="189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</row>
    <row r="53">
      <c r="A53" s="230">
        <f>IFERROR(__xludf.DUMMYFUNCTION("""COMPUTED_VALUE"""),15381.0)</f>
        <v>15381</v>
      </c>
      <c r="B53" s="230">
        <f>IFERROR(__xludf.DUMMYFUNCTION("""COMPUTED_VALUE"""),0.0)</f>
        <v>0</v>
      </c>
      <c r="C53" s="180" t="str">
        <f>IFERROR(__xludf.DUMMYFUNCTION("""COMPUTED_VALUE"""),"INTERNET LINK 4 - Contratação de acesso corporativo à internet (substitui LINK 2)")</f>
        <v>INTERNET LINK 4 - Contratação de acesso corporativo à internet (substitui LINK 2)</v>
      </c>
      <c r="D53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53" s="180" t="str">
        <f>IFERROR(__xludf.DUMMYFUNCTION("""COMPUTED_VALUE"""),"EJ08 - PROMOVER SERVIÇOS DE INFRAESTRUTURA E SOLUÇÕES CORPORATIVAS")</f>
        <v>EJ08 - PROMOVER SERVIÇOS DE INFRAESTRUTURA E SOLUÇÕES CORPORATIVAS</v>
      </c>
      <c r="F53" s="180" t="str">
        <f>IFERROR(__xludf.DUMMYFUNCTION("""COMPUTED_VALUE"""),"Contratação de serviços para o suporte à infraestrutura tecnológica")</f>
        <v>Contratação de serviços para o suporte à infraestrutura tecnológica</v>
      </c>
      <c r="G53" s="180" t="str">
        <f>IFERROR(__xludf.DUMMYFUNCTION("""COMPUTED_VALUE"""),"(ID PAAC 15381) INTERNET LINK 4 - Contratação de acesso corporativo à internet (substitui LINK 2)")</f>
        <v>(ID PAAC 15381) INTERNET LINK 4 - Contratação de acesso corporativo à internet (substitui LINK 2)</v>
      </c>
      <c r="H53" s="180" t="str">
        <f>IFERROR(__xludf.DUMMYFUNCTION("""COMPUTED_VALUE"""),"Continuado")</f>
        <v>Continuado</v>
      </c>
      <c r="I53" s="180" t="str">
        <f>IFERROR(__xludf.DUMMYFUNCTION("""COMPUTED_VALUE"""),"SETIC")</f>
        <v>SETIC</v>
      </c>
      <c r="J53" s="180" t="str">
        <f>IFERROR(__xludf.DUMMYFUNCTION("""COMPUTED_VALUE"""),"SETIC")</f>
        <v>SETIC</v>
      </c>
      <c r="K53" s="180" t="str">
        <f>IFERROR(__xludf.DUMMYFUNCTION("""COMPUTED_VALUE"""),"GND3")</f>
        <v>GND3</v>
      </c>
      <c r="L53" s="231">
        <f>IFERROR(__xludf.DUMMYFUNCTION("""COMPUTED_VALUE"""),0.0)</f>
        <v>0</v>
      </c>
      <c r="M53" s="232">
        <f>IFERROR(__xludf.DUMMYFUNCTION("""COMPUTED_VALUE"""),3.3904013E7)</f>
        <v>33904013</v>
      </c>
      <c r="N53" s="232">
        <f>IFERROR(__xludf.DUMMYFUNCTION("""COMPUTED_VALUE"""),0.0)</f>
        <v>0</v>
      </c>
      <c r="O53" s="230">
        <f>IFERROR(__xludf.DUMMYFUNCTION("""COMPUTED_VALUE"""),168105.0)</f>
        <v>168105</v>
      </c>
      <c r="P53" s="180" t="str">
        <f>IFERROR(__xludf.DUMMYFUNCTION("""COMPUTED_VALUE"""),"Não")</f>
        <v>Não</v>
      </c>
      <c r="Q53" s="180" t="str">
        <f>IFERROR(__xludf.DUMMYFUNCTION("""COMPUTED_VALUE"""),"1 - Imprescindível")</f>
        <v>1 - Imprescindível</v>
      </c>
      <c r="R53" s="180" t="str">
        <f>IFERROR(__xludf.DUMMYFUNCTION("""COMPUTED_VALUE"""),"1 - Selecionado")</f>
        <v>1 - Selecionado</v>
      </c>
      <c r="S53" s="180"/>
      <c r="T53" s="180"/>
      <c r="U53" s="180" t="str">
        <f>IFERROR(__xludf.DUMMYFUNCTION("""COMPUTED_VALUE"""),"99 - Orçamentário")</f>
        <v>99 - Orçamentário</v>
      </c>
      <c r="V53" s="180"/>
      <c r="W53" s="180" t="str">
        <f>IFERROR(__xludf.DUMMYFUNCTION("""COMPUTED_VALUE"""),"9016/2021")</f>
        <v>9016/2021</v>
      </c>
      <c r="X53" s="180" t="str">
        <f>IFERROR(__xludf.DUMMYFUNCTION("""COMPUTED_VALUE"""),"SEINFRA")</f>
        <v>SEINFRA</v>
      </c>
      <c r="Y53" s="180" t="str">
        <f>IFERROR(__xludf.DUMMYFUNCTION("""COMPUTED_VALUE"""),"ORÇAMENTO")</f>
        <v>ORÇAMENTO</v>
      </c>
      <c r="Z53" s="180" t="str">
        <f>IFERROR(__xludf.DUMMYFUNCTION("""COMPUTED_VALUE"""),"PRE")</f>
        <v>PRE</v>
      </c>
      <c r="AA53" s="180" t="str">
        <f>IFERROR(__xludf.DUMMYFUNCTION("""COMPUTED_VALUE"""),"PRE-9016/2021")</f>
        <v>PRE-9016/2021</v>
      </c>
      <c r="AB53" s="230">
        <f>IFERROR(__xludf.DUMMYFUNCTION("""COMPUTED_VALUE"""),1.479874000012E13)</f>
        <v>14798740000120</v>
      </c>
      <c r="AC53" s="180" t="str">
        <f>IFERROR(__xludf.DUMMYFUNCTION("""COMPUTED_VALUE"""),"ACESSOLINE TELECOMUNICACOES LTDA")</f>
        <v>ACESSOLINE TELECOMUNICACOES LTDA</v>
      </c>
      <c r="AD53" s="189">
        <f>IFERROR(__xludf.DUMMYFUNCTION("""COMPUTED_VALUE"""),45435.0)</f>
        <v>45435</v>
      </c>
      <c r="AE53" s="189">
        <f>IFERROR(__xludf.DUMMYFUNCTION("""COMPUTED_VALUE"""),45435.0)</f>
        <v>45435</v>
      </c>
      <c r="AF53" s="180" t="str">
        <f>IFERROR(__xludf.DUMMYFUNCTION("""COMPUTED_VALUE"""),"Anderson Bastos
Diretor do SEINFRA")</f>
        <v>Anderson Bastos
Diretor do SEINFRA</v>
      </c>
      <c r="AG53" s="233">
        <f>IFERROR(__xludf.DUMMYFUNCTION("""COMPUTED_VALUE"""),1.0)</f>
        <v>1</v>
      </c>
      <c r="AH53" s="190">
        <f>IFERROR(__xludf.DUMMYFUNCTION("""COMPUTED_VALUE"""),22800.0)</f>
        <v>22800</v>
      </c>
      <c r="AI53" s="180" t="str">
        <f>IFERROR(__xludf.DUMMYFUNCTION("""COMPUTED_VALUE"""),"Não")</f>
        <v>Não</v>
      </c>
      <c r="AJ53" s="190"/>
      <c r="AK53" s="180" t="str">
        <f>IFERROR(__xludf.DUMMYFUNCTION("""COMPUTED_VALUE"""),"Anderson Bastos")</f>
        <v>Anderson Bastos</v>
      </c>
      <c r="AL53" s="180"/>
      <c r="AM53" s="180"/>
      <c r="AN53" s="190">
        <f>IFERROR(__xludf.DUMMYFUNCTION("""COMPUTED_VALUE"""),12350.0)</f>
        <v>12350</v>
      </c>
      <c r="AO53" s="190">
        <f>IFERROR(__xludf.DUMMYFUNCTION("""COMPUTED_VALUE"""),10450.0)</f>
        <v>10450</v>
      </c>
      <c r="AP53" s="180" t="str">
        <f>IFERROR(__xludf.DUMMYFUNCTION("""COMPUTED_VALUE"""),"2022NE000273")</f>
        <v>2022NE000273</v>
      </c>
      <c r="AQ53" s="190">
        <f>IFERROR(__xludf.DUMMYFUNCTION("""COMPUTED_VALUE"""),0.0)</f>
        <v>0</v>
      </c>
      <c r="AR53" s="190">
        <f>IFERROR(__xludf.DUMMYFUNCTION("""COMPUTED_VALUE"""),22800.0)</f>
        <v>22800</v>
      </c>
      <c r="AS53" s="180"/>
      <c r="AT53" s="190">
        <f>IFERROR(__xludf.DUMMYFUNCTION("""COMPUTED_VALUE"""),22800.0)</f>
        <v>22800</v>
      </c>
      <c r="AU53" s="190">
        <f>IFERROR(__xludf.DUMMYFUNCTION("""COMPUTED_VALUE"""),1900.0)</f>
        <v>1900</v>
      </c>
      <c r="AV53" s="232">
        <f>IFERROR(__xludf.DUMMYFUNCTION("""COMPUTED_VALUE"""),12.0)</f>
        <v>12</v>
      </c>
      <c r="AW53" s="190">
        <f>IFERROR(__xludf.DUMMYFUNCTION("""COMPUTED_VALUE"""),22800.0)</f>
        <v>22800</v>
      </c>
      <c r="AX53" s="190">
        <f>IFERROR(__xludf.DUMMYFUNCTION("""COMPUTED_VALUE"""),0.0)</f>
        <v>0</v>
      </c>
      <c r="AY53" s="190">
        <f>IFERROR(__xludf.DUMMYFUNCTION("""COMPUTED_VALUE"""),22800.0)</f>
        <v>22800</v>
      </c>
      <c r="AZ53" s="190">
        <f>IFERROR(__xludf.DUMMYFUNCTION("""COMPUTED_VALUE"""),5700.0)</f>
        <v>5700</v>
      </c>
      <c r="BA53" s="190">
        <f>IFERROR(__xludf.DUMMYFUNCTION("""COMPUTED_VALUE"""),17100.0)</f>
        <v>17100</v>
      </c>
      <c r="BB53" s="180" t="str">
        <f>IFERROR(__xludf.DUMMYFUNCTION("""COMPUTED_VALUE"""),"PRE-9016/2021")</f>
        <v>PRE-9016/2021</v>
      </c>
      <c r="BC53" s="232"/>
      <c r="BD53" s="180" t="str">
        <f>IFERROR(__xludf.DUMMYFUNCTION("""COMPUTED_VALUE"""),"Não")</f>
        <v>Não</v>
      </c>
      <c r="BE53" s="180"/>
      <c r="BF53" s="180"/>
      <c r="BG53" s="180"/>
      <c r="BH53" s="233">
        <f>IFERROR(__xludf.DUMMYFUNCTION("""COMPUTED_VALUE"""),300000.0)</f>
        <v>300000</v>
      </c>
      <c r="BI53" s="180" t="str">
        <f>IFERROR(__xludf.DUMMYFUNCTION("""COMPUTED_VALUE"""),"Alta")</f>
        <v>Alta</v>
      </c>
      <c r="BJ53" s="180"/>
      <c r="BK53" s="180" t="str">
        <f>IFERROR(__xludf.DUMMYFUNCTION("""COMPUTED_VALUE"""),"ano")</f>
        <v>ano</v>
      </c>
      <c r="BL53" s="180"/>
      <c r="BM53" s="180" t="str">
        <f>IFERROR(__xludf.DUMMYFUNCTION("""COMPUTED_VALUE"""),"ORÇAMENTO")</f>
        <v>ORÇAMENTO</v>
      </c>
      <c r="BN53" s="189"/>
      <c r="BO53" s="189"/>
      <c r="BP53" s="190"/>
      <c r="BQ53" s="190"/>
      <c r="BR53" s="190"/>
      <c r="BS53" s="190">
        <f>IFERROR(__xludf.DUMMYFUNCTION("""COMPUTED_VALUE"""),22800.0)</f>
        <v>22800</v>
      </c>
      <c r="BT53" s="190"/>
      <c r="BU53" s="180" t="str">
        <f>IFERROR(__xludf.DUMMYFUNCTION("""COMPUTED_VALUE"""),"Comunicação de dados e redes em geral")</f>
        <v>Comunicação de dados e redes em geral</v>
      </c>
      <c r="BV53" s="180"/>
      <c r="BW53" s="180"/>
      <c r="BX53" s="180"/>
      <c r="BY53" s="180"/>
      <c r="BZ53" s="189"/>
      <c r="CA53" s="180"/>
      <c r="CB53" s="180" t="str">
        <f>IFERROR(__xludf.DUMMYFUNCTION("""COMPUTED_VALUE"""),"Apreciação de Causas na Justiça do Trabalho")</f>
        <v>Apreciação de Causas na Justiça do Trabalho</v>
      </c>
      <c r="CC53" s="180" t="str">
        <f>IFERROR(__xludf.DUMMYFUNCTION("""COMPUTED_VALUE""")," - ")</f>
        <v> - </v>
      </c>
      <c r="CD53" s="180" t="str">
        <f>IFERROR(__xludf.DUMMYFUNCTION("""COMPUTED_VALUE"""),"SERVIÇOS DE TECNOLOGIA DA INFORMAÇÃO E COMUNICAÇÃO - TIC")</f>
        <v>SERVIÇOS DE TECNOLOGIA DA INFORMAÇÃO E COMUNICAÇÃO - TIC</v>
      </c>
      <c r="CE53" s="180"/>
      <c r="CF53" s="180" t="str">
        <f>IFERROR(__xludf.DUMMYFUNCTION("""COMPUTED_VALUE"""),"COMUNICAÇÃO DE DADOS E REDES EM GERAL")</f>
        <v>COMUNICAÇÃO DE DADOS E REDES EM GERAL</v>
      </c>
      <c r="CG53" s="189"/>
      <c r="CH53" s="189">
        <f>IFERROR(__xludf.DUMMYFUNCTION("""COMPUTED_VALUE"""),45800.0)</f>
        <v>45800</v>
      </c>
      <c r="CI53" s="180" t="str">
        <f>IFERROR(__xludf.DUMMYFUNCTION("""COMPUTED_VALUE"""),"ORÇAMENTO")</f>
        <v>ORÇAMENTO</v>
      </c>
      <c r="CJ53" s="190"/>
      <c r="CK53" s="189"/>
      <c r="CL53" s="180"/>
      <c r="CM53" s="180"/>
      <c r="CN53" s="180" t="str">
        <f>IFERROR(__xludf.DUMMYFUNCTION("""COMPUTED_VALUE"""),"PRE-9016/2021")</f>
        <v>PRE-9016/2021</v>
      </c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</row>
    <row r="54">
      <c r="A54" s="230">
        <f>IFERROR(__xludf.DUMMYFUNCTION("""COMPUTED_VALUE"""),15382.0)</f>
        <v>15382</v>
      </c>
      <c r="B54" s="230">
        <f>IFERROR(__xludf.DUMMYFUNCTION("""COMPUTED_VALUE"""),15383.0)</f>
        <v>15383</v>
      </c>
      <c r="C54" s="180" t="str">
        <f>IFERROR(__xludf.DUMMYFUNCTION("""COMPUTED_VALUE"""),"NUVEM GOOGLE 2 - Contratação de licença de uso de serviço de nuvem de comunicação e colaboração (varas), com ampliação do serviço de armazenamento em nuvem, dado que várias contas têm extrapolado o limite de 30GB estabelecido no contrato 11741/2017.")</f>
        <v>NUVEM GOOGLE 2 - Contratação de licença de uso de serviço de nuvem de comunicação e colaboração (varas), com ampliação do serviço de armazenamento em nuvem, dado que várias contas têm extrapolado o limite de 30GB estabelecido no contrato 11741/2017.</v>
      </c>
      <c r="D54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54" s="180" t="str">
        <f>IFERROR(__xludf.DUMMYFUNCTION("""COMPUTED_VALUE"""),"EJ08 - PROMOVER SERVIÇOS DE INFRAESTRUTURA E SOLUÇÕES CORPORATIVAS")</f>
        <v>EJ08 - PROMOVER SERVIÇOS DE INFRAESTRUTURA E SOLUÇÕES CORPORATIVAS</v>
      </c>
      <c r="F54" s="180" t="str">
        <f>IFERROR(__xludf.DUMMYFUNCTION("""COMPUTED_VALUE"""),"Contratação de serviços para o suporte à infraestrutura tecnológica")</f>
        <v>Contratação de serviços para o suporte à infraestrutura tecnológica</v>
      </c>
      <c r="G54" s="180" t="str">
        <f>IFERROR(__xludf.DUMMYFUNCTION("""COMPUTED_VALUE"""),"(ID PAAC 15382) NUVEM GOOGLE 2 - Contratação de licença de uso de serviço de nuvem de comunicação e colaboração (varas), com ampliação do serviço de armazenamento em nuvem, dado que várias contas têm extrapolado o limite de 30GB estabelecido no contrato 1"&amp;"1741/2017.")</f>
        <v>(ID PAAC 15382) NUVEM GOOGLE 2 - Contratação de licença de uso de serviço de nuvem de comunicação e colaboração (varas), com ampliação do serviço de armazenamento em nuvem, dado que várias contas têm extrapolado o limite de 30GB estabelecido no contrato 11741/2017.</v>
      </c>
      <c r="H54" s="180" t="str">
        <f>IFERROR(__xludf.DUMMYFUNCTION("""COMPUTED_VALUE"""),"Continuado")</f>
        <v>Continuado</v>
      </c>
      <c r="I54" s="180" t="str">
        <f>IFERROR(__xludf.DUMMYFUNCTION("""COMPUTED_VALUE"""),"SETIC")</f>
        <v>SETIC</v>
      </c>
      <c r="J54" s="180" t="str">
        <f>IFERROR(__xludf.DUMMYFUNCTION("""COMPUTED_VALUE"""),"SETIC")</f>
        <v>SETIC</v>
      </c>
      <c r="K54" s="180" t="str">
        <f>IFERROR(__xludf.DUMMYFUNCTION("""COMPUTED_VALUE"""),"GND3")</f>
        <v>GND3</v>
      </c>
      <c r="L54" s="231">
        <f>IFERROR(__xludf.DUMMYFUNCTION("""COMPUTED_VALUE"""),0.0)</f>
        <v>0</v>
      </c>
      <c r="M54" s="232">
        <f>IFERROR(__xludf.DUMMYFUNCTION("""COMPUTED_VALUE"""),3.3904019E7)</f>
        <v>33904019</v>
      </c>
      <c r="N54" s="232">
        <f>IFERROR(__xludf.DUMMYFUNCTION("""COMPUTED_VALUE"""),0.0)</f>
        <v>0</v>
      </c>
      <c r="O54" s="230">
        <f>IFERROR(__xludf.DUMMYFUNCTION("""COMPUTED_VALUE"""),168105.0)</f>
        <v>168105</v>
      </c>
      <c r="P54" s="180" t="str">
        <f>IFERROR(__xludf.DUMMYFUNCTION("""COMPUTED_VALUE"""),"Não")</f>
        <v>Não</v>
      </c>
      <c r="Q54" s="180" t="str">
        <f>IFERROR(__xludf.DUMMYFUNCTION("""COMPUTED_VALUE"""),"1 - Imprescindível")</f>
        <v>1 - Imprescindível</v>
      </c>
      <c r="R54" s="180" t="str">
        <f>IFERROR(__xludf.DUMMYFUNCTION("""COMPUTED_VALUE"""),"4 - Cancelado")</f>
        <v>4 - Cancelado</v>
      </c>
      <c r="S54" s="180"/>
      <c r="T54" s="180"/>
      <c r="U54" s="180" t="str">
        <f>IFERROR(__xludf.DUMMYFUNCTION("""COMPUTED_VALUE"""),"02 - DOD emitido")</f>
        <v>02 - DOD emitido</v>
      </c>
      <c r="V54" s="180" t="str">
        <f>IFERROR(__xludf.DUMMYFUNCTION("""COMPUTED_VALUE"""),"1175/2022")</f>
        <v>1175/2022</v>
      </c>
      <c r="W54" s="180"/>
      <c r="X54" s="180" t="str">
        <f>IFERROR(__xludf.DUMMYFUNCTION("""COMPUTED_VALUE"""),"SEINFRA")</f>
        <v>SEINFRA</v>
      </c>
      <c r="Y54" s="180" t="str">
        <f>IFERROR(__xludf.DUMMYFUNCTION("""COMPUTED_VALUE"""),"ARP_PARTICIPACAO")</f>
        <v>ARP_PARTICIPACAO</v>
      </c>
      <c r="Z54" s="180" t="str">
        <f>IFERROR(__xludf.DUMMYFUNCTION("""COMPUTED_VALUE"""),"RP")</f>
        <v>RP</v>
      </c>
      <c r="AA54" s="180"/>
      <c r="AB54" s="230"/>
      <c r="AC54" s="180" t="str">
        <f>IFERROR(__xludf.DUMMYFUNCTION("""COMPUTED_VALUE"""),"#N/A")</f>
        <v>#N/A</v>
      </c>
      <c r="AD54" s="189">
        <f>IFERROR(__xludf.DUMMYFUNCTION("""COMPUTED_VALUE"""),44576.0)</f>
        <v>44576</v>
      </c>
      <c r="AE54" s="189">
        <f>IFERROR(__xludf.DUMMYFUNCTION("""COMPUTED_VALUE"""),44621.0)</f>
        <v>44621</v>
      </c>
      <c r="AF54" s="180" t="str">
        <f>IFERROR(__xludf.DUMMYFUNCTION("""COMPUTED_VALUE"""),"Anderson Bastos
Diretor do SEINFRA")</f>
        <v>Anderson Bastos
Diretor do SEINFRA</v>
      </c>
      <c r="AG54" s="233">
        <f>IFERROR(__xludf.DUMMYFUNCTION("""COMPUTED_VALUE"""),200.0)</f>
        <v>200</v>
      </c>
      <c r="AH54" s="190">
        <f>IFERROR(__xludf.DUMMYFUNCTION("""COMPUTED_VALUE"""),0.0)</f>
        <v>0</v>
      </c>
      <c r="AI54" s="180" t="str">
        <f>IFERROR(__xludf.DUMMYFUNCTION("""COMPUTED_VALUE"""),"Não")</f>
        <v>Não</v>
      </c>
      <c r="AJ54" s="190"/>
      <c r="AK54" s="180"/>
      <c r="AL54" s="180"/>
      <c r="AM54" s="180"/>
      <c r="AN54" s="190">
        <f>IFERROR(__xludf.DUMMYFUNCTION("""COMPUTED_VALUE"""),-34000.0)</f>
        <v>-34000</v>
      </c>
      <c r="AO54" s="190">
        <f>IFERROR(__xludf.DUMMYFUNCTION("""COMPUTED_VALUE"""),34000.0)</f>
        <v>34000</v>
      </c>
      <c r="AP54" s="180"/>
      <c r="AQ54" s="190">
        <f>IFERROR(__xludf.DUMMYFUNCTION("""COMPUTED_VALUE"""),0.0)</f>
        <v>0</v>
      </c>
      <c r="AR54" s="190">
        <f>IFERROR(__xludf.DUMMYFUNCTION("""COMPUTED_VALUE"""),39920.0)</f>
        <v>39920</v>
      </c>
      <c r="AS54" s="180"/>
      <c r="AT54" s="190">
        <f>IFERROR(__xludf.DUMMYFUNCTION("""COMPUTED_VALUE"""),0.0)</f>
        <v>0</v>
      </c>
      <c r="AU54" s="190"/>
      <c r="AV54" s="232"/>
      <c r="AW54" s="190">
        <f>IFERROR(__xludf.DUMMYFUNCTION("""COMPUTED_VALUE"""),0.0)</f>
        <v>0</v>
      </c>
      <c r="AX54" s="190">
        <f>IFERROR(__xludf.DUMMYFUNCTION("""COMPUTED_VALUE"""),0.0)</f>
        <v>0</v>
      </c>
      <c r="AY54" s="190">
        <f>IFERROR(__xludf.DUMMYFUNCTION("""COMPUTED_VALUE"""),0.0)</f>
        <v>0</v>
      </c>
      <c r="AZ54" s="190">
        <f>IFERROR(__xludf.DUMMYFUNCTION("""COMPUTED_VALUE"""),0.0)</f>
        <v>0</v>
      </c>
      <c r="BA54" s="190">
        <f>IFERROR(__xludf.DUMMYFUNCTION("""COMPUTED_VALUE"""),0.0)</f>
        <v>0</v>
      </c>
      <c r="BB54" s="180"/>
      <c r="BC54" s="232"/>
      <c r="BD54" s="180" t="str">
        <f>IFERROR(__xludf.DUMMYFUNCTION("""COMPUTED_VALUE"""),"Não")</f>
        <v>Não</v>
      </c>
      <c r="BE54" s="180"/>
      <c r="BF54" s="180"/>
      <c r="BG54" s="180"/>
      <c r="BH54" s="233">
        <f>IFERROR(__xludf.DUMMYFUNCTION("""COMPUTED_VALUE"""),300000.0)</f>
        <v>300000</v>
      </c>
      <c r="BI54" s="180" t="str">
        <f>IFERROR(__xludf.DUMMYFUNCTION("""COMPUTED_VALUE"""),"Alta")</f>
        <v>Alta</v>
      </c>
      <c r="BJ54" s="180"/>
      <c r="BK54" s="180" t="str">
        <f>IFERROR(__xludf.DUMMYFUNCTION("""COMPUTED_VALUE"""),"ano")</f>
        <v>ano</v>
      </c>
      <c r="BL54" s="180"/>
      <c r="BM54" s="180" t="str">
        <f>IFERROR(__xludf.DUMMYFUNCTION("""COMPUTED_VALUE"""),"CANCELADO")</f>
        <v>CANCELADO</v>
      </c>
      <c r="BN54" s="189"/>
      <c r="BO54" s="189"/>
      <c r="BP54" s="190"/>
      <c r="BQ54" s="190"/>
      <c r="BR54" s="190"/>
      <c r="BS54" s="190">
        <f>IFERROR(__xludf.DUMMYFUNCTION("""COMPUTED_VALUE"""),0.0)</f>
        <v>0</v>
      </c>
      <c r="BT54" s="190">
        <f>IFERROR(__xludf.DUMMYFUNCTION("""COMPUTED_VALUE"""),39920.0)</f>
        <v>39920</v>
      </c>
      <c r="BU54" s="180" t="str">
        <f>IFERROR(__xludf.DUMMYFUNCTION("""COMPUTED_VALUE"""),"Computação em nuvem - software como serviço (SAAS)")</f>
        <v>Computação em nuvem - software como serviço (SAAS)</v>
      </c>
      <c r="BV54" s="180"/>
      <c r="BW54" s="180"/>
      <c r="BX54" s="180"/>
      <c r="BY54" s="180"/>
      <c r="BZ54" s="189"/>
      <c r="CA54" s="180"/>
      <c r="CB54" s="180" t="str">
        <f>IFERROR(__xludf.DUMMYFUNCTION("""COMPUTED_VALUE"""),"Apreciação de Causas na Justiça do Trabalho")</f>
        <v>Apreciação de Causas na Justiça do Trabalho</v>
      </c>
      <c r="CC54" s="180" t="str">
        <f>IFERROR(__xludf.DUMMYFUNCTION("""COMPUTED_VALUE""")," - ")</f>
        <v> - </v>
      </c>
      <c r="CD54" s="180" t="str">
        <f>IFERROR(__xludf.DUMMYFUNCTION("""COMPUTED_VALUE"""),"SERVIÇOS DE TECNOLOGIA DA INFORMAÇÃO E COMUNICAÇÃO - TIC")</f>
        <v>SERVIÇOS DE TECNOLOGIA DA INFORMAÇÃO E COMUNICAÇÃO - TIC</v>
      </c>
      <c r="CE54" s="180"/>
      <c r="CF54" s="180" t="str">
        <f>IFERROR(__xludf.DUMMYFUNCTION("""COMPUTED_VALUE"""),"COMPUTAÇÃO EM NUVEM - SOFTWARE COMO SERVIÇO (SAAS)")</f>
        <v>COMPUTAÇÃO EM NUVEM - SOFTWARE COMO SERVIÇO (SAAS)</v>
      </c>
      <c r="CG54" s="189"/>
      <c r="CH54" s="189">
        <f>IFERROR(__xludf.DUMMYFUNCTION("""COMPUTED_VALUE"""),44986.0)</f>
        <v>44986</v>
      </c>
      <c r="CI54" s="180" t="str">
        <f>IFERROR(__xludf.DUMMYFUNCTION("""COMPUTED_VALUE"""),"ARP_PARTICIPACAO")</f>
        <v>ARP_PARTICIPACAO</v>
      </c>
      <c r="CJ54" s="190"/>
      <c r="CK54" s="189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</row>
    <row r="55">
      <c r="A55" s="230">
        <f>IFERROR(__xludf.DUMMYFUNCTION("""COMPUTED_VALUE"""),15383.0)</f>
        <v>15383</v>
      </c>
      <c r="B55" s="230">
        <f>IFERROR(__xludf.DUMMYFUNCTION("""COMPUTED_VALUE"""),15383.0)</f>
        <v>15383</v>
      </c>
      <c r="C55" s="180" t="str">
        <f>IFERROR(__xludf.DUMMYFUNCTION("""COMPUTED_VALUE"""),"NUVEM GOOGLE - Contratação de licença de uso de serviço de nuvem de comunicação e colaboração (substitui 15072 e 15382)")</f>
        <v>NUVEM GOOGLE - Contratação de licença de uso de serviço de nuvem de comunicação e colaboração (substitui 15072 e 15382)</v>
      </c>
      <c r="D55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55" s="180" t="str">
        <f>IFERROR(__xludf.DUMMYFUNCTION("""COMPUTED_VALUE"""),"EJ08 - PROMOVER SERVIÇOS DE INFRAESTRUTURA E SOLUÇÕES CORPORATIVAS")</f>
        <v>EJ08 - PROMOVER SERVIÇOS DE INFRAESTRUTURA E SOLUÇÕES CORPORATIVAS</v>
      </c>
      <c r="F55" s="180" t="str">
        <f>IFERROR(__xludf.DUMMYFUNCTION("""COMPUTED_VALUE"""),"Contratação de serviços para o suporte à infraestrutura tecnológica")</f>
        <v>Contratação de serviços para o suporte à infraestrutura tecnológica</v>
      </c>
      <c r="G55" s="180" t="str">
        <f>IFERROR(__xludf.DUMMYFUNCTION("""COMPUTED_VALUE"""),"(ID PAAC 15383) NUVEM GOOGLE - Contratação de licença de uso de serviço de nuvem de comunicação e colaboração (substitui 15072 e 15382)")</f>
        <v>(ID PAAC 15383) NUVEM GOOGLE - Contratação de licença de uso de serviço de nuvem de comunicação e colaboração (substitui 15072 e 15382)</v>
      </c>
      <c r="H55" s="180" t="str">
        <f>IFERROR(__xludf.DUMMYFUNCTION("""COMPUTED_VALUE"""),"Continuado")</f>
        <v>Continuado</v>
      </c>
      <c r="I55" s="180" t="str">
        <f>IFERROR(__xludf.DUMMYFUNCTION("""COMPUTED_VALUE"""),"SETIC")</f>
        <v>SETIC</v>
      </c>
      <c r="J55" s="180" t="str">
        <f>IFERROR(__xludf.DUMMYFUNCTION("""COMPUTED_VALUE"""),"SETIC")</f>
        <v>SETIC</v>
      </c>
      <c r="K55" s="180" t="str">
        <f>IFERROR(__xludf.DUMMYFUNCTION("""COMPUTED_VALUE"""),"GND3")</f>
        <v>GND3</v>
      </c>
      <c r="L55" s="231">
        <f>IFERROR(__xludf.DUMMYFUNCTION("""COMPUTED_VALUE"""),0.0)</f>
        <v>0</v>
      </c>
      <c r="M55" s="232">
        <f>IFERROR(__xludf.DUMMYFUNCTION("""COMPUTED_VALUE"""),3.3904019E7)</f>
        <v>33904019</v>
      </c>
      <c r="N55" s="232">
        <f>IFERROR(__xludf.DUMMYFUNCTION("""COMPUTED_VALUE"""),0.0)</f>
        <v>0</v>
      </c>
      <c r="O55" s="230">
        <f>IFERROR(__xludf.DUMMYFUNCTION("""COMPUTED_VALUE"""),168105.0)</f>
        <v>168105</v>
      </c>
      <c r="P55" s="180" t="str">
        <f>IFERROR(__xludf.DUMMYFUNCTION("""COMPUTED_VALUE"""),"Não")</f>
        <v>Não</v>
      </c>
      <c r="Q55" s="180" t="str">
        <f>IFERROR(__xludf.DUMMYFUNCTION("""COMPUTED_VALUE"""),"1 - Imprescindível")</f>
        <v>1 - Imprescindível</v>
      </c>
      <c r="R55" s="180" t="str">
        <f>IFERROR(__xludf.DUMMYFUNCTION("""COMPUTED_VALUE"""),"1 - Selecionado")</f>
        <v>1 - Selecionado</v>
      </c>
      <c r="S55" s="180"/>
      <c r="T55" s="180" t="str">
        <f>IFERROR(__xludf.DUMMYFUNCTION("""COMPUTED_VALUE"""),"Juntada com o item 15382, cancelado, que será adiado para contrtação conjunta")</f>
        <v>Juntada com o item 15382, cancelado, que será adiado para contrtação conjunta</v>
      </c>
      <c r="U55" s="180" t="str">
        <f>IFERROR(__xludf.DUMMYFUNCTION("""COMPUTED_VALUE"""),"01 - Não oficializado")</f>
        <v>01 - Não oficializado</v>
      </c>
      <c r="V55" s="180"/>
      <c r="W55" s="180"/>
      <c r="X55" s="180" t="str">
        <f>IFERROR(__xludf.DUMMYFUNCTION("""COMPUTED_VALUE"""),"SEINFRA")</f>
        <v>SEINFRA</v>
      </c>
      <c r="Y55" s="180" t="str">
        <f>IFERROR(__xludf.DUMMYFUNCTION("""COMPUTED_VALUE"""),"ARP_PARTICIPACAO")</f>
        <v>ARP_PARTICIPACAO</v>
      </c>
      <c r="Z55" s="180" t="str">
        <f>IFERROR(__xludf.DUMMYFUNCTION("""COMPUTED_VALUE"""),"RP")</f>
        <v>RP</v>
      </c>
      <c r="AA55" s="180"/>
      <c r="AB55" s="230"/>
      <c r="AC55" s="180" t="str">
        <f>IFERROR(__xludf.DUMMYFUNCTION("""COMPUTED_VALUE"""),"#N/A")</f>
        <v>#N/A</v>
      </c>
      <c r="AD55" s="189">
        <f>IFERROR(__xludf.DUMMYFUNCTION("""COMPUTED_VALUE"""),44863.0)</f>
        <v>44863</v>
      </c>
      <c r="AE55" s="189">
        <f>IFERROR(__xludf.DUMMYFUNCTION("""COMPUTED_VALUE"""),44908.0)</f>
        <v>44908</v>
      </c>
      <c r="AF55" s="180" t="str">
        <f>IFERROR(__xludf.DUMMYFUNCTION("""COMPUTED_VALUE"""),"Anderson Bastos
Diretor do SEINFRA")</f>
        <v>Anderson Bastos
Diretor do SEINFRA</v>
      </c>
      <c r="AG55" s="233">
        <f>IFERROR(__xludf.DUMMYFUNCTION("""COMPUTED_VALUE"""),2000.0)</f>
        <v>2000</v>
      </c>
      <c r="AH55" s="190">
        <f>IFERROR(__xludf.DUMMYFUNCTION("""COMPUTED_VALUE"""),27.46)</f>
        <v>27.46</v>
      </c>
      <c r="AI55" s="180" t="str">
        <f>IFERROR(__xludf.DUMMYFUNCTION("""COMPUTED_VALUE"""),"Não")</f>
        <v>Não</v>
      </c>
      <c r="AJ55" s="190"/>
      <c r="AK55" s="180"/>
      <c r="AL55" s="180"/>
      <c r="AM55" s="180"/>
      <c r="AN55" s="190">
        <f>IFERROR(__xludf.DUMMYFUNCTION("""COMPUTED_VALUE"""),39920.0)</f>
        <v>39920</v>
      </c>
      <c r="AO55" s="190">
        <f>IFERROR(__xludf.DUMMYFUNCTION("""COMPUTED_VALUE"""),15000.0)</f>
        <v>15000</v>
      </c>
      <c r="AP55" s="180"/>
      <c r="AQ55" s="190">
        <f>IFERROR(__xludf.DUMMYFUNCTION("""COMPUTED_VALUE"""),0.0)</f>
        <v>0</v>
      </c>
      <c r="AR55" s="190">
        <f>IFERROR(__xludf.DUMMYFUNCTION("""COMPUTED_VALUE"""),54920.0)</f>
        <v>54920</v>
      </c>
      <c r="AS55" s="180"/>
      <c r="AT55" s="190">
        <f>IFERROR(__xludf.DUMMYFUNCTION("""COMPUTED_VALUE"""),54920.0)</f>
        <v>54920</v>
      </c>
      <c r="AU55" s="190"/>
      <c r="AV55" s="232"/>
      <c r="AW55" s="190">
        <f>IFERROR(__xludf.DUMMYFUNCTION("""COMPUTED_VALUE"""),0.0)</f>
        <v>0</v>
      </c>
      <c r="AX55" s="190">
        <f>IFERROR(__xludf.DUMMYFUNCTION("""COMPUTED_VALUE"""),0.0)</f>
        <v>0</v>
      </c>
      <c r="AY55" s="190">
        <f>IFERROR(__xludf.DUMMYFUNCTION("""COMPUTED_VALUE"""),0.0)</f>
        <v>0</v>
      </c>
      <c r="AZ55" s="190">
        <f>IFERROR(__xludf.DUMMYFUNCTION("""COMPUTED_VALUE"""),0.0)</f>
        <v>0</v>
      </c>
      <c r="BA55" s="190">
        <f>IFERROR(__xludf.DUMMYFUNCTION("""COMPUTED_VALUE"""),0.0)</f>
        <v>0</v>
      </c>
      <c r="BB55" s="180"/>
      <c r="BC55" s="232"/>
      <c r="BD55" s="180" t="str">
        <f>IFERROR(__xludf.DUMMYFUNCTION("""COMPUTED_VALUE"""),"Sim")</f>
        <v>Sim</v>
      </c>
      <c r="BE55" s="180"/>
      <c r="BF55" s="180"/>
      <c r="BG55" s="180"/>
      <c r="BH55" s="233">
        <f>IFERROR(__xludf.DUMMYFUNCTION("""COMPUTED_VALUE"""),300000.0)</f>
        <v>300000</v>
      </c>
      <c r="BI55" s="180" t="str">
        <f>IFERROR(__xludf.DUMMYFUNCTION("""COMPUTED_VALUE"""),"Alta")</f>
        <v>Alta</v>
      </c>
      <c r="BJ55" s="180"/>
      <c r="BK55" s="180" t="str">
        <f>IFERROR(__xludf.DUMMYFUNCTION("""COMPUTED_VALUE"""),"ano")</f>
        <v>ano</v>
      </c>
      <c r="BL55" s="180"/>
      <c r="BM55" s="180" t="str">
        <f>IFERROR(__xludf.DUMMYFUNCTION("""COMPUTED_VALUE"""),"ARP_PARTICIPACAO")</f>
        <v>ARP_PARTICIPACAO</v>
      </c>
      <c r="BN55" s="189"/>
      <c r="BO55" s="189"/>
      <c r="BP55" s="190"/>
      <c r="BQ55" s="190"/>
      <c r="BR55" s="190"/>
      <c r="BS55" s="190">
        <f>IFERROR(__xludf.DUMMYFUNCTION("""COMPUTED_VALUE"""),54920.0)</f>
        <v>54920</v>
      </c>
      <c r="BT55" s="190">
        <f>IFERROR(__xludf.DUMMYFUNCTION("""COMPUTED_VALUE"""),15000.0)</f>
        <v>15000</v>
      </c>
      <c r="BU55" s="180" t="str">
        <f>IFERROR(__xludf.DUMMYFUNCTION("""COMPUTED_VALUE"""),"Computação em nuvem - software como serviço (SAAS)")</f>
        <v>Computação em nuvem - software como serviço (SAAS)</v>
      </c>
      <c r="BV55" s="180"/>
      <c r="BW55" s="180"/>
      <c r="BX55" s="180"/>
      <c r="BY55" s="180"/>
      <c r="BZ55" s="189"/>
      <c r="CA55" s="180"/>
      <c r="CB55" s="180" t="str">
        <f>IFERROR(__xludf.DUMMYFUNCTION("""COMPUTED_VALUE"""),"Apreciação de Causas na Justiça do Trabalho")</f>
        <v>Apreciação de Causas na Justiça do Trabalho</v>
      </c>
      <c r="CC55" s="180" t="str">
        <f>IFERROR(__xludf.DUMMYFUNCTION("""COMPUTED_VALUE""")," - ")</f>
        <v> - </v>
      </c>
      <c r="CD55" s="180" t="str">
        <f>IFERROR(__xludf.DUMMYFUNCTION("""COMPUTED_VALUE"""),"SERVIÇOS DE TECNOLOGIA DA INFORMAÇÃO E COMUNICAÇÃO - TIC")</f>
        <v>SERVIÇOS DE TECNOLOGIA DA INFORMAÇÃO E COMUNICAÇÃO - TIC</v>
      </c>
      <c r="CE55" s="180"/>
      <c r="CF55" s="180" t="str">
        <f>IFERROR(__xludf.DUMMYFUNCTION("""COMPUTED_VALUE"""),"COMPUTAÇÃO EM NUVEM - SOFTWARE COMO SERVIÇO (SAAS)")</f>
        <v>COMPUTAÇÃO EM NUVEM - SOFTWARE COMO SERVIÇO (SAAS)</v>
      </c>
      <c r="CG55" s="189"/>
      <c r="CH55" s="189">
        <f>IFERROR(__xludf.DUMMYFUNCTION("""COMPUTED_VALUE"""),45273.0)</f>
        <v>45273</v>
      </c>
      <c r="CI55" s="180" t="str">
        <f>IFERROR(__xludf.DUMMYFUNCTION("""COMPUTED_VALUE"""),"ARP_PARTICIPACAO")</f>
        <v>ARP_PARTICIPACAO</v>
      </c>
      <c r="CJ55" s="190"/>
      <c r="CK55" s="189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</row>
    <row r="56">
      <c r="A56" s="230">
        <f>IFERROR(__xludf.DUMMYFUNCTION("""COMPUTED_VALUE"""),15384.0)</f>
        <v>15384</v>
      </c>
      <c r="B56" s="230">
        <f>IFERROR(__xludf.DUMMYFUNCTION("""COMPUTED_VALUE"""),15364.0)</f>
        <v>15364</v>
      </c>
      <c r="C56" s="180" t="str">
        <f>IFERROR(__xludf.DUMMYFUNCTION("""COMPUTED_VALUE"""),"SALA COFRE 2022 - Contratação de manutenção de sala cofre, que abriga o Datacenter principal, onde são armazenados todos os dados e os equipamentos de processamento de dados corporativos. ")</f>
        <v>SALA COFRE 2022 - Contratação de manutenção de sala cofre, que abriga o Datacenter principal, onde são armazenados todos os dados e os equipamentos de processamento de dados corporativos. </v>
      </c>
      <c r="D56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56" s="180" t="str">
        <f>IFERROR(__xludf.DUMMYFUNCTION("""COMPUTED_VALUE"""),"EJ08 - PROMOVER SERVIÇOS DE INFRAESTRUTURA E SOLUÇÕES CORPORATIVAS")</f>
        <v>EJ08 - PROMOVER SERVIÇOS DE INFRAESTRUTURA E SOLUÇÕES CORPORATIVAS</v>
      </c>
      <c r="F56" s="180" t="str">
        <f>IFERROR(__xludf.DUMMYFUNCTION("""COMPUTED_VALUE"""),"Contratação de serviços para o suporte à infraestrutura tecnológica")</f>
        <v>Contratação de serviços para o suporte à infraestrutura tecnológica</v>
      </c>
      <c r="G56" s="180" t="str">
        <f>IFERROR(__xludf.DUMMYFUNCTION("""COMPUTED_VALUE"""),"(ID PAAC 15384) SALA COFRE 2022 - Contratação de manutenção de sala cofre, que abriga o Datacenter principal, onde são armazenados todos os dados e os equipamentos de processamento de dados corporativos. ")</f>
        <v>(ID PAAC 15384) SALA COFRE 2022 - Contratação de manutenção de sala cofre, que abriga o Datacenter principal, onde são armazenados todos os dados e os equipamentos de processamento de dados corporativos. </v>
      </c>
      <c r="H56" s="180" t="str">
        <f>IFERROR(__xludf.DUMMYFUNCTION("""COMPUTED_VALUE"""),"Continuado")</f>
        <v>Continuado</v>
      </c>
      <c r="I56" s="180" t="str">
        <f>IFERROR(__xludf.DUMMYFUNCTION("""COMPUTED_VALUE"""),"SETIC")</f>
        <v>SETIC</v>
      </c>
      <c r="J56" s="180" t="str">
        <f>IFERROR(__xludf.DUMMYFUNCTION("""COMPUTED_VALUE"""),"SETIC")</f>
        <v>SETIC</v>
      </c>
      <c r="K56" s="180" t="str">
        <f>IFERROR(__xludf.DUMMYFUNCTION("""COMPUTED_VALUE"""),"GND3")</f>
        <v>GND3</v>
      </c>
      <c r="L56" s="231">
        <f>IFERROR(__xludf.DUMMYFUNCTION("""COMPUTED_VALUE"""),0.0)</f>
        <v>0</v>
      </c>
      <c r="M56" s="232">
        <f>IFERROR(__xludf.DUMMYFUNCTION("""COMPUTED_VALUE"""),3.3904011E7)</f>
        <v>33904011</v>
      </c>
      <c r="N56" s="232">
        <f>IFERROR(__xludf.DUMMYFUNCTION("""COMPUTED_VALUE"""),0.0)</f>
        <v>0</v>
      </c>
      <c r="O56" s="230">
        <f>IFERROR(__xludf.DUMMYFUNCTION("""COMPUTED_VALUE"""),168107.0)</f>
        <v>168107</v>
      </c>
      <c r="P56" s="180" t="str">
        <f>IFERROR(__xludf.DUMMYFUNCTION("""COMPUTED_VALUE"""),"Sim")</f>
        <v>Sim</v>
      </c>
      <c r="Q56" s="180" t="str">
        <f>IFERROR(__xludf.DUMMYFUNCTION("""COMPUTED_VALUE"""),"1 - Imprescindível")</f>
        <v>1 - Imprescindível</v>
      </c>
      <c r="R56" s="180" t="str">
        <f>IFERROR(__xludf.DUMMYFUNCTION("""COMPUTED_VALUE"""),"1 - Selecionado")</f>
        <v>1 - Selecionado</v>
      </c>
      <c r="S56" s="180"/>
      <c r="T56" s="180" t="str">
        <f>IFERROR(__xludf.DUMMYFUNCTION("""COMPUTED_VALUE"""),"substitui o 15364, que substituiu o 15059, após alteração na razão social e CNPJ em 2021")</f>
        <v>substitui o 15364, que substituiu o 15059, após alteração na razão social e CNPJ em 2021</v>
      </c>
      <c r="U56" s="180" t="str">
        <f>IFERROR(__xludf.DUMMYFUNCTION("""COMPUTED_VALUE"""),"02 - DOD emitido")</f>
        <v>02 - DOD emitido</v>
      </c>
      <c r="V56" s="180" t="str">
        <f>IFERROR(__xludf.DUMMYFUNCTION("""COMPUTED_VALUE"""),"2207/2022")</f>
        <v>2207/2022</v>
      </c>
      <c r="W56" s="180"/>
      <c r="X56" s="180" t="str">
        <f>IFERROR(__xludf.DUMMYFUNCTION("""COMPUTED_VALUE"""),"SEINFRA")</f>
        <v>SEINFRA</v>
      </c>
      <c r="Y56" s="180" t="str">
        <f>IFERROR(__xludf.DUMMYFUNCTION("""COMPUTED_VALUE"""),"PRE")</f>
        <v>PRE</v>
      </c>
      <c r="Z56" s="180" t="str">
        <f>IFERROR(__xludf.DUMMYFUNCTION("""COMPUTED_VALUE"""),"PRE")</f>
        <v>PRE</v>
      </c>
      <c r="AA56" s="180"/>
      <c r="AB56" s="230"/>
      <c r="AC56" s="180" t="str">
        <f>IFERROR(__xludf.DUMMYFUNCTION("""COMPUTED_VALUE"""),"#N/A")</f>
        <v>#N/A</v>
      </c>
      <c r="AD56" s="189">
        <f>IFERROR(__xludf.DUMMYFUNCTION("""COMPUTED_VALUE"""),44735.0)</f>
        <v>44735</v>
      </c>
      <c r="AE56" s="189">
        <f>IFERROR(__xludf.DUMMYFUNCTION("""COMPUTED_VALUE"""),44845.0)</f>
        <v>44845</v>
      </c>
      <c r="AF56" s="180" t="str">
        <f>IFERROR(__xludf.DUMMYFUNCTION("""COMPUTED_VALUE"""),"Anderson Bastos
Diretor do SEINFRA")</f>
        <v>Anderson Bastos
Diretor do SEINFRA</v>
      </c>
      <c r="AG56" s="233">
        <f>IFERROR(__xludf.DUMMYFUNCTION("""COMPUTED_VALUE"""),1.0)</f>
        <v>1</v>
      </c>
      <c r="AH56" s="190">
        <f>IFERROR(__xludf.DUMMYFUNCTION("""COMPUTED_VALUE"""),68091.65333333332)</f>
        <v>68091.65333</v>
      </c>
      <c r="AI56" s="180" t="str">
        <f>IFERROR(__xludf.DUMMYFUNCTION("""COMPUTED_VALUE"""),"Não")</f>
        <v>Não</v>
      </c>
      <c r="AJ56" s="190"/>
      <c r="AK56" s="180"/>
      <c r="AL56" s="180"/>
      <c r="AM56" s="180"/>
      <c r="AN56" s="190">
        <f>IFERROR(__xludf.DUMMYFUNCTION("""COMPUTED_VALUE"""),11798.153333333321)</f>
        <v>11798.15333</v>
      </c>
      <c r="AO56" s="190">
        <f>IFERROR(__xludf.DUMMYFUNCTION("""COMPUTED_VALUE"""),56293.5)</f>
        <v>56293.5</v>
      </c>
      <c r="AP56" s="180"/>
      <c r="AQ56" s="190"/>
      <c r="AR56" s="190">
        <f>IFERROR(__xludf.DUMMYFUNCTION("""COMPUTED_VALUE"""),68091.65333333332)</f>
        <v>68091.65333</v>
      </c>
      <c r="AS56" s="180"/>
      <c r="AT56" s="190">
        <f>IFERROR(__xludf.DUMMYFUNCTION("""COMPUTED_VALUE"""),68091.65333333332)</f>
        <v>68091.65333</v>
      </c>
      <c r="AU56" s="190"/>
      <c r="AV56" s="232"/>
      <c r="AW56" s="190">
        <f>IFERROR(__xludf.DUMMYFUNCTION("""COMPUTED_VALUE"""),0.0)</f>
        <v>0</v>
      </c>
      <c r="AX56" s="190">
        <f>IFERROR(__xludf.DUMMYFUNCTION("""COMPUTED_VALUE"""),0.0)</f>
        <v>0</v>
      </c>
      <c r="AY56" s="190">
        <f>IFERROR(__xludf.DUMMYFUNCTION("""COMPUTED_VALUE"""),0.0)</f>
        <v>0</v>
      </c>
      <c r="AZ56" s="190">
        <f>IFERROR(__xludf.DUMMYFUNCTION("""COMPUTED_VALUE"""),0.0)</f>
        <v>0</v>
      </c>
      <c r="BA56" s="190">
        <f>IFERROR(__xludf.DUMMYFUNCTION("""COMPUTED_VALUE"""),0.0)</f>
        <v>0</v>
      </c>
      <c r="BB56" s="180"/>
      <c r="BC56" s="232">
        <f>IFERROR(__xludf.DUMMYFUNCTION("""COMPUTED_VALUE"""),1.51132022236921E14)</f>
        <v>151132022236921</v>
      </c>
      <c r="BD56" s="180" t="str">
        <f>IFERROR(__xludf.DUMMYFUNCTION("""COMPUTED_VALUE"""),"Sim")</f>
        <v>Sim</v>
      </c>
      <c r="BE56" s="180"/>
      <c r="BF56" s="180"/>
      <c r="BG56" s="180"/>
      <c r="BH56" s="233">
        <f>IFERROR(__xludf.DUMMYFUNCTION("""COMPUTED_VALUE"""),300000.0)</f>
        <v>300000</v>
      </c>
      <c r="BI56" s="180" t="str">
        <f>IFERROR(__xludf.DUMMYFUNCTION("""COMPUTED_VALUE"""),"Alta")</f>
        <v>Alta</v>
      </c>
      <c r="BJ56" s="180"/>
      <c r="BK56" s="180" t="str">
        <f>IFERROR(__xludf.DUMMYFUNCTION("""COMPUTED_VALUE"""),"ano")</f>
        <v>ano</v>
      </c>
      <c r="BL56" s="180"/>
      <c r="BM56" s="180" t="str">
        <f>IFERROR(__xludf.DUMMYFUNCTION("""COMPUTED_VALUE"""),"PRE")</f>
        <v>PRE</v>
      </c>
      <c r="BN56" s="189"/>
      <c r="BO56" s="189"/>
      <c r="BP56" s="190"/>
      <c r="BQ56" s="190"/>
      <c r="BR56" s="190"/>
      <c r="BS56" s="190">
        <f>IFERROR(__xludf.DUMMYFUNCTION("""COMPUTED_VALUE"""),68091.65333333332)</f>
        <v>68091.65333</v>
      </c>
      <c r="BT56" s="190">
        <f>IFERROR(__xludf.DUMMYFUNCTION("""COMPUTED_VALUE"""),306412.44)</f>
        <v>306412.44</v>
      </c>
      <c r="BU56" s="180" t="str">
        <f>IFERROR(__xludf.DUMMYFUNCTION("""COMPUTED_VALUE"""),"Suporte de infraestrutura de TIC")</f>
        <v>Suporte de infraestrutura de TIC</v>
      </c>
      <c r="BV56" s="180"/>
      <c r="BW56" s="180"/>
      <c r="BX56" s="180"/>
      <c r="BY56" s="180"/>
      <c r="BZ56" s="189"/>
      <c r="CA56" s="180"/>
      <c r="CB56" s="180" t="str">
        <f>IFERROR(__xludf.DUMMYFUNCTION("""COMPUTED_VALUE"""),"Manutenção e Gestão dos Serviços de Tecnologia da Informação")</f>
        <v>Manutenção e Gestão dos Serviços de Tecnologia da Informação</v>
      </c>
      <c r="CC56" s="180" t="str">
        <f>IFERROR(__xludf.DUMMYFUNCTION("""COMPUTED_VALUE""")," - ")</f>
        <v> - </v>
      </c>
      <c r="CD56" s="180" t="str">
        <f>IFERROR(__xludf.DUMMYFUNCTION("""COMPUTED_VALUE"""),"SERVIÇOS DE TECNOLOGIA DA INFORMAÇÃO E COMUNICAÇÃO - TIC")</f>
        <v>SERVIÇOS DE TECNOLOGIA DA INFORMAÇÃO E COMUNICAÇÃO - TIC</v>
      </c>
      <c r="CE56" s="180"/>
      <c r="CF56" s="180" t="str">
        <f>IFERROR(__xludf.DUMMYFUNCTION("""COMPUTED_VALUE"""),"SUPORTE DE INFRAESTRUTURA DE TIC")</f>
        <v>SUPORTE DE INFRAESTRUTURA DE TIC</v>
      </c>
      <c r="CG56" s="189">
        <f>IFERROR(__xludf.DUMMYFUNCTION("""COMPUTED_VALUE"""),45098.0)</f>
        <v>45098</v>
      </c>
      <c r="CH56" s="189">
        <f>IFERROR(__xludf.DUMMYFUNCTION("""COMPUTED_VALUE"""),45210.0)</f>
        <v>45210</v>
      </c>
      <c r="CI56" s="180" t="str">
        <f>IFERROR(__xludf.DUMMYFUNCTION("""COMPUTED_VALUE"""),"PRE")</f>
        <v>PRE</v>
      </c>
      <c r="CJ56" s="190"/>
      <c r="CK56" s="189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</row>
    <row r="57">
      <c r="A57" s="230">
        <f>IFERROR(__xludf.DUMMYFUNCTION("""COMPUTED_VALUE"""),15386.0)</f>
        <v>15386</v>
      </c>
      <c r="B57" s="230">
        <f>IFERROR(__xludf.DUMMYFUNCTION("""COMPUTED_VALUE"""),99999.0)</f>
        <v>99999</v>
      </c>
      <c r="C57" s="180" t="str">
        <f>IFERROR(__xludf.DUMMYFUNCTION("""COMPUTED_VALUE"""),"Manutenção das Licenças do Software ADOBE Photoshop, usados pela SECOM. As referidas licenças possuem prazo de vigência de 12 meses.")</f>
        <v>Manutenção das Licenças do Software ADOBE Photoshop, usados pela SECOM. As referidas licenças possuem prazo de vigência de 12 meses.</v>
      </c>
      <c r="D57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57" s="180" t="str">
        <f>IFERROR(__xludf.DUMMYFUNCTION("""COMPUTED_VALUE"""),"EJ05 - APERFEIÇOAR A GOVERNANÇA E A GESTÃO")</f>
        <v>EJ05 - APERFEIÇOAR A GOVERNANÇA E A GESTÃO</v>
      </c>
      <c r="F57" s="180" t="str">
        <f>IFERROR(__xludf.DUMMYFUNCTION("""COMPUTED_VALUE"""),"Contratação de serviços de suporte à microinformática")</f>
        <v>Contratação de serviços de suporte à microinformática</v>
      </c>
      <c r="G57" s="180" t="str">
        <f>IFERROR(__xludf.DUMMYFUNCTION("""COMPUTED_VALUE"""),"(ID PAAC 15386) Manutenção das Licenças do Software ADOBE Photoshop, usados pela SECOM. As referidas licenças possuem prazo de vigência de 12 meses.")</f>
        <v>(ID PAAC 15386) Manutenção das Licenças do Software ADOBE Photoshop, usados pela SECOM. As referidas licenças possuem prazo de vigência de 12 meses.</v>
      </c>
      <c r="H57" s="180" t="str">
        <f>IFERROR(__xludf.DUMMYFUNCTION("""COMPUTED_VALUE"""),"Continuado")</f>
        <v>Continuado</v>
      </c>
      <c r="I57" s="180" t="str">
        <f>IFERROR(__xludf.DUMMYFUNCTION("""COMPUTED_VALUE"""),"SECOM")</f>
        <v>SECOM</v>
      </c>
      <c r="J57" s="180" t="str">
        <f>IFERROR(__xludf.DUMMYFUNCTION("""COMPUTED_VALUE"""),"SETIC")</f>
        <v>SETIC</v>
      </c>
      <c r="K57" s="180" t="str">
        <f>IFERROR(__xludf.DUMMYFUNCTION("""COMPUTED_VALUE"""),"GND3")</f>
        <v>GND3</v>
      </c>
      <c r="L57" s="231">
        <f>IFERROR(__xludf.DUMMYFUNCTION("""COMPUTED_VALUE"""),0.0)</f>
        <v>0</v>
      </c>
      <c r="M57" s="232">
        <f>IFERROR(__xludf.DUMMYFUNCTION("""COMPUTED_VALUE"""),3.3904006E7)</f>
        <v>33904006</v>
      </c>
      <c r="N57" s="232">
        <f>IFERROR(__xludf.DUMMYFUNCTION("""COMPUTED_VALUE"""),0.0)</f>
        <v>0</v>
      </c>
      <c r="O57" s="230">
        <f>IFERROR(__xludf.DUMMYFUNCTION("""COMPUTED_VALUE"""),168105.0)</f>
        <v>168105</v>
      </c>
      <c r="P57" s="180" t="str">
        <f>IFERROR(__xludf.DUMMYFUNCTION("""COMPUTED_VALUE"""),"Não")</f>
        <v>Não</v>
      </c>
      <c r="Q57" s="180" t="str">
        <f>IFERROR(__xludf.DUMMYFUNCTION("""COMPUTED_VALUE"""),"2 - Importante")</f>
        <v>2 - Importante</v>
      </c>
      <c r="R57" s="180" t="str">
        <f>IFERROR(__xludf.DUMMYFUNCTION("""COMPUTED_VALUE"""),"4 - Cancelado")</f>
        <v>4 - Cancelado</v>
      </c>
      <c r="S57" s="180"/>
      <c r="T57" s="180"/>
      <c r="U57" s="180" t="str">
        <f>IFERROR(__xludf.DUMMYFUNCTION("""COMPUTED_VALUE"""),"02 - DOD emitido")</f>
        <v>02 - DOD emitido</v>
      </c>
      <c r="V57" s="180" t="str">
        <f>IFERROR(__xludf.DUMMYFUNCTION("""COMPUTED_VALUE"""),"12180/2021")</f>
        <v>12180/2021</v>
      </c>
      <c r="W57" s="180"/>
      <c r="X57" s="180" t="str">
        <f>IFERROR(__xludf.DUMMYFUNCTION("""COMPUTED_VALUE"""),"SESUP")</f>
        <v>SESUP</v>
      </c>
      <c r="Y57" s="180" t="str">
        <f>IFERROR(__xludf.DUMMYFUNCTION("""COMPUTED_VALUE"""),"DISPENSA_PELO_VALOR")</f>
        <v>DISPENSA_PELO_VALOR</v>
      </c>
      <c r="Z57" s="180" t="str">
        <f>IFERROR(__xludf.DUMMYFUNCTION("""COMPUTED_VALUE"""),"CD")</f>
        <v>CD</v>
      </c>
      <c r="AA57" s="180"/>
      <c r="AB57" s="230"/>
      <c r="AC57" s="180" t="str">
        <f>IFERROR(__xludf.DUMMYFUNCTION("""COMPUTED_VALUE"""),"#N/A")</f>
        <v>#N/A</v>
      </c>
      <c r="AD57" s="189">
        <f>IFERROR(__xludf.DUMMYFUNCTION("""COMPUTED_VALUE"""),44583.0)</f>
        <v>44583</v>
      </c>
      <c r="AE57" s="189">
        <f>IFERROR(__xludf.DUMMYFUNCTION("""COMPUTED_VALUE"""),44593.0)</f>
        <v>44593</v>
      </c>
      <c r="AF57" s="180" t="str">
        <f>IFERROR(__xludf.DUMMYFUNCTION("""COMPUTED_VALUE"""),"Márcio César Jacinto
Diretor do SESUP - Substituto")</f>
        <v>Márcio César Jacinto
Diretor do SESUP - Substituto</v>
      </c>
      <c r="AG57" s="233">
        <f>IFERROR(__xludf.DUMMYFUNCTION("""COMPUTED_VALUE"""),1.0)</f>
        <v>1</v>
      </c>
      <c r="AH57" s="190">
        <f>IFERROR(__xludf.DUMMYFUNCTION("""COMPUTED_VALUE"""),0.0)</f>
        <v>0</v>
      </c>
      <c r="AI57" s="180"/>
      <c r="AJ57" s="190"/>
      <c r="AK57" s="180"/>
      <c r="AL57" s="180"/>
      <c r="AM57" s="180"/>
      <c r="AN57" s="190">
        <f>IFERROR(__xludf.DUMMYFUNCTION("""COMPUTED_VALUE"""),0.0)</f>
        <v>0</v>
      </c>
      <c r="AO57" s="190">
        <f>IFERROR(__xludf.DUMMYFUNCTION("""COMPUTED_VALUE"""),0.0)</f>
        <v>0</v>
      </c>
      <c r="AP57" s="180"/>
      <c r="AQ57" s="190">
        <f>IFERROR(__xludf.DUMMYFUNCTION("""COMPUTED_VALUE"""),0.0)</f>
        <v>0</v>
      </c>
      <c r="AR57" s="190">
        <f>IFERROR(__xludf.DUMMYFUNCTION("""COMPUTED_VALUE"""),18000.0)</f>
        <v>18000</v>
      </c>
      <c r="AS57" s="180"/>
      <c r="AT57" s="190">
        <f>IFERROR(__xludf.DUMMYFUNCTION("""COMPUTED_VALUE"""),0.0)</f>
        <v>0</v>
      </c>
      <c r="AU57" s="190"/>
      <c r="AV57" s="232"/>
      <c r="AW57" s="190">
        <f>IFERROR(__xludf.DUMMYFUNCTION("""COMPUTED_VALUE"""),0.0)</f>
        <v>0</v>
      </c>
      <c r="AX57" s="190">
        <f>IFERROR(__xludf.DUMMYFUNCTION("""COMPUTED_VALUE"""),0.0)</f>
        <v>0</v>
      </c>
      <c r="AY57" s="190">
        <f>IFERROR(__xludf.DUMMYFUNCTION("""COMPUTED_VALUE"""),0.0)</f>
        <v>0</v>
      </c>
      <c r="AZ57" s="190">
        <f>IFERROR(__xludf.DUMMYFUNCTION("""COMPUTED_VALUE"""),0.0)</f>
        <v>0</v>
      </c>
      <c r="BA57" s="190">
        <f>IFERROR(__xludf.DUMMYFUNCTION("""COMPUTED_VALUE"""),0.0)</f>
        <v>0</v>
      </c>
      <c r="BB57" s="180"/>
      <c r="BC57" s="232"/>
      <c r="BD57" s="180" t="str">
        <f>IFERROR(__xludf.DUMMYFUNCTION("""COMPUTED_VALUE"""),"Não")</f>
        <v>Não</v>
      </c>
      <c r="BE57" s="180"/>
      <c r="BF57" s="180"/>
      <c r="BG57" s="180"/>
      <c r="BH57" s="233">
        <f>IFERROR(__xludf.DUMMYFUNCTION("""COMPUTED_VALUE"""),200000.0)</f>
        <v>200000</v>
      </c>
      <c r="BI57" s="180" t="str">
        <f>IFERROR(__xludf.DUMMYFUNCTION("""COMPUTED_VALUE"""),"Média")</f>
        <v>Média</v>
      </c>
      <c r="BJ57" s="180"/>
      <c r="BK57" s="180" t="str">
        <f>IFERROR(__xludf.DUMMYFUNCTION("""COMPUTED_VALUE"""),"ano")</f>
        <v>ano</v>
      </c>
      <c r="BL57" s="180"/>
      <c r="BM57" s="180" t="str">
        <f>IFERROR(__xludf.DUMMYFUNCTION("""COMPUTED_VALUE"""),"CANCELADO")</f>
        <v>CANCELADO</v>
      </c>
      <c r="BN57" s="189"/>
      <c r="BO57" s="189"/>
      <c r="BP57" s="190"/>
      <c r="BQ57" s="190"/>
      <c r="BR57" s="190"/>
      <c r="BS57" s="190">
        <f>IFERROR(__xludf.DUMMYFUNCTION("""COMPUTED_VALUE"""),0.0)</f>
        <v>0</v>
      </c>
      <c r="BT57" s="190"/>
      <c r="BU57" s="180" t="str">
        <f>IFERROR(__xludf.DUMMYFUNCTION("""COMPUTED_VALUE"""),"Locação de softwares")</f>
        <v>Locação de softwares</v>
      </c>
      <c r="BV57" s="180"/>
      <c r="BW57" s="180"/>
      <c r="BX57" s="180"/>
      <c r="BY57" s="180"/>
      <c r="BZ57" s="189"/>
      <c r="CA57" s="180"/>
      <c r="CB57" s="180" t="str">
        <f>IFERROR(__xludf.DUMMYFUNCTION("""COMPUTED_VALUE"""),"Apreciação de Causas na Justiça do Trabalho")</f>
        <v>Apreciação de Causas na Justiça do Trabalho</v>
      </c>
      <c r="CC57" s="180" t="str">
        <f>IFERROR(__xludf.DUMMYFUNCTION("""COMPUTED_VALUE""")," - ")</f>
        <v> - </v>
      </c>
      <c r="CD57" s="180" t="str">
        <f>IFERROR(__xludf.DUMMYFUNCTION("""COMPUTED_VALUE"""),"SERVIÇOS DE TECNOLOGIA DA INFORMAÇÃO E COMUNICAÇÃO - TIC")</f>
        <v>SERVIÇOS DE TECNOLOGIA DA INFORMAÇÃO E COMUNICAÇÃO - TIC</v>
      </c>
      <c r="CE57" s="180"/>
      <c r="CF57" s="180" t="str">
        <f>IFERROR(__xludf.DUMMYFUNCTION("""COMPUTED_VALUE"""),"LOCAÇÃO DE SOFTWARES")</f>
        <v>LOCAÇÃO DE SOFTWARES</v>
      </c>
      <c r="CG57" s="189"/>
      <c r="CH57" s="189">
        <f>IFERROR(__xludf.DUMMYFUNCTION("""COMPUTED_VALUE"""),44958.0)</f>
        <v>44958</v>
      </c>
      <c r="CI57" s="180" t="str">
        <f>IFERROR(__xludf.DUMMYFUNCTION("""COMPUTED_VALUE"""),"DISPENSA_PELO_VALOR")</f>
        <v>DISPENSA_PELO_VALOR</v>
      </c>
      <c r="CJ57" s="190"/>
      <c r="CK57" s="189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</row>
    <row r="58">
      <c r="A58" s="230">
        <f>IFERROR(__xludf.DUMMYFUNCTION("""COMPUTED_VALUE"""),15387.0)</f>
        <v>15387</v>
      </c>
      <c r="B58" s="230">
        <f>IFERROR(__xludf.DUMMYFUNCTION("""COMPUTED_VALUE"""),99999.0)</f>
        <v>99999</v>
      </c>
      <c r="C58" s="180" t="str">
        <f>IFERROR(__xludf.DUMMYFUNCTION("""COMPUTED_VALUE"""),"VMWARE LICENÇA - Licença perpétua do VS7-EPL-C com suporte e subscrição Basic por 5 anos (item 2 do DOD)")</f>
        <v>VMWARE LICENÇA - Licença perpétua do VS7-EPL-C com suporte e subscrição Basic por 5 anos (item 2 do DOD)</v>
      </c>
      <c r="D58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58" s="180" t="str">
        <f>IFERROR(__xludf.DUMMYFUNCTION("""COMPUTED_VALUE"""),"EJ08 - PROMOVER SERVIÇOS DE INFRAESTRUTURA E SOLUÇÕES CORPORATIVAS")</f>
        <v>EJ08 - PROMOVER SERVIÇOS DE INFRAESTRUTURA E SOLUÇÕES CORPORATIVAS</v>
      </c>
      <c r="F58" s="180" t="str">
        <f>IFERROR(__xludf.DUMMYFUNCTION("""COMPUTED_VALUE"""),"Aquisição de bens de infraestrutura tecnológica")</f>
        <v>Aquisição de bens de infraestrutura tecnológica</v>
      </c>
      <c r="G58" s="180" t="str">
        <f>IFERROR(__xludf.DUMMYFUNCTION("""COMPUTED_VALUE"""),"(ID PAAC 15387) VMWARE LICENÇA - Licença perpétua do VS7-EPL-C com suporte e subscrição Basic por 5 anos (item 2 do DOD)")</f>
        <v>(ID PAAC 15387) VMWARE LICENÇA - Licença perpétua do VS7-EPL-C com suporte e subscrição Basic por 5 anos (item 2 do DOD)</v>
      </c>
      <c r="H58" s="180" t="str">
        <f>IFERROR(__xludf.DUMMYFUNCTION("""COMPUTED_VALUE"""),"Imediato")</f>
        <v>Imediato</v>
      </c>
      <c r="I58" s="180" t="str">
        <f>IFERROR(__xludf.DUMMYFUNCTION("""COMPUTED_VALUE"""),"SETIC")</f>
        <v>SETIC</v>
      </c>
      <c r="J58" s="180" t="str">
        <f>IFERROR(__xludf.DUMMYFUNCTION("""COMPUTED_VALUE"""),"SETIC")</f>
        <v>SETIC</v>
      </c>
      <c r="K58" s="180" t="str">
        <f>IFERROR(__xludf.DUMMYFUNCTION("""COMPUTED_VALUE"""),"GND4")</f>
        <v>GND4</v>
      </c>
      <c r="L58" s="231">
        <f>IFERROR(__xludf.DUMMYFUNCTION("""COMPUTED_VALUE"""),0.0)</f>
        <v>0</v>
      </c>
      <c r="M58" s="232">
        <f>IFERROR(__xludf.DUMMYFUNCTION("""COMPUTED_VALUE"""),4.4904005E7)</f>
        <v>44904005</v>
      </c>
      <c r="N58" s="232">
        <f>IFERROR(__xludf.DUMMYFUNCTION("""COMPUTED_VALUE"""),0.0)</f>
        <v>0</v>
      </c>
      <c r="O58" s="230">
        <f>IFERROR(__xludf.DUMMYFUNCTION("""COMPUTED_VALUE"""),168107.0)</f>
        <v>168107</v>
      </c>
      <c r="P58" s="180" t="str">
        <f>IFERROR(__xludf.DUMMYFUNCTION("""COMPUTED_VALUE"""),"Sim")</f>
        <v>Sim</v>
      </c>
      <c r="Q58" s="180" t="str">
        <f>IFERROR(__xludf.DUMMYFUNCTION("""COMPUTED_VALUE"""),"1 - Imprescindível")</f>
        <v>1 - Imprescindível</v>
      </c>
      <c r="R58" s="180" t="str">
        <f>IFERROR(__xludf.DUMMYFUNCTION("""COMPUTED_VALUE"""),"1 - Selecionado")</f>
        <v>1 - Selecionado</v>
      </c>
      <c r="S58" s="180" t="str">
        <f>IFERROR(__xludf.DUMMYFUNCTION("""COMPUTED_VALUE"""),"Não entrou na POP 2022; verificar se haverá orçamento descentralizado (168107) ou se usará orçamento próprio (169105)")</f>
        <v>Não entrou na POP 2022; verificar se haverá orçamento descentralizado (168107) ou se usará orçamento próprio (169105)</v>
      </c>
      <c r="T58" s="180"/>
      <c r="U58" s="180" t="str">
        <f>IFERROR(__xludf.DUMMYFUNCTION("""COMPUTED_VALUE"""),"02 - DOD emitido")</f>
        <v>02 - DOD emitido</v>
      </c>
      <c r="V58" s="180" t="str">
        <f>IFERROR(__xludf.DUMMYFUNCTION("""COMPUTED_VALUE"""),"12634/2021")</f>
        <v>12634/2021</v>
      </c>
      <c r="W58" s="180"/>
      <c r="X58" s="180" t="str">
        <f>IFERROR(__xludf.DUMMYFUNCTION("""COMPUTED_VALUE"""),"SEINFRA")</f>
        <v>SEINFRA</v>
      </c>
      <c r="Y58" s="180" t="str">
        <f>IFERROR(__xludf.DUMMYFUNCTION("""COMPUTED_VALUE"""),"ARP_ADESAO")</f>
        <v>ARP_ADESAO</v>
      </c>
      <c r="Z58" s="180" t="str">
        <f>IFERROR(__xludf.DUMMYFUNCTION("""COMPUTED_VALUE"""),"RP")</f>
        <v>RP</v>
      </c>
      <c r="AA58" s="180"/>
      <c r="AB58" s="230"/>
      <c r="AC58" s="180" t="str">
        <f>IFERROR(__xludf.DUMMYFUNCTION("""COMPUTED_VALUE"""),"#N/A")</f>
        <v>#N/A</v>
      </c>
      <c r="AD58" s="189">
        <f>IFERROR(__xludf.DUMMYFUNCTION("""COMPUTED_VALUE"""),44575.0)</f>
        <v>44575</v>
      </c>
      <c r="AE58" s="189">
        <f>IFERROR(__xludf.DUMMYFUNCTION("""COMPUTED_VALUE"""),44635.0)</f>
        <v>44635</v>
      </c>
      <c r="AF58" s="180" t="str">
        <f>IFERROR(__xludf.DUMMYFUNCTION("""COMPUTED_VALUE"""),"Anderson Bastos
Diretor do SEINFRA")</f>
        <v>Anderson Bastos
Diretor do SEINFRA</v>
      </c>
      <c r="AG58" s="233">
        <f>IFERROR(__xludf.DUMMYFUNCTION("""COMPUTED_VALUE"""),11.0)</f>
        <v>11</v>
      </c>
      <c r="AH58" s="190">
        <f>IFERROR(__xludf.DUMMYFUNCTION("""COMPUTED_VALUE"""),35909.09090909091)</f>
        <v>35909.09091</v>
      </c>
      <c r="AI58" s="180"/>
      <c r="AJ58" s="190">
        <f>IFERROR(__xludf.DUMMYFUNCTION("""COMPUTED_VALUE"""),395000.0)</f>
        <v>395000</v>
      </c>
      <c r="AK58" s="180"/>
      <c r="AL58" s="180"/>
      <c r="AM58" s="180"/>
      <c r="AN58" s="190">
        <f>IFERROR(__xludf.DUMMYFUNCTION("""COMPUTED_VALUE"""),395000.0)</f>
        <v>395000</v>
      </c>
      <c r="AO58" s="190">
        <f>IFERROR(__xludf.DUMMYFUNCTION("""COMPUTED_VALUE"""),0.0)</f>
        <v>0</v>
      </c>
      <c r="AP58" s="180"/>
      <c r="AQ58" s="190">
        <f>IFERROR(__xludf.DUMMYFUNCTION("""COMPUTED_VALUE"""),0.0)</f>
        <v>0</v>
      </c>
      <c r="AR58" s="190">
        <f>IFERROR(__xludf.DUMMYFUNCTION("""COMPUTED_VALUE"""),395000.0)</f>
        <v>395000</v>
      </c>
      <c r="AS58" s="180"/>
      <c r="AT58" s="190">
        <f>IFERROR(__xludf.DUMMYFUNCTION("""COMPUTED_VALUE"""),395000.0)</f>
        <v>395000</v>
      </c>
      <c r="AU58" s="190"/>
      <c r="AV58" s="232"/>
      <c r="AW58" s="190">
        <f>IFERROR(__xludf.DUMMYFUNCTION("""COMPUTED_VALUE"""),0.0)</f>
        <v>0</v>
      </c>
      <c r="AX58" s="190">
        <f>IFERROR(__xludf.DUMMYFUNCTION("""COMPUTED_VALUE"""),0.0)</f>
        <v>0</v>
      </c>
      <c r="AY58" s="190">
        <f>IFERROR(__xludf.DUMMYFUNCTION("""COMPUTED_VALUE"""),0.0)</f>
        <v>0</v>
      </c>
      <c r="AZ58" s="190">
        <f>IFERROR(__xludf.DUMMYFUNCTION("""COMPUTED_VALUE"""),0.0)</f>
        <v>0</v>
      </c>
      <c r="BA58" s="190">
        <f>IFERROR(__xludf.DUMMYFUNCTION("""COMPUTED_VALUE"""),0.0)</f>
        <v>0</v>
      </c>
      <c r="BB58" s="180"/>
      <c r="BC58" s="232"/>
      <c r="BD58" s="180" t="str">
        <f>IFERROR(__xludf.DUMMYFUNCTION("""COMPUTED_VALUE"""),"Sim")</f>
        <v>Sim</v>
      </c>
      <c r="BE58" s="180"/>
      <c r="BF58" s="180"/>
      <c r="BG58" s="180"/>
      <c r="BH58" s="233">
        <f>IFERROR(__xludf.DUMMYFUNCTION("""COMPUTED_VALUE"""),300000.0)</f>
        <v>300000</v>
      </c>
      <c r="BI58" s="180" t="str">
        <f>IFERROR(__xludf.DUMMYFUNCTION("""COMPUTED_VALUE"""),"Alta")</f>
        <v>Alta</v>
      </c>
      <c r="BJ58" s="180"/>
      <c r="BK58" s="180" t="str">
        <f>IFERROR(__xludf.DUMMYFUNCTION("""COMPUTED_VALUE"""),"unidade")</f>
        <v>unidade</v>
      </c>
      <c r="BL58" s="180"/>
      <c r="BM58" s="180" t="str">
        <f>IFERROR(__xludf.DUMMYFUNCTION("""COMPUTED_VALUE"""),"ARP_ADESAO")</f>
        <v>ARP_ADESAO</v>
      </c>
      <c r="BN58" s="189"/>
      <c r="BO58" s="189"/>
      <c r="BP58" s="190"/>
      <c r="BQ58" s="190"/>
      <c r="BR58" s="190"/>
      <c r="BS58" s="190">
        <f>IFERROR(__xludf.DUMMYFUNCTION("""COMPUTED_VALUE"""),395000.0)</f>
        <v>395000</v>
      </c>
      <c r="BT58" s="190">
        <f>IFERROR(__xludf.DUMMYFUNCTION("""COMPUTED_VALUE"""),395000.0)</f>
        <v>395000</v>
      </c>
      <c r="BU58" s="180" t="str">
        <f>IFERROR(__xludf.DUMMYFUNCTION("""COMPUTED_VALUE"""),"Aquisição de software pronto")</f>
        <v>Aquisição de software pronto</v>
      </c>
      <c r="BV58" s="180"/>
      <c r="BW58" s="180"/>
      <c r="BX58" s="180"/>
      <c r="BY58" s="180"/>
      <c r="BZ58" s="189"/>
      <c r="CA58" s="180"/>
      <c r="CB58" s="180" t="str">
        <f>IFERROR(__xludf.DUMMYFUNCTION("""COMPUTED_VALUE"""),"Manutenção e Gestão dos Serviços de Tecnologia da Informação")</f>
        <v>Manutenção e Gestão dos Serviços de Tecnologia da Informação</v>
      </c>
      <c r="CC58" s="180" t="str">
        <f>IFERROR(__xludf.DUMMYFUNCTION("""COMPUTED_VALUE""")," - ")</f>
        <v> - </v>
      </c>
      <c r="CD58" s="180" t="str">
        <f>IFERROR(__xludf.DUMMYFUNCTION("""COMPUTED_VALUE"""),"SERVIÇOS DE TECNOLOGIA DA INFORMAÇÃO E COMUNICAÇÃO – PJ")</f>
        <v>SERVIÇOS DE TECNOLOGIA DA INFORMAÇÃO E COMUNICAÇÃO – PJ</v>
      </c>
      <c r="CE58" s="180"/>
      <c r="CF58" s="180" t="str">
        <f>IFERROR(__xludf.DUMMYFUNCTION("""COMPUTED_VALUE"""),"AQUISIÇÃO DE SOFTWARE PRONTO")</f>
        <v>AQUISIÇÃO DE SOFTWARE PRONTO</v>
      </c>
      <c r="CG58" s="189"/>
      <c r="CH58" s="189">
        <f>IFERROR(__xludf.DUMMYFUNCTION("""COMPUTED_VALUE"""),45000.0)</f>
        <v>45000</v>
      </c>
      <c r="CI58" s="180" t="str">
        <f>IFERROR(__xludf.DUMMYFUNCTION("""COMPUTED_VALUE"""),"ARP_ADESAO")</f>
        <v>ARP_ADESAO</v>
      </c>
      <c r="CJ58" s="190"/>
      <c r="CK58" s="189"/>
      <c r="CL58" s="180"/>
      <c r="CM58" s="180"/>
      <c r="CN58" s="180"/>
      <c r="CO58" s="180"/>
      <c r="CP58" s="180"/>
      <c r="CQ58" s="180"/>
      <c r="CR58" s="180"/>
      <c r="CS58" s="180"/>
      <c r="CT58" s="180"/>
      <c r="CU58" s="180"/>
      <c r="CV58" s="180"/>
      <c r="CW58" s="180"/>
      <c r="CX58" s="180"/>
      <c r="CY58" s="180"/>
      <c r="CZ58" s="180"/>
      <c r="DA58" s="180"/>
      <c r="DB58" s="180"/>
    </row>
    <row r="59">
      <c r="A59" s="230">
        <f>IFERROR(__xludf.DUMMYFUNCTION("""COMPUTED_VALUE"""),15388.0)</f>
        <v>15388</v>
      </c>
      <c r="B59" s="230">
        <f>IFERROR(__xludf.DUMMYFUNCTION("""COMPUTED_VALUE"""),99999.0)</f>
        <v>99999</v>
      </c>
      <c r="C59" s="180" t="str">
        <f>IFERROR(__xludf.DUMMYFUNCTION("""COMPUTED_VALUE"""),"VMWARE SUPORTE - Suporte e Subscrição Production e Basic, para o VMware vCenter Server 7 Standard for vSphere 7, por 5 anos (itens 1 e 3 do DOD)")</f>
        <v>VMWARE SUPORTE - Suporte e Subscrição Production e Basic, para o VMware vCenter Server 7 Standard for vSphere 7, por 5 anos (itens 1 e 3 do DOD)</v>
      </c>
      <c r="D59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59" s="180" t="str">
        <f>IFERROR(__xludf.DUMMYFUNCTION("""COMPUTED_VALUE"""),"EJ08 - PROMOVER SERVIÇOS DE INFRAESTRUTURA E SOLUÇÕES CORPORATIVAS")</f>
        <v>EJ08 - PROMOVER SERVIÇOS DE INFRAESTRUTURA E SOLUÇÕES CORPORATIVAS</v>
      </c>
      <c r="F59" s="180" t="str">
        <f>IFERROR(__xludf.DUMMYFUNCTION("""COMPUTED_VALUE"""),"Contratação de serviços para o suporte à infraestrutura tecnológica")</f>
        <v>Contratação de serviços para o suporte à infraestrutura tecnológica</v>
      </c>
      <c r="G59" s="180" t="str">
        <f>IFERROR(__xludf.DUMMYFUNCTION("""COMPUTED_VALUE"""),"(ID PAAC 15388) VMWARE SUPORTE - Suporte e Subscrição Production e Basic, para o VMware vCenter Server 7 Standard for vSphere 7, por 5 anos (itens 1 e 3 do DOD)")</f>
        <v>(ID PAAC 15388) VMWARE SUPORTE - Suporte e Subscrição Production e Basic, para o VMware vCenter Server 7 Standard for vSphere 7, por 5 anos (itens 1 e 3 do DOD)</v>
      </c>
      <c r="H59" s="180" t="str">
        <f>IFERROR(__xludf.DUMMYFUNCTION("""COMPUTED_VALUE"""),"Continuado")</f>
        <v>Continuado</v>
      </c>
      <c r="I59" s="180" t="str">
        <f>IFERROR(__xludf.DUMMYFUNCTION("""COMPUTED_VALUE"""),"SETIC")</f>
        <v>SETIC</v>
      </c>
      <c r="J59" s="180" t="str">
        <f>IFERROR(__xludf.DUMMYFUNCTION("""COMPUTED_VALUE"""),"SETIC")</f>
        <v>SETIC</v>
      </c>
      <c r="K59" s="180" t="str">
        <f>IFERROR(__xludf.DUMMYFUNCTION("""COMPUTED_VALUE"""),"GND3")</f>
        <v>GND3</v>
      </c>
      <c r="L59" s="231">
        <f>IFERROR(__xludf.DUMMYFUNCTION("""COMPUTED_VALUE"""),0.0)</f>
        <v>0</v>
      </c>
      <c r="M59" s="232">
        <f>IFERROR(__xludf.DUMMYFUNCTION("""COMPUTED_VALUE"""),3.3904007E7)</f>
        <v>33904007</v>
      </c>
      <c r="N59" s="232">
        <f>IFERROR(__xludf.DUMMYFUNCTION("""COMPUTED_VALUE"""),0.0)</f>
        <v>0</v>
      </c>
      <c r="O59" s="230">
        <f>IFERROR(__xludf.DUMMYFUNCTION("""COMPUTED_VALUE"""),168107.0)</f>
        <v>168107</v>
      </c>
      <c r="P59" s="180" t="str">
        <f>IFERROR(__xludf.DUMMYFUNCTION("""COMPUTED_VALUE"""),"Sim")</f>
        <v>Sim</v>
      </c>
      <c r="Q59" s="180" t="str">
        <f>IFERROR(__xludf.DUMMYFUNCTION("""COMPUTED_VALUE"""),"1 - Imprescindível")</f>
        <v>1 - Imprescindível</v>
      </c>
      <c r="R59" s="180" t="str">
        <f>IFERROR(__xludf.DUMMYFUNCTION("""COMPUTED_VALUE"""),"1 - Selecionado")</f>
        <v>1 - Selecionado</v>
      </c>
      <c r="S59" s="180" t="str">
        <f>IFERROR(__xludf.DUMMYFUNCTION("""COMPUTED_VALUE"""),"Não entrou na POP 2022; verificar se haverá orçamento descentralizado (168107) ou se usará orçamento próprio (169105)")</f>
        <v>Não entrou na POP 2022; verificar se haverá orçamento descentralizado (168107) ou se usará orçamento próprio (169105)</v>
      </c>
      <c r="T59" s="180"/>
      <c r="U59" s="180" t="str">
        <f>IFERROR(__xludf.DUMMYFUNCTION("""COMPUTED_VALUE"""),"02 - DOD emitido")</f>
        <v>02 - DOD emitido</v>
      </c>
      <c r="V59" s="180" t="str">
        <f>IFERROR(__xludf.DUMMYFUNCTION("""COMPUTED_VALUE"""),"12634/2021")</f>
        <v>12634/2021</v>
      </c>
      <c r="W59" s="180"/>
      <c r="X59" s="180" t="str">
        <f>IFERROR(__xludf.DUMMYFUNCTION("""COMPUTED_VALUE"""),"SEINFRA")</f>
        <v>SEINFRA</v>
      </c>
      <c r="Y59" s="180" t="str">
        <f>IFERROR(__xludf.DUMMYFUNCTION("""COMPUTED_VALUE"""),"ARP_ADESAO")</f>
        <v>ARP_ADESAO</v>
      </c>
      <c r="Z59" s="180" t="str">
        <f>IFERROR(__xludf.DUMMYFUNCTION("""COMPUTED_VALUE"""),"RP")</f>
        <v>RP</v>
      </c>
      <c r="AA59" s="180"/>
      <c r="AB59" s="230"/>
      <c r="AC59" s="180" t="str">
        <f>IFERROR(__xludf.DUMMYFUNCTION("""COMPUTED_VALUE"""),"#N/A")</f>
        <v>#N/A</v>
      </c>
      <c r="AD59" s="189">
        <f>IFERROR(__xludf.DUMMYFUNCTION("""COMPUTED_VALUE"""),44575.0)</f>
        <v>44575</v>
      </c>
      <c r="AE59" s="189">
        <f>IFERROR(__xludf.DUMMYFUNCTION("""COMPUTED_VALUE"""),44635.0)</f>
        <v>44635</v>
      </c>
      <c r="AF59" s="180" t="str">
        <f>IFERROR(__xludf.DUMMYFUNCTION("""COMPUTED_VALUE"""),"Anderson Bastos
Diretor do SEINFRA")</f>
        <v>Anderson Bastos
Diretor do SEINFRA</v>
      </c>
      <c r="AG59" s="233">
        <f>IFERROR(__xludf.DUMMYFUNCTION("""COMPUTED_VALUE"""),14.0)</f>
        <v>14</v>
      </c>
      <c r="AH59" s="190">
        <f>IFERROR(__xludf.DUMMYFUNCTION("""COMPUTED_VALUE"""),25154.285714285714)</f>
        <v>25154.28571</v>
      </c>
      <c r="AI59" s="180"/>
      <c r="AJ59" s="190">
        <f>IFERROR(__xludf.DUMMYFUNCTION("""COMPUTED_VALUE"""),352160.0)</f>
        <v>352160</v>
      </c>
      <c r="AK59" s="180"/>
      <c r="AL59" s="180"/>
      <c r="AM59" s="180"/>
      <c r="AN59" s="190">
        <f>IFERROR(__xludf.DUMMYFUNCTION("""COMPUTED_VALUE"""),352160.0)</f>
        <v>352160</v>
      </c>
      <c r="AO59" s="190">
        <f>IFERROR(__xludf.DUMMYFUNCTION("""COMPUTED_VALUE"""),0.0)</f>
        <v>0</v>
      </c>
      <c r="AP59" s="180"/>
      <c r="AQ59" s="190">
        <f>IFERROR(__xludf.DUMMYFUNCTION("""COMPUTED_VALUE"""),0.0)</f>
        <v>0</v>
      </c>
      <c r="AR59" s="190">
        <f>IFERROR(__xludf.DUMMYFUNCTION("""COMPUTED_VALUE"""),352160.0)</f>
        <v>352160</v>
      </c>
      <c r="AS59" s="180"/>
      <c r="AT59" s="190">
        <f>IFERROR(__xludf.DUMMYFUNCTION("""COMPUTED_VALUE"""),352160.0)</f>
        <v>352160</v>
      </c>
      <c r="AU59" s="190"/>
      <c r="AV59" s="232"/>
      <c r="AW59" s="190">
        <f>IFERROR(__xludf.DUMMYFUNCTION("""COMPUTED_VALUE"""),0.0)</f>
        <v>0</v>
      </c>
      <c r="AX59" s="190">
        <f>IFERROR(__xludf.DUMMYFUNCTION("""COMPUTED_VALUE"""),0.0)</f>
        <v>0</v>
      </c>
      <c r="AY59" s="190">
        <f>IFERROR(__xludf.DUMMYFUNCTION("""COMPUTED_VALUE"""),0.0)</f>
        <v>0</v>
      </c>
      <c r="AZ59" s="190">
        <f>IFERROR(__xludf.DUMMYFUNCTION("""COMPUTED_VALUE"""),0.0)</f>
        <v>0</v>
      </c>
      <c r="BA59" s="190">
        <f>IFERROR(__xludf.DUMMYFUNCTION("""COMPUTED_VALUE"""),0.0)</f>
        <v>0</v>
      </c>
      <c r="BB59" s="180"/>
      <c r="BC59" s="232"/>
      <c r="BD59" s="180" t="str">
        <f>IFERROR(__xludf.DUMMYFUNCTION("""COMPUTED_VALUE"""),"Sim")</f>
        <v>Sim</v>
      </c>
      <c r="BE59" s="180"/>
      <c r="BF59" s="180"/>
      <c r="BG59" s="180"/>
      <c r="BH59" s="233">
        <f>IFERROR(__xludf.DUMMYFUNCTION("""COMPUTED_VALUE"""),300000.0)</f>
        <v>300000</v>
      </c>
      <c r="BI59" s="180" t="str">
        <f>IFERROR(__xludf.DUMMYFUNCTION("""COMPUTED_VALUE"""),"Alta")</f>
        <v>Alta</v>
      </c>
      <c r="BJ59" s="180"/>
      <c r="BK59" s="180" t="str">
        <f>IFERROR(__xludf.DUMMYFUNCTION("""COMPUTED_VALUE"""),"ano")</f>
        <v>ano</v>
      </c>
      <c r="BL59" s="180"/>
      <c r="BM59" s="180" t="str">
        <f>IFERROR(__xludf.DUMMYFUNCTION("""COMPUTED_VALUE"""),"ARP_ADESAO")</f>
        <v>ARP_ADESAO</v>
      </c>
      <c r="BN59" s="189"/>
      <c r="BO59" s="189"/>
      <c r="BP59" s="190"/>
      <c r="BQ59" s="190"/>
      <c r="BR59" s="190"/>
      <c r="BS59" s="190">
        <f>IFERROR(__xludf.DUMMYFUNCTION("""COMPUTED_VALUE"""),352160.0)</f>
        <v>352160</v>
      </c>
      <c r="BT59" s="190">
        <f>IFERROR(__xludf.DUMMYFUNCTION("""COMPUTED_VALUE"""),352160.0)</f>
        <v>352160</v>
      </c>
      <c r="BU59" s="180" t="str">
        <f>IFERROR(__xludf.DUMMYFUNCTION("""COMPUTED_VALUE"""),"Manutenção corretiva/adaptativa e sustentação softwares")</f>
        <v>Manutenção corretiva/adaptativa e sustentação softwares</v>
      </c>
      <c r="BV59" s="180"/>
      <c r="BW59" s="180"/>
      <c r="BX59" s="180"/>
      <c r="BY59" s="180"/>
      <c r="BZ59" s="189"/>
      <c r="CA59" s="180"/>
      <c r="CB59" s="180" t="str">
        <f>IFERROR(__xludf.DUMMYFUNCTION("""COMPUTED_VALUE"""),"Manutenção e Gestão dos Serviços de Tecnologia da Informação")</f>
        <v>Manutenção e Gestão dos Serviços de Tecnologia da Informação</v>
      </c>
      <c r="CC59" s="180" t="str">
        <f>IFERROR(__xludf.DUMMYFUNCTION("""COMPUTED_VALUE""")," - ")</f>
        <v> - </v>
      </c>
      <c r="CD59" s="180" t="str">
        <f>IFERROR(__xludf.DUMMYFUNCTION("""COMPUTED_VALUE"""),"SERVIÇOS DE TECNOLOGIA DA INFORMAÇÃO E COMUNICAÇÃO - TIC")</f>
        <v>SERVIÇOS DE TECNOLOGIA DA INFORMAÇÃO E COMUNICAÇÃO - TIC</v>
      </c>
      <c r="CE59" s="180"/>
      <c r="CF59" s="180" t="str">
        <f>IFERROR(__xludf.DUMMYFUNCTION("""COMPUTED_VALUE"""),"MANUTENÇÃO CORRETIVA/ADAPTATIVA E SUSTENTAÇÃO SOFTWARES")</f>
        <v>MANUTENÇÃO CORRETIVA/ADAPTATIVA E SUSTENTAÇÃO SOFTWARES</v>
      </c>
      <c r="CG59" s="189"/>
      <c r="CH59" s="189">
        <f>IFERROR(__xludf.DUMMYFUNCTION("""COMPUTED_VALUE"""),45000.0)</f>
        <v>45000</v>
      </c>
      <c r="CI59" s="180" t="str">
        <f>IFERROR(__xludf.DUMMYFUNCTION("""COMPUTED_VALUE"""),"ARP_ADESAO")</f>
        <v>ARP_ADESAO</v>
      </c>
      <c r="CJ59" s="190"/>
      <c r="CK59" s="189"/>
      <c r="CL59" s="180"/>
      <c r="CM59" s="180"/>
      <c r="CN59" s="180"/>
      <c r="CO59" s="180"/>
      <c r="CP59" s="180"/>
      <c r="CQ59" s="180"/>
      <c r="CR59" s="180"/>
      <c r="CS59" s="180"/>
      <c r="CT59" s="180"/>
      <c r="CU59" s="180"/>
      <c r="CV59" s="180"/>
      <c r="CW59" s="180"/>
      <c r="CX59" s="180"/>
      <c r="CY59" s="180"/>
      <c r="CZ59" s="180"/>
      <c r="DA59" s="180"/>
      <c r="DB59" s="180"/>
    </row>
    <row r="60">
      <c r="A60" s="230">
        <f>IFERROR(__xludf.DUMMYFUNCTION("""COMPUTED_VALUE"""),15389.0)</f>
        <v>15389</v>
      </c>
      <c r="B60" s="230">
        <f>IFERROR(__xludf.DUMMYFUNCTION("""COMPUTED_VALUE"""),15018.0)</f>
        <v>15018</v>
      </c>
      <c r="C60" s="180" t="str">
        <f>IFERROR(__xludf.DUMMYFUNCTION("""COMPUTED_VALUE"""),"ASSYST - Contratação de suporte e atualização de licenças da solução de gerenciamento de serviços e registro de chamadas de TIC (2022)")</f>
        <v>ASSYST - Contratação de suporte e atualização de licenças da solução de gerenciamento de serviços e registro de chamadas de TIC (2022)</v>
      </c>
      <c r="D60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60" s="180" t="str">
        <f>IFERROR(__xludf.DUMMYFUNCTION("""COMPUTED_VALUE"""),"EJ05 - APERFEIÇOAR A GOVERNANÇA E A GESTÃO")</f>
        <v>EJ05 - APERFEIÇOAR A GOVERNANÇA E A GESTÃO</v>
      </c>
      <c r="F60" s="180" t="str">
        <f>IFERROR(__xludf.DUMMYFUNCTION("""COMPUTED_VALUE"""),"Contratação de serviços para o suporte à infraestrutura tecnológica")</f>
        <v>Contratação de serviços para o suporte à infraestrutura tecnológica</v>
      </c>
      <c r="G60" s="180" t="str">
        <f>IFERROR(__xludf.DUMMYFUNCTION("""COMPUTED_VALUE"""),"(ID PAAC 15389) ASSYST - Contratação de suporte e atualização de licenças da solução de gerenciamento de serviços e registro de chamadas de TIC (2022)")</f>
        <v>(ID PAAC 15389) ASSYST - Contratação de suporte e atualização de licenças da solução de gerenciamento de serviços e registro de chamadas de TIC (2022)</v>
      </c>
      <c r="H60" s="180" t="str">
        <f>IFERROR(__xludf.DUMMYFUNCTION("""COMPUTED_VALUE"""),"Continuado")</f>
        <v>Continuado</v>
      </c>
      <c r="I60" s="180" t="str">
        <f>IFERROR(__xludf.DUMMYFUNCTION("""COMPUTED_VALUE"""),"SETIC")</f>
        <v>SETIC</v>
      </c>
      <c r="J60" s="180" t="str">
        <f>IFERROR(__xludf.DUMMYFUNCTION("""COMPUTED_VALUE"""),"SETIC")</f>
        <v>SETIC</v>
      </c>
      <c r="K60" s="180" t="str">
        <f>IFERROR(__xludf.DUMMYFUNCTION("""COMPUTED_VALUE"""),"GND3")</f>
        <v>GND3</v>
      </c>
      <c r="L60" s="231">
        <f>IFERROR(__xludf.DUMMYFUNCTION("""COMPUTED_VALUE"""),0.0)</f>
        <v>0</v>
      </c>
      <c r="M60" s="232">
        <f>IFERROR(__xludf.DUMMYFUNCTION("""COMPUTED_VALUE"""),3.3904007E7)</f>
        <v>33904007</v>
      </c>
      <c r="N60" s="232">
        <f>IFERROR(__xludf.DUMMYFUNCTION("""COMPUTED_VALUE"""),0.0)</f>
        <v>0</v>
      </c>
      <c r="O60" s="230">
        <f>IFERROR(__xludf.DUMMYFUNCTION("""COMPUTED_VALUE"""),168107.0)</f>
        <v>168107</v>
      </c>
      <c r="P60" s="180" t="str">
        <f>IFERROR(__xludf.DUMMYFUNCTION("""COMPUTED_VALUE"""),"Sim")</f>
        <v>Sim</v>
      </c>
      <c r="Q60" s="180" t="str">
        <f>IFERROR(__xludf.DUMMYFUNCTION("""COMPUTED_VALUE"""),"2 - Importante")</f>
        <v>2 - Importante</v>
      </c>
      <c r="R60" s="180" t="str">
        <f>IFERROR(__xludf.DUMMYFUNCTION("""COMPUTED_VALUE"""),"1 - Selecionado")</f>
        <v>1 - Selecionado</v>
      </c>
      <c r="S60" s="180"/>
      <c r="T60" s="180"/>
      <c r="U60" s="180" t="str">
        <f>IFERROR(__xludf.DUMMYFUNCTION("""COMPUTED_VALUE"""),"02 - DOD emitido")</f>
        <v>02 - DOD emitido</v>
      </c>
      <c r="V60" s="180" t="str">
        <f>IFERROR(__xludf.DUMMYFUNCTION("""COMPUTED_VALUE"""),"1353/2022")</f>
        <v>1353/2022</v>
      </c>
      <c r="W60" s="180"/>
      <c r="X60" s="180" t="str">
        <f>IFERROR(__xludf.DUMMYFUNCTION("""COMPUTED_VALUE"""),"SESUP")</f>
        <v>SESUP</v>
      </c>
      <c r="Y60" s="180" t="str">
        <f>IFERROR(__xludf.DUMMYFUNCTION("""COMPUTED_VALUE"""),"ARP_PARTICIPACAO")</f>
        <v>ARP_PARTICIPACAO</v>
      </c>
      <c r="Z60" s="180" t="str">
        <f>IFERROR(__xludf.DUMMYFUNCTION("""COMPUTED_VALUE"""),"RP")</f>
        <v>RP</v>
      </c>
      <c r="AA60" s="180"/>
      <c r="AB60" s="230"/>
      <c r="AC60" s="180" t="str">
        <f>IFERROR(__xludf.DUMMYFUNCTION("""COMPUTED_VALUE"""),"#N/A")</f>
        <v>#N/A</v>
      </c>
      <c r="AD60" s="189">
        <f>IFERROR(__xludf.DUMMYFUNCTION("""COMPUTED_VALUE"""),44693.0)</f>
        <v>44693</v>
      </c>
      <c r="AE60" s="189">
        <f>IFERROR(__xludf.DUMMYFUNCTION("""COMPUTED_VALUE"""),44738.0)</f>
        <v>44738</v>
      </c>
      <c r="AF60" s="180" t="str">
        <f>IFERROR(__xludf.DUMMYFUNCTION("""COMPUTED_VALUE"""),"Márcio César Jacinto
Diretor do SESUP - Substituto")</f>
        <v>Márcio César Jacinto
Diretor do SESUP - Substituto</v>
      </c>
      <c r="AG60" s="233">
        <f>IFERROR(__xludf.DUMMYFUNCTION("""COMPUTED_VALUE"""),1.0)</f>
        <v>1</v>
      </c>
      <c r="AH60" s="190">
        <f>IFERROR(__xludf.DUMMYFUNCTION("""COMPUTED_VALUE"""),48752.125)</f>
        <v>48752.125</v>
      </c>
      <c r="AI60" s="180" t="str">
        <f>IFERROR(__xludf.DUMMYFUNCTION("""COMPUTED_VALUE"""),"Não")</f>
        <v>Não</v>
      </c>
      <c r="AJ60" s="190">
        <f>IFERROR(__xludf.DUMMYFUNCTION("""COMPUTED_VALUE"""),94869.0)</f>
        <v>94869</v>
      </c>
      <c r="AK60" s="180" t="str">
        <f>IFERROR(__xludf.DUMMYFUNCTION("""COMPUTED_VALUE"""),"Cláudio Zamparetti")</f>
        <v>Cláudio Zamparetti</v>
      </c>
      <c r="AL60" s="180"/>
      <c r="AM60" s="180"/>
      <c r="AN60" s="190">
        <f>IFERROR(__xludf.DUMMYFUNCTION("""COMPUTED_VALUE"""),48752.125)</f>
        <v>48752.125</v>
      </c>
      <c r="AO60" s="190">
        <f>IFERROR(__xludf.DUMMYFUNCTION("""COMPUTED_VALUE"""),0.0)</f>
        <v>0</v>
      </c>
      <c r="AP60" s="180"/>
      <c r="AQ60" s="190"/>
      <c r="AR60" s="190">
        <f>IFERROR(__xludf.DUMMYFUNCTION("""COMPUTED_VALUE"""),48752.125)</f>
        <v>48752.125</v>
      </c>
      <c r="AS60" s="180" t="str">
        <f>IFERROR(__xludf.DUMMYFUNCTION("""COMPUTED_VALUE"""),"7.905,75")</f>
        <v>7.905,75</v>
      </c>
      <c r="AT60" s="190">
        <f>IFERROR(__xludf.DUMMYFUNCTION("""COMPUTED_VALUE"""),48752.125)</f>
        <v>48752.125</v>
      </c>
      <c r="AU60" s="190"/>
      <c r="AV60" s="232"/>
      <c r="AW60" s="190">
        <f>IFERROR(__xludf.DUMMYFUNCTION("""COMPUTED_VALUE"""),0.0)</f>
        <v>0</v>
      </c>
      <c r="AX60" s="190">
        <f>IFERROR(__xludf.DUMMYFUNCTION("""COMPUTED_VALUE"""),0.0)</f>
        <v>0</v>
      </c>
      <c r="AY60" s="190">
        <f>IFERROR(__xludf.DUMMYFUNCTION("""COMPUTED_VALUE"""),0.0)</f>
        <v>0</v>
      </c>
      <c r="AZ60" s="190">
        <f>IFERROR(__xludf.DUMMYFUNCTION("""COMPUTED_VALUE"""),0.0)</f>
        <v>0</v>
      </c>
      <c r="BA60" s="190">
        <f>IFERROR(__xludf.DUMMYFUNCTION("""COMPUTED_VALUE"""),0.0)</f>
        <v>0</v>
      </c>
      <c r="BB60" s="180"/>
      <c r="BC60" s="232">
        <f>IFERROR(__xludf.DUMMYFUNCTION("""COMPUTED_VALUE"""),1.51132022236939E14)</f>
        <v>151132022236939</v>
      </c>
      <c r="BD60" s="180" t="str">
        <f>IFERROR(__xludf.DUMMYFUNCTION("""COMPUTED_VALUE"""),"Sim")</f>
        <v>Sim</v>
      </c>
      <c r="BE60" s="180"/>
      <c r="BF60" s="180"/>
      <c r="BG60" s="180"/>
      <c r="BH60" s="233">
        <f>IFERROR(__xludf.DUMMYFUNCTION("""COMPUTED_VALUE"""),200000.0)</f>
        <v>200000</v>
      </c>
      <c r="BI60" s="180" t="str">
        <f>IFERROR(__xludf.DUMMYFUNCTION("""COMPUTED_VALUE"""),"Média")</f>
        <v>Média</v>
      </c>
      <c r="BJ60" s="180"/>
      <c r="BK60" s="180" t="str">
        <f>IFERROR(__xludf.DUMMYFUNCTION("""COMPUTED_VALUE"""),"ano")</f>
        <v>ano</v>
      </c>
      <c r="BL60" s="180"/>
      <c r="BM60" s="180" t="str">
        <f>IFERROR(__xludf.DUMMYFUNCTION("""COMPUTED_VALUE"""),"ARP_PARTICIPACAO")</f>
        <v>ARP_PARTICIPACAO</v>
      </c>
      <c r="BN60" s="189"/>
      <c r="BO60" s="189"/>
      <c r="BP60" s="190"/>
      <c r="BQ60" s="190"/>
      <c r="BR60" s="190"/>
      <c r="BS60" s="190">
        <f>IFERROR(__xludf.DUMMYFUNCTION("""COMPUTED_VALUE"""),48752.125)</f>
        <v>48752.125</v>
      </c>
      <c r="BT60" s="190">
        <f>IFERROR(__xludf.DUMMYFUNCTION("""COMPUTED_VALUE"""),94869.0)</f>
        <v>94869</v>
      </c>
      <c r="BU60" s="180" t="str">
        <f>IFERROR(__xludf.DUMMYFUNCTION("""COMPUTED_VALUE"""),"Manutenção corretiva/adaptativa e sustentação softwares")</f>
        <v>Manutenção corretiva/adaptativa e sustentação softwares</v>
      </c>
      <c r="BV60" s="180"/>
      <c r="BW60" s="180"/>
      <c r="BX60" s="180"/>
      <c r="BY60" s="180"/>
      <c r="BZ60" s="189"/>
      <c r="CA60" s="180"/>
      <c r="CB60" s="180" t="str">
        <f>IFERROR(__xludf.DUMMYFUNCTION("""COMPUTED_VALUE"""),"Manutenção e Gestão dos Serviços de Tecnologia da Informação")</f>
        <v>Manutenção e Gestão dos Serviços de Tecnologia da Informação</v>
      </c>
      <c r="CC60" s="180" t="str">
        <f>IFERROR(__xludf.DUMMYFUNCTION("""COMPUTED_VALUE""")," - ")</f>
        <v> - </v>
      </c>
      <c r="CD60" s="180" t="str">
        <f>IFERROR(__xludf.DUMMYFUNCTION("""COMPUTED_VALUE"""),"SERVIÇOS DE TECNOLOGIA DA INFORMAÇÃO E COMUNICAÇÃO - TIC")</f>
        <v>SERVIÇOS DE TECNOLOGIA DA INFORMAÇÃO E COMUNICAÇÃO - TIC</v>
      </c>
      <c r="CE60" s="180"/>
      <c r="CF60" s="180" t="str">
        <f>IFERROR(__xludf.DUMMYFUNCTION("""COMPUTED_VALUE"""),"MANUTENÇÃO CORRETIVA/ADAPTATIVA E SUSTENTAÇÃO SOFTWARES")</f>
        <v>MANUTENÇÃO CORRETIVA/ADAPTATIVA E SUSTENTAÇÃO SOFTWARES</v>
      </c>
      <c r="CG60" s="189"/>
      <c r="CH60" s="189">
        <f>IFERROR(__xludf.DUMMYFUNCTION("""COMPUTED_VALUE"""),45103.0)</f>
        <v>45103</v>
      </c>
      <c r="CI60" s="180" t="str">
        <f>IFERROR(__xludf.DUMMYFUNCTION("""COMPUTED_VALUE"""),"ARP_PARTICIPACAO")</f>
        <v>ARP_PARTICIPACAO</v>
      </c>
      <c r="CJ60" s="190"/>
      <c r="CK60" s="189"/>
      <c r="CL60" s="180"/>
      <c r="CM60" s="180"/>
      <c r="CN60" s="180"/>
      <c r="CO60" s="180"/>
      <c r="CP60" s="180"/>
      <c r="CQ60" s="180"/>
      <c r="CR60" s="180"/>
      <c r="CS60" s="180"/>
      <c r="CT60" s="180"/>
      <c r="CU60" s="180"/>
      <c r="CV60" s="180"/>
      <c r="CW60" s="180"/>
      <c r="CX60" s="180"/>
      <c r="CY60" s="180"/>
      <c r="CZ60" s="180"/>
      <c r="DA60" s="180"/>
      <c r="DB60" s="180"/>
    </row>
    <row r="61">
      <c r="A61" s="230">
        <f>IFERROR(__xludf.DUMMYFUNCTION("""COMPUTED_VALUE"""),15390.0)</f>
        <v>15390</v>
      </c>
      <c r="B61" s="230">
        <f>IFERROR(__xludf.DUMMYFUNCTION("""COMPUTED_VALUE"""),15056.0)</f>
        <v>15056</v>
      </c>
      <c r="C61" s="180" t="str">
        <f>IFERROR(__xludf.DUMMYFUNCTION("""COMPUTED_VALUE"""),"REDE JT CIASC - Contratação de links de alto desempenho para as conexões de dados entre as unidades do TRT - 2022")</f>
        <v>REDE JT CIASC - Contratação de links de alto desempenho para as conexões de dados entre as unidades do TRT - 2022</v>
      </c>
      <c r="D61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61" s="180" t="str">
        <f>IFERROR(__xludf.DUMMYFUNCTION("""COMPUTED_VALUE"""),"EJ08 - PROMOVER SERVIÇOS DE INFRAESTRUTURA E SOLUÇÕES CORPORATIVAS")</f>
        <v>EJ08 - PROMOVER SERVIÇOS DE INFRAESTRUTURA E SOLUÇÕES CORPORATIVAS</v>
      </c>
      <c r="F61" s="180" t="str">
        <f>IFERROR(__xludf.DUMMYFUNCTION("""COMPUTED_VALUE"""),"Contratação de serviços para o suporte à infraestrutura tecnológica")</f>
        <v>Contratação de serviços para o suporte à infraestrutura tecnológica</v>
      </c>
      <c r="G61" s="180" t="str">
        <f>IFERROR(__xludf.DUMMYFUNCTION("""COMPUTED_VALUE"""),"(ID PAAC 15390) REDE JT CIASC - Contratação de links de alto desempenho para as conexões de dados entre as unidades do TRT - 2022")</f>
        <v>(ID PAAC 15390) REDE JT CIASC - Contratação de links de alto desempenho para as conexões de dados entre as unidades do TRT - 2022</v>
      </c>
      <c r="H61" s="180" t="str">
        <f>IFERROR(__xludf.DUMMYFUNCTION("""COMPUTED_VALUE"""),"Continuado")</f>
        <v>Continuado</v>
      </c>
      <c r="I61" s="180" t="str">
        <f>IFERROR(__xludf.DUMMYFUNCTION("""COMPUTED_VALUE"""),"SETIC")</f>
        <v>SETIC</v>
      </c>
      <c r="J61" s="180" t="str">
        <f>IFERROR(__xludf.DUMMYFUNCTION("""COMPUTED_VALUE"""),"SETIC")</f>
        <v>SETIC</v>
      </c>
      <c r="K61" s="180" t="str">
        <f>IFERROR(__xludf.DUMMYFUNCTION("""COMPUTED_VALUE"""),"GND3")</f>
        <v>GND3</v>
      </c>
      <c r="L61" s="231">
        <f>IFERROR(__xludf.DUMMYFUNCTION("""COMPUTED_VALUE"""),0.0)</f>
        <v>0</v>
      </c>
      <c r="M61" s="232">
        <f>IFERROR(__xludf.DUMMYFUNCTION("""COMPUTED_VALUE"""),3.3904013E7)</f>
        <v>33904013</v>
      </c>
      <c r="N61" s="232">
        <f>IFERROR(__xludf.DUMMYFUNCTION("""COMPUTED_VALUE"""),0.0)</f>
        <v>0</v>
      </c>
      <c r="O61" s="230">
        <f>IFERROR(__xludf.DUMMYFUNCTION("""COMPUTED_VALUE"""),168107.0)</f>
        <v>168107</v>
      </c>
      <c r="P61" s="180" t="str">
        <f>IFERROR(__xludf.DUMMYFUNCTION("""COMPUTED_VALUE"""),"Sim")</f>
        <v>Sim</v>
      </c>
      <c r="Q61" s="180" t="str">
        <f>IFERROR(__xludf.DUMMYFUNCTION("""COMPUTED_VALUE"""),"1 - Imprescindível")</f>
        <v>1 - Imprescindível</v>
      </c>
      <c r="R61" s="180" t="str">
        <f>IFERROR(__xludf.DUMMYFUNCTION("""COMPUTED_VALUE"""),"1 - Selecionado")</f>
        <v>1 - Selecionado</v>
      </c>
      <c r="S61" s="180"/>
      <c r="T61" s="180"/>
      <c r="U61" s="180" t="str">
        <f>IFERROR(__xludf.DUMMYFUNCTION("""COMPUTED_VALUE"""),"01 - Não oficializado")</f>
        <v>01 - Não oficializado</v>
      </c>
      <c r="V61" s="180"/>
      <c r="W61" s="180"/>
      <c r="X61" s="180" t="str">
        <f>IFERROR(__xludf.DUMMYFUNCTION("""COMPUTED_VALUE"""),"SEINFRA")</f>
        <v>SEINFRA</v>
      </c>
      <c r="Y61" s="180" t="str">
        <f>IFERROR(__xludf.DUMMYFUNCTION("""COMPUTED_VALUE"""),"DISPENSA_DEMAIS_CASOS")</f>
        <v>DISPENSA_DEMAIS_CASOS</v>
      </c>
      <c r="Z61" s="180" t="str">
        <f>IFERROR(__xludf.DUMMYFUNCTION("""COMPUTED_VALUE"""),"CD")</f>
        <v>CD</v>
      </c>
      <c r="AA61" s="180"/>
      <c r="AB61" s="230"/>
      <c r="AC61" s="180" t="str">
        <f>IFERROR(__xludf.DUMMYFUNCTION("""COMPUTED_VALUE"""),"#N/A")</f>
        <v>#N/A</v>
      </c>
      <c r="AD61" s="189">
        <f>IFERROR(__xludf.DUMMYFUNCTION("""COMPUTED_VALUE"""),44771.0)</f>
        <v>44771</v>
      </c>
      <c r="AE61" s="189">
        <f>IFERROR(__xludf.DUMMYFUNCTION("""COMPUTED_VALUE"""),44781.0)</f>
        <v>44781</v>
      </c>
      <c r="AF61" s="180" t="str">
        <f>IFERROR(__xludf.DUMMYFUNCTION("""COMPUTED_VALUE"""),"Anderson Bastos
Diretor do SEINFRA")</f>
        <v>Anderson Bastos
Diretor do SEINFRA</v>
      </c>
      <c r="AG61" s="233">
        <f>IFERROR(__xludf.DUMMYFUNCTION("""COMPUTED_VALUE"""),33.0)</f>
        <v>33</v>
      </c>
      <c r="AH61" s="190">
        <f>IFERROR(__xludf.DUMMYFUNCTION("""COMPUTED_VALUE"""),10948.678787878789)</f>
        <v>10948.67879</v>
      </c>
      <c r="AI61" s="180" t="str">
        <f>IFERROR(__xludf.DUMMYFUNCTION("""COMPUTED_VALUE"""),"Não")</f>
        <v>Não</v>
      </c>
      <c r="AJ61" s="190"/>
      <c r="AK61" s="180" t="str">
        <f>IFERROR(__xludf.DUMMYFUNCTION("""COMPUTED_VALUE"""),"Anderson Bastos")</f>
        <v>Anderson Bastos</v>
      </c>
      <c r="AL61" s="180"/>
      <c r="AM61" s="180"/>
      <c r="AN61" s="190">
        <f>IFERROR(__xludf.DUMMYFUNCTION("""COMPUTED_VALUE"""),361306.4)</f>
        <v>361306.4</v>
      </c>
      <c r="AO61" s="190">
        <f>IFERROR(__xludf.DUMMYFUNCTION("""COMPUTED_VALUE"""),0.0)</f>
        <v>0</v>
      </c>
      <c r="AP61" s="180"/>
      <c r="AQ61" s="190"/>
      <c r="AR61" s="190">
        <f>IFERROR(__xludf.DUMMYFUNCTION("""COMPUTED_VALUE"""),361306.4)</f>
        <v>361306.4</v>
      </c>
      <c r="AS61" s="180"/>
      <c r="AT61" s="190">
        <f>IFERROR(__xludf.DUMMYFUNCTION("""COMPUTED_VALUE"""),361306.4)</f>
        <v>361306.4</v>
      </c>
      <c r="AU61" s="190"/>
      <c r="AV61" s="232"/>
      <c r="AW61" s="190">
        <f>IFERROR(__xludf.DUMMYFUNCTION("""COMPUTED_VALUE"""),0.0)</f>
        <v>0</v>
      </c>
      <c r="AX61" s="190">
        <f>IFERROR(__xludf.DUMMYFUNCTION("""COMPUTED_VALUE"""),0.0)</f>
        <v>0</v>
      </c>
      <c r="AY61" s="190">
        <f>IFERROR(__xludf.DUMMYFUNCTION("""COMPUTED_VALUE"""),0.0)</f>
        <v>0</v>
      </c>
      <c r="AZ61" s="190">
        <f>IFERROR(__xludf.DUMMYFUNCTION("""COMPUTED_VALUE"""),0.0)</f>
        <v>0</v>
      </c>
      <c r="BA61" s="190">
        <f>IFERROR(__xludf.DUMMYFUNCTION("""COMPUTED_VALUE"""),0.0)</f>
        <v>0</v>
      </c>
      <c r="BB61" s="180"/>
      <c r="BC61" s="232">
        <f>IFERROR(__xludf.DUMMYFUNCTION("""COMPUTED_VALUE"""),1.51132022236927E14)</f>
        <v>151132022236927</v>
      </c>
      <c r="BD61" s="180" t="str">
        <f>IFERROR(__xludf.DUMMYFUNCTION("""COMPUTED_VALUE"""),"Sim")</f>
        <v>Sim</v>
      </c>
      <c r="BE61" s="180"/>
      <c r="BF61" s="180"/>
      <c r="BG61" s="180"/>
      <c r="BH61" s="233">
        <f>IFERROR(__xludf.DUMMYFUNCTION("""COMPUTED_VALUE"""),300000.0)</f>
        <v>300000</v>
      </c>
      <c r="BI61" s="180" t="str">
        <f>IFERROR(__xludf.DUMMYFUNCTION("""COMPUTED_VALUE"""),"Alta")</f>
        <v>Alta</v>
      </c>
      <c r="BJ61" s="180"/>
      <c r="BK61" s="180" t="str">
        <f>IFERROR(__xludf.DUMMYFUNCTION("""COMPUTED_VALUE"""),"ano")</f>
        <v>ano</v>
      </c>
      <c r="BL61" s="180"/>
      <c r="BM61" s="180" t="str">
        <f>IFERROR(__xludf.DUMMYFUNCTION("""COMPUTED_VALUE"""),"DISPENSA_DEMAIS_CASOS")</f>
        <v>DISPENSA_DEMAIS_CASOS</v>
      </c>
      <c r="BN61" s="189"/>
      <c r="BO61" s="189"/>
      <c r="BP61" s="190"/>
      <c r="BQ61" s="190"/>
      <c r="BR61" s="190"/>
      <c r="BS61" s="190">
        <f>IFERROR(__xludf.DUMMYFUNCTION("""COMPUTED_VALUE"""),361306.4)</f>
        <v>361306.4</v>
      </c>
      <c r="BT61" s="190">
        <f>IFERROR(__xludf.DUMMYFUNCTION("""COMPUTED_VALUE"""),867135.36)</f>
        <v>867135.36</v>
      </c>
      <c r="BU61" s="180" t="str">
        <f>IFERROR(__xludf.DUMMYFUNCTION("""COMPUTED_VALUE"""),"Comunicação de dados e redes em geral")</f>
        <v>Comunicação de dados e redes em geral</v>
      </c>
      <c r="BV61" s="180"/>
      <c r="BW61" s="180"/>
      <c r="BX61" s="180"/>
      <c r="BY61" s="180"/>
      <c r="BZ61" s="189"/>
      <c r="CA61" s="180"/>
      <c r="CB61" s="180" t="str">
        <f>IFERROR(__xludf.DUMMYFUNCTION("""COMPUTED_VALUE"""),"Manutenção e Gestão dos Serviços de Tecnologia da Informação")</f>
        <v>Manutenção e Gestão dos Serviços de Tecnologia da Informação</v>
      </c>
      <c r="CC61" s="180" t="str">
        <f>IFERROR(__xludf.DUMMYFUNCTION("""COMPUTED_VALUE""")," - ")</f>
        <v> - </v>
      </c>
      <c r="CD61" s="180" t="str">
        <f>IFERROR(__xludf.DUMMYFUNCTION("""COMPUTED_VALUE"""),"SERVIÇOS DE TECNOLOGIA DA INFORMAÇÃO E COMUNICAÇÃO - TIC")</f>
        <v>SERVIÇOS DE TECNOLOGIA DA INFORMAÇÃO E COMUNICAÇÃO - TIC</v>
      </c>
      <c r="CE61" s="180"/>
      <c r="CF61" s="180" t="str">
        <f>IFERROR(__xludf.DUMMYFUNCTION("""COMPUTED_VALUE"""),"COMUNICAÇÃO DE DADOS E REDES EM GERAL")</f>
        <v>COMUNICAÇÃO DE DADOS E REDES EM GERAL</v>
      </c>
      <c r="CG61" s="189"/>
      <c r="CH61" s="189">
        <f>IFERROR(__xludf.DUMMYFUNCTION("""COMPUTED_VALUE"""),45146.0)</f>
        <v>45146</v>
      </c>
      <c r="CI61" s="180" t="str">
        <f>IFERROR(__xludf.DUMMYFUNCTION("""COMPUTED_VALUE"""),"DISPENSA_DEMAIS_CASOS")</f>
        <v>DISPENSA_DEMAIS_CASOS</v>
      </c>
      <c r="CJ61" s="190"/>
      <c r="CK61" s="189"/>
      <c r="CL61" s="180"/>
      <c r="CM61" s="180"/>
      <c r="CN61" s="180"/>
      <c r="CO61" s="180"/>
      <c r="CP61" s="180"/>
      <c r="CQ61" s="180"/>
      <c r="CR61" s="180"/>
      <c r="CS61" s="180"/>
      <c r="CT61" s="180"/>
      <c r="CU61" s="180"/>
      <c r="CV61" s="180"/>
      <c r="CW61" s="180"/>
      <c r="CX61" s="180"/>
      <c r="CY61" s="180"/>
      <c r="CZ61" s="180"/>
      <c r="DA61" s="180"/>
      <c r="DB61" s="180"/>
    </row>
    <row r="62">
      <c r="A62" s="230">
        <f>IFERROR(__xludf.DUMMYFUNCTION("""COMPUTED_VALUE"""),15391.0)</f>
        <v>15391</v>
      </c>
      <c r="B62" s="230">
        <f>IFERROR(__xludf.DUMMYFUNCTION("""COMPUTED_VALUE"""),99999.0)</f>
        <v>99999</v>
      </c>
      <c r="C62" s="180" t="str">
        <f>IFERROR(__xludf.DUMMYFUNCTION("""COMPUTED_VALUE"""),"BACKUP SOFTWARE - Licença para software de backup")</f>
        <v>BACKUP SOFTWARE - Licença para software de backup</v>
      </c>
      <c r="D62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62" s="180" t="str">
        <f>IFERROR(__xludf.DUMMYFUNCTION("""COMPUTED_VALUE"""),"EJ07 - APRIMORAR A SEGURANÇA DA INFORMAÇÃO E A GESTÃO DE DADOS")</f>
        <v>EJ07 - APRIMORAR A SEGURANÇA DA INFORMAÇÃO E A GESTÃO DE DADOS</v>
      </c>
      <c r="F62" s="180" t="str">
        <f>IFERROR(__xludf.DUMMYFUNCTION("""COMPUTED_VALUE"""),"Aquisição de bens de infraestrutura tecnológica")</f>
        <v>Aquisição de bens de infraestrutura tecnológica</v>
      </c>
      <c r="G62" s="180" t="str">
        <f>IFERROR(__xludf.DUMMYFUNCTION("""COMPUTED_VALUE"""),"(ID PAAC 15391) BACKUP SOFTWARE - Licença para software de backup")</f>
        <v>(ID PAAC 15391) BACKUP SOFTWARE - Licença para software de backup</v>
      </c>
      <c r="H62" s="180" t="str">
        <f>IFERROR(__xludf.DUMMYFUNCTION("""COMPUTED_VALUE"""),"Imediato")</f>
        <v>Imediato</v>
      </c>
      <c r="I62" s="180" t="str">
        <f>IFERROR(__xludf.DUMMYFUNCTION("""COMPUTED_VALUE"""),"SETIC")</f>
        <v>SETIC</v>
      </c>
      <c r="J62" s="180" t="str">
        <f>IFERROR(__xludf.DUMMYFUNCTION("""COMPUTED_VALUE"""),"SETIC")</f>
        <v>SETIC</v>
      </c>
      <c r="K62" s="180" t="str">
        <f>IFERROR(__xludf.DUMMYFUNCTION("""COMPUTED_VALUE"""),"GND4")</f>
        <v>GND4</v>
      </c>
      <c r="L62" s="231">
        <f>IFERROR(__xludf.DUMMYFUNCTION("""COMPUTED_VALUE"""),0.0)</f>
        <v>0</v>
      </c>
      <c r="M62" s="232"/>
      <c r="N62" s="232">
        <f>IFERROR(__xludf.DUMMYFUNCTION("""COMPUTED_VALUE"""),0.0)</f>
        <v>0</v>
      </c>
      <c r="O62" s="230">
        <f>IFERROR(__xludf.DUMMYFUNCTION("""COMPUTED_VALUE"""),168105.0)</f>
        <v>168105</v>
      </c>
      <c r="P62" s="180" t="str">
        <f>IFERROR(__xludf.DUMMYFUNCTION("""COMPUTED_VALUE"""),"Não")</f>
        <v>Não</v>
      </c>
      <c r="Q62" s="180" t="str">
        <f>IFERROR(__xludf.DUMMYFUNCTION("""COMPUTED_VALUE"""),"1 - Imprescindível")</f>
        <v>1 - Imprescindível</v>
      </c>
      <c r="R62" s="180" t="str">
        <f>IFERROR(__xludf.DUMMYFUNCTION("""COMPUTED_VALUE"""),"5 - Próximo PCTIC")</f>
        <v>5 - Próximo PCTIC</v>
      </c>
      <c r="S62" s="180"/>
      <c r="T62" s="180"/>
      <c r="U62" s="180" t="str">
        <f>IFERROR(__xludf.DUMMYFUNCTION("""COMPUTED_VALUE"""),"01 - Não oficializado")</f>
        <v>01 - Não oficializado</v>
      </c>
      <c r="V62" s="180"/>
      <c r="W62" s="180"/>
      <c r="X62" s="180" t="str">
        <f>IFERROR(__xludf.DUMMYFUNCTION("""COMPUTED_VALUE"""),"SEINFRA")</f>
        <v>SEINFRA</v>
      </c>
      <c r="Y62" s="180" t="str">
        <f>IFERROR(__xludf.DUMMYFUNCTION("""COMPUTED_VALUE"""),"ARP_PARTICIPACAO")</f>
        <v>ARP_PARTICIPACAO</v>
      </c>
      <c r="Z62" s="180" t="str">
        <f>IFERROR(__xludf.DUMMYFUNCTION("""COMPUTED_VALUE"""),"RP")</f>
        <v>RP</v>
      </c>
      <c r="AA62" s="180"/>
      <c r="AB62" s="230"/>
      <c r="AC62" s="180" t="str">
        <f>IFERROR(__xludf.DUMMYFUNCTION("""COMPUTED_VALUE"""),"#N/A")</f>
        <v>#N/A</v>
      </c>
      <c r="AD62" s="189">
        <f>IFERROR(__xludf.DUMMYFUNCTION("""COMPUTED_VALUE"""),44941.0)</f>
        <v>44941</v>
      </c>
      <c r="AE62" s="189">
        <f>IFERROR(__xludf.DUMMYFUNCTION("""COMPUTED_VALUE"""),44986.0)</f>
        <v>44986</v>
      </c>
      <c r="AF62" s="180" t="str">
        <f>IFERROR(__xludf.DUMMYFUNCTION("""COMPUTED_VALUE"""),"Anderson Bastos
Diretor do SEINFRA")</f>
        <v>Anderson Bastos
Diretor do SEINFRA</v>
      </c>
      <c r="AG62" s="233">
        <f>IFERROR(__xludf.DUMMYFUNCTION("""COMPUTED_VALUE"""),1.0)</f>
        <v>1</v>
      </c>
      <c r="AH62" s="190">
        <f>IFERROR(__xludf.DUMMYFUNCTION("""COMPUTED_VALUE"""),0.0)</f>
        <v>0</v>
      </c>
      <c r="AI62" s="180" t="str">
        <f>IFERROR(__xludf.DUMMYFUNCTION("""COMPUTED_VALUE"""),"Sim")</f>
        <v>Sim</v>
      </c>
      <c r="AJ62" s="190"/>
      <c r="AK62" s="180"/>
      <c r="AL62" s="180"/>
      <c r="AM62" s="180"/>
      <c r="AN62" s="190">
        <f>IFERROR(__xludf.DUMMYFUNCTION("""COMPUTED_VALUE"""),0.0)</f>
        <v>0</v>
      </c>
      <c r="AO62" s="190"/>
      <c r="AP62" s="180"/>
      <c r="AQ62" s="190">
        <f>IFERROR(__xludf.DUMMYFUNCTION("""COMPUTED_VALUE"""),0.0)</f>
        <v>0</v>
      </c>
      <c r="AR62" s="190">
        <f>IFERROR(__xludf.DUMMYFUNCTION("""COMPUTED_VALUE"""),400000.0)</f>
        <v>400000</v>
      </c>
      <c r="AS62" s="180"/>
      <c r="AT62" s="190">
        <f>IFERROR(__xludf.DUMMYFUNCTION("""COMPUTED_VALUE"""),0.0)</f>
        <v>0</v>
      </c>
      <c r="AU62" s="190"/>
      <c r="AV62" s="232"/>
      <c r="AW62" s="190">
        <f>IFERROR(__xludf.DUMMYFUNCTION("""COMPUTED_VALUE"""),0.0)</f>
        <v>0</v>
      </c>
      <c r="AX62" s="190"/>
      <c r="AY62" s="190">
        <f>IFERROR(__xludf.DUMMYFUNCTION("""COMPUTED_VALUE"""),0.0)</f>
        <v>0</v>
      </c>
      <c r="AZ62" s="190">
        <f>IFERROR(__xludf.DUMMYFUNCTION("""COMPUTED_VALUE"""),0.0)</f>
        <v>0</v>
      </c>
      <c r="BA62" s="190">
        <f>IFERROR(__xludf.DUMMYFUNCTION("""COMPUTED_VALUE"""),0.0)</f>
        <v>0</v>
      </c>
      <c r="BB62" s="180"/>
      <c r="BC62" s="232"/>
      <c r="BD62" s="180" t="str">
        <f>IFERROR(__xludf.DUMMYFUNCTION("""COMPUTED_VALUE"""),"Não")</f>
        <v>Não</v>
      </c>
      <c r="BE62" s="180"/>
      <c r="BF62" s="180"/>
      <c r="BG62" s="180"/>
      <c r="BH62" s="233">
        <f>IFERROR(__xludf.DUMMYFUNCTION("""COMPUTED_VALUE"""),300000.0)</f>
        <v>300000</v>
      </c>
      <c r="BI62" s="180" t="str">
        <f>IFERROR(__xludf.DUMMYFUNCTION("""COMPUTED_VALUE"""),"Alta")</f>
        <v>Alta</v>
      </c>
      <c r="BJ62" s="180"/>
      <c r="BK62" s="180" t="str">
        <f>IFERROR(__xludf.DUMMYFUNCTION("""COMPUTED_VALUE"""),"unidade")</f>
        <v>unidade</v>
      </c>
      <c r="BL62" s="180"/>
      <c r="BM62" s="180" t="str">
        <f>IFERROR(__xludf.DUMMYFUNCTION("""COMPUTED_VALUE"""),"PRÓXIMO PAAC")</f>
        <v>PRÓXIMO PAAC</v>
      </c>
      <c r="BN62" s="189"/>
      <c r="BO62" s="189"/>
      <c r="BP62" s="190"/>
      <c r="BQ62" s="190"/>
      <c r="BR62" s="190"/>
      <c r="BS62" s="190">
        <f>IFERROR(__xludf.DUMMYFUNCTION("""COMPUTED_VALUE"""),0.0)</f>
        <v>0</v>
      </c>
      <c r="BT62" s="190">
        <f>IFERROR(__xludf.DUMMYFUNCTION("""COMPUTED_VALUE"""),400000.0)</f>
        <v>400000</v>
      </c>
      <c r="BU62" s="180" t="str">
        <f>IFERROR(__xludf.DUMMYFUNCTION("""COMPUTED_VALUE"""),"#N/A")</f>
        <v>#N/A</v>
      </c>
      <c r="BV62" s="180"/>
      <c r="BW62" s="180"/>
      <c r="BX62" s="180"/>
      <c r="BY62" s="180"/>
      <c r="BZ62" s="189"/>
      <c r="CA62" s="180"/>
      <c r="CB62" s="180" t="str">
        <f>IFERROR(__xludf.DUMMYFUNCTION("""COMPUTED_VALUE"""),"Apreciação de Causas na Justiça do Trabalho")</f>
        <v>Apreciação de Causas na Justiça do Trabalho</v>
      </c>
      <c r="CC62" s="180" t="str">
        <f>IFERROR(__xludf.DUMMYFUNCTION("""COMPUTED_VALUE""")," - ")</f>
        <v> - </v>
      </c>
      <c r="CD62" s="180" t="str">
        <f>IFERROR(__xludf.DUMMYFUNCTION("""COMPUTED_VALUE"""),"#N/A")</f>
        <v>#N/A</v>
      </c>
      <c r="CE62" s="180"/>
      <c r="CF62" s="180" t="str">
        <f>IFERROR(__xludf.DUMMYFUNCTION("""COMPUTED_VALUE"""),"#N/A")</f>
        <v>#N/A</v>
      </c>
      <c r="CG62" s="189"/>
      <c r="CH62" s="189">
        <f>IFERROR(__xludf.DUMMYFUNCTION("""COMPUTED_VALUE"""),45351.0)</f>
        <v>45351</v>
      </c>
      <c r="CI62" s="180" t="str">
        <f>IFERROR(__xludf.DUMMYFUNCTION("""COMPUTED_VALUE"""),"ARP_PARTICIPACAO")</f>
        <v>ARP_PARTICIPACAO</v>
      </c>
      <c r="CJ62" s="190"/>
      <c r="CK62" s="189"/>
      <c r="CL62" s="180"/>
      <c r="CM62" s="180"/>
      <c r="CN62" s="180"/>
      <c r="CO62" s="180"/>
      <c r="CP62" s="180"/>
      <c r="CQ62" s="180"/>
      <c r="CR62" s="180"/>
      <c r="CS62" s="180"/>
      <c r="CT62" s="180"/>
      <c r="CU62" s="180"/>
      <c r="CV62" s="180"/>
      <c r="CW62" s="180"/>
      <c r="CX62" s="180"/>
      <c r="CY62" s="180"/>
      <c r="CZ62" s="180"/>
      <c r="DA62" s="180"/>
      <c r="DB62" s="180"/>
    </row>
    <row r="63">
      <c r="A63" s="230">
        <f>IFERROR(__xludf.DUMMYFUNCTION("""COMPUTED_VALUE"""),15392.0)</f>
        <v>15392</v>
      </c>
      <c r="B63" s="230">
        <f>IFERROR(__xludf.DUMMYFUNCTION("""COMPUTED_VALUE"""),15060.0)</f>
        <v>15060</v>
      </c>
      <c r="C63" s="180" t="str">
        <f>IFERROR(__xludf.DUMMYFUNCTION("""COMPUTED_VALUE"""),"CENTRAL DE SERVIÇOS - Contratação de serviços de suporte de TIC em 1º e 2º níveis - 2019, para fornecimento de técnicos terceirizados para atendimento aos chamados de TIC, no Estado. (Reconhecimento de dívida de exercício anterior)")</f>
        <v>CENTRAL DE SERVIÇOS - Contratação de serviços de suporte de TIC em 1º e 2º níveis - 2019, para fornecimento de técnicos terceirizados para atendimento aos chamados de TIC, no Estado. (Reconhecimento de dívida de exercício anterior)</v>
      </c>
      <c r="D63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63" s="180" t="str">
        <f>IFERROR(__xludf.DUMMYFUNCTION("""COMPUTED_VALUE"""),"EJ05 - APERFEIÇOAR A GOVERNANÇA E A GESTÃO")</f>
        <v>EJ05 - APERFEIÇOAR A GOVERNANÇA E A GESTÃO</v>
      </c>
      <c r="F63" s="180" t="str">
        <f>IFERROR(__xludf.DUMMYFUNCTION("""COMPUTED_VALUE"""),"Contratação de serviços de suporte à microinformática")</f>
        <v>Contratação de serviços de suporte à microinformática</v>
      </c>
      <c r="G63" s="180" t="str">
        <f>IFERROR(__xludf.DUMMYFUNCTION("""COMPUTED_VALUE"""),"(ID PAAC 15392) CENTRAL DE SERVIÇOS - Contratação de serviços de suporte de TIC em 1º e 2º níveis - 2019, para fornecimento de técnicos terceirizados para atendimento aos chamados de TIC, no Estado. (Reconhecimento de dívida de exercício anterior)")</f>
        <v>(ID PAAC 15392) CENTRAL DE SERVIÇOS - Contratação de serviços de suporte de TIC em 1º e 2º níveis - 2019, para fornecimento de técnicos terceirizados para atendimento aos chamados de TIC, no Estado. (Reconhecimento de dívida de exercício anterior)</v>
      </c>
      <c r="H63" s="180" t="str">
        <f>IFERROR(__xludf.DUMMYFUNCTION("""COMPUTED_VALUE"""),"Continuado")</f>
        <v>Continuado</v>
      </c>
      <c r="I63" s="180" t="str">
        <f>IFERROR(__xludf.DUMMYFUNCTION("""COMPUTED_VALUE"""),"SETIC")</f>
        <v>SETIC</v>
      </c>
      <c r="J63" s="180" t="str">
        <f>IFERROR(__xludf.DUMMYFUNCTION("""COMPUTED_VALUE"""),"SETIC")</f>
        <v>SETIC</v>
      </c>
      <c r="K63" s="180" t="str">
        <f>IFERROR(__xludf.DUMMYFUNCTION("""COMPUTED_VALUE"""),"GND3")</f>
        <v>GND3</v>
      </c>
      <c r="L63" s="231">
        <f>IFERROR(__xludf.DUMMYFUNCTION("""COMPUTED_VALUE"""),0.0)</f>
        <v>0</v>
      </c>
      <c r="M63" s="232">
        <f>IFERROR(__xludf.DUMMYFUNCTION("""COMPUTED_VALUE"""),3.390401E7)</f>
        <v>33904010</v>
      </c>
      <c r="N63" s="232">
        <f>IFERROR(__xludf.DUMMYFUNCTION("""COMPUTED_VALUE"""),0.0)</f>
        <v>0</v>
      </c>
      <c r="O63" s="230">
        <f>IFERROR(__xludf.DUMMYFUNCTION("""COMPUTED_VALUE"""),168105.0)</f>
        <v>168105</v>
      </c>
      <c r="P63" s="180" t="str">
        <f>IFERROR(__xludf.DUMMYFUNCTION("""COMPUTED_VALUE"""),"Não")</f>
        <v>Não</v>
      </c>
      <c r="Q63" s="180" t="str">
        <f>IFERROR(__xludf.DUMMYFUNCTION("""COMPUTED_VALUE"""),"1 - Imprescindível")</f>
        <v>1 - Imprescindível</v>
      </c>
      <c r="R63" s="180" t="str">
        <f>IFERROR(__xludf.DUMMYFUNCTION("""COMPUTED_VALUE"""),"1 - Selecionado")</f>
        <v>1 - Selecionado</v>
      </c>
      <c r="S63" s="180"/>
      <c r="T63" s="180"/>
      <c r="U63" s="180" t="str">
        <f>IFERROR(__xludf.DUMMYFUNCTION("""COMPUTED_VALUE"""),"99 - Orçamentário")</f>
        <v>99 - Orçamentário</v>
      </c>
      <c r="V63" s="180"/>
      <c r="W63" s="180" t="str">
        <f>IFERROR(__xludf.DUMMYFUNCTION("""COMPUTED_VALUE"""),"3995/2019")</f>
        <v>3995/2019</v>
      </c>
      <c r="X63" s="180" t="str">
        <f>IFERROR(__xludf.DUMMYFUNCTION("""COMPUTED_VALUE"""),"SESUP")</f>
        <v>SESUP</v>
      </c>
      <c r="Y63" s="180" t="str">
        <f>IFERROR(__xludf.DUMMYFUNCTION("""COMPUTED_VALUE"""),"ORÇAMENTO")</f>
        <v>ORÇAMENTO</v>
      </c>
      <c r="Z63" s="180" t="str">
        <f>IFERROR(__xludf.DUMMYFUNCTION("""COMPUTED_VALUE"""),"PRE")</f>
        <v>PRE</v>
      </c>
      <c r="AA63" s="180" t="str">
        <f>IFERROR(__xludf.DUMMYFUNCTION("""COMPUTED_VALUE"""),"PRE-3995/2019")</f>
        <v>PRE-3995/2019</v>
      </c>
      <c r="AB63" s="230">
        <f>IFERROR(__xludf.DUMMYFUNCTION("""COMPUTED_VALUE"""),6.556008000115E12)</f>
        <v>6556008000115</v>
      </c>
      <c r="AC63" s="180" t="str">
        <f>IFERROR(__xludf.DUMMYFUNCTION("""COMPUTED_VALUE"""),"C GALATI EIRELI")</f>
        <v>C GALATI EIRELI</v>
      </c>
      <c r="AD63" s="189"/>
      <c r="AE63" s="189"/>
      <c r="AF63" s="180" t="str">
        <f>IFERROR(__xludf.DUMMYFUNCTION("""COMPUTED_VALUE"""),"Márcio César Jacinto
Diretor do SESUP - Substituto")</f>
        <v>Márcio César Jacinto
Diretor do SESUP - Substituto</v>
      </c>
      <c r="AG63" s="233">
        <f>IFERROR(__xludf.DUMMYFUNCTION("""COMPUTED_VALUE"""),1.0)</f>
        <v>1</v>
      </c>
      <c r="AH63" s="190">
        <f>IFERROR(__xludf.DUMMYFUNCTION("""COMPUTED_VALUE"""),11760.9)</f>
        <v>11760.9</v>
      </c>
      <c r="AI63" s="180" t="str">
        <f>IFERROR(__xludf.DUMMYFUNCTION("""COMPUTED_VALUE"""),"Não")</f>
        <v>Não</v>
      </c>
      <c r="AJ63" s="190"/>
      <c r="AK63" s="180" t="str">
        <f>IFERROR(__xludf.DUMMYFUNCTION("""COMPUTED_VALUE"""),"Cláudio Zamparetti")</f>
        <v>Cláudio Zamparetti</v>
      </c>
      <c r="AL63" s="180"/>
      <c r="AM63" s="180"/>
      <c r="AN63" s="190">
        <f>IFERROR(__xludf.DUMMYFUNCTION("""COMPUTED_VALUE"""),11760.9)</f>
        <v>11760.9</v>
      </c>
      <c r="AO63" s="190"/>
      <c r="AP63" s="180" t="str">
        <f>IFERROR(__xludf.DUMMYFUNCTION("""COMPUTED_VALUE"""),"2022NE000117")</f>
        <v>2022NE000117</v>
      </c>
      <c r="AQ63" s="190">
        <f>IFERROR(__xludf.DUMMYFUNCTION("""COMPUTED_VALUE"""),0.0)</f>
        <v>0</v>
      </c>
      <c r="AR63" s="190">
        <f>IFERROR(__xludf.DUMMYFUNCTION("""COMPUTED_VALUE"""),11760.9)</f>
        <v>11760.9</v>
      </c>
      <c r="AS63" s="180"/>
      <c r="AT63" s="190">
        <f>IFERROR(__xludf.DUMMYFUNCTION("""COMPUTED_VALUE"""),11760.9)</f>
        <v>11760.9</v>
      </c>
      <c r="AU63" s="190"/>
      <c r="AV63" s="232"/>
      <c r="AW63" s="190">
        <f>IFERROR(__xludf.DUMMYFUNCTION("""COMPUTED_VALUE"""),0.0)</f>
        <v>0</v>
      </c>
      <c r="AX63" s="190"/>
      <c r="AY63" s="190">
        <f>IFERROR(__xludf.DUMMYFUNCTION("""COMPUTED_VALUE"""),11760.9)</f>
        <v>11760.9</v>
      </c>
      <c r="AZ63" s="190">
        <f>IFERROR(__xludf.DUMMYFUNCTION("""COMPUTED_VALUE"""),11760.9)</f>
        <v>11760.9</v>
      </c>
      <c r="BA63" s="190">
        <f>IFERROR(__xludf.DUMMYFUNCTION("""COMPUTED_VALUE"""),0.0)</f>
        <v>0</v>
      </c>
      <c r="BB63" s="180" t="str">
        <f>IFERROR(__xludf.DUMMYFUNCTION("""COMPUTED_VALUE"""),"PRE-3995/2019")</f>
        <v>PRE-3995/2019</v>
      </c>
      <c r="BC63" s="232"/>
      <c r="BD63" s="180" t="str">
        <f>IFERROR(__xludf.DUMMYFUNCTION("""COMPUTED_VALUE"""),"Não")</f>
        <v>Não</v>
      </c>
      <c r="BE63" s="180"/>
      <c r="BF63" s="180" t="str">
        <f>IFERROR(__xludf.DUMMYFUNCTION("""COMPUTED_VALUE"""),"Complemento")</f>
        <v>Complemento</v>
      </c>
      <c r="BG63" s="180"/>
      <c r="BH63" s="233">
        <f>IFERROR(__xludf.DUMMYFUNCTION("""COMPUTED_VALUE"""),300000.0)</f>
        <v>300000</v>
      </c>
      <c r="BI63" s="180" t="str">
        <f>IFERROR(__xludf.DUMMYFUNCTION("""COMPUTED_VALUE"""),"Alta")</f>
        <v>Alta</v>
      </c>
      <c r="BJ63" s="180"/>
      <c r="BK63" s="180" t="str">
        <f>IFERROR(__xludf.DUMMYFUNCTION("""COMPUTED_VALUE"""),"ano")</f>
        <v>ano</v>
      </c>
      <c r="BL63" s="180"/>
      <c r="BM63" s="180" t="str">
        <f>IFERROR(__xludf.DUMMYFUNCTION("""COMPUTED_VALUE"""),"ORÇAMENTO")</f>
        <v>ORÇAMENTO</v>
      </c>
      <c r="BN63" s="189"/>
      <c r="BO63" s="189"/>
      <c r="BP63" s="190"/>
      <c r="BQ63" s="190"/>
      <c r="BR63" s="190"/>
      <c r="BS63" s="190">
        <f>IFERROR(__xludf.DUMMYFUNCTION("""COMPUTED_VALUE"""),11760.9)</f>
        <v>11760.9</v>
      </c>
      <c r="BT63" s="190"/>
      <c r="BU63" s="180" t="str">
        <f>IFERROR(__xludf.DUMMYFUNCTION("""COMPUTED_VALUE"""),"Suporte a usuários de TIC")</f>
        <v>Suporte a usuários de TIC</v>
      </c>
      <c r="BV63" s="180"/>
      <c r="BW63" s="180"/>
      <c r="BX63" s="180"/>
      <c r="BY63" s="180"/>
      <c r="BZ63" s="189"/>
      <c r="CA63" s="180"/>
      <c r="CB63" s="180" t="str">
        <f>IFERROR(__xludf.DUMMYFUNCTION("""COMPUTED_VALUE"""),"Apreciação de Causas na Justiça do Trabalho")</f>
        <v>Apreciação de Causas na Justiça do Trabalho</v>
      </c>
      <c r="CC63" s="180" t="str">
        <f>IFERROR(__xludf.DUMMYFUNCTION("""COMPUTED_VALUE""")," - ")</f>
        <v> - </v>
      </c>
      <c r="CD63" s="180" t="str">
        <f>IFERROR(__xludf.DUMMYFUNCTION("""COMPUTED_VALUE"""),"SERVIÇOS DE TECNOLOGIA DA INFORMAÇÃO E COMUNICAÇÃO - TIC")</f>
        <v>SERVIÇOS DE TECNOLOGIA DA INFORMAÇÃO E COMUNICAÇÃO - TIC</v>
      </c>
      <c r="CE63" s="180"/>
      <c r="CF63" s="180" t="str">
        <f>IFERROR(__xludf.DUMMYFUNCTION("""COMPUTED_VALUE"""),"SUPORTE A USUÁRIOS DE TIC")</f>
        <v>SUPORTE A USUÁRIOS DE TIC</v>
      </c>
      <c r="CG63" s="189"/>
      <c r="CH63" s="189">
        <f>IFERROR(__xludf.DUMMYFUNCTION("""COMPUTED_VALUE"""),365.0)</f>
        <v>365</v>
      </c>
      <c r="CI63" s="180" t="str">
        <f>IFERROR(__xludf.DUMMYFUNCTION("""COMPUTED_VALUE"""),"ORÇAMENTO")</f>
        <v>ORÇAMENTO</v>
      </c>
      <c r="CJ63" s="190"/>
      <c r="CK63" s="189"/>
      <c r="CL63" s="180"/>
      <c r="CM63" s="180"/>
      <c r="CN63" s="180" t="str">
        <f>IFERROR(__xludf.DUMMYFUNCTION("""COMPUTED_VALUE"""),"PRE-3995/2019")</f>
        <v>PRE-3995/2019</v>
      </c>
      <c r="CO63" s="180"/>
      <c r="CP63" s="180"/>
      <c r="CQ63" s="180"/>
      <c r="CR63" s="180"/>
      <c r="CS63" s="180"/>
      <c r="CT63" s="180"/>
      <c r="CU63" s="180"/>
      <c r="CV63" s="180"/>
      <c r="CW63" s="180"/>
      <c r="CX63" s="180"/>
      <c r="CY63" s="180"/>
      <c r="CZ63" s="180"/>
      <c r="DA63" s="180"/>
      <c r="DB63" s="180"/>
    </row>
    <row r="64">
      <c r="A64" s="230">
        <f>IFERROR(__xludf.DUMMYFUNCTION("""COMPUTED_VALUE"""),15393.0)</f>
        <v>15393</v>
      </c>
      <c r="B64" s="230">
        <f>IFERROR(__xludf.DUMMYFUNCTION("""COMPUTED_VALUE"""),15353.0)</f>
        <v>15353</v>
      </c>
      <c r="C64" s="180" t="str">
        <f>IFERROR(__xludf.DUMMYFUNCTION("""COMPUTED_VALUE"""),"AUDIÊNCIAS - Viabilizar a continuidade de audiências, sessões e reuniões por meio de videoconferências (Zoom) (Reconhecimento de dívida de exercício anterior)")</f>
        <v>AUDIÊNCIAS - Viabilizar a continuidade de audiências, sessões e reuniões por meio de videoconferências (Zoom) (Reconhecimento de dívida de exercício anterior)</v>
      </c>
      <c r="D64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64" s="180" t="str">
        <f>IFERROR(__xludf.DUMMYFUNCTION("""COMPUTED_VALUE"""),"EJ04 - BUSCAR A INOVAÇÃO DE FORMA COLABORATIVA")</f>
        <v>EJ04 - BUSCAR A INOVAÇÃO DE FORMA COLABORATIVA</v>
      </c>
      <c r="F64" s="180" t="str">
        <f>IFERROR(__xludf.DUMMYFUNCTION("""COMPUTED_VALUE"""),"Contratação de serviços de suporte à microinformática")</f>
        <v>Contratação de serviços de suporte à microinformática</v>
      </c>
      <c r="G64" s="180" t="str">
        <f>IFERROR(__xludf.DUMMYFUNCTION("""COMPUTED_VALUE"""),"(ID PAAC 15393) AUDIÊNCIAS - Viabilizar a continuidade de audiências, sessões e reuniões por meio de videoconferências (Zoom) (Reconhecimento de dívida de exercício anterior)")</f>
        <v>(ID PAAC 15393) AUDIÊNCIAS - Viabilizar a continuidade de audiências, sessões e reuniões por meio de videoconferências (Zoom) (Reconhecimento de dívida de exercício anterior)</v>
      </c>
      <c r="H64" s="180" t="str">
        <f>IFERROR(__xludf.DUMMYFUNCTION("""COMPUTED_VALUE"""),"Continuado")</f>
        <v>Continuado</v>
      </c>
      <c r="I64" s="180" t="str">
        <f>IFERROR(__xludf.DUMMYFUNCTION("""COMPUTED_VALUE"""),"SETIC")</f>
        <v>SETIC</v>
      </c>
      <c r="J64" s="180" t="str">
        <f>IFERROR(__xludf.DUMMYFUNCTION("""COMPUTED_VALUE"""),"SETIC")</f>
        <v>SETIC</v>
      </c>
      <c r="K64" s="180" t="str">
        <f>IFERROR(__xludf.DUMMYFUNCTION("""COMPUTED_VALUE"""),"GND3")</f>
        <v>GND3</v>
      </c>
      <c r="L64" s="231">
        <f>IFERROR(__xludf.DUMMYFUNCTION("""COMPUTED_VALUE"""),0.0)</f>
        <v>0</v>
      </c>
      <c r="M64" s="232">
        <f>IFERROR(__xludf.DUMMYFUNCTION("""COMPUTED_VALUE"""),3.3904019E7)</f>
        <v>33904019</v>
      </c>
      <c r="N64" s="232">
        <f>IFERROR(__xludf.DUMMYFUNCTION("""COMPUTED_VALUE"""),0.0)</f>
        <v>0</v>
      </c>
      <c r="O64" s="230">
        <f>IFERROR(__xludf.DUMMYFUNCTION("""COMPUTED_VALUE"""),168107.0)</f>
        <v>168107</v>
      </c>
      <c r="P64" s="180" t="str">
        <f>IFERROR(__xludf.DUMMYFUNCTION("""COMPUTED_VALUE"""),"Sim")</f>
        <v>Sim</v>
      </c>
      <c r="Q64" s="180" t="str">
        <f>IFERROR(__xludf.DUMMYFUNCTION("""COMPUTED_VALUE"""),"1 - Imprescindível")</f>
        <v>1 - Imprescindível</v>
      </c>
      <c r="R64" s="180" t="str">
        <f>IFERROR(__xludf.DUMMYFUNCTION("""COMPUTED_VALUE"""),"1 - Selecionado")</f>
        <v>1 - Selecionado</v>
      </c>
      <c r="S64" s="180"/>
      <c r="T64" s="180"/>
      <c r="U64" s="180" t="str">
        <f>IFERROR(__xludf.DUMMYFUNCTION("""COMPUTED_VALUE"""),"99 - Orçamentário")</f>
        <v>99 - Orçamentário</v>
      </c>
      <c r="V64" s="180"/>
      <c r="W64" s="180" t="str">
        <f>IFERROR(__xludf.DUMMYFUNCTION("""COMPUTED_VALUE"""),"1038/2021")</f>
        <v>1038/2021</v>
      </c>
      <c r="X64" s="180" t="str">
        <f>IFERROR(__xludf.DUMMYFUNCTION("""COMPUTED_VALUE"""),"SEINFRA")</f>
        <v>SEINFRA</v>
      </c>
      <c r="Y64" s="180" t="str">
        <f>IFERROR(__xludf.DUMMYFUNCTION("""COMPUTED_VALUE"""),"ORÇAMENTO")</f>
        <v>ORÇAMENTO</v>
      </c>
      <c r="Z64" s="180" t="str">
        <f>IFERROR(__xludf.DUMMYFUNCTION("""COMPUTED_VALUE"""),"RP")</f>
        <v>RP</v>
      </c>
      <c r="AA64" s="180" t="str">
        <f>IFERROR(__xludf.DUMMYFUNCTION("""COMPUTED_VALUE"""),"RP-1038/2021")</f>
        <v>RP-1038/2021</v>
      </c>
      <c r="AB64" s="230">
        <f>IFERROR(__xludf.DUMMYFUNCTION("""COMPUTED_VALUE"""),2.3518065000129E13)</f>
        <v>23518065000129</v>
      </c>
      <c r="AC64" s="180" t="str">
        <f>IFERROR(__xludf.DUMMYFUNCTION("""COMPUTED_VALUE"""),"XP ON CONSULTORIA LTDA")</f>
        <v>XP ON CONSULTORIA LTDA</v>
      </c>
      <c r="AD64" s="189"/>
      <c r="AE64" s="189"/>
      <c r="AF64" s="180" t="str">
        <f>IFERROR(__xludf.DUMMYFUNCTION("""COMPUTED_VALUE"""),"Anderson Bastos
Diretor do SEINFRA")</f>
        <v>Anderson Bastos
Diretor do SEINFRA</v>
      </c>
      <c r="AG64" s="233">
        <f>IFERROR(__xludf.DUMMYFUNCTION("""COMPUTED_VALUE"""),1.0)</f>
        <v>1</v>
      </c>
      <c r="AH64" s="190">
        <f>IFERROR(__xludf.DUMMYFUNCTION("""COMPUTED_VALUE"""),484.45)</f>
        <v>484.45</v>
      </c>
      <c r="AI64" s="180"/>
      <c r="AJ64" s="190"/>
      <c r="AK64" s="180" t="str">
        <f>IFERROR(__xludf.DUMMYFUNCTION("""COMPUTED_VALUE"""),"Roberto Masami Nakajo")</f>
        <v>Roberto Masami Nakajo</v>
      </c>
      <c r="AL64" s="180"/>
      <c r="AM64" s="180"/>
      <c r="AN64" s="190">
        <f>IFERROR(__xludf.DUMMYFUNCTION("""COMPUTED_VALUE"""),484.45)</f>
        <v>484.45</v>
      </c>
      <c r="AO64" s="190"/>
      <c r="AP64" s="180" t="str">
        <f>IFERROR(__xludf.DUMMYFUNCTION("""COMPUTED_VALUE"""),"2022NE000250")</f>
        <v>2022NE000250</v>
      </c>
      <c r="AQ64" s="190">
        <f>IFERROR(__xludf.DUMMYFUNCTION("""COMPUTED_VALUE"""),0.0)</f>
        <v>0</v>
      </c>
      <c r="AR64" s="190">
        <f>IFERROR(__xludf.DUMMYFUNCTION("""COMPUTED_VALUE"""),484.45)</f>
        <v>484.45</v>
      </c>
      <c r="AS64" s="180"/>
      <c r="AT64" s="190">
        <f>IFERROR(__xludf.DUMMYFUNCTION("""COMPUTED_VALUE"""),484.45)</f>
        <v>484.45</v>
      </c>
      <c r="AU64" s="190"/>
      <c r="AV64" s="232"/>
      <c r="AW64" s="190">
        <f>IFERROR(__xludf.DUMMYFUNCTION("""COMPUTED_VALUE"""),0.0)</f>
        <v>0</v>
      </c>
      <c r="AX64" s="190"/>
      <c r="AY64" s="190">
        <f>IFERROR(__xludf.DUMMYFUNCTION("""COMPUTED_VALUE"""),484.45)</f>
        <v>484.45</v>
      </c>
      <c r="AZ64" s="190">
        <f>IFERROR(__xludf.DUMMYFUNCTION("""COMPUTED_VALUE"""),484.45)</f>
        <v>484.45</v>
      </c>
      <c r="BA64" s="190">
        <f>IFERROR(__xludf.DUMMYFUNCTION("""COMPUTED_VALUE"""),0.0)</f>
        <v>0</v>
      </c>
      <c r="BB64" s="180" t="str">
        <f>IFERROR(__xludf.DUMMYFUNCTION("""COMPUTED_VALUE"""),"RP-1038/2021")</f>
        <v>RP-1038/2021</v>
      </c>
      <c r="BC64" s="232"/>
      <c r="BD64" s="180" t="str">
        <f>IFERROR(__xludf.DUMMYFUNCTION("""COMPUTED_VALUE"""),"Não")</f>
        <v>Não</v>
      </c>
      <c r="BE64" s="180"/>
      <c r="BF64" s="180" t="str">
        <f>IFERROR(__xludf.DUMMYFUNCTION("""COMPUTED_VALUE"""),"Complemento")</f>
        <v>Complemento</v>
      </c>
      <c r="BG64" s="180"/>
      <c r="BH64" s="233">
        <f>IFERROR(__xludf.DUMMYFUNCTION("""COMPUTED_VALUE"""),300000.0)</f>
        <v>300000</v>
      </c>
      <c r="BI64" s="180" t="str">
        <f>IFERROR(__xludf.DUMMYFUNCTION("""COMPUTED_VALUE"""),"Alta")</f>
        <v>Alta</v>
      </c>
      <c r="BJ64" s="180"/>
      <c r="BK64" s="180" t="str">
        <f>IFERROR(__xludf.DUMMYFUNCTION("""COMPUTED_VALUE"""),"ano")</f>
        <v>ano</v>
      </c>
      <c r="BL64" s="180"/>
      <c r="BM64" s="180" t="str">
        <f>IFERROR(__xludf.DUMMYFUNCTION("""COMPUTED_VALUE"""),"ORÇAMENTO")</f>
        <v>ORÇAMENTO</v>
      </c>
      <c r="BN64" s="189"/>
      <c r="BO64" s="189"/>
      <c r="BP64" s="190"/>
      <c r="BQ64" s="190"/>
      <c r="BR64" s="190"/>
      <c r="BS64" s="190">
        <f>IFERROR(__xludf.DUMMYFUNCTION("""COMPUTED_VALUE"""),484.45)</f>
        <v>484.45</v>
      </c>
      <c r="BT64" s="190"/>
      <c r="BU64" s="180" t="str">
        <f>IFERROR(__xludf.DUMMYFUNCTION("""COMPUTED_VALUE"""),"Computação em nuvem - software como serviço (SAAS)")</f>
        <v>Computação em nuvem - software como serviço (SAAS)</v>
      </c>
      <c r="BV64" s="180"/>
      <c r="BW64" s="180"/>
      <c r="BX64" s="180"/>
      <c r="BY64" s="180"/>
      <c r="BZ64" s="189"/>
      <c r="CA64" s="180"/>
      <c r="CB64" s="180" t="str">
        <f>IFERROR(__xludf.DUMMYFUNCTION("""COMPUTED_VALUE"""),"Manutenção e Gestão dos Serviços de Tecnologia da Informação")</f>
        <v>Manutenção e Gestão dos Serviços de Tecnologia da Informação</v>
      </c>
      <c r="CC64" s="180" t="str">
        <f>IFERROR(__xludf.DUMMYFUNCTION("""COMPUTED_VALUE""")," - ")</f>
        <v> - </v>
      </c>
      <c r="CD64" s="180" t="str">
        <f>IFERROR(__xludf.DUMMYFUNCTION("""COMPUTED_VALUE"""),"SERVIÇOS DE TECNOLOGIA DA INFORMAÇÃO E COMUNICAÇÃO - TIC")</f>
        <v>SERVIÇOS DE TECNOLOGIA DA INFORMAÇÃO E COMUNICAÇÃO - TIC</v>
      </c>
      <c r="CE64" s="180"/>
      <c r="CF64" s="180" t="str">
        <f>IFERROR(__xludf.DUMMYFUNCTION("""COMPUTED_VALUE"""),"COMPUTAÇÃO EM NUVEM - SOFTWARE COMO SERVIÇO (SAAS)")</f>
        <v>COMPUTAÇÃO EM NUVEM - SOFTWARE COMO SERVIÇO (SAAS)</v>
      </c>
      <c r="CG64" s="189"/>
      <c r="CH64" s="189">
        <f>IFERROR(__xludf.DUMMYFUNCTION("""COMPUTED_VALUE"""),365.0)</f>
        <v>365</v>
      </c>
      <c r="CI64" s="180" t="str">
        <f>IFERROR(__xludf.DUMMYFUNCTION("""COMPUTED_VALUE"""),"ORÇAMENTO")</f>
        <v>ORÇAMENTO</v>
      </c>
      <c r="CJ64" s="190"/>
      <c r="CK64" s="189"/>
      <c r="CL64" s="180"/>
      <c r="CM64" s="180"/>
      <c r="CN64" s="180" t="str">
        <f>IFERROR(__xludf.DUMMYFUNCTION("""COMPUTED_VALUE"""),"RP-1038/2021")</f>
        <v>RP-1038/2021</v>
      </c>
      <c r="CO64" s="180"/>
      <c r="CP64" s="180"/>
      <c r="CQ64" s="180"/>
      <c r="CR64" s="180"/>
      <c r="CS64" s="180"/>
      <c r="CT64" s="180"/>
      <c r="CU64" s="180"/>
      <c r="CV64" s="180"/>
      <c r="CW64" s="180"/>
      <c r="CX64" s="180"/>
      <c r="CY64" s="180"/>
      <c r="CZ64" s="180"/>
      <c r="DA64" s="180"/>
      <c r="DB64" s="180"/>
    </row>
    <row r="65">
      <c r="A65" s="230">
        <f>IFERROR(__xludf.DUMMYFUNCTION("""COMPUTED_VALUE"""),15394.0)</f>
        <v>15394</v>
      </c>
      <c r="B65" s="230">
        <f>IFERROR(__xludf.DUMMYFUNCTION("""COMPUTED_VALUE"""),15018.0)</f>
        <v>15018</v>
      </c>
      <c r="C65" s="180" t="str">
        <f>IFERROR(__xludf.DUMMYFUNCTION("""COMPUTED_VALUE"""),"ASSYST - Contratação de suporte e atualização de licenças da solução de gerenciamento de serviços e registro de chamadas de TIC. (Reconhecimento de dívida de exercício anterior)")</f>
        <v>ASSYST - Contratação de suporte e atualização de licenças da solução de gerenciamento de serviços e registro de chamadas de TIC. (Reconhecimento de dívida de exercício anterior)</v>
      </c>
      <c r="D65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65" s="180" t="str">
        <f>IFERROR(__xludf.DUMMYFUNCTION("""COMPUTED_VALUE"""),"EJ05 - APERFEIÇOAR A GOVERNANÇA E A GESTÃO")</f>
        <v>EJ05 - APERFEIÇOAR A GOVERNANÇA E A GESTÃO</v>
      </c>
      <c r="F65" s="180" t="str">
        <f>IFERROR(__xludf.DUMMYFUNCTION("""COMPUTED_VALUE"""),"Contratação de serviços para o suporte à infraestrutura tecnológica")</f>
        <v>Contratação de serviços para o suporte à infraestrutura tecnológica</v>
      </c>
      <c r="G65" s="180" t="str">
        <f>IFERROR(__xludf.DUMMYFUNCTION("""COMPUTED_VALUE"""),"(ID PAAC 15394) ASSYST - Contratação de suporte e atualização de licenças da solução de gerenciamento de serviços e registro de chamadas de TIC. (Reconhecimento de dívida de exercício anterior)")</f>
        <v>(ID PAAC 15394) ASSYST - Contratação de suporte e atualização de licenças da solução de gerenciamento de serviços e registro de chamadas de TIC. (Reconhecimento de dívida de exercício anterior)</v>
      </c>
      <c r="H65" s="180" t="str">
        <f>IFERROR(__xludf.DUMMYFUNCTION("""COMPUTED_VALUE"""),"Continuado")</f>
        <v>Continuado</v>
      </c>
      <c r="I65" s="180" t="str">
        <f>IFERROR(__xludf.DUMMYFUNCTION("""COMPUTED_VALUE"""),"SETIC")</f>
        <v>SETIC</v>
      </c>
      <c r="J65" s="180" t="str">
        <f>IFERROR(__xludf.DUMMYFUNCTION("""COMPUTED_VALUE"""),"SETIC")</f>
        <v>SETIC</v>
      </c>
      <c r="K65" s="180" t="str">
        <f>IFERROR(__xludf.DUMMYFUNCTION("""COMPUTED_VALUE"""),"GND3")</f>
        <v>GND3</v>
      </c>
      <c r="L65" s="231">
        <f>IFERROR(__xludf.DUMMYFUNCTION("""COMPUTED_VALUE"""),0.0)</f>
        <v>0</v>
      </c>
      <c r="M65" s="232">
        <f>IFERROR(__xludf.DUMMYFUNCTION("""COMPUTED_VALUE"""),3.3904007E7)</f>
        <v>33904007</v>
      </c>
      <c r="N65" s="232">
        <f>IFERROR(__xludf.DUMMYFUNCTION("""COMPUTED_VALUE"""),0.0)</f>
        <v>0</v>
      </c>
      <c r="O65" s="230">
        <f>IFERROR(__xludf.DUMMYFUNCTION("""COMPUTED_VALUE"""),168107.0)</f>
        <v>168107</v>
      </c>
      <c r="P65" s="180" t="str">
        <f>IFERROR(__xludf.DUMMYFUNCTION("""COMPUTED_VALUE"""),"Sim")</f>
        <v>Sim</v>
      </c>
      <c r="Q65" s="180" t="str">
        <f>IFERROR(__xludf.DUMMYFUNCTION("""COMPUTED_VALUE"""),"2 - Importante")</f>
        <v>2 - Importante</v>
      </c>
      <c r="R65" s="180" t="str">
        <f>IFERROR(__xludf.DUMMYFUNCTION("""COMPUTED_VALUE"""),"1 - Selecionado")</f>
        <v>1 - Selecionado</v>
      </c>
      <c r="S65" s="180"/>
      <c r="T65" s="180"/>
      <c r="U65" s="180" t="str">
        <f>IFERROR(__xludf.DUMMYFUNCTION("""COMPUTED_VALUE"""),"99 - Orçamentário")</f>
        <v>99 - Orçamentário</v>
      </c>
      <c r="V65" s="180"/>
      <c r="W65" s="180" t="str">
        <f>IFERROR(__xludf.DUMMYFUNCTION("""COMPUTED_VALUE"""),"3891/2017")</f>
        <v>3891/2017</v>
      </c>
      <c r="X65" s="180" t="str">
        <f>IFERROR(__xludf.DUMMYFUNCTION("""COMPUTED_VALUE"""),"SESUP")</f>
        <v>SESUP</v>
      </c>
      <c r="Y65" s="180" t="str">
        <f>IFERROR(__xludf.DUMMYFUNCTION("""COMPUTED_VALUE"""),"ORÇAMENTO")</f>
        <v>ORÇAMENTO</v>
      </c>
      <c r="Z65" s="180" t="str">
        <f>IFERROR(__xludf.DUMMYFUNCTION("""COMPUTED_VALUE"""),"RP")</f>
        <v>RP</v>
      </c>
      <c r="AA65" s="180" t="str">
        <f>IFERROR(__xludf.DUMMYFUNCTION("""COMPUTED_VALUE"""),"RP-3891/2017")</f>
        <v>RP-3891/2017</v>
      </c>
      <c r="AB65" s="230">
        <f>IFERROR(__xludf.DUMMYFUNCTION("""COMPUTED_VALUE"""),7.8333640001E12)</f>
        <v>7833364000100</v>
      </c>
      <c r="AC65" s="180" t="str">
        <f>IFERROR(__xludf.DUMMYFUNCTION("""COMPUTED_VALUE"""),"ACTIVE - TECNOLOGIA SERVICOS E CONSULTORIA EM INFORMATI")</f>
        <v>ACTIVE - TECNOLOGIA SERVICOS E CONSULTORIA EM INFORMATI</v>
      </c>
      <c r="AD65" s="189"/>
      <c r="AE65" s="189"/>
      <c r="AF65" s="180" t="str">
        <f>IFERROR(__xludf.DUMMYFUNCTION("""COMPUTED_VALUE"""),"Márcio César Jacinto
Diretor do SESUP - Substituto")</f>
        <v>Márcio César Jacinto
Diretor do SESUP - Substituto</v>
      </c>
      <c r="AG65" s="233"/>
      <c r="AH65" s="190"/>
      <c r="AI65" s="180"/>
      <c r="AJ65" s="190"/>
      <c r="AK65" s="180" t="str">
        <f>IFERROR(__xludf.DUMMYFUNCTION("""COMPUTED_VALUE"""),"Cláudio Zamparetti")</f>
        <v>Cláudio Zamparetti</v>
      </c>
      <c r="AL65" s="180"/>
      <c r="AM65" s="180"/>
      <c r="AN65" s="190">
        <f>IFERROR(__xludf.DUMMYFUNCTION("""COMPUTED_VALUE"""),620.92)</f>
        <v>620.92</v>
      </c>
      <c r="AO65" s="190"/>
      <c r="AP65" s="180" t="str">
        <f>IFERROR(__xludf.DUMMYFUNCTION("""COMPUTED_VALUE"""),"2022NE000100")</f>
        <v>2022NE000100</v>
      </c>
      <c r="AQ65" s="190">
        <f>IFERROR(__xludf.DUMMYFUNCTION("""COMPUTED_VALUE"""),0.0)</f>
        <v>0</v>
      </c>
      <c r="AR65" s="190">
        <f>IFERROR(__xludf.DUMMYFUNCTION("""COMPUTED_VALUE"""),620.92)</f>
        <v>620.92</v>
      </c>
      <c r="AS65" s="180"/>
      <c r="AT65" s="190">
        <f>IFERROR(__xludf.DUMMYFUNCTION("""COMPUTED_VALUE"""),620.92)</f>
        <v>620.92</v>
      </c>
      <c r="AU65" s="190"/>
      <c r="AV65" s="232"/>
      <c r="AW65" s="190">
        <f>IFERROR(__xludf.DUMMYFUNCTION("""COMPUTED_VALUE"""),0.0)</f>
        <v>0</v>
      </c>
      <c r="AX65" s="190"/>
      <c r="AY65" s="190">
        <f>IFERROR(__xludf.DUMMYFUNCTION("""COMPUTED_VALUE"""),620.92)</f>
        <v>620.92</v>
      </c>
      <c r="AZ65" s="190">
        <f>IFERROR(__xludf.DUMMYFUNCTION("""COMPUTED_VALUE"""),620.92)</f>
        <v>620.92</v>
      </c>
      <c r="BA65" s="190">
        <f>IFERROR(__xludf.DUMMYFUNCTION("""COMPUTED_VALUE"""),0.0)</f>
        <v>0</v>
      </c>
      <c r="BB65" s="180" t="str">
        <f>IFERROR(__xludf.DUMMYFUNCTION("""COMPUTED_VALUE"""),"RP-3891/2017")</f>
        <v>RP-3891/2017</v>
      </c>
      <c r="BC65" s="232"/>
      <c r="BD65" s="180" t="str">
        <f>IFERROR(__xludf.DUMMYFUNCTION("""COMPUTED_VALUE"""),"Não")</f>
        <v>Não</v>
      </c>
      <c r="BE65" s="180"/>
      <c r="BF65" s="180" t="str">
        <f>IFERROR(__xludf.DUMMYFUNCTION("""COMPUTED_VALUE"""),"Complemento")</f>
        <v>Complemento</v>
      </c>
      <c r="BG65" s="180"/>
      <c r="BH65" s="233">
        <f>IFERROR(__xludf.DUMMYFUNCTION("""COMPUTED_VALUE"""),200000.0)</f>
        <v>200000</v>
      </c>
      <c r="BI65" s="180" t="str">
        <f>IFERROR(__xludf.DUMMYFUNCTION("""COMPUTED_VALUE"""),"Média")</f>
        <v>Média</v>
      </c>
      <c r="BJ65" s="180"/>
      <c r="BK65" s="180" t="str">
        <f>IFERROR(__xludf.DUMMYFUNCTION("""COMPUTED_VALUE"""),"ano")</f>
        <v>ano</v>
      </c>
      <c r="BL65" s="180"/>
      <c r="BM65" s="180" t="str">
        <f>IFERROR(__xludf.DUMMYFUNCTION("""COMPUTED_VALUE"""),"ORÇAMENTO")</f>
        <v>ORÇAMENTO</v>
      </c>
      <c r="BN65" s="189"/>
      <c r="BO65" s="189"/>
      <c r="BP65" s="190"/>
      <c r="BQ65" s="190"/>
      <c r="BR65" s="190"/>
      <c r="BS65" s="190">
        <f>IFERROR(__xludf.DUMMYFUNCTION("""COMPUTED_VALUE"""),620.92)</f>
        <v>620.92</v>
      </c>
      <c r="BT65" s="190"/>
      <c r="BU65" s="180" t="str">
        <f>IFERROR(__xludf.DUMMYFUNCTION("""COMPUTED_VALUE"""),"Manutenção corretiva/adaptativa e sustentação softwares")</f>
        <v>Manutenção corretiva/adaptativa e sustentação softwares</v>
      </c>
      <c r="BV65" s="180"/>
      <c r="BW65" s="180"/>
      <c r="BX65" s="180"/>
      <c r="BY65" s="180"/>
      <c r="BZ65" s="189"/>
      <c r="CA65" s="180"/>
      <c r="CB65" s="180" t="str">
        <f>IFERROR(__xludf.DUMMYFUNCTION("""COMPUTED_VALUE"""),"Manutenção e Gestão dos Serviços de Tecnologia da Informação")</f>
        <v>Manutenção e Gestão dos Serviços de Tecnologia da Informação</v>
      </c>
      <c r="CC65" s="180" t="str">
        <f>IFERROR(__xludf.DUMMYFUNCTION("""COMPUTED_VALUE""")," - ")</f>
        <v> - </v>
      </c>
      <c r="CD65" s="180" t="str">
        <f>IFERROR(__xludf.DUMMYFUNCTION("""COMPUTED_VALUE"""),"SERVIÇOS DE TECNOLOGIA DA INFORMAÇÃO E COMUNICAÇÃO - TIC")</f>
        <v>SERVIÇOS DE TECNOLOGIA DA INFORMAÇÃO E COMUNICAÇÃO - TIC</v>
      </c>
      <c r="CE65" s="180"/>
      <c r="CF65" s="180" t="str">
        <f>IFERROR(__xludf.DUMMYFUNCTION("""COMPUTED_VALUE"""),"MANUTENÇÃO CORRETIVA/ADAPTATIVA E SUSTENTAÇÃO SOFTWARES")</f>
        <v>MANUTENÇÃO CORRETIVA/ADAPTATIVA E SUSTENTAÇÃO SOFTWARES</v>
      </c>
      <c r="CG65" s="189"/>
      <c r="CH65" s="189">
        <f>IFERROR(__xludf.DUMMYFUNCTION("""COMPUTED_VALUE"""),365.0)</f>
        <v>365</v>
      </c>
      <c r="CI65" s="180" t="str">
        <f>IFERROR(__xludf.DUMMYFUNCTION("""COMPUTED_VALUE"""),"ORÇAMENTO")</f>
        <v>ORÇAMENTO</v>
      </c>
      <c r="CJ65" s="190"/>
      <c r="CK65" s="189"/>
      <c r="CL65" s="180"/>
      <c r="CM65" s="180"/>
      <c r="CN65" s="180" t="str">
        <f>IFERROR(__xludf.DUMMYFUNCTION("""COMPUTED_VALUE"""),"RP-3891/2017")</f>
        <v>RP-3891/2017</v>
      </c>
      <c r="CO65" s="180"/>
      <c r="CP65" s="180"/>
      <c r="CQ65" s="180"/>
      <c r="CR65" s="180"/>
      <c r="CS65" s="180"/>
      <c r="CT65" s="180"/>
      <c r="CU65" s="180"/>
      <c r="CV65" s="180"/>
      <c r="CW65" s="180"/>
      <c r="CX65" s="180"/>
      <c r="CY65" s="180"/>
      <c r="CZ65" s="180"/>
      <c r="DA65" s="180"/>
      <c r="DB65" s="180"/>
    </row>
    <row r="66">
      <c r="A66" s="230">
        <f>IFERROR(__xludf.DUMMYFUNCTION("""COMPUTED_VALUE"""),15895.0)</f>
        <v>15895</v>
      </c>
      <c r="B66" s="230">
        <f>IFERROR(__xludf.DUMMYFUNCTION("""COMPUTED_VALUE"""),15373.0)</f>
        <v>15373</v>
      </c>
      <c r="C66" s="180" t="str">
        <f>IFERROR(__xludf.DUMMYFUNCTION("""COMPUTED_VALUE"""),"SO - Contratação de suporte e operação de infraestrutura de TIC/PJe - PO CSJT, inclui suporte Linux, contrato obrigatório dedicado ao PJe (Reconhecimento de dívida de exercício anterior)")</f>
        <v>SO - Contratação de suporte e operação de infraestrutura de TIC/PJe - PO CSJT, inclui suporte Linux, contrato obrigatório dedicado ao PJe (Reconhecimento de dívida de exercício anterior)</v>
      </c>
      <c r="D66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66" s="180" t="str">
        <f>IFERROR(__xludf.DUMMYFUNCTION("""COMPUTED_VALUE"""),"EJ08 - PROMOVER SERVIÇOS DE INFRAESTRUTURA E SOLUÇÕES CORPORATIVAS")</f>
        <v>EJ08 - PROMOVER SERVIÇOS DE INFRAESTRUTURA E SOLUÇÕES CORPORATIVAS</v>
      </c>
      <c r="F66" s="180" t="str">
        <f>IFERROR(__xludf.DUMMYFUNCTION("""COMPUTED_VALUE"""),"Contratação de serviços para o suporte à infraestrutura tecnológica")</f>
        <v>Contratação de serviços para o suporte à infraestrutura tecnológica</v>
      </c>
      <c r="G66" s="180" t="str">
        <f>IFERROR(__xludf.DUMMYFUNCTION("""COMPUTED_VALUE"""),"(ID PAAC 15895) SO - Contratação de suporte e operação de infraestrutura de TIC/PJe - PO CSJT, inclui suporte Linux, contrato obrigatório dedicado ao PJe (Reconhecimento de dívida de exercício anterior)")</f>
        <v>(ID PAAC 15895) SO - Contratação de suporte e operação de infraestrutura de TIC/PJe - PO CSJT, inclui suporte Linux, contrato obrigatório dedicado ao PJe (Reconhecimento de dívida de exercício anterior)</v>
      </c>
      <c r="H66" s="180" t="str">
        <f>IFERROR(__xludf.DUMMYFUNCTION("""COMPUTED_VALUE"""),"Continuado")</f>
        <v>Continuado</v>
      </c>
      <c r="I66" s="180" t="str">
        <f>IFERROR(__xludf.DUMMYFUNCTION("""COMPUTED_VALUE"""),"SETIC")</f>
        <v>SETIC</v>
      </c>
      <c r="J66" s="180" t="str">
        <f>IFERROR(__xludf.DUMMYFUNCTION("""COMPUTED_VALUE"""),"SETIC")</f>
        <v>SETIC</v>
      </c>
      <c r="K66" s="180" t="str">
        <f>IFERROR(__xludf.DUMMYFUNCTION("""COMPUTED_VALUE"""),"GND3")</f>
        <v>GND3</v>
      </c>
      <c r="L66" s="231">
        <f>IFERROR(__xludf.DUMMYFUNCTION("""COMPUTED_VALUE"""),0.0)</f>
        <v>0</v>
      </c>
      <c r="M66" s="232">
        <f>IFERROR(__xludf.DUMMYFUNCTION("""COMPUTED_VALUE"""),3.3904007E7)</f>
        <v>33904007</v>
      </c>
      <c r="N66" s="232">
        <f>IFERROR(__xludf.DUMMYFUNCTION("""COMPUTED_VALUE"""),0.0)</f>
        <v>0</v>
      </c>
      <c r="O66" s="230">
        <f>IFERROR(__xludf.DUMMYFUNCTION("""COMPUTED_VALUE"""),168107.0)</f>
        <v>168107</v>
      </c>
      <c r="P66" s="180" t="str">
        <f>IFERROR(__xludf.DUMMYFUNCTION("""COMPUTED_VALUE"""),"Sim")</f>
        <v>Sim</v>
      </c>
      <c r="Q66" s="180" t="str">
        <f>IFERROR(__xludf.DUMMYFUNCTION("""COMPUTED_VALUE"""),"1 - Imprescindível")</f>
        <v>1 - Imprescindível</v>
      </c>
      <c r="R66" s="180" t="str">
        <f>IFERROR(__xludf.DUMMYFUNCTION("""COMPUTED_VALUE"""),"1 - Selecionado")</f>
        <v>1 - Selecionado</v>
      </c>
      <c r="S66" s="180"/>
      <c r="T66" s="180"/>
      <c r="U66" s="180" t="str">
        <f>IFERROR(__xludf.DUMMYFUNCTION("""COMPUTED_VALUE"""),"99 - Orçamentário")</f>
        <v>99 - Orçamentário</v>
      </c>
      <c r="V66" s="180"/>
      <c r="W66" s="180" t="str">
        <f>IFERROR(__xludf.DUMMYFUNCTION("""COMPUTED_VALUE"""),"6789/2021")</f>
        <v>6789/2021</v>
      </c>
      <c r="X66" s="180" t="str">
        <f>IFERROR(__xludf.DUMMYFUNCTION("""COMPUTED_VALUE"""),"SEINFRA")</f>
        <v>SEINFRA</v>
      </c>
      <c r="Y66" s="180" t="str">
        <f>IFERROR(__xludf.DUMMYFUNCTION("""COMPUTED_VALUE"""),"ORÇAMENTO")</f>
        <v>ORÇAMENTO</v>
      </c>
      <c r="Z66" s="180" t="str">
        <f>IFERROR(__xludf.DUMMYFUNCTION("""COMPUTED_VALUE"""),"PRE")</f>
        <v>PRE</v>
      </c>
      <c r="AA66" s="180" t="str">
        <f>IFERROR(__xludf.DUMMYFUNCTION("""COMPUTED_VALUE"""),"PRE-6789/2021")</f>
        <v>PRE-6789/2021</v>
      </c>
      <c r="AB66" s="230">
        <f>IFERROR(__xludf.DUMMYFUNCTION("""COMPUTED_VALUE"""),4.892991000115E12)</f>
        <v>4892991000115</v>
      </c>
      <c r="AC66" s="180" t="str">
        <f>IFERROR(__xludf.DUMMYFUNCTION("""COMPUTED_VALUE"""),"TELTEC SOLUTIONS LTDA")</f>
        <v>TELTEC SOLUTIONS LTDA</v>
      </c>
      <c r="AD66" s="189"/>
      <c r="AE66" s="189"/>
      <c r="AF66" s="180" t="str">
        <f>IFERROR(__xludf.DUMMYFUNCTION("""COMPUTED_VALUE"""),"Anderson Bastos
Diretor do SEINFRA")</f>
        <v>Anderson Bastos
Diretor do SEINFRA</v>
      </c>
      <c r="AG66" s="233">
        <f>IFERROR(__xludf.DUMMYFUNCTION("""COMPUTED_VALUE"""),1.0)</f>
        <v>1</v>
      </c>
      <c r="AH66" s="190">
        <f>IFERROR(__xludf.DUMMYFUNCTION("""COMPUTED_VALUE"""),583.33)</f>
        <v>583.33</v>
      </c>
      <c r="AI66" s="180"/>
      <c r="AJ66" s="190"/>
      <c r="AK66" s="180" t="str">
        <f>IFERROR(__xludf.DUMMYFUNCTION("""COMPUTED_VALUE"""),"Anderson Bastos")</f>
        <v>Anderson Bastos</v>
      </c>
      <c r="AL66" s="180"/>
      <c r="AM66" s="180"/>
      <c r="AN66" s="190">
        <f>IFERROR(__xludf.DUMMYFUNCTION("""COMPUTED_VALUE"""),583.33)</f>
        <v>583.33</v>
      </c>
      <c r="AO66" s="190"/>
      <c r="AP66" s="180" t="str">
        <f>IFERROR(__xludf.DUMMYFUNCTION("""COMPUTED_VALUE"""),"2022NE000116")</f>
        <v>2022NE000116</v>
      </c>
      <c r="AQ66" s="190">
        <f>IFERROR(__xludf.DUMMYFUNCTION("""COMPUTED_VALUE"""),0.0)</f>
        <v>0</v>
      </c>
      <c r="AR66" s="190">
        <f>IFERROR(__xludf.DUMMYFUNCTION("""COMPUTED_VALUE"""),583.33)</f>
        <v>583.33</v>
      </c>
      <c r="AS66" s="180"/>
      <c r="AT66" s="190">
        <f>IFERROR(__xludf.DUMMYFUNCTION("""COMPUTED_VALUE"""),583.33)</f>
        <v>583.33</v>
      </c>
      <c r="AU66" s="190"/>
      <c r="AV66" s="232"/>
      <c r="AW66" s="190">
        <f>IFERROR(__xludf.DUMMYFUNCTION("""COMPUTED_VALUE"""),0.0)</f>
        <v>0</v>
      </c>
      <c r="AX66" s="190"/>
      <c r="AY66" s="190">
        <f>IFERROR(__xludf.DUMMYFUNCTION("""COMPUTED_VALUE"""),583.33)</f>
        <v>583.33</v>
      </c>
      <c r="AZ66" s="190">
        <f>IFERROR(__xludf.DUMMYFUNCTION("""COMPUTED_VALUE"""),583.33)</f>
        <v>583.33</v>
      </c>
      <c r="BA66" s="190">
        <f>IFERROR(__xludf.DUMMYFUNCTION("""COMPUTED_VALUE"""),0.0)</f>
        <v>0</v>
      </c>
      <c r="BB66" s="180" t="str">
        <f>IFERROR(__xludf.DUMMYFUNCTION("""COMPUTED_VALUE"""),"PRE-6789/2021")</f>
        <v>PRE-6789/2021</v>
      </c>
      <c r="BC66" s="232"/>
      <c r="BD66" s="180" t="str">
        <f>IFERROR(__xludf.DUMMYFUNCTION("""COMPUTED_VALUE"""),"Não")</f>
        <v>Não</v>
      </c>
      <c r="BE66" s="180"/>
      <c r="BF66" s="180" t="str">
        <f>IFERROR(__xludf.DUMMYFUNCTION("""COMPUTED_VALUE"""),"Complemento")</f>
        <v>Complemento</v>
      </c>
      <c r="BG66" s="180"/>
      <c r="BH66" s="233">
        <f>IFERROR(__xludf.DUMMYFUNCTION("""COMPUTED_VALUE"""),300000.0)</f>
        <v>300000</v>
      </c>
      <c r="BI66" s="180" t="str">
        <f>IFERROR(__xludf.DUMMYFUNCTION("""COMPUTED_VALUE"""),"Alta")</f>
        <v>Alta</v>
      </c>
      <c r="BJ66" s="180"/>
      <c r="BK66" s="180" t="str">
        <f>IFERROR(__xludf.DUMMYFUNCTION("""COMPUTED_VALUE"""),"ano")</f>
        <v>ano</v>
      </c>
      <c r="BL66" s="180"/>
      <c r="BM66" s="180" t="str">
        <f>IFERROR(__xludf.DUMMYFUNCTION("""COMPUTED_VALUE"""),"ORÇAMENTO")</f>
        <v>ORÇAMENTO</v>
      </c>
      <c r="BN66" s="189"/>
      <c r="BO66" s="189"/>
      <c r="BP66" s="190"/>
      <c r="BQ66" s="190"/>
      <c r="BR66" s="190"/>
      <c r="BS66" s="190">
        <f>IFERROR(__xludf.DUMMYFUNCTION("""COMPUTED_VALUE"""),583.33)</f>
        <v>583.33</v>
      </c>
      <c r="BT66" s="190"/>
      <c r="BU66" s="180" t="str">
        <f>IFERROR(__xludf.DUMMYFUNCTION("""COMPUTED_VALUE"""),"Manutenção corretiva/adaptativa e sustentação softwares")</f>
        <v>Manutenção corretiva/adaptativa e sustentação softwares</v>
      </c>
      <c r="BV66" s="180"/>
      <c r="BW66" s="180"/>
      <c r="BX66" s="180"/>
      <c r="BY66" s="180"/>
      <c r="BZ66" s="189"/>
      <c r="CA66" s="180"/>
      <c r="CB66" s="180" t="str">
        <f>IFERROR(__xludf.DUMMYFUNCTION("""COMPUTED_VALUE"""),"Manutenção e Gestão dos Serviços de Tecnologia da Informação")</f>
        <v>Manutenção e Gestão dos Serviços de Tecnologia da Informação</v>
      </c>
      <c r="CC66" s="180" t="str">
        <f>IFERROR(__xludf.DUMMYFUNCTION("""COMPUTED_VALUE""")," - ")</f>
        <v> - </v>
      </c>
      <c r="CD66" s="180" t="str">
        <f>IFERROR(__xludf.DUMMYFUNCTION("""COMPUTED_VALUE"""),"SERVIÇOS DE TECNOLOGIA DA INFORMAÇÃO E COMUNICAÇÃO - TIC")</f>
        <v>SERVIÇOS DE TECNOLOGIA DA INFORMAÇÃO E COMUNICAÇÃO - TIC</v>
      </c>
      <c r="CE66" s="180"/>
      <c r="CF66" s="180" t="str">
        <f>IFERROR(__xludf.DUMMYFUNCTION("""COMPUTED_VALUE"""),"MANUTENÇÃO CORRETIVA/ADAPTATIVA E SUSTENTAÇÃO SOFTWARES")</f>
        <v>MANUTENÇÃO CORRETIVA/ADAPTATIVA E SUSTENTAÇÃO SOFTWARES</v>
      </c>
      <c r="CG66" s="189"/>
      <c r="CH66" s="189">
        <f>IFERROR(__xludf.DUMMYFUNCTION("""COMPUTED_VALUE"""),365.0)</f>
        <v>365</v>
      </c>
      <c r="CI66" s="180" t="str">
        <f>IFERROR(__xludf.DUMMYFUNCTION("""COMPUTED_VALUE"""),"ORÇAMENTO")</f>
        <v>ORÇAMENTO</v>
      </c>
      <c r="CJ66" s="190"/>
      <c r="CK66" s="189"/>
      <c r="CL66" s="180"/>
      <c r="CM66" s="180"/>
      <c r="CN66" s="180" t="str">
        <f>IFERROR(__xludf.DUMMYFUNCTION("""COMPUTED_VALUE"""),"PRE-6789/2021")</f>
        <v>PRE-6789/2021</v>
      </c>
      <c r="CO66" s="180"/>
      <c r="CP66" s="180"/>
      <c r="CQ66" s="180"/>
      <c r="CR66" s="180"/>
      <c r="CS66" s="180"/>
      <c r="CT66" s="180"/>
      <c r="CU66" s="180"/>
      <c r="CV66" s="180"/>
      <c r="CW66" s="180"/>
      <c r="CX66" s="180"/>
      <c r="CY66" s="180"/>
      <c r="CZ66" s="180"/>
      <c r="DA66" s="180"/>
      <c r="DB66" s="180"/>
    </row>
    <row r="67">
      <c r="A67" s="230">
        <f>IFERROR(__xludf.DUMMYFUNCTION("""COMPUTED_VALUE"""),15896.0)</f>
        <v>15896</v>
      </c>
      <c r="B67" s="230">
        <f>IFERROR(__xludf.DUMMYFUNCTION("""COMPUTED_VALUE"""),15254.0)</f>
        <v>15254</v>
      </c>
      <c r="C67" s="180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(HZ PORTAIS).")</f>
        <v>CERTIFICADOS PJ - Aquisição Certificados Digitais SSL (PJe, domínio trt12.jus.br e siscondj), obrigatório para estabelecer autenticação de confiança entre sistemas de informação. Exigido pela instituição bancária (HZ PORTAIS).</v>
      </c>
      <c r="D67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67" s="180" t="str">
        <f>IFERROR(__xludf.DUMMYFUNCTION("""COMPUTED_VALUE"""),"EJ08 - PROMOVER SERVIÇOS DE INFRAESTRUTURA E SOLUÇÕES CORPORATIVAS")</f>
        <v>EJ08 - PROMOVER SERVIÇOS DE INFRAESTRUTURA E SOLUÇÕES CORPORATIVAS</v>
      </c>
      <c r="F67" s="180" t="str">
        <f>IFERROR(__xludf.DUMMYFUNCTION("""COMPUTED_VALUE"""),"Contratação de serviços de suporte à microinformática")</f>
        <v>Contratação de serviços de suporte à microinformática</v>
      </c>
      <c r="G67" s="180" t="str">
        <f>IFERROR(__xludf.DUMMYFUNCTION("""COMPUTED_VALUE"""),"(ID PAAC 15896) CERTIFICADOS PJ - Aquisição Certificados Digitais SSL (PJe, domínio trt12.jus.br e siscondj), obrigatório para estabelecer autenticação de confiança entre sistemas de informação. Exigido pela instituição bancária (HZ PORTAIS).")</f>
        <v>(ID PAAC 15896) CERTIFICADOS PJ - Aquisição Certificados Digitais SSL (PJe, domínio trt12.jus.br e siscondj), obrigatório para estabelecer autenticação de confiança entre sistemas de informação. Exigido pela instituição bancária (HZ PORTAIS).</v>
      </c>
      <c r="H67" s="180" t="str">
        <f>IFERROR(__xludf.DUMMYFUNCTION("""COMPUTED_VALUE"""),"Imediato")</f>
        <v>Imediato</v>
      </c>
      <c r="I67" s="180" t="str">
        <f>IFERROR(__xludf.DUMMYFUNCTION("""COMPUTED_VALUE"""),"SETIC")</f>
        <v>SETIC</v>
      </c>
      <c r="J67" s="180" t="str">
        <f>IFERROR(__xludf.DUMMYFUNCTION("""COMPUTED_VALUE"""),"SETIC")</f>
        <v>SETIC</v>
      </c>
      <c r="K67" s="180" t="str">
        <f>IFERROR(__xludf.DUMMYFUNCTION("""COMPUTED_VALUE"""),"GND3")</f>
        <v>GND3</v>
      </c>
      <c r="L67" s="231">
        <f>IFERROR(__xludf.DUMMYFUNCTION("""COMPUTED_VALUE"""),0.0)</f>
        <v>0</v>
      </c>
      <c r="M67" s="232">
        <f>IFERROR(__xludf.DUMMYFUNCTION("""COMPUTED_VALUE"""),3.3904023E7)</f>
        <v>33904023</v>
      </c>
      <c r="N67" s="232">
        <f>IFERROR(__xludf.DUMMYFUNCTION("""COMPUTED_VALUE"""),0.0)</f>
        <v>0</v>
      </c>
      <c r="O67" s="230">
        <f>IFERROR(__xludf.DUMMYFUNCTION("""COMPUTED_VALUE"""),168105.0)</f>
        <v>168105</v>
      </c>
      <c r="P67" s="180" t="str">
        <f>IFERROR(__xludf.DUMMYFUNCTION("""COMPUTED_VALUE"""),"Não")</f>
        <v>Não</v>
      </c>
      <c r="Q67" s="180" t="str">
        <f>IFERROR(__xludf.DUMMYFUNCTION("""COMPUTED_VALUE"""),"1 - Imprescindível")</f>
        <v>1 - Imprescindível</v>
      </c>
      <c r="R67" s="180" t="str">
        <f>IFERROR(__xludf.DUMMYFUNCTION("""COMPUTED_VALUE"""),"1 - Selecionado")</f>
        <v>1 - Selecionado</v>
      </c>
      <c r="S67" s="180"/>
      <c r="T67" s="180"/>
      <c r="U67" s="180" t="str">
        <f>IFERROR(__xludf.DUMMYFUNCTION("""COMPUTED_VALUE"""),"07 - Concluída")</f>
        <v>07 - Concluída</v>
      </c>
      <c r="V67" s="180" t="str">
        <f>IFERROR(__xludf.DUMMYFUNCTION("""COMPUTED_VALUE"""),"1891/2022")</f>
        <v>1891/2022</v>
      </c>
      <c r="W67" s="180" t="str">
        <f>IFERROR(__xludf.DUMMYFUNCTION("""COMPUTED_VALUE"""),"2832/2022")</f>
        <v>2832/2022</v>
      </c>
      <c r="X67" s="180" t="str">
        <f>IFERROR(__xludf.DUMMYFUNCTION("""COMPUTED_VALUE"""),"SEINFRA")</f>
        <v>SEINFRA</v>
      </c>
      <c r="Y67" s="180" t="str">
        <f>IFERROR(__xludf.DUMMYFUNCTION("""COMPUTED_VALUE"""),"DISPENSA_PELO_VALOR")</f>
        <v>DISPENSA_PELO_VALOR</v>
      </c>
      <c r="Z67" s="180" t="str">
        <f>IFERROR(__xludf.DUMMYFUNCTION("""COMPUTED_VALUE"""),"CD")</f>
        <v>CD</v>
      </c>
      <c r="AA67" s="180" t="str">
        <f>IFERROR(__xludf.DUMMYFUNCTION("""COMPUTED_VALUE"""),"CD-2832/2022")</f>
        <v>CD-2832/2022</v>
      </c>
      <c r="AB67" s="230">
        <f>IFERROR(__xludf.DUMMYFUNCTION("""COMPUTED_VALUE"""),3.727926500018E13)</f>
        <v>37279265000180</v>
      </c>
      <c r="AC67" s="180" t="str">
        <f>IFERROR(__xludf.DUMMYFUNCTION("""COMPUTED_VALUE"""),"HZ PORTAIS DE INTERNET LTDA")</f>
        <v>HZ PORTAIS DE INTERNET LTDA</v>
      </c>
      <c r="AD67" s="189">
        <f>IFERROR(__xludf.DUMMYFUNCTION("""COMPUTED_VALUE"""),44643.0)</f>
        <v>44643</v>
      </c>
      <c r="AE67" s="189">
        <f>IFERROR(__xludf.DUMMYFUNCTION("""COMPUTED_VALUE"""),44653.0)</f>
        <v>44653</v>
      </c>
      <c r="AF67" s="180" t="str">
        <f>IFERROR(__xludf.DUMMYFUNCTION("""COMPUTED_VALUE"""),"Anderson Bastos
Diretor do SEINFRA")</f>
        <v>Anderson Bastos
Diretor do SEINFRA</v>
      </c>
      <c r="AG67" s="233">
        <f>IFERROR(__xludf.DUMMYFUNCTION("""COMPUTED_VALUE"""),2.0)</f>
        <v>2</v>
      </c>
      <c r="AH67" s="190">
        <f>IFERROR(__xludf.DUMMYFUNCTION("""COMPUTED_VALUE"""),632.7)</f>
        <v>632.7</v>
      </c>
      <c r="AI67" s="180" t="str">
        <f>IFERROR(__xludf.DUMMYFUNCTION("""COMPUTED_VALUE"""),"Não")</f>
        <v>Não</v>
      </c>
      <c r="AJ67" s="190"/>
      <c r="AK67" s="180"/>
      <c r="AL67" s="180"/>
      <c r="AM67" s="180"/>
      <c r="AN67" s="190">
        <f>IFERROR(__xludf.DUMMYFUNCTION("""COMPUTED_VALUE"""),1265.4)</f>
        <v>1265.4</v>
      </c>
      <c r="AO67" s="190"/>
      <c r="AP67" s="180" t="str">
        <f>IFERROR(__xludf.DUMMYFUNCTION("""COMPUTED_VALUE"""),"2022NE000267")</f>
        <v>2022NE000267</v>
      </c>
      <c r="AQ67" s="190">
        <f>IFERROR(__xludf.DUMMYFUNCTION("""COMPUTED_VALUE"""),0.0)</f>
        <v>0</v>
      </c>
      <c r="AR67" s="190">
        <f>IFERROR(__xludf.DUMMYFUNCTION("""COMPUTED_VALUE"""),1265.4)</f>
        <v>1265.4</v>
      </c>
      <c r="AS67" s="180"/>
      <c r="AT67" s="190">
        <f>IFERROR(__xludf.DUMMYFUNCTION("""COMPUTED_VALUE"""),1265.4)</f>
        <v>1265.4</v>
      </c>
      <c r="AU67" s="190"/>
      <c r="AV67" s="232"/>
      <c r="AW67" s="190">
        <f>IFERROR(__xludf.DUMMYFUNCTION("""COMPUTED_VALUE"""),0.0)</f>
        <v>0</v>
      </c>
      <c r="AX67" s="190"/>
      <c r="AY67" s="190">
        <f>IFERROR(__xludf.DUMMYFUNCTION("""COMPUTED_VALUE"""),1265.4)</f>
        <v>1265.4</v>
      </c>
      <c r="AZ67" s="190">
        <f>IFERROR(__xludf.DUMMYFUNCTION("""COMPUTED_VALUE"""),0.0)</f>
        <v>0</v>
      </c>
      <c r="BA67" s="190">
        <f>IFERROR(__xludf.DUMMYFUNCTION("""COMPUTED_VALUE"""),1265.4)</f>
        <v>1265.4</v>
      </c>
      <c r="BB67" s="180" t="str">
        <f>IFERROR(__xludf.DUMMYFUNCTION("""COMPUTED_VALUE"""),"CD-2832/2022")</f>
        <v>CD-2832/2022</v>
      </c>
      <c r="BC67" s="232"/>
      <c r="BD67" s="180"/>
      <c r="BE67" s="180"/>
      <c r="BF67" s="180"/>
      <c r="BG67" s="180"/>
      <c r="BH67" s="233">
        <f>IFERROR(__xludf.DUMMYFUNCTION("""COMPUTED_VALUE"""),300000.0)</f>
        <v>300000</v>
      </c>
      <c r="BI67" s="180" t="str">
        <f>IFERROR(__xludf.DUMMYFUNCTION("""COMPUTED_VALUE"""),"Alta")</f>
        <v>Alta</v>
      </c>
      <c r="BJ67" s="180"/>
      <c r="BK67" s="180" t="str">
        <f>IFERROR(__xludf.DUMMYFUNCTION("""COMPUTED_VALUE"""),"unidade")</f>
        <v>unidade</v>
      </c>
      <c r="BL67" s="180"/>
      <c r="BM67" s="180" t="str">
        <f>IFERROR(__xludf.DUMMYFUNCTION("""COMPUTED_VALUE"""),"DISPENSA_PELO_VALOR")</f>
        <v>DISPENSA_PELO_VALOR</v>
      </c>
      <c r="BN67" s="189">
        <f>IFERROR(__xludf.DUMMYFUNCTION("""COMPUTED_VALUE"""),44643.0)</f>
        <v>44643</v>
      </c>
      <c r="BO67" s="189">
        <f>IFERROR(__xludf.DUMMYFUNCTION("""COMPUTED_VALUE"""),44643.0)</f>
        <v>44643</v>
      </c>
      <c r="BP67" s="190">
        <f>IFERROR(__xludf.DUMMYFUNCTION("""COMPUTED_VALUE"""),1265.4)</f>
        <v>1265.4</v>
      </c>
      <c r="BQ67" s="190">
        <f>IFERROR(__xludf.DUMMYFUNCTION("""COMPUTED_VALUE"""),1265.4)</f>
        <v>1265.4</v>
      </c>
      <c r="BR67" s="190">
        <f>IFERROR(__xludf.DUMMYFUNCTION("""COMPUTED_VALUE"""),1265.4)</f>
        <v>1265.4</v>
      </c>
      <c r="BS67" s="190">
        <f>IFERROR(__xludf.DUMMYFUNCTION("""COMPUTED_VALUE"""),1265.4)</f>
        <v>1265.4</v>
      </c>
      <c r="BT67" s="190">
        <f>IFERROR(__xludf.DUMMYFUNCTION("""COMPUTED_VALUE"""),1265.4)</f>
        <v>1265.4</v>
      </c>
      <c r="BU67" s="180" t="str">
        <f>IFERROR(__xludf.DUMMYFUNCTION("""COMPUTED_VALUE"""),"Emissão de Certificados Digitais")</f>
        <v>Emissão de Certificados Digitais</v>
      </c>
      <c r="BV67" s="180"/>
      <c r="BW67" s="180"/>
      <c r="BX67" s="180"/>
      <c r="BY67" s="180"/>
      <c r="BZ67" s="189"/>
      <c r="CA67" s="180"/>
      <c r="CB67" s="180" t="str">
        <f>IFERROR(__xludf.DUMMYFUNCTION("""COMPUTED_VALUE"""),"Apreciação de Causas na Justiça do Trabalho")</f>
        <v>Apreciação de Causas na Justiça do Trabalho</v>
      </c>
      <c r="CC67" s="180" t="str">
        <f>IFERROR(__xludf.DUMMYFUNCTION("""COMPUTED_VALUE""")," - ")</f>
        <v> - </v>
      </c>
      <c r="CD67" s="180" t="str">
        <f>IFERROR(__xludf.DUMMYFUNCTION("""COMPUTED_VALUE"""),"SERVIÇOS DE TECNOLOGIA DA INFORMAÇÃO E COMUNICAÇÃO - TIC")</f>
        <v>SERVIÇOS DE TECNOLOGIA DA INFORMAÇÃO E COMUNICAÇÃO - TIC</v>
      </c>
      <c r="CE67" s="180"/>
      <c r="CF67" s="180" t="str">
        <f>IFERROR(__xludf.DUMMYFUNCTION("""COMPUTED_VALUE"""),"EMISSÃO DE CERTIFICADOS DIGITAIS")</f>
        <v>EMISSÃO DE CERTIFICADOS DIGITAIS</v>
      </c>
      <c r="CG67" s="189"/>
      <c r="CH67" s="189">
        <f>IFERROR(__xludf.DUMMYFUNCTION("""COMPUTED_VALUE"""),45018.0)</f>
        <v>45018</v>
      </c>
      <c r="CI67" s="180" t="str">
        <f>IFERROR(__xludf.DUMMYFUNCTION("""COMPUTED_VALUE"""),"DISPENSA_PELO_VALOR")</f>
        <v>DISPENSA_PELO_VALOR</v>
      </c>
      <c r="CJ67" s="190"/>
      <c r="CK67" s="189"/>
      <c r="CL67" s="180"/>
      <c r="CM67" s="180"/>
      <c r="CN67" s="180" t="str">
        <f>IFERROR(__xludf.DUMMYFUNCTION("""COMPUTED_VALUE"""),"CD-2832/2022")</f>
        <v>CD-2832/2022</v>
      </c>
      <c r="CO67" s="180"/>
      <c r="CP67" s="180"/>
      <c r="CQ67" s="180"/>
      <c r="CR67" s="180"/>
      <c r="CS67" s="180"/>
      <c r="CT67" s="180"/>
      <c r="CU67" s="180"/>
      <c r="CV67" s="180"/>
      <c r="CW67" s="180"/>
      <c r="CX67" s="180"/>
      <c r="CY67" s="180"/>
      <c r="CZ67" s="180"/>
      <c r="DA67" s="180"/>
      <c r="DB67" s="180"/>
    </row>
    <row r="68">
      <c r="A68" s="230">
        <f>IFERROR(__xludf.DUMMYFUNCTION("""COMPUTED_VALUE"""),15897.0)</f>
        <v>15897</v>
      </c>
      <c r="B68" s="230">
        <f>IFERROR(__xludf.DUMMYFUNCTION("""COMPUTED_VALUE"""),99999.0)</f>
        <v>99999</v>
      </c>
      <c r="C68" s="180" t="str">
        <f>IFERROR(__xludf.DUMMYFUNCTION("""COMPUTED_VALUE"""),"SIABI MEMORIAL - Licenças e serviços de suporte técnico e manutenção para o SIABI (Sistema de software
Automação de Bibliotecas, Arquivos, museus e Memoriais) com direito a versões
atualizadas.")</f>
        <v>SIABI MEMORIAL - Licenças e serviços de suporte técnico e manutenção para o SIABI (Sistema de software
Automação de Bibliotecas, Arquivos, museus e Memoriais) com direito a versões
atualizadas.</v>
      </c>
      <c r="D68" s="180" t="str">
        <f>IFERROR(__xludf.DUMMYFUNCTION("""COMPUTED_VALUE"""),"Contratação/prorrogação de contrato de prestação de serviço continuado de tecnologia da informação e telecomunicações que atende a projeto estratégico, garante a prestação jurisdicional, evita a interrupção da prestação administrativa e/ou atende a normat"&amp;"ivo.
")</f>
        <v>Contratação/prorrogação de contrato de prestação de serviço continuado de tecnologia da informação e telecomunicações que atende a projeto estratégico, garante a prestação jurisdicional, evita a interrupção da prestação administrativa e/ou atende a normativo.
</v>
      </c>
      <c r="E68" s="180" t="str">
        <f>IFERROR(__xludf.DUMMYFUNCTION("""COMPUTED_VALUE"""),"EJ05 - APERFEIÇOAR A GOVERNANÇA E A GESTÃO")</f>
        <v>EJ05 - APERFEIÇOAR A GOVERNANÇA E A GESTÃO</v>
      </c>
      <c r="F68" s="180" t="str">
        <f>IFERROR(__xludf.DUMMYFUNCTION("""COMPUTED_VALUE"""),"Contratação de serviços de suporte à microinformática")</f>
        <v>Contratação de serviços de suporte à microinformática</v>
      </c>
      <c r="G68" s="180" t="str">
        <f>IFERROR(__xludf.DUMMYFUNCTION("""COMPUTED_VALUE"""),"(ID PAAC 15897) SIABI MEMORIAL - Licenças e serviços de suporte técnico e manutenção para o SIABI (Sistema de software
Automação de Bibliotecas, Arquivos, museus e Memoriais) com direito a versões
atualizadas.")</f>
        <v>(ID PAAC 15897) SIABI MEMORIAL - Licenças e serviços de suporte técnico e manutenção para o SIABI (Sistema de software
Automação de Bibliotecas, Arquivos, museus e Memoriais) com direito a versões
atualizadas.</v>
      </c>
      <c r="H68" s="180" t="str">
        <f>IFERROR(__xludf.DUMMYFUNCTION("""COMPUTED_VALUE"""),"Continuado")</f>
        <v>Continuado</v>
      </c>
      <c r="I68" s="180" t="str">
        <f>IFERROR(__xludf.DUMMYFUNCTION("""COMPUTED_VALUE"""),"SEJUP")</f>
        <v>SEJUP</v>
      </c>
      <c r="J68" s="180" t="str">
        <f>IFERROR(__xludf.DUMMYFUNCTION("""COMPUTED_VALUE"""),"SETIC")</f>
        <v>SETIC</v>
      </c>
      <c r="K68" s="180" t="str">
        <f>IFERROR(__xludf.DUMMYFUNCTION("""COMPUTED_VALUE"""),"GND3")</f>
        <v>GND3</v>
      </c>
      <c r="L68" s="231">
        <f>IFERROR(__xludf.DUMMYFUNCTION("""COMPUTED_VALUE"""),0.0)</f>
        <v>0</v>
      </c>
      <c r="M68" s="232">
        <f>IFERROR(__xludf.DUMMYFUNCTION("""COMPUTED_VALUE"""),3.3904007E7)</f>
        <v>33904007</v>
      </c>
      <c r="N68" s="232">
        <f>IFERROR(__xludf.DUMMYFUNCTION("""COMPUTED_VALUE"""),0.0)</f>
        <v>0</v>
      </c>
      <c r="O68" s="230">
        <f>IFERROR(__xludf.DUMMYFUNCTION("""COMPUTED_VALUE"""),168105.0)</f>
        <v>168105</v>
      </c>
      <c r="P68" s="180" t="str">
        <f>IFERROR(__xludf.DUMMYFUNCTION("""COMPUTED_VALUE"""),"Não")</f>
        <v>Não</v>
      </c>
      <c r="Q68" s="180" t="str">
        <f>IFERROR(__xludf.DUMMYFUNCTION("""COMPUTED_VALUE"""),"2 - Importante")</f>
        <v>2 - Importante</v>
      </c>
      <c r="R68" s="180" t="str">
        <f>IFERROR(__xludf.DUMMYFUNCTION("""COMPUTED_VALUE"""),"1 - Selecionado")</f>
        <v>1 - Selecionado</v>
      </c>
      <c r="S68" s="180"/>
      <c r="T68" s="180"/>
      <c r="U68" s="180" t="str">
        <f>IFERROR(__xludf.DUMMYFUNCTION("""COMPUTED_VALUE"""),"02 - DOD emitido")</f>
        <v>02 - DOD emitido</v>
      </c>
      <c r="V68" s="180" t="str">
        <f>IFERROR(__xludf.DUMMYFUNCTION("""COMPUTED_VALUE"""),"2754/2022")</f>
        <v>2754/2022</v>
      </c>
      <c r="W68" s="180"/>
      <c r="X68" s="180" t="str">
        <f>IFERROR(__xludf.DUMMYFUNCTION("""COMPUTED_VALUE"""),"SESUP")</f>
        <v>SESUP</v>
      </c>
      <c r="Y68" s="180" t="str">
        <f>IFERROR(__xludf.DUMMYFUNCTION("""COMPUTED_VALUE"""),"DISPENSA_PELO_VALOR")</f>
        <v>DISPENSA_PELO_VALOR</v>
      </c>
      <c r="Z68" s="180" t="str">
        <f>IFERROR(__xludf.DUMMYFUNCTION("""COMPUTED_VALUE"""),"CD")</f>
        <v>CD</v>
      </c>
      <c r="AA68" s="180"/>
      <c r="AB68" s="230"/>
      <c r="AC68" s="180" t="str">
        <f>IFERROR(__xludf.DUMMYFUNCTION("""COMPUTED_VALUE"""),"#N/A")</f>
        <v>#N/A</v>
      </c>
      <c r="AD68" s="189">
        <f>IFERROR(__xludf.DUMMYFUNCTION("""COMPUTED_VALUE"""),44672.0)</f>
        <v>44672</v>
      </c>
      <c r="AE68" s="189">
        <f>IFERROR(__xludf.DUMMYFUNCTION("""COMPUTED_VALUE"""),44682.0)</f>
        <v>44682</v>
      </c>
      <c r="AF68" s="180" t="str">
        <f>IFERROR(__xludf.DUMMYFUNCTION("""COMPUTED_VALUE"""),"Márcio César Jacinto
Diretor do SESUP - Substituto")</f>
        <v>Márcio César Jacinto
Diretor do SESUP - Substituto</v>
      </c>
      <c r="AG68" s="233">
        <f>IFERROR(__xludf.DUMMYFUNCTION("""COMPUTED_VALUE"""),2.0)</f>
        <v>2</v>
      </c>
      <c r="AH68" s="190">
        <f>IFERROR(__xludf.DUMMYFUNCTION("""COMPUTED_VALUE"""),7785.68)</f>
        <v>7785.68</v>
      </c>
      <c r="AI68" s="180"/>
      <c r="AJ68" s="190"/>
      <c r="AK68" s="180"/>
      <c r="AL68" s="180"/>
      <c r="AM68" s="180"/>
      <c r="AN68" s="190">
        <f>IFERROR(__xludf.DUMMYFUNCTION("""COMPUTED_VALUE"""),15571.36)</f>
        <v>15571.36</v>
      </c>
      <c r="AO68" s="190">
        <f>IFERROR(__xludf.DUMMYFUNCTION("""COMPUTED_VALUE"""),0.0)</f>
        <v>0</v>
      </c>
      <c r="AP68" s="180"/>
      <c r="AQ68" s="190">
        <f>IFERROR(__xludf.DUMMYFUNCTION("""COMPUTED_VALUE"""),0.0)</f>
        <v>0</v>
      </c>
      <c r="AR68" s="190">
        <f>IFERROR(__xludf.DUMMYFUNCTION("""COMPUTED_VALUE"""),15571.36)</f>
        <v>15571.36</v>
      </c>
      <c r="AS68" s="180"/>
      <c r="AT68" s="190">
        <f>IFERROR(__xludf.DUMMYFUNCTION("""COMPUTED_VALUE"""),15571.36)</f>
        <v>15571.36</v>
      </c>
      <c r="AU68" s="190"/>
      <c r="AV68" s="232"/>
      <c r="AW68" s="190">
        <f>IFERROR(__xludf.DUMMYFUNCTION("""COMPUTED_VALUE"""),0.0)</f>
        <v>0</v>
      </c>
      <c r="AX68" s="190"/>
      <c r="AY68" s="190">
        <f>IFERROR(__xludf.DUMMYFUNCTION("""COMPUTED_VALUE"""),0.0)</f>
        <v>0</v>
      </c>
      <c r="AZ68" s="190">
        <f>IFERROR(__xludf.DUMMYFUNCTION("""COMPUTED_VALUE"""),0.0)</f>
        <v>0</v>
      </c>
      <c r="BA68" s="190">
        <f>IFERROR(__xludf.DUMMYFUNCTION("""COMPUTED_VALUE"""),0.0)</f>
        <v>0</v>
      </c>
      <c r="BB68" s="180"/>
      <c r="BC68" s="232"/>
      <c r="BD68" s="180"/>
      <c r="BE68" s="180"/>
      <c r="BF68" s="180"/>
      <c r="BG68" s="180"/>
      <c r="BH68" s="233">
        <f>IFERROR(__xludf.DUMMYFUNCTION("""COMPUTED_VALUE"""),200000.0)</f>
        <v>200000</v>
      </c>
      <c r="BI68" s="180" t="str">
        <f>IFERROR(__xludf.DUMMYFUNCTION("""COMPUTED_VALUE"""),"Média")</f>
        <v>Média</v>
      </c>
      <c r="BJ68" s="180"/>
      <c r="BK68" s="180" t="str">
        <f>IFERROR(__xludf.DUMMYFUNCTION("""COMPUTED_VALUE"""),"ano")</f>
        <v>ano</v>
      </c>
      <c r="BL68" s="180"/>
      <c r="BM68" s="180" t="str">
        <f>IFERROR(__xludf.DUMMYFUNCTION("""COMPUTED_VALUE"""),"DISPENSA_PELO_VALOR")</f>
        <v>DISPENSA_PELO_VALOR</v>
      </c>
      <c r="BN68" s="189"/>
      <c r="BO68" s="189"/>
      <c r="BP68" s="190"/>
      <c r="BQ68" s="190"/>
      <c r="BR68" s="190"/>
      <c r="BS68" s="190">
        <f>IFERROR(__xludf.DUMMYFUNCTION("""COMPUTED_VALUE"""),15571.36)</f>
        <v>15571.36</v>
      </c>
      <c r="BT68" s="190"/>
      <c r="BU68" s="180" t="str">
        <f>IFERROR(__xludf.DUMMYFUNCTION("""COMPUTED_VALUE"""),"Manutenção corretiva/adaptativa e sustentação softwares")</f>
        <v>Manutenção corretiva/adaptativa e sustentação softwares</v>
      </c>
      <c r="BV68" s="180"/>
      <c r="BW68" s="180"/>
      <c r="BX68" s="180"/>
      <c r="BY68" s="180"/>
      <c r="BZ68" s="189"/>
      <c r="CA68" s="180"/>
      <c r="CB68" s="180" t="str">
        <f>IFERROR(__xludf.DUMMYFUNCTION("""COMPUTED_VALUE"""),"Apreciação de Causas na Justiça do Trabalho")</f>
        <v>Apreciação de Causas na Justiça do Trabalho</v>
      </c>
      <c r="CC68" s="180" t="str">
        <f>IFERROR(__xludf.DUMMYFUNCTION("""COMPUTED_VALUE""")," - ")</f>
        <v> - </v>
      </c>
      <c r="CD68" s="180" t="str">
        <f>IFERROR(__xludf.DUMMYFUNCTION("""COMPUTED_VALUE"""),"SERVIÇOS DE TECNOLOGIA DA INFORMAÇÃO E COMUNICAÇÃO - TIC")</f>
        <v>SERVIÇOS DE TECNOLOGIA DA INFORMAÇÃO E COMUNICAÇÃO - TIC</v>
      </c>
      <c r="CE68" s="180"/>
      <c r="CF68" s="180" t="str">
        <f>IFERROR(__xludf.DUMMYFUNCTION("""COMPUTED_VALUE"""),"MANUTENÇÃO CORRETIVA/ADAPTATIVA E SUSTENTAÇÃO SOFTWARES")</f>
        <v>MANUTENÇÃO CORRETIVA/ADAPTATIVA E SUSTENTAÇÃO SOFTWARES</v>
      </c>
      <c r="CG68" s="189"/>
      <c r="CH68" s="189">
        <f>IFERROR(__xludf.DUMMYFUNCTION("""COMPUTED_VALUE"""),45047.0)</f>
        <v>45047</v>
      </c>
      <c r="CI68" s="180" t="str">
        <f>IFERROR(__xludf.DUMMYFUNCTION("""COMPUTED_VALUE"""),"DISPENSA_PELO_VALOR")</f>
        <v>DISPENSA_PELO_VALOR</v>
      </c>
      <c r="CJ68" s="190"/>
      <c r="CK68" s="189"/>
      <c r="CL68" s="180"/>
      <c r="CM68" s="180"/>
      <c r="CN68" s="180"/>
      <c r="CO68" s="180"/>
      <c r="CP68" s="180"/>
      <c r="CQ68" s="180"/>
      <c r="CR68" s="180"/>
      <c r="CS68" s="180"/>
      <c r="CT68" s="180"/>
      <c r="CU68" s="180"/>
      <c r="CV68" s="180"/>
      <c r="CW68" s="180"/>
      <c r="CX68" s="180"/>
      <c r="CY68" s="180"/>
      <c r="CZ68" s="180"/>
      <c r="DA68" s="180"/>
      <c r="DB68" s="180"/>
    </row>
    <row r="69">
      <c r="A69" s="230">
        <f>IFERROR(__xludf.DUMMYFUNCTION("""COMPUTED_VALUE"""),15898.0)</f>
        <v>15898</v>
      </c>
      <c r="B69" s="230">
        <f>IFERROR(__xludf.DUMMYFUNCTION("""COMPUTED_VALUE"""),99999.0)</f>
        <v>99999</v>
      </c>
      <c r="C69" s="180" t="str">
        <f>IFERROR(__xludf.DUMMYFUNCTION("""COMPUTED_VALUE"""),"NOBREAK EQUIPAMENTOS - Fornecimento de energia elétrica estabilizada e ininterrupta ao data center principal (equipamentos de 40 e 80 kVA)")</f>
        <v>NOBREAK EQUIPAMENTOS - Fornecimento de energia elétrica estabilizada e ininterrupta ao data center principal (equipamentos de 40 e 80 kVA)</v>
      </c>
      <c r="D69" s="180" t="str">
        <f>IFERROR(__xludf.DUMMYFUNCTION("""COMPUTED_VALUE"""),"Aquisição de produto, peça de reposição, material de consumo e/ou de serviço não continuado de tecnologia da informação e telecomunicações que objetiva evitar interrupções na prestação jurisdicional, inclusive as previstas no Plano Continuidade de Negócio"&amp;"s (PCN).")</f>
        <v>Aquisição de produto, peça de reposição, material de consumo e/ou de serviço não continuado de tecnologia da informação e telecomunicações que objetiva evitar interrupções na prestação jurisdicional, inclusive as previstas no Plano Continuidade de Negócios (PCN).</v>
      </c>
      <c r="E69" s="180" t="str">
        <f>IFERROR(__xludf.DUMMYFUNCTION("""COMPUTED_VALUE"""),"EJ08 - PROMOVER SERVIÇOS DE INFRAESTRUTURA E SOLUÇÕES CORPORATIVAS")</f>
        <v>EJ08 - PROMOVER SERVIÇOS DE INFRAESTRUTURA E SOLUÇÕES CORPORATIVAS</v>
      </c>
      <c r="F69" s="180" t="str">
        <f>IFERROR(__xludf.DUMMYFUNCTION("""COMPUTED_VALUE"""),"Aquisição de bens de infraestrutura tecnológica")</f>
        <v>Aquisição de bens de infraestrutura tecnológica</v>
      </c>
      <c r="G69" s="180" t="str">
        <f>IFERROR(__xludf.DUMMYFUNCTION("""COMPUTED_VALUE"""),"(ID PAAC 15898) NOBREAK EQUIPAMENTOS - Fornecimento de energia elétrica estabilizada e ininterrupta ao data center principal (equipamentos de 40 e 80 kVA)")</f>
        <v>(ID PAAC 15898) NOBREAK EQUIPAMENTOS - Fornecimento de energia elétrica estabilizada e ininterrupta ao data center principal (equipamentos de 40 e 80 kVA)</v>
      </c>
      <c r="H69" s="180" t="str">
        <f>IFERROR(__xludf.DUMMYFUNCTION("""COMPUTED_VALUE"""),"Imediato")</f>
        <v>Imediato</v>
      </c>
      <c r="I69" s="180" t="str">
        <f>IFERROR(__xludf.DUMMYFUNCTION("""COMPUTED_VALUE"""),"SETIC")</f>
        <v>SETIC</v>
      </c>
      <c r="J69" s="180" t="str">
        <f>IFERROR(__xludf.DUMMYFUNCTION("""COMPUTED_VALUE"""),"SETIC")</f>
        <v>SETIC</v>
      </c>
      <c r="K69" s="180" t="str">
        <f>IFERROR(__xludf.DUMMYFUNCTION("""COMPUTED_VALUE"""),"GND4")</f>
        <v>GND4</v>
      </c>
      <c r="L69" s="231">
        <f>IFERROR(__xludf.DUMMYFUNCTION("""COMPUTED_VALUE"""),0.0)</f>
        <v>0</v>
      </c>
      <c r="M69" s="232">
        <f>IFERROR(__xludf.DUMMYFUNCTION("""COMPUTED_VALUE"""),4.4905235E7)</f>
        <v>44905235</v>
      </c>
      <c r="N69" s="232">
        <f>IFERROR(__xludf.DUMMYFUNCTION("""COMPUTED_VALUE"""),0.0)</f>
        <v>0</v>
      </c>
      <c r="O69" s="230">
        <f>IFERROR(__xludf.DUMMYFUNCTION("""COMPUTED_VALUE"""),168105.0)</f>
        <v>168105</v>
      </c>
      <c r="P69" s="180" t="str">
        <f>IFERROR(__xludf.DUMMYFUNCTION("""COMPUTED_VALUE"""),"Não")</f>
        <v>Não</v>
      </c>
      <c r="Q69" s="180" t="str">
        <f>IFERROR(__xludf.DUMMYFUNCTION("""COMPUTED_VALUE"""),"1 - Imprescindível")</f>
        <v>1 - Imprescindível</v>
      </c>
      <c r="R69" s="180" t="str">
        <f>IFERROR(__xludf.DUMMYFUNCTION("""COMPUTED_VALUE"""),"1 - Selecionado")</f>
        <v>1 - Selecionado</v>
      </c>
      <c r="S69" s="180"/>
      <c r="T69" s="180"/>
      <c r="U69" s="180" t="str">
        <f>IFERROR(__xludf.DUMMYFUNCTION("""COMPUTED_VALUE"""),"02 - DOD emitido")</f>
        <v>02 - DOD emitido</v>
      </c>
      <c r="V69" s="180" t="str">
        <f>IFERROR(__xludf.DUMMYFUNCTION("""COMPUTED_VALUE"""),"2760/2022")</f>
        <v>2760/2022</v>
      </c>
      <c r="W69" s="180"/>
      <c r="X69" s="180" t="str">
        <f>IFERROR(__xludf.DUMMYFUNCTION("""COMPUTED_VALUE"""),"SESUP")</f>
        <v>SESUP</v>
      </c>
      <c r="Y69" s="180" t="str">
        <f>IFERROR(__xludf.DUMMYFUNCTION("""COMPUTED_VALUE"""),"PRE")</f>
        <v>PRE</v>
      </c>
      <c r="Z69" s="180" t="str">
        <f>IFERROR(__xludf.DUMMYFUNCTION("""COMPUTED_VALUE"""),"PRE")</f>
        <v>PRE</v>
      </c>
      <c r="AA69" s="180"/>
      <c r="AB69" s="230"/>
      <c r="AC69" s="180" t="str">
        <f>IFERROR(__xludf.DUMMYFUNCTION("""COMPUTED_VALUE"""),"#N/A")</f>
        <v>#N/A</v>
      </c>
      <c r="AD69" s="189">
        <f>IFERROR(__xludf.DUMMYFUNCTION("""COMPUTED_VALUE"""),44603.0)</f>
        <v>44603</v>
      </c>
      <c r="AE69" s="189">
        <f>IFERROR(__xludf.DUMMYFUNCTION("""COMPUTED_VALUE"""),44713.0)</f>
        <v>44713</v>
      </c>
      <c r="AF69" s="180" t="str">
        <f>IFERROR(__xludf.DUMMYFUNCTION("""COMPUTED_VALUE"""),"Márcio César Jacinto
Diretor do SESUP - Substituto")</f>
        <v>Márcio César Jacinto
Diretor do SESUP - Substituto</v>
      </c>
      <c r="AG69" s="233">
        <f>IFERROR(__xludf.DUMMYFUNCTION("""COMPUTED_VALUE"""),2.0)</f>
        <v>2</v>
      </c>
      <c r="AH69" s="190">
        <f>IFERROR(__xludf.DUMMYFUNCTION("""COMPUTED_VALUE"""),266500.0)</f>
        <v>266500</v>
      </c>
      <c r="AI69" s="180"/>
      <c r="AJ69" s="190"/>
      <c r="AK69" s="180"/>
      <c r="AL69" s="180"/>
      <c r="AM69" s="180"/>
      <c r="AN69" s="190">
        <f>IFERROR(__xludf.DUMMYFUNCTION("""COMPUTED_VALUE"""),533000.0)</f>
        <v>533000</v>
      </c>
      <c r="AO69" s="190">
        <f>IFERROR(__xludf.DUMMYFUNCTION("""COMPUTED_VALUE"""),0.0)</f>
        <v>0</v>
      </c>
      <c r="AP69" s="180"/>
      <c r="AQ69" s="190">
        <f>IFERROR(__xludf.DUMMYFUNCTION("""COMPUTED_VALUE"""),0.0)</f>
        <v>0</v>
      </c>
      <c r="AR69" s="190">
        <f>IFERROR(__xludf.DUMMYFUNCTION("""COMPUTED_VALUE"""),533000.0)</f>
        <v>533000</v>
      </c>
      <c r="AS69" s="180"/>
      <c r="AT69" s="190">
        <f>IFERROR(__xludf.DUMMYFUNCTION("""COMPUTED_VALUE"""),533000.0)</f>
        <v>533000</v>
      </c>
      <c r="AU69" s="190"/>
      <c r="AV69" s="232"/>
      <c r="AW69" s="190">
        <f>IFERROR(__xludf.DUMMYFUNCTION("""COMPUTED_VALUE"""),0.0)</f>
        <v>0</v>
      </c>
      <c r="AX69" s="190"/>
      <c r="AY69" s="190">
        <f>IFERROR(__xludf.DUMMYFUNCTION("""COMPUTED_VALUE"""),0.0)</f>
        <v>0</v>
      </c>
      <c r="AZ69" s="190">
        <f>IFERROR(__xludf.DUMMYFUNCTION("""COMPUTED_VALUE"""),0.0)</f>
        <v>0</v>
      </c>
      <c r="BA69" s="190">
        <f>IFERROR(__xludf.DUMMYFUNCTION("""COMPUTED_VALUE"""),0.0)</f>
        <v>0</v>
      </c>
      <c r="BB69" s="180"/>
      <c r="BC69" s="232"/>
      <c r="BD69" s="180"/>
      <c r="BE69" s="180"/>
      <c r="BF69" s="180"/>
      <c r="BG69" s="180"/>
      <c r="BH69" s="233">
        <f>IFERROR(__xludf.DUMMYFUNCTION("""COMPUTED_VALUE"""),300000.0)</f>
        <v>300000</v>
      </c>
      <c r="BI69" s="180" t="str">
        <f>IFERROR(__xludf.DUMMYFUNCTION("""COMPUTED_VALUE"""),"Alta")</f>
        <v>Alta</v>
      </c>
      <c r="BJ69" s="180"/>
      <c r="BK69" s="180" t="str">
        <f>IFERROR(__xludf.DUMMYFUNCTION("""COMPUTED_VALUE"""),"unidade")</f>
        <v>unidade</v>
      </c>
      <c r="BL69" s="180"/>
      <c r="BM69" s="180" t="str">
        <f>IFERROR(__xludf.DUMMYFUNCTION("""COMPUTED_VALUE"""),"PRE")</f>
        <v>PRE</v>
      </c>
      <c r="BN69" s="189"/>
      <c r="BO69" s="189"/>
      <c r="BP69" s="190"/>
      <c r="BQ69" s="190"/>
      <c r="BR69" s="190"/>
      <c r="BS69" s="190">
        <f>IFERROR(__xludf.DUMMYFUNCTION("""COMPUTED_VALUE"""),533000.0)</f>
        <v>533000</v>
      </c>
      <c r="BT69" s="190"/>
      <c r="BU69" s="180" t="str">
        <f>IFERROR(__xludf.DUMMYFUNCTION("""COMPUTED_VALUE"""),"Material de TIC (permanente)")</f>
        <v>Material de TIC (permanente)</v>
      </c>
      <c r="BV69" s="180"/>
      <c r="BW69" s="180"/>
      <c r="BX69" s="180"/>
      <c r="BY69" s="180"/>
      <c r="BZ69" s="189"/>
      <c r="CA69" s="180"/>
      <c r="CB69" s="180" t="str">
        <f>IFERROR(__xludf.DUMMYFUNCTION("""COMPUTED_VALUE"""),"Apreciação de Causas na Justiça do Trabalho")</f>
        <v>Apreciação de Causas na Justiça do Trabalho</v>
      </c>
      <c r="CC69" s="180" t="str">
        <f>IFERROR(__xludf.DUMMYFUNCTION("""COMPUTED_VALUE""")," - ")</f>
        <v> - </v>
      </c>
      <c r="CD69" s="180" t="str">
        <f>IFERROR(__xludf.DUMMYFUNCTION("""COMPUTED_VALUE"""),"EQUIPAMENTOS E MATERIAL PERMANENTE")</f>
        <v>EQUIPAMENTOS E MATERIAL PERMANENTE</v>
      </c>
      <c r="CE69" s="180"/>
      <c r="CF69" s="180" t="str">
        <f>IFERROR(__xludf.DUMMYFUNCTION("""COMPUTED_VALUE"""),"MATERIAL DE TIC (PERMANENTE)")</f>
        <v>MATERIAL DE TIC (PERMANENTE)</v>
      </c>
      <c r="CG69" s="189">
        <f>IFERROR(__xludf.DUMMYFUNCTION("""COMPUTED_VALUE"""),44966.0)</f>
        <v>44966</v>
      </c>
      <c r="CH69" s="189">
        <f>IFERROR(__xludf.DUMMYFUNCTION("""COMPUTED_VALUE"""),45078.0)</f>
        <v>45078</v>
      </c>
      <c r="CI69" s="180" t="str">
        <f>IFERROR(__xludf.DUMMYFUNCTION("""COMPUTED_VALUE"""),"PRE")</f>
        <v>PRE</v>
      </c>
      <c r="CJ69" s="190"/>
      <c r="CK69" s="189"/>
      <c r="CL69" s="180"/>
      <c r="CM69" s="180"/>
      <c r="CN69" s="180"/>
      <c r="CO69" s="180"/>
      <c r="CP69" s="180"/>
      <c r="CQ69" s="180"/>
      <c r="CR69" s="180"/>
      <c r="CS69" s="180"/>
      <c r="CT69" s="180"/>
      <c r="CU69" s="180"/>
      <c r="CV69" s="180"/>
      <c r="CW69" s="180"/>
      <c r="CX69" s="180"/>
      <c r="CY69" s="180"/>
      <c r="CZ69" s="180"/>
      <c r="DA69" s="180"/>
      <c r="DB69" s="180"/>
    </row>
    <row r="70">
      <c r="A70" s="230">
        <f>IFERROR(__xludf.DUMMYFUNCTION("""COMPUTED_VALUE"""),15899.0)</f>
        <v>15899</v>
      </c>
      <c r="B70" s="230">
        <f>IFERROR(__xludf.DUMMYFUNCTION("""COMPUTED_VALUE"""),15314.0)</f>
        <v>15314</v>
      </c>
      <c r="C70" s="180" t="str">
        <f>IFERROR(__xludf.DUMMYFUNCTION("""COMPUTED_VALUE"""),"NOBREAKS SYMMETRA - Suporte e manutenção de nobreaks do datacenter - SYMMETRA (complemento por mudança de CNPJ da contratada)")</f>
        <v>NOBREAKS SYMMETRA - Suporte e manutenção de nobreaks do datacenter - SYMMETRA (complemento por mudança de CNPJ da contratada)</v>
      </c>
      <c r="D70" s="180" t="str">
        <f>IFERROR(__xludf.DUMMYFUNCTION("""COMPUTED_VALUE"""),"Contratação/prorrogação de contrato de prestação de serviço continuado de tecnologia da informação e telecomunicações que objetiva evitar interrupções na prestação jurisdicional, inclusive as previstas no Plano Continuidade de Negócios (PCN).")</f>
        <v>Contratação/prorrogação de contrato de prestação de serviço continuado de tecnologia da informação e telecomunicações que objetiva evitar interrupções na prestação jurisdicional, inclusive as previstas no Plano Continuidade de Negócios (PCN).</v>
      </c>
      <c r="E70" s="180" t="str">
        <f>IFERROR(__xludf.DUMMYFUNCTION("""COMPUTED_VALUE"""),"EJ08 - PROMOVER SERVIÇOS DE INFRAESTRUTURA E SOLUÇÕES CORPORATIVAS")</f>
        <v>EJ08 - PROMOVER SERVIÇOS DE INFRAESTRUTURA E SOLUÇÕES CORPORATIVAS</v>
      </c>
      <c r="F70" s="180" t="str">
        <f>IFERROR(__xludf.DUMMYFUNCTION("""COMPUTED_VALUE"""),"Contratação de serviços para o suporte à infraestrutura tecnológica")</f>
        <v>Contratação de serviços para o suporte à infraestrutura tecnológica</v>
      </c>
      <c r="G70" s="180" t="str">
        <f>IFERROR(__xludf.DUMMYFUNCTION("""COMPUTED_VALUE"""),"(ID PAAC 15899) NOBREAKS SYMMETRA - Suporte e manutenção de nobreaks do datacenter - SYMMETRA (complemento por mudança de CNPJ da contratada)")</f>
        <v>(ID PAAC 15899) NOBREAKS SYMMETRA - Suporte e manutenção de nobreaks do datacenter - SYMMETRA (complemento por mudança de CNPJ da contratada)</v>
      </c>
      <c r="H70" s="180" t="str">
        <f>IFERROR(__xludf.DUMMYFUNCTION("""COMPUTED_VALUE"""),"Continuado")</f>
        <v>Continuado</v>
      </c>
      <c r="I70" s="180" t="str">
        <f>IFERROR(__xludf.DUMMYFUNCTION("""COMPUTED_VALUE"""),"SETIC")</f>
        <v>SETIC</v>
      </c>
      <c r="J70" s="180" t="str">
        <f>IFERROR(__xludf.DUMMYFUNCTION("""COMPUTED_VALUE"""),"SETIC")</f>
        <v>SETIC</v>
      </c>
      <c r="K70" s="180" t="str">
        <f>IFERROR(__xludf.DUMMYFUNCTION("""COMPUTED_VALUE"""),"GND3")</f>
        <v>GND3</v>
      </c>
      <c r="L70" s="231">
        <f>IFERROR(__xludf.DUMMYFUNCTION("""COMPUTED_VALUE"""),0.0)</f>
        <v>0</v>
      </c>
      <c r="M70" s="232">
        <f>IFERROR(__xludf.DUMMYFUNCTION("""COMPUTED_VALUE"""),3.3904012E7)</f>
        <v>33904012</v>
      </c>
      <c r="N70" s="232">
        <f>IFERROR(__xludf.DUMMYFUNCTION("""COMPUTED_VALUE"""),0.0)</f>
        <v>0</v>
      </c>
      <c r="O70" s="230">
        <f>IFERROR(__xludf.DUMMYFUNCTION("""COMPUTED_VALUE"""),168105.0)</f>
        <v>168105</v>
      </c>
      <c r="P70" s="180" t="str">
        <f>IFERROR(__xludf.DUMMYFUNCTION("""COMPUTED_VALUE"""),"Não")</f>
        <v>Não</v>
      </c>
      <c r="Q70" s="180" t="str">
        <f>IFERROR(__xludf.DUMMYFUNCTION("""COMPUTED_VALUE"""),"1 - Imprescindível")</f>
        <v>1 - Imprescindível</v>
      </c>
      <c r="R70" s="180" t="str">
        <f>IFERROR(__xludf.DUMMYFUNCTION("""COMPUTED_VALUE"""),"1 - Selecionado")</f>
        <v>1 - Selecionado</v>
      </c>
      <c r="S70" s="180"/>
      <c r="T70" s="180"/>
      <c r="U70" s="180" t="str">
        <f>IFERROR(__xludf.DUMMYFUNCTION("""COMPUTED_VALUE"""),"99 - Orçamentário")</f>
        <v>99 - Orçamentário</v>
      </c>
      <c r="V70" s="180"/>
      <c r="W70" s="180" t="str">
        <f>IFERROR(__xludf.DUMMYFUNCTION("""COMPUTED_VALUE"""),"5228/2020")</f>
        <v>5228/2020</v>
      </c>
      <c r="X70" s="180" t="str">
        <f>IFERROR(__xludf.DUMMYFUNCTION("""COMPUTED_VALUE"""),"SESUP")</f>
        <v>SESUP</v>
      </c>
      <c r="Y70" s="180" t="str">
        <f>IFERROR(__xludf.DUMMYFUNCTION("""COMPUTED_VALUE"""),"ORÇAMENTO")</f>
        <v>ORÇAMENTO</v>
      </c>
      <c r="Z70" s="180" t="str">
        <f>IFERROR(__xludf.DUMMYFUNCTION("""COMPUTED_VALUE"""),"CD")</f>
        <v>CD</v>
      </c>
      <c r="AA70" s="180" t="str">
        <f>IFERROR(__xludf.DUMMYFUNCTION("""COMPUTED_VALUE"""),"CD-5228/2020")</f>
        <v>CD-5228/2020</v>
      </c>
      <c r="AB70" s="230">
        <f>IFERROR(__xludf.DUMMYFUNCTION("""COMPUTED_VALUE"""),8.2743287003553E13)</f>
        <v>82743287003553</v>
      </c>
      <c r="AC70" s="180" t="str">
        <f>IFERROR(__xludf.DUMMYFUNCTION("""COMPUTED_VALUE"""),"SCHNEIDER ELECTRIC BRASIL LTDA")</f>
        <v>SCHNEIDER ELECTRIC BRASIL LTDA</v>
      </c>
      <c r="AD70" s="189"/>
      <c r="AE70" s="189"/>
      <c r="AF70" s="180" t="str">
        <f>IFERROR(__xludf.DUMMYFUNCTION("""COMPUTED_VALUE"""),"Márcio César Jacinto
Diretor do SESUP - Substituto")</f>
        <v>Márcio César Jacinto
Diretor do SESUP - Substituto</v>
      </c>
      <c r="AG70" s="233">
        <f>IFERROR(__xludf.DUMMYFUNCTION("""COMPUTED_VALUE"""),1.0)</f>
        <v>1</v>
      </c>
      <c r="AH70" s="190">
        <f>IFERROR(__xludf.DUMMYFUNCTION("""COMPUTED_VALUE"""),44431.85)</f>
        <v>44431.85</v>
      </c>
      <c r="AI70" s="180"/>
      <c r="AJ70" s="190"/>
      <c r="AK70" s="180" t="str">
        <f>IFERROR(__xludf.DUMMYFUNCTION("""COMPUTED_VALUE"""),"Pedro Paulo da Silva")</f>
        <v>Pedro Paulo da Silva</v>
      </c>
      <c r="AL70" s="180"/>
      <c r="AM70" s="180"/>
      <c r="AN70" s="190">
        <f>IFERROR(__xludf.DUMMYFUNCTION("""COMPUTED_VALUE"""),44431.85)</f>
        <v>44431.85</v>
      </c>
      <c r="AO70" s="190"/>
      <c r="AP70" s="180" t="str">
        <f>IFERROR(__xludf.DUMMYFUNCTION("""COMPUTED_VALUE"""),"2022NE000289")</f>
        <v>2022NE000289</v>
      </c>
      <c r="AQ70" s="190">
        <f>IFERROR(__xludf.DUMMYFUNCTION("""COMPUTED_VALUE"""),0.0)</f>
        <v>0</v>
      </c>
      <c r="AR70" s="190">
        <f>IFERROR(__xludf.DUMMYFUNCTION("""COMPUTED_VALUE"""),44431.85)</f>
        <v>44431.85</v>
      </c>
      <c r="AS70" s="180"/>
      <c r="AT70" s="190">
        <f>IFERROR(__xludf.DUMMYFUNCTION("""COMPUTED_VALUE"""),44431.85)</f>
        <v>44431.85</v>
      </c>
      <c r="AU70" s="190"/>
      <c r="AV70" s="232"/>
      <c r="AW70" s="190">
        <f>IFERROR(__xludf.DUMMYFUNCTION("""COMPUTED_VALUE"""),0.0)</f>
        <v>0</v>
      </c>
      <c r="AX70" s="190">
        <f>IFERROR(__xludf.DUMMYFUNCTION("""COMPUTED_VALUE"""),0.0)</f>
        <v>0</v>
      </c>
      <c r="AY70" s="190">
        <f>IFERROR(__xludf.DUMMYFUNCTION("""COMPUTED_VALUE"""),44431.85)</f>
        <v>44431.85</v>
      </c>
      <c r="AZ70" s="190">
        <f>IFERROR(__xludf.DUMMYFUNCTION("""COMPUTED_VALUE"""),0.0)</f>
        <v>0</v>
      </c>
      <c r="BA70" s="190">
        <f>IFERROR(__xludf.DUMMYFUNCTION("""COMPUTED_VALUE"""),44431.85)</f>
        <v>44431.85</v>
      </c>
      <c r="BB70" s="180" t="str">
        <f>IFERROR(__xludf.DUMMYFUNCTION("""COMPUTED_VALUE"""),"CD-5228/2020")</f>
        <v>CD-5228/2020</v>
      </c>
      <c r="BC70" s="232"/>
      <c r="BD70" s="180"/>
      <c r="BE70" s="180"/>
      <c r="BF70" s="180" t="str">
        <f>IFERROR(__xludf.DUMMYFUNCTION("""COMPUTED_VALUE"""),"Complemento")</f>
        <v>Complemento</v>
      </c>
      <c r="BG70" s="180"/>
      <c r="BH70" s="233">
        <f>IFERROR(__xludf.DUMMYFUNCTION("""COMPUTED_VALUE"""),300000.0)</f>
        <v>300000</v>
      </c>
      <c r="BI70" s="180" t="str">
        <f>IFERROR(__xludf.DUMMYFUNCTION("""COMPUTED_VALUE"""),"Alta")</f>
        <v>Alta</v>
      </c>
      <c r="BJ70" s="180"/>
      <c r="BK70" s="180" t="str">
        <f>IFERROR(__xludf.DUMMYFUNCTION("""COMPUTED_VALUE"""),"ano")</f>
        <v>ano</v>
      </c>
      <c r="BL70" s="180"/>
      <c r="BM70" s="180" t="str">
        <f>IFERROR(__xludf.DUMMYFUNCTION("""COMPUTED_VALUE"""),"ORÇAMENTO")</f>
        <v>ORÇAMENTO</v>
      </c>
      <c r="BN70" s="189"/>
      <c r="BO70" s="189"/>
      <c r="BP70" s="190"/>
      <c r="BQ70" s="190">
        <f>IFERROR(__xludf.DUMMYFUNCTION("""COMPUTED_VALUE"""),44431.85)</f>
        <v>44431.85</v>
      </c>
      <c r="BR70" s="190">
        <f>IFERROR(__xludf.DUMMYFUNCTION("""COMPUTED_VALUE"""),44431.85)</f>
        <v>44431.85</v>
      </c>
      <c r="BS70" s="190">
        <f>IFERROR(__xludf.DUMMYFUNCTION("""COMPUTED_VALUE"""),44431.85)</f>
        <v>44431.85</v>
      </c>
      <c r="BT70" s="190"/>
      <c r="BU70" s="180" t="str">
        <f>IFERROR(__xludf.DUMMYFUNCTION("""COMPUTED_VALUE"""),"Manutenção e conservação de equipamentos de TIC")</f>
        <v>Manutenção e conservação de equipamentos de TIC</v>
      </c>
      <c r="BV70" s="180"/>
      <c r="BW70" s="180"/>
      <c r="BX70" s="180"/>
      <c r="BY70" s="180"/>
      <c r="BZ70" s="189"/>
      <c r="CA70" s="180"/>
      <c r="CB70" s="180" t="str">
        <f>IFERROR(__xludf.DUMMYFUNCTION("""COMPUTED_VALUE"""),"Apreciação de Causas na Justiça do Trabalho")</f>
        <v>Apreciação de Causas na Justiça do Trabalho</v>
      </c>
      <c r="CC70" s="180" t="str">
        <f>IFERROR(__xludf.DUMMYFUNCTION("""COMPUTED_VALUE""")," - ")</f>
        <v> - </v>
      </c>
      <c r="CD70" s="180" t="str">
        <f>IFERROR(__xludf.DUMMYFUNCTION("""COMPUTED_VALUE"""),"SERVIÇOS DE TECNOLOGIA DA INFORMAÇÃO E COMUNICAÇÃO - TIC")</f>
        <v>SERVIÇOS DE TECNOLOGIA DA INFORMAÇÃO E COMUNICAÇÃO - TIC</v>
      </c>
      <c r="CE70" s="180"/>
      <c r="CF70" s="180" t="str">
        <f>IFERROR(__xludf.DUMMYFUNCTION("""COMPUTED_VALUE"""),"MANUTENÇÃO E CONSERVAÇÃO DE EQUIPAMENTOS DE TIC")</f>
        <v>MANUTENÇÃO E CONSERVAÇÃO DE EQUIPAMENTOS DE TIC</v>
      </c>
      <c r="CG70" s="189"/>
      <c r="CH70" s="189">
        <f>IFERROR(__xludf.DUMMYFUNCTION("""COMPUTED_VALUE"""),365.0)</f>
        <v>365</v>
      </c>
      <c r="CI70" s="180" t="str">
        <f>IFERROR(__xludf.DUMMYFUNCTION("""COMPUTED_VALUE"""),"ORÇAMENTO")</f>
        <v>ORÇAMENTO</v>
      </c>
      <c r="CJ70" s="190"/>
      <c r="CK70" s="189"/>
      <c r="CL70" s="180"/>
      <c r="CM70" s="180"/>
      <c r="CN70" s="180" t="str">
        <f>IFERROR(__xludf.DUMMYFUNCTION("""COMPUTED_VALUE"""),"CD-5228/2020")</f>
        <v>CD-5228/2020</v>
      </c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0"/>
      <c r="DB70" s="180"/>
    </row>
    <row r="71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</row>
    <row r="72">
      <c r="A72" s="180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  <c r="CB72" s="180"/>
      <c r="CC72" s="180"/>
      <c r="CD72" s="180"/>
      <c r="CE72" s="180"/>
      <c r="CF72" s="180"/>
      <c r="CG72" s="180"/>
      <c r="CH72" s="180"/>
      <c r="CI72" s="180"/>
      <c r="CJ72" s="180"/>
      <c r="CK72" s="180"/>
      <c r="CL72" s="180"/>
      <c r="CM72" s="180"/>
      <c r="CN72" s="180"/>
      <c r="CO72" s="180"/>
      <c r="CP72" s="180"/>
      <c r="CQ72" s="180"/>
      <c r="CR72" s="180"/>
      <c r="CS72" s="180"/>
      <c r="CT72" s="180"/>
      <c r="CU72" s="180"/>
      <c r="CV72" s="180"/>
      <c r="CW72" s="180"/>
      <c r="CX72" s="180"/>
      <c r="CY72" s="180"/>
      <c r="CZ72" s="180"/>
      <c r="DA72" s="180"/>
      <c r="DB72" s="180"/>
    </row>
    <row r="73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  <c r="CB73" s="180"/>
      <c r="CC73" s="180"/>
      <c r="CD73" s="180"/>
      <c r="CE73" s="180"/>
      <c r="CF73" s="180"/>
      <c r="CG73" s="180"/>
      <c r="CH73" s="180"/>
      <c r="CI73" s="180"/>
      <c r="CJ73" s="180"/>
      <c r="CK73" s="180"/>
      <c r="CL73" s="180"/>
      <c r="CM73" s="180"/>
      <c r="CN73" s="180"/>
      <c r="CO73" s="180"/>
      <c r="CP73" s="180"/>
      <c r="CQ73" s="180"/>
      <c r="CR73" s="180"/>
      <c r="CS73" s="180"/>
      <c r="CT73" s="180"/>
      <c r="CU73" s="180"/>
      <c r="CV73" s="180"/>
      <c r="CW73" s="180"/>
      <c r="CX73" s="180"/>
      <c r="CY73" s="180"/>
      <c r="CZ73" s="180"/>
      <c r="DA73" s="180"/>
      <c r="DB73" s="180"/>
    </row>
    <row r="74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</row>
    <row r="75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</row>
    <row r="76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</row>
    <row r="77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</row>
    <row r="78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</row>
    <row r="79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</row>
    <row r="80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</row>
    <row r="81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</row>
    <row r="82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</row>
    <row r="83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</row>
    <row r="84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</row>
    <row r="85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</row>
    <row r="86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</row>
    <row r="87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</row>
    <row r="88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</row>
    <row r="89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</row>
    <row r="90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</row>
    <row r="91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</row>
    <row r="92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</row>
    <row r="93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</row>
    <row r="94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</row>
    <row r="95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</row>
    <row r="96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</row>
    <row r="97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</row>
    <row r="98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</row>
    <row r="99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</row>
    <row r="100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</row>
    <row r="101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</row>
    <row r="102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</row>
    <row r="103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</row>
    <row r="104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</row>
    <row r="105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</row>
    <row r="106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</row>
    <row r="107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</row>
    <row r="108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</row>
    <row r="109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</row>
    <row r="110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</row>
    <row r="11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</row>
    <row r="112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</row>
    <row r="113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</row>
    <row r="114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</row>
    <row r="115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</row>
    <row r="116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</row>
    <row r="117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</row>
    <row r="118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</row>
    <row r="119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</row>
    <row r="120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</row>
    <row r="121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</row>
    <row r="122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</row>
    <row r="123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</row>
    <row r="124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</row>
    <row r="125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</row>
    <row r="126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</row>
    <row r="127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</row>
    <row r="128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</row>
    <row r="129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</row>
    <row r="130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</row>
    <row r="131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</row>
    <row r="132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</row>
    <row r="133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</row>
    <row r="134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</row>
    <row r="135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</row>
    <row r="136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</row>
    <row r="137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</row>
    <row r="138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</row>
    <row r="139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</row>
    <row r="140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</row>
    <row r="141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</row>
    <row r="142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</row>
    <row r="143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</row>
    <row r="144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</row>
    <row r="145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</row>
    <row r="146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</row>
    <row r="147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</row>
    <row r="148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</row>
    <row r="149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</row>
    <row r="150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</row>
    <row r="151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</row>
    <row r="152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</row>
    <row r="153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</row>
    <row r="154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</row>
    <row r="155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</row>
    <row r="156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</row>
    <row r="157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</row>
    <row r="158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</row>
    <row r="159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</row>
    <row r="160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</row>
    <row r="161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</row>
    <row r="162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</row>
    <row r="163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</row>
    <row r="164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</row>
    <row r="165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</row>
    <row r="166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</row>
    <row r="167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</row>
    <row r="168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</row>
    <row r="169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</row>
    <row r="170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</row>
    <row r="17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</row>
    <row r="17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  <c r="CB172" s="180"/>
      <c r="CC172" s="180"/>
      <c r="CD172" s="180"/>
      <c r="CE172" s="180"/>
      <c r="CF172" s="180"/>
      <c r="CG172" s="180"/>
      <c r="CH172" s="180"/>
      <c r="CI172" s="180"/>
      <c r="CJ172" s="180"/>
      <c r="CK172" s="180"/>
      <c r="CL172" s="180"/>
      <c r="CM172" s="180"/>
      <c r="CN172" s="180"/>
      <c r="CO172" s="180"/>
      <c r="CP172" s="180"/>
      <c r="CQ172" s="180"/>
      <c r="CR172" s="180"/>
      <c r="CS172" s="180"/>
      <c r="CT172" s="180"/>
      <c r="CU172" s="180"/>
      <c r="CV172" s="180"/>
      <c r="CW172" s="180"/>
      <c r="CX172" s="180"/>
      <c r="CY172" s="180"/>
      <c r="CZ172" s="180"/>
      <c r="DA172" s="180"/>
      <c r="DB172" s="180"/>
    </row>
    <row r="173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  <c r="CD173" s="180"/>
      <c r="CE173" s="180"/>
      <c r="CF173" s="180"/>
      <c r="CG173" s="180"/>
      <c r="CH173" s="180"/>
      <c r="CI173" s="180"/>
      <c r="CJ173" s="180"/>
      <c r="CK173" s="180"/>
      <c r="CL173" s="180"/>
      <c r="CM173" s="180"/>
      <c r="CN173" s="180"/>
      <c r="CO173" s="180"/>
      <c r="CP173" s="180"/>
      <c r="CQ173" s="180"/>
      <c r="CR173" s="180"/>
      <c r="CS173" s="180"/>
      <c r="CT173" s="180"/>
      <c r="CU173" s="180"/>
      <c r="CV173" s="180"/>
      <c r="CW173" s="180"/>
      <c r="CX173" s="180"/>
      <c r="CY173" s="180"/>
      <c r="CZ173" s="180"/>
      <c r="DA173" s="180"/>
      <c r="DB173" s="180"/>
    </row>
    <row r="174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  <c r="CB174" s="180"/>
      <c r="CC174" s="180"/>
      <c r="CD174" s="180"/>
      <c r="CE174" s="180"/>
      <c r="CF174" s="180"/>
      <c r="CG174" s="180"/>
      <c r="CH174" s="180"/>
      <c r="CI174" s="180"/>
      <c r="CJ174" s="180"/>
      <c r="CK174" s="180"/>
      <c r="CL174" s="180"/>
      <c r="CM174" s="180"/>
      <c r="CN174" s="180"/>
      <c r="CO174" s="180"/>
      <c r="CP174" s="180"/>
      <c r="CQ174" s="180"/>
      <c r="CR174" s="180"/>
      <c r="CS174" s="180"/>
      <c r="CT174" s="180"/>
      <c r="CU174" s="180"/>
      <c r="CV174" s="180"/>
      <c r="CW174" s="180"/>
      <c r="CX174" s="180"/>
      <c r="CY174" s="180"/>
      <c r="CZ174" s="180"/>
      <c r="DA174" s="180"/>
      <c r="DB174" s="180"/>
    </row>
    <row r="175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  <c r="CB175" s="180"/>
      <c r="CC175" s="180"/>
      <c r="CD175" s="180"/>
      <c r="CE175" s="180"/>
      <c r="CF175" s="180"/>
      <c r="CG175" s="180"/>
      <c r="CH175" s="180"/>
      <c r="CI175" s="180"/>
      <c r="CJ175" s="180"/>
      <c r="CK175" s="180"/>
      <c r="CL175" s="180"/>
      <c r="CM175" s="180"/>
      <c r="CN175" s="180"/>
      <c r="CO175" s="180"/>
      <c r="CP175" s="180"/>
      <c r="CQ175" s="180"/>
      <c r="CR175" s="180"/>
      <c r="CS175" s="180"/>
      <c r="CT175" s="180"/>
      <c r="CU175" s="180"/>
      <c r="CV175" s="180"/>
      <c r="CW175" s="180"/>
      <c r="CX175" s="180"/>
      <c r="CY175" s="180"/>
      <c r="CZ175" s="180"/>
      <c r="DA175" s="180"/>
      <c r="DB175" s="180"/>
    </row>
    <row r="176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  <c r="CD176" s="180"/>
      <c r="CE176" s="180"/>
      <c r="CF176" s="180"/>
      <c r="CG176" s="180"/>
      <c r="CH176" s="180"/>
      <c r="CI176" s="180"/>
      <c r="CJ176" s="180"/>
      <c r="CK176" s="180"/>
      <c r="CL176" s="180"/>
      <c r="CM176" s="180"/>
      <c r="CN176" s="180"/>
      <c r="CO176" s="180"/>
      <c r="CP176" s="180"/>
      <c r="CQ176" s="180"/>
      <c r="CR176" s="180"/>
      <c r="CS176" s="180"/>
      <c r="CT176" s="180"/>
      <c r="CU176" s="180"/>
      <c r="CV176" s="180"/>
      <c r="CW176" s="180"/>
      <c r="CX176" s="180"/>
      <c r="CY176" s="180"/>
      <c r="CZ176" s="180"/>
      <c r="DA176" s="180"/>
      <c r="DB176" s="180"/>
    </row>
    <row r="177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  <c r="CB177" s="180"/>
      <c r="CC177" s="180"/>
      <c r="CD177" s="180"/>
      <c r="CE177" s="180"/>
      <c r="CF177" s="180"/>
      <c r="CG177" s="180"/>
      <c r="CH177" s="180"/>
      <c r="CI177" s="180"/>
      <c r="CJ177" s="180"/>
      <c r="CK177" s="180"/>
      <c r="CL177" s="180"/>
      <c r="CM177" s="180"/>
      <c r="CN177" s="180"/>
      <c r="CO177" s="180"/>
      <c r="CP177" s="180"/>
      <c r="CQ177" s="180"/>
      <c r="CR177" s="180"/>
      <c r="CS177" s="180"/>
      <c r="CT177" s="180"/>
      <c r="CU177" s="180"/>
      <c r="CV177" s="180"/>
      <c r="CW177" s="180"/>
      <c r="CX177" s="180"/>
      <c r="CY177" s="180"/>
      <c r="CZ177" s="180"/>
      <c r="DA177" s="180"/>
      <c r="DB177" s="180"/>
    </row>
    <row r="178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</row>
    <row r="179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  <c r="CB179" s="180"/>
      <c r="CC179" s="180"/>
      <c r="CD179" s="180"/>
      <c r="CE179" s="180"/>
      <c r="CF179" s="180"/>
      <c r="CG179" s="180"/>
      <c r="CH179" s="180"/>
      <c r="CI179" s="180"/>
      <c r="CJ179" s="180"/>
      <c r="CK179" s="180"/>
      <c r="CL179" s="180"/>
      <c r="CM179" s="180"/>
      <c r="CN179" s="180"/>
      <c r="CO179" s="180"/>
      <c r="CP179" s="180"/>
      <c r="CQ179" s="180"/>
      <c r="CR179" s="180"/>
      <c r="CS179" s="180"/>
      <c r="CT179" s="180"/>
      <c r="CU179" s="180"/>
      <c r="CV179" s="180"/>
      <c r="CW179" s="180"/>
      <c r="CX179" s="180"/>
      <c r="CY179" s="180"/>
      <c r="CZ179" s="180"/>
      <c r="DA179" s="180"/>
      <c r="DB179" s="180"/>
    </row>
    <row r="180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  <c r="CD180" s="180"/>
      <c r="CE180" s="180"/>
      <c r="CF180" s="180"/>
      <c r="CG180" s="180"/>
      <c r="CH180" s="180"/>
      <c r="CI180" s="180"/>
      <c r="CJ180" s="180"/>
      <c r="CK180" s="180"/>
      <c r="CL180" s="180"/>
      <c r="CM180" s="180"/>
      <c r="CN180" s="180"/>
      <c r="CO180" s="180"/>
      <c r="CP180" s="180"/>
      <c r="CQ180" s="180"/>
      <c r="CR180" s="180"/>
      <c r="CS180" s="180"/>
      <c r="CT180" s="180"/>
      <c r="CU180" s="180"/>
      <c r="CV180" s="180"/>
      <c r="CW180" s="180"/>
      <c r="CX180" s="180"/>
      <c r="CY180" s="180"/>
      <c r="CZ180" s="180"/>
      <c r="DA180" s="180"/>
      <c r="DB180" s="180"/>
    </row>
    <row r="18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0"/>
      <c r="CJ181" s="180"/>
      <c r="CK181" s="180"/>
      <c r="CL181" s="180"/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0"/>
      <c r="DB181" s="180"/>
    </row>
    <row r="182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  <c r="CD182" s="180"/>
      <c r="CE182" s="180"/>
      <c r="CF182" s="180"/>
      <c r="CG182" s="180"/>
      <c r="CH182" s="180"/>
      <c r="CI182" s="180"/>
      <c r="CJ182" s="180"/>
      <c r="CK182" s="180"/>
      <c r="CL182" s="180"/>
      <c r="CM182" s="180"/>
      <c r="CN182" s="180"/>
      <c r="CO182" s="180"/>
      <c r="CP182" s="180"/>
      <c r="CQ182" s="180"/>
      <c r="CR182" s="180"/>
      <c r="CS182" s="180"/>
      <c r="CT182" s="180"/>
      <c r="CU182" s="180"/>
      <c r="CV182" s="180"/>
      <c r="CW182" s="180"/>
      <c r="CX182" s="180"/>
      <c r="CY182" s="180"/>
      <c r="CZ182" s="180"/>
      <c r="DA182" s="180"/>
      <c r="DB182" s="180"/>
    </row>
    <row r="183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  <c r="CD183" s="180"/>
      <c r="CE183" s="180"/>
      <c r="CF183" s="180"/>
      <c r="CG183" s="180"/>
      <c r="CH183" s="180"/>
      <c r="CI183" s="180"/>
      <c r="CJ183" s="180"/>
      <c r="CK183" s="180"/>
      <c r="CL183" s="180"/>
      <c r="CM183" s="180"/>
      <c r="CN183" s="180"/>
      <c r="CO183" s="180"/>
      <c r="CP183" s="180"/>
      <c r="CQ183" s="180"/>
      <c r="CR183" s="180"/>
      <c r="CS183" s="180"/>
      <c r="CT183" s="180"/>
      <c r="CU183" s="180"/>
      <c r="CV183" s="180"/>
      <c r="CW183" s="180"/>
      <c r="CX183" s="180"/>
      <c r="CY183" s="180"/>
      <c r="CZ183" s="180"/>
      <c r="DA183" s="180"/>
      <c r="DB183" s="180"/>
    </row>
    <row r="184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  <c r="CB184" s="180"/>
      <c r="CC184" s="180"/>
      <c r="CD184" s="180"/>
      <c r="CE184" s="180"/>
      <c r="CF184" s="180"/>
      <c r="CG184" s="180"/>
      <c r="CH184" s="180"/>
      <c r="CI184" s="180"/>
      <c r="CJ184" s="180"/>
      <c r="CK184" s="180"/>
      <c r="CL184" s="180"/>
      <c r="CM184" s="180"/>
      <c r="CN184" s="180"/>
      <c r="CO184" s="180"/>
      <c r="CP184" s="180"/>
      <c r="CQ184" s="180"/>
      <c r="CR184" s="180"/>
      <c r="CS184" s="180"/>
      <c r="CT184" s="180"/>
      <c r="CU184" s="180"/>
      <c r="CV184" s="180"/>
      <c r="CW184" s="180"/>
      <c r="CX184" s="180"/>
      <c r="CY184" s="180"/>
      <c r="CZ184" s="180"/>
      <c r="DA184" s="180"/>
      <c r="DB184" s="180"/>
    </row>
    <row r="185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  <c r="CB185" s="180"/>
      <c r="CC185" s="180"/>
      <c r="CD185" s="180"/>
      <c r="CE185" s="180"/>
      <c r="CF185" s="180"/>
      <c r="CG185" s="180"/>
      <c r="CH185" s="180"/>
      <c r="CI185" s="180"/>
      <c r="CJ185" s="180"/>
      <c r="CK185" s="180"/>
      <c r="CL185" s="180"/>
      <c r="CM185" s="180"/>
      <c r="CN185" s="180"/>
      <c r="CO185" s="180"/>
      <c r="CP185" s="180"/>
      <c r="CQ185" s="180"/>
      <c r="CR185" s="180"/>
      <c r="CS185" s="180"/>
      <c r="CT185" s="180"/>
      <c r="CU185" s="180"/>
      <c r="CV185" s="180"/>
      <c r="CW185" s="180"/>
      <c r="CX185" s="180"/>
      <c r="CY185" s="180"/>
      <c r="CZ185" s="180"/>
      <c r="DA185" s="180"/>
      <c r="DB185" s="180"/>
    </row>
    <row r="186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  <c r="CB186" s="180"/>
      <c r="CC186" s="180"/>
      <c r="CD186" s="180"/>
      <c r="CE186" s="180"/>
      <c r="CF186" s="180"/>
      <c r="CG186" s="180"/>
      <c r="CH186" s="180"/>
      <c r="CI186" s="180"/>
      <c r="CJ186" s="180"/>
      <c r="CK186" s="180"/>
      <c r="CL186" s="180"/>
      <c r="CM186" s="180"/>
      <c r="CN186" s="180"/>
      <c r="CO186" s="180"/>
      <c r="CP186" s="180"/>
      <c r="CQ186" s="180"/>
      <c r="CR186" s="180"/>
      <c r="CS186" s="180"/>
      <c r="CT186" s="180"/>
      <c r="CU186" s="180"/>
      <c r="CV186" s="180"/>
      <c r="CW186" s="180"/>
      <c r="CX186" s="180"/>
      <c r="CY186" s="180"/>
      <c r="CZ186" s="180"/>
      <c r="DA186" s="180"/>
      <c r="DB186" s="180"/>
    </row>
    <row r="187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  <c r="CB187" s="180"/>
      <c r="CC187" s="180"/>
      <c r="CD187" s="180"/>
      <c r="CE187" s="180"/>
      <c r="CF187" s="180"/>
      <c r="CG187" s="180"/>
      <c r="CH187" s="180"/>
      <c r="CI187" s="180"/>
      <c r="CJ187" s="180"/>
      <c r="CK187" s="180"/>
      <c r="CL187" s="180"/>
      <c r="CM187" s="180"/>
      <c r="CN187" s="180"/>
      <c r="CO187" s="180"/>
      <c r="CP187" s="180"/>
      <c r="CQ187" s="180"/>
      <c r="CR187" s="180"/>
      <c r="CS187" s="180"/>
      <c r="CT187" s="180"/>
      <c r="CU187" s="180"/>
      <c r="CV187" s="180"/>
      <c r="CW187" s="180"/>
      <c r="CX187" s="180"/>
      <c r="CY187" s="180"/>
      <c r="CZ187" s="180"/>
      <c r="DA187" s="180"/>
      <c r="DB187" s="180"/>
    </row>
    <row r="188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  <c r="CB188" s="180"/>
      <c r="CC188" s="180"/>
      <c r="CD188" s="180"/>
      <c r="CE188" s="180"/>
      <c r="CF188" s="180"/>
      <c r="CG188" s="180"/>
      <c r="CH188" s="180"/>
      <c r="CI188" s="180"/>
      <c r="CJ188" s="180"/>
      <c r="CK188" s="180"/>
      <c r="CL188" s="180"/>
      <c r="CM188" s="180"/>
      <c r="CN188" s="180"/>
      <c r="CO188" s="180"/>
      <c r="CP188" s="180"/>
      <c r="CQ188" s="180"/>
      <c r="CR188" s="180"/>
      <c r="CS188" s="180"/>
      <c r="CT188" s="180"/>
      <c r="CU188" s="180"/>
      <c r="CV188" s="180"/>
      <c r="CW188" s="180"/>
      <c r="CX188" s="180"/>
      <c r="CY188" s="180"/>
      <c r="CZ188" s="180"/>
      <c r="DA188" s="180"/>
      <c r="DB188" s="180"/>
    </row>
    <row r="189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0"/>
      <c r="BG189" s="180"/>
      <c r="BH189" s="180"/>
      <c r="BI189" s="180"/>
      <c r="BJ189" s="180"/>
      <c r="BK189" s="180"/>
      <c r="BL189" s="180"/>
      <c r="BM189" s="180"/>
      <c r="BN189" s="180"/>
      <c r="BO189" s="180"/>
      <c r="BP189" s="180"/>
      <c r="BQ189" s="180"/>
      <c r="BR189" s="180"/>
      <c r="BS189" s="180"/>
      <c r="BT189" s="180"/>
      <c r="BU189" s="180"/>
      <c r="BV189" s="180"/>
      <c r="BW189" s="180"/>
      <c r="BX189" s="180"/>
      <c r="BY189" s="180"/>
      <c r="BZ189" s="180"/>
      <c r="CA189" s="180"/>
      <c r="CB189" s="180"/>
      <c r="CC189" s="180"/>
      <c r="CD189" s="180"/>
      <c r="CE189" s="180"/>
      <c r="CF189" s="180"/>
      <c r="CG189" s="180"/>
      <c r="CH189" s="180"/>
      <c r="CI189" s="180"/>
      <c r="CJ189" s="180"/>
      <c r="CK189" s="180"/>
      <c r="CL189" s="180"/>
      <c r="CM189" s="180"/>
      <c r="CN189" s="180"/>
      <c r="CO189" s="180"/>
      <c r="CP189" s="180"/>
      <c r="CQ189" s="180"/>
      <c r="CR189" s="180"/>
      <c r="CS189" s="180"/>
      <c r="CT189" s="180"/>
      <c r="CU189" s="180"/>
      <c r="CV189" s="180"/>
      <c r="CW189" s="180"/>
      <c r="CX189" s="180"/>
      <c r="CY189" s="180"/>
      <c r="CZ189" s="180"/>
      <c r="DA189" s="180"/>
      <c r="DB189" s="180"/>
    </row>
    <row r="190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</row>
    <row r="19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  <c r="CB191" s="180"/>
      <c r="CC191" s="180"/>
      <c r="CD191" s="180"/>
      <c r="CE191" s="180"/>
      <c r="CF191" s="180"/>
      <c r="CG191" s="180"/>
      <c r="CH191" s="180"/>
      <c r="CI191" s="180"/>
      <c r="CJ191" s="180"/>
      <c r="CK191" s="180"/>
      <c r="CL191" s="180"/>
      <c r="CM191" s="180"/>
      <c r="CN191" s="180"/>
      <c r="CO191" s="180"/>
      <c r="CP191" s="180"/>
      <c r="CQ191" s="180"/>
      <c r="CR191" s="180"/>
      <c r="CS191" s="180"/>
      <c r="CT191" s="180"/>
      <c r="CU191" s="180"/>
      <c r="CV191" s="180"/>
      <c r="CW191" s="180"/>
      <c r="CX191" s="180"/>
      <c r="CY191" s="180"/>
      <c r="CZ191" s="180"/>
      <c r="DA191" s="180"/>
      <c r="DB191" s="180"/>
    </row>
    <row r="192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  <c r="CB192" s="180"/>
      <c r="CC192" s="180"/>
      <c r="CD192" s="180"/>
      <c r="CE192" s="180"/>
      <c r="CF192" s="180"/>
      <c r="CG192" s="180"/>
      <c r="CH192" s="180"/>
      <c r="CI192" s="180"/>
      <c r="CJ192" s="180"/>
      <c r="CK192" s="180"/>
      <c r="CL192" s="180"/>
      <c r="CM192" s="180"/>
      <c r="CN192" s="180"/>
      <c r="CO192" s="180"/>
      <c r="CP192" s="180"/>
      <c r="CQ192" s="180"/>
      <c r="CR192" s="180"/>
      <c r="CS192" s="180"/>
      <c r="CT192" s="180"/>
      <c r="CU192" s="180"/>
      <c r="CV192" s="180"/>
      <c r="CW192" s="180"/>
      <c r="CX192" s="180"/>
      <c r="CY192" s="180"/>
      <c r="CZ192" s="180"/>
      <c r="DA192" s="180"/>
      <c r="DB192" s="180"/>
    </row>
    <row r="193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</row>
    <row r="194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180"/>
      <c r="BB194" s="180"/>
      <c r="BC194" s="180"/>
      <c r="BD194" s="180"/>
      <c r="BE194" s="180"/>
      <c r="BF194" s="180"/>
      <c r="BG194" s="180"/>
      <c r="BH194" s="180"/>
      <c r="BI194" s="180"/>
      <c r="BJ194" s="180"/>
      <c r="BK194" s="180"/>
      <c r="BL194" s="180"/>
      <c r="BM194" s="180"/>
      <c r="BN194" s="180"/>
      <c r="BO194" s="180"/>
      <c r="BP194" s="180"/>
      <c r="BQ194" s="180"/>
      <c r="BR194" s="180"/>
      <c r="BS194" s="180"/>
      <c r="BT194" s="180"/>
      <c r="BU194" s="180"/>
      <c r="BV194" s="180"/>
      <c r="BW194" s="180"/>
      <c r="BX194" s="180"/>
      <c r="BY194" s="180"/>
      <c r="BZ194" s="180"/>
      <c r="CA194" s="180"/>
      <c r="CB194" s="180"/>
      <c r="CC194" s="180"/>
      <c r="CD194" s="180"/>
      <c r="CE194" s="180"/>
      <c r="CF194" s="180"/>
      <c r="CG194" s="180"/>
      <c r="CH194" s="180"/>
      <c r="CI194" s="180"/>
      <c r="CJ194" s="180"/>
      <c r="CK194" s="180"/>
      <c r="CL194" s="180"/>
      <c r="CM194" s="180"/>
      <c r="CN194" s="180"/>
      <c r="CO194" s="180"/>
      <c r="CP194" s="180"/>
      <c r="CQ194" s="180"/>
      <c r="CR194" s="180"/>
      <c r="CS194" s="180"/>
      <c r="CT194" s="180"/>
      <c r="CU194" s="180"/>
      <c r="CV194" s="180"/>
      <c r="CW194" s="180"/>
      <c r="CX194" s="180"/>
      <c r="CY194" s="180"/>
      <c r="CZ194" s="180"/>
      <c r="DA194" s="180"/>
      <c r="DB194" s="180"/>
    </row>
    <row r="195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  <c r="CB195" s="180"/>
      <c r="CC195" s="180"/>
      <c r="CD195" s="180"/>
      <c r="CE195" s="180"/>
      <c r="CF195" s="180"/>
      <c r="CG195" s="180"/>
      <c r="CH195" s="180"/>
      <c r="CI195" s="180"/>
      <c r="CJ195" s="180"/>
      <c r="CK195" s="180"/>
      <c r="CL195" s="180"/>
      <c r="CM195" s="180"/>
      <c r="CN195" s="180"/>
      <c r="CO195" s="180"/>
      <c r="CP195" s="180"/>
      <c r="CQ195" s="180"/>
      <c r="CR195" s="180"/>
      <c r="CS195" s="180"/>
      <c r="CT195" s="180"/>
      <c r="CU195" s="180"/>
      <c r="CV195" s="180"/>
      <c r="CW195" s="180"/>
      <c r="CX195" s="180"/>
      <c r="CY195" s="180"/>
      <c r="CZ195" s="180"/>
      <c r="DA195" s="180"/>
      <c r="DB195" s="180"/>
    </row>
    <row r="196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  <c r="CB196" s="180"/>
      <c r="CC196" s="180"/>
      <c r="CD196" s="180"/>
      <c r="CE196" s="180"/>
      <c r="CF196" s="180"/>
      <c r="CG196" s="180"/>
      <c r="CH196" s="180"/>
      <c r="CI196" s="180"/>
      <c r="CJ196" s="180"/>
      <c r="CK196" s="180"/>
      <c r="CL196" s="180"/>
      <c r="CM196" s="180"/>
      <c r="CN196" s="180"/>
      <c r="CO196" s="180"/>
      <c r="CP196" s="180"/>
      <c r="CQ196" s="180"/>
      <c r="CR196" s="180"/>
      <c r="CS196" s="180"/>
      <c r="CT196" s="180"/>
      <c r="CU196" s="180"/>
      <c r="CV196" s="180"/>
      <c r="CW196" s="180"/>
      <c r="CX196" s="180"/>
      <c r="CY196" s="180"/>
      <c r="CZ196" s="180"/>
      <c r="DA196" s="180"/>
      <c r="DB196" s="180"/>
    </row>
    <row r="197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  <c r="CB197" s="180"/>
      <c r="CC197" s="180"/>
      <c r="CD197" s="180"/>
      <c r="CE197" s="180"/>
      <c r="CF197" s="180"/>
      <c r="CG197" s="180"/>
      <c r="CH197" s="180"/>
      <c r="CI197" s="180"/>
      <c r="CJ197" s="180"/>
      <c r="CK197" s="180"/>
      <c r="CL197" s="180"/>
      <c r="CM197" s="180"/>
      <c r="CN197" s="180"/>
      <c r="CO197" s="180"/>
      <c r="CP197" s="180"/>
      <c r="CQ197" s="180"/>
      <c r="CR197" s="180"/>
      <c r="CS197" s="180"/>
      <c r="CT197" s="180"/>
      <c r="CU197" s="180"/>
      <c r="CV197" s="180"/>
      <c r="CW197" s="180"/>
      <c r="CX197" s="180"/>
      <c r="CY197" s="180"/>
      <c r="CZ197" s="180"/>
      <c r="DA197" s="180"/>
      <c r="DB197" s="180"/>
    </row>
    <row r="198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  <c r="CB198" s="180"/>
      <c r="CC198" s="180"/>
      <c r="CD198" s="180"/>
      <c r="CE198" s="180"/>
      <c r="CF198" s="180"/>
      <c r="CG198" s="180"/>
      <c r="CH198" s="180"/>
      <c r="CI198" s="180"/>
      <c r="CJ198" s="180"/>
      <c r="CK198" s="180"/>
      <c r="CL198" s="180"/>
      <c r="CM198" s="180"/>
      <c r="CN198" s="180"/>
      <c r="CO198" s="180"/>
      <c r="CP198" s="180"/>
      <c r="CQ198" s="180"/>
      <c r="CR198" s="180"/>
      <c r="CS198" s="180"/>
      <c r="CT198" s="180"/>
      <c r="CU198" s="180"/>
      <c r="CV198" s="180"/>
      <c r="CW198" s="180"/>
      <c r="CX198" s="180"/>
      <c r="CY198" s="180"/>
      <c r="CZ198" s="180"/>
      <c r="DA198" s="180"/>
      <c r="DB198" s="180"/>
    </row>
    <row r="199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  <c r="CB199" s="180"/>
      <c r="CC199" s="180"/>
      <c r="CD199" s="180"/>
      <c r="CE199" s="180"/>
      <c r="CF199" s="180"/>
      <c r="CG199" s="180"/>
      <c r="CH199" s="180"/>
      <c r="CI199" s="180"/>
      <c r="CJ199" s="180"/>
      <c r="CK199" s="180"/>
      <c r="CL199" s="180"/>
      <c r="CM199" s="180"/>
      <c r="CN199" s="180"/>
      <c r="CO199" s="180"/>
      <c r="CP199" s="180"/>
      <c r="CQ199" s="180"/>
      <c r="CR199" s="180"/>
      <c r="CS199" s="180"/>
      <c r="CT199" s="180"/>
      <c r="CU199" s="180"/>
      <c r="CV199" s="180"/>
      <c r="CW199" s="180"/>
      <c r="CX199" s="180"/>
      <c r="CY199" s="180"/>
      <c r="CZ199" s="180"/>
      <c r="DA199" s="180"/>
      <c r="DB199" s="180"/>
    </row>
    <row r="200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  <c r="CB200" s="180"/>
      <c r="CC200" s="180"/>
      <c r="CD200" s="180"/>
      <c r="CE200" s="180"/>
      <c r="CF200" s="180"/>
      <c r="CG200" s="180"/>
      <c r="CH200" s="180"/>
      <c r="CI200" s="180"/>
      <c r="CJ200" s="180"/>
      <c r="CK200" s="180"/>
      <c r="CL200" s="180"/>
      <c r="CM200" s="180"/>
      <c r="CN200" s="180"/>
      <c r="CO200" s="180"/>
      <c r="CP200" s="180"/>
      <c r="CQ200" s="180"/>
      <c r="CR200" s="180"/>
      <c r="CS200" s="180"/>
      <c r="CT200" s="180"/>
      <c r="CU200" s="180"/>
      <c r="CV200" s="180"/>
      <c r="CW200" s="180"/>
      <c r="CX200" s="180"/>
      <c r="CY200" s="180"/>
      <c r="CZ200" s="180"/>
      <c r="DA200" s="180"/>
      <c r="DB200" s="180"/>
    </row>
    <row r="20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0"/>
      <c r="CJ201" s="180"/>
      <c r="CK201" s="180"/>
      <c r="CL201" s="180"/>
      <c r="CM201" s="180"/>
      <c r="CN201" s="180"/>
      <c r="CO201" s="180"/>
      <c r="CP201" s="180"/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0"/>
      <c r="DB201" s="180"/>
    </row>
    <row r="202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  <c r="CB202" s="180"/>
      <c r="CC202" s="180"/>
      <c r="CD202" s="180"/>
      <c r="CE202" s="180"/>
      <c r="CF202" s="180"/>
      <c r="CG202" s="180"/>
      <c r="CH202" s="180"/>
      <c r="CI202" s="180"/>
      <c r="CJ202" s="180"/>
      <c r="CK202" s="180"/>
      <c r="CL202" s="180"/>
      <c r="CM202" s="180"/>
      <c r="CN202" s="180"/>
      <c r="CO202" s="180"/>
      <c r="CP202" s="180"/>
      <c r="CQ202" s="180"/>
      <c r="CR202" s="180"/>
      <c r="CS202" s="180"/>
      <c r="CT202" s="180"/>
      <c r="CU202" s="180"/>
      <c r="CV202" s="180"/>
      <c r="CW202" s="180"/>
      <c r="CX202" s="180"/>
      <c r="CY202" s="180"/>
      <c r="CZ202" s="180"/>
      <c r="DA202" s="180"/>
      <c r="DB202" s="180"/>
    </row>
    <row r="203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  <c r="CB203" s="180"/>
      <c r="CC203" s="180"/>
      <c r="CD203" s="180"/>
      <c r="CE203" s="180"/>
      <c r="CF203" s="180"/>
      <c r="CG203" s="180"/>
      <c r="CH203" s="180"/>
      <c r="CI203" s="180"/>
      <c r="CJ203" s="180"/>
      <c r="CK203" s="180"/>
      <c r="CL203" s="180"/>
      <c r="CM203" s="180"/>
      <c r="CN203" s="180"/>
      <c r="CO203" s="180"/>
      <c r="CP203" s="180"/>
      <c r="CQ203" s="180"/>
      <c r="CR203" s="180"/>
      <c r="CS203" s="180"/>
      <c r="CT203" s="180"/>
      <c r="CU203" s="180"/>
      <c r="CV203" s="180"/>
      <c r="CW203" s="180"/>
      <c r="CX203" s="180"/>
      <c r="CY203" s="180"/>
      <c r="CZ203" s="180"/>
      <c r="DA203" s="180"/>
      <c r="DB203" s="180"/>
    </row>
    <row r="204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  <c r="CB204" s="180"/>
      <c r="CC204" s="180"/>
      <c r="CD204" s="180"/>
      <c r="CE204" s="180"/>
      <c r="CF204" s="180"/>
      <c r="CG204" s="180"/>
      <c r="CH204" s="180"/>
      <c r="CI204" s="180"/>
      <c r="CJ204" s="180"/>
      <c r="CK204" s="180"/>
      <c r="CL204" s="180"/>
      <c r="CM204" s="180"/>
      <c r="CN204" s="180"/>
      <c r="CO204" s="180"/>
      <c r="CP204" s="180"/>
      <c r="CQ204" s="180"/>
      <c r="CR204" s="180"/>
      <c r="CS204" s="180"/>
      <c r="CT204" s="180"/>
      <c r="CU204" s="180"/>
      <c r="CV204" s="180"/>
      <c r="CW204" s="180"/>
      <c r="CX204" s="180"/>
      <c r="CY204" s="180"/>
      <c r="CZ204" s="180"/>
      <c r="DA204" s="180"/>
      <c r="DB204" s="180"/>
    </row>
    <row r="205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  <c r="CB205" s="180"/>
      <c r="CC205" s="180"/>
      <c r="CD205" s="180"/>
      <c r="CE205" s="180"/>
      <c r="CF205" s="180"/>
      <c r="CG205" s="180"/>
      <c r="CH205" s="180"/>
      <c r="CI205" s="180"/>
      <c r="CJ205" s="180"/>
      <c r="CK205" s="180"/>
      <c r="CL205" s="180"/>
      <c r="CM205" s="180"/>
      <c r="CN205" s="180"/>
      <c r="CO205" s="180"/>
      <c r="CP205" s="180"/>
      <c r="CQ205" s="180"/>
      <c r="CR205" s="180"/>
      <c r="CS205" s="180"/>
      <c r="CT205" s="180"/>
      <c r="CU205" s="180"/>
      <c r="CV205" s="180"/>
      <c r="CW205" s="180"/>
      <c r="CX205" s="180"/>
      <c r="CY205" s="180"/>
      <c r="CZ205" s="180"/>
      <c r="DA205" s="180"/>
      <c r="DB205" s="180"/>
    </row>
    <row r="206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</row>
    <row r="207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  <c r="CB207" s="180"/>
      <c r="CC207" s="180"/>
      <c r="CD207" s="180"/>
      <c r="CE207" s="180"/>
      <c r="CF207" s="180"/>
      <c r="CG207" s="180"/>
      <c r="CH207" s="180"/>
      <c r="CI207" s="180"/>
      <c r="CJ207" s="180"/>
      <c r="CK207" s="180"/>
      <c r="CL207" s="180"/>
      <c r="CM207" s="180"/>
      <c r="CN207" s="180"/>
      <c r="CO207" s="180"/>
      <c r="CP207" s="180"/>
      <c r="CQ207" s="180"/>
      <c r="CR207" s="180"/>
      <c r="CS207" s="180"/>
      <c r="CT207" s="180"/>
      <c r="CU207" s="180"/>
      <c r="CV207" s="180"/>
      <c r="CW207" s="180"/>
      <c r="CX207" s="180"/>
      <c r="CY207" s="180"/>
      <c r="CZ207" s="180"/>
      <c r="DA207" s="180"/>
      <c r="DB207" s="180"/>
    </row>
    <row r="208">
      <c r="A208" s="180"/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  <c r="AR208" s="180"/>
      <c r="AS208" s="180"/>
      <c r="AT208" s="180"/>
      <c r="AU208" s="180"/>
      <c r="AV208" s="180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BM208" s="180"/>
      <c r="BN208" s="180"/>
      <c r="BO208" s="180"/>
      <c r="BP208" s="180"/>
      <c r="BQ208" s="180"/>
      <c r="BR208" s="180"/>
      <c r="BS208" s="180"/>
      <c r="BT208" s="180"/>
      <c r="BU208" s="180"/>
      <c r="BV208" s="180"/>
      <c r="BW208" s="180"/>
      <c r="BX208" s="180"/>
      <c r="BY208" s="180"/>
      <c r="BZ208" s="180"/>
      <c r="CA208" s="180"/>
      <c r="CB208" s="180"/>
      <c r="CC208" s="180"/>
      <c r="CD208" s="180"/>
      <c r="CE208" s="180"/>
      <c r="CF208" s="180"/>
      <c r="CG208" s="180"/>
      <c r="CH208" s="180"/>
      <c r="CI208" s="180"/>
      <c r="CJ208" s="180"/>
      <c r="CK208" s="180"/>
      <c r="CL208" s="180"/>
      <c r="CM208" s="180"/>
      <c r="CN208" s="180"/>
      <c r="CO208" s="180"/>
      <c r="CP208" s="180"/>
      <c r="CQ208" s="180"/>
      <c r="CR208" s="180"/>
      <c r="CS208" s="180"/>
      <c r="CT208" s="180"/>
      <c r="CU208" s="180"/>
      <c r="CV208" s="180"/>
      <c r="CW208" s="180"/>
      <c r="CX208" s="180"/>
      <c r="CY208" s="180"/>
      <c r="CZ208" s="180"/>
      <c r="DA208" s="180"/>
      <c r="DB208" s="180"/>
    </row>
    <row r="209">
      <c r="A209" s="180"/>
      <c r="B209" s="180"/>
      <c r="C209" s="180"/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</row>
    <row r="210">
      <c r="A210" s="180"/>
      <c r="B210" s="180"/>
      <c r="C210" s="180"/>
      <c r="D210" s="180"/>
      <c r="E210" s="180"/>
      <c r="F210" s="180"/>
      <c r="G210" s="180"/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  <c r="CB210" s="180"/>
      <c r="CC210" s="180"/>
      <c r="CD210" s="180"/>
      <c r="CE210" s="180"/>
      <c r="CF210" s="180"/>
      <c r="CG210" s="180"/>
      <c r="CH210" s="180"/>
      <c r="CI210" s="180"/>
      <c r="CJ210" s="180"/>
      <c r="CK210" s="180"/>
      <c r="CL210" s="180"/>
      <c r="CM210" s="180"/>
      <c r="CN210" s="180"/>
      <c r="CO210" s="180"/>
      <c r="CP210" s="180"/>
      <c r="CQ210" s="180"/>
      <c r="CR210" s="180"/>
      <c r="CS210" s="180"/>
      <c r="CT210" s="180"/>
      <c r="CU210" s="180"/>
      <c r="CV210" s="180"/>
      <c r="CW210" s="180"/>
      <c r="CX210" s="180"/>
      <c r="CY210" s="180"/>
      <c r="CZ210" s="180"/>
      <c r="DA210" s="180"/>
      <c r="DB210" s="180"/>
    </row>
    <row r="211">
      <c r="A211" s="180"/>
      <c r="B211" s="180"/>
      <c r="C211" s="180"/>
      <c r="D211" s="180"/>
      <c r="E211" s="180"/>
      <c r="F211" s="180"/>
      <c r="G211" s="180"/>
      <c r="H211" s="180"/>
      <c r="I211" s="180"/>
      <c r="J211" s="180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  <c r="CB211" s="180"/>
      <c r="CC211" s="180"/>
      <c r="CD211" s="180"/>
      <c r="CE211" s="180"/>
      <c r="CF211" s="180"/>
      <c r="CG211" s="180"/>
      <c r="CH211" s="180"/>
      <c r="CI211" s="180"/>
      <c r="CJ211" s="180"/>
      <c r="CK211" s="180"/>
      <c r="CL211" s="180"/>
      <c r="CM211" s="180"/>
      <c r="CN211" s="180"/>
      <c r="CO211" s="180"/>
      <c r="CP211" s="180"/>
      <c r="CQ211" s="180"/>
      <c r="CR211" s="180"/>
      <c r="CS211" s="180"/>
      <c r="CT211" s="180"/>
      <c r="CU211" s="180"/>
      <c r="CV211" s="180"/>
      <c r="CW211" s="180"/>
      <c r="CX211" s="180"/>
      <c r="CY211" s="180"/>
      <c r="CZ211" s="180"/>
      <c r="DA211" s="180"/>
      <c r="DB211" s="180"/>
    </row>
    <row r="212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  <c r="CB212" s="180"/>
      <c r="CC212" s="180"/>
      <c r="CD212" s="180"/>
      <c r="CE212" s="180"/>
      <c r="CF212" s="180"/>
      <c r="CG212" s="180"/>
      <c r="CH212" s="180"/>
      <c r="CI212" s="180"/>
      <c r="CJ212" s="180"/>
      <c r="CK212" s="180"/>
      <c r="CL212" s="180"/>
      <c r="CM212" s="180"/>
      <c r="CN212" s="180"/>
      <c r="CO212" s="180"/>
      <c r="CP212" s="180"/>
      <c r="CQ212" s="180"/>
      <c r="CR212" s="180"/>
      <c r="CS212" s="180"/>
      <c r="CT212" s="180"/>
      <c r="CU212" s="180"/>
      <c r="CV212" s="180"/>
      <c r="CW212" s="180"/>
      <c r="CX212" s="180"/>
      <c r="CY212" s="180"/>
      <c r="CZ212" s="180"/>
      <c r="DA212" s="180"/>
      <c r="DB212" s="180"/>
    </row>
    <row r="213">
      <c r="A213" s="180"/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  <c r="CB213" s="180"/>
      <c r="CC213" s="180"/>
      <c r="CD213" s="180"/>
      <c r="CE213" s="180"/>
      <c r="CF213" s="180"/>
      <c r="CG213" s="180"/>
      <c r="CH213" s="180"/>
      <c r="CI213" s="180"/>
      <c r="CJ213" s="180"/>
      <c r="CK213" s="180"/>
      <c r="CL213" s="180"/>
      <c r="CM213" s="180"/>
      <c r="CN213" s="180"/>
      <c r="CO213" s="180"/>
      <c r="CP213" s="180"/>
      <c r="CQ213" s="180"/>
      <c r="CR213" s="180"/>
      <c r="CS213" s="180"/>
      <c r="CT213" s="180"/>
      <c r="CU213" s="180"/>
      <c r="CV213" s="180"/>
      <c r="CW213" s="180"/>
      <c r="CX213" s="180"/>
      <c r="CY213" s="180"/>
      <c r="CZ213" s="180"/>
      <c r="DA213" s="180"/>
      <c r="DB213" s="180"/>
    </row>
    <row r="214">
      <c r="A214" s="180"/>
      <c r="B214" s="180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  <c r="CB214" s="180"/>
      <c r="CC214" s="180"/>
      <c r="CD214" s="180"/>
      <c r="CE214" s="180"/>
      <c r="CF214" s="180"/>
      <c r="CG214" s="180"/>
      <c r="CH214" s="180"/>
      <c r="CI214" s="180"/>
      <c r="CJ214" s="180"/>
      <c r="CK214" s="180"/>
      <c r="CL214" s="180"/>
      <c r="CM214" s="180"/>
      <c r="CN214" s="180"/>
      <c r="CO214" s="180"/>
      <c r="CP214" s="180"/>
      <c r="CQ214" s="180"/>
      <c r="CR214" s="180"/>
      <c r="CS214" s="180"/>
      <c r="CT214" s="180"/>
      <c r="CU214" s="180"/>
      <c r="CV214" s="180"/>
      <c r="CW214" s="180"/>
      <c r="CX214" s="180"/>
      <c r="CY214" s="180"/>
      <c r="CZ214" s="180"/>
      <c r="DA214" s="180"/>
      <c r="DB214" s="180"/>
    </row>
    <row r="215">
      <c r="A215" s="180"/>
      <c r="B215" s="180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  <c r="CB215" s="180"/>
      <c r="CC215" s="180"/>
      <c r="CD215" s="180"/>
      <c r="CE215" s="180"/>
      <c r="CF215" s="180"/>
      <c r="CG215" s="180"/>
      <c r="CH215" s="180"/>
      <c r="CI215" s="180"/>
      <c r="CJ215" s="180"/>
      <c r="CK215" s="180"/>
      <c r="CL215" s="180"/>
      <c r="CM215" s="180"/>
      <c r="CN215" s="180"/>
      <c r="CO215" s="180"/>
      <c r="CP215" s="180"/>
      <c r="CQ215" s="180"/>
      <c r="CR215" s="180"/>
      <c r="CS215" s="180"/>
      <c r="CT215" s="180"/>
      <c r="CU215" s="180"/>
      <c r="CV215" s="180"/>
      <c r="CW215" s="180"/>
      <c r="CX215" s="180"/>
      <c r="CY215" s="180"/>
      <c r="CZ215" s="180"/>
      <c r="DA215" s="180"/>
      <c r="DB215" s="180"/>
    </row>
    <row r="216">
      <c r="A216" s="180"/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  <c r="CB216" s="180"/>
      <c r="CC216" s="180"/>
      <c r="CD216" s="180"/>
      <c r="CE216" s="180"/>
      <c r="CF216" s="180"/>
      <c r="CG216" s="180"/>
      <c r="CH216" s="180"/>
      <c r="CI216" s="180"/>
      <c r="CJ216" s="180"/>
      <c r="CK216" s="180"/>
      <c r="CL216" s="180"/>
      <c r="CM216" s="180"/>
      <c r="CN216" s="180"/>
      <c r="CO216" s="180"/>
      <c r="CP216" s="180"/>
      <c r="CQ216" s="180"/>
      <c r="CR216" s="180"/>
      <c r="CS216" s="180"/>
      <c r="CT216" s="180"/>
      <c r="CU216" s="180"/>
      <c r="CV216" s="180"/>
      <c r="CW216" s="180"/>
      <c r="CX216" s="180"/>
      <c r="CY216" s="180"/>
      <c r="CZ216" s="180"/>
      <c r="DA216" s="180"/>
      <c r="DB216" s="180"/>
    </row>
    <row r="217">
      <c r="A217" s="180"/>
      <c r="B217" s="180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  <c r="CB217" s="180"/>
      <c r="CC217" s="180"/>
      <c r="CD217" s="180"/>
      <c r="CE217" s="180"/>
      <c r="CF217" s="180"/>
      <c r="CG217" s="180"/>
      <c r="CH217" s="180"/>
      <c r="CI217" s="180"/>
      <c r="CJ217" s="180"/>
      <c r="CK217" s="180"/>
      <c r="CL217" s="180"/>
      <c r="CM217" s="180"/>
      <c r="CN217" s="180"/>
      <c r="CO217" s="180"/>
      <c r="CP217" s="180"/>
      <c r="CQ217" s="180"/>
      <c r="CR217" s="180"/>
      <c r="CS217" s="180"/>
      <c r="CT217" s="180"/>
      <c r="CU217" s="180"/>
      <c r="CV217" s="180"/>
      <c r="CW217" s="180"/>
      <c r="CX217" s="180"/>
      <c r="CY217" s="180"/>
      <c r="CZ217" s="180"/>
      <c r="DA217" s="180"/>
      <c r="DB217" s="180"/>
    </row>
    <row r="218">
      <c r="A218" s="180"/>
      <c r="B218" s="180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  <c r="CB218" s="180"/>
      <c r="CC218" s="180"/>
      <c r="CD218" s="180"/>
      <c r="CE218" s="180"/>
      <c r="CF218" s="180"/>
      <c r="CG218" s="180"/>
      <c r="CH218" s="180"/>
      <c r="CI218" s="180"/>
      <c r="CJ218" s="180"/>
      <c r="CK218" s="180"/>
      <c r="CL218" s="180"/>
      <c r="CM218" s="180"/>
      <c r="CN218" s="180"/>
      <c r="CO218" s="180"/>
      <c r="CP218" s="180"/>
      <c r="CQ218" s="180"/>
      <c r="CR218" s="180"/>
      <c r="CS218" s="180"/>
      <c r="CT218" s="180"/>
      <c r="CU218" s="180"/>
      <c r="CV218" s="180"/>
      <c r="CW218" s="180"/>
      <c r="CX218" s="180"/>
      <c r="CY218" s="180"/>
      <c r="CZ218" s="180"/>
      <c r="DA218" s="180"/>
      <c r="DB218" s="180"/>
    </row>
    <row r="219">
      <c r="A219" s="180"/>
      <c r="B219" s="180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  <c r="CB219" s="180"/>
      <c r="CC219" s="180"/>
      <c r="CD219" s="180"/>
      <c r="CE219" s="180"/>
      <c r="CF219" s="180"/>
      <c r="CG219" s="180"/>
      <c r="CH219" s="180"/>
      <c r="CI219" s="180"/>
      <c r="CJ219" s="180"/>
      <c r="CK219" s="180"/>
      <c r="CL219" s="180"/>
      <c r="CM219" s="180"/>
      <c r="CN219" s="180"/>
      <c r="CO219" s="180"/>
      <c r="CP219" s="180"/>
      <c r="CQ219" s="180"/>
      <c r="CR219" s="180"/>
      <c r="CS219" s="180"/>
      <c r="CT219" s="180"/>
      <c r="CU219" s="180"/>
      <c r="CV219" s="180"/>
      <c r="CW219" s="180"/>
      <c r="CX219" s="180"/>
      <c r="CY219" s="180"/>
      <c r="CZ219" s="180"/>
      <c r="DA219" s="180"/>
      <c r="DB219" s="180"/>
    </row>
    <row r="220">
      <c r="A220" s="180"/>
      <c r="B220" s="180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  <c r="CB220" s="180"/>
      <c r="CC220" s="180"/>
      <c r="CD220" s="180"/>
      <c r="CE220" s="180"/>
      <c r="CF220" s="180"/>
      <c r="CG220" s="180"/>
      <c r="CH220" s="180"/>
      <c r="CI220" s="180"/>
      <c r="CJ220" s="180"/>
      <c r="CK220" s="180"/>
      <c r="CL220" s="180"/>
      <c r="CM220" s="180"/>
      <c r="CN220" s="180"/>
      <c r="CO220" s="180"/>
      <c r="CP220" s="180"/>
      <c r="CQ220" s="180"/>
      <c r="CR220" s="180"/>
      <c r="CS220" s="180"/>
      <c r="CT220" s="180"/>
      <c r="CU220" s="180"/>
      <c r="CV220" s="180"/>
      <c r="CW220" s="180"/>
      <c r="CX220" s="180"/>
      <c r="CY220" s="180"/>
      <c r="CZ220" s="180"/>
      <c r="DA220" s="180"/>
      <c r="DB220" s="180"/>
    </row>
    <row r="221">
      <c r="A221" s="180"/>
      <c r="B221" s="180"/>
      <c r="C221" s="180"/>
      <c r="D221" s="180"/>
      <c r="E221" s="180"/>
      <c r="F221" s="180"/>
      <c r="G221" s="180"/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  <c r="CB221" s="180"/>
      <c r="CC221" s="180"/>
      <c r="CD221" s="180"/>
      <c r="CE221" s="180"/>
      <c r="CF221" s="180"/>
      <c r="CG221" s="180"/>
      <c r="CH221" s="180"/>
      <c r="CI221" s="180"/>
      <c r="CJ221" s="180"/>
      <c r="CK221" s="180"/>
      <c r="CL221" s="180"/>
      <c r="CM221" s="180"/>
      <c r="CN221" s="180"/>
      <c r="CO221" s="180"/>
      <c r="CP221" s="180"/>
      <c r="CQ221" s="180"/>
      <c r="CR221" s="180"/>
      <c r="CS221" s="180"/>
      <c r="CT221" s="180"/>
      <c r="CU221" s="180"/>
      <c r="CV221" s="180"/>
      <c r="CW221" s="180"/>
      <c r="CX221" s="180"/>
      <c r="CY221" s="180"/>
      <c r="CZ221" s="180"/>
      <c r="DA221" s="180"/>
      <c r="DB221" s="180"/>
    </row>
    <row r="222">
      <c r="A222" s="180"/>
      <c r="B222" s="180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  <c r="CB222" s="180"/>
      <c r="CC222" s="180"/>
      <c r="CD222" s="180"/>
      <c r="CE222" s="180"/>
      <c r="CF222" s="180"/>
      <c r="CG222" s="180"/>
      <c r="CH222" s="180"/>
      <c r="CI222" s="180"/>
      <c r="CJ222" s="180"/>
      <c r="CK222" s="180"/>
      <c r="CL222" s="180"/>
      <c r="CM222" s="180"/>
      <c r="CN222" s="180"/>
      <c r="CO222" s="180"/>
      <c r="CP222" s="180"/>
      <c r="CQ222" s="180"/>
      <c r="CR222" s="180"/>
      <c r="CS222" s="180"/>
      <c r="CT222" s="180"/>
      <c r="CU222" s="180"/>
      <c r="CV222" s="180"/>
      <c r="CW222" s="180"/>
      <c r="CX222" s="180"/>
      <c r="CY222" s="180"/>
      <c r="CZ222" s="180"/>
      <c r="DA222" s="180"/>
      <c r="DB222" s="180"/>
    </row>
    <row r="223">
      <c r="A223" s="180"/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  <c r="CB223" s="180"/>
      <c r="CC223" s="180"/>
      <c r="CD223" s="180"/>
      <c r="CE223" s="180"/>
      <c r="CF223" s="180"/>
      <c r="CG223" s="180"/>
      <c r="CH223" s="180"/>
      <c r="CI223" s="180"/>
      <c r="CJ223" s="180"/>
      <c r="CK223" s="180"/>
      <c r="CL223" s="180"/>
      <c r="CM223" s="180"/>
      <c r="CN223" s="180"/>
      <c r="CO223" s="180"/>
      <c r="CP223" s="180"/>
      <c r="CQ223" s="180"/>
      <c r="CR223" s="180"/>
      <c r="CS223" s="180"/>
      <c r="CT223" s="180"/>
      <c r="CU223" s="180"/>
      <c r="CV223" s="180"/>
      <c r="CW223" s="180"/>
      <c r="CX223" s="180"/>
      <c r="CY223" s="180"/>
      <c r="CZ223" s="180"/>
      <c r="DA223" s="180"/>
      <c r="DB223" s="180"/>
    </row>
    <row r="224">
      <c r="A224" s="180"/>
      <c r="B224" s="180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  <c r="CB224" s="180"/>
      <c r="CC224" s="180"/>
      <c r="CD224" s="180"/>
      <c r="CE224" s="180"/>
      <c r="CF224" s="180"/>
      <c r="CG224" s="180"/>
      <c r="CH224" s="180"/>
      <c r="CI224" s="180"/>
      <c r="CJ224" s="180"/>
      <c r="CK224" s="180"/>
      <c r="CL224" s="180"/>
      <c r="CM224" s="180"/>
      <c r="CN224" s="180"/>
      <c r="CO224" s="180"/>
      <c r="CP224" s="180"/>
      <c r="CQ224" s="180"/>
      <c r="CR224" s="180"/>
      <c r="CS224" s="180"/>
      <c r="CT224" s="180"/>
      <c r="CU224" s="180"/>
      <c r="CV224" s="180"/>
      <c r="CW224" s="180"/>
      <c r="CX224" s="180"/>
      <c r="CY224" s="180"/>
      <c r="CZ224" s="180"/>
      <c r="DA224" s="180"/>
      <c r="DB224" s="180"/>
    </row>
    <row r="225">
      <c r="A225" s="180"/>
      <c r="B225" s="180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  <c r="CB225" s="180"/>
      <c r="CC225" s="180"/>
      <c r="CD225" s="180"/>
      <c r="CE225" s="180"/>
      <c r="CF225" s="180"/>
      <c r="CG225" s="180"/>
      <c r="CH225" s="180"/>
      <c r="CI225" s="180"/>
      <c r="CJ225" s="180"/>
      <c r="CK225" s="180"/>
      <c r="CL225" s="180"/>
      <c r="CM225" s="180"/>
      <c r="CN225" s="180"/>
      <c r="CO225" s="180"/>
      <c r="CP225" s="180"/>
      <c r="CQ225" s="180"/>
      <c r="CR225" s="180"/>
      <c r="CS225" s="180"/>
      <c r="CT225" s="180"/>
      <c r="CU225" s="180"/>
      <c r="CV225" s="180"/>
      <c r="CW225" s="180"/>
      <c r="CX225" s="180"/>
      <c r="CY225" s="180"/>
      <c r="CZ225" s="180"/>
      <c r="DA225" s="180"/>
      <c r="DB225" s="180"/>
    </row>
    <row r="226">
      <c r="A226" s="180"/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  <c r="CB226" s="180"/>
      <c r="CC226" s="180"/>
      <c r="CD226" s="180"/>
      <c r="CE226" s="180"/>
      <c r="CF226" s="180"/>
      <c r="CG226" s="180"/>
      <c r="CH226" s="180"/>
      <c r="CI226" s="180"/>
      <c r="CJ226" s="180"/>
      <c r="CK226" s="180"/>
      <c r="CL226" s="180"/>
      <c r="CM226" s="180"/>
      <c r="CN226" s="180"/>
      <c r="CO226" s="180"/>
      <c r="CP226" s="180"/>
      <c r="CQ226" s="180"/>
      <c r="CR226" s="180"/>
      <c r="CS226" s="180"/>
      <c r="CT226" s="180"/>
      <c r="CU226" s="180"/>
      <c r="CV226" s="180"/>
      <c r="CW226" s="180"/>
      <c r="CX226" s="180"/>
      <c r="CY226" s="180"/>
      <c r="CZ226" s="180"/>
      <c r="DA226" s="180"/>
      <c r="DB226" s="180"/>
    </row>
    <row r="227">
      <c r="A227" s="180"/>
      <c r="B227" s="180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  <c r="CB227" s="180"/>
      <c r="CC227" s="180"/>
      <c r="CD227" s="180"/>
      <c r="CE227" s="180"/>
      <c r="CF227" s="180"/>
      <c r="CG227" s="180"/>
      <c r="CH227" s="180"/>
      <c r="CI227" s="180"/>
      <c r="CJ227" s="180"/>
      <c r="CK227" s="180"/>
      <c r="CL227" s="180"/>
      <c r="CM227" s="180"/>
      <c r="CN227" s="180"/>
      <c r="CO227" s="180"/>
      <c r="CP227" s="180"/>
      <c r="CQ227" s="180"/>
      <c r="CR227" s="180"/>
      <c r="CS227" s="180"/>
      <c r="CT227" s="180"/>
      <c r="CU227" s="180"/>
      <c r="CV227" s="180"/>
      <c r="CW227" s="180"/>
      <c r="CX227" s="180"/>
      <c r="CY227" s="180"/>
      <c r="CZ227" s="180"/>
      <c r="DA227" s="180"/>
      <c r="DB227" s="180"/>
    </row>
    <row r="228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  <c r="CB228" s="180"/>
      <c r="CC228" s="180"/>
      <c r="CD228" s="180"/>
      <c r="CE228" s="180"/>
      <c r="CF228" s="180"/>
      <c r="CG228" s="180"/>
      <c r="CH228" s="180"/>
      <c r="CI228" s="180"/>
      <c r="CJ228" s="180"/>
      <c r="CK228" s="180"/>
      <c r="CL228" s="180"/>
      <c r="CM228" s="180"/>
      <c r="CN228" s="180"/>
      <c r="CO228" s="180"/>
      <c r="CP228" s="180"/>
      <c r="CQ228" s="180"/>
      <c r="CR228" s="180"/>
      <c r="CS228" s="180"/>
      <c r="CT228" s="180"/>
      <c r="CU228" s="180"/>
      <c r="CV228" s="180"/>
      <c r="CW228" s="180"/>
      <c r="CX228" s="180"/>
      <c r="CY228" s="180"/>
      <c r="CZ228" s="180"/>
      <c r="DA228" s="180"/>
      <c r="DB228" s="180"/>
    </row>
    <row r="229">
      <c r="A229" s="180"/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  <c r="CB229" s="180"/>
      <c r="CC229" s="180"/>
      <c r="CD229" s="180"/>
      <c r="CE229" s="180"/>
      <c r="CF229" s="180"/>
      <c r="CG229" s="180"/>
      <c r="CH229" s="180"/>
      <c r="CI229" s="180"/>
      <c r="CJ229" s="180"/>
      <c r="CK229" s="180"/>
      <c r="CL229" s="180"/>
      <c r="CM229" s="180"/>
      <c r="CN229" s="180"/>
      <c r="CO229" s="180"/>
      <c r="CP229" s="180"/>
      <c r="CQ229" s="180"/>
      <c r="CR229" s="180"/>
      <c r="CS229" s="180"/>
      <c r="CT229" s="180"/>
      <c r="CU229" s="180"/>
      <c r="CV229" s="180"/>
      <c r="CW229" s="180"/>
      <c r="CX229" s="180"/>
      <c r="CY229" s="180"/>
      <c r="CZ229" s="180"/>
      <c r="DA229" s="180"/>
      <c r="DB229" s="180"/>
    </row>
    <row r="230">
      <c r="A230" s="180"/>
      <c r="B230" s="180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  <c r="CB230" s="180"/>
      <c r="CC230" s="180"/>
      <c r="CD230" s="180"/>
      <c r="CE230" s="180"/>
      <c r="CF230" s="180"/>
      <c r="CG230" s="180"/>
      <c r="CH230" s="180"/>
      <c r="CI230" s="180"/>
      <c r="CJ230" s="180"/>
      <c r="CK230" s="180"/>
      <c r="CL230" s="180"/>
      <c r="CM230" s="180"/>
      <c r="CN230" s="180"/>
      <c r="CO230" s="180"/>
      <c r="CP230" s="180"/>
      <c r="CQ230" s="180"/>
      <c r="CR230" s="180"/>
      <c r="CS230" s="180"/>
      <c r="CT230" s="180"/>
      <c r="CU230" s="180"/>
      <c r="CV230" s="180"/>
      <c r="CW230" s="180"/>
      <c r="CX230" s="180"/>
      <c r="CY230" s="180"/>
      <c r="CZ230" s="180"/>
      <c r="DA230" s="180"/>
      <c r="DB230" s="180"/>
    </row>
    <row r="231">
      <c r="A231" s="180"/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80"/>
      <c r="AH231" s="180"/>
      <c r="AI231" s="180"/>
      <c r="AJ231" s="180"/>
      <c r="AK231" s="180"/>
      <c r="AL231" s="180"/>
      <c r="AM231" s="180"/>
      <c r="AN231" s="180"/>
      <c r="AO231" s="180"/>
      <c r="AP231" s="180"/>
      <c r="AQ231" s="180"/>
      <c r="AR231" s="180"/>
      <c r="AS231" s="180"/>
      <c r="AT231" s="180"/>
      <c r="AU231" s="180"/>
      <c r="AV231" s="180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BM231" s="180"/>
      <c r="BN231" s="180"/>
      <c r="BO231" s="180"/>
      <c r="BP231" s="180"/>
      <c r="BQ231" s="180"/>
      <c r="BR231" s="180"/>
      <c r="BS231" s="180"/>
      <c r="BT231" s="180"/>
      <c r="BU231" s="180"/>
      <c r="BV231" s="180"/>
      <c r="BW231" s="180"/>
      <c r="BX231" s="180"/>
      <c r="BY231" s="180"/>
      <c r="BZ231" s="180"/>
      <c r="CA231" s="180"/>
      <c r="CB231" s="180"/>
      <c r="CC231" s="180"/>
      <c r="CD231" s="180"/>
      <c r="CE231" s="180"/>
      <c r="CF231" s="180"/>
      <c r="CG231" s="180"/>
      <c r="CH231" s="180"/>
      <c r="CI231" s="180"/>
      <c r="CJ231" s="180"/>
      <c r="CK231" s="180"/>
      <c r="CL231" s="180"/>
      <c r="CM231" s="180"/>
      <c r="CN231" s="180"/>
      <c r="CO231" s="180"/>
      <c r="CP231" s="180"/>
      <c r="CQ231" s="180"/>
      <c r="CR231" s="180"/>
      <c r="CS231" s="180"/>
      <c r="CT231" s="180"/>
      <c r="CU231" s="180"/>
      <c r="CV231" s="180"/>
      <c r="CW231" s="180"/>
      <c r="CX231" s="180"/>
      <c r="CY231" s="180"/>
      <c r="CZ231" s="180"/>
      <c r="DA231" s="180"/>
      <c r="DB231" s="180"/>
    </row>
    <row r="232">
      <c r="A232" s="180"/>
      <c r="B232" s="180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  <c r="CB232" s="180"/>
      <c r="CC232" s="180"/>
      <c r="CD232" s="180"/>
      <c r="CE232" s="180"/>
      <c r="CF232" s="180"/>
      <c r="CG232" s="180"/>
      <c r="CH232" s="180"/>
      <c r="CI232" s="180"/>
      <c r="CJ232" s="180"/>
      <c r="CK232" s="180"/>
      <c r="CL232" s="180"/>
      <c r="CM232" s="180"/>
      <c r="CN232" s="180"/>
      <c r="CO232" s="180"/>
      <c r="CP232" s="180"/>
      <c r="CQ232" s="180"/>
      <c r="CR232" s="180"/>
      <c r="CS232" s="180"/>
      <c r="CT232" s="180"/>
      <c r="CU232" s="180"/>
      <c r="CV232" s="180"/>
      <c r="CW232" s="180"/>
      <c r="CX232" s="180"/>
      <c r="CY232" s="180"/>
      <c r="CZ232" s="180"/>
      <c r="DA232" s="180"/>
      <c r="DB232" s="180"/>
    </row>
    <row r="233">
      <c r="A233" s="180"/>
      <c r="B233" s="180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  <c r="CB233" s="180"/>
      <c r="CC233" s="180"/>
      <c r="CD233" s="180"/>
      <c r="CE233" s="180"/>
      <c r="CF233" s="180"/>
      <c r="CG233" s="180"/>
      <c r="CH233" s="180"/>
      <c r="CI233" s="180"/>
      <c r="CJ233" s="180"/>
      <c r="CK233" s="180"/>
      <c r="CL233" s="180"/>
      <c r="CM233" s="180"/>
      <c r="CN233" s="180"/>
      <c r="CO233" s="180"/>
      <c r="CP233" s="180"/>
      <c r="CQ233" s="180"/>
      <c r="CR233" s="180"/>
      <c r="CS233" s="180"/>
      <c r="CT233" s="180"/>
      <c r="CU233" s="180"/>
      <c r="CV233" s="180"/>
      <c r="CW233" s="180"/>
      <c r="CX233" s="180"/>
      <c r="CY233" s="180"/>
      <c r="CZ233" s="180"/>
      <c r="DA233" s="180"/>
      <c r="DB233" s="180"/>
    </row>
    <row r="234">
      <c r="A234" s="180"/>
      <c r="B234" s="180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  <c r="CB234" s="180"/>
      <c r="CC234" s="180"/>
      <c r="CD234" s="180"/>
      <c r="CE234" s="180"/>
      <c r="CF234" s="180"/>
      <c r="CG234" s="180"/>
      <c r="CH234" s="180"/>
      <c r="CI234" s="180"/>
      <c r="CJ234" s="180"/>
      <c r="CK234" s="180"/>
      <c r="CL234" s="180"/>
      <c r="CM234" s="180"/>
      <c r="CN234" s="180"/>
      <c r="CO234" s="180"/>
      <c r="CP234" s="180"/>
      <c r="CQ234" s="180"/>
      <c r="CR234" s="180"/>
      <c r="CS234" s="180"/>
      <c r="CT234" s="180"/>
      <c r="CU234" s="180"/>
      <c r="CV234" s="180"/>
      <c r="CW234" s="180"/>
      <c r="CX234" s="180"/>
      <c r="CY234" s="180"/>
      <c r="CZ234" s="180"/>
      <c r="DA234" s="180"/>
      <c r="DB234" s="180"/>
    </row>
    <row r="235">
      <c r="A235" s="180"/>
      <c r="B235" s="180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  <c r="CB235" s="180"/>
      <c r="CC235" s="180"/>
      <c r="CD235" s="180"/>
      <c r="CE235" s="180"/>
      <c r="CF235" s="180"/>
      <c r="CG235" s="180"/>
      <c r="CH235" s="180"/>
      <c r="CI235" s="180"/>
      <c r="CJ235" s="180"/>
      <c r="CK235" s="180"/>
      <c r="CL235" s="180"/>
      <c r="CM235" s="180"/>
      <c r="CN235" s="180"/>
      <c r="CO235" s="180"/>
      <c r="CP235" s="180"/>
      <c r="CQ235" s="180"/>
      <c r="CR235" s="180"/>
      <c r="CS235" s="180"/>
      <c r="CT235" s="180"/>
      <c r="CU235" s="180"/>
      <c r="CV235" s="180"/>
      <c r="CW235" s="180"/>
      <c r="CX235" s="180"/>
      <c r="CY235" s="180"/>
      <c r="CZ235" s="180"/>
      <c r="DA235" s="180"/>
      <c r="DB235" s="180"/>
    </row>
    <row r="236">
      <c r="A236" s="180"/>
      <c r="B236" s="180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80"/>
      <c r="AH236" s="180"/>
      <c r="AI236" s="180"/>
      <c r="AJ236" s="180"/>
      <c r="AK236" s="180"/>
      <c r="AL236" s="180"/>
      <c r="AM236" s="180"/>
      <c r="AN236" s="180"/>
      <c r="AO236" s="180"/>
      <c r="AP236" s="180"/>
      <c r="AQ236" s="180"/>
      <c r="AR236" s="180"/>
      <c r="AS236" s="180"/>
      <c r="AT236" s="180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0"/>
      <c r="BG236" s="180"/>
      <c r="BH236" s="180"/>
      <c r="BI236" s="180"/>
      <c r="BJ236" s="180"/>
      <c r="BK236" s="180"/>
      <c r="BL236" s="180"/>
      <c r="BM236" s="180"/>
      <c r="BN236" s="180"/>
      <c r="BO236" s="180"/>
      <c r="BP236" s="180"/>
      <c r="BQ236" s="180"/>
      <c r="BR236" s="180"/>
      <c r="BS236" s="180"/>
      <c r="BT236" s="180"/>
      <c r="BU236" s="180"/>
      <c r="BV236" s="180"/>
      <c r="BW236" s="180"/>
      <c r="BX236" s="180"/>
      <c r="BY236" s="180"/>
      <c r="BZ236" s="180"/>
      <c r="CA236" s="180"/>
      <c r="CB236" s="180"/>
      <c r="CC236" s="180"/>
      <c r="CD236" s="180"/>
      <c r="CE236" s="180"/>
      <c r="CF236" s="180"/>
      <c r="CG236" s="180"/>
      <c r="CH236" s="180"/>
      <c r="CI236" s="180"/>
      <c r="CJ236" s="180"/>
      <c r="CK236" s="180"/>
      <c r="CL236" s="180"/>
      <c r="CM236" s="180"/>
      <c r="CN236" s="180"/>
      <c r="CO236" s="180"/>
      <c r="CP236" s="180"/>
      <c r="CQ236" s="180"/>
      <c r="CR236" s="180"/>
      <c r="CS236" s="180"/>
      <c r="CT236" s="180"/>
      <c r="CU236" s="180"/>
      <c r="CV236" s="180"/>
      <c r="CW236" s="180"/>
      <c r="CX236" s="180"/>
      <c r="CY236" s="180"/>
      <c r="CZ236" s="180"/>
      <c r="DA236" s="180"/>
      <c r="DB236" s="180"/>
    </row>
    <row r="237">
      <c r="A237" s="180"/>
      <c r="B237" s="180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  <c r="CB237" s="180"/>
      <c r="CC237" s="180"/>
      <c r="CD237" s="180"/>
      <c r="CE237" s="180"/>
      <c r="CF237" s="180"/>
      <c r="CG237" s="180"/>
      <c r="CH237" s="180"/>
      <c r="CI237" s="180"/>
      <c r="CJ237" s="180"/>
      <c r="CK237" s="180"/>
      <c r="CL237" s="180"/>
      <c r="CM237" s="180"/>
      <c r="CN237" s="180"/>
      <c r="CO237" s="180"/>
      <c r="CP237" s="180"/>
      <c r="CQ237" s="180"/>
      <c r="CR237" s="180"/>
      <c r="CS237" s="180"/>
      <c r="CT237" s="180"/>
      <c r="CU237" s="180"/>
      <c r="CV237" s="180"/>
      <c r="CW237" s="180"/>
      <c r="CX237" s="180"/>
      <c r="CY237" s="180"/>
      <c r="CZ237" s="180"/>
      <c r="DA237" s="180"/>
      <c r="DB237" s="180"/>
    </row>
    <row r="238">
      <c r="A238" s="180"/>
      <c r="B238" s="180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  <c r="CB238" s="180"/>
      <c r="CC238" s="180"/>
      <c r="CD238" s="180"/>
      <c r="CE238" s="180"/>
      <c r="CF238" s="180"/>
      <c r="CG238" s="180"/>
      <c r="CH238" s="180"/>
      <c r="CI238" s="180"/>
      <c r="CJ238" s="180"/>
      <c r="CK238" s="180"/>
      <c r="CL238" s="180"/>
      <c r="CM238" s="180"/>
      <c r="CN238" s="180"/>
      <c r="CO238" s="180"/>
      <c r="CP238" s="180"/>
      <c r="CQ238" s="180"/>
      <c r="CR238" s="180"/>
      <c r="CS238" s="180"/>
      <c r="CT238" s="180"/>
      <c r="CU238" s="180"/>
      <c r="CV238" s="180"/>
      <c r="CW238" s="180"/>
      <c r="CX238" s="180"/>
      <c r="CY238" s="180"/>
      <c r="CZ238" s="180"/>
      <c r="DA238" s="180"/>
      <c r="DB238" s="180"/>
    </row>
    <row r="239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  <c r="CB239" s="180"/>
      <c r="CC239" s="180"/>
      <c r="CD239" s="180"/>
      <c r="CE239" s="180"/>
      <c r="CF239" s="180"/>
      <c r="CG239" s="180"/>
      <c r="CH239" s="180"/>
      <c r="CI239" s="180"/>
      <c r="CJ239" s="180"/>
      <c r="CK239" s="180"/>
      <c r="CL239" s="180"/>
      <c r="CM239" s="180"/>
      <c r="CN239" s="180"/>
      <c r="CO239" s="180"/>
      <c r="CP239" s="180"/>
      <c r="CQ239" s="180"/>
      <c r="CR239" s="180"/>
      <c r="CS239" s="180"/>
      <c r="CT239" s="180"/>
      <c r="CU239" s="180"/>
      <c r="CV239" s="180"/>
      <c r="CW239" s="180"/>
      <c r="CX239" s="180"/>
      <c r="CY239" s="180"/>
      <c r="CZ239" s="180"/>
      <c r="DA239" s="180"/>
      <c r="DB239" s="180"/>
    </row>
    <row r="240">
      <c r="A240" s="180"/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  <c r="CB240" s="180"/>
      <c r="CC240" s="180"/>
      <c r="CD240" s="180"/>
      <c r="CE240" s="180"/>
      <c r="CF240" s="180"/>
      <c r="CG240" s="180"/>
      <c r="CH240" s="180"/>
      <c r="CI240" s="180"/>
      <c r="CJ240" s="180"/>
      <c r="CK240" s="180"/>
      <c r="CL240" s="180"/>
      <c r="CM240" s="180"/>
      <c r="CN240" s="180"/>
      <c r="CO240" s="180"/>
      <c r="CP240" s="180"/>
      <c r="CQ240" s="180"/>
      <c r="CR240" s="180"/>
      <c r="CS240" s="180"/>
      <c r="CT240" s="180"/>
      <c r="CU240" s="180"/>
      <c r="CV240" s="180"/>
      <c r="CW240" s="180"/>
      <c r="CX240" s="180"/>
      <c r="CY240" s="180"/>
      <c r="CZ240" s="180"/>
      <c r="DA240" s="180"/>
      <c r="DB240" s="180"/>
    </row>
    <row r="241">
      <c r="A241" s="180"/>
      <c r="B241" s="180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  <c r="CB241" s="180"/>
      <c r="CC241" s="180"/>
      <c r="CD241" s="180"/>
      <c r="CE241" s="180"/>
      <c r="CF241" s="180"/>
      <c r="CG241" s="180"/>
      <c r="CH241" s="180"/>
      <c r="CI241" s="180"/>
      <c r="CJ241" s="180"/>
      <c r="CK241" s="180"/>
      <c r="CL241" s="180"/>
      <c r="CM241" s="180"/>
      <c r="CN241" s="180"/>
      <c r="CO241" s="180"/>
      <c r="CP241" s="180"/>
      <c r="CQ241" s="180"/>
      <c r="CR241" s="180"/>
      <c r="CS241" s="180"/>
      <c r="CT241" s="180"/>
      <c r="CU241" s="180"/>
      <c r="CV241" s="180"/>
      <c r="CW241" s="180"/>
      <c r="CX241" s="180"/>
      <c r="CY241" s="180"/>
      <c r="CZ241" s="180"/>
      <c r="DA241" s="180"/>
      <c r="DB241" s="180"/>
    </row>
    <row r="242">
      <c r="A242" s="180"/>
      <c r="B242" s="180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  <c r="CB242" s="180"/>
      <c r="CC242" s="180"/>
      <c r="CD242" s="180"/>
      <c r="CE242" s="180"/>
      <c r="CF242" s="180"/>
      <c r="CG242" s="180"/>
      <c r="CH242" s="180"/>
      <c r="CI242" s="180"/>
      <c r="CJ242" s="180"/>
      <c r="CK242" s="180"/>
      <c r="CL242" s="180"/>
      <c r="CM242" s="180"/>
      <c r="CN242" s="180"/>
      <c r="CO242" s="180"/>
      <c r="CP242" s="180"/>
      <c r="CQ242" s="180"/>
      <c r="CR242" s="180"/>
      <c r="CS242" s="180"/>
      <c r="CT242" s="180"/>
      <c r="CU242" s="180"/>
      <c r="CV242" s="180"/>
      <c r="CW242" s="180"/>
      <c r="CX242" s="180"/>
      <c r="CY242" s="180"/>
      <c r="CZ242" s="180"/>
      <c r="DA242" s="180"/>
      <c r="DB242" s="180"/>
    </row>
    <row r="243">
      <c r="A243" s="180"/>
      <c r="B243" s="180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  <c r="CB243" s="180"/>
      <c r="CC243" s="180"/>
      <c r="CD243" s="180"/>
      <c r="CE243" s="180"/>
      <c r="CF243" s="180"/>
      <c r="CG243" s="180"/>
      <c r="CH243" s="180"/>
      <c r="CI243" s="180"/>
      <c r="CJ243" s="180"/>
      <c r="CK243" s="180"/>
      <c r="CL243" s="180"/>
      <c r="CM243" s="180"/>
      <c r="CN243" s="180"/>
      <c r="CO243" s="180"/>
      <c r="CP243" s="180"/>
      <c r="CQ243" s="180"/>
      <c r="CR243" s="180"/>
      <c r="CS243" s="180"/>
      <c r="CT243" s="180"/>
      <c r="CU243" s="180"/>
      <c r="CV243" s="180"/>
      <c r="CW243" s="180"/>
      <c r="CX243" s="180"/>
      <c r="CY243" s="180"/>
      <c r="CZ243" s="180"/>
      <c r="DA243" s="180"/>
      <c r="DB243" s="180"/>
    </row>
    <row r="244">
      <c r="A244" s="180"/>
      <c r="B244" s="180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  <c r="CB244" s="180"/>
      <c r="CC244" s="180"/>
      <c r="CD244" s="180"/>
      <c r="CE244" s="180"/>
      <c r="CF244" s="180"/>
      <c r="CG244" s="180"/>
      <c r="CH244" s="180"/>
      <c r="CI244" s="180"/>
      <c r="CJ244" s="180"/>
      <c r="CK244" s="180"/>
      <c r="CL244" s="180"/>
      <c r="CM244" s="180"/>
      <c r="CN244" s="180"/>
      <c r="CO244" s="180"/>
      <c r="CP244" s="180"/>
      <c r="CQ244" s="180"/>
      <c r="CR244" s="180"/>
      <c r="CS244" s="180"/>
      <c r="CT244" s="180"/>
      <c r="CU244" s="180"/>
      <c r="CV244" s="180"/>
      <c r="CW244" s="180"/>
      <c r="CX244" s="180"/>
      <c r="CY244" s="180"/>
      <c r="CZ244" s="180"/>
      <c r="DA244" s="180"/>
      <c r="DB244" s="180"/>
    </row>
    <row r="245">
      <c r="A245" s="180"/>
      <c r="B245" s="180"/>
      <c r="C245" s="180"/>
      <c r="D245" s="180"/>
      <c r="E245" s="180"/>
      <c r="F245" s="180"/>
      <c r="G245" s="180"/>
      <c r="H245" s="180"/>
      <c r="I245" s="180"/>
      <c r="J245" s="180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  <c r="CB245" s="180"/>
      <c r="CC245" s="180"/>
      <c r="CD245" s="180"/>
      <c r="CE245" s="180"/>
      <c r="CF245" s="180"/>
      <c r="CG245" s="180"/>
      <c r="CH245" s="180"/>
      <c r="CI245" s="180"/>
      <c r="CJ245" s="180"/>
      <c r="CK245" s="180"/>
      <c r="CL245" s="180"/>
      <c r="CM245" s="180"/>
      <c r="CN245" s="180"/>
      <c r="CO245" s="180"/>
      <c r="CP245" s="180"/>
      <c r="CQ245" s="180"/>
      <c r="CR245" s="180"/>
      <c r="CS245" s="180"/>
      <c r="CT245" s="180"/>
      <c r="CU245" s="180"/>
      <c r="CV245" s="180"/>
      <c r="CW245" s="180"/>
      <c r="CX245" s="180"/>
      <c r="CY245" s="180"/>
      <c r="CZ245" s="180"/>
      <c r="DA245" s="180"/>
      <c r="DB245" s="180"/>
    </row>
    <row r="246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  <c r="CB246" s="180"/>
      <c r="CC246" s="180"/>
      <c r="CD246" s="180"/>
      <c r="CE246" s="180"/>
      <c r="CF246" s="180"/>
      <c r="CG246" s="180"/>
      <c r="CH246" s="180"/>
      <c r="CI246" s="180"/>
      <c r="CJ246" s="180"/>
      <c r="CK246" s="180"/>
      <c r="CL246" s="180"/>
      <c r="CM246" s="180"/>
      <c r="CN246" s="180"/>
      <c r="CO246" s="180"/>
      <c r="CP246" s="180"/>
      <c r="CQ246" s="180"/>
      <c r="CR246" s="180"/>
      <c r="CS246" s="180"/>
      <c r="CT246" s="180"/>
      <c r="CU246" s="180"/>
      <c r="CV246" s="180"/>
      <c r="CW246" s="180"/>
      <c r="CX246" s="180"/>
      <c r="CY246" s="180"/>
      <c r="CZ246" s="180"/>
      <c r="DA246" s="180"/>
      <c r="DB246" s="180"/>
    </row>
    <row r="247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  <c r="CB247" s="180"/>
      <c r="CC247" s="180"/>
      <c r="CD247" s="180"/>
      <c r="CE247" s="180"/>
      <c r="CF247" s="180"/>
      <c r="CG247" s="180"/>
      <c r="CH247" s="180"/>
      <c r="CI247" s="180"/>
      <c r="CJ247" s="180"/>
      <c r="CK247" s="180"/>
      <c r="CL247" s="180"/>
      <c r="CM247" s="180"/>
      <c r="CN247" s="180"/>
      <c r="CO247" s="180"/>
      <c r="CP247" s="180"/>
      <c r="CQ247" s="180"/>
      <c r="CR247" s="180"/>
      <c r="CS247" s="180"/>
      <c r="CT247" s="180"/>
      <c r="CU247" s="180"/>
      <c r="CV247" s="180"/>
      <c r="CW247" s="180"/>
      <c r="CX247" s="180"/>
      <c r="CY247" s="180"/>
      <c r="CZ247" s="180"/>
      <c r="DA247" s="180"/>
      <c r="DB247" s="180"/>
    </row>
    <row r="248">
      <c r="A248" s="180"/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  <c r="CD248" s="180"/>
      <c r="CE248" s="180"/>
      <c r="CF248" s="180"/>
      <c r="CG248" s="180"/>
      <c r="CH248" s="180"/>
      <c r="CI248" s="180"/>
      <c r="CJ248" s="180"/>
      <c r="CK248" s="180"/>
      <c r="CL248" s="180"/>
      <c r="CM248" s="180"/>
      <c r="CN248" s="180"/>
      <c r="CO248" s="180"/>
      <c r="CP248" s="180"/>
      <c r="CQ248" s="180"/>
      <c r="CR248" s="180"/>
      <c r="CS248" s="180"/>
      <c r="CT248" s="180"/>
      <c r="CU248" s="180"/>
      <c r="CV248" s="180"/>
      <c r="CW248" s="180"/>
      <c r="CX248" s="180"/>
      <c r="CY248" s="180"/>
      <c r="CZ248" s="180"/>
      <c r="DA248" s="180"/>
      <c r="DB248" s="180"/>
    </row>
    <row r="249">
      <c r="A249" s="180"/>
      <c r="B249" s="180"/>
      <c r="C249" s="180"/>
      <c r="D249" s="180"/>
      <c r="E249" s="180"/>
      <c r="F249" s="180"/>
      <c r="G249" s="180"/>
      <c r="H249" s="180"/>
      <c r="I249" s="180"/>
      <c r="J249" s="180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  <c r="CB249" s="180"/>
      <c r="CC249" s="180"/>
      <c r="CD249" s="180"/>
      <c r="CE249" s="180"/>
      <c r="CF249" s="180"/>
      <c r="CG249" s="180"/>
      <c r="CH249" s="180"/>
      <c r="CI249" s="180"/>
      <c r="CJ249" s="180"/>
      <c r="CK249" s="180"/>
      <c r="CL249" s="180"/>
      <c r="CM249" s="180"/>
      <c r="CN249" s="180"/>
      <c r="CO249" s="180"/>
      <c r="CP249" s="180"/>
      <c r="CQ249" s="180"/>
      <c r="CR249" s="180"/>
      <c r="CS249" s="180"/>
      <c r="CT249" s="180"/>
      <c r="CU249" s="180"/>
      <c r="CV249" s="180"/>
      <c r="CW249" s="180"/>
      <c r="CX249" s="180"/>
      <c r="CY249" s="180"/>
      <c r="CZ249" s="180"/>
      <c r="DA249" s="180"/>
      <c r="DB249" s="180"/>
    </row>
    <row r="250">
      <c r="A250" s="180"/>
      <c r="B250" s="180"/>
      <c r="C250" s="180"/>
      <c r="D250" s="180"/>
      <c r="E250" s="180"/>
      <c r="F250" s="180"/>
      <c r="G250" s="180"/>
      <c r="H250" s="180"/>
      <c r="I250" s="180"/>
      <c r="J250" s="180"/>
      <c r="K250" s="180"/>
      <c r="L250" s="180"/>
      <c r="M250" s="180"/>
      <c r="N250" s="180"/>
      <c r="O250" s="180"/>
      <c r="P250" s="180"/>
      <c r="Q250" s="180"/>
      <c r="R250" s="180"/>
      <c r="S250" s="180"/>
      <c r="T250" s="180"/>
      <c r="U250" s="180"/>
      <c r="V250" s="180"/>
      <c r="W250" s="180"/>
      <c r="X250" s="180"/>
      <c r="Y250" s="180"/>
      <c r="Z250" s="180"/>
      <c r="AA250" s="180"/>
      <c r="AB250" s="180"/>
      <c r="AC250" s="180"/>
      <c r="AD250" s="180"/>
      <c r="AE250" s="180"/>
      <c r="AF250" s="180"/>
      <c r="AG250" s="180"/>
      <c r="AH250" s="180"/>
      <c r="AI250" s="180"/>
      <c r="AJ250" s="180"/>
      <c r="AK250" s="180"/>
      <c r="AL250" s="180"/>
      <c r="AM250" s="180"/>
      <c r="AN250" s="180"/>
      <c r="AO250" s="180"/>
      <c r="AP250" s="180"/>
      <c r="AQ250" s="180"/>
      <c r="AR250" s="180"/>
      <c r="AS250" s="180"/>
      <c r="AT250" s="180"/>
      <c r="AU250" s="180"/>
      <c r="AV250" s="180"/>
      <c r="AW250" s="180"/>
      <c r="AX250" s="180"/>
      <c r="AY250" s="180"/>
      <c r="AZ250" s="180"/>
      <c r="BA250" s="180"/>
      <c r="BB250" s="180"/>
      <c r="BC250" s="180"/>
      <c r="BD250" s="180"/>
      <c r="BE250" s="180"/>
      <c r="BF250" s="180"/>
      <c r="BG250" s="180"/>
      <c r="BH250" s="180"/>
      <c r="BI250" s="180"/>
      <c r="BJ250" s="180"/>
      <c r="BK250" s="180"/>
      <c r="BL250" s="180"/>
      <c r="BM250" s="180"/>
      <c r="BN250" s="180"/>
      <c r="BO250" s="180"/>
      <c r="BP250" s="180"/>
      <c r="BQ250" s="180"/>
      <c r="BR250" s="180"/>
      <c r="BS250" s="180"/>
      <c r="BT250" s="180"/>
      <c r="BU250" s="180"/>
      <c r="BV250" s="180"/>
      <c r="BW250" s="180"/>
      <c r="BX250" s="180"/>
      <c r="BY250" s="180"/>
      <c r="BZ250" s="180"/>
      <c r="CA250" s="180"/>
      <c r="CB250" s="180"/>
      <c r="CC250" s="180"/>
      <c r="CD250" s="180"/>
      <c r="CE250" s="180"/>
      <c r="CF250" s="180"/>
      <c r="CG250" s="180"/>
      <c r="CH250" s="180"/>
      <c r="CI250" s="180"/>
      <c r="CJ250" s="180"/>
      <c r="CK250" s="180"/>
      <c r="CL250" s="180"/>
      <c r="CM250" s="180"/>
      <c r="CN250" s="180"/>
      <c r="CO250" s="180"/>
      <c r="CP250" s="180"/>
      <c r="CQ250" s="180"/>
      <c r="CR250" s="180"/>
      <c r="CS250" s="180"/>
      <c r="CT250" s="180"/>
      <c r="CU250" s="180"/>
      <c r="CV250" s="180"/>
      <c r="CW250" s="180"/>
      <c r="CX250" s="180"/>
      <c r="CY250" s="180"/>
      <c r="CZ250" s="180"/>
      <c r="DA250" s="180"/>
      <c r="DB250" s="180"/>
    </row>
    <row r="251">
      <c r="A251" s="180"/>
      <c r="B251" s="180"/>
      <c r="C251" s="180"/>
      <c r="D251" s="180"/>
      <c r="E251" s="180"/>
      <c r="F251" s="180"/>
      <c r="G251" s="180"/>
      <c r="H251" s="180"/>
      <c r="I251" s="180"/>
      <c r="J251" s="180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  <c r="BY251" s="180"/>
      <c r="BZ251" s="180"/>
      <c r="CA251" s="180"/>
      <c r="CB251" s="180"/>
      <c r="CC251" s="180"/>
      <c r="CD251" s="180"/>
      <c r="CE251" s="180"/>
      <c r="CF251" s="180"/>
      <c r="CG251" s="180"/>
      <c r="CH251" s="180"/>
      <c r="CI251" s="180"/>
      <c r="CJ251" s="180"/>
      <c r="CK251" s="180"/>
      <c r="CL251" s="180"/>
      <c r="CM251" s="180"/>
      <c r="CN251" s="180"/>
      <c r="CO251" s="180"/>
      <c r="CP251" s="180"/>
      <c r="CQ251" s="180"/>
      <c r="CR251" s="180"/>
      <c r="CS251" s="180"/>
      <c r="CT251" s="180"/>
      <c r="CU251" s="180"/>
      <c r="CV251" s="180"/>
      <c r="CW251" s="180"/>
      <c r="CX251" s="180"/>
      <c r="CY251" s="180"/>
      <c r="CZ251" s="180"/>
      <c r="DA251" s="180"/>
      <c r="DB251" s="180"/>
    </row>
    <row r="252">
      <c r="A252" s="180"/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  <c r="BY252" s="180"/>
      <c r="BZ252" s="180"/>
      <c r="CA252" s="180"/>
      <c r="CB252" s="180"/>
      <c r="CC252" s="180"/>
      <c r="CD252" s="180"/>
      <c r="CE252" s="180"/>
      <c r="CF252" s="180"/>
      <c r="CG252" s="180"/>
      <c r="CH252" s="180"/>
      <c r="CI252" s="180"/>
      <c r="CJ252" s="180"/>
      <c r="CK252" s="180"/>
      <c r="CL252" s="180"/>
      <c r="CM252" s="180"/>
      <c r="CN252" s="180"/>
      <c r="CO252" s="180"/>
      <c r="CP252" s="180"/>
      <c r="CQ252" s="180"/>
      <c r="CR252" s="180"/>
      <c r="CS252" s="180"/>
      <c r="CT252" s="180"/>
      <c r="CU252" s="180"/>
      <c r="CV252" s="180"/>
      <c r="CW252" s="180"/>
      <c r="CX252" s="180"/>
      <c r="CY252" s="180"/>
      <c r="CZ252" s="180"/>
      <c r="DA252" s="180"/>
      <c r="DB252" s="180"/>
    </row>
    <row r="253">
      <c r="A253" s="180"/>
      <c r="B253" s="180"/>
      <c r="C253" s="180"/>
      <c r="D253" s="180"/>
      <c r="E253" s="180"/>
      <c r="F253" s="180"/>
      <c r="G253" s="180"/>
      <c r="H253" s="180"/>
      <c r="I253" s="180"/>
      <c r="J253" s="180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  <c r="BY253" s="180"/>
      <c r="BZ253" s="180"/>
      <c r="CA253" s="180"/>
      <c r="CB253" s="180"/>
      <c r="CC253" s="180"/>
      <c r="CD253" s="180"/>
      <c r="CE253" s="180"/>
      <c r="CF253" s="180"/>
      <c r="CG253" s="180"/>
      <c r="CH253" s="180"/>
      <c r="CI253" s="180"/>
      <c r="CJ253" s="180"/>
      <c r="CK253" s="180"/>
      <c r="CL253" s="180"/>
      <c r="CM253" s="180"/>
      <c r="CN253" s="180"/>
      <c r="CO253" s="180"/>
      <c r="CP253" s="180"/>
      <c r="CQ253" s="180"/>
      <c r="CR253" s="180"/>
      <c r="CS253" s="180"/>
      <c r="CT253" s="180"/>
      <c r="CU253" s="180"/>
      <c r="CV253" s="180"/>
      <c r="CW253" s="180"/>
      <c r="CX253" s="180"/>
      <c r="CY253" s="180"/>
      <c r="CZ253" s="180"/>
      <c r="DA253" s="180"/>
      <c r="DB253" s="180"/>
    </row>
    <row r="254">
      <c r="A254" s="180"/>
      <c r="B254" s="180"/>
      <c r="C254" s="180"/>
      <c r="D254" s="180"/>
      <c r="E254" s="180"/>
      <c r="F254" s="180"/>
      <c r="G254" s="180"/>
      <c r="H254" s="180"/>
      <c r="I254" s="180"/>
      <c r="J254" s="180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  <c r="BY254" s="180"/>
      <c r="BZ254" s="180"/>
      <c r="CA254" s="180"/>
      <c r="CB254" s="180"/>
      <c r="CC254" s="180"/>
      <c r="CD254" s="180"/>
      <c r="CE254" s="180"/>
      <c r="CF254" s="180"/>
      <c r="CG254" s="180"/>
      <c r="CH254" s="180"/>
      <c r="CI254" s="180"/>
      <c r="CJ254" s="180"/>
      <c r="CK254" s="180"/>
      <c r="CL254" s="180"/>
      <c r="CM254" s="180"/>
      <c r="CN254" s="180"/>
      <c r="CO254" s="180"/>
      <c r="CP254" s="180"/>
      <c r="CQ254" s="180"/>
      <c r="CR254" s="180"/>
      <c r="CS254" s="180"/>
      <c r="CT254" s="180"/>
      <c r="CU254" s="180"/>
      <c r="CV254" s="180"/>
      <c r="CW254" s="180"/>
      <c r="CX254" s="180"/>
      <c r="CY254" s="180"/>
      <c r="CZ254" s="180"/>
      <c r="DA254" s="180"/>
      <c r="DB254" s="180"/>
    </row>
    <row r="255">
      <c r="A255" s="180"/>
      <c r="B255" s="180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  <c r="BY255" s="180"/>
      <c r="BZ255" s="180"/>
      <c r="CA255" s="180"/>
      <c r="CB255" s="180"/>
      <c r="CC255" s="180"/>
      <c r="CD255" s="180"/>
      <c r="CE255" s="180"/>
      <c r="CF255" s="180"/>
      <c r="CG255" s="180"/>
      <c r="CH255" s="180"/>
      <c r="CI255" s="180"/>
      <c r="CJ255" s="180"/>
      <c r="CK255" s="180"/>
      <c r="CL255" s="180"/>
      <c r="CM255" s="180"/>
      <c r="CN255" s="180"/>
      <c r="CO255" s="180"/>
      <c r="CP255" s="180"/>
      <c r="CQ255" s="180"/>
      <c r="CR255" s="180"/>
      <c r="CS255" s="180"/>
      <c r="CT255" s="180"/>
      <c r="CU255" s="180"/>
      <c r="CV255" s="180"/>
      <c r="CW255" s="180"/>
      <c r="CX255" s="180"/>
      <c r="CY255" s="180"/>
      <c r="CZ255" s="180"/>
      <c r="DA255" s="180"/>
      <c r="DB255" s="180"/>
    </row>
    <row r="256">
      <c r="A256" s="180"/>
      <c r="B256" s="180"/>
      <c r="C256" s="180"/>
      <c r="D256" s="180"/>
      <c r="E256" s="180"/>
      <c r="F256" s="180"/>
      <c r="G256" s="180"/>
      <c r="H256" s="180"/>
      <c r="I256" s="180"/>
      <c r="J256" s="180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  <c r="BY256" s="180"/>
      <c r="BZ256" s="180"/>
      <c r="CA256" s="180"/>
      <c r="CB256" s="180"/>
      <c r="CC256" s="180"/>
      <c r="CD256" s="180"/>
      <c r="CE256" s="180"/>
      <c r="CF256" s="180"/>
      <c r="CG256" s="180"/>
      <c r="CH256" s="180"/>
      <c r="CI256" s="180"/>
      <c r="CJ256" s="180"/>
      <c r="CK256" s="180"/>
      <c r="CL256" s="180"/>
      <c r="CM256" s="180"/>
      <c r="CN256" s="180"/>
      <c r="CO256" s="180"/>
      <c r="CP256" s="180"/>
      <c r="CQ256" s="180"/>
      <c r="CR256" s="180"/>
      <c r="CS256" s="180"/>
      <c r="CT256" s="180"/>
      <c r="CU256" s="180"/>
      <c r="CV256" s="180"/>
      <c r="CW256" s="180"/>
      <c r="CX256" s="180"/>
      <c r="CY256" s="180"/>
      <c r="CZ256" s="180"/>
      <c r="DA256" s="180"/>
      <c r="DB256" s="180"/>
    </row>
    <row r="257">
      <c r="A257" s="180"/>
      <c r="B257" s="180"/>
      <c r="C257" s="180"/>
      <c r="D257" s="180"/>
      <c r="E257" s="180"/>
      <c r="F257" s="180"/>
      <c r="G257" s="180"/>
      <c r="H257" s="180"/>
      <c r="I257" s="180"/>
      <c r="J257" s="180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  <c r="BY257" s="180"/>
      <c r="BZ257" s="180"/>
      <c r="CA257" s="180"/>
      <c r="CB257" s="180"/>
      <c r="CC257" s="180"/>
      <c r="CD257" s="180"/>
      <c r="CE257" s="180"/>
      <c r="CF257" s="180"/>
      <c r="CG257" s="180"/>
      <c r="CH257" s="180"/>
      <c r="CI257" s="180"/>
      <c r="CJ257" s="180"/>
      <c r="CK257" s="180"/>
      <c r="CL257" s="180"/>
      <c r="CM257" s="180"/>
      <c r="CN257" s="180"/>
      <c r="CO257" s="180"/>
      <c r="CP257" s="180"/>
      <c r="CQ257" s="180"/>
      <c r="CR257" s="180"/>
      <c r="CS257" s="180"/>
      <c r="CT257" s="180"/>
      <c r="CU257" s="180"/>
      <c r="CV257" s="180"/>
      <c r="CW257" s="180"/>
      <c r="CX257" s="180"/>
      <c r="CY257" s="180"/>
      <c r="CZ257" s="180"/>
      <c r="DA257" s="180"/>
      <c r="DB257" s="180"/>
    </row>
    <row r="258">
      <c r="A258" s="180"/>
      <c r="B258" s="180"/>
      <c r="C258" s="180"/>
      <c r="D258" s="180"/>
      <c r="E258" s="180"/>
      <c r="F258" s="180"/>
      <c r="G258" s="180"/>
      <c r="H258" s="180"/>
      <c r="I258" s="180"/>
      <c r="J258" s="180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180"/>
      <c r="BV258" s="180"/>
      <c r="BW258" s="180"/>
      <c r="BX258" s="180"/>
      <c r="BY258" s="180"/>
      <c r="BZ258" s="180"/>
      <c r="CA258" s="180"/>
      <c r="CB258" s="180"/>
      <c r="CC258" s="180"/>
      <c r="CD258" s="180"/>
      <c r="CE258" s="180"/>
      <c r="CF258" s="180"/>
      <c r="CG258" s="180"/>
      <c r="CH258" s="180"/>
      <c r="CI258" s="180"/>
      <c r="CJ258" s="180"/>
      <c r="CK258" s="180"/>
      <c r="CL258" s="180"/>
      <c r="CM258" s="180"/>
      <c r="CN258" s="180"/>
      <c r="CO258" s="180"/>
      <c r="CP258" s="180"/>
      <c r="CQ258" s="180"/>
      <c r="CR258" s="180"/>
      <c r="CS258" s="180"/>
      <c r="CT258" s="180"/>
      <c r="CU258" s="180"/>
      <c r="CV258" s="180"/>
      <c r="CW258" s="180"/>
      <c r="CX258" s="180"/>
      <c r="CY258" s="180"/>
      <c r="CZ258" s="180"/>
      <c r="DA258" s="180"/>
      <c r="DB258" s="180"/>
    </row>
    <row r="259">
      <c r="A259" s="180"/>
      <c r="B259" s="180"/>
      <c r="C259" s="180"/>
      <c r="D259" s="180"/>
      <c r="E259" s="180"/>
      <c r="F259" s="180"/>
      <c r="G259" s="180"/>
      <c r="H259" s="180"/>
      <c r="I259" s="180"/>
      <c r="J259" s="180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180"/>
      <c r="BP259" s="180"/>
      <c r="BQ259" s="180"/>
      <c r="BR259" s="180"/>
      <c r="BS259" s="180"/>
      <c r="BT259" s="180"/>
      <c r="BU259" s="180"/>
      <c r="BV259" s="180"/>
      <c r="BW259" s="180"/>
      <c r="BX259" s="180"/>
      <c r="BY259" s="180"/>
      <c r="BZ259" s="180"/>
      <c r="CA259" s="180"/>
      <c r="CB259" s="180"/>
      <c r="CC259" s="180"/>
      <c r="CD259" s="180"/>
      <c r="CE259" s="180"/>
      <c r="CF259" s="180"/>
      <c r="CG259" s="180"/>
      <c r="CH259" s="180"/>
      <c r="CI259" s="180"/>
      <c r="CJ259" s="180"/>
      <c r="CK259" s="180"/>
      <c r="CL259" s="180"/>
      <c r="CM259" s="180"/>
      <c r="CN259" s="180"/>
      <c r="CO259" s="180"/>
      <c r="CP259" s="180"/>
      <c r="CQ259" s="180"/>
      <c r="CR259" s="180"/>
      <c r="CS259" s="180"/>
      <c r="CT259" s="180"/>
      <c r="CU259" s="180"/>
      <c r="CV259" s="180"/>
      <c r="CW259" s="180"/>
      <c r="CX259" s="180"/>
      <c r="CY259" s="180"/>
      <c r="CZ259" s="180"/>
      <c r="DA259" s="180"/>
      <c r="DB259" s="180"/>
    </row>
    <row r="260">
      <c r="A260" s="180"/>
      <c r="B260" s="180"/>
      <c r="C260" s="180"/>
      <c r="D260" s="180"/>
      <c r="E260" s="180"/>
      <c r="F260" s="180"/>
      <c r="G260" s="180"/>
      <c r="H260" s="180"/>
      <c r="I260" s="180"/>
      <c r="J260" s="180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  <c r="BY260" s="180"/>
      <c r="BZ260" s="180"/>
      <c r="CA260" s="180"/>
      <c r="CB260" s="180"/>
      <c r="CC260" s="180"/>
      <c r="CD260" s="180"/>
      <c r="CE260" s="180"/>
      <c r="CF260" s="180"/>
      <c r="CG260" s="180"/>
      <c r="CH260" s="180"/>
      <c r="CI260" s="180"/>
      <c r="CJ260" s="180"/>
      <c r="CK260" s="180"/>
      <c r="CL260" s="180"/>
      <c r="CM260" s="180"/>
      <c r="CN260" s="180"/>
      <c r="CO260" s="180"/>
      <c r="CP260" s="180"/>
      <c r="CQ260" s="180"/>
      <c r="CR260" s="180"/>
      <c r="CS260" s="180"/>
      <c r="CT260" s="180"/>
      <c r="CU260" s="180"/>
      <c r="CV260" s="180"/>
      <c r="CW260" s="180"/>
      <c r="CX260" s="180"/>
      <c r="CY260" s="180"/>
      <c r="CZ260" s="180"/>
      <c r="DA260" s="180"/>
      <c r="DB260" s="180"/>
    </row>
    <row r="261">
      <c r="A261" s="180"/>
      <c r="B261" s="180"/>
      <c r="C261" s="180"/>
      <c r="D261" s="180"/>
      <c r="E261" s="180"/>
      <c r="F261" s="180"/>
      <c r="G261" s="180"/>
      <c r="H261" s="180"/>
      <c r="I261" s="180"/>
      <c r="J261" s="180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  <c r="BY261" s="180"/>
      <c r="BZ261" s="180"/>
      <c r="CA261" s="180"/>
      <c r="CB261" s="180"/>
      <c r="CC261" s="180"/>
      <c r="CD261" s="180"/>
      <c r="CE261" s="180"/>
      <c r="CF261" s="180"/>
      <c r="CG261" s="180"/>
      <c r="CH261" s="180"/>
      <c r="CI261" s="180"/>
      <c r="CJ261" s="180"/>
      <c r="CK261" s="180"/>
      <c r="CL261" s="180"/>
      <c r="CM261" s="180"/>
      <c r="CN261" s="180"/>
      <c r="CO261" s="180"/>
      <c r="CP261" s="180"/>
      <c r="CQ261" s="180"/>
      <c r="CR261" s="180"/>
      <c r="CS261" s="180"/>
      <c r="CT261" s="180"/>
      <c r="CU261" s="180"/>
      <c r="CV261" s="180"/>
      <c r="CW261" s="180"/>
      <c r="CX261" s="180"/>
      <c r="CY261" s="180"/>
      <c r="CZ261" s="180"/>
      <c r="DA261" s="180"/>
      <c r="DB261" s="180"/>
    </row>
    <row r="262">
      <c r="A262" s="180"/>
      <c r="B262" s="180"/>
      <c r="C262" s="180"/>
      <c r="D262" s="180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  <c r="BY262" s="180"/>
      <c r="BZ262" s="180"/>
      <c r="CA262" s="180"/>
      <c r="CB262" s="180"/>
      <c r="CC262" s="180"/>
      <c r="CD262" s="180"/>
      <c r="CE262" s="180"/>
      <c r="CF262" s="180"/>
      <c r="CG262" s="180"/>
      <c r="CH262" s="180"/>
      <c r="CI262" s="180"/>
      <c r="CJ262" s="180"/>
      <c r="CK262" s="180"/>
      <c r="CL262" s="180"/>
      <c r="CM262" s="180"/>
      <c r="CN262" s="180"/>
      <c r="CO262" s="180"/>
      <c r="CP262" s="180"/>
      <c r="CQ262" s="180"/>
      <c r="CR262" s="180"/>
      <c r="CS262" s="180"/>
      <c r="CT262" s="180"/>
      <c r="CU262" s="180"/>
      <c r="CV262" s="180"/>
      <c r="CW262" s="180"/>
      <c r="CX262" s="180"/>
      <c r="CY262" s="180"/>
      <c r="CZ262" s="180"/>
      <c r="DA262" s="180"/>
      <c r="DB262" s="180"/>
    </row>
    <row r="263">
      <c r="A263" s="180"/>
      <c r="B263" s="180"/>
      <c r="C263" s="180"/>
      <c r="D263" s="180"/>
      <c r="E263" s="180"/>
      <c r="F263" s="180"/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  <c r="BY263" s="180"/>
      <c r="BZ263" s="180"/>
      <c r="CA263" s="180"/>
      <c r="CB263" s="180"/>
      <c r="CC263" s="180"/>
      <c r="CD263" s="180"/>
      <c r="CE263" s="180"/>
      <c r="CF263" s="180"/>
      <c r="CG263" s="180"/>
      <c r="CH263" s="180"/>
      <c r="CI263" s="180"/>
      <c r="CJ263" s="180"/>
      <c r="CK263" s="180"/>
      <c r="CL263" s="180"/>
      <c r="CM263" s="180"/>
      <c r="CN263" s="180"/>
      <c r="CO263" s="180"/>
      <c r="CP263" s="180"/>
      <c r="CQ263" s="180"/>
      <c r="CR263" s="180"/>
      <c r="CS263" s="180"/>
      <c r="CT263" s="180"/>
      <c r="CU263" s="180"/>
      <c r="CV263" s="180"/>
      <c r="CW263" s="180"/>
      <c r="CX263" s="180"/>
      <c r="CY263" s="180"/>
      <c r="CZ263" s="180"/>
      <c r="DA263" s="180"/>
      <c r="DB263" s="180"/>
    </row>
    <row r="264">
      <c r="A264" s="180"/>
      <c r="B264" s="180"/>
      <c r="C264" s="180"/>
      <c r="D264" s="180"/>
      <c r="E264" s="180"/>
      <c r="F264" s="180"/>
      <c r="G264" s="180"/>
      <c r="H264" s="180"/>
      <c r="I264" s="180"/>
      <c r="J264" s="180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180"/>
      <c r="BV264" s="180"/>
      <c r="BW264" s="180"/>
      <c r="BX264" s="180"/>
      <c r="BY264" s="180"/>
      <c r="BZ264" s="180"/>
      <c r="CA264" s="180"/>
      <c r="CB264" s="180"/>
      <c r="CC264" s="180"/>
      <c r="CD264" s="180"/>
      <c r="CE264" s="180"/>
      <c r="CF264" s="180"/>
      <c r="CG264" s="180"/>
      <c r="CH264" s="180"/>
      <c r="CI264" s="180"/>
      <c r="CJ264" s="180"/>
      <c r="CK264" s="180"/>
      <c r="CL264" s="180"/>
      <c r="CM264" s="180"/>
      <c r="CN264" s="180"/>
      <c r="CO264" s="180"/>
      <c r="CP264" s="180"/>
      <c r="CQ264" s="180"/>
      <c r="CR264" s="180"/>
      <c r="CS264" s="180"/>
      <c r="CT264" s="180"/>
      <c r="CU264" s="180"/>
      <c r="CV264" s="180"/>
      <c r="CW264" s="180"/>
      <c r="CX264" s="180"/>
      <c r="CY264" s="180"/>
      <c r="CZ264" s="180"/>
      <c r="DA264" s="180"/>
      <c r="DB264" s="180"/>
    </row>
    <row r="265">
      <c r="A265" s="180"/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180"/>
      <c r="BP265" s="180"/>
      <c r="BQ265" s="180"/>
      <c r="BR265" s="180"/>
      <c r="BS265" s="180"/>
      <c r="BT265" s="180"/>
      <c r="BU265" s="180"/>
      <c r="BV265" s="180"/>
      <c r="BW265" s="180"/>
      <c r="BX265" s="180"/>
      <c r="BY265" s="180"/>
      <c r="BZ265" s="180"/>
      <c r="CA265" s="180"/>
      <c r="CB265" s="180"/>
      <c r="CC265" s="180"/>
      <c r="CD265" s="180"/>
      <c r="CE265" s="180"/>
      <c r="CF265" s="180"/>
      <c r="CG265" s="180"/>
      <c r="CH265" s="180"/>
      <c r="CI265" s="180"/>
      <c r="CJ265" s="180"/>
      <c r="CK265" s="180"/>
      <c r="CL265" s="180"/>
      <c r="CM265" s="180"/>
      <c r="CN265" s="180"/>
      <c r="CO265" s="180"/>
      <c r="CP265" s="180"/>
      <c r="CQ265" s="180"/>
      <c r="CR265" s="180"/>
      <c r="CS265" s="180"/>
      <c r="CT265" s="180"/>
      <c r="CU265" s="180"/>
      <c r="CV265" s="180"/>
      <c r="CW265" s="180"/>
      <c r="CX265" s="180"/>
      <c r="CY265" s="180"/>
      <c r="CZ265" s="180"/>
      <c r="DA265" s="180"/>
      <c r="DB265" s="180"/>
    </row>
    <row r="266">
      <c r="A266" s="180"/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0"/>
      <c r="BW266" s="180"/>
      <c r="BX266" s="180"/>
      <c r="BY266" s="180"/>
      <c r="BZ266" s="180"/>
      <c r="CA266" s="180"/>
      <c r="CB266" s="180"/>
      <c r="CC266" s="180"/>
      <c r="CD266" s="180"/>
      <c r="CE266" s="180"/>
      <c r="CF266" s="180"/>
      <c r="CG266" s="180"/>
      <c r="CH266" s="180"/>
      <c r="CI266" s="180"/>
      <c r="CJ266" s="180"/>
      <c r="CK266" s="180"/>
      <c r="CL266" s="180"/>
      <c r="CM266" s="180"/>
      <c r="CN266" s="180"/>
      <c r="CO266" s="180"/>
      <c r="CP266" s="180"/>
      <c r="CQ266" s="180"/>
      <c r="CR266" s="180"/>
      <c r="CS266" s="180"/>
      <c r="CT266" s="180"/>
      <c r="CU266" s="180"/>
      <c r="CV266" s="180"/>
      <c r="CW266" s="180"/>
      <c r="CX266" s="180"/>
      <c r="CY266" s="180"/>
      <c r="CZ266" s="180"/>
      <c r="DA266" s="180"/>
      <c r="DB266" s="180"/>
    </row>
    <row r="267">
      <c r="A267" s="180"/>
      <c r="B267" s="180"/>
      <c r="C267" s="180"/>
      <c r="D267" s="180"/>
      <c r="E267" s="180"/>
      <c r="F267" s="180"/>
      <c r="G267" s="180"/>
      <c r="H267" s="180"/>
      <c r="I267" s="180"/>
      <c r="J267" s="180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  <c r="CB267" s="180"/>
      <c r="CC267" s="180"/>
      <c r="CD267" s="180"/>
      <c r="CE267" s="180"/>
      <c r="CF267" s="180"/>
      <c r="CG267" s="180"/>
      <c r="CH267" s="180"/>
      <c r="CI267" s="180"/>
      <c r="CJ267" s="180"/>
      <c r="CK267" s="180"/>
      <c r="CL267" s="180"/>
      <c r="CM267" s="180"/>
      <c r="CN267" s="180"/>
      <c r="CO267" s="180"/>
      <c r="CP267" s="180"/>
      <c r="CQ267" s="180"/>
      <c r="CR267" s="180"/>
      <c r="CS267" s="180"/>
      <c r="CT267" s="180"/>
      <c r="CU267" s="180"/>
      <c r="CV267" s="180"/>
      <c r="CW267" s="180"/>
      <c r="CX267" s="180"/>
      <c r="CY267" s="180"/>
      <c r="CZ267" s="180"/>
      <c r="DA267" s="180"/>
      <c r="DB267" s="180"/>
    </row>
    <row r="268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0"/>
      <c r="BW268" s="180"/>
      <c r="BX268" s="180"/>
      <c r="BY268" s="180"/>
      <c r="BZ268" s="180"/>
      <c r="CA268" s="180"/>
      <c r="CB268" s="180"/>
      <c r="CC268" s="180"/>
      <c r="CD268" s="180"/>
      <c r="CE268" s="180"/>
      <c r="CF268" s="180"/>
      <c r="CG268" s="180"/>
      <c r="CH268" s="180"/>
      <c r="CI268" s="180"/>
      <c r="CJ268" s="180"/>
      <c r="CK268" s="180"/>
      <c r="CL268" s="180"/>
      <c r="CM268" s="180"/>
      <c r="CN268" s="180"/>
      <c r="CO268" s="180"/>
      <c r="CP268" s="180"/>
      <c r="CQ268" s="180"/>
      <c r="CR268" s="180"/>
      <c r="CS268" s="180"/>
      <c r="CT268" s="180"/>
      <c r="CU268" s="180"/>
      <c r="CV268" s="180"/>
      <c r="CW268" s="180"/>
      <c r="CX268" s="180"/>
      <c r="CY268" s="180"/>
      <c r="CZ268" s="180"/>
      <c r="DA268" s="180"/>
      <c r="DB268" s="180"/>
    </row>
    <row r="269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  <c r="BY269" s="180"/>
      <c r="BZ269" s="180"/>
      <c r="CA269" s="180"/>
      <c r="CB269" s="180"/>
      <c r="CC269" s="180"/>
      <c r="CD269" s="180"/>
      <c r="CE269" s="180"/>
      <c r="CF269" s="180"/>
      <c r="CG269" s="180"/>
      <c r="CH269" s="180"/>
      <c r="CI269" s="180"/>
      <c r="CJ269" s="180"/>
      <c r="CK269" s="180"/>
      <c r="CL269" s="180"/>
      <c r="CM269" s="180"/>
      <c r="CN269" s="180"/>
      <c r="CO269" s="180"/>
      <c r="CP269" s="180"/>
      <c r="CQ269" s="180"/>
      <c r="CR269" s="180"/>
      <c r="CS269" s="180"/>
      <c r="CT269" s="180"/>
      <c r="CU269" s="180"/>
      <c r="CV269" s="180"/>
      <c r="CW269" s="180"/>
      <c r="CX269" s="180"/>
      <c r="CY269" s="180"/>
      <c r="CZ269" s="180"/>
      <c r="DA269" s="180"/>
      <c r="DB269" s="180"/>
    </row>
    <row r="270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0"/>
      <c r="BW270" s="180"/>
      <c r="BX270" s="180"/>
      <c r="BY270" s="180"/>
      <c r="BZ270" s="180"/>
      <c r="CA270" s="180"/>
      <c r="CB270" s="180"/>
      <c r="CC270" s="180"/>
      <c r="CD270" s="180"/>
      <c r="CE270" s="180"/>
      <c r="CF270" s="180"/>
      <c r="CG270" s="180"/>
      <c r="CH270" s="180"/>
      <c r="CI270" s="180"/>
      <c r="CJ270" s="180"/>
      <c r="CK270" s="180"/>
      <c r="CL270" s="180"/>
      <c r="CM270" s="180"/>
      <c r="CN270" s="180"/>
      <c r="CO270" s="180"/>
      <c r="CP270" s="180"/>
      <c r="CQ270" s="180"/>
      <c r="CR270" s="180"/>
      <c r="CS270" s="180"/>
      <c r="CT270" s="180"/>
      <c r="CU270" s="180"/>
      <c r="CV270" s="180"/>
      <c r="CW270" s="180"/>
      <c r="CX270" s="180"/>
      <c r="CY270" s="180"/>
      <c r="CZ270" s="180"/>
      <c r="DA270" s="180"/>
      <c r="DB270" s="180"/>
    </row>
    <row r="271">
      <c r="A271" s="180"/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  <c r="BY271" s="180"/>
      <c r="BZ271" s="180"/>
      <c r="CA271" s="180"/>
      <c r="CB271" s="180"/>
      <c r="CC271" s="180"/>
      <c r="CD271" s="180"/>
      <c r="CE271" s="180"/>
      <c r="CF271" s="180"/>
      <c r="CG271" s="180"/>
      <c r="CH271" s="180"/>
      <c r="CI271" s="180"/>
      <c r="CJ271" s="180"/>
      <c r="CK271" s="180"/>
      <c r="CL271" s="180"/>
      <c r="CM271" s="180"/>
      <c r="CN271" s="180"/>
      <c r="CO271" s="180"/>
      <c r="CP271" s="180"/>
      <c r="CQ271" s="180"/>
      <c r="CR271" s="180"/>
      <c r="CS271" s="180"/>
      <c r="CT271" s="180"/>
      <c r="CU271" s="180"/>
      <c r="CV271" s="180"/>
      <c r="CW271" s="180"/>
      <c r="CX271" s="180"/>
      <c r="CY271" s="180"/>
      <c r="CZ271" s="180"/>
      <c r="DA271" s="180"/>
      <c r="DB271" s="180"/>
    </row>
    <row r="272">
      <c r="A272" s="180"/>
      <c r="B272" s="180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0"/>
      <c r="AL272" s="180"/>
      <c r="AM272" s="180"/>
      <c r="AN272" s="180"/>
      <c r="AO272" s="180"/>
      <c r="AP272" s="180"/>
      <c r="AQ272" s="180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180"/>
      <c r="BH272" s="180"/>
      <c r="BI272" s="180"/>
      <c r="BJ272" s="180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180"/>
      <c r="BV272" s="180"/>
      <c r="BW272" s="180"/>
      <c r="BX272" s="180"/>
      <c r="BY272" s="180"/>
      <c r="BZ272" s="180"/>
      <c r="CA272" s="180"/>
      <c r="CB272" s="180"/>
      <c r="CC272" s="180"/>
      <c r="CD272" s="180"/>
      <c r="CE272" s="180"/>
      <c r="CF272" s="180"/>
      <c r="CG272" s="180"/>
      <c r="CH272" s="180"/>
      <c r="CI272" s="180"/>
      <c r="CJ272" s="180"/>
      <c r="CK272" s="180"/>
      <c r="CL272" s="180"/>
      <c r="CM272" s="180"/>
      <c r="CN272" s="180"/>
      <c r="CO272" s="180"/>
      <c r="CP272" s="180"/>
      <c r="CQ272" s="180"/>
      <c r="CR272" s="180"/>
      <c r="CS272" s="180"/>
      <c r="CT272" s="180"/>
      <c r="CU272" s="180"/>
      <c r="CV272" s="180"/>
      <c r="CW272" s="180"/>
      <c r="CX272" s="180"/>
      <c r="CY272" s="180"/>
      <c r="CZ272" s="180"/>
      <c r="DA272" s="180"/>
      <c r="DB272" s="180"/>
    </row>
    <row r="273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180"/>
      <c r="Z273" s="180"/>
      <c r="AA273" s="180"/>
      <c r="AB273" s="180"/>
      <c r="AC273" s="180"/>
      <c r="AD273" s="180"/>
      <c r="AE273" s="180"/>
      <c r="AF273" s="180"/>
      <c r="AG273" s="180"/>
      <c r="AH273" s="180"/>
      <c r="AI273" s="180"/>
      <c r="AJ273" s="180"/>
      <c r="AK273" s="180"/>
      <c r="AL273" s="180"/>
      <c r="AM273" s="180"/>
      <c r="AN273" s="180"/>
      <c r="AO273" s="180"/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0"/>
      <c r="BD273" s="180"/>
      <c r="BE273" s="180"/>
      <c r="BF273" s="180"/>
      <c r="BG273" s="180"/>
      <c r="BH273" s="180"/>
      <c r="BI273" s="180"/>
      <c r="BJ273" s="180"/>
      <c r="BK273" s="180"/>
      <c r="BL273" s="180"/>
      <c r="BM273" s="180"/>
      <c r="BN273" s="180"/>
      <c r="BO273" s="180"/>
      <c r="BP273" s="180"/>
      <c r="BQ273" s="180"/>
      <c r="BR273" s="180"/>
      <c r="BS273" s="180"/>
      <c r="BT273" s="180"/>
      <c r="BU273" s="180"/>
      <c r="BV273" s="180"/>
      <c r="BW273" s="180"/>
      <c r="BX273" s="180"/>
      <c r="BY273" s="180"/>
      <c r="BZ273" s="180"/>
      <c r="CA273" s="180"/>
      <c r="CB273" s="180"/>
      <c r="CC273" s="180"/>
      <c r="CD273" s="180"/>
      <c r="CE273" s="180"/>
      <c r="CF273" s="180"/>
      <c r="CG273" s="180"/>
      <c r="CH273" s="180"/>
      <c r="CI273" s="180"/>
      <c r="CJ273" s="180"/>
      <c r="CK273" s="180"/>
      <c r="CL273" s="180"/>
      <c r="CM273" s="180"/>
      <c r="CN273" s="180"/>
      <c r="CO273" s="180"/>
      <c r="CP273" s="180"/>
      <c r="CQ273" s="180"/>
      <c r="CR273" s="180"/>
      <c r="CS273" s="180"/>
      <c r="CT273" s="180"/>
      <c r="CU273" s="180"/>
      <c r="CV273" s="180"/>
      <c r="CW273" s="180"/>
      <c r="CX273" s="180"/>
      <c r="CY273" s="180"/>
      <c r="CZ273" s="180"/>
      <c r="DA273" s="180"/>
      <c r="DB273" s="180"/>
    </row>
    <row r="274">
      <c r="A274" s="180"/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0"/>
      <c r="BW274" s="180"/>
      <c r="BX274" s="180"/>
      <c r="BY274" s="180"/>
      <c r="BZ274" s="180"/>
      <c r="CA274" s="180"/>
      <c r="CB274" s="180"/>
      <c r="CC274" s="180"/>
      <c r="CD274" s="180"/>
      <c r="CE274" s="180"/>
      <c r="CF274" s="180"/>
      <c r="CG274" s="180"/>
      <c r="CH274" s="180"/>
      <c r="CI274" s="180"/>
      <c r="CJ274" s="180"/>
      <c r="CK274" s="180"/>
      <c r="CL274" s="180"/>
      <c r="CM274" s="180"/>
      <c r="CN274" s="180"/>
      <c r="CO274" s="180"/>
      <c r="CP274" s="180"/>
      <c r="CQ274" s="180"/>
      <c r="CR274" s="180"/>
      <c r="CS274" s="180"/>
      <c r="CT274" s="180"/>
      <c r="CU274" s="180"/>
      <c r="CV274" s="180"/>
      <c r="CW274" s="180"/>
      <c r="CX274" s="180"/>
      <c r="CY274" s="180"/>
      <c r="CZ274" s="180"/>
      <c r="DA274" s="180"/>
      <c r="DB274" s="180"/>
    </row>
    <row r="275">
      <c r="A275" s="180"/>
      <c r="B275" s="180"/>
      <c r="C275" s="180"/>
      <c r="D275" s="180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0"/>
      <c r="BW275" s="180"/>
      <c r="BX275" s="180"/>
      <c r="BY275" s="180"/>
      <c r="BZ275" s="180"/>
      <c r="CA275" s="180"/>
      <c r="CB275" s="180"/>
      <c r="CC275" s="180"/>
      <c r="CD275" s="180"/>
      <c r="CE275" s="180"/>
      <c r="CF275" s="180"/>
      <c r="CG275" s="180"/>
      <c r="CH275" s="180"/>
      <c r="CI275" s="180"/>
      <c r="CJ275" s="180"/>
      <c r="CK275" s="180"/>
      <c r="CL275" s="180"/>
      <c r="CM275" s="180"/>
      <c r="CN275" s="180"/>
      <c r="CO275" s="180"/>
      <c r="CP275" s="180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/>
      <c r="DA275" s="180"/>
      <c r="DB275" s="180"/>
    </row>
    <row r="276">
      <c r="A276" s="180"/>
      <c r="B276" s="180"/>
      <c r="C276" s="180"/>
      <c r="D276" s="180"/>
      <c r="E276" s="180"/>
      <c r="F276" s="180"/>
      <c r="G276" s="180"/>
      <c r="H276" s="180"/>
      <c r="I276" s="180"/>
      <c r="J276" s="180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180"/>
      <c r="BV276" s="180"/>
      <c r="BW276" s="180"/>
      <c r="BX276" s="180"/>
      <c r="BY276" s="180"/>
      <c r="BZ276" s="180"/>
      <c r="CA276" s="180"/>
      <c r="CB276" s="180"/>
      <c r="CC276" s="180"/>
      <c r="CD276" s="180"/>
      <c r="CE276" s="180"/>
      <c r="CF276" s="180"/>
      <c r="CG276" s="180"/>
      <c r="CH276" s="180"/>
      <c r="CI276" s="180"/>
      <c r="CJ276" s="180"/>
      <c r="CK276" s="180"/>
      <c r="CL276" s="180"/>
      <c r="CM276" s="180"/>
      <c r="CN276" s="180"/>
      <c r="CO276" s="180"/>
      <c r="CP276" s="180"/>
      <c r="CQ276" s="180"/>
      <c r="CR276" s="180"/>
      <c r="CS276" s="180"/>
      <c r="CT276" s="180"/>
      <c r="CU276" s="180"/>
      <c r="CV276" s="180"/>
      <c r="CW276" s="180"/>
      <c r="CX276" s="180"/>
      <c r="CY276" s="180"/>
      <c r="CZ276" s="180"/>
      <c r="DA276" s="180"/>
      <c r="DB276" s="180"/>
    </row>
    <row r="277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180"/>
      <c r="BP277" s="180"/>
      <c r="BQ277" s="180"/>
      <c r="BR277" s="180"/>
      <c r="BS277" s="180"/>
      <c r="BT277" s="180"/>
      <c r="BU277" s="180"/>
      <c r="BV277" s="180"/>
      <c r="BW277" s="180"/>
      <c r="BX277" s="180"/>
      <c r="BY277" s="180"/>
      <c r="BZ277" s="180"/>
      <c r="CA277" s="180"/>
      <c r="CB277" s="180"/>
      <c r="CC277" s="180"/>
      <c r="CD277" s="180"/>
      <c r="CE277" s="180"/>
      <c r="CF277" s="180"/>
      <c r="CG277" s="180"/>
      <c r="CH277" s="180"/>
      <c r="CI277" s="180"/>
      <c r="CJ277" s="180"/>
      <c r="CK277" s="180"/>
      <c r="CL277" s="180"/>
      <c r="CM277" s="180"/>
      <c r="CN277" s="180"/>
      <c r="CO277" s="180"/>
      <c r="CP277" s="180"/>
      <c r="CQ277" s="180"/>
      <c r="CR277" s="180"/>
      <c r="CS277" s="180"/>
      <c r="CT277" s="180"/>
      <c r="CU277" s="180"/>
      <c r="CV277" s="180"/>
      <c r="CW277" s="180"/>
      <c r="CX277" s="180"/>
      <c r="CY277" s="180"/>
      <c r="CZ277" s="180"/>
      <c r="DA277" s="180"/>
      <c r="DB277" s="180"/>
    </row>
    <row r="278">
      <c r="A278" s="180"/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80"/>
      <c r="R278" s="180"/>
      <c r="S278" s="180"/>
      <c r="T278" s="180"/>
      <c r="U278" s="180"/>
      <c r="V278" s="180"/>
      <c r="W278" s="180"/>
      <c r="X278" s="180"/>
      <c r="Y278" s="180"/>
      <c r="Z278" s="180"/>
      <c r="AA278" s="180"/>
      <c r="AB278" s="180"/>
      <c r="AC278" s="180"/>
      <c r="AD278" s="180"/>
      <c r="AE278" s="180"/>
      <c r="AF278" s="180"/>
      <c r="AG278" s="180"/>
      <c r="AH278" s="180"/>
      <c r="AI278" s="180"/>
      <c r="AJ278" s="180"/>
      <c r="AK278" s="180"/>
      <c r="AL278" s="180"/>
      <c r="AM278" s="180"/>
      <c r="AN278" s="180"/>
      <c r="AO278" s="180"/>
      <c r="AP278" s="180"/>
      <c r="AQ278" s="180"/>
      <c r="AR278" s="180"/>
      <c r="AS278" s="180"/>
      <c r="AT278" s="180"/>
      <c r="AU278" s="180"/>
      <c r="AV278" s="180"/>
      <c r="AW278" s="180"/>
      <c r="AX278" s="180"/>
      <c r="AY278" s="180"/>
      <c r="AZ278" s="180"/>
      <c r="BA278" s="180"/>
      <c r="BB278" s="180"/>
      <c r="BC278" s="180"/>
      <c r="BD278" s="180"/>
      <c r="BE278" s="180"/>
      <c r="BF278" s="180"/>
      <c r="BG278" s="180"/>
      <c r="BH278" s="180"/>
      <c r="BI278" s="180"/>
      <c r="BJ278" s="180"/>
      <c r="BK278" s="180"/>
      <c r="BL278" s="180"/>
      <c r="BM278" s="180"/>
      <c r="BN278" s="180"/>
      <c r="BO278" s="180"/>
      <c r="BP278" s="180"/>
      <c r="BQ278" s="180"/>
      <c r="BR278" s="180"/>
      <c r="BS278" s="180"/>
      <c r="BT278" s="180"/>
      <c r="BU278" s="180"/>
      <c r="BV278" s="180"/>
      <c r="BW278" s="180"/>
      <c r="BX278" s="180"/>
      <c r="BY278" s="180"/>
      <c r="BZ278" s="180"/>
      <c r="CA278" s="180"/>
      <c r="CB278" s="180"/>
      <c r="CC278" s="180"/>
      <c r="CD278" s="180"/>
      <c r="CE278" s="180"/>
      <c r="CF278" s="180"/>
      <c r="CG278" s="180"/>
      <c r="CH278" s="180"/>
      <c r="CI278" s="180"/>
      <c r="CJ278" s="180"/>
      <c r="CK278" s="180"/>
      <c r="CL278" s="180"/>
      <c r="CM278" s="180"/>
      <c r="CN278" s="180"/>
      <c r="CO278" s="180"/>
      <c r="CP278" s="180"/>
      <c r="CQ278" s="180"/>
      <c r="CR278" s="180"/>
      <c r="CS278" s="180"/>
      <c r="CT278" s="180"/>
      <c r="CU278" s="180"/>
      <c r="CV278" s="180"/>
      <c r="CW278" s="180"/>
      <c r="CX278" s="180"/>
      <c r="CY278" s="180"/>
      <c r="CZ278" s="180"/>
      <c r="DA278" s="180"/>
      <c r="DB278" s="180"/>
    </row>
    <row r="279">
      <c r="A279" s="180"/>
      <c r="B279" s="180"/>
      <c r="C279" s="180"/>
      <c r="D279" s="180"/>
      <c r="E279" s="180"/>
      <c r="F279" s="180"/>
      <c r="G279" s="180"/>
      <c r="H279" s="180"/>
      <c r="I279" s="180"/>
      <c r="J279" s="180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  <c r="BY279" s="180"/>
      <c r="BZ279" s="180"/>
      <c r="CA279" s="180"/>
      <c r="CB279" s="180"/>
      <c r="CC279" s="180"/>
      <c r="CD279" s="180"/>
      <c r="CE279" s="180"/>
      <c r="CF279" s="180"/>
      <c r="CG279" s="180"/>
      <c r="CH279" s="180"/>
      <c r="CI279" s="180"/>
      <c r="CJ279" s="180"/>
      <c r="CK279" s="180"/>
      <c r="CL279" s="180"/>
      <c r="CM279" s="180"/>
      <c r="CN279" s="180"/>
      <c r="CO279" s="180"/>
      <c r="CP279" s="180"/>
      <c r="CQ279" s="180"/>
      <c r="CR279" s="180"/>
      <c r="CS279" s="180"/>
      <c r="CT279" s="180"/>
      <c r="CU279" s="180"/>
      <c r="CV279" s="180"/>
      <c r="CW279" s="180"/>
      <c r="CX279" s="180"/>
      <c r="CY279" s="180"/>
      <c r="CZ279" s="180"/>
      <c r="DA279" s="180"/>
      <c r="DB279" s="180"/>
    </row>
    <row r="280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  <c r="BY280" s="180"/>
      <c r="BZ280" s="180"/>
      <c r="CA280" s="180"/>
      <c r="CB280" s="180"/>
      <c r="CC280" s="180"/>
      <c r="CD280" s="180"/>
      <c r="CE280" s="180"/>
      <c r="CF280" s="180"/>
      <c r="CG280" s="180"/>
      <c r="CH280" s="180"/>
      <c r="CI280" s="180"/>
      <c r="CJ280" s="180"/>
      <c r="CK280" s="180"/>
      <c r="CL280" s="180"/>
      <c r="CM280" s="180"/>
      <c r="CN280" s="180"/>
      <c r="CO280" s="180"/>
      <c r="CP280" s="180"/>
      <c r="CQ280" s="180"/>
      <c r="CR280" s="180"/>
      <c r="CS280" s="180"/>
      <c r="CT280" s="180"/>
      <c r="CU280" s="180"/>
      <c r="CV280" s="180"/>
      <c r="CW280" s="180"/>
      <c r="CX280" s="180"/>
      <c r="CY280" s="180"/>
      <c r="CZ280" s="180"/>
      <c r="DA280" s="180"/>
      <c r="DB280" s="180"/>
    </row>
    <row r="281">
      <c r="A281" s="180"/>
      <c r="B281" s="180"/>
      <c r="C281" s="180"/>
      <c r="D281" s="180"/>
      <c r="E281" s="180"/>
      <c r="F281" s="180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180"/>
      <c r="BP281" s="180"/>
      <c r="BQ281" s="180"/>
      <c r="BR281" s="180"/>
      <c r="BS281" s="180"/>
      <c r="BT281" s="180"/>
      <c r="BU281" s="180"/>
      <c r="BV281" s="180"/>
      <c r="BW281" s="180"/>
      <c r="BX281" s="180"/>
      <c r="BY281" s="180"/>
      <c r="BZ281" s="180"/>
      <c r="CA281" s="180"/>
      <c r="CB281" s="180"/>
      <c r="CC281" s="180"/>
      <c r="CD281" s="180"/>
      <c r="CE281" s="180"/>
      <c r="CF281" s="180"/>
      <c r="CG281" s="180"/>
      <c r="CH281" s="180"/>
      <c r="CI281" s="180"/>
      <c r="CJ281" s="180"/>
      <c r="CK281" s="180"/>
      <c r="CL281" s="180"/>
      <c r="CM281" s="180"/>
      <c r="CN281" s="180"/>
      <c r="CO281" s="180"/>
      <c r="CP281" s="180"/>
      <c r="CQ281" s="180"/>
      <c r="CR281" s="180"/>
      <c r="CS281" s="180"/>
      <c r="CT281" s="180"/>
      <c r="CU281" s="180"/>
      <c r="CV281" s="180"/>
      <c r="CW281" s="180"/>
      <c r="CX281" s="180"/>
      <c r="CY281" s="180"/>
      <c r="CZ281" s="180"/>
      <c r="DA281" s="180"/>
      <c r="DB281" s="180"/>
    </row>
    <row r="282">
      <c r="A282" s="180"/>
      <c r="B282" s="180"/>
      <c r="C282" s="180"/>
      <c r="D282" s="180"/>
      <c r="E282" s="180"/>
      <c r="F282" s="180"/>
      <c r="G282" s="180"/>
      <c r="H282" s="180"/>
      <c r="I282" s="180"/>
      <c r="J282" s="180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180"/>
      <c r="BV282" s="180"/>
      <c r="BW282" s="180"/>
      <c r="BX282" s="180"/>
      <c r="BY282" s="180"/>
      <c r="BZ282" s="180"/>
      <c r="CA282" s="180"/>
      <c r="CB282" s="180"/>
      <c r="CC282" s="180"/>
      <c r="CD282" s="180"/>
      <c r="CE282" s="180"/>
      <c r="CF282" s="180"/>
      <c r="CG282" s="180"/>
      <c r="CH282" s="180"/>
      <c r="CI282" s="180"/>
      <c r="CJ282" s="180"/>
      <c r="CK282" s="180"/>
      <c r="CL282" s="180"/>
      <c r="CM282" s="180"/>
      <c r="CN282" s="180"/>
      <c r="CO282" s="180"/>
      <c r="CP282" s="180"/>
      <c r="CQ282" s="180"/>
      <c r="CR282" s="180"/>
      <c r="CS282" s="180"/>
      <c r="CT282" s="180"/>
      <c r="CU282" s="180"/>
      <c r="CV282" s="180"/>
      <c r="CW282" s="180"/>
      <c r="CX282" s="180"/>
      <c r="CY282" s="180"/>
      <c r="CZ282" s="180"/>
      <c r="DA282" s="180"/>
      <c r="DB282" s="180"/>
    </row>
    <row r="283">
      <c r="A283" s="180"/>
      <c r="B283" s="180"/>
      <c r="C283" s="180"/>
      <c r="D283" s="180"/>
      <c r="E283" s="180"/>
      <c r="F283" s="180"/>
      <c r="G283" s="180"/>
      <c r="H283" s="180"/>
      <c r="I283" s="180"/>
      <c r="J283" s="180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180"/>
      <c r="BP283" s="180"/>
      <c r="BQ283" s="180"/>
      <c r="BR283" s="180"/>
      <c r="BS283" s="180"/>
      <c r="BT283" s="180"/>
      <c r="BU283" s="180"/>
      <c r="BV283" s="180"/>
      <c r="BW283" s="180"/>
      <c r="BX283" s="180"/>
      <c r="BY283" s="180"/>
      <c r="BZ283" s="180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</row>
    <row r="284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180"/>
      <c r="BV284" s="180"/>
      <c r="BW284" s="180"/>
      <c r="BX284" s="180"/>
      <c r="BY284" s="180"/>
      <c r="BZ284" s="180"/>
      <c r="CA284" s="180"/>
      <c r="CB284" s="180"/>
      <c r="CC284" s="180"/>
      <c r="CD284" s="180"/>
      <c r="CE284" s="180"/>
      <c r="CF284" s="180"/>
      <c r="CG284" s="180"/>
      <c r="CH284" s="180"/>
      <c r="CI284" s="180"/>
      <c r="CJ284" s="180"/>
      <c r="CK284" s="180"/>
      <c r="CL284" s="180"/>
      <c r="CM284" s="180"/>
      <c r="CN284" s="180"/>
      <c r="CO284" s="180"/>
      <c r="CP284" s="180"/>
      <c r="CQ284" s="180"/>
      <c r="CR284" s="180"/>
      <c r="CS284" s="180"/>
      <c r="CT284" s="180"/>
      <c r="CU284" s="180"/>
      <c r="CV284" s="180"/>
      <c r="CW284" s="180"/>
      <c r="CX284" s="180"/>
      <c r="CY284" s="180"/>
      <c r="CZ284" s="180"/>
      <c r="DA284" s="180"/>
      <c r="DB284" s="180"/>
    </row>
    <row r="285">
      <c r="A285" s="180"/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  <c r="BY285" s="180"/>
      <c r="BZ285" s="180"/>
      <c r="CA285" s="180"/>
      <c r="CB285" s="180"/>
      <c r="CC285" s="180"/>
      <c r="CD285" s="180"/>
      <c r="CE285" s="180"/>
      <c r="CF285" s="180"/>
      <c r="CG285" s="180"/>
      <c r="CH285" s="180"/>
      <c r="CI285" s="180"/>
      <c r="CJ285" s="180"/>
      <c r="CK285" s="180"/>
      <c r="CL285" s="180"/>
      <c r="CM285" s="180"/>
      <c r="CN285" s="180"/>
      <c r="CO285" s="180"/>
      <c r="CP285" s="180"/>
      <c r="CQ285" s="180"/>
      <c r="CR285" s="180"/>
      <c r="CS285" s="180"/>
      <c r="CT285" s="180"/>
      <c r="CU285" s="180"/>
      <c r="CV285" s="180"/>
      <c r="CW285" s="180"/>
      <c r="CX285" s="180"/>
      <c r="CY285" s="180"/>
      <c r="CZ285" s="180"/>
      <c r="DA285" s="180"/>
      <c r="DB285" s="180"/>
    </row>
    <row r="286">
      <c r="A286" s="180"/>
      <c r="B286" s="180"/>
      <c r="C286" s="180"/>
      <c r="D286" s="180"/>
      <c r="E286" s="180"/>
      <c r="F286" s="180"/>
      <c r="G286" s="180"/>
      <c r="H286" s="180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180"/>
      <c r="BV286" s="180"/>
      <c r="BW286" s="180"/>
      <c r="BX286" s="180"/>
      <c r="BY286" s="180"/>
      <c r="BZ286" s="180"/>
      <c r="CA286" s="180"/>
      <c r="CB286" s="180"/>
      <c r="CC286" s="180"/>
      <c r="CD286" s="180"/>
      <c r="CE286" s="180"/>
      <c r="CF286" s="180"/>
      <c r="CG286" s="180"/>
      <c r="CH286" s="180"/>
      <c r="CI286" s="180"/>
      <c r="CJ286" s="180"/>
      <c r="CK286" s="180"/>
      <c r="CL286" s="180"/>
      <c r="CM286" s="180"/>
      <c r="CN286" s="180"/>
      <c r="CO286" s="180"/>
      <c r="CP286" s="180"/>
      <c r="CQ286" s="180"/>
      <c r="CR286" s="180"/>
      <c r="CS286" s="180"/>
      <c r="CT286" s="180"/>
      <c r="CU286" s="180"/>
      <c r="CV286" s="180"/>
      <c r="CW286" s="180"/>
      <c r="CX286" s="180"/>
      <c r="CY286" s="180"/>
      <c r="CZ286" s="180"/>
      <c r="DA286" s="180"/>
      <c r="DB286" s="180"/>
    </row>
    <row r="287">
      <c r="A287" s="180"/>
      <c r="B287" s="180"/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  <c r="BY287" s="180"/>
      <c r="BZ287" s="180"/>
      <c r="CA287" s="180"/>
      <c r="CB287" s="180"/>
      <c r="CC287" s="180"/>
      <c r="CD287" s="180"/>
      <c r="CE287" s="180"/>
      <c r="CF287" s="180"/>
      <c r="CG287" s="180"/>
      <c r="CH287" s="180"/>
      <c r="CI287" s="180"/>
      <c r="CJ287" s="180"/>
      <c r="CK287" s="180"/>
      <c r="CL287" s="180"/>
      <c r="CM287" s="180"/>
      <c r="CN287" s="180"/>
      <c r="CO287" s="180"/>
      <c r="CP287" s="180"/>
      <c r="CQ287" s="180"/>
      <c r="CR287" s="180"/>
      <c r="CS287" s="180"/>
      <c r="CT287" s="180"/>
      <c r="CU287" s="180"/>
      <c r="CV287" s="180"/>
      <c r="CW287" s="180"/>
      <c r="CX287" s="180"/>
      <c r="CY287" s="180"/>
      <c r="CZ287" s="180"/>
      <c r="DA287" s="180"/>
      <c r="DB287" s="180"/>
    </row>
    <row r="288">
      <c r="A288" s="180"/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  <c r="BY288" s="180"/>
      <c r="BZ288" s="180"/>
      <c r="CA288" s="180"/>
      <c r="CB288" s="180"/>
      <c r="CC288" s="180"/>
      <c r="CD288" s="180"/>
      <c r="CE288" s="180"/>
      <c r="CF288" s="180"/>
      <c r="CG288" s="180"/>
      <c r="CH288" s="180"/>
      <c r="CI288" s="180"/>
      <c r="CJ288" s="180"/>
      <c r="CK288" s="180"/>
      <c r="CL288" s="180"/>
      <c r="CM288" s="180"/>
      <c r="CN288" s="180"/>
      <c r="CO288" s="180"/>
      <c r="CP288" s="180"/>
      <c r="CQ288" s="180"/>
      <c r="CR288" s="180"/>
      <c r="CS288" s="180"/>
      <c r="CT288" s="180"/>
      <c r="CU288" s="180"/>
      <c r="CV288" s="180"/>
      <c r="CW288" s="180"/>
      <c r="CX288" s="180"/>
      <c r="CY288" s="180"/>
      <c r="CZ288" s="180"/>
      <c r="DA288" s="180"/>
      <c r="DB288" s="180"/>
    </row>
    <row r="289">
      <c r="A289" s="180"/>
      <c r="B289" s="180"/>
      <c r="C289" s="180"/>
      <c r="D289" s="180"/>
      <c r="E289" s="180"/>
      <c r="F289" s="180"/>
      <c r="G289" s="180"/>
      <c r="H289" s="180"/>
      <c r="I289" s="180"/>
      <c r="J289" s="180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  <c r="BY289" s="180"/>
      <c r="BZ289" s="180"/>
      <c r="CA289" s="180"/>
      <c r="CB289" s="180"/>
      <c r="CC289" s="180"/>
      <c r="CD289" s="180"/>
      <c r="CE289" s="180"/>
      <c r="CF289" s="180"/>
      <c r="CG289" s="180"/>
      <c r="CH289" s="180"/>
      <c r="CI289" s="180"/>
      <c r="CJ289" s="180"/>
      <c r="CK289" s="180"/>
      <c r="CL289" s="180"/>
      <c r="CM289" s="180"/>
      <c r="CN289" s="180"/>
      <c r="CO289" s="180"/>
      <c r="CP289" s="180"/>
      <c r="CQ289" s="180"/>
      <c r="CR289" s="180"/>
      <c r="CS289" s="180"/>
      <c r="CT289" s="180"/>
      <c r="CU289" s="180"/>
      <c r="CV289" s="180"/>
      <c r="CW289" s="180"/>
      <c r="CX289" s="180"/>
      <c r="CY289" s="180"/>
      <c r="CZ289" s="180"/>
      <c r="DA289" s="180"/>
      <c r="DB289" s="180"/>
    </row>
    <row r="290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180"/>
      <c r="BV290" s="180"/>
      <c r="BW290" s="180"/>
      <c r="BX290" s="180"/>
      <c r="BY290" s="180"/>
      <c r="BZ290" s="180"/>
      <c r="CA290" s="180"/>
      <c r="CB290" s="180"/>
      <c r="CC290" s="180"/>
      <c r="CD290" s="180"/>
      <c r="CE290" s="180"/>
      <c r="CF290" s="180"/>
      <c r="CG290" s="180"/>
      <c r="CH290" s="180"/>
      <c r="CI290" s="180"/>
      <c r="CJ290" s="180"/>
      <c r="CK290" s="180"/>
      <c r="CL290" s="180"/>
      <c r="CM290" s="180"/>
      <c r="CN290" s="180"/>
      <c r="CO290" s="180"/>
      <c r="CP290" s="180"/>
      <c r="CQ290" s="180"/>
      <c r="CR290" s="180"/>
      <c r="CS290" s="180"/>
      <c r="CT290" s="180"/>
      <c r="CU290" s="180"/>
      <c r="CV290" s="180"/>
      <c r="CW290" s="180"/>
      <c r="CX290" s="180"/>
      <c r="CY290" s="180"/>
      <c r="CZ290" s="180"/>
      <c r="DA290" s="180"/>
      <c r="DB290" s="180"/>
    </row>
    <row r="291">
      <c r="A291" s="180"/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0"/>
      <c r="AU291" s="180"/>
      <c r="AV291" s="180"/>
      <c r="AW291" s="180"/>
      <c r="AX291" s="180"/>
      <c r="AY291" s="180"/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  <c r="BN291" s="180"/>
      <c r="BO291" s="180"/>
      <c r="BP291" s="180"/>
      <c r="BQ291" s="180"/>
      <c r="BR291" s="180"/>
      <c r="BS291" s="180"/>
      <c r="BT291" s="180"/>
      <c r="BU291" s="180"/>
      <c r="BV291" s="180"/>
      <c r="BW291" s="180"/>
      <c r="BX291" s="180"/>
      <c r="BY291" s="180"/>
      <c r="BZ291" s="180"/>
      <c r="CA291" s="180"/>
      <c r="CB291" s="180"/>
      <c r="CC291" s="180"/>
      <c r="CD291" s="180"/>
      <c r="CE291" s="180"/>
      <c r="CF291" s="180"/>
      <c r="CG291" s="180"/>
      <c r="CH291" s="180"/>
      <c r="CI291" s="180"/>
      <c r="CJ291" s="180"/>
      <c r="CK291" s="180"/>
      <c r="CL291" s="180"/>
      <c r="CM291" s="180"/>
      <c r="CN291" s="180"/>
      <c r="CO291" s="180"/>
      <c r="CP291" s="180"/>
      <c r="CQ291" s="180"/>
      <c r="CR291" s="180"/>
      <c r="CS291" s="180"/>
      <c r="CT291" s="180"/>
      <c r="CU291" s="180"/>
      <c r="CV291" s="180"/>
      <c r="CW291" s="180"/>
      <c r="CX291" s="180"/>
      <c r="CY291" s="180"/>
      <c r="CZ291" s="180"/>
      <c r="DA291" s="180"/>
      <c r="DB291" s="180"/>
    </row>
    <row r="292">
      <c r="A292" s="180"/>
      <c r="B292" s="180"/>
      <c r="C292" s="180"/>
      <c r="D292" s="180"/>
      <c r="E292" s="180"/>
      <c r="F292" s="180"/>
      <c r="G292" s="180"/>
      <c r="H292" s="180"/>
      <c r="I292" s="180"/>
      <c r="J292" s="180"/>
      <c r="K292" s="180"/>
      <c r="L292" s="180"/>
      <c r="M292" s="180"/>
      <c r="N292" s="180"/>
      <c r="O292" s="180"/>
      <c r="P292" s="180"/>
      <c r="Q292" s="180"/>
      <c r="R292" s="180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  <c r="AG292" s="180"/>
      <c r="AH292" s="180"/>
      <c r="AI292" s="180"/>
      <c r="AJ292" s="180"/>
      <c r="AK292" s="180"/>
      <c r="AL292" s="180"/>
      <c r="AM292" s="180"/>
      <c r="AN292" s="180"/>
      <c r="AO292" s="180"/>
      <c r="AP292" s="180"/>
      <c r="AQ292" s="180"/>
      <c r="AR292" s="180"/>
      <c r="AS292" s="180"/>
      <c r="AT292" s="180"/>
      <c r="AU292" s="180"/>
      <c r="AV292" s="180"/>
      <c r="AW292" s="180"/>
      <c r="AX292" s="180"/>
      <c r="AY292" s="180"/>
      <c r="AZ292" s="180"/>
      <c r="BA292" s="180"/>
      <c r="BB292" s="180"/>
      <c r="BC292" s="180"/>
      <c r="BD292" s="180"/>
      <c r="BE292" s="180"/>
      <c r="BF292" s="180"/>
      <c r="BG292" s="180"/>
      <c r="BH292" s="180"/>
      <c r="BI292" s="180"/>
      <c r="BJ292" s="180"/>
      <c r="BK292" s="180"/>
      <c r="BL292" s="180"/>
      <c r="BM292" s="180"/>
      <c r="BN292" s="180"/>
      <c r="BO292" s="180"/>
      <c r="BP292" s="180"/>
      <c r="BQ292" s="180"/>
      <c r="BR292" s="180"/>
      <c r="BS292" s="180"/>
      <c r="BT292" s="180"/>
      <c r="BU292" s="180"/>
      <c r="BV292" s="180"/>
      <c r="BW292" s="180"/>
      <c r="BX292" s="180"/>
      <c r="BY292" s="180"/>
      <c r="BZ292" s="180"/>
      <c r="CA292" s="180"/>
      <c r="CB292" s="180"/>
      <c r="CC292" s="180"/>
      <c r="CD292" s="180"/>
      <c r="CE292" s="180"/>
      <c r="CF292" s="180"/>
      <c r="CG292" s="180"/>
      <c r="CH292" s="180"/>
      <c r="CI292" s="180"/>
      <c r="CJ292" s="180"/>
      <c r="CK292" s="180"/>
      <c r="CL292" s="180"/>
      <c r="CM292" s="180"/>
      <c r="CN292" s="180"/>
      <c r="CO292" s="180"/>
      <c r="CP292" s="180"/>
      <c r="CQ292" s="180"/>
      <c r="CR292" s="180"/>
      <c r="CS292" s="180"/>
      <c r="CT292" s="180"/>
      <c r="CU292" s="180"/>
      <c r="CV292" s="180"/>
      <c r="CW292" s="180"/>
      <c r="CX292" s="180"/>
      <c r="CY292" s="180"/>
      <c r="CZ292" s="180"/>
      <c r="DA292" s="180"/>
      <c r="DB292" s="180"/>
    </row>
    <row r="293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180"/>
      <c r="BP293" s="180"/>
      <c r="BQ293" s="180"/>
      <c r="BR293" s="180"/>
      <c r="BS293" s="180"/>
      <c r="BT293" s="180"/>
      <c r="BU293" s="180"/>
      <c r="BV293" s="180"/>
      <c r="BW293" s="180"/>
      <c r="BX293" s="180"/>
      <c r="BY293" s="180"/>
      <c r="BZ293" s="180"/>
      <c r="CA293" s="180"/>
      <c r="CB293" s="180"/>
      <c r="CC293" s="180"/>
      <c r="CD293" s="180"/>
      <c r="CE293" s="180"/>
      <c r="CF293" s="180"/>
      <c r="CG293" s="180"/>
      <c r="CH293" s="180"/>
      <c r="CI293" s="180"/>
      <c r="CJ293" s="180"/>
      <c r="CK293" s="180"/>
      <c r="CL293" s="180"/>
      <c r="CM293" s="180"/>
      <c r="CN293" s="180"/>
      <c r="CO293" s="180"/>
      <c r="CP293" s="180"/>
      <c r="CQ293" s="180"/>
      <c r="CR293" s="180"/>
      <c r="CS293" s="180"/>
      <c r="CT293" s="180"/>
      <c r="CU293" s="180"/>
      <c r="CV293" s="180"/>
      <c r="CW293" s="180"/>
      <c r="CX293" s="180"/>
      <c r="CY293" s="180"/>
      <c r="CZ293" s="180"/>
      <c r="DA293" s="180"/>
      <c r="DB293" s="180"/>
    </row>
    <row r="294">
      <c r="A294" s="180"/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180"/>
      <c r="BV294" s="180"/>
      <c r="BW294" s="180"/>
      <c r="BX294" s="180"/>
      <c r="BY294" s="180"/>
      <c r="BZ294" s="180"/>
      <c r="CA294" s="180"/>
      <c r="CB294" s="180"/>
      <c r="CC294" s="180"/>
      <c r="CD294" s="180"/>
      <c r="CE294" s="180"/>
      <c r="CF294" s="180"/>
      <c r="CG294" s="180"/>
      <c r="CH294" s="180"/>
      <c r="CI294" s="180"/>
      <c r="CJ294" s="180"/>
      <c r="CK294" s="180"/>
      <c r="CL294" s="180"/>
      <c r="CM294" s="180"/>
      <c r="CN294" s="180"/>
      <c r="CO294" s="180"/>
      <c r="CP294" s="180"/>
      <c r="CQ294" s="180"/>
      <c r="CR294" s="180"/>
      <c r="CS294" s="180"/>
      <c r="CT294" s="180"/>
      <c r="CU294" s="180"/>
      <c r="CV294" s="180"/>
      <c r="CW294" s="180"/>
      <c r="CX294" s="180"/>
      <c r="CY294" s="180"/>
      <c r="CZ294" s="180"/>
      <c r="DA294" s="180"/>
      <c r="DB294" s="180"/>
    </row>
    <row r="295">
      <c r="A295" s="180"/>
      <c r="B295" s="180"/>
      <c r="C295" s="180"/>
      <c r="D295" s="180"/>
      <c r="E295" s="180"/>
      <c r="F295" s="180"/>
      <c r="G295" s="180"/>
      <c r="H295" s="180"/>
      <c r="I295" s="180"/>
      <c r="J295" s="180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/>
      <c r="BI295" s="180"/>
      <c r="BJ295" s="180"/>
      <c r="BK295" s="180"/>
      <c r="BL295" s="180"/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0"/>
      <c r="BW295" s="180"/>
      <c r="BX295" s="180"/>
      <c r="BY295" s="180"/>
      <c r="BZ295" s="180"/>
      <c r="CA295" s="180"/>
      <c r="CB295" s="180"/>
      <c r="CC295" s="180"/>
      <c r="CD295" s="180"/>
      <c r="CE295" s="180"/>
      <c r="CF295" s="180"/>
      <c r="CG295" s="180"/>
      <c r="CH295" s="180"/>
      <c r="CI295" s="180"/>
      <c r="CJ295" s="180"/>
      <c r="CK295" s="180"/>
      <c r="CL295" s="180"/>
      <c r="CM295" s="180"/>
      <c r="CN295" s="180"/>
      <c r="CO295" s="180"/>
      <c r="CP295" s="180"/>
      <c r="CQ295" s="180"/>
      <c r="CR295" s="180"/>
      <c r="CS295" s="180"/>
      <c r="CT295" s="180"/>
      <c r="CU295" s="180"/>
      <c r="CV295" s="180"/>
      <c r="CW295" s="180"/>
      <c r="CX295" s="180"/>
      <c r="CY295" s="180"/>
      <c r="CZ295" s="180"/>
      <c r="DA295" s="180"/>
      <c r="DB295" s="180"/>
    </row>
    <row r="296">
      <c r="A296" s="180"/>
      <c r="B296" s="180"/>
      <c r="C296" s="180"/>
      <c r="D296" s="180"/>
      <c r="E296" s="180"/>
      <c r="F296" s="180"/>
      <c r="G296" s="180"/>
      <c r="H296" s="180"/>
      <c r="I296" s="180"/>
      <c r="J296" s="180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0"/>
      <c r="AL296" s="180"/>
      <c r="AM296" s="180"/>
      <c r="AN296" s="180"/>
      <c r="AO296" s="180"/>
      <c r="AP296" s="180"/>
      <c r="AQ296" s="180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80"/>
      <c r="BI296" s="180"/>
      <c r="BJ296" s="180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0"/>
      <c r="BW296" s="180"/>
      <c r="BX296" s="180"/>
      <c r="BY296" s="180"/>
      <c r="BZ296" s="180"/>
      <c r="CA296" s="180"/>
      <c r="CB296" s="180"/>
      <c r="CC296" s="180"/>
      <c r="CD296" s="180"/>
      <c r="CE296" s="180"/>
      <c r="CF296" s="180"/>
      <c r="CG296" s="180"/>
      <c r="CH296" s="180"/>
      <c r="CI296" s="180"/>
      <c r="CJ296" s="180"/>
      <c r="CK296" s="180"/>
      <c r="CL296" s="180"/>
      <c r="CM296" s="180"/>
      <c r="CN296" s="180"/>
      <c r="CO296" s="180"/>
      <c r="CP296" s="180"/>
      <c r="CQ296" s="180"/>
      <c r="CR296" s="180"/>
      <c r="CS296" s="180"/>
      <c r="CT296" s="180"/>
      <c r="CU296" s="180"/>
      <c r="CV296" s="180"/>
      <c r="CW296" s="180"/>
      <c r="CX296" s="180"/>
      <c r="CY296" s="180"/>
      <c r="CZ296" s="180"/>
      <c r="DA296" s="180"/>
      <c r="DB296" s="180"/>
    </row>
    <row r="297">
      <c r="A297" s="180"/>
      <c r="B297" s="180"/>
      <c r="C297" s="180"/>
      <c r="D297" s="180"/>
      <c r="E297" s="180"/>
      <c r="F297" s="180"/>
      <c r="G297" s="180"/>
      <c r="H297" s="180"/>
      <c r="I297" s="180"/>
      <c r="J297" s="180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0"/>
      <c r="AL297" s="180"/>
      <c r="AM297" s="180"/>
      <c r="AN297" s="180"/>
      <c r="AO297" s="180"/>
      <c r="AP297" s="180"/>
      <c r="AQ297" s="180"/>
      <c r="AR297" s="180"/>
      <c r="AS297" s="180"/>
      <c r="AT297" s="180"/>
      <c r="AU297" s="180"/>
      <c r="AV297" s="180"/>
      <c r="AW297" s="180"/>
      <c r="AX297" s="180"/>
      <c r="AY297" s="180"/>
      <c r="AZ297" s="180"/>
      <c r="BA297" s="180"/>
      <c r="BB297" s="180"/>
      <c r="BC297" s="180"/>
      <c r="BD297" s="180"/>
      <c r="BE297" s="180"/>
      <c r="BF297" s="180"/>
      <c r="BG297" s="180"/>
      <c r="BH297" s="180"/>
      <c r="BI297" s="180"/>
      <c r="BJ297" s="180"/>
      <c r="BK297" s="180"/>
      <c r="BL297" s="180"/>
      <c r="BM297" s="180"/>
      <c r="BN297" s="180"/>
      <c r="BO297" s="180"/>
      <c r="BP297" s="180"/>
      <c r="BQ297" s="180"/>
      <c r="BR297" s="180"/>
      <c r="BS297" s="180"/>
      <c r="BT297" s="180"/>
      <c r="BU297" s="180"/>
      <c r="BV297" s="180"/>
      <c r="BW297" s="180"/>
      <c r="BX297" s="180"/>
      <c r="BY297" s="180"/>
      <c r="BZ297" s="180"/>
      <c r="CA297" s="180"/>
      <c r="CB297" s="180"/>
      <c r="CC297" s="180"/>
      <c r="CD297" s="180"/>
      <c r="CE297" s="180"/>
      <c r="CF297" s="180"/>
      <c r="CG297" s="180"/>
      <c r="CH297" s="180"/>
      <c r="CI297" s="180"/>
      <c r="CJ297" s="180"/>
      <c r="CK297" s="180"/>
      <c r="CL297" s="180"/>
      <c r="CM297" s="180"/>
      <c r="CN297" s="180"/>
      <c r="CO297" s="180"/>
      <c r="CP297" s="180"/>
      <c r="CQ297" s="180"/>
      <c r="CR297" s="180"/>
      <c r="CS297" s="180"/>
      <c r="CT297" s="180"/>
      <c r="CU297" s="180"/>
      <c r="CV297" s="180"/>
      <c r="CW297" s="180"/>
      <c r="CX297" s="180"/>
      <c r="CY297" s="180"/>
      <c r="CZ297" s="180"/>
      <c r="DA297" s="180"/>
      <c r="DB297" s="180"/>
    </row>
    <row r="298">
      <c r="A298" s="180"/>
      <c r="B298" s="180"/>
      <c r="C298" s="180"/>
      <c r="D298" s="180"/>
      <c r="E298" s="180"/>
      <c r="F298" s="180"/>
      <c r="G298" s="180"/>
      <c r="H298" s="180"/>
      <c r="I298" s="180"/>
      <c r="J298" s="180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  <c r="BY298" s="180"/>
      <c r="BZ298" s="180"/>
      <c r="CA298" s="180"/>
      <c r="CB298" s="180"/>
      <c r="CC298" s="180"/>
      <c r="CD298" s="180"/>
      <c r="CE298" s="180"/>
      <c r="CF298" s="180"/>
      <c r="CG298" s="180"/>
      <c r="CH298" s="180"/>
      <c r="CI298" s="180"/>
      <c r="CJ298" s="180"/>
      <c r="CK298" s="180"/>
      <c r="CL298" s="180"/>
      <c r="CM298" s="180"/>
      <c r="CN298" s="180"/>
      <c r="CO298" s="180"/>
      <c r="CP298" s="180"/>
      <c r="CQ298" s="180"/>
      <c r="CR298" s="180"/>
      <c r="CS298" s="180"/>
      <c r="CT298" s="180"/>
      <c r="CU298" s="180"/>
      <c r="CV298" s="180"/>
      <c r="CW298" s="180"/>
      <c r="CX298" s="180"/>
      <c r="CY298" s="180"/>
      <c r="CZ298" s="180"/>
      <c r="DA298" s="180"/>
      <c r="DB298" s="180"/>
    </row>
    <row r="299">
      <c r="A299" s="180"/>
      <c r="B299" s="180"/>
      <c r="C299" s="180"/>
      <c r="D299" s="180"/>
      <c r="E299" s="180"/>
      <c r="F299" s="180"/>
      <c r="G299" s="180"/>
      <c r="H299" s="180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  <c r="BY299" s="180"/>
      <c r="BZ299" s="180"/>
      <c r="CA299" s="180"/>
      <c r="CB299" s="180"/>
      <c r="CC299" s="180"/>
      <c r="CD299" s="180"/>
      <c r="CE299" s="180"/>
      <c r="CF299" s="180"/>
      <c r="CG299" s="180"/>
      <c r="CH299" s="180"/>
      <c r="CI299" s="180"/>
      <c r="CJ299" s="180"/>
      <c r="CK299" s="180"/>
      <c r="CL299" s="180"/>
      <c r="CM299" s="180"/>
      <c r="CN299" s="180"/>
      <c r="CO299" s="180"/>
      <c r="CP299" s="180"/>
      <c r="CQ299" s="180"/>
      <c r="CR299" s="180"/>
      <c r="CS299" s="180"/>
      <c r="CT299" s="180"/>
      <c r="CU299" s="180"/>
      <c r="CV299" s="180"/>
      <c r="CW299" s="180"/>
      <c r="CX299" s="180"/>
      <c r="CY299" s="180"/>
      <c r="CZ299" s="180"/>
      <c r="DA299" s="180"/>
      <c r="DB299" s="180"/>
    </row>
    <row r="300">
      <c r="A300" s="180"/>
      <c r="B300" s="180"/>
      <c r="C300" s="180"/>
      <c r="D300" s="180"/>
      <c r="E300" s="180"/>
      <c r="F300" s="180"/>
      <c r="G300" s="180"/>
      <c r="H300" s="180"/>
      <c r="I300" s="180"/>
      <c r="J300" s="180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  <c r="BY300" s="180"/>
      <c r="BZ300" s="180"/>
      <c r="CA300" s="180"/>
      <c r="CB300" s="180"/>
      <c r="CC300" s="180"/>
      <c r="CD300" s="180"/>
      <c r="CE300" s="180"/>
      <c r="CF300" s="180"/>
      <c r="CG300" s="180"/>
      <c r="CH300" s="180"/>
      <c r="CI300" s="180"/>
      <c r="CJ300" s="180"/>
      <c r="CK300" s="180"/>
      <c r="CL300" s="180"/>
      <c r="CM300" s="180"/>
      <c r="CN300" s="180"/>
      <c r="CO300" s="180"/>
      <c r="CP300" s="180"/>
      <c r="CQ300" s="180"/>
      <c r="CR300" s="180"/>
      <c r="CS300" s="180"/>
      <c r="CT300" s="180"/>
      <c r="CU300" s="180"/>
      <c r="CV300" s="180"/>
      <c r="CW300" s="180"/>
      <c r="CX300" s="180"/>
      <c r="CY300" s="180"/>
      <c r="CZ300" s="180"/>
      <c r="DA300" s="180"/>
      <c r="DB300" s="180"/>
    </row>
    <row r="301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  <c r="BY301" s="180"/>
      <c r="BZ301" s="180"/>
      <c r="CA301" s="180"/>
      <c r="CB301" s="180"/>
      <c r="CC301" s="180"/>
      <c r="CD301" s="180"/>
      <c r="CE301" s="180"/>
      <c r="CF301" s="180"/>
      <c r="CG301" s="180"/>
      <c r="CH301" s="180"/>
      <c r="CI301" s="180"/>
      <c r="CJ301" s="180"/>
      <c r="CK301" s="180"/>
      <c r="CL301" s="180"/>
      <c r="CM301" s="180"/>
      <c r="CN301" s="180"/>
      <c r="CO301" s="180"/>
      <c r="CP301" s="180"/>
      <c r="CQ301" s="180"/>
      <c r="CR301" s="180"/>
      <c r="CS301" s="180"/>
      <c r="CT301" s="180"/>
      <c r="CU301" s="180"/>
      <c r="CV301" s="180"/>
      <c r="CW301" s="180"/>
      <c r="CX301" s="180"/>
      <c r="CY301" s="180"/>
      <c r="CZ301" s="180"/>
      <c r="DA301" s="180"/>
      <c r="DB301" s="180"/>
    </row>
    <row r="302">
      <c r="A302" s="180"/>
      <c r="B302" s="180"/>
      <c r="C302" s="180"/>
      <c r="D302" s="180"/>
      <c r="E302" s="180"/>
      <c r="F302" s="180"/>
      <c r="G302" s="180"/>
      <c r="H302" s="180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  <c r="CB302" s="180"/>
      <c r="CC302" s="180"/>
      <c r="CD302" s="180"/>
      <c r="CE302" s="180"/>
      <c r="CF302" s="180"/>
      <c r="CG302" s="180"/>
      <c r="CH302" s="180"/>
      <c r="CI302" s="180"/>
      <c r="CJ302" s="180"/>
      <c r="CK302" s="180"/>
      <c r="CL302" s="180"/>
      <c r="CM302" s="180"/>
      <c r="CN302" s="180"/>
      <c r="CO302" s="180"/>
      <c r="CP302" s="180"/>
      <c r="CQ302" s="180"/>
      <c r="CR302" s="180"/>
      <c r="CS302" s="180"/>
      <c r="CT302" s="180"/>
      <c r="CU302" s="180"/>
      <c r="CV302" s="180"/>
      <c r="CW302" s="180"/>
      <c r="CX302" s="180"/>
      <c r="CY302" s="180"/>
      <c r="CZ302" s="180"/>
      <c r="DA302" s="180"/>
      <c r="DB302" s="180"/>
    </row>
    <row r="303">
      <c r="A303" s="180"/>
      <c r="B303" s="180"/>
      <c r="C303" s="180"/>
      <c r="D303" s="180"/>
      <c r="E303" s="180"/>
      <c r="F303" s="180"/>
      <c r="G303" s="180"/>
      <c r="H303" s="180"/>
      <c r="I303" s="180"/>
      <c r="J303" s="180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  <c r="CB303" s="180"/>
      <c r="CC303" s="180"/>
      <c r="CD303" s="180"/>
      <c r="CE303" s="180"/>
      <c r="CF303" s="180"/>
      <c r="CG303" s="180"/>
      <c r="CH303" s="180"/>
      <c r="CI303" s="180"/>
      <c r="CJ303" s="180"/>
      <c r="CK303" s="180"/>
      <c r="CL303" s="180"/>
      <c r="CM303" s="180"/>
      <c r="CN303" s="180"/>
      <c r="CO303" s="180"/>
      <c r="CP303" s="180"/>
      <c r="CQ303" s="180"/>
      <c r="CR303" s="180"/>
      <c r="CS303" s="180"/>
      <c r="CT303" s="180"/>
      <c r="CU303" s="180"/>
      <c r="CV303" s="180"/>
      <c r="CW303" s="180"/>
      <c r="CX303" s="180"/>
      <c r="CY303" s="180"/>
      <c r="CZ303" s="180"/>
      <c r="DA303" s="180"/>
      <c r="DB303" s="180"/>
    </row>
    <row r="304">
      <c r="A304" s="180"/>
      <c r="B304" s="180"/>
      <c r="C304" s="180"/>
      <c r="D304" s="180"/>
      <c r="E304" s="180"/>
      <c r="F304" s="180"/>
      <c r="G304" s="180"/>
      <c r="H304" s="180"/>
      <c r="I304" s="180"/>
      <c r="J304" s="180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  <c r="CB304" s="180"/>
      <c r="CC304" s="180"/>
      <c r="CD304" s="180"/>
      <c r="CE304" s="180"/>
      <c r="CF304" s="180"/>
      <c r="CG304" s="180"/>
      <c r="CH304" s="180"/>
      <c r="CI304" s="180"/>
      <c r="CJ304" s="180"/>
      <c r="CK304" s="180"/>
      <c r="CL304" s="180"/>
      <c r="CM304" s="180"/>
      <c r="CN304" s="180"/>
      <c r="CO304" s="180"/>
      <c r="CP304" s="180"/>
      <c r="CQ304" s="180"/>
      <c r="CR304" s="180"/>
      <c r="CS304" s="180"/>
      <c r="CT304" s="180"/>
      <c r="CU304" s="180"/>
      <c r="CV304" s="180"/>
      <c r="CW304" s="180"/>
      <c r="CX304" s="180"/>
      <c r="CY304" s="180"/>
      <c r="CZ304" s="180"/>
      <c r="DA304" s="180"/>
      <c r="DB304" s="180"/>
    </row>
    <row r="305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  <c r="CB305" s="180"/>
      <c r="CC305" s="180"/>
      <c r="CD305" s="180"/>
      <c r="CE305" s="180"/>
      <c r="CF305" s="180"/>
      <c r="CG305" s="180"/>
      <c r="CH305" s="180"/>
      <c r="CI305" s="180"/>
      <c r="CJ305" s="180"/>
      <c r="CK305" s="180"/>
      <c r="CL305" s="180"/>
      <c r="CM305" s="180"/>
      <c r="CN305" s="180"/>
      <c r="CO305" s="180"/>
      <c r="CP305" s="180"/>
      <c r="CQ305" s="180"/>
      <c r="CR305" s="180"/>
      <c r="CS305" s="180"/>
      <c r="CT305" s="180"/>
      <c r="CU305" s="180"/>
      <c r="CV305" s="180"/>
      <c r="CW305" s="180"/>
      <c r="CX305" s="180"/>
      <c r="CY305" s="180"/>
      <c r="CZ305" s="180"/>
      <c r="DA305" s="180"/>
      <c r="DB305" s="180"/>
    </row>
    <row r="306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180"/>
      <c r="BV306" s="180"/>
      <c r="BW306" s="180"/>
      <c r="BX306" s="180"/>
      <c r="BY306" s="180"/>
      <c r="BZ306" s="180"/>
      <c r="CA306" s="180"/>
      <c r="CB306" s="180"/>
      <c r="CC306" s="180"/>
      <c r="CD306" s="180"/>
      <c r="CE306" s="180"/>
      <c r="CF306" s="180"/>
      <c r="CG306" s="180"/>
      <c r="CH306" s="180"/>
      <c r="CI306" s="180"/>
      <c r="CJ306" s="180"/>
      <c r="CK306" s="180"/>
      <c r="CL306" s="180"/>
      <c r="CM306" s="180"/>
      <c r="CN306" s="180"/>
      <c r="CO306" s="180"/>
      <c r="CP306" s="180"/>
      <c r="CQ306" s="180"/>
      <c r="CR306" s="180"/>
      <c r="CS306" s="180"/>
      <c r="CT306" s="180"/>
      <c r="CU306" s="180"/>
      <c r="CV306" s="180"/>
      <c r="CW306" s="180"/>
      <c r="CX306" s="180"/>
      <c r="CY306" s="180"/>
      <c r="CZ306" s="180"/>
      <c r="DA306" s="180"/>
      <c r="DB306" s="180"/>
    </row>
    <row r="307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  <c r="BY307" s="180"/>
      <c r="BZ307" s="180"/>
      <c r="CA307" s="180"/>
      <c r="CB307" s="180"/>
      <c r="CC307" s="180"/>
      <c r="CD307" s="180"/>
      <c r="CE307" s="180"/>
      <c r="CF307" s="180"/>
      <c r="CG307" s="180"/>
      <c r="CH307" s="180"/>
      <c r="CI307" s="180"/>
      <c r="CJ307" s="180"/>
      <c r="CK307" s="180"/>
      <c r="CL307" s="180"/>
      <c r="CM307" s="180"/>
      <c r="CN307" s="180"/>
      <c r="CO307" s="180"/>
      <c r="CP307" s="180"/>
      <c r="CQ307" s="180"/>
      <c r="CR307" s="180"/>
      <c r="CS307" s="180"/>
      <c r="CT307" s="180"/>
      <c r="CU307" s="180"/>
      <c r="CV307" s="180"/>
      <c r="CW307" s="180"/>
      <c r="CX307" s="180"/>
      <c r="CY307" s="180"/>
      <c r="CZ307" s="180"/>
      <c r="DA307" s="180"/>
      <c r="DB307" s="180"/>
    </row>
    <row r="308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180"/>
      <c r="BV308" s="180"/>
      <c r="BW308" s="180"/>
      <c r="BX308" s="180"/>
      <c r="BY308" s="180"/>
      <c r="BZ308" s="180"/>
      <c r="CA308" s="180"/>
      <c r="CB308" s="180"/>
      <c r="CC308" s="180"/>
      <c r="CD308" s="180"/>
      <c r="CE308" s="180"/>
      <c r="CF308" s="180"/>
      <c r="CG308" s="180"/>
      <c r="CH308" s="180"/>
      <c r="CI308" s="180"/>
      <c r="CJ308" s="180"/>
      <c r="CK308" s="180"/>
      <c r="CL308" s="180"/>
      <c r="CM308" s="180"/>
      <c r="CN308" s="180"/>
      <c r="CO308" s="180"/>
      <c r="CP308" s="180"/>
      <c r="CQ308" s="180"/>
      <c r="CR308" s="180"/>
      <c r="CS308" s="180"/>
      <c r="CT308" s="180"/>
      <c r="CU308" s="180"/>
      <c r="CV308" s="180"/>
      <c r="CW308" s="180"/>
      <c r="CX308" s="180"/>
      <c r="CY308" s="180"/>
      <c r="CZ308" s="180"/>
      <c r="DA308" s="180"/>
      <c r="DB308" s="180"/>
    </row>
    <row r="309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  <c r="BY309" s="180"/>
      <c r="BZ309" s="180"/>
      <c r="CA309" s="180"/>
      <c r="CB309" s="180"/>
      <c r="CC309" s="180"/>
      <c r="CD309" s="180"/>
      <c r="CE309" s="180"/>
      <c r="CF309" s="180"/>
      <c r="CG309" s="180"/>
      <c r="CH309" s="180"/>
      <c r="CI309" s="180"/>
      <c r="CJ309" s="180"/>
      <c r="CK309" s="180"/>
      <c r="CL309" s="180"/>
      <c r="CM309" s="180"/>
      <c r="CN309" s="180"/>
      <c r="CO309" s="180"/>
      <c r="CP309" s="180"/>
      <c r="CQ309" s="180"/>
      <c r="CR309" s="180"/>
      <c r="CS309" s="180"/>
      <c r="CT309" s="180"/>
      <c r="CU309" s="180"/>
      <c r="CV309" s="180"/>
      <c r="CW309" s="180"/>
      <c r="CX309" s="180"/>
      <c r="CY309" s="180"/>
      <c r="CZ309" s="180"/>
      <c r="DA309" s="180"/>
      <c r="DB309" s="180"/>
    </row>
    <row r="310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0"/>
      <c r="BW310" s="180"/>
      <c r="BX310" s="180"/>
      <c r="BY310" s="180"/>
      <c r="BZ310" s="180"/>
      <c r="CA310" s="180"/>
      <c r="CB310" s="180"/>
      <c r="CC310" s="180"/>
      <c r="CD310" s="180"/>
      <c r="CE310" s="180"/>
      <c r="CF310" s="180"/>
      <c r="CG310" s="180"/>
      <c r="CH310" s="180"/>
      <c r="CI310" s="180"/>
      <c r="CJ310" s="180"/>
      <c r="CK310" s="180"/>
      <c r="CL310" s="180"/>
      <c r="CM310" s="180"/>
      <c r="CN310" s="180"/>
      <c r="CO310" s="180"/>
      <c r="CP310" s="180"/>
      <c r="CQ310" s="180"/>
      <c r="CR310" s="180"/>
      <c r="CS310" s="180"/>
      <c r="CT310" s="180"/>
      <c r="CU310" s="180"/>
      <c r="CV310" s="180"/>
      <c r="CW310" s="180"/>
      <c r="CX310" s="180"/>
      <c r="CY310" s="180"/>
      <c r="CZ310" s="180"/>
      <c r="DA310" s="180"/>
      <c r="DB310" s="180"/>
    </row>
    <row r="311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180"/>
      <c r="BP311" s="180"/>
      <c r="BQ311" s="180"/>
      <c r="BR311" s="180"/>
      <c r="BS311" s="180"/>
      <c r="BT311" s="180"/>
      <c r="BU311" s="180"/>
      <c r="BV311" s="180"/>
      <c r="BW311" s="180"/>
      <c r="BX311" s="180"/>
      <c r="BY311" s="180"/>
      <c r="BZ311" s="180"/>
      <c r="CA311" s="180"/>
      <c r="CB311" s="180"/>
      <c r="CC311" s="180"/>
      <c r="CD311" s="180"/>
      <c r="CE311" s="180"/>
      <c r="CF311" s="180"/>
      <c r="CG311" s="180"/>
      <c r="CH311" s="180"/>
      <c r="CI311" s="180"/>
      <c r="CJ311" s="180"/>
      <c r="CK311" s="180"/>
      <c r="CL311" s="180"/>
      <c r="CM311" s="180"/>
      <c r="CN311" s="180"/>
      <c r="CO311" s="180"/>
      <c r="CP311" s="180"/>
      <c r="CQ311" s="180"/>
      <c r="CR311" s="180"/>
      <c r="CS311" s="180"/>
      <c r="CT311" s="180"/>
      <c r="CU311" s="180"/>
      <c r="CV311" s="180"/>
      <c r="CW311" s="180"/>
      <c r="CX311" s="180"/>
      <c r="CY311" s="180"/>
      <c r="CZ311" s="180"/>
      <c r="DA311" s="180"/>
      <c r="DB311" s="180"/>
    </row>
    <row r="312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180"/>
      <c r="BV312" s="180"/>
      <c r="BW312" s="180"/>
      <c r="BX312" s="180"/>
      <c r="BY312" s="180"/>
      <c r="BZ312" s="180"/>
      <c r="CA312" s="180"/>
      <c r="CB312" s="180"/>
      <c r="CC312" s="180"/>
      <c r="CD312" s="180"/>
      <c r="CE312" s="180"/>
      <c r="CF312" s="180"/>
      <c r="CG312" s="180"/>
      <c r="CH312" s="180"/>
      <c r="CI312" s="180"/>
      <c r="CJ312" s="180"/>
      <c r="CK312" s="180"/>
      <c r="CL312" s="180"/>
      <c r="CM312" s="180"/>
      <c r="CN312" s="180"/>
      <c r="CO312" s="180"/>
      <c r="CP312" s="180"/>
      <c r="CQ312" s="180"/>
      <c r="CR312" s="180"/>
      <c r="CS312" s="180"/>
      <c r="CT312" s="180"/>
      <c r="CU312" s="180"/>
      <c r="CV312" s="180"/>
      <c r="CW312" s="180"/>
      <c r="CX312" s="180"/>
      <c r="CY312" s="180"/>
      <c r="CZ312" s="180"/>
      <c r="DA312" s="180"/>
      <c r="DB312" s="180"/>
    </row>
    <row r="313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  <c r="BY313" s="180"/>
      <c r="BZ313" s="180"/>
      <c r="CA313" s="180"/>
      <c r="CB313" s="180"/>
      <c r="CC313" s="180"/>
      <c r="CD313" s="180"/>
      <c r="CE313" s="180"/>
      <c r="CF313" s="180"/>
      <c r="CG313" s="180"/>
      <c r="CH313" s="180"/>
      <c r="CI313" s="180"/>
      <c r="CJ313" s="180"/>
      <c r="CK313" s="180"/>
      <c r="CL313" s="180"/>
      <c r="CM313" s="180"/>
      <c r="CN313" s="180"/>
      <c r="CO313" s="180"/>
      <c r="CP313" s="180"/>
      <c r="CQ313" s="180"/>
      <c r="CR313" s="180"/>
      <c r="CS313" s="180"/>
      <c r="CT313" s="180"/>
      <c r="CU313" s="180"/>
      <c r="CV313" s="180"/>
      <c r="CW313" s="180"/>
      <c r="CX313" s="180"/>
      <c r="CY313" s="180"/>
      <c r="CZ313" s="180"/>
      <c r="DA313" s="180"/>
      <c r="DB313" s="180"/>
    </row>
    <row r="314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  <c r="BY314" s="180"/>
      <c r="BZ314" s="180"/>
      <c r="CA314" s="180"/>
      <c r="CB314" s="180"/>
      <c r="CC314" s="180"/>
      <c r="CD314" s="180"/>
      <c r="CE314" s="180"/>
      <c r="CF314" s="180"/>
      <c r="CG314" s="180"/>
      <c r="CH314" s="180"/>
      <c r="CI314" s="180"/>
      <c r="CJ314" s="180"/>
      <c r="CK314" s="180"/>
      <c r="CL314" s="180"/>
      <c r="CM314" s="180"/>
      <c r="CN314" s="180"/>
      <c r="CO314" s="180"/>
      <c r="CP314" s="180"/>
      <c r="CQ314" s="180"/>
      <c r="CR314" s="180"/>
      <c r="CS314" s="180"/>
      <c r="CT314" s="180"/>
      <c r="CU314" s="180"/>
      <c r="CV314" s="180"/>
      <c r="CW314" s="180"/>
      <c r="CX314" s="180"/>
      <c r="CY314" s="180"/>
      <c r="CZ314" s="180"/>
      <c r="DA314" s="180"/>
      <c r="DB314" s="180"/>
    </row>
    <row r="315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180"/>
      <c r="R315" s="180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0"/>
      <c r="AL315" s="180"/>
      <c r="AM315" s="180"/>
      <c r="AN315" s="180"/>
      <c r="AO315" s="180"/>
      <c r="AP315" s="180"/>
      <c r="AQ315" s="180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0"/>
      <c r="BB315" s="180"/>
      <c r="BC315" s="180"/>
      <c r="BD315" s="180"/>
      <c r="BE315" s="180"/>
      <c r="BF315" s="180"/>
      <c r="BG315" s="180"/>
      <c r="BH315" s="180"/>
      <c r="BI315" s="180"/>
      <c r="BJ315" s="180"/>
      <c r="BK315" s="180"/>
      <c r="BL315" s="180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0"/>
      <c r="BW315" s="180"/>
      <c r="BX315" s="180"/>
      <c r="BY315" s="180"/>
      <c r="BZ315" s="180"/>
      <c r="CA315" s="180"/>
      <c r="CB315" s="180"/>
      <c r="CC315" s="180"/>
      <c r="CD315" s="180"/>
      <c r="CE315" s="180"/>
      <c r="CF315" s="180"/>
      <c r="CG315" s="180"/>
      <c r="CH315" s="180"/>
      <c r="CI315" s="180"/>
      <c r="CJ315" s="180"/>
      <c r="CK315" s="180"/>
      <c r="CL315" s="180"/>
      <c r="CM315" s="180"/>
      <c r="CN315" s="180"/>
      <c r="CO315" s="180"/>
      <c r="CP315" s="180"/>
      <c r="CQ315" s="180"/>
      <c r="CR315" s="180"/>
      <c r="CS315" s="180"/>
      <c r="CT315" s="180"/>
      <c r="CU315" s="180"/>
      <c r="CV315" s="180"/>
      <c r="CW315" s="180"/>
      <c r="CX315" s="180"/>
      <c r="CY315" s="180"/>
      <c r="CZ315" s="180"/>
      <c r="DA315" s="180"/>
      <c r="DB315" s="180"/>
    </row>
    <row r="316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  <c r="CA316" s="180"/>
      <c r="CB316" s="180"/>
      <c r="CC316" s="180"/>
      <c r="CD316" s="180"/>
      <c r="CE316" s="180"/>
      <c r="CF316" s="180"/>
      <c r="CG316" s="180"/>
      <c r="CH316" s="180"/>
      <c r="CI316" s="180"/>
      <c r="CJ316" s="180"/>
      <c r="CK316" s="180"/>
      <c r="CL316" s="180"/>
      <c r="CM316" s="180"/>
      <c r="CN316" s="180"/>
      <c r="CO316" s="180"/>
      <c r="CP316" s="180"/>
      <c r="CQ316" s="180"/>
      <c r="CR316" s="180"/>
      <c r="CS316" s="180"/>
      <c r="CT316" s="180"/>
      <c r="CU316" s="180"/>
      <c r="CV316" s="180"/>
      <c r="CW316" s="180"/>
      <c r="CX316" s="180"/>
      <c r="CY316" s="180"/>
      <c r="CZ316" s="180"/>
      <c r="DA316" s="180"/>
      <c r="DB316" s="180"/>
    </row>
    <row r="317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  <c r="CA317" s="180"/>
      <c r="CB317" s="180"/>
      <c r="CC317" s="180"/>
      <c r="CD317" s="180"/>
      <c r="CE317" s="180"/>
      <c r="CF317" s="180"/>
      <c r="CG317" s="180"/>
      <c r="CH317" s="180"/>
      <c r="CI317" s="180"/>
      <c r="CJ317" s="180"/>
      <c r="CK317" s="180"/>
      <c r="CL317" s="180"/>
      <c r="CM317" s="180"/>
      <c r="CN317" s="180"/>
      <c r="CO317" s="180"/>
      <c r="CP317" s="180"/>
      <c r="CQ317" s="180"/>
      <c r="CR317" s="180"/>
      <c r="CS317" s="180"/>
      <c r="CT317" s="180"/>
      <c r="CU317" s="180"/>
      <c r="CV317" s="180"/>
      <c r="CW317" s="180"/>
      <c r="CX317" s="180"/>
      <c r="CY317" s="180"/>
      <c r="CZ317" s="180"/>
      <c r="DA317" s="180"/>
      <c r="DB317" s="180"/>
    </row>
    <row r="318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  <c r="CA318" s="180"/>
      <c r="CB318" s="180"/>
      <c r="CC318" s="180"/>
      <c r="CD318" s="180"/>
      <c r="CE318" s="180"/>
      <c r="CF318" s="180"/>
      <c r="CG318" s="180"/>
      <c r="CH318" s="180"/>
      <c r="CI318" s="180"/>
      <c r="CJ318" s="180"/>
      <c r="CK318" s="180"/>
      <c r="CL318" s="180"/>
      <c r="CM318" s="180"/>
      <c r="CN318" s="180"/>
      <c r="CO318" s="180"/>
      <c r="CP318" s="180"/>
      <c r="CQ318" s="180"/>
      <c r="CR318" s="180"/>
      <c r="CS318" s="180"/>
      <c r="CT318" s="180"/>
      <c r="CU318" s="180"/>
      <c r="CV318" s="180"/>
      <c r="CW318" s="180"/>
      <c r="CX318" s="180"/>
      <c r="CY318" s="180"/>
      <c r="CZ318" s="180"/>
      <c r="DA318" s="180"/>
      <c r="DB318" s="180"/>
    </row>
    <row r="319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  <c r="CA319" s="180"/>
      <c r="CB319" s="180"/>
      <c r="CC319" s="180"/>
      <c r="CD319" s="180"/>
      <c r="CE319" s="180"/>
      <c r="CF319" s="180"/>
      <c r="CG319" s="180"/>
      <c r="CH319" s="180"/>
      <c r="CI319" s="180"/>
      <c r="CJ319" s="180"/>
      <c r="CK319" s="180"/>
      <c r="CL319" s="180"/>
      <c r="CM319" s="180"/>
      <c r="CN319" s="180"/>
      <c r="CO319" s="180"/>
      <c r="CP319" s="180"/>
      <c r="CQ319" s="180"/>
      <c r="CR319" s="180"/>
      <c r="CS319" s="180"/>
      <c r="CT319" s="180"/>
      <c r="CU319" s="180"/>
      <c r="CV319" s="180"/>
      <c r="CW319" s="180"/>
      <c r="CX319" s="180"/>
      <c r="CY319" s="180"/>
      <c r="CZ319" s="180"/>
      <c r="DA319" s="180"/>
      <c r="DB319" s="180"/>
    </row>
    <row r="320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  <c r="K320" s="180"/>
      <c r="L320" s="180"/>
      <c r="M320" s="180"/>
      <c r="N320" s="180"/>
      <c r="O320" s="180"/>
      <c r="P320" s="180"/>
      <c r="Q320" s="180"/>
      <c r="R320" s="180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180"/>
      <c r="BV320" s="180"/>
      <c r="BW320" s="180"/>
      <c r="BX320" s="180"/>
      <c r="BY320" s="180"/>
      <c r="BZ320" s="180"/>
      <c r="CA320" s="180"/>
      <c r="CB320" s="180"/>
      <c r="CC320" s="180"/>
      <c r="CD320" s="180"/>
      <c r="CE320" s="180"/>
      <c r="CF320" s="180"/>
      <c r="CG320" s="180"/>
      <c r="CH320" s="180"/>
      <c r="CI320" s="180"/>
      <c r="CJ320" s="180"/>
      <c r="CK320" s="180"/>
      <c r="CL320" s="180"/>
      <c r="CM320" s="180"/>
      <c r="CN320" s="180"/>
      <c r="CO320" s="180"/>
      <c r="CP320" s="180"/>
      <c r="CQ320" s="180"/>
      <c r="CR320" s="180"/>
      <c r="CS320" s="180"/>
      <c r="CT320" s="180"/>
      <c r="CU320" s="180"/>
      <c r="CV320" s="180"/>
      <c r="CW320" s="180"/>
      <c r="CX320" s="180"/>
      <c r="CY320" s="180"/>
      <c r="CZ320" s="180"/>
      <c r="DA320" s="180"/>
      <c r="DB320" s="180"/>
    </row>
    <row r="321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  <c r="CA321" s="180"/>
      <c r="CB321" s="180"/>
      <c r="CC321" s="180"/>
      <c r="CD321" s="180"/>
      <c r="CE321" s="180"/>
      <c r="CF321" s="180"/>
      <c r="CG321" s="180"/>
      <c r="CH321" s="180"/>
      <c r="CI321" s="180"/>
      <c r="CJ321" s="180"/>
      <c r="CK321" s="180"/>
      <c r="CL321" s="180"/>
      <c r="CM321" s="180"/>
      <c r="CN321" s="180"/>
      <c r="CO321" s="180"/>
      <c r="CP321" s="180"/>
      <c r="CQ321" s="180"/>
      <c r="CR321" s="180"/>
      <c r="CS321" s="180"/>
      <c r="CT321" s="180"/>
      <c r="CU321" s="180"/>
      <c r="CV321" s="180"/>
      <c r="CW321" s="180"/>
      <c r="CX321" s="180"/>
      <c r="CY321" s="180"/>
      <c r="CZ321" s="180"/>
      <c r="DA321" s="180"/>
      <c r="DB321" s="180"/>
    </row>
    <row r="322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  <c r="CA322" s="180"/>
      <c r="CB322" s="180"/>
      <c r="CC322" s="180"/>
      <c r="CD322" s="180"/>
      <c r="CE322" s="180"/>
      <c r="CF322" s="180"/>
      <c r="CG322" s="180"/>
      <c r="CH322" s="180"/>
      <c r="CI322" s="180"/>
      <c r="CJ322" s="180"/>
      <c r="CK322" s="180"/>
      <c r="CL322" s="180"/>
      <c r="CM322" s="180"/>
      <c r="CN322" s="180"/>
      <c r="CO322" s="180"/>
      <c r="CP322" s="180"/>
      <c r="CQ322" s="180"/>
      <c r="CR322" s="180"/>
      <c r="CS322" s="180"/>
      <c r="CT322" s="180"/>
      <c r="CU322" s="180"/>
      <c r="CV322" s="180"/>
      <c r="CW322" s="180"/>
      <c r="CX322" s="180"/>
      <c r="CY322" s="180"/>
      <c r="CZ322" s="180"/>
      <c r="DA322" s="180"/>
      <c r="DB322" s="180"/>
    </row>
    <row r="323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  <c r="K323" s="180"/>
      <c r="L323" s="180"/>
      <c r="M323" s="180"/>
      <c r="N323" s="180"/>
      <c r="O323" s="180"/>
      <c r="P323" s="180"/>
      <c r="Q323" s="180"/>
      <c r="R323" s="180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180"/>
      <c r="BP323" s="180"/>
      <c r="BQ323" s="180"/>
      <c r="BR323" s="180"/>
      <c r="BS323" s="180"/>
      <c r="BT323" s="180"/>
      <c r="BU323" s="180"/>
      <c r="BV323" s="180"/>
      <c r="BW323" s="180"/>
      <c r="BX323" s="180"/>
      <c r="BY323" s="180"/>
      <c r="BZ323" s="180"/>
      <c r="CA323" s="180"/>
      <c r="CB323" s="180"/>
      <c r="CC323" s="180"/>
      <c r="CD323" s="180"/>
      <c r="CE323" s="180"/>
      <c r="CF323" s="180"/>
      <c r="CG323" s="180"/>
      <c r="CH323" s="180"/>
      <c r="CI323" s="180"/>
      <c r="CJ323" s="180"/>
      <c r="CK323" s="180"/>
      <c r="CL323" s="180"/>
      <c r="CM323" s="180"/>
      <c r="CN323" s="180"/>
      <c r="CO323" s="180"/>
      <c r="CP323" s="180"/>
      <c r="CQ323" s="180"/>
      <c r="CR323" s="180"/>
      <c r="CS323" s="180"/>
      <c r="CT323" s="180"/>
      <c r="CU323" s="180"/>
      <c r="CV323" s="180"/>
      <c r="CW323" s="180"/>
      <c r="CX323" s="180"/>
      <c r="CY323" s="180"/>
      <c r="CZ323" s="180"/>
      <c r="DA323" s="180"/>
      <c r="DB323" s="180"/>
    </row>
    <row r="324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180"/>
      <c r="BV324" s="180"/>
      <c r="BW324" s="180"/>
      <c r="BX324" s="180"/>
      <c r="BY324" s="180"/>
      <c r="BZ324" s="180"/>
      <c r="CA324" s="180"/>
      <c r="CB324" s="180"/>
      <c r="CC324" s="180"/>
      <c r="CD324" s="180"/>
      <c r="CE324" s="180"/>
      <c r="CF324" s="180"/>
      <c r="CG324" s="180"/>
      <c r="CH324" s="180"/>
      <c r="CI324" s="180"/>
      <c r="CJ324" s="180"/>
      <c r="CK324" s="180"/>
      <c r="CL324" s="180"/>
      <c r="CM324" s="180"/>
      <c r="CN324" s="180"/>
      <c r="CO324" s="180"/>
      <c r="CP324" s="180"/>
      <c r="CQ324" s="180"/>
      <c r="CR324" s="180"/>
      <c r="CS324" s="180"/>
      <c r="CT324" s="180"/>
      <c r="CU324" s="180"/>
      <c r="CV324" s="180"/>
      <c r="CW324" s="180"/>
      <c r="CX324" s="180"/>
      <c r="CY324" s="180"/>
      <c r="CZ324" s="180"/>
      <c r="DA324" s="180"/>
      <c r="DB324" s="180"/>
    </row>
    <row r="325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180"/>
      <c r="BP325" s="180"/>
      <c r="BQ325" s="180"/>
      <c r="BR325" s="180"/>
      <c r="BS325" s="180"/>
      <c r="BT325" s="180"/>
      <c r="BU325" s="180"/>
      <c r="BV325" s="180"/>
      <c r="BW325" s="180"/>
      <c r="BX325" s="180"/>
      <c r="BY325" s="180"/>
      <c r="BZ325" s="180"/>
      <c r="CA325" s="180"/>
      <c r="CB325" s="180"/>
      <c r="CC325" s="180"/>
      <c r="CD325" s="180"/>
      <c r="CE325" s="180"/>
      <c r="CF325" s="180"/>
      <c r="CG325" s="180"/>
      <c r="CH325" s="180"/>
      <c r="CI325" s="180"/>
      <c r="CJ325" s="180"/>
      <c r="CK325" s="180"/>
      <c r="CL325" s="180"/>
      <c r="CM325" s="180"/>
      <c r="CN325" s="180"/>
      <c r="CO325" s="180"/>
      <c r="CP325" s="180"/>
      <c r="CQ325" s="180"/>
      <c r="CR325" s="180"/>
      <c r="CS325" s="180"/>
      <c r="CT325" s="180"/>
      <c r="CU325" s="180"/>
      <c r="CV325" s="180"/>
      <c r="CW325" s="180"/>
      <c r="CX325" s="180"/>
      <c r="CY325" s="180"/>
      <c r="CZ325" s="180"/>
      <c r="DA325" s="180"/>
      <c r="DB325" s="180"/>
    </row>
    <row r="326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0"/>
      <c r="BW326" s="180"/>
      <c r="BX326" s="180"/>
      <c r="BY326" s="180"/>
      <c r="BZ326" s="180"/>
      <c r="CA326" s="180"/>
      <c r="CB326" s="180"/>
      <c r="CC326" s="180"/>
      <c r="CD326" s="180"/>
      <c r="CE326" s="180"/>
      <c r="CF326" s="180"/>
      <c r="CG326" s="180"/>
      <c r="CH326" s="180"/>
      <c r="CI326" s="180"/>
      <c r="CJ326" s="180"/>
      <c r="CK326" s="180"/>
      <c r="CL326" s="180"/>
      <c r="CM326" s="180"/>
      <c r="CN326" s="180"/>
      <c r="CO326" s="180"/>
      <c r="CP326" s="180"/>
      <c r="CQ326" s="180"/>
      <c r="CR326" s="180"/>
      <c r="CS326" s="180"/>
      <c r="CT326" s="180"/>
      <c r="CU326" s="180"/>
      <c r="CV326" s="180"/>
      <c r="CW326" s="180"/>
      <c r="CX326" s="180"/>
      <c r="CY326" s="180"/>
      <c r="CZ326" s="180"/>
      <c r="DA326" s="180"/>
      <c r="DB326" s="180"/>
    </row>
    <row r="327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  <c r="BY327" s="180"/>
      <c r="BZ327" s="180"/>
      <c r="CA327" s="180"/>
      <c r="CB327" s="180"/>
      <c r="CC327" s="180"/>
      <c r="CD327" s="180"/>
      <c r="CE327" s="180"/>
      <c r="CF327" s="180"/>
      <c r="CG327" s="180"/>
      <c r="CH327" s="180"/>
      <c r="CI327" s="180"/>
      <c r="CJ327" s="180"/>
      <c r="CK327" s="180"/>
      <c r="CL327" s="180"/>
      <c r="CM327" s="180"/>
      <c r="CN327" s="180"/>
      <c r="CO327" s="180"/>
      <c r="CP327" s="180"/>
      <c r="CQ327" s="180"/>
      <c r="CR327" s="180"/>
      <c r="CS327" s="180"/>
      <c r="CT327" s="180"/>
      <c r="CU327" s="180"/>
      <c r="CV327" s="180"/>
      <c r="CW327" s="180"/>
      <c r="CX327" s="180"/>
      <c r="CY327" s="180"/>
      <c r="CZ327" s="180"/>
      <c r="DA327" s="180"/>
      <c r="DB327" s="180"/>
    </row>
    <row r="328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180"/>
      <c r="BV328" s="180"/>
      <c r="BW328" s="180"/>
      <c r="BX328" s="180"/>
      <c r="BY328" s="180"/>
      <c r="BZ328" s="180"/>
      <c r="CA328" s="180"/>
      <c r="CB328" s="180"/>
      <c r="CC328" s="180"/>
      <c r="CD328" s="180"/>
      <c r="CE328" s="180"/>
      <c r="CF328" s="180"/>
      <c r="CG328" s="180"/>
      <c r="CH328" s="180"/>
      <c r="CI328" s="180"/>
      <c r="CJ328" s="180"/>
      <c r="CK328" s="180"/>
      <c r="CL328" s="180"/>
      <c r="CM328" s="180"/>
      <c r="CN328" s="180"/>
      <c r="CO328" s="180"/>
      <c r="CP328" s="180"/>
      <c r="CQ328" s="180"/>
      <c r="CR328" s="180"/>
      <c r="CS328" s="180"/>
      <c r="CT328" s="180"/>
      <c r="CU328" s="180"/>
      <c r="CV328" s="180"/>
      <c r="CW328" s="180"/>
      <c r="CX328" s="180"/>
      <c r="CY328" s="180"/>
      <c r="CZ328" s="180"/>
      <c r="DA328" s="180"/>
      <c r="DB328" s="180"/>
    </row>
    <row r="329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180"/>
      <c r="BP329" s="180"/>
      <c r="BQ329" s="180"/>
      <c r="BR329" s="180"/>
      <c r="BS329" s="180"/>
      <c r="BT329" s="180"/>
      <c r="BU329" s="180"/>
      <c r="BV329" s="180"/>
      <c r="BW329" s="180"/>
      <c r="BX329" s="180"/>
      <c r="BY329" s="180"/>
      <c r="BZ329" s="180"/>
      <c r="CA329" s="180"/>
      <c r="CB329" s="180"/>
      <c r="CC329" s="180"/>
      <c r="CD329" s="180"/>
      <c r="CE329" s="180"/>
      <c r="CF329" s="180"/>
      <c r="CG329" s="180"/>
      <c r="CH329" s="180"/>
      <c r="CI329" s="180"/>
      <c r="CJ329" s="180"/>
      <c r="CK329" s="180"/>
      <c r="CL329" s="180"/>
      <c r="CM329" s="180"/>
      <c r="CN329" s="180"/>
      <c r="CO329" s="180"/>
      <c r="CP329" s="180"/>
      <c r="CQ329" s="180"/>
      <c r="CR329" s="180"/>
      <c r="CS329" s="180"/>
      <c r="CT329" s="180"/>
      <c r="CU329" s="180"/>
      <c r="CV329" s="180"/>
      <c r="CW329" s="180"/>
      <c r="CX329" s="180"/>
      <c r="CY329" s="180"/>
      <c r="CZ329" s="180"/>
      <c r="DA329" s="180"/>
      <c r="DB329" s="180"/>
    </row>
    <row r="330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180"/>
      <c r="BV330" s="180"/>
      <c r="BW330" s="180"/>
      <c r="BX330" s="180"/>
      <c r="BY330" s="180"/>
      <c r="BZ330" s="180"/>
      <c r="CA330" s="180"/>
      <c r="CB330" s="180"/>
      <c r="CC330" s="180"/>
      <c r="CD330" s="180"/>
      <c r="CE330" s="180"/>
      <c r="CF330" s="180"/>
      <c r="CG330" s="180"/>
      <c r="CH330" s="180"/>
      <c r="CI330" s="180"/>
      <c r="CJ330" s="180"/>
      <c r="CK330" s="180"/>
      <c r="CL330" s="180"/>
      <c r="CM330" s="180"/>
      <c r="CN330" s="180"/>
      <c r="CO330" s="180"/>
      <c r="CP330" s="180"/>
      <c r="CQ330" s="180"/>
      <c r="CR330" s="180"/>
      <c r="CS330" s="180"/>
      <c r="CT330" s="180"/>
      <c r="CU330" s="180"/>
      <c r="CV330" s="180"/>
      <c r="CW330" s="180"/>
      <c r="CX330" s="180"/>
      <c r="CY330" s="180"/>
      <c r="CZ330" s="180"/>
      <c r="DA330" s="180"/>
      <c r="DB330" s="180"/>
    </row>
    <row r="331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0"/>
      <c r="BW331" s="180"/>
      <c r="BX331" s="180"/>
      <c r="BY331" s="180"/>
      <c r="BZ331" s="180"/>
      <c r="CA331" s="180"/>
      <c r="CB331" s="180"/>
      <c r="CC331" s="180"/>
      <c r="CD331" s="180"/>
      <c r="CE331" s="180"/>
      <c r="CF331" s="180"/>
      <c r="CG331" s="180"/>
      <c r="CH331" s="180"/>
      <c r="CI331" s="180"/>
      <c r="CJ331" s="180"/>
      <c r="CK331" s="180"/>
      <c r="CL331" s="180"/>
      <c r="CM331" s="180"/>
      <c r="CN331" s="180"/>
      <c r="CO331" s="180"/>
      <c r="CP331" s="180"/>
      <c r="CQ331" s="180"/>
      <c r="CR331" s="180"/>
      <c r="CS331" s="180"/>
      <c r="CT331" s="180"/>
      <c r="CU331" s="180"/>
      <c r="CV331" s="180"/>
      <c r="CW331" s="180"/>
      <c r="CX331" s="180"/>
      <c r="CY331" s="180"/>
      <c r="CZ331" s="180"/>
      <c r="DA331" s="180"/>
      <c r="DB331" s="180"/>
    </row>
    <row r="332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  <c r="BY332" s="180"/>
      <c r="BZ332" s="180"/>
      <c r="CA332" s="180"/>
      <c r="CB332" s="180"/>
      <c r="CC332" s="180"/>
      <c r="CD332" s="180"/>
      <c r="CE332" s="180"/>
      <c r="CF332" s="180"/>
      <c r="CG332" s="180"/>
      <c r="CH332" s="180"/>
      <c r="CI332" s="180"/>
      <c r="CJ332" s="180"/>
      <c r="CK332" s="180"/>
      <c r="CL332" s="180"/>
      <c r="CM332" s="180"/>
      <c r="CN332" s="180"/>
      <c r="CO332" s="180"/>
      <c r="CP332" s="180"/>
      <c r="CQ332" s="180"/>
      <c r="CR332" s="180"/>
      <c r="CS332" s="180"/>
      <c r="CT332" s="180"/>
      <c r="CU332" s="180"/>
      <c r="CV332" s="180"/>
      <c r="CW332" s="180"/>
      <c r="CX332" s="180"/>
      <c r="CY332" s="180"/>
      <c r="CZ332" s="180"/>
      <c r="DA332" s="180"/>
      <c r="DB332" s="180"/>
    </row>
    <row r="333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180"/>
      <c r="BP333" s="180"/>
      <c r="BQ333" s="180"/>
      <c r="BR333" s="180"/>
      <c r="BS333" s="180"/>
      <c r="BT333" s="180"/>
      <c r="BU333" s="180"/>
      <c r="BV333" s="180"/>
      <c r="BW333" s="180"/>
      <c r="BX333" s="180"/>
      <c r="BY333" s="180"/>
      <c r="BZ333" s="180"/>
      <c r="CA333" s="180"/>
      <c r="CB333" s="180"/>
      <c r="CC333" s="180"/>
      <c r="CD333" s="180"/>
      <c r="CE333" s="180"/>
      <c r="CF333" s="180"/>
      <c r="CG333" s="180"/>
      <c r="CH333" s="180"/>
      <c r="CI333" s="180"/>
      <c r="CJ333" s="180"/>
      <c r="CK333" s="180"/>
      <c r="CL333" s="180"/>
      <c r="CM333" s="180"/>
      <c r="CN333" s="180"/>
      <c r="CO333" s="180"/>
      <c r="CP333" s="180"/>
      <c r="CQ333" s="180"/>
      <c r="CR333" s="180"/>
      <c r="CS333" s="180"/>
      <c r="CT333" s="180"/>
      <c r="CU333" s="180"/>
      <c r="CV333" s="180"/>
      <c r="CW333" s="180"/>
      <c r="CX333" s="180"/>
      <c r="CY333" s="180"/>
      <c r="CZ333" s="180"/>
      <c r="DA333" s="180"/>
      <c r="DB333" s="180"/>
    </row>
    <row r="334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0"/>
      <c r="BW334" s="180"/>
      <c r="BX334" s="180"/>
      <c r="BY334" s="180"/>
      <c r="BZ334" s="180"/>
      <c r="CA334" s="180"/>
      <c r="CB334" s="180"/>
      <c r="CC334" s="180"/>
      <c r="CD334" s="180"/>
      <c r="CE334" s="180"/>
      <c r="CF334" s="180"/>
      <c r="CG334" s="180"/>
      <c r="CH334" s="180"/>
      <c r="CI334" s="180"/>
      <c r="CJ334" s="180"/>
      <c r="CK334" s="180"/>
      <c r="CL334" s="180"/>
      <c r="CM334" s="180"/>
      <c r="CN334" s="180"/>
      <c r="CO334" s="180"/>
      <c r="CP334" s="180"/>
      <c r="CQ334" s="180"/>
      <c r="CR334" s="180"/>
      <c r="CS334" s="180"/>
      <c r="CT334" s="180"/>
      <c r="CU334" s="180"/>
      <c r="CV334" s="180"/>
      <c r="CW334" s="180"/>
      <c r="CX334" s="180"/>
      <c r="CY334" s="180"/>
      <c r="CZ334" s="180"/>
      <c r="DA334" s="180"/>
      <c r="DB334" s="180"/>
    </row>
    <row r="335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0"/>
      <c r="BW335" s="180"/>
      <c r="BX335" s="180"/>
      <c r="BY335" s="180"/>
      <c r="BZ335" s="180"/>
      <c r="CA335" s="180"/>
      <c r="CB335" s="180"/>
      <c r="CC335" s="180"/>
      <c r="CD335" s="180"/>
      <c r="CE335" s="180"/>
      <c r="CF335" s="180"/>
      <c r="CG335" s="180"/>
      <c r="CH335" s="180"/>
      <c r="CI335" s="180"/>
      <c r="CJ335" s="180"/>
      <c r="CK335" s="180"/>
      <c r="CL335" s="180"/>
      <c r="CM335" s="180"/>
      <c r="CN335" s="180"/>
      <c r="CO335" s="180"/>
      <c r="CP335" s="180"/>
      <c r="CQ335" s="180"/>
      <c r="CR335" s="180"/>
      <c r="CS335" s="180"/>
      <c r="CT335" s="180"/>
      <c r="CU335" s="180"/>
      <c r="CV335" s="180"/>
      <c r="CW335" s="180"/>
      <c r="CX335" s="180"/>
      <c r="CY335" s="180"/>
      <c r="CZ335" s="180"/>
      <c r="DA335" s="180"/>
      <c r="DB335" s="180"/>
    </row>
    <row r="336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180"/>
      <c r="BV336" s="180"/>
      <c r="BW336" s="180"/>
      <c r="BX336" s="180"/>
      <c r="BY336" s="180"/>
      <c r="BZ336" s="180"/>
      <c r="CA336" s="180"/>
      <c r="CB336" s="180"/>
      <c r="CC336" s="180"/>
      <c r="CD336" s="180"/>
      <c r="CE336" s="180"/>
      <c r="CF336" s="180"/>
      <c r="CG336" s="180"/>
      <c r="CH336" s="180"/>
      <c r="CI336" s="180"/>
      <c r="CJ336" s="180"/>
      <c r="CK336" s="180"/>
      <c r="CL336" s="180"/>
      <c r="CM336" s="180"/>
      <c r="CN336" s="180"/>
      <c r="CO336" s="180"/>
      <c r="CP336" s="180"/>
      <c r="CQ336" s="180"/>
      <c r="CR336" s="180"/>
      <c r="CS336" s="180"/>
      <c r="CT336" s="180"/>
      <c r="CU336" s="180"/>
      <c r="CV336" s="180"/>
      <c r="CW336" s="180"/>
      <c r="CX336" s="180"/>
      <c r="CY336" s="180"/>
      <c r="CZ336" s="180"/>
      <c r="DA336" s="180"/>
      <c r="DB336" s="180"/>
    </row>
    <row r="337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180"/>
      <c r="BP337" s="180"/>
      <c r="BQ337" s="180"/>
      <c r="BR337" s="180"/>
      <c r="BS337" s="180"/>
      <c r="BT337" s="180"/>
      <c r="BU337" s="180"/>
      <c r="BV337" s="180"/>
      <c r="BW337" s="180"/>
      <c r="BX337" s="180"/>
      <c r="BY337" s="180"/>
      <c r="BZ337" s="180"/>
      <c r="CA337" s="180"/>
      <c r="CB337" s="180"/>
      <c r="CC337" s="180"/>
      <c r="CD337" s="180"/>
      <c r="CE337" s="180"/>
      <c r="CF337" s="180"/>
      <c r="CG337" s="180"/>
      <c r="CH337" s="180"/>
      <c r="CI337" s="180"/>
      <c r="CJ337" s="180"/>
      <c r="CK337" s="180"/>
      <c r="CL337" s="180"/>
      <c r="CM337" s="180"/>
      <c r="CN337" s="180"/>
      <c r="CO337" s="180"/>
      <c r="CP337" s="180"/>
      <c r="CQ337" s="180"/>
      <c r="CR337" s="180"/>
      <c r="CS337" s="180"/>
      <c r="CT337" s="180"/>
      <c r="CU337" s="180"/>
      <c r="CV337" s="180"/>
      <c r="CW337" s="180"/>
      <c r="CX337" s="180"/>
      <c r="CY337" s="180"/>
      <c r="CZ337" s="180"/>
      <c r="DA337" s="180"/>
      <c r="DB337" s="180"/>
    </row>
    <row r="338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  <c r="BY338" s="180"/>
      <c r="BZ338" s="180"/>
      <c r="CA338" s="180"/>
      <c r="CB338" s="180"/>
      <c r="CC338" s="180"/>
      <c r="CD338" s="180"/>
      <c r="CE338" s="180"/>
      <c r="CF338" s="180"/>
      <c r="CG338" s="180"/>
      <c r="CH338" s="180"/>
      <c r="CI338" s="180"/>
      <c r="CJ338" s="180"/>
      <c r="CK338" s="180"/>
      <c r="CL338" s="180"/>
      <c r="CM338" s="180"/>
      <c r="CN338" s="180"/>
      <c r="CO338" s="180"/>
      <c r="CP338" s="180"/>
      <c r="CQ338" s="180"/>
      <c r="CR338" s="180"/>
      <c r="CS338" s="180"/>
      <c r="CT338" s="180"/>
      <c r="CU338" s="180"/>
      <c r="CV338" s="180"/>
      <c r="CW338" s="180"/>
      <c r="CX338" s="180"/>
      <c r="CY338" s="180"/>
      <c r="CZ338" s="180"/>
      <c r="DA338" s="180"/>
      <c r="DB338" s="180"/>
    </row>
    <row r="339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  <c r="BY339" s="180"/>
      <c r="BZ339" s="180"/>
      <c r="CA339" s="180"/>
      <c r="CB339" s="180"/>
      <c r="CC339" s="180"/>
      <c r="CD339" s="180"/>
      <c r="CE339" s="180"/>
      <c r="CF339" s="180"/>
      <c r="CG339" s="180"/>
      <c r="CH339" s="180"/>
      <c r="CI339" s="180"/>
      <c r="CJ339" s="180"/>
      <c r="CK339" s="180"/>
      <c r="CL339" s="180"/>
      <c r="CM339" s="180"/>
      <c r="CN339" s="180"/>
      <c r="CO339" s="180"/>
      <c r="CP339" s="180"/>
      <c r="CQ339" s="180"/>
      <c r="CR339" s="180"/>
      <c r="CS339" s="180"/>
      <c r="CT339" s="180"/>
      <c r="CU339" s="180"/>
      <c r="CV339" s="180"/>
      <c r="CW339" s="180"/>
      <c r="CX339" s="180"/>
      <c r="CY339" s="180"/>
      <c r="CZ339" s="180"/>
      <c r="DA339" s="180"/>
      <c r="DB339" s="180"/>
    </row>
    <row r="340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  <c r="BY340" s="180"/>
      <c r="BZ340" s="180"/>
      <c r="CA340" s="180"/>
      <c r="CB340" s="180"/>
      <c r="CC340" s="180"/>
      <c r="CD340" s="180"/>
      <c r="CE340" s="180"/>
      <c r="CF340" s="180"/>
      <c r="CG340" s="180"/>
      <c r="CH340" s="180"/>
      <c r="CI340" s="180"/>
      <c r="CJ340" s="180"/>
      <c r="CK340" s="180"/>
      <c r="CL340" s="180"/>
      <c r="CM340" s="180"/>
      <c r="CN340" s="180"/>
      <c r="CO340" s="180"/>
      <c r="CP340" s="180"/>
      <c r="CQ340" s="180"/>
      <c r="CR340" s="180"/>
      <c r="CS340" s="180"/>
      <c r="CT340" s="180"/>
      <c r="CU340" s="180"/>
      <c r="CV340" s="180"/>
      <c r="CW340" s="180"/>
      <c r="CX340" s="180"/>
      <c r="CY340" s="180"/>
      <c r="CZ340" s="180"/>
      <c r="DA340" s="180"/>
      <c r="DB340" s="180"/>
    </row>
    <row r="341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  <c r="BY341" s="180"/>
      <c r="BZ341" s="180"/>
      <c r="CA341" s="180"/>
      <c r="CB341" s="180"/>
      <c r="CC341" s="180"/>
      <c r="CD341" s="180"/>
      <c r="CE341" s="180"/>
      <c r="CF341" s="180"/>
      <c r="CG341" s="180"/>
      <c r="CH341" s="180"/>
      <c r="CI341" s="180"/>
      <c r="CJ341" s="180"/>
      <c r="CK341" s="180"/>
      <c r="CL341" s="180"/>
      <c r="CM341" s="180"/>
      <c r="CN341" s="180"/>
      <c r="CO341" s="180"/>
      <c r="CP341" s="180"/>
      <c r="CQ341" s="180"/>
      <c r="CR341" s="180"/>
      <c r="CS341" s="180"/>
      <c r="CT341" s="180"/>
      <c r="CU341" s="180"/>
      <c r="CV341" s="180"/>
      <c r="CW341" s="180"/>
      <c r="CX341" s="180"/>
      <c r="CY341" s="180"/>
      <c r="CZ341" s="180"/>
      <c r="DA341" s="180"/>
      <c r="DB341" s="180"/>
    </row>
    <row r="342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  <c r="BY342" s="180"/>
      <c r="BZ342" s="180"/>
      <c r="CA342" s="180"/>
      <c r="CB342" s="180"/>
      <c r="CC342" s="180"/>
      <c r="CD342" s="180"/>
      <c r="CE342" s="180"/>
      <c r="CF342" s="180"/>
      <c r="CG342" s="180"/>
      <c r="CH342" s="180"/>
      <c r="CI342" s="180"/>
      <c r="CJ342" s="180"/>
      <c r="CK342" s="180"/>
      <c r="CL342" s="180"/>
      <c r="CM342" s="180"/>
      <c r="CN342" s="180"/>
      <c r="CO342" s="180"/>
      <c r="CP342" s="180"/>
      <c r="CQ342" s="180"/>
      <c r="CR342" s="180"/>
      <c r="CS342" s="180"/>
      <c r="CT342" s="180"/>
      <c r="CU342" s="180"/>
      <c r="CV342" s="180"/>
      <c r="CW342" s="180"/>
      <c r="CX342" s="180"/>
      <c r="CY342" s="180"/>
      <c r="CZ342" s="180"/>
      <c r="DA342" s="180"/>
      <c r="DB342" s="180"/>
    </row>
    <row r="343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  <c r="BY343" s="180"/>
      <c r="BZ343" s="180"/>
      <c r="CA343" s="180"/>
      <c r="CB343" s="180"/>
      <c r="CC343" s="180"/>
      <c r="CD343" s="180"/>
      <c r="CE343" s="180"/>
      <c r="CF343" s="180"/>
      <c r="CG343" s="180"/>
      <c r="CH343" s="180"/>
      <c r="CI343" s="180"/>
      <c r="CJ343" s="180"/>
      <c r="CK343" s="180"/>
      <c r="CL343" s="180"/>
      <c r="CM343" s="180"/>
      <c r="CN343" s="180"/>
      <c r="CO343" s="180"/>
      <c r="CP343" s="180"/>
      <c r="CQ343" s="180"/>
      <c r="CR343" s="180"/>
      <c r="CS343" s="180"/>
      <c r="CT343" s="180"/>
      <c r="CU343" s="180"/>
      <c r="CV343" s="180"/>
      <c r="CW343" s="180"/>
      <c r="CX343" s="180"/>
      <c r="CY343" s="180"/>
      <c r="CZ343" s="180"/>
      <c r="DA343" s="180"/>
      <c r="DB343" s="180"/>
    </row>
    <row r="344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  <c r="BY344" s="180"/>
      <c r="BZ344" s="180"/>
      <c r="CA344" s="180"/>
      <c r="CB344" s="180"/>
      <c r="CC344" s="180"/>
      <c r="CD344" s="180"/>
      <c r="CE344" s="180"/>
      <c r="CF344" s="180"/>
      <c r="CG344" s="180"/>
      <c r="CH344" s="180"/>
      <c r="CI344" s="180"/>
      <c r="CJ344" s="180"/>
      <c r="CK344" s="180"/>
      <c r="CL344" s="180"/>
      <c r="CM344" s="180"/>
      <c r="CN344" s="180"/>
      <c r="CO344" s="180"/>
      <c r="CP344" s="180"/>
      <c r="CQ344" s="180"/>
      <c r="CR344" s="180"/>
      <c r="CS344" s="180"/>
      <c r="CT344" s="180"/>
      <c r="CU344" s="180"/>
      <c r="CV344" s="180"/>
      <c r="CW344" s="180"/>
      <c r="CX344" s="180"/>
      <c r="CY344" s="180"/>
      <c r="CZ344" s="180"/>
      <c r="DA344" s="180"/>
      <c r="DB344" s="180"/>
    </row>
    <row r="345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  <c r="BY345" s="180"/>
      <c r="BZ345" s="180"/>
      <c r="CA345" s="180"/>
      <c r="CB345" s="180"/>
      <c r="CC345" s="180"/>
      <c r="CD345" s="180"/>
      <c r="CE345" s="180"/>
      <c r="CF345" s="180"/>
      <c r="CG345" s="180"/>
      <c r="CH345" s="180"/>
      <c r="CI345" s="180"/>
      <c r="CJ345" s="180"/>
      <c r="CK345" s="180"/>
      <c r="CL345" s="180"/>
      <c r="CM345" s="180"/>
      <c r="CN345" s="180"/>
      <c r="CO345" s="180"/>
      <c r="CP345" s="180"/>
      <c r="CQ345" s="180"/>
      <c r="CR345" s="180"/>
      <c r="CS345" s="180"/>
      <c r="CT345" s="180"/>
      <c r="CU345" s="180"/>
      <c r="CV345" s="180"/>
      <c r="CW345" s="180"/>
      <c r="CX345" s="180"/>
      <c r="CY345" s="180"/>
      <c r="CZ345" s="180"/>
      <c r="DA345" s="180"/>
      <c r="DB345" s="180"/>
    </row>
    <row r="346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0"/>
      <c r="M346" s="180"/>
      <c r="N346" s="180"/>
      <c r="O346" s="180"/>
      <c r="P346" s="180"/>
      <c r="Q346" s="180"/>
      <c r="R346" s="180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  <c r="AG346" s="180"/>
      <c r="AH346" s="180"/>
      <c r="AI346" s="180"/>
      <c r="AJ346" s="180"/>
      <c r="AK346" s="180"/>
      <c r="AL346" s="180"/>
      <c r="AM346" s="180"/>
      <c r="AN346" s="180"/>
      <c r="AO346" s="180"/>
      <c r="AP346" s="180"/>
      <c r="AQ346" s="180"/>
      <c r="AR346" s="180"/>
      <c r="AS346" s="180"/>
      <c r="AT346" s="180"/>
      <c r="AU346" s="180"/>
      <c r="AV346" s="180"/>
      <c r="AW346" s="180"/>
      <c r="AX346" s="180"/>
      <c r="AY346" s="180"/>
      <c r="AZ346" s="180"/>
      <c r="BA346" s="180"/>
      <c r="BB346" s="180"/>
      <c r="BC346" s="180"/>
      <c r="BD346" s="180"/>
      <c r="BE346" s="180"/>
      <c r="BF346" s="180"/>
      <c r="BG346" s="180"/>
      <c r="BH346" s="180"/>
      <c r="BI346" s="180"/>
      <c r="BJ346" s="180"/>
      <c r="BK346" s="180"/>
      <c r="BL346" s="180"/>
      <c r="BM346" s="180"/>
      <c r="BN346" s="180"/>
      <c r="BO346" s="180"/>
      <c r="BP346" s="180"/>
      <c r="BQ346" s="180"/>
      <c r="BR346" s="180"/>
      <c r="BS346" s="180"/>
      <c r="BT346" s="180"/>
      <c r="BU346" s="180"/>
      <c r="BV346" s="180"/>
      <c r="BW346" s="180"/>
      <c r="BX346" s="180"/>
      <c r="BY346" s="180"/>
      <c r="BZ346" s="180"/>
      <c r="CA346" s="180"/>
      <c r="CB346" s="180"/>
      <c r="CC346" s="180"/>
      <c r="CD346" s="180"/>
      <c r="CE346" s="180"/>
      <c r="CF346" s="180"/>
      <c r="CG346" s="180"/>
      <c r="CH346" s="180"/>
      <c r="CI346" s="180"/>
      <c r="CJ346" s="180"/>
      <c r="CK346" s="180"/>
      <c r="CL346" s="180"/>
      <c r="CM346" s="180"/>
      <c r="CN346" s="180"/>
      <c r="CO346" s="180"/>
      <c r="CP346" s="180"/>
      <c r="CQ346" s="180"/>
      <c r="CR346" s="180"/>
      <c r="CS346" s="180"/>
      <c r="CT346" s="180"/>
      <c r="CU346" s="180"/>
      <c r="CV346" s="180"/>
      <c r="CW346" s="180"/>
      <c r="CX346" s="180"/>
      <c r="CY346" s="180"/>
      <c r="CZ346" s="180"/>
      <c r="DA346" s="180"/>
      <c r="DB346" s="180"/>
    </row>
    <row r="347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  <c r="BY347" s="180"/>
      <c r="BZ347" s="180"/>
      <c r="CA347" s="180"/>
      <c r="CB347" s="180"/>
      <c r="CC347" s="180"/>
      <c r="CD347" s="180"/>
      <c r="CE347" s="180"/>
      <c r="CF347" s="180"/>
      <c r="CG347" s="180"/>
      <c r="CH347" s="180"/>
      <c r="CI347" s="180"/>
      <c r="CJ347" s="180"/>
      <c r="CK347" s="180"/>
      <c r="CL347" s="180"/>
      <c r="CM347" s="180"/>
      <c r="CN347" s="180"/>
      <c r="CO347" s="180"/>
      <c r="CP347" s="180"/>
      <c r="CQ347" s="180"/>
      <c r="CR347" s="180"/>
      <c r="CS347" s="180"/>
      <c r="CT347" s="180"/>
      <c r="CU347" s="180"/>
      <c r="CV347" s="180"/>
      <c r="CW347" s="180"/>
      <c r="CX347" s="180"/>
      <c r="CY347" s="180"/>
      <c r="CZ347" s="180"/>
      <c r="DA347" s="180"/>
      <c r="DB347" s="180"/>
    </row>
    <row r="348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0"/>
      <c r="AL348" s="180"/>
      <c r="AM348" s="180"/>
      <c r="AN348" s="180"/>
      <c r="AO348" s="180"/>
      <c r="AP348" s="180"/>
      <c r="AQ348" s="180"/>
      <c r="AR348" s="180"/>
      <c r="AS348" s="180"/>
      <c r="AT348" s="180"/>
      <c r="AU348" s="180"/>
      <c r="AV348" s="180"/>
      <c r="AW348" s="180"/>
      <c r="AX348" s="180"/>
      <c r="AY348" s="180"/>
      <c r="AZ348" s="180"/>
      <c r="BA348" s="180"/>
      <c r="BB348" s="180"/>
      <c r="BC348" s="180"/>
      <c r="BD348" s="180"/>
      <c r="BE348" s="180"/>
      <c r="BF348" s="180"/>
      <c r="BG348" s="180"/>
      <c r="BH348" s="180"/>
      <c r="BI348" s="180"/>
      <c r="BJ348" s="180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180"/>
      <c r="BV348" s="180"/>
      <c r="BW348" s="180"/>
      <c r="BX348" s="180"/>
      <c r="BY348" s="180"/>
      <c r="BZ348" s="180"/>
      <c r="CA348" s="180"/>
      <c r="CB348" s="180"/>
      <c r="CC348" s="180"/>
      <c r="CD348" s="180"/>
      <c r="CE348" s="180"/>
      <c r="CF348" s="180"/>
      <c r="CG348" s="180"/>
      <c r="CH348" s="180"/>
      <c r="CI348" s="180"/>
      <c r="CJ348" s="180"/>
      <c r="CK348" s="180"/>
      <c r="CL348" s="180"/>
      <c r="CM348" s="180"/>
      <c r="CN348" s="180"/>
      <c r="CO348" s="180"/>
      <c r="CP348" s="180"/>
      <c r="CQ348" s="180"/>
      <c r="CR348" s="180"/>
      <c r="CS348" s="180"/>
      <c r="CT348" s="180"/>
      <c r="CU348" s="180"/>
      <c r="CV348" s="180"/>
      <c r="CW348" s="180"/>
      <c r="CX348" s="180"/>
      <c r="CY348" s="180"/>
      <c r="CZ348" s="180"/>
      <c r="DA348" s="180"/>
      <c r="DB348" s="180"/>
    </row>
    <row r="349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0"/>
      <c r="AL349" s="180"/>
      <c r="AM349" s="180"/>
      <c r="AN349" s="180"/>
      <c r="AO349" s="180"/>
      <c r="AP349" s="180"/>
      <c r="AQ349" s="180"/>
      <c r="AR349" s="180"/>
      <c r="AS349" s="180"/>
      <c r="AT349" s="180"/>
      <c r="AU349" s="180"/>
      <c r="AV349" s="180"/>
      <c r="AW349" s="180"/>
      <c r="AX349" s="180"/>
      <c r="AY349" s="180"/>
      <c r="AZ349" s="180"/>
      <c r="BA349" s="180"/>
      <c r="BB349" s="180"/>
      <c r="BC349" s="180"/>
      <c r="BD349" s="180"/>
      <c r="BE349" s="180"/>
      <c r="BF349" s="180"/>
      <c r="BG349" s="180"/>
      <c r="BH349" s="180"/>
      <c r="BI349" s="180"/>
      <c r="BJ349" s="180"/>
      <c r="BK349" s="180"/>
      <c r="BL349" s="180"/>
      <c r="BM349" s="180"/>
      <c r="BN349" s="180"/>
      <c r="BO349" s="180"/>
      <c r="BP349" s="180"/>
      <c r="BQ349" s="180"/>
      <c r="BR349" s="180"/>
      <c r="BS349" s="180"/>
      <c r="BT349" s="180"/>
      <c r="BU349" s="180"/>
      <c r="BV349" s="180"/>
      <c r="BW349" s="180"/>
      <c r="BX349" s="180"/>
      <c r="BY349" s="180"/>
      <c r="BZ349" s="180"/>
      <c r="CA349" s="180"/>
      <c r="CB349" s="180"/>
      <c r="CC349" s="180"/>
      <c r="CD349" s="180"/>
      <c r="CE349" s="180"/>
      <c r="CF349" s="180"/>
      <c r="CG349" s="180"/>
      <c r="CH349" s="180"/>
      <c r="CI349" s="180"/>
      <c r="CJ349" s="180"/>
      <c r="CK349" s="180"/>
      <c r="CL349" s="180"/>
      <c r="CM349" s="180"/>
      <c r="CN349" s="180"/>
      <c r="CO349" s="180"/>
      <c r="CP349" s="180"/>
      <c r="CQ349" s="180"/>
      <c r="CR349" s="180"/>
      <c r="CS349" s="180"/>
      <c r="CT349" s="180"/>
      <c r="CU349" s="180"/>
      <c r="CV349" s="180"/>
      <c r="CW349" s="180"/>
      <c r="CX349" s="180"/>
      <c r="CY349" s="180"/>
      <c r="CZ349" s="180"/>
      <c r="DA349" s="180"/>
      <c r="DB349" s="180"/>
    </row>
    <row r="350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0"/>
      <c r="AL350" s="180"/>
      <c r="AM350" s="180"/>
      <c r="AN350" s="180"/>
      <c r="AO350" s="180"/>
      <c r="AP350" s="180"/>
      <c r="AQ350" s="180"/>
      <c r="AR350" s="180"/>
      <c r="AS350" s="180"/>
      <c r="AT350" s="180"/>
      <c r="AU350" s="180"/>
      <c r="AV350" s="180"/>
      <c r="AW350" s="180"/>
      <c r="AX350" s="180"/>
      <c r="AY350" s="180"/>
      <c r="AZ350" s="180"/>
      <c r="BA350" s="180"/>
      <c r="BB350" s="180"/>
      <c r="BC350" s="180"/>
      <c r="BD350" s="180"/>
      <c r="BE350" s="180"/>
      <c r="BF350" s="180"/>
      <c r="BG350" s="180"/>
      <c r="BH350" s="180"/>
      <c r="BI350" s="180"/>
      <c r="BJ350" s="180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180"/>
      <c r="BV350" s="180"/>
      <c r="BW350" s="180"/>
      <c r="BX350" s="180"/>
      <c r="BY350" s="180"/>
      <c r="BZ350" s="180"/>
      <c r="CA350" s="180"/>
      <c r="CB350" s="180"/>
      <c r="CC350" s="180"/>
      <c r="CD350" s="180"/>
      <c r="CE350" s="180"/>
      <c r="CF350" s="180"/>
      <c r="CG350" s="180"/>
      <c r="CH350" s="180"/>
      <c r="CI350" s="180"/>
      <c r="CJ350" s="180"/>
      <c r="CK350" s="180"/>
      <c r="CL350" s="180"/>
      <c r="CM350" s="180"/>
      <c r="CN350" s="180"/>
      <c r="CO350" s="180"/>
      <c r="CP350" s="180"/>
      <c r="CQ350" s="180"/>
      <c r="CR350" s="180"/>
      <c r="CS350" s="180"/>
      <c r="CT350" s="180"/>
      <c r="CU350" s="180"/>
      <c r="CV350" s="180"/>
      <c r="CW350" s="180"/>
      <c r="CX350" s="180"/>
      <c r="CY350" s="180"/>
      <c r="CZ350" s="180"/>
      <c r="DA350" s="180"/>
      <c r="DB350" s="180"/>
    </row>
    <row r="351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  <c r="AG351" s="180"/>
      <c r="AH351" s="180"/>
      <c r="AI351" s="180"/>
      <c r="AJ351" s="180"/>
      <c r="AK351" s="180"/>
      <c r="AL351" s="180"/>
      <c r="AM351" s="180"/>
      <c r="AN351" s="180"/>
      <c r="AO351" s="180"/>
      <c r="AP351" s="180"/>
      <c r="AQ351" s="180"/>
      <c r="AR351" s="180"/>
      <c r="AS351" s="180"/>
      <c r="AT351" s="180"/>
      <c r="AU351" s="180"/>
      <c r="AV351" s="180"/>
      <c r="AW351" s="180"/>
      <c r="AX351" s="180"/>
      <c r="AY351" s="180"/>
      <c r="AZ351" s="180"/>
      <c r="BA351" s="180"/>
      <c r="BB351" s="180"/>
      <c r="BC351" s="180"/>
      <c r="BD351" s="180"/>
      <c r="BE351" s="180"/>
      <c r="BF351" s="180"/>
      <c r="BG351" s="180"/>
      <c r="BH351" s="180"/>
      <c r="BI351" s="180"/>
      <c r="BJ351" s="180"/>
      <c r="BK351" s="180"/>
      <c r="BL351" s="180"/>
      <c r="BM351" s="180"/>
      <c r="BN351" s="180"/>
      <c r="BO351" s="180"/>
      <c r="BP351" s="180"/>
      <c r="BQ351" s="180"/>
      <c r="BR351" s="180"/>
      <c r="BS351" s="180"/>
      <c r="BT351" s="180"/>
      <c r="BU351" s="180"/>
      <c r="BV351" s="180"/>
      <c r="BW351" s="180"/>
      <c r="BX351" s="180"/>
      <c r="BY351" s="180"/>
      <c r="BZ351" s="180"/>
      <c r="CA351" s="180"/>
      <c r="CB351" s="180"/>
      <c r="CC351" s="180"/>
      <c r="CD351" s="180"/>
      <c r="CE351" s="180"/>
      <c r="CF351" s="180"/>
      <c r="CG351" s="180"/>
      <c r="CH351" s="180"/>
      <c r="CI351" s="180"/>
      <c r="CJ351" s="180"/>
      <c r="CK351" s="180"/>
      <c r="CL351" s="180"/>
      <c r="CM351" s="180"/>
      <c r="CN351" s="180"/>
      <c r="CO351" s="180"/>
      <c r="CP351" s="180"/>
      <c r="CQ351" s="180"/>
      <c r="CR351" s="180"/>
      <c r="CS351" s="180"/>
      <c r="CT351" s="180"/>
      <c r="CU351" s="180"/>
      <c r="CV351" s="180"/>
      <c r="CW351" s="180"/>
      <c r="CX351" s="180"/>
      <c r="CY351" s="180"/>
      <c r="CZ351" s="180"/>
      <c r="DA351" s="180"/>
      <c r="DB351" s="180"/>
    </row>
    <row r="352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0"/>
      <c r="AL352" s="180"/>
      <c r="AM352" s="180"/>
      <c r="AN352" s="180"/>
      <c r="AO352" s="180"/>
      <c r="AP352" s="180"/>
      <c r="AQ352" s="180"/>
      <c r="AR352" s="180"/>
      <c r="AS352" s="180"/>
      <c r="AT352" s="180"/>
      <c r="AU352" s="180"/>
      <c r="AV352" s="180"/>
      <c r="AW352" s="180"/>
      <c r="AX352" s="180"/>
      <c r="AY352" s="180"/>
      <c r="AZ352" s="180"/>
      <c r="BA352" s="180"/>
      <c r="BB352" s="180"/>
      <c r="BC352" s="180"/>
      <c r="BD352" s="180"/>
      <c r="BE352" s="180"/>
      <c r="BF352" s="180"/>
      <c r="BG352" s="180"/>
      <c r="BH352" s="180"/>
      <c r="BI352" s="180"/>
      <c r="BJ352" s="180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180"/>
      <c r="BV352" s="180"/>
      <c r="BW352" s="180"/>
      <c r="BX352" s="180"/>
      <c r="BY352" s="180"/>
      <c r="BZ352" s="180"/>
      <c r="CA352" s="180"/>
      <c r="CB352" s="180"/>
      <c r="CC352" s="180"/>
      <c r="CD352" s="180"/>
      <c r="CE352" s="180"/>
      <c r="CF352" s="180"/>
      <c r="CG352" s="180"/>
      <c r="CH352" s="180"/>
      <c r="CI352" s="180"/>
      <c r="CJ352" s="180"/>
      <c r="CK352" s="180"/>
      <c r="CL352" s="180"/>
      <c r="CM352" s="180"/>
      <c r="CN352" s="180"/>
      <c r="CO352" s="180"/>
      <c r="CP352" s="180"/>
      <c r="CQ352" s="180"/>
      <c r="CR352" s="180"/>
      <c r="CS352" s="180"/>
      <c r="CT352" s="180"/>
      <c r="CU352" s="180"/>
      <c r="CV352" s="180"/>
      <c r="CW352" s="180"/>
      <c r="CX352" s="180"/>
      <c r="CY352" s="180"/>
      <c r="CZ352" s="180"/>
      <c r="DA352" s="180"/>
      <c r="DB352" s="180"/>
    </row>
    <row r="353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180"/>
      <c r="AP353" s="180"/>
      <c r="AQ353" s="180"/>
      <c r="AR353" s="180"/>
      <c r="AS353" s="180"/>
      <c r="AT353" s="180"/>
      <c r="AU353" s="180"/>
      <c r="AV353" s="180"/>
      <c r="AW353" s="180"/>
      <c r="AX353" s="180"/>
      <c r="AY353" s="180"/>
      <c r="AZ353" s="180"/>
      <c r="BA353" s="180"/>
      <c r="BB353" s="180"/>
      <c r="BC353" s="180"/>
      <c r="BD353" s="180"/>
      <c r="BE353" s="180"/>
      <c r="BF353" s="180"/>
      <c r="BG353" s="180"/>
      <c r="BH353" s="180"/>
      <c r="BI353" s="180"/>
      <c r="BJ353" s="180"/>
      <c r="BK353" s="180"/>
      <c r="BL353" s="180"/>
      <c r="BM353" s="180"/>
      <c r="BN353" s="180"/>
      <c r="BO353" s="180"/>
      <c r="BP353" s="180"/>
      <c r="BQ353" s="180"/>
      <c r="BR353" s="180"/>
      <c r="BS353" s="180"/>
      <c r="BT353" s="180"/>
      <c r="BU353" s="180"/>
      <c r="BV353" s="180"/>
      <c r="BW353" s="180"/>
      <c r="BX353" s="180"/>
      <c r="BY353" s="180"/>
      <c r="BZ353" s="180"/>
      <c r="CA353" s="180"/>
      <c r="CB353" s="180"/>
      <c r="CC353" s="180"/>
      <c r="CD353" s="180"/>
      <c r="CE353" s="180"/>
      <c r="CF353" s="180"/>
      <c r="CG353" s="180"/>
      <c r="CH353" s="180"/>
      <c r="CI353" s="180"/>
      <c r="CJ353" s="180"/>
      <c r="CK353" s="180"/>
      <c r="CL353" s="180"/>
      <c r="CM353" s="180"/>
      <c r="CN353" s="180"/>
      <c r="CO353" s="180"/>
      <c r="CP353" s="180"/>
      <c r="CQ353" s="180"/>
      <c r="CR353" s="180"/>
      <c r="CS353" s="180"/>
      <c r="CT353" s="180"/>
      <c r="CU353" s="180"/>
      <c r="CV353" s="180"/>
      <c r="CW353" s="180"/>
      <c r="CX353" s="180"/>
      <c r="CY353" s="180"/>
      <c r="CZ353" s="180"/>
      <c r="DA353" s="180"/>
      <c r="DB353" s="180"/>
    </row>
    <row r="354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0"/>
      <c r="AL354" s="180"/>
      <c r="AM354" s="180"/>
      <c r="AN354" s="180"/>
      <c r="AO354" s="180"/>
      <c r="AP354" s="180"/>
      <c r="AQ354" s="180"/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0"/>
      <c r="BB354" s="180"/>
      <c r="BC354" s="180"/>
      <c r="BD354" s="180"/>
      <c r="BE354" s="180"/>
      <c r="BF354" s="180"/>
      <c r="BG354" s="180"/>
      <c r="BH354" s="180"/>
      <c r="BI354" s="180"/>
      <c r="BJ354" s="180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0"/>
      <c r="BW354" s="180"/>
      <c r="BX354" s="180"/>
      <c r="BY354" s="180"/>
      <c r="BZ354" s="180"/>
      <c r="CA354" s="180"/>
      <c r="CB354" s="180"/>
      <c r="CC354" s="180"/>
      <c r="CD354" s="180"/>
      <c r="CE354" s="180"/>
      <c r="CF354" s="180"/>
      <c r="CG354" s="180"/>
      <c r="CH354" s="180"/>
      <c r="CI354" s="180"/>
      <c r="CJ354" s="180"/>
      <c r="CK354" s="180"/>
      <c r="CL354" s="180"/>
      <c r="CM354" s="180"/>
      <c r="CN354" s="180"/>
      <c r="CO354" s="180"/>
      <c r="CP354" s="180"/>
      <c r="CQ354" s="180"/>
      <c r="CR354" s="180"/>
      <c r="CS354" s="180"/>
      <c r="CT354" s="180"/>
      <c r="CU354" s="180"/>
      <c r="CV354" s="180"/>
      <c r="CW354" s="180"/>
      <c r="CX354" s="180"/>
      <c r="CY354" s="180"/>
      <c r="CZ354" s="180"/>
      <c r="DA354" s="180"/>
      <c r="DB354" s="180"/>
    </row>
    <row r="355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0"/>
      <c r="AM355" s="180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0"/>
      <c r="BK355" s="180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0"/>
      <c r="BW355" s="180"/>
      <c r="BX355" s="180"/>
      <c r="BY355" s="180"/>
      <c r="BZ355" s="180"/>
      <c r="CA355" s="180"/>
      <c r="CB355" s="180"/>
      <c r="CC355" s="180"/>
      <c r="CD355" s="180"/>
      <c r="CE355" s="180"/>
      <c r="CF355" s="180"/>
      <c r="CG355" s="180"/>
      <c r="CH355" s="180"/>
      <c r="CI355" s="180"/>
      <c r="CJ355" s="180"/>
      <c r="CK355" s="180"/>
      <c r="CL355" s="180"/>
      <c r="CM355" s="180"/>
      <c r="CN355" s="180"/>
      <c r="CO355" s="180"/>
      <c r="CP355" s="180"/>
      <c r="CQ355" s="180"/>
      <c r="CR355" s="180"/>
      <c r="CS355" s="180"/>
      <c r="CT355" s="180"/>
      <c r="CU355" s="180"/>
      <c r="CV355" s="180"/>
      <c r="CW355" s="180"/>
      <c r="CX355" s="180"/>
      <c r="CY355" s="180"/>
      <c r="CZ355" s="180"/>
      <c r="DA355" s="180"/>
      <c r="DB355" s="180"/>
    </row>
    <row r="356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0"/>
      <c r="AL356" s="180"/>
      <c r="AM356" s="180"/>
      <c r="AN356" s="180"/>
      <c r="AO356" s="180"/>
      <c r="AP356" s="180"/>
      <c r="AQ356" s="180"/>
      <c r="AR356" s="180"/>
      <c r="AS356" s="180"/>
      <c r="AT356" s="180"/>
      <c r="AU356" s="180"/>
      <c r="AV356" s="180"/>
      <c r="AW356" s="180"/>
      <c r="AX356" s="180"/>
      <c r="AY356" s="180"/>
      <c r="AZ356" s="180"/>
      <c r="BA356" s="180"/>
      <c r="BB356" s="180"/>
      <c r="BC356" s="180"/>
      <c r="BD356" s="180"/>
      <c r="BE356" s="180"/>
      <c r="BF356" s="180"/>
      <c r="BG356" s="180"/>
      <c r="BH356" s="180"/>
      <c r="BI356" s="180"/>
      <c r="BJ356" s="180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180"/>
      <c r="BV356" s="180"/>
      <c r="BW356" s="180"/>
      <c r="BX356" s="180"/>
      <c r="BY356" s="180"/>
      <c r="BZ356" s="180"/>
      <c r="CA356" s="180"/>
      <c r="CB356" s="180"/>
      <c r="CC356" s="180"/>
      <c r="CD356" s="180"/>
      <c r="CE356" s="180"/>
      <c r="CF356" s="180"/>
      <c r="CG356" s="180"/>
      <c r="CH356" s="180"/>
      <c r="CI356" s="180"/>
      <c r="CJ356" s="180"/>
      <c r="CK356" s="180"/>
      <c r="CL356" s="180"/>
      <c r="CM356" s="180"/>
      <c r="CN356" s="180"/>
      <c r="CO356" s="180"/>
      <c r="CP356" s="180"/>
      <c r="CQ356" s="180"/>
      <c r="CR356" s="180"/>
      <c r="CS356" s="180"/>
      <c r="CT356" s="180"/>
      <c r="CU356" s="180"/>
      <c r="CV356" s="180"/>
      <c r="CW356" s="180"/>
      <c r="CX356" s="180"/>
      <c r="CY356" s="180"/>
      <c r="CZ356" s="180"/>
      <c r="DA356" s="180"/>
      <c r="DB356" s="180"/>
    </row>
    <row r="357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0"/>
      <c r="AL357" s="180"/>
      <c r="AM357" s="180"/>
      <c r="AN357" s="180"/>
      <c r="AO357" s="180"/>
      <c r="AP357" s="180"/>
      <c r="AQ357" s="180"/>
      <c r="AR357" s="180"/>
      <c r="AS357" s="180"/>
      <c r="AT357" s="180"/>
      <c r="AU357" s="180"/>
      <c r="AV357" s="180"/>
      <c r="AW357" s="180"/>
      <c r="AX357" s="180"/>
      <c r="AY357" s="180"/>
      <c r="AZ357" s="180"/>
      <c r="BA357" s="180"/>
      <c r="BB357" s="180"/>
      <c r="BC357" s="180"/>
      <c r="BD357" s="180"/>
      <c r="BE357" s="180"/>
      <c r="BF357" s="180"/>
      <c r="BG357" s="180"/>
      <c r="BH357" s="180"/>
      <c r="BI357" s="180"/>
      <c r="BJ357" s="180"/>
      <c r="BK357" s="180"/>
      <c r="BL357" s="180"/>
      <c r="BM357" s="180"/>
      <c r="BN357" s="180"/>
      <c r="BO357" s="180"/>
      <c r="BP357" s="180"/>
      <c r="BQ357" s="180"/>
      <c r="BR357" s="180"/>
      <c r="BS357" s="180"/>
      <c r="BT357" s="180"/>
      <c r="BU357" s="180"/>
      <c r="BV357" s="180"/>
      <c r="BW357" s="180"/>
      <c r="BX357" s="180"/>
      <c r="BY357" s="180"/>
      <c r="BZ357" s="180"/>
      <c r="CA357" s="180"/>
      <c r="CB357" s="180"/>
      <c r="CC357" s="180"/>
      <c r="CD357" s="180"/>
      <c r="CE357" s="180"/>
      <c r="CF357" s="180"/>
      <c r="CG357" s="180"/>
      <c r="CH357" s="180"/>
      <c r="CI357" s="180"/>
      <c r="CJ357" s="180"/>
      <c r="CK357" s="180"/>
      <c r="CL357" s="180"/>
      <c r="CM357" s="180"/>
      <c r="CN357" s="180"/>
      <c r="CO357" s="180"/>
      <c r="CP357" s="180"/>
      <c r="CQ357" s="180"/>
      <c r="CR357" s="180"/>
      <c r="CS357" s="180"/>
      <c r="CT357" s="180"/>
      <c r="CU357" s="180"/>
      <c r="CV357" s="180"/>
      <c r="CW357" s="180"/>
      <c r="CX357" s="180"/>
      <c r="CY357" s="180"/>
      <c r="CZ357" s="180"/>
      <c r="DA357" s="180"/>
      <c r="DB357" s="180"/>
    </row>
    <row r="358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0"/>
      <c r="AL358" s="180"/>
      <c r="AM358" s="180"/>
      <c r="AN358" s="180"/>
      <c r="AO358" s="180"/>
      <c r="AP358" s="180"/>
      <c r="AQ358" s="180"/>
      <c r="AR358" s="180"/>
      <c r="AS358" s="180"/>
      <c r="AT358" s="180"/>
      <c r="AU358" s="180"/>
      <c r="AV358" s="180"/>
      <c r="AW358" s="180"/>
      <c r="AX358" s="180"/>
      <c r="AY358" s="180"/>
      <c r="AZ358" s="180"/>
      <c r="BA358" s="180"/>
      <c r="BB358" s="180"/>
      <c r="BC358" s="180"/>
      <c r="BD358" s="180"/>
      <c r="BE358" s="180"/>
      <c r="BF358" s="180"/>
      <c r="BG358" s="180"/>
      <c r="BH358" s="180"/>
      <c r="BI358" s="180"/>
      <c r="BJ358" s="180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180"/>
      <c r="BV358" s="180"/>
      <c r="BW358" s="180"/>
      <c r="BX358" s="180"/>
      <c r="BY358" s="180"/>
      <c r="BZ358" s="180"/>
      <c r="CA358" s="180"/>
      <c r="CB358" s="180"/>
      <c r="CC358" s="180"/>
      <c r="CD358" s="180"/>
      <c r="CE358" s="180"/>
      <c r="CF358" s="180"/>
      <c r="CG358" s="180"/>
      <c r="CH358" s="180"/>
      <c r="CI358" s="180"/>
      <c r="CJ358" s="180"/>
      <c r="CK358" s="180"/>
      <c r="CL358" s="180"/>
      <c r="CM358" s="180"/>
      <c r="CN358" s="180"/>
      <c r="CO358" s="180"/>
      <c r="CP358" s="180"/>
      <c r="CQ358" s="180"/>
      <c r="CR358" s="180"/>
      <c r="CS358" s="180"/>
      <c r="CT358" s="180"/>
      <c r="CU358" s="180"/>
      <c r="CV358" s="180"/>
      <c r="CW358" s="180"/>
      <c r="CX358" s="180"/>
      <c r="CY358" s="180"/>
      <c r="CZ358" s="180"/>
      <c r="DA358" s="180"/>
      <c r="DB358" s="180"/>
    </row>
    <row r="359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  <c r="K359" s="180"/>
      <c r="L359" s="180"/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180"/>
      <c r="BN359" s="180"/>
      <c r="BO359" s="180"/>
      <c r="BP359" s="180"/>
      <c r="BQ359" s="180"/>
      <c r="BR359" s="180"/>
      <c r="BS359" s="180"/>
      <c r="BT359" s="180"/>
      <c r="BU359" s="180"/>
      <c r="BV359" s="180"/>
      <c r="BW359" s="180"/>
      <c r="BX359" s="180"/>
      <c r="BY359" s="180"/>
      <c r="BZ359" s="180"/>
      <c r="CA359" s="180"/>
      <c r="CB359" s="180"/>
      <c r="CC359" s="180"/>
      <c r="CD359" s="180"/>
      <c r="CE359" s="180"/>
      <c r="CF359" s="180"/>
      <c r="CG359" s="180"/>
      <c r="CH359" s="180"/>
      <c r="CI359" s="180"/>
      <c r="CJ359" s="180"/>
      <c r="CK359" s="180"/>
      <c r="CL359" s="180"/>
      <c r="CM359" s="180"/>
      <c r="CN359" s="180"/>
      <c r="CO359" s="180"/>
      <c r="CP359" s="180"/>
      <c r="CQ359" s="180"/>
      <c r="CR359" s="180"/>
      <c r="CS359" s="180"/>
      <c r="CT359" s="180"/>
      <c r="CU359" s="180"/>
      <c r="CV359" s="180"/>
      <c r="CW359" s="180"/>
      <c r="CX359" s="180"/>
      <c r="CY359" s="180"/>
      <c r="CZ359" s="180"/>
      <c r="DA359" s="180"/>
      <c r="DB359" s="180"/>
    </row>
    <row r="360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  <c r="BY360" s="180"/>
      <c r="BZ360" s="180"/>
      <c r="CA360" s="180"/>
      <c r="CB360" s="180"/>
      <c r="CC360" s="180"/>
      <c r="CD360" s="180"/>
      <c r="CE360" s="180"/>
      <c r="CF360" s="180"/>
      <c r="CG360" s="180"/>
      <c r="CH360" s="180"/>
      <c r="CI360" s="180"/>
      <c r="CJ360" s="180"/>
      <c r="CK360" s="180"/>
      <c r="CL360" s="180"/>
      <c r="CM360" s="180"/>
      <c r="CN360" s="180"/>
      <c r="CO360" s="180"/>
      <c r="CP360" s="180"/>
      <c r="CQ360" s="180"/>
      <c r="CR360" s="180"/>
      <c r="CS360" s="180"/>
      <c r="CT360" s="180"/>
      <c r="CU360" s="180"/>
      <c r="CV360" s="180"/>
      <c r="CW360" s="180"/>
      <c r="CX360" s="180"/>
      <c r="CY360" s="180"/>
      <c r="CZ360" s="180"/>
      <c r="DA360" s="180"/>
      <c r="DB360" s="180"/>
    </row>
    <row r="361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0"/>
      <c r="AL361" s="180"/>
      <c r="AM361" s="180"/>
      <c r="AN361" s="180"/>
      <c r="AO361" s="180"/>
      <c r="AP361" s="180"/>
      <c r="AQ361" s="180"/>
      <c r="AR361" s="180"/>
      <c r="AS361" s="180"/>
      <c r="AT361" s="180"/>
      <c r="AU361" s="180"/>
      <c r="AV361" s="180"/>
      <c r="AW361" s="180"/>
      <c r="AX361" s="180"/>
      <c r="AY361" s="180"/>
      <c r="AZ361" s="180"/>
      <c r="BA361" s="180"/>
      <c r="BB361" s="180"/>
      <c r="BC361" s="180"/>
      <c r="BD361" s="180"/>
      <c r="BE361" s="180"/>
      <c r="BF361" s="180"/>
      <c r="BG361" s="180"/>
      <c r="BH361" s="180"/>
      <c r="BI361" s="180"/>
      <c r="BJ361" s="180"/>
      <c r="BK361" s="180"/>
      <c r="BL361" s="180"/>
      <c r="BM361" s="180"/>
      <c r="BN361" s="180"/>
      <c r="BO361" s="180"/>
      <c r="BP361" s="180"/>
      <c r="BQ361" s="180"/>
      <c r="BR361" s="180"/>
      <c r="BS361" s="180"/>
      <c r="BT361" s="180"/>
      <c r="BU361" s="180"/>
      <c r="BV361" s="180"/>
      <c r="BW361" s="180"/>
      <c r="BX361" s="180"/>
      <c r="BY361" s="180"/>
      <c r="BZ361" s="180"/>
      <c r="CA361" s="180"/>
      <c r="CB361" s="180"/>
      <c r="CC361" s="180"/>
      <c r="CD361" s="180"/>
      <c r="CE361" s="180"/>
      <c r="CF361" s="180"/>
      <c r="CG361" s="180"/>
      <c r="CH361" s="180"/>
      <c r="CI361" s="180"/>
      <c r="CJ361" s="180"/>
      <c r="CK361" s="180"/>
      <c r="CL361" s="180"/>
      <c r="CM361" s="180"/>
      <c r="CN361" s="180"/>
      <c r="CO361" s="180"/>
      <c r="CP361" s="180"/>
      <c r="CQ361" s="180"/>
      <c r="CR361" s="180"/>
      <c r="CS361" s="180"/>
      <c r="CT361" s="180"/>
      <c r="CU361" s="180"/>
      <c r="CV361" s="180"/>
      <c r="CW361" s="180"/>
      <c r="CX361" s="180"/>
      <c r="CY361" s="180"/>
      <c r="CZ361" s="180"/>
      <c r="DA361" s="180"/>
      <c r="DB361" s="180"/>
    </row>
    <row r="362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0"/>
      <c r="AL362" s="180"/>
      <c r="AM362" s="180"/>
      <c r="AN362" s="180"/>
      <c r="AO362" s="180"/>
      <c r="AP362" s="180"/>
      <c r="AQ362" s="180"/>
      <c r="AR362" s="180"/>
      <c r="AS362" s="180"/>
      <c r="AT362" s="180"/>
      <c r="AU362" s="180"/>
      <c r="AV362" s="180"/>
      <c r="AW362" s="180"/>
      <c r="AX362" s="180"/>
      <c r="AY362" s="180"/>
      <c r="AZ362" s="180"/>
      <c r="BA362" s="180"/>
      <c r="BB362" s="180"/>
      <c r="BC362" s="180"/>
      <c r="BD362" s="180"/>
      <c r="BE362" s="180"/>
      <c r="BF362" s="180"/>
      <c r="BG362" s="180"/>
      <c r="BH362" s="180"/>
      <c r="BI362" s="180"/>
      <c r="BJ362" s="180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180"/>
      <c r="BV362" s="180"/>
      <c r="BW362" s="180"/>
      <c r="BX362" s="180"/>
      <c r="BY362" s="180"/>
      <c r="BZ362" s="180"/>
      <c r="CA362" s="180"/>
      <c r="CB362" s="180"/>
      <c r="CC362" s="180"/>
      <c r="CD362" s="180"/>
      <c r="CE362" s="180"/>
      <c r="CF362" s="180"/>
      <c r="CG362" s="180"/>
      <c r="CH362" s="180"/>
      <c r="CI362" s="180"/>
      <c r="CJ362" s="180"/>
      <c r="CK362" s="180"/>
      <c r="CL362" s="180"/>
      <c r="CM362" s="180"/>
      <c r="CN362" s="180"/>
      <c r="CO362" s="180"/>
      <c r="CP362" s="180"/>
      <c r="CQ362" s="180"/>
      <c r="CR362" s="180"/>
      <c r="CS362" s="180"/>
      <c r="CT362" s="180"/>
      <c r="CU362" s="180"/>
      <c r="CV362" s="180"/>
      <c r="CW362" s="180"/>
      <c r="CX362" s="180"/>
      <c r="CY362" s="180"/>
      <c r="CZ362" s="180"/>
      <c r="DA362" s="180"/>
      <c r="DB362" s="180"/>
    </row>
    <row r="363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0"/>
      <c r="BD363" s="180"/>
      <c r="BE363" s="180"/>
      <c r="BF363" s="180"/>
      <c r="BG363" s="180"/>
      <c r="BH363" s="180"/>
      <c r="BI363" s="180"/>
      <c r="BJ363" s="180"/>
      <c r="BK363" s="180"/>
      <c r="BL363" s="180"/>
      <c r="BM363" s="180"/>
      <c r="BN363" s="180"/>
      <c r="BO363" s="180"/>
      <c r="BP363" s="180"/>
      <c r="BQ363" s="180"/>
      <c r="BR363" s="180"/>
      <c r="BS363" s="180"/>
      <c r="BT363" s="180"/>
      <c r="BU363" s="180"/>
      <c r="BV363" s="180"/>
      <c r="BW363" s="180"/>
      <c r="BX363" s="180"/>
      <c r="BY363" s="180"/>
      <c r="BZ363" s="180"/>
      <c r="CA363" s="180"/>
      <c r="CB363" s="180"/>
      <c r="CC363" s="180"/>
      <c r="CD363" s="180"/>
      <c r="CE363" s="180"/>
      <c r="CF363" s="180"/>
      <c r="CG363" s="180"/>
      <c r="CH363" s="180"/>
      <c r="CI363" s="180"/>
      <c r="CJ363" s="180"/>
      <c r="CK363" s="180"/>
      <c r="CL363" s="180"/>
      <c r="CM363" s="180"/>
      <c r="CN363" s="180"/>
      <c r="CO363" s="180"/>
      <c r="CP363" s="180"/>
      <c r="CQ363" s="180"/>
      <c r="CR363" s="180"/>
      <c r="CS363" s="180"/>
      <c r="CT363" s="180"/>
      <c r="CU363" s="180"/>
      <c r="CV363" s="180"/>
      <c r="CW363" s="180"/>
      <c r="CX363" s="180"/>
      <c r="CY363" s="180"/>
      <c r="CZ363" s="180"/>
      <c r="DA363" s="180"/>
      <c r="DB363" s="180"/>
    </row>
    <row r="364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0"/>
      <c r="AL364" s="180"/>
      <c r="AM364" s="180"/>
      <c r="AN364" s="180"/>
      <c r="AO364" s="180"/>
      <c r="AP364" s="180"/>
      <c r="AQ364" s="180"/>
      <c r="AR364" s="180"/>
      <c r="AS364" s="180"/>
      <c r="AT364" s="180"/>
      <c r="AU364" s="180"/>
      <c r="AV364" s="180"/>
      <c r="AW364" s="180"/>
      <c r="AX364" s="180"/>
      <c r="AY364" s="180"/>
      <c r="AZ364" s="180"/>
      <c r="BA364" s="180"/>
      <c r="BB364" s="180"/>
      <c r="BC364" s="180"/>
      <c r="BD364" s="180"/>
      <c r="BE364" s="180"/>
      <c r="BF364" s="180"/>
      <c r="BG364" s="180"/>
      <c r="BH364" s="180"/>
      <c r="BI364" s="180"/>
      <c r="BJ364" s="180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180"/>
      <c r="BV364" s="180"/>
      <c r="BW364" s="180"/>
      <c r="BX364" s="180"/>
      <c r="BY364" s="180"/>
      <c r="BZ364" s="180"/>
      <c r="CA364" s="180"/>
      <c r="CB364" s="180"/>
      <c r="CC364" s="180"/>
      <c r="CD364" s="180"/>
      <c r="CE364" s="180"/>
      <c r="CF364" s="180"/>
      <c r="CG364" s="180"/>
      <c r="CH364" s="180"/>
      <c r="CI364" s="180"/>
      <c r="CJ364" s="180"/>
      <c r="CK364" s="180"/>
      <c r="CL364" s="180"/>
      <c r="CM364" s="180"/>
      <c r="CN364" s="180"/>
      <c r="CO364" s="180"/>
      <c r="CP364" s="180"/>
      <c r="CQ364" s="180"/>
      <c r="CR364" s="180"/>
      <c r="CS364" s="180"/>
      <c r="CT364" s="180"/>
      <c r="CU364" s="180"/>
      <c r="CV364" s="180"/>
      <c r="CW364" s="180"/>
      <c r="CX364" s="180"/>
      <c r="CY364" s="180"/>
      <c r="CZ364" s="180"/>
      <c r="DA364" s="180"/>
      <c r="DB364" s="180"/>
    </row>
    <row r="365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  <c r="AG365" s="180"/>
      <c r="AH365" s="180"/>
      <c r="AI365" s="180"/>
      <c r="AJ365" s="180"/>
      <c r="AK365" s="180"/>
      <c r="AL365" s="180"/>
      <c r="AM365" s="180"/>
      <c r="AN365" s="180"/>
      <c r="AO365" s="180"/>
      <c r="AP365" s="180"/>
      <c r="AQ365" s="180"/>
      <c r="AR365" s="180"/>
      <c r="AS365" s="180"/>
      <c r="AT365" s="180"/>
      <c r="AU365" s="180"/>
      <c r="AV365" s="180"/>
      <c r="AW365" s="180"/>
      <c r="AX365" s="180"/>
      <c r="AY365" s="180"/>
      <c r="AZ365" s="180"/>
      <c r="BA365" s="180"/>
      <c r="BB365" s="180"/>
      <c r="BC365" s="180"/>
      <c r="BD365" s="180"/>
      <c r="BE365" s="180"/>
      <c r="BF365" s="180"/>
      <c r="BG365" s="180"/>
      <c r="BH365" s="180"/>
      <c r="BI365" s="180"/>
      <c r="BJ365" s="180"/>
      <c r="BK365" s="180"/>
      <c r="BL365" s="180"/>
      <c r="BM365" s="180"/>
      <c r="BN365" s="180"/>
      <c r="BO365" s="180"/>
      <c r="BP365" s="180"/>
      <c r="BQ365" s="180"/>
      <c r="BR365" s="180"/>
      <c r="BS365" s="180"/>
      <c r="BT365" s="180"/>
      <c r="BU365" s="180"/>
      <c r="BV365" s="180"/>
      <c r="BW365" s="180"/>
      <c r="BX365" s="180"/>
      <c r="BY365" s="180"/>
      <c r="BZ365" s="180"/>
      <c r="CA365" s="180"/>
      <c r="CB365" s="180"/>
      <c r="CC365" s="180"/>
      <c r="CD365" s="180"/>
      <c r="CE365" s="180"/>
      <c r="CF365" s="180"/>
      <c r="CG365" s="180"/>
      <c r="CH365" s="180"/>
      <c r="CI365" s="180"/>
      <c r="CJ365" s="180"/>
      <c r="CK365" s="180"/>
      <c r="CL365" s="180"/>
      <c r="CM365" s="180"/>
      <c r="CN365" s="180"/>
      <c r="CO365" s="180"/>
      <c r="CP365" s="180"/>
      <c r="CQ365" s="180"/>
      <c r="CR365" s="180"/>
      <c r="CS365" s="180"/>
      <c r="CT365" s="180"/>
      <c r="CU365" s="180"/>
      <c r="CV365" s="180"/>
      <c r="CW365" s="180"/>
      <c r="CX365" s="180"/>
      <c r="CY365" s="180"/>
      <c r="CZ365" s="180"/>
      <c r="DA365" s="180"/>
      <c r="DB365" s="180"/>
    </row>
    <row r="366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  <c r="BY366" s="180"/>
      <c r="BZ366" s="180"/>
      <c r="CA366" s="180"/>
      <c r="CB366" s="180"/>
      <c r="CC366" s="180"/>
      <c r="CD366" s="180"/>
      <c r="CE366" s="180"/>
      <c r="CF366" s="180"/>
      <c r="CG366" s="180"/>
      <c r="CH366" s="180"/>
      <c r="CI366" s="180"/>
      <c r="CJ366" s="180"/>
      <c r="CK366" s="180"/>
      <c r="CL366" s="180"/>
      <c r="CM366" s="180"/>
      <c r="CN366" s="180"/>
      <c r="CO366" s="180"/>
      <c r="CP366" s="180"/>
      <c r="CQ366" s="180"/>
      <c r="CR366" s="180"/>
      <c r="CS366" s="180"/>
      <c r="CT366" s="180"/>
      <c r="CU366" s="180"/>
      <c r="CV366" s="180"/>
      <c r="CW366" s="180"/>
      <c r="CX366" s="180"/>
      <c r="CY366" s="180"/>
      <c r="CZ366" s="180"/>
      <c r="DA366" s="180"/>
      <c r="DB366" s="180"/>
    </row>
    <row r="367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0"/>
      <c r="AM367" s="180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0"/>
      <c r="AY367" s="180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0"/>
      <c r="BK367" s="180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0"/>
      <c r="BW367" s="180"/>
      <c r="BX367" s="180"/>
      <c r="BY367" s="180"/>
      <c r="BZ367" s="180"/>
      <c r="CA367" s="180"/>
      <c r="CB367" s="180"/>
      <c r="CC367" s="180"/>
      <c r="CD367" s="180"/>
      <c r="CE367" s="180"/>
      <c r="CF367" s="180"/>
      <c r="CG367" s="180"/>
      <c r="CH367" s="180"/>
      <c r="CI367" s="180"/>
      <c r="CJ367" s="180"/>
      <c r="CK367" s="180"/>
      <c r="CL367" s="180"/>
      <c r="CM367" s="180"/>
      <c r="CN367" s="180"/>
      <c r="CO367" s="180"/>
      <c r="CP367" s="180"/>
      <c r="CQ367" s="180"/>
      <c r="CR367" s="180"/>
      <c r="CS367" s="180"/>
      <c r="CT367" s="180"/>
      <c r="CU367" s="180"/>
      <c r="CV367" s="180"/>
      <c r="CW367" s="180"/>
      <c r="CX367" s="180"/>
      <c r="CY367" s="180"/>
      <c r="CZ367" s="180"/>
      <c r="DA367" s="180"/>
      <c r="DB367" s="180"/>
    </row>
    <row r="368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0"/>
      <c r="AL368" s="180"/>
      <c r="AM368" s="180"/>
      <c r="AN368" s="180"/>
      <c r="AO368" s="180"/>
      <c r="AP368" s="180"/>
      <c r="AQ368" s="180"/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0"/>
      <c r="BB368" s="180"/>
      <c r="BC368" s="180"/>
      <c r="BD368" s="180"/>
      <c r="BE368" s="180"/>
      <c r="BF368" s="180"/>
      <c r="BG368" s="180"/>
      <c r="BH368" s="180"/>
      <c r="BI368" s="180"/>
      <c r="BJ368" s="180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0"/>
      <c r="BW368" s="180"/>
      <c r="BX368" s="180"/>
      <c r="BY368" s="180"/>
      <c r="BZ368" s="180"/>
      <c r="CA368" s="180"/>
      <c r="CB368" s="180"/>
      <c r="CC368" s="180"/>
      <c r="CD368" s="180"/>
      <c r="CE368" s="180"/>
      <c r="CF368" s="180"/>
      <c r="CG368" s="180"/>
      <c r="CH368" s="180"/>
      <c r="CI368" s="180"/>
      <c r="CJ368" s="180"/>
      <c r="CK368" s="180"/>
      <c r="CL368" s="180"/>
      <c r="CM368" s="180"/>
      <c r="CN368" s="180"/>
      <c r="CO368" s="180"/>
      <c r="CP368" s="180"/>
      <c r="CQ368" s="180"/>
      <c r="CR368" s="180"/>
      <c r="CS368" s="180"/>
      <c r="CT368" s="180"/>
      <c r="CU368" s="180"/>
      <c r="CV368" s="180"/>
      <c r="CW368" s="180"/>
      <c r="CX368" s="180"/>
      <c r="CY368" s="180"/>
      <c r="CZ368" s="180"/>
      <c r="DA368" s="180"/>
      <c r="DB368" s="180"/>
    </row>
    <row r="369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0"/>
      <c r="AL369" s="180"/>
      <c r="AM369" s="180"/>
      <c r="AN369" s="180"/>
      <c r="AO369" s="180"/>
      <c r="AP369" s="180"/>
      <c r="AQ369" s="180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0"/>
      <c r="BB369" s="180"/>
      <c r="BC369" s="180"/>
      <c r="BD369" s="180"/>
      <c r="BE369" s="180"/>
      <c r="BF369" s="180"/>
      <c r="BG369" s="180"/>
      <c r="BH369" s="180"/>
      <c r="BI369" s="180"/>
      <c r="BJ369" s="180"/>
      <c r="BK369" s="180"/>
      <c r="BL369" s="180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0"/>
      <c r="BW369" s="180"/>
      <c r="BX369" s="180"/>
      <c r="BY369" s="180"/>
      <c r="BZ369" s="180"/>
      <c r="CA369" s="180"/>
      <c r="CB369" s="180"/>
      <c r="CC369" s="180"/>
      <c r="CD369" s="180"/>
      <c r="CE369" s="180"/>
      <c r="CF369" s="180"/>
      <c r="CG369" s="180"/>
      <c r="CH369" s="180"/>
      <c r="CI369" s="180"/>
      <c r="CJ369" s="180"/>
      <c r="CK369" s="180"/>
      <c r="CL369" s="180"/>
      <c r="CM369" s="180"/>
      <c r="CN369" s="180"/>
      <c r="CO369" s="180"/>
      <c r="CP369" s="180"/>
      <c r="CQ369" s="180"/>
      <c r="CR369" s="180"/>
      <c r="CS369" s="180"/>
      <c r="CT369" s="180"/>
      <c r="CU369" s="180"/>
      <c r="CV369" s="180"/>
      <c r="CW369" s="180"/>
      <c r="CX369" s="180"/>
      <c r="CY369" s="180"/>
      <c r="CZ369" s="180"/>
      <c r="DA369" s="180"/>
      <c r="DB369" s="180"/>
    </row>
    <row r="370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0"/>
      <c r="AL370" s="180"/>
      <c r="AM370" s="180"/>
      <c r="AN370" s="180"/>
      <c r="AO370" s="180"/>
      <c r="AP370" s="180"/>
      <c r="AQ370" s="180"/>
      <c r="AR370" s="180"/>
      <c r="AS370" s="180"/>
      <c r="AT370" s="180"/>
      <c r="AU370" s="180"/>
      <c r="AV370" s="180"/>
      <c r="AW370" s="180"/>
      <c r="AX370" s="180"/>
      <c r="AY370" s="180"/>
      <c r="AZ370" s="180"/>
      <c r="BA370" s="180"/>
      <c r="BB370" s="180"/>
      <c r="BC370" s="180"/>
      <c r="BD370" s="180"/>
      <c r="BE370" s="180"/>
      <c r="BF370" s="180"/>
      <c r="BG370" s="180"/>
      <c r="BH370" s="180"/>
      <c r="BI370" s="180"/>
      <c r="BJ370" s="180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180"/>
      <c r="BV370" s="180"/>
      <c r="BW370" s="180"/>
      <c r="BX370" s="180"/>
      <c r="BY370" s="180"/>
      <c r="BZ370" s="180"/>
      <c r="CA370" s="180"/>
      <c r="CB370" s="180"/>
      <c r="CC370" s="180"/>
      <c r="CD370" s="180"/>
      <c r="CE370" s="180"/>
      <c r="CF370" s="180"/>
      <c r="CG370" s="180"/>
      <c r="CH370" s="180"/>
      <c r="CI370" s="180"/>
      <c r="CJ370" s="180"/>
      <c r="CK370" s="180"/>
      <c r="CL370" s="180"/>
      <c r="CM370" s="180"/>
      <c r="CN370" s="180"/>
      <c r="CO370" s="180"/>
      <c r="CP370" s="180"/>
      <c r="CQ370" s="180"/>
      <c r="CR370" s="180"/>
      <c r="CS370" s="180"/>
      <c r="CT370" s="180"/>
      <c r="CU370" s="180"/>
      <c r="CV370" s="180"/>
      <c r="CW370" s="180"/>
      <c r="CX370" s="180"/>
      <c r="CY370" s="180"/>
      <c r="CZ370" s="180"/>
      <c r="DA370" s="180"/>
      <c r="DB370" s="180"/>
    </row>
    <row r="371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0"/>
      <c r="AY371" s="180"/>
      <c r="AZ371" s="180"/>
      <c r="BA371" s="180"/>
      <c r="BB371" s="180"/>
      <c r="BC371" s="180"/>
      <c r="BD371" s="180"/>
      <c r="BE371" s="180"/>
      <c r="BF371" s="180"/>
      <c r="BG371" s="180"/>
      <c r="BH371" s="180"/>
      <c r="BI371" s="180"/>
      <c r="BJ371" s="180"/>
      <c r="BK371" s="180"/>
      <c r="BL371" s="180"/>
      <c r="BM371" s="180"/>
      <c r="BN371" s="180"/>
      <c r="BO371" s="180"/>
      <c r="BP371" s="180"/>
      <c r="BQ371" s="180"/>
      <c r="BR371" s="180"/>
      <c r="BS371" s="180"/>
      <c r="BT371" s="180"/>
      <c r="BU371" s="180"/>
      <c r="BV371" s="180"/>
      <c r="BW371" s="180"/>
      <c r="BX371" s="180"/>
      <c r="BY371" s="180"/>
      <c r="BZ371" s="180"/>
      <c r="CA371" s="180"/>
      <c r="CB371" s="180"/>
      <c r="CC371" s="180"/>
      <c r="CD371" s="180"/>
      <c r="CE371" s="180"/>
      <c r="CF371" s="180"/>
      <c r="CG371" s="180"/>
      <c r="CH371" s="180"/>
      <c r="CI371" s="180"/>
      <c r="CJ371" s="180"/>
      <c r="CK371" s="180"/>
      <c r="CL371" s="180"/>
      <c r="CM371" s="180"/>
      <c r="CN371" s="180"/>
      <c r="CO371" s="180"/>
      <c r="CP371" s="180"/>
      <c r="CQ371" s="180"/>
      <c r="CR371" s="180"/>
      <c r="CS371" s="180"/>
      <c r="CT371" s="180"/>
      <c r="CU371" s="180"/>
      <c r="CV371" s="180"/>
      <c r="CW371" s="180"/>
      <c r="CX371" s="180"/>
      <c r="CY371" s="180"/>
      <c r="CZ371" s="180"/>
      <c r="DA371" s="180"/>
      <c r="DB371" s="180"/>
    </row>
    <row r="372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  <c r="BY372" s="180"/>
      <c r="BZ372" s="180"/>
      <c r="CA372" s="180"/>
      <c r="CB372" s="180"/>
      <c r="CC372" s="180"/>
      <c r="CD372" s="180"/>
      <c r="CE372" s="180"/>
      <c r="CF372" s="180"/>
      <c r="CG372" s="180"/>
      <c r="CH372" s="180"/>
      <c r="CI372" s="180"/>
      <c r="CJ372" s="180"/>
      <c r="CK372" s="180"/>
      <c r="CL372" s="180"/>
      <c r="CM372" s="180"/>
      <c r="CN372" s="180"/>
      <c r="CO372" s="180"/>
      <c r="CP372" s="180"/>
      <c r="CQ372" s="180"/>
      <c r="CR372" s="180"/>
      <c r="CS372" s="180"/>
      <c r="CT372" s="180"/>
      <c r="CU372" s="180"/>
      <c r="CV372" s="180"/>
      <c r="CW372" s="180"/>
      <c r="CX372" s="180"/>
      <c r="CY372" s="180"/>
      <c r="CZ372" s="180"/>
      <c r="DA372" s="180"/>
      <c r="DB372" s="180"/>
    </row>
    <row r="373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0"/>
      <c r="AL373" s="180"/>
      <c r="AM373" s="180"/>
      <c r="AN373" s="180"/>
      <c r="AO373" s="180"/>
      <c r="AP373" s="180"/>
      <c r="AQ373" s="180"/>
      <c r="AR373" s="180"/>
      <c r="AS373" s="180"/>
      <c r="AT373" s="180"/>
      <c r="AU373" s="180"/>
      <c r="AV373" s="180"/>
      <c r="AW373" s="180"/>
      <c r="AX373" s="180"/>
      <c r="AY373" s="180"/>
      <c r="AZ373" s="180"/>
      <c r="BA373" s="180"/>
      <c r="BB373" s="180"/>
      <c r="BC373" s="180"/>
      <c r="BD373" s="180"/>
      <c r="BE373" s="180"/>
      <c r="BF373" s="180"/>
      <c r="BG373" s="180"/>
      <c r="BH373" s="180"/>
      <c r="BI373" s="180"/>
      <c r="BJ373" s="180"/>
      <c r="BK373" s="180"/>
      <c r="BL373" s="180"/>
      <c r="BM373" s="180"/>
      <c r="BN373" s="180"/>
      <c r="BO373" s="180"/>
      <c r="BP373" s="180"/>
      <c r="BQ373" s="180"/>
      <c r="BR373" s="180"/>
      <c r="BS373" s="180"/>
      <c r="BT373" s="180"/>
      <c r="BU373" s="180"/>
      <c r="BV373" s="180"/>
      <c r="BW373" s="180"/>
      <c r="BX373" s="180"/>
      <c r="BY373" s="180"/>
      <c r="BZ373" s="180"/>
      <c r="CA373" s="180"/>
      <c r="CB373" s="180"/>
      <c r="CC373" s="180"/>
      <c r="CD373" s="180"/>
      <c r="CE373" s="180"/>
      <c r="CF373" s="180"/>
      <c r="CG373" s="180"/>
      <c r="CH373" s="180"/>
      <c r="CI373" s="180"/>
      <c r="CJ373" s="180"/>
      <c r="CK373" s="180"/>
      <c r="CL373" s="180"/>
      <c r="CM373" s="180"/>
      <c r="CN373" s="180"/>
      <c r="CO373" s="180"/>
      <c r="CP373" s="180"/>
      <c r="CQ373" s="180"/>
      <c r="CR373" s="180"/>
      <c r="CS373" s="180"/>
      <c r="CT373" s="180"/>
      <c r="CU373" s="180"/>
      <c r="CV373" s="180"/>
      <c r="CW373" s="180"/>
      <c r="CX373" s="180"/>
      <c r="CY373" s="180"/>
      <c r="CZ373" s="180"/>
      <c r="DA373" s="180"/>
      <c r="DB373" s="180"/>
    </row>
    <row r="374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180"/>
      <c r="BV374" s="180"/>
      <c r="BW374" s="180"/>
      <c r="BX374" s="180"/>
      <c r="BY374" s="180"/>
      <c r="BZ374" s="180"/>
      <c r="CA374" s="180"/>
      <c r="CB374" s="180"/>
      <c r="CC374" s="180"/>
      <c r="CD374" s="180"/>
      <c r="CE374" s="180"/>
      <c r="CF374" s="180"/>
      <c r="CG374" s="180"/>
      <c r="CH374" s="180"/>
      <c r="CI374" s="180"/>
      <c r="CJ374" s="180"/>
      <c r="CK374" s="180"/>
      <c r="CL374" s="180"/>
      <c r="CM374" s="180"/>
      <c r="CN374" s="180"/>
      <c r="CO374" s="180"/>
      <c r="CP374" s="180"/>
      <c r="CQ374" s="180"/>
      <c r="CR374" s="180"/>
      <c r="CS374" s="180"/>
      <c r="CT374" s="180"/>
      <c r="CU374" s="180"/>
      <c r="CV374" s="180"/>
      <c r="CW374" s="180"/>
      <c r="CX374" s="180"/>
      <c r="CY374" s="180"/>
      <c r="CZ374" s="180"/>
      <c r="DA374" s="180"/>
      <c r="DB374" s="180"/>
    </row>
    <row r="375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0"/>
      <c r="AL375" s="180"/>
      <c r="AM375" s="180"/>
      <c r="AN375" s="180"/>
      <c r="AO375" s="180"/>
      <c r="AP375" s="180"/>
      <c r="AQ375" s="180"/>
      <c r="AR375" s="180"/>
      <c r="AS375" s="180"/>
      <c r="AT375" s="180"/>
      <c r="AU375" s="180"/>
      <c r="AV375" s="180"/>
      <c r="AW375" s="180"/>
      <c r="AX375" s="180"/>
      <c r="AY375" s="180"/>
      <c r="AZ375" s="180"/>
      <c r="BA375" s="180"/>
      <c r="BB375" s="180"/>
      <c r="BC375" s="180"/>
      <c r="BD375" s="180"/>
      <c r="BE375" s="180"/>
      <c r="BF375" s="180"/>
      <c r="BG375" s="180"/>
      <c r="BH375" s="180"/>
      <c r="BI375" s="180"/>
      <c r="BJ375" s="180"/>
      <c r="BK375" s="180"/>
      <c r="BL375" s="180"/>
      <c r="BM375" s="180"/>
      <c r="BN375" s="180"/>
      <c r="BO375" s="180"/>
      <c r="BP375" s="180"/>
      <c r="BQ375" s="180"/>
      <c r="BR375" s="180"/>
      <c r="BS375" s="180"/>
      <c r="BT375" s="180"/>
      <c r="BU375" s="180"/>
      <c r="BV375" s="180"/>
      <c r="BW375" s="180"/>
      <c r="BX375" s="180"/>
      <c r="BY375" s="180"/>
      <c r="BZ375" s="180"/>
      <c r="CA375" s="180"/>
      <c r="CB375" s="180"/>
      <c r="CC375" s="180"/>
      <c r="CD375" s="180"/>
      <c r="CE375" s="180"/>
      <c r="CF375" s="180"/>
      <c r="CG375" s="180"/>
      <c r="CH375" s="180"/>
      <c r="CI375" s="180"/>
      <c r="CJ375" s="180"/>
      <c r="CK375" s="180"/>
      <c r="CL375" s="180"/>
      <c r="CM375" s="180"/>
      <c r="CN375" s="180"/>
      <c r="CO375" s="180"/>
      <c r="CP375" s="180"/>
      <c r="CQ375" s="180"/>
      <c r="CR375" s="180"/>
      <c r="CS375" s="180"/>
      <c r="CT375" s="180"/>
      <c r="CU375" s="180"/>
      <c r="CV375" s="180"/>
      <c r="CW375" s="180"/>
      <c r="CX375" s="180"/>
      <c r="CY375" s="180"/>
      <c r="CZ375" s="180"/>
      <c r="DA375" s="180"/>
      <c r="DB375" s="180"/>
    </row>
    <row r="376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0"/>
      <c r="AU376" s="180"/>
      <c r="AV376" s="180"/>
      <c r="AW376" s="180"/>
      <c r="AX376" s="180"/>
      <c r="AY376" s="180"/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180"/>
      <c r="BV376" s="180"/>
      <c r="BW376" s="180"/>
      <c r="BX376" s="180"/>
      <c r="BY376" s="180"/>
      <c r="BZ376" s="180"/>
      <c r="CA376" s="180"/>
      <c r="CB376" s="180"/>
      <c r="CC376" s="180"/>
      <c r="CD376" s="180"/>
      <c r="CE376" s="180"/>
      <c r="CF376" s="180"/>
      <c r="CG376" s="180"/>
      <c r="CH376" s="180"/>
      <c r="CI376" s="180"/>
      <c r="CJ376" s="180"/>
      <c r="CK376" s="180"/>
      <c r="CL376" s="180"/>
      <c r="CM376" s="180"/>
      <c r="CN376" s="180"/>
      <c r="CO376" s="180"/>
      <c r="CP376" s="180"/>
      <c r="CQ376" s="180"/>
      <c r="CR376" s="180"/>
      <c r="CS376" s="180"/>
      <c r="CT376" s="180"/>
      <c r="CU376" s="180"/>
      <c r="CV376" s="180"/>
      <c r="CW376" s="180"/>
      <c r="CX376" s="180"/>
      <c r="CY376" s="180"/>
      <c r="CZ376" s="180"/>
      <c r="DA376" s="180"/>
      <c r="DB376" s="180"/>
    </row>
    <row r="377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0"/>
      <c r="AL377" s="180"/>
      <c r="AM377" s="180"/>
      <c r="AN377" s="180"/>
      <c r="AO377" s="180"/>
      <c r="AP377" s="180"/>
      <c r="AQ377" s="180"/>
      <c r="AR377" s="180"/>
      <c r="AS377" s="180"/>
      <c r="AT377" s="180"/>
      <c r="AU377" s="180"/>
      <c r="AV377" s="180"/>
      <c r="AW377" s="180"/>
      <c r="AX377" s="180"/>
      <c r="AY377" s="180"/>
      <c r="AZ377" s="180"/>
      <c r="BA377" s="180"/>
      <c r="BB377" s="180"/>
      <c r="BC377" s="180"/>
      <c r="BD377" s="180"/>
      <c r="BE377" s="180"/>
      <c r="BF377" s="180"/>
      <c r="BG377" s="180"/>
      <c r="BH377" s="180"/>
      <c r="BI377" s="180"/>
      <c r="BJ377" s="180"/>
      <c r="BK377" s="180"/>
      <c r="BL377" s="180"/>
      <c r="BM377" s="180"/>
      <c r="BN377" s="180"/>
      <c r="BO377" s="180"/>
      <c r="BP377" s="180"/>
      <c r="BQ377" s="180"/>
      <c r="BR377" s="180"/>
      <c r="BS377" s="180"/>
      <c r="BT377" s="180"/>
      <c r="BU377" s="180"/>
      <c r="BV377" s="180"/>
      <c r="BW377" s="180"/>
      <c r="BX377" s="180"/>
      <c r="BY377" s="180"/>
      <c r="BZ377" s="180"/>
      <c r="CA377" s="180"/>
      <c r="CB377" s="180"/>
      <c r="CC377" s="180"/>
      <c r="CD377" s="180"/>
      <c r="CE377" s="180"/>
      <c r="CF377" s="180"/>
      <c r="CG377" s="180"/>
      <c r="CH377" s="180"/>
      <c r="CI377" s="180"/>
      <c r="CJ377" s="180"/>
      <c r="CK377" s="180"/>
      <c r="CL377" s="180"/>
      <c r="CM377" s="180"/>
      <c r="CN377" s="180"/>
      <c r="CO377" s="180"/>
      <c r="CP377" s="180"/>
      <c r="CQ377" s="180"/>
      <c r="CR377" s="180"/>
      <c r="CS377" s="180"/>
      <c r="CT377" s="180"/>
      <c r="CU377" s="180"/>
      <c r="CV377" s="180"/>
      <c r="CW377" s="180"/>
      <c r="CX377" s="180"/>
      <c r="CY377" s="180"/>
      <c r="CZ377" s="180"/>
      <c r="DA377" s="180"/>
      <c r="DB377" s="180"/>
    </row>
    <row r="378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0"/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180"/>
      <c r="BV378" s="180"/>
      <c r="BW378" s="180"/>
      <c r="BX378" s="180"/>
      <c r="BY378" s="180"/>
      <c r="BZ378" s="180"/>
      <c r="CA378" s="180"/>
      <c r="CB378" s="180"/>
      <c r="CC378" s="180"/>
      <c r="CD378" s="180"/>
      <c r="CE378" s="180"/>
      <c r="CF378" s="180"/>
      <c r="CG378" s="180"/>
      <c r="CH378" s="180"/>
      <c r="CI378" s="180"/>
      <c r="CJ378" s="180"/>
      <c r="CK378" s="180"/>
      <c r="CL378" s="180"/>
      <c r="CM378" s="180"/>
      <c r="CN378" s="180"/>
      <c r="CO378" s="180"/>
      <c r="CP378" s="180"/>
      <c r="CQ378" s="180"/>
      <c r="CR378" s="180"/>
      <c r="CS378" s="180"/>
      <c r="CT378" s="180"/>
      <c r="CU378" s="180"/>
      <c r="CV378" s="180"/>
      <c r="CW378" s="180"/>
      <c r="CX378" s="180"/>
      <c r="CY378" s="180"/>
      <c r="CZ378" s="180"/>
      <c r="DA378" s="180"/>
      <c r="DB378" s="180"/>
    </row>
    <row r="379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0"/>
      <c r="AL379" s="180"/>
      <c r="AM379" s="180"/>
      <c r="AN379" s="180"/>
      <c r="AO379" s="180"/>
      <c r="AP379" s="180"/>
      <c r="AQ379" s="180"/>
      <c r="AR379" s="180"/>
      <c r="AS379" s="180"/>
      <c r="AT379" s="180"/>
      <c r="AU379" s="180"/>
      <c r="AV379" s="180"/>
      <c r="AW379" s="180"/>
      <c r="AX379" s="180"/>
      <c r="AY379" s="180"/>
      <c r="AZ379" s="180"/>
      <c r="BA379" s="180"/>
      <c r="BB379" s="180"/>
      <c r="BC379" s="180"/>
      <c r="BD379" s="180"/>
      <c r="BE379" s="180"/>
      <c r="BF379" s="180"/>
      <c r="BG379" s="180"/>
      <c r="BH379" s="180"/>
      <c r="BI379" s="180"/>
      <c r="BJ379" s="180"/>
      <c r="BK379" s="180"/>
      <c r="BL379" s="180"/>
      <c r="BM379" s="180"/>
      <c r="BN379" s="180"/>
      <c r="BO379" s="180"/>
      <c r="BP379" s="180"/>
      <c r="BQ379" s="180"/>
      <c r="BR379" s="180"/>
      <c r="BS379" s="180"/>
      <c r="BT379" s="180"/>
      <c r="BU379" s="180"/>
      <c r="BV379" s="180"/>
      <c r="BW379" s="180"/>
      <c r="BX379" s="180"/>
      <c r="BY379" s="180"/>
      <c r="BZ379" s="180"/>
      <c r="CA379" s="180"/>
      <c r="CB379" s="180"/>
      <c r="CC379" s="180"/>
      <c r="CD379" s="180"/>
      <c r="CE379" s="180"/>
      <c r="CF379" s="180"/>
      <c r="CG379" s="180"/>
      <c r="CH379" s="180"/>
      <c r="CI379" s="180"/>
      <c r="CJ379" s="180"/>
      <c r="CK379" s="180"/>
      <c r="CL379" s="180"/>
      <c r="CM379" s="180"/>
      <c r="CN379" s="180"/>
      <c r="CO379" s="180"/>
      <c r="CP379" s="180"/>
      <c r="CQ379" s="180"/>
      <c r="CR379" s="180"/>
      <c r="CS379" s="180"/>
      <c r="CT379" s="180"/>
      <c r="CU379" s="180"/>
      <c r="CV379" s="180"/>
      <c r="CW379" s="180"/>
      <c r="CX379" s="180"/>
      <c r="CY379" s="180"/>
      <c r="CZ379" s="180"/>
      <c r="DA379" s="180"/>
      <c r="DB379" s="180"/>
    </row>
    <row r="380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  <c r="BY380" s="180"/>
      <c r="BZ380" s="180"/>
      <c r="CA380" s="180"/>
      <c r="CB380" s="180"/>
      <c r="CC380" s="180"/>
      <c r="CD380" s="180"/>
      <c r="CE380" s="180"/>
      <c r="CF380" s="180"/>
      <c r="CG380" s="180"/>
      <c r="CH380" s="180"/>
      <c r="CI380" s="180"/>
      <c r="CJ380" s="180"/>
      <c r="CK380" s="180"/>
      <c r="CL380" s="180"/>
      <c r="CM380" s="180"/>
      <c r="CN380" s="180"/>
      <c r="CO380" s="180"/>
      <c r="CP380" s="180"/>
      <c r="CQ380" s="180"/>
      <c r="CR380" s="180"/>
      <c r="CS380" s="180"/>
      <c r="CT380" s="180"/>
      <c r="CU380" s="180"/>
      <c r="CV380" s="180"/>
      <c r="CW380" s="180"/>
      <c r="CX380" s="180"/>
      <c r="CY380" s="180"/>
      <c r="CZ380" s="180"/>
      <c r="DA380" s="180"/>
      <c r="DB380" s="180"/>
    </row>
    <row r="381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  <c r="BY381" s="180"/>
      <c r="BZ381" s="180"/>
      <c r="CA381" s="180"/>
      <c r="CB381" s="180"/>
      <c r="CC381" s="180"/>
      <c r="CD381" s="180"/>
      <c r="CE381" s="180"/>
      <c r="CF381" s="180"/>
      <c r="CG381" s="180"/>
      <c r="CH381" s="180"/>
      <c r="CI381" s="180"/>
      <c r="CJ381" s="180"/>
      <c r="CK381" s="180"/>
      <c r="CL381" s="180"/>
      <c r="CM381" s="180"/>
      <c r="CN381" s="180"/>
      <c r="CO381" s="180"/>
      <c r="CP381" s="180"/>
      <c r="CQ381" s="180"/>
      <c r="CR381" s="180"/>
      <c r="CS381" s="180"/>
      <c r="CT381" s="180"/>
      <c r="CU381" s="180"/>
      <c r="CV381" s="180"/>
      <c r="CW381" s="180"/>
      <c r="CX381" s="180"/>
      <c r="CY381" s="180"/>
      <c r="CZ381" s="180"/>
      <c r="DA381" s="180"/>
      <c r="DB381" s="180"/>
    </row>
    <row r="382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  <c r="BY382" s="180"/>
      <c r="BZ382" s="180"/>
      <c r="CA382" s="180"/>
      <c r="CB382" s="180"/>
      <c r="CC382" s="180"/>
      <c r="CD382" s="180"/>
      <c r="CE382" s="180"/>
      <c r="CF382" s="180"/>
      <c r="CG382" s="180"/>
      <c r="CH382" s="180"/>
      <c r="CI382" s="180"/>
      <c r="CJ382" s="180"/>
      <c r="CK382" s="180"/>
      <c r="CL382" s="180"/>
      <c r="CM382" s="180"/>
      <c r="CN382" s="180"/>
      <c r="CO382" s="180"/>
      <c r="CP382" s="180"/>
      <c r="CQ382" s="180"/>
      <c r="CR382" s="180"/>
      <c r="CS382" s="180"/>
      <c r="CT382" s="180"/>
      <c r="CU382" s="180"/>
      <c r="CV382" s="180"/>
      <c r="CW382" s="180"/>
      <c r="CX382" s="180"/>
      <c r="CY382" s="180"/>
      <c r="CZ382" s="180"/>
      <c r="DA382" s="180"/>
      <c r="DB382" s="180"/>
    </row>
    <row r="383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0"/>
      <c r="AL383" s="180"/>
      <c r="AM383" s="180"/>
      <c r="AN383" s="180"/>
      <c r="AO383" s="180"/>
      <c r="AP383" s="180"/>
      <c r="AQ383" s="180"/>
      <c r="AR383" s="180"/>
      <c r="AS383" s="180"/>
      <c r="AT383" s="180"/>
      <c r="AU383" s="180"/>
      <c r="AV383" s="180"/>
      <c r="AW383" s="180"/>
      <c r="AX383" s="180"/>
      <c r="AY383" s="180"/>
      <c r="AZ383" s="180"/>
      <c r="BA383" s="180"/>
      <c r="BB383" s="180"/>
      <c r="BC383" s="180"/>
      <c r="BD383" s="180"/>
      <c r="BE383" s="180"/>
      <c r="BF383" s="180"/>
      <c r="BG383" s="180"/>
      <c r="BH383" s="180"/>
      <c r="BI383" s="180"/>
      <c r="BJ383" s="180"/>
      <c r="BK383" s="180"/>
      <c r="BL383" s="180"/>
      <c r="BM383" s="180"/>
      <c r="BN383" s="180"/>
      <c r="BO383" s="180"/>
      <c r="BP383" s="180"/>
      <c r="BQ383" s="180"/>
      <c r="BR383" s="180"/>
      <c r="BS383" s="180"/>
      <c r="BT383" s="180"/>
      <c r="BU383" s="180"/>
      <c r="BV383" s="180"/>
      <c r="BW383" s="180"/>
      <c r="BX383" s="180"/>
      <c r="BY383" s="180"/>
      <c r="BZ383" s="180"/>
      <c r="CA383" s="180"/>
      <c r="CB383" s="180"/>
      <c r="CC383" s="180"/>
      <c r="CD383" s="180"/>
      <c r="CE383" s="180"/>
      <c r="CF383" s="180"/>
      <c r="CG383" s="180"/>
      <c r="CH383" s="180"/>
      <c r="CI383" s="180"/>
      <c r="CJ383" s="180"/>
      <c r="CK383" s="180"/>
      <c r="CL383" s="180"/>
      <c r="CM383" s="180"/>
      <c r="CN383" s="180"/>
      <c r="CO383" s="180"/>
      <c r="CP383" s="180"/>
      <c r="CQ383" s="180"/>
      <c r="CR383" s="180"/>
      <c r="CS383" s="180"/>
      <c r="CT383" s="180"/>
      <c r="CU383" s="180"/>
      <c r="CV383" s="180"/>
      <c r="CW383" s="180"/>
      <c r="CX383" s="180"/>
      <c r="CY383" s="180"/>
      <c r="CZ383" s="180"/>
      <c r="DA383" s="180"/>
      <c r="DB383" s="180"/>
    </row>
    <row r="384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180"/>
      <c r="BV384" s="180"/>
      <c r="BW384" s="180"/>
      <c r="BX384" s="180"/>
      <c r="BY384" s="180"/>
      <c r="BZ384" s="180"/>
      <c r="CA384" s="180"/>
      <c r="CB384" s="180"/>
      <c r="CC384" s="180"/>
      <c r="CD384" s="180"/>
      <c r="CE384" s="180"/>
      <c r="CF384" s="180"/>
      <c r="CG384" s="180"/>
      <c r="CH384" s="180"/>
      <c r="CI384" s="180"/>
      <c r="CJ384" s="180"/>
      <c r="CK384" s="180"/>
      <c r="CL384" s="180"/>
      <c r="CM384" s="180"/>
      <c r="CN384" s="180"/>
      <c r="CO384" s="180"/>
      <c r="CP384" s="180"/>
      <c r="CQ384" s="180"/>
      <c r="CR384" s="180"/>
      <c r="CS384" s="180"/>
      <c r="CT384" s="180"/>
      <c r="CU384" s="180"/>
      <c r="CV384" s="180"/>
      <c r="CW384" s="180"/>
      <c r="CX384" s="180"/>
      <c r="CY384" s="180"/>
      <c r="CZ384" s="180"/>
      <c r="DA384" s="180"/>
      <c r="DB384" s="180"/>
    </row>
    <row r="385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  <c r="BY385" s="180"/>
      <c r="BZ385" s="180"/>
      <c r="CA385" s="180"/>
      <c r="CB385" s="180"/>
      <c r="CC385" s="180"/>
      <c r="CD385" s="180"/>
      <c r="CE385" s="180"/>
      <c r="CF385" s="180"/>
      <c r="CG385" s="180"/>
      <c r="CH385" s="180"/>
      <c r="CI385" s="180"/>
      <c r="CJ385" s="180"/>
      <c r="CK385" s="180"/>
      <c r="CL385" s="180"/>
      <c r="CM385" s="180"/>
      <c r="CN385" s="180"/>
      <c r="CO385" s="180"/>
      <c r="CP385" s="180"/>
      <c r="CQ385" s="180"/>
      <c r="CR385" s="180"/>
      <c r="CS385" s="180"/>
      <c r="CT385" s="180"/>
      <c r="CU385" s="180"/>
      <c r="CV385" s="180"/>
      <c r="CW385" s="180"/>
      <c r="CX385" s="180"/>
      <c r="CY385" s="180"/>
      <c r="CZ385" s="180"/>
      <c r="DA385" s="180"/>
      <c r="DB385" s="180"/>
    </row>
    <row r="386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180"/>
      <c r="BV386" s="180"/>
      <c r="BW386" s="180"/>
      <c r="BX386" s="180"/>
      <c r="BY386" s="180"/>
      <c r="BZ386" s="180"/>
      <c r="CA386" s="180"/>
      <c r="CB386" s="180"/>
      <c r="CC386" s="180"/>
      <c r="CD386" s="180"/>
      <c r="CE386" s="180"/>
      <c r="CF386" s="180"/>
      <c r="CG386" s="180"/>
      <c r="CH386" s="180"/>
      <c r="CI386" s="180"/>
      <c r="CJ386" s="180"/>
      <c r="CK386" s="180"/>
      <c r="CL386" s="180"/>
      <c r="CM386" s="180"/>
      <c r="CN386" s="180"/>
      <c r="CO386" s="180"/>
      <c r="CP386" s="180"/>
      <c r="CQ386" s="180"/>
      <c r="CR386" s="180"/>
      <c r="CS386" s="180"/>
      <c r="CT386" s="180"/>
      <c r="CU386" s="180"/>
      <c r="CV386" s="180"/>
      <c r="CW386" s="180"/>
      <c r="CX386" s="180"/>
      <c r="CY386" s="180"/>
      <c r="CZ386" s="180"/>
      <c r="DA386" s="180"/>
      <c r="DB386" s="180"/>
    </row>
    <row r="387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80"/>
      <c r="BN387" s="180"/>
      <c r="BO387" s="180"/>
      <c r="BP387" s="180"/>
      <c r="BQ387" s="180"/>
      <c r="BR387" s="180"/>
      <c r="BS387" s="180"/>
      <c r="BT387" s="180"/>
      <c r="BU387" s="180"/>
      <c r="BV387" s="180"/>
      <c r="BW387" s="180"/>
      <c r="BX387" s="180"/>
      <c r="BY387" s="180"/>
      <c r="BZ387" s="180"/>
      <c r="CA387" s="180"/>
      <c r="CB387" s="180"/>
      <c r="CC387" s="180"/>
      <c r="CD387" s="180"/>
      <c r="CE387" s="180"/>
      <c r="CF387" s="180"/>
      <c r="CG387" s="180"/>
      <c r="CH387" s="180"/>
      <c r="CI387" s="180"/>
      <c r="CJ387" s="180"/>
      <c r="CK387" s="180"/>
      <c r="CL387" s="180"/>
      <c r="CM387" s="180"/>
      <c r="CN387" s="180"/>
      <c r="CO387" s="180"/>
      <c r="CP387" s="180"/>
      <c r="CQ387" s="180"/>
      <c r="CR387" s="180"/>
      <c r="CS387" s="180"/>
      <c r="CT387" s="180"/>
      <c r="CU387" s="180"/>
      <c r="CV387" s="180"/>
      <c r="CW387" s="180"/>
      <c r="CX387" s="180"/>
      <c r="CY387" s="180"/>
      <c r="CZ387" s="180"/>
      <c r="DA387" s="180"/>
      <c r="DB387" s="180"/>
    </row>
    <row r="388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  <c r="K388" s="180"/>
      <c r="L388" s="180"/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  <c r="AG388" s="180"/>
      <c r="AH388" s="180"/>
      <c r="AI388" s="180"/>
      <c r="AJ388" s="180"/>
      <c r="AK388" s="180"/>
      <c r="AL388" s="180"/>
      <c r="AM388" s="180"/>
      <c r="AN388" s="180"/>
      <c r="AO388" s="180"/>
      <c r="AP388" s="180"/>
      <c r="AQ388" s="180"/>
      <c r="AR388" s="180"/>
      <c r="AS388" s="180"/>
      <c r="AT388" s="180"/>
      <c r="AU388" s="180"/>
      <c r="AV388" s="180"/>
      <c r="AW388" s="180"/>
      <c r="AX388" s="180"/>
      <c r="AY388" s="180"/>
      <c r="AZ388" s="180"/>
      <c r="BA388" s="180"/>
      <c r="BB388" s="180"/>
      <c r="BC388" s="180"/>
      <c r="BD388" s="180"/>
      <c r="BE388" s="180"/>
      <c r="BF388" s="180"/>
      <c r="BG388" s="180"/>
      <c r="BH388" s="180"/>
      <c r="BI388" s="180"/>
      <c r="BJ388" s="180"/>
      <c r="BK388" s="180"/>
      <c r="BL388" s="180"/>
      <c r="BM388" s="180"/>
      <c r="BN388" s="180"/>
      <c r="BO388" s="180"/>
      <c r="BP388" s="180"/>
      <c r="BQ388" s="180"/>
      <c r="BR388" s="180"/>
      <c r="BS388" s="180"/>
      <c r="BT388" s="180"/>
      <c r="BU388" s="180"/>
      <c r="BV388" s="180"/>
      <c r="BW388" s="180"/>
      <c r="BX388" s="180"/>
      <c r="BY388" s="180"/>
      <c r="BZ388" s="180"/>
      <c r="CA388" s="180"/>
      <c r="CB388" s="180"/>
      <c r="CC388" s="180"/>
      <c r="CD388" s="180"/>
      <c r="CE388" s="180"/>
      <c r="CF388" s="180"/>
      <c r="CG388" s="180"/>
      <c r="CH388" s="180"/>
      <c r="CI388" s="180"/>
      <c r="CJ388" s="180"/>
      <c r="CK388" s="180"/>
      <c r="CL388" s="180"/>
      <c r="CM388" s="180"/>
      <c r="CN388" s="180"/>
      <c r="CO388" s="180"/>
      <c r="CP388" s="180"/>
      <c r="CQ388" s="180"/>
      <c r="CR388" s="180"/>
      <c r="CS388" s="180"/>
      <c r="CT388" s="180"/>
      <c r="CU388" s="180"/>
      <c r="CV388" s="180"/>
      <c r="CW388" s="180"/>
      <c r="CX388" s="180"/>
      <c r="CY388" s="180"/>
      <c r="CZ388" s="180"/>
      <c r="DA388" s="180"/>
      <c r="DB388" s="180"/>
    </row>
    <row r="389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180"/>
      <c r="BN389" s="180"/>
      <c r="BO389" s="180"/>
      <c r="BP389" s="180"/>
      <c r="BQ389" s="180"/>
      <c r="BR389" s="180"/>
      <c r="BS389" s="180"/>
      <c r="BT389" s="180"/>
      <c r="BU389" s="180"/>
      <c r="BV389" s="180"/>
      <c r="BW389" s="180"/>
      <c r="BX389" s="180"/>
      <c r="BY389" s="180"/>
      <c r="BZ389" s="180"/>
      <c r="CA389" s="180"/>
      <c r="CB389" s="180"/>
      <c r="CC389" s="180"/>
      <c r="CD389" s="180"/>
      <c r="CE389" s="180"/>
      <c r="CF389" s="180"/>
      <c r="CG389" s="180"/>
      <c r="CH389" s="180"/>
      <c r="CI389" s="180"/>
      <c r="CJ389" s="180"/>
      <c r="CK389" s="180"/>
      <c r="CL389" s="180"/>
      <c r="CM389" s="180"/>
      <c r="CN389" s="180"/>
      <c r="CO389" s="180"/>
      <c r="CP389" s="180"/>
      <c r="CQ389" s="180"/>
      <c r="CR389" s="180"/>
      <c r="CS389" s="180"/>
      <c r="CT389" s="180"/>
      <c r="CU389" s="180"/>
      <c r="CV389" s="180"/>
      <c r="CW389" s="180"/>
      <c r="CX389" s="180"/>
      <c r="CY389" s="180"/>
      <c r="CZ389" s="180"/>
      <c r="DA389" s="180"/>
      <c r="DB389" s="180"/>
    </row>
    <row r="390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  <c r="BY390" s="180"/>
      <c r="BZ390" s="180"/>
      <c r="CA390" s="180"/>
      <c r="CB390" s="180"/>
      <c r="CC390" s="180"/>
      <c r="CD390" s="180"/>
      <c r="CE390" s="180"/>
      <c r="CF390" s="180"/>
      <c r="CG390" s="180"/>
      <c r="CH390" s="180"/>
      <c r="CI390" s="180"/>
      <c r="CJ390" s="180"/>
      <c r="CK390" s="180"/>
      <c r="CL390" s="180"/>
      <c r="CM390" s="180"/>
      <c r="CN390" s="180"/>
      <c r="CO390" s="180"/>
      <c r="CP390" s="180"/>
      <c r="CQ390" s="180"/>
      <c r="CR390" s="180"/>
      <c r="CS390" s="180"/>
      <c r="CT390" s="180"/>
      <c r="CU390" s="180"/>
      <c r="CV390" s="180"/>
      <c r="CW390" s="180"/>
      <c r="CX390" s="180"/>
      <c r="CY390" s="180"/>
      <c r="CZ390" s="180"/>
      <c r="DA390" s="180"/>
      <c r="DB390" s="180"/>
    </row>
    <row r="391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  <c r="BY391" s="180"/>
      <c r="BZ391" s="180"/>
      <c r="CA391" s="180"/>
      <c r="CB391" s="180"/>
      <c r="CC391" s="180"/>
      <c r="CD391" s="180"/>
      <c r="CE391" s="180"/>
      <c r="CF391" s="180"/>
      <c r="CG391" s="180"/>
      <c r="CH391" s="180"/>
      <c r="CI391" s="180"/>
      <c r="CJ391" s="180"/>
      <c r="CK391" s="180"/>
      <c r="CL391" s="180"/>
      <c r="CM391" s="180"/>
      <c r="CN391" s="180"/>
      <c r="CO391" s="180"/>
      <c r="CP391" s="180"/>
      <c r="CQ391" s="180"/>
      <c r="CR391" s="180"/>
      <c r="CS391" s="180"/>
      <c r="CT391" s="180"/>
      <c r="CU391" s="180"/>
      <c r="CV391" s="180"/>
      <c r="CW391" s="180"/>
      <c r="CX391" s="180"/>
      <c r="CY391" s="180"/>
      <c r="CZ391" s="180"/>
      <c r="DA391" s="180"/>
      <c r="DB391" s="180"/>
    </row>
    <row r="392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  <c r="BY392" s="180"/>
      <c r="BZ392" s="180"/>
      <c r="CA392" s="180"/>
      <c r="CB392" s="180"/>
      <c r="CC392" s="180"/>
      <c r="CD392" s="180"/>
      <c r="CE392" s="180"/>
      <c r="CF392" s="180"/>
      <c r="CG392" s="180"/>
      <c r="CH392" s="180"/>
      <c r="CI392" s="180"/>
      <c r="CJ392" s="180"/>
      <c r="CK392" s="180"/>
      <c r="CL392" s="180"/>
      <c r="CM392" s="180"/>
      <c r="CN392" s="180"/>
      <c r="CO392" s="180"/>
      <c r="CP392" s="180"/>
      <c r="CQ392" s="180"/>
      <c r="CR392" s="180"/>
      <c r="CS392" s="180"/>
      <c r="CT392" s="180"/>
      <c r="CU392" s="180"/>
      <c r="CV392" s="180"/>
      <c r="CW392" s="180"/>
      <c r="CX392" s="180"/>
      <c r="CY392" s="180"/>
      <c r="CZ392" s="180"/>
      <c r="DA392" s="180"/>
      <c r="DB392" s="180"/>
    </row>
    <row r="393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  <c r="K393" s="180"/>
      <c r="L393" s="180"/>
      <c r="M393" s="180"/>
      <c r="N393" s="180"/>
      <c r="O393" s="180"/>
      <c r="P393" s="180"/>
      <c r="Q393" s="180"/>
      <c r="R393" s="180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0"/>
      <c r="AL393" s="180"/>
      <c r="AM393" s="180"/>
      <c r="AN393" s="180"/>
      <c r="AO393" s="180"/>
      <c r="AP393" s="180"/>
      <c r="AQ393" s="180"/>
      <c r="AR393" s="180"/>
      <c r="AS393" s="180"/>
      <c r="AT393" s="180"/>
      <c r="AU393" s="180"/>
      <c r="AV393" s="180"/>
      <c r="AW393" s="180"/>
      <c r="AX393" s="180"/>
      <c r="AY393" s="180"/>
      <c r="AZ393" s="180"/>
      <c r="BA393" s="180"/>
      <c r="BB393" s="180"/>
      <c r="BC393" s="180"/>
      <c r="BD393" s="180"/>
      <c r="BE393" s="180"/>
      <c r="BF393" s="180"/>
      <c r="BG393" s="180"/>
      <c r="BH393" s="180"/>
      <c r="BI393" s="180"/>
      <c r="BJ393" s="180"/>
      <c r="BK393" s="180"/>
      <c r="BL393" s="180"/>
      <c r="BM393" s="180"/>
      <c r="BN393" s="180"/>
      <c r="BO393" s="180"/>
      <c r="BP393" s="180"/>
      <c r="BQ393" s="180"/>
      <c r="BR393" s="180"/>
      <c r="BS393" s="180"/>
      <c r="BT393" s="180"/>
      <c r="BU393" s="180"/>
      <c r="BV393" s="180"/>
      <c r="BW393" s="180"/>
      <c r="BX393" s="180"/>
      <c r="BY393" s="180"/>
      <c r="BZ393" s="180"/>
      <c r="CA393" s="180"/>
      <c r="CB393" s="180"/>
      <c r="CC393" s="180"/>
      <c r="CD393" s="180"/>
      <c r="CE393" s="180"/>
      <c r="CF393" s="180"/>
      <c r="CG393" s="180"/>
      <c r="CH393" s="180"/>
      <c r="CI393" s="180"/>
      <c r="CJ393" s="180"/>
      <c r="CK393" s="180"/>
      <c r="CL393" s="180"/>
      <c r="CM393" s="180"/>
      <c r="CN393" s="180"/>
      <c r="CO393" s="180"/>
      <c r="CP393" s="180"/>
      <c r="CQ393" s="180"/>
      <c r="CR393" s="180"/>
      <c r="CS393" s="180"/>
      <c r="CT393" s="180"/>
      <c r="CU393" s="180"/>
      <c r="CV393" s="180"/>
      <c r="CW393" s="180"/>
      <c r="CX393" s="180"/>
      <c r="CY393" s="180"/>
      <c r="CZ393" s="180"/>
      <c r="DA393" s="180"/>
      <c r="DB393" s="180"/>
    </row>
    <row r="394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  <c r="CB394" s="180"/>
      <c r="CC394" s="180"/>
      <c r="CD394" s="180"/>
      <c r="CE394" s="180"/>
      <c r="CF394" s="180"/>
      <c r="CG394" s="180"/>
      <c r="CH394" s="180"/>
      <c r="CI394" s="180"/>
      <c r="CJ394" s="180"/>
      <c r="CK394" s="180"/>
      <c r="CL394" s="180"/>
      <c r="CM394" s="180"/>
      <c r="CN394" s="180"/>
      <c r="CO394" s="180"/>
      <c r="CP394" s="180"/>
      <c r="CQ394" s="180"/>
      <c r="CR394" s="180"/>
      <c r="CS394" s="180"/>
      <c r="CT394" s="180"/>
      <c r="CU394" s="180"/>
      <c r="CV394" s="180"/>
      <c r="CW394" s="180"/>
      <c r="CX394" s="180"/>
      <c r="CY394" s="180"/>
      <c r="CZ394" s="180"/>
      <c r="DA394" s="180"/>
      <c r="DB394" s="180"/>
    </row>
    <row r="395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  <c r="BY395" s="180"/>
      <c r="BZ395" s="180"/>
      <c r="CA395" s="180"/>
      <c r="CB395" s="180"/>
      <c r="CC395" s="180"/>
      <c r="CD395" s="180"/>
      <c r="CE395" s="180"/>
      <c r="CF395" s="180"/>
      <c r="CG395" s="180"/>
      <c r="CH395" s="180"/>
      <c r="CI395" s="180"/>
      <c r="CJ395" s="180"/>
      <c r="CK395" s="180"/>
      <c r="CL395" s="180"/>
      <c r="CM395" s="180"/>
      <c r="CN395" s="180"/>
      <c r="CO395" s="180"/>
      <c r="CP395" s="180"/>
      <c r="CQ395" s="180"/>
      <c r="CR395" s="180"/>
      <c r="CS395" s="180"/>
      <c r="CT395" s="180"/>
      <c r="CU395" s="180"/>
      <c r="CV395" s="180"/>
      <c r="CW395" s="180"/>
      <c r="CX395" s="180"/>
      <c r="CY395" s="180"/>
      <c r="CZ395" s="180"/>
      <c r="DA395" s="180"/>
      <c r="DB395" s="180"/>
    </row>
    <row r="396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  <c r="BY396" s="180"/>
      <c r="BZ396" s="180"/>
      <c r="CA396" s="180"/>
      <c r="CB396" s="180"/>
      <c r="CC396" s="180"/>
      <c r="CD396" s="180"/>
      <c r="CE396" s="180"/>
      <c r="CF396" s="180"/>
      <c r="CG396" s="180"/>
      <c r="CH396" s="180"/>
      <c r="CI396" s="180"/>
      <c r="CJ396" s="180"/>
      <c r="CK396" s="180"/>
      <c r="CL396" s="180"/>
      <c r="CM396" s="180"/>
      <c r="CN396" s="180"/>
      <c r="CO396" s="180"/>
      <c r="CP396" s="180"/>
      <c r="CQ396" s="180"/>
      <c r="CR396" s="180"/>
      <c r="CS396" s="180"/>
      <c r="CT396" s="180"/>
      <c r="CU396" s="180"/>
      <c r="CV396" s="180"/>
      <c r="CW396" s="180"/>
      <c r="CX396" s="180"/>
      <c r="CY396" s="180"/>
      <c r="CZ396" s="180"/>
      <c r="DA396" s="180"/>
      <c r="DB396" s="180"/>
    </row>
    <row r="397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  <c r="BY397" s="180"/>
      <c r="BZ397" s="180"/>
      <c r="CA397" s="180"/>
      <c r="CB397" s="180"/>
      <c r="CC397" s="180"/>
      <c r="CD397" s="180"/>
      <c r="CE397" s="180"/>
      <c r="CF397" s="180"/>
      <c r="CG397" s="180"/>
      <c r="CH397" s="180"/>
      <c r="CI397" s="180"/>
      <c r="CJ397" s="180"/>
      <c r="CK397" s="180"/>
      <c r="CL397" s="180"/>
      <c r="CM397" s="180"/>
      <c r="CN397" s="180"/>
      <c r="CO397" s="180"/>
      <c r="CP397" s="180"/>
      <c r="CQ397" s="180"/>
      <c r="CR397" s="180"/>
      <c r="CS397" s="180"/>
      <c r="CT397" s="180"/>
      <c r="CU397" s="180"/>
      <c r="CV397" s="180"/>
      <c r="CW397" s="180"/>
      <c r="CX397" s="180"/>
      <c r="CY397" s="180"/>
      <c r="CZ397" s="180"/>
      <c r="DA397" s="180"/>
      <c r="DB397" s="180"/>
    </row>
    <row r="398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  <c r="BY398" s="180"/>
      <c r="BZ398" s="180"/>
      <c r="CA398" s="180"/>
      <c r="CB398" s="180"/>
      <c r="CC398" s="180"/>
      <c r="CD398" s="180"/>
      <c r="CE398" s="180"/>
      <c r="CF398" s="180"/>
      <c r="CG398" s="180"/>
      <c r="CH398" s="180"/>
      <c r="CI398" s="180"/>
      <c r="CJ398" s="180"/>
      <c r="CK398" s="180"/>
      <c r="CL398" s="180"/>
      <c r="CM398" s="180"/>
      <c r="CN398" s="180"/>
      <c r="CO398" s="180"/>
      <c r="CP398" s="180"/>
      <c r="CQ398" s="180"/>
      <c r="CR398" s="180"/>
      <c r="CS398" s="180"/>
      <c r="CT398" s="180"/>
      <c r="CU398" s="180"/>
      <c r="CV398" s="180"/>
      <c r="CW398" s="180"/>
      <c r="CX398" s="180"/>
      <c r="CY398" s="180"/>
      <c r="CZ398" s="180"/>
      <c r="DA398" s="180"/>
      <c r="DB398" s="180"/>
    </row>
    <row r="399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  <c r="BY399" s="180"/>
      <c r="BZ399" s="180"/>
      <c r="CA399" s="180"/>
      <c r="CB399" s="180"/>
      <c r="CC399" s="180"/>
      <c r="CD399" s="180"/>
      <c r="CE399" s="180"/>
      <c r="CF399" s="180"/>
      <c r="CG399" s="180"/>
      <c r="CH399" s="180"/>
      <c r="CI399" s="180"/>
      <c r="CJ399" s="180"/>
      <c r="CK399" s="180"/>
      <c r="CL399" s="180"/>
      <c r="CM399" s="180"/>
      <c r="CN399" s="180"/>
      <c r="CO399" s="180"/>
      <c r="CP399" s="180"/>
      <c r="CQ399" s="180"/>
      <c r="CR399" s="180"/>
      <c r="CS399" s="180"/>
      <c r="CT399" s="180"/>
      <c r="CU399" s="180"/>
      <c r="CV399" s="180"/>
      <c r="CW399" s="180"/>
      <c r="CX399" s="180"/>
      <c r="CY399" s="180"/>
      <c r="CZ399" s="180"/>
      <c r="DA399" s="180"/>
      <c r="DB399" s="180"/>
    </row>
    <row r="400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  <c r="BY400" s="180"/>
      <c r="BZ400" s="180"/>
      <c r="CA400" s="180"/>
      <c r="CB400" s="180"/>
      <c r="CC400" s="180"/>
      <c r="CD400" s="180"/>
      <c r="CE400" s="180"/>
      <c r="CF400" s="180"/>
      <c r="CG400" s="180"/>
      <c r="CH400" s="180"/>
      <c r="CI400" s="180"/>
      <c r="CJ400" s="180"/>
      <c r="CK400" s="180"/>
      <c r="CL400" s="180"/>
      <c r="CM400" s="180"/>
      <c r="CN400" s="180"/>
      <c r="CO400" s="180"/>
      <c r="CP400" s="180"/>
      <c r="CQ400" s="180"/>
      <c r="CR400" s="180"/>
      <c r="CS400" s="180"/>
      <c r="CT400" s="180"/>
      <c r="CU400" s="180"/>
      <c r="CV400" s="180"/>
      <c r="CW400" s="180"/>
      <c r="CX400" s="180"/>
      <c r="CY400" s="180"/>
      <c r="CZ400" s="180"/>
      <c r="DA400" s="180"/>
      <c r="DB400" s="180"/>
    </row>
    <row r="401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80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0"/>
      <c r="AL401" s="180"/>
      <c r="AM401" s="180"/>
      <c r="AN401" s="180"/>
      <c r="AO401" s="180"/>
      <c r="AP401" s="180"/>
      <c r="AQ401" s="180"/>
      <c r="AR401" s="180"/>
      <c r="AS401" s="180"/>
      <c r="AT401" s="180"/>
      <c r="AU401" s="180"/>
      <c r="AV401" s="180"/>
      <c r="AW401" s="180"/>
      <c r="AX401" s="180"/>
      <c r="AY401" s="180"/>
      <c r="AZ401" s="180"/>
      <c r="BA401" s="180"/>
      <c r="BB401" s="180"/>
      <c r="BC401" s="180"/>
      <c r="BD401" s="180"/>
      <c r="BE401" s="180"/>
      <c r="BF401" s="180"/>
      <c r="BG401" s="180"/>
      <c r="BH401" s="180"/>
      <c r="BI401" s="180"/>
      <c r="BJ401" s="180"/>
      <c r="BK401" s="180"/>
      <c r="BL401" s="180"/>
      <c r="BM401" s="180"/>
      <c r="BN401" s="180"/>
      <c r="BO401" s="180"/>
      <c r="BP401" s="180"/>
      <c r="BQ401" s="180"/>
      <c r="BR401" s="180"/>
      <c r="BS401" s="180"/>
      <c r="BT401" s="180"/>
      <c r="BU401" s="180"/>
      <c r="BV401" s="180"/>
      <c r="BW401" s="180"/>
      <c r="BX401" s="180"/>
      <c r="BY401" s="180"/>
      <c r="BZ401" s="180"/>
      <c r="CA401" s="180"/>
      <c r="CB401" s="180"/>
      <c r="CC401" s="180"/>
      <c r="CD401" s="180"/>
      <c r="CE401" s="180"/>
      <c r="CF401" s="180"/>
      <c r="CG401" s="180"/>
      <c r="CH401" s="180"/>
      <c r="CI401" s="180"/>
      <c r="CJ401" s="180"/>
      <c r="CK401" s="180"/>
      <c r="CL401" s="180"/>
      <c r="CM401" s="180"/>
      <c r="CN401" s="180"/>
      <c r="CO401" s="180"/>
      <c r="CP401" s="180"/>
      <c r="CQ401" s="180"/>
      <c r="CR401" s="180"/>
      <c r="CS401" s="180"/>
      <c r="CT401" s="180"/>
      <c r="CU401" s="180"/>
      <c r="CV401" s="180"/>
      <c r="CW401" s="180"/>
      <c r="CX401" s="180"/>
      <c r="CY401" s="180"/>
      <c r="CZ401" s="180"/>
      <c r="DA401" s="180"/>
      <c r="DB401" s="180"/>
    </row>
    <row r="402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  <c r="BY402" s="180"/>
      <c r="BZ402" s="180"/>
      <c r="CA402" s="180"/>
      <c r="CB402" s="180"/>
      <c r="CC402" s="180"/>
      <c r="CD402" s="180"/>
      <c r="CE402" s="180"/>
      <c r="CF402" s="180"/>
      <c r="CG402" s="180"/>
      <c r="CH402" s="180"/>
      <c r="CI402" s="180"/>
      <c r="CJ402" s="180"/>
      <c r="CK402" s="180"/>
      <c r="CL402" s="180"/>
      <c r="CM402" s="180"/>
      <c r="CN402" s="180"/>
      <c r="CO402" s="180"/>
      <c r="CP402" s="180"/>
      <c r="CQ402" s="180"/>
      <c r="CR402" s="180"/>
      <c r="CS402" s="180"/>
      <c r="CT402" s="180"/>
      <c r="CU402" s="180"/>
      <c r="CV402" s="180"/>
      <c r="CW402" s="180"/>
      <c r="CX402" s="180"/>
      <c r="CY402" s="180"/>
      <c r="CZ402" s="180"/>
      <c r="DA402" s="180"/>
      <c r="DB402" s="180"/>
    </row>
    <row r="403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  <c r="BY403" s="180"/>
      <c r="BZ403" s="180"/>
      <c r="CA403" s="180"/>
      <c r="CB403" s="180"/>
      <c r="CC403" s="180"/>
      <c r="CD403" s="180"/>
      <c r="CE403" s="180"/>
      <c r="CF403" s="180"/>
      <c r="CG403" s="180"/>
      <c r="CH403" s="180"/>
      <c r="CI403" s="180"/>
      <c r="CJ403" s="180"/>
      <c r="CK403" s="180"/>
      <c r="CL403" s="180"/>
      <c r="CM403" s="180"/>
      <c r="CN403" s="180"/>
      <c r="CO403" s="180"/>
      <c r="CP403" s="180"/>
      <c r="CQ403" s="180"/>
      <c r="CR403" s="180"/>
      <c r="CS403" s="180"/>
      <c r="CT403" s="180"/>
      <c r="CU403" s="180"/>
      <c r="CV403" s="180"/>
      <c r="CW403" s="180"/>
      <c r="CX403" s="180"/>
      <c r="CY403" s="180"/>
      <c r="CZ403" s="180"/>
      <c r="DA403" s="180"/>
      <c r="DB403" s="180"/>
    </row>
    <row r="404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  <c r="BY404" s="180"/>
      <c r="BZ404" s="180"/>
      <c r="CA404" s="180"/>
      <c r="CB404" s="180"/>
      <c r="CC404" s="180"/>
      <c r="CD404" s="180"/>
      <c r="CE404" s="180"/>
      <c r="CF404" s="180"/>
      <c r="CG404" s="180"/>
      <c r="CH404" s="180"/>
      <c r="CI404" s="180"/>
      <c r="CJ404" s="180"/>
      <c r="CK404" s="180"/>
      <c r="CL404" s="180"/>
      <c r="CM404" s="180"/>
      <c r="CN404" s="180"/>
      <c r="CO404" s="180"/>
      <c r="CP404" s="180"/>
      <c r="CQ404" s="180"/>
      <c r="CR404" s="180"/>
      <c r="CS404" s="180"/>
      <c r="CT404" s="180"/>
      <c r="CU404" s="180"/>
      <c r="CV404" s="180"/>
      <c r="CW404" s="180"/>
      <c r="CX404" s="180"/>
      <c r="CY404" s="180"/>
      <c r="CZ404" s="180"/>
      <c r="DA404" s="180"/>
      <c r="DB404" s="180"/>
    </row>
    <row r="405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  <c r="BY405" s="180"/>
      <c r="BZ405" s="180"/>
      <c r="CA405" s="180"/>
      <c r="CB405" s="180"/>
      <c r="CC405" s="180"/>
      <c r="CD405" s="180"/>
      <c r="CE405" s="180"/>
      <c r="CF405" s="180"/>
      <c r="CG405" s="180"/>
      <c r="CH405" s="180"/>
      <c r="CI405" s="180"/>
      <c r="CJ405" s="180"/>
      <c r="CK405" s="180"/>
      <c r="CL405" s="180"/>
      <c r="CM405" s="180"/>
      <c r="CN405" s="180"/>
      <c r="CO405" s="180"/>
      <c r="CP405" s="180"/>
      <c r="CQ405" s="180"/>
      <c r="CR405" s="180"/>
      <c r="CS405" s="180"/>
      <c r="CT405" s="180"/>
      <c r="CU405" s="180"/>
      <c r="CV405" s="180"/>
      <c r="CW405" s="180"/>
      <c r="CX405" s="180"/>
      <c r="CY405" s="180"/>
      <c r="CZ405" s="180"/>
      <c r="DA405" s="180"/>
      <c r="DB405" s="180"/>
    </row>
    <row r="406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  <c r="BY406" s="180"/>
      <c r="BZ406" s="180"/>
      <c r="CA406" s="180"/>
      <c r="CB406" s="180"/>
      <c r="CC406" s="180"/>
      <c r="CD406" s="180"/>
      <c r="CE406" s="180"/>
      <c r="CF406" s="180"/>
      <c r="CG406" s="180"/>
      <c r="CH406" s="180"/>
      <c r="CI406" s="180"/>
      <c r="CJ406" s="180"/>
      <c r="CK406" s="180"/>
      <c r="CL406" s="180"/>
      <c r="CM406" s="180"/>
      <c r="CN406" s="180"/>
      <c r="CO406" s="180"/>
      <c r="CP406" s="180"/>
      <c r="CQ406" s="180"/>
      <c r="CR406" s="180"/>
      <c r="CS406" s="180"/>
      <c r="CT406" s="180"/>
      <c r="CU406" s="180"/>
      <c r="CV406" s="180"/>
      <c r="CW406" s="180"/>
      <c r="CX406" s="180"/>
      <c r="CY406" s="180"/>
      <c r="CZ406" s="180"/>
      <c r="DA406" s="180"/>
      <c r="DB406" s="180"/>
    </row>
    <row r="407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  <c r="K407" s="180"/>
      <c r="L407" s="180"/>
      <c r="M407" s="180"/>
      <c r="N407" s="180"/>
      <c r="O407" s="180"/>
      <c r="P407" s="180"/>
      <c r="Q407" s="180"/>
      <c r="R407" s="180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0"/>
      <c r="AL407" s="180"/>
      <c r="AM407" s="180"/>
      <c r="AN407" s="180"/>
      <c r="AO407" s="180"/>
      <c r="AP407" s="180"/>
      <c r="AQ407" s="180"/>
      <c r="AR407" s="180"/>
      <c r="AS407" s="180"/>
      <c r="AT407" s="180"/>
      <c r="AU407" s="180"/>
      <c r="AV407" s="180"/>
      <c r="AW407" s="180"/>
      <c r="AX407" s="180"/>
      <c r="AY407" s="180"/>
      <c r="AZ407" s="180"/>
      <c r="BA407" s="180"/>
      <c r="BB407" s="180"/>
      <c r="BC407" s="180"/>
      <c r="BD407" s="180"/>
      <c r="BE407" s="180"/>
      <c r="BF407" s="180"/>
      <c r="BG407" s="180"/>
      <c r="BH407" s="180"/>
      <c r="BI407" s="180"/>
      <c r="BJ407" s="180"/>
      <c r="BK407" s="180"/>
      <c r="BL407" s="180"/>
      <c r="BM407" s="180"/>
      <c r="BN407" s="180"/>
      <c r="BO407" s="180"/>
      <c r="BP407" s="180"/>
      <c r="BQ407" s="180"/>
      <c r="BR407" s="180"/>
      <c r="BS407" s="180"/>
      <c r="BT407" s="180"/>
      <c r="BU407" s="180"/>
      <c r="BV407" s="180"/>
      <c r="BW407" s="180"/>
      <c r="BX407" s="180"/>
      <c r="BY407" s="180"/>
      <c r="BZ407" s="180"/>
      <c r="CA407" s="180"/>
      <c r="CB407" s="180"/>
      <c r="CC407" s="180"/>
      <c r="CD407" s="180"/>
      <c r="CE407" s="180"/>
      <c r="CF407" s="180"/>
      <c r="CG407" s="180"/>
      <c r="CH407" s="180"/>
      <c r="CI407" s="180"/>
      <c r="CJ407" s="180"/>
      <c r="CK407" s="180"/>
      <c r="CL407" s="180"/>
      <c r="CM407" s="180"/>
      <c r="CN407" s="180"/>
      <c r="CO407" s="180"/>
      <c r="CP407" s="180"/>
      <c r="CQ407" s="180"/>
      <c r="CR407" s="180"/>
      <c r="CS407" s="180"/>
      <c r="CT407" s="180"/>
      <c r="CU407" s="180"/>
      <c r="CV407" s="180"/>
      <c r="CW407" s="180"/>
      <c r="CX407" s="180"/>
      <c r="CY407" s="180"/>
      <c r="CZ407" s="180"/>
      <c r="DA407" s="180"/>
      <c r="DB407" s="180"/>
    </row>
    <row r="408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  <c r="BY408" s="180"/>
      <c r="BZ408" s="180"/>
      <c r="CA408" s="180"/>
      <c r="CB408" s="180"/>
      <c r="CC408" s="180"/>
      <c r="CD408" s="180"/>
      <c r="CE408" s="180"/>
      <c r="CF408" s="180"/>
      <c r="CG408" s="180"/>
      <c r="CH408" s="180"/>
      <c r="CI408" s="180"/>
      <c r="CJ408" s="180"/>
      <c r="CK408" s="180"/>
      <c r="CL408" s="180"/>
      <c r="CM408" s="180"/>
      <c r="CN408" s="180"/>
      <c r="CO408" s="180"/>
      <c r="CP408" s="180"/>
      <c r="CQ408" s="180"/>
      <c r="CR408" s="180"/>
      <c r="CS408" s="180"/>
      <c r="CT408" s="180"/>
      <c r="CU408" s="180"/>
      <c r="CV408" s="180"/>
      <c r="CW408" s="180"/>
      <c r="CX408" s="180"/>
      <c r="CY408" s="180"/>
      <c r="CZ408" s="180"/>
      <c r="DA408" s="180"/>
      <c r="DB408" s="180"/>
    </row>
    <row r="409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  <c r="BY409" s="180"/>
      <c r="BZ409" s="180"/>
      <c r="CA409" s="180"/>
      <c r="CB409" s="180"/>
      <c r="CC409" s="180"/>
      <c r="CD409" s="180"/>
      <c r="CE409" s="180"/>
      <c r="CF409" s="180"/>
      <c r="CG409" s="180"/>
      <c r="CH409" s="180"/>
      <c r="CI409" s="180"/>
      <c r="CJ409" s="180"/>
      <c r="CK409" s="180"/>
      <c r="CL409" s="180"/>
      <c r="CM409" s="180"/>
      <c r="CN409" s="180"/>
      <c r="CO409" s="180"/>
      <c r="CP409" s="180"/>
      <c r="CQ409" s="180"/>
      <c r="CR409" s="180"/>
      <c r="CS409" s="180"/>
      <c r="CT409" s="180"/>
      <c r="CU409" s="180"/>
      <c r="CV409" s="180"/>
      <c r="CW409" s="180"/>
      <c r="CX409" s="180"/>
      <c r="CY409" s="180"/>
      <c r="CZ409" s="180"/>
      <c r="DA409" s="180"/>
      <c r="DB409" s="180"/>
    </row>
    <row r="410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  <c r="BY410" s="180"/>
      <c r="BZ410" s="180"/>
      <c r="CA410" s="180"/>
      <c r="CB410" s="180"/>
      <c r="CC410" s="180"/>
      <c r="CD410" s="180"/>
      <c r="CE410" s="180"/>
      <c r="CF410" s="180"/>
      <c r="CG410" s="180"/>
      <c r="CH410" s="180"/>
      <c r="CI410" s="180"/>
      <c r="CJ410" s="180"/>
      <c r="CK410" s="180"/>
      <c r="CL410" s="180"/>
      <c r="CM410" s="180"/>
      <c r="CN410" s="180"/>
      <c r="CO410" s="180"/>
      <c r="CP410" s="180"/>
      <c r="CQ410" s="180"/>
      <c r="CR410" s="180"/>
      <c r="CS410" s="180"/>
      <c r="CT410" s="180"/>
      <c r="CU410" s="180"/>
      <c r="CV410" s="180"/>
      <c r="CW410" s="180"/>
      <c r="CX410" s="180"/>
      <c r="CY410" s="180"/>
      <c r="CZ410" s="180"/>
      <c r="DA410" s="180"/>
      <c r="DB410" s="180"/>
    </row>
    <row r="411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  <c r="BY411" s="180"/>
      <c r="BZ411" s="180"/>
      <c r="CA411" s="180"/>
      <c r="CB411" s="180"/>
      <c r="CC411" s="180"/>
      <c r="CD411" s="180"/>
      <c r="CE411" s="180"/>
      <c r="CF411" s="180"/>
      <c r="CG411" s="180"/>
      <c r="CH411" s="180"/>
      <c r="CI411" s="180"/>
      <c r="CJ411" s="180"/>
      <c r="CK411" s="180"/>
      <c r="CL411" s="180"/>
      <c r="CM411" s="180"/>
      <c r="CN411" s="180"/>
      <c r="CO411" s="180"/>
      <c r="CP411" s="180"/>
      <c r="CQ411" s="180"/>
      <c r="CR411" s="180"/>
      <c r="CS411" s="180"/>
      <c r="CT411" s="180"/>
      <c r="CU411" s="180"/>
      <c r="CV411" s="180"/>
      <c r="CW411" s="180"/>
      <c r="CX411" s="180"/>
      <c r="CY411" s="180"/>
      <c r="CZ411" s="180"/>
      <c r="DA411" s="180"/>
      <c r="DB411" s="180"/>
    </row>
    <row r="412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  <c r="BY412" s="180"/>
      <c r="BZ412" s="180"/>
      <c r="CA412" s="180"/>
      <c r="CB412" s="180"/>
      <c r="CC412" s="180"/>
      <c r="CD412" s="180"/>
      <c r="CE412" s="180"/>
      <c r="CF412" s="180"/>
      <c r="CG412" s="180"/>
      <c r="CH412" s="180"/>
      <c r="CI412" s="180"/>
      <c r="CJ412" s="180"/>
      <c r="CK412" s="180"/>
      <c r="CL412" s="180"/>
      <c r="CM412" s="180"/>
      <c r="CN412" s="180"/>
      <c r="CO412" s="180"/>
      <c r="CP412" s="180"/>
      <c r="CQ412" s="180"/>
      <c r="CR412" s="180"/>
      <c r="CS412" s="180"/>
      <c r="CT412" s="180"/>
      <c r="CU412" s="180"/>
      <c r="CV412" s="180"/>
      <c r="CW412" s="180"/>
      <c r="CX412" s="180"/>
      <c r="CY412" s="180"/>
      <c r="CZ412" s="180"/>
      <c r="DA412" s="180"/>
      <c r="DB412" s="180"/>
    </row>
    <row r="413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  <c r="BY413" s="180"/>
      <c r="BZ413" s="180"/>
      <c r="CA413" s="180"/>
      <c r="CB413" s="180"/>
      <c r="CC413" s="180"/>
      <c r="CD413" s="180"/>
      <c r="CE413" s="180"/>
      <c r="CF413" s="180"/>
      <c r="CG413" s="180"/>
      <c r="CH413" s="180"/>
      <c r="CI413" s="180"/>
      <c r="CJ413" s="180"/>
      <c r="CK413" s="180"/>
      <c r="CL413" s="180"/>
      <c r="CM413" s="180"/>
      <c r="CN413" s="180"/>
      <c r="CO413" s="180"/>
      <c r="CP413" s="180"/>
      <c r="CQ413" s="180"/>
      <c r="CR413" s="180"/>
      <c r="CS413" s="180"/>
      <c r="CT413" s="180"/>
      <c r="CU413" s="180"/>
      <c r="CV413" s="180"/>
      <c r="CW413" s="180"/>
      <c r="CX413" s="180"/>
      <c r="CY413" s="180"/>
      <c r="CZ413" s="180"/>
      <c r="DA413" s="180"/>
      <c r="DB413" s="180"/>
    </row>
    <row r="414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  <c r="BY414" s="180"/>
      <c r="BZ414" s="180"/>
      <c r="CA414" s="180"/>
      <c r="CB414" s="180"/>
      <c r="CC414" s="180"/>
      <c r="CD414" s="180"/>
      <c r="CE414" s="180"/>
      <c r="CF414" s="180"/>
      <c r="CG414" s="180"/>
      <c r="CH414" s="180"/>
      <c r="CI414" s="180"/>
      <c r="CJ414" s="180"/>
      <c r="CK414" s="180"/>
      <c r="CL414" s="180"/>
      <c r="CM414" s="180"/>
      <c r="CN414" s="180"/>
      <c r="CO414" s="180"/>
      <c r="CP414" s="180"/>
      <c r="CQ414" s="180"/>
      <c r="CR414" s="180"/>
      <c r="CS414" s="180"/>
      <c r="CT414" s="180"/>
      <c r="CU414" s="180"/>
      <c r="CV414" s="180"/>
      <c r="CW414" s="180"/>
      <c r="CX414" s="180"/>
      <c r="CY414" s="180"/>
      <c r="CZ414" s="180"/>
      <c r="DA414" s="180"/>
      <c r="DB414" s="180"/>
    </row>
    <row r="415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  <c r="BY415" s="180"/>
      <c r="BZ415" s="180"/>
      <c r="CA415" s="180"/>
      <c r="CB415" s="180"/>
      <c r="CC415" s="180"/>
      <c r="CD415" s="180"/>
      <c r="CE415" s="180"/>
      <c r="CF415" s="180"/>
      <c r="CG415" s="180"/>
      <c r="CH415" s="180"/>
      <c r="CI415" s="180"/>
      <c r="CJ415" s="180"/>
      <c r="CK415" s="180"/>
      <c r="CL415" s="180"/>
      <c r="CM415" s="180"/>
      <c r="CN415" s="180"/>
      <c r="CO415" s="180"/>
      <c r="CP415" s="180"/>
      <c r="CQ415" s="180"/>
      <c r="CR415" s="180"/>
      <c r="CS415" s="180"/>
      <c r="CT415" s="180"/>
      <c r="CU415" s="180"/>
      <c r="CV415" s="180"/>
      <c r="CW415" s="180"/>
      <c r="CX415" s="180"/>
      <c r="CY415" s="180"/>
      <c r="CZ415" s="180"/>
      <c r="DA415" s="180"/>
      <c r="DB415" s="180"/>
    </row>
    <row r="416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  <c r="BY416" s="180"/>
      <c r="BZ416" s="180"/>
      <c r="CA416" s="180"/>
      <c r="CB416" s="180"/>
      <c r="CC416" s="180"/>
      <c r="CD416" s="180"/>
      <c r="CE416" s="180"/>
      <c r="CF416" s="180"/>
      <c r="CG416" s="180"/>
      <c r="CH416" s="180"/>
      <c r="CI416" s="180"/>
      <c r="CJ416" s="180"/>
      <c r="CK416" s="180"/>
      <c r="CL416" s="180"/>
      <c r="CM416" s="180"/>
      <c r="CN416" s="180"/>
      <c r="CO416" s="180"/>
      <c r="CP416" s="180"/>
      <c r="CQ416" s="180"/>
      <c r="CR416" s="180"/>
      <c r="CS416" s="180"/>
      <c r="CT416" s="180"/>
      <c r="CU416" s="180"/>
      <c r="CV416" s="180"/>
      <c r="CW416" s="180"/>
      <c r="CX416" s="180"/>
      <c r="CY416" s="180"/>
      <c r="CZ416" s="180"/>
      <c r="DA416" s="180"/>
      <c r="DB416" s="180"/>
    </row>
    <row r="417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  <c r="BY417" s="180"/>
      <c r="BZ417" s="180"/>
      <c r="CA417" s="180"/>
      <c r="CB417" s="180"/>
      <c r="CC417" s="180"/>
      <c r="CD417" s="180"/>
      <c r="CE417" s="180"/>
      <c r="CF417" s="180"/>
      <c r="CG417" s="180"/>
      <c r="CH417" s="180"/>
      <c r="CI417" s="180"/>
      <c r="CJ417" s="180"/>
      <c r="CK417" s="180"/>
      <c r="CL417" s="180"/>
      <c r="CM417" s="180"/>
      <c r="CN417" s="180"/>
      <c r="CO417" s="180"/>
      <c r="CP417" s="180"/>
      <c r="CQ417" s="180"/>
      <c r="CR417" s="180"/>
      <c r="CS417" s="180"/>
      <c r="CT417" s="180"/>
      <c r="CU417" s="180"/>
      <c r="CV417" s="180"/>
      <c r="CW417" s="180"/>
      <c r="CX417" s="180"/>
      <c r="CY417" s="180"/>
      <c r="CZ417" s="180"/>
      <c r="DA417" s="180"/>
      <c r="DB417" s="180"/>
    </row>
    <row r="418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  <c r="BY418" s="180"/>
      <c r="BZ418" s="180"/>
      <c r="CA418" s="180"/>
      <c r="CB418" s="180"/>
      <c r="CC418" s="180"/>
      <c r="CD418" s="180"/>
      <c r="CE418" s="180"/>
      <c r="CF418" s="180"/>
      <c r="CG418" s="180"/>
      <c r="CH418" s="180"/>
      <c r="CI418" s="180"/>
      <c r="CJ418" s="180"/>
      <c r="CK418" s="180"/>
      <c r="CL418" s="180"/>
      <c r="CM418" s="180"/>
      <c r="CN418" s="180"/>
      <c r="CO418" s="180"/>
      <c r="CP418" s="180"/>
      <c r="CQ418" s="180"/>
      <c r="CR418" s="180"/>
      <c r="CS418" s="180"/>
      <c r="CT418" s="180"/>
      <c r="CU418" s="180"/>
      <c r="CV418" s="180"/>
      <c r="CW418" s="180"/>
      <c r="CX418" s="180"/>
      <c r="CY418" s="180"/>
      <c r="CZ418" s="180"/>
      <c r="DA418" s="180"/>
      <c r="DB418" s="180"/>
    </row>
    <row r="419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  <c r="BY419" s="180"/>
      <c r="BZ419" s="180"/>
      <c r="CA419" s="180"/>
      <c r="CB419" s="180"/>
      <c r="CC419" s="180"/>
      <c r="CD419" s="180"/>
      <c r="CE419" s="180"/>
      <c r="CF419" s="180"/>
      <c r="CG419" s="180"/>
      <c r="CH419" s="180"/>
      <c r="CI419" s="180"/>
      <c r="CJ419" s="180"/>
      <c r="CK419" s="180"/>
      <c r="CL419" s="180"/>
      <c r="CM419" s="180"/>
      <c r="CN419" s="180"/>
      <c r="CO419" s="180"/>
      <c r="CP419" s="180"/>
      <c r="CQ419" s="180"/>
      <c r="CR419" s="180"/>
      <c r="CS419" s="180"/>
      <c r="CT419" s="180"/>
      <c r="CU419" s="180"/>
      <c r="CV419" s="180"/>
      <c r="CW419" s="180"/>
      <c r="CX419" s="180"/>
      <c r="CY419" s="180"/>
      <c r="CZ419" s="180"/>
      <c r="DA419" s="180"/>
      <c r="DB419" s="180"/>
    </row>
    <row r="420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  <c r="BY420" s="180"/>
      <c r="BZ420" s="180"/>
      <c r="CA420" s="180"/>
      <c r="CB420" s="180"/>
      <c r="CC420" s="180"/>
      <c r="CD420" s="180"/>
      <c r="CE420" s="180"/>
      <c r="CF420" s="180"/>
      <c r="CG420" s="180"/>
      <c r="CH420" s="180"/>
      <c r="CI420" s="180"/>
      <c r="CJ420" s="180"/>
      <c r="CK420" s="180"/>
      <c r="CL420" s="180"/>
      <c r="CM420" s="180"/>
      <c r="CN420" s="180"/>
      <c r="CO420" s="180"/>
      <c r="CP420" s="180"/>
      <c r="CQ420" s="180"/>
      <c r="CR420" s="180"/>
      <c r="CS420" s="180"/>
      <c r="CT420" s="180"/>
      <c r="CU420" s="180"/>
      <c r="CV420" s="180"/>
      <c r="CW420" s="180"/>
      <c r="CX420" s="180"/>
      <c r="CY420" s="180"/>
      <c r="CZ420" s="180"/>
      <c r="DA420" s="180"/>
      <c r="DB420" s="180"/>
    </row>
    <row r="421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  <c r="BY421" s="180"/>
      <c r="BZ421" s="180"/>
      <c r="CA421" s="180"/>
      <c r="CB421" s="180"/>
      <c r="CC421" s="180"/>
      <c r="CD421" s="180"/>
      <c r="CE421" s="180"/>
      <c r="CF421" s="180"/>
      <c r="CG421" s="180"/>
      <c r="CH421" s="180"/>
      <c r="CI421" s="180"/>
      <c r="CJ421" s="180"/>
      <c r="CK421" s="180"/>
      <c r="CL421" s="180"/>
      <c r="CM421" s="180"/>
      <c r="CN421" s="180"/>
      <c r="CO421" s="180"/>
      <c r="CP421" s="180"/>
      <c r="CQ421" s="180"/>
      <c r="CR421" s="180"/>
      <c r="CS421" s="180"/>
      <c r="CT421" s="180"/>
      <c r="CU421" s="180"/>
      <c r="CV421" s="180"/>
      <c r="CW421" s="180"/>
      <c r="CX421" s="180"/>
      <c r="CY421" s="180"/>
      <c r="CZ421" s="180"/>
      <c r="DA421" s="180"/>
      <c r="DB421" s="180"/>
    </row>
    <row r="422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  <c r="BY422" s="180"/>
      <c r="BZ422" s="180"/>
      <c r="CA422" s="180"/>
      <c r="CB422" s="180"/>
      <c r="CC422" s="180"/>
      <c r="CD422" s="180"/>
      <c r="CE422" s="180"/>
      <c r="CF422" s="180"/>
      <c r="CG422" s="180"/>
      <c r="CH422" s="180"/>
      <c r="CI422" s="180"/>
      <c r="CJ422" s="180"/>
      <c r="CK422" s="180"/>
      <c r="CL422" s="180"/>
      <c r="CM422" s="180"/>
      <c r="CN422" s="180"/>
      <c r="CO422" s="180"/>
      <c r="CP422" s="180"/>
      <c r="CQ422" s="180"/>
      <c r="CR422" s="180"/>
      <c r="CS422" s="180"/>
      <c r="CT422" s="180"/>
      <c r="CU422" s="180"/>
      <c r="CV422" s="180"/>
      <c r="CW422" s="180"/>
      <c r="CX422" s="180"/>
      <c r="CY422" s="180"/>
      <c r="CZ422" s="180"/>
      <c r="DA422" s="180"/>
      <c r="DB422" s="180"/>
    </row>
    <row r="423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  <c r="BY423" s="180"/>
      <c r="BZ423" s="180"/>
      <c r="CA423" s="180"/>
      <c r="CB423" s="180"/>
      <c r="CC423" s="180"/>
      <c r="CD423" s="180"/>
      <c r="CE423" s="180"/>
      <c r="CF423" s="180"/>
      <c r="CG423" s="180"/>
      <c r="CH423" s="180"/>
      <c r="CI423" s="180"/>
      <c r="CJ423" s="180"/>
      <c r="CK423" s="180"/>
      <c r="CL423" s="180"/>
      <c r="CM423" s="180"/>
      <c r="CN423" s="180"/>
      <c r="CO423" s="180"/>
      <c r="CP423" s="180"/>
      <c r="CQ423" s="180"/>
      <c r="CR423" s="180"/>
      <c r="CS423" s="180"/>
      <c r="CT423" s="180"/>
      <c r="CU423" s="180"/>
      <c r="CV423" s="180"/>
      <c r="CW423" s="180"/>
      <c r="CX423" s="180"/>
      <c r="CY423" s="180"/>
      <c r="CZ423" s="180"/>
      <c r="DA423" s="180"/>
      <c r="DB423" s="180"/>
    </row>
    <row r="424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  <c r="BY424" s="180"/>
      <c r="BZ424" s="180"/>
      <c r="CA424" s="180"/>
      <c r="CB424" s="180"/>
      <c r="CC424" s="180"/>
      <c r="CD424" s="180"/>
      <c r="CE424" s="180"/>
      <c r="CF424" s="180"/>
      <c r="CG424" s="180"/>
      <c r="CH424" s="180"/>
      <c r="CI424" s="180"/>
      <c r="CJ424" s="180"/>
      <c r="CK424" s="180"/>
      <c r="CL424" s="180"/>
      <c r="CM424" s="180"/>
      <c r="CN424" s="180"/>
      <c r="CO424" s="180"/>
      <c r="CP424" s="180"/>
      <c r="CQ424" s="180"/>
      <c r="CR424" s="180"/>
      <c r="CS424" s="180"/>
      <c r="CT424" s="180"/>
      <c r="CU424" s="180"/>
      <c r="CV424" s="180"/>
      <c r="CW424" s="180"/>
      <c r="CX424" s="180"/>
      <c r="CY424" s="180"/>
      <c r="CZ424" s="180"/>
      <c r="DA424" s="180"/>
      <c r="DB424" s="180"/>
    </row>
    <row r="425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  <c r="BY425" s="180"/>
      <c r="BZ425" s="180"/>
      <c r="CA425" s="180"/>
      <c r="CB425" s="180"/>
      <c r="CC425" s="180"/>
      <c r="CD425" s="180"/>
      <c r="CE425" s="180"/>
      <c r="CF425" s="180"/>
      <c r="CG425" s="180"/>
      <c r="CH425" s="180"/>
      <c r="CI425" s="180"/>
      <c r="CJ425" s="180"/>
      <c r="CK425" s="180"/>
      <c r="CL425" s="180"/>
      <c r="CM425" s="180"/>
      <c r="CN425" s="180"/>
      <c r="CO425" s="180"/>
      <c r="CP425" s="180"/>
      <c r="CQ425" s="180"/>
      <c r="CR425" s="180"/>
      <c r="CS425" s="180"/>
      <c r="CT425" s="180"/>
      <c r="CU425" s="180"/>
      <c r="CV425" s="180"/>
      <c r="CW425" s="180"/>
      <c r="CX425" s="180"/>
      <c r="CY425" s="180"/>
      <c r="CZ425" s="180"/>
      <c r="DA425" s="180"/>
      <c r="DB425" s="180"/>
    </row>
    <row r="426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  <c r="BY426" s="180"/>
      <c r="BZ426" s="180"/>
      <c r="CA426" s="180"/>
      <c r="CB426" s="180"/>
      <c r="CC426" s="180"/>
      <c r="CD426" s="180"/>
      <c r="CE426" s="180"/>
      <c r="CF426" s="180"/>
      <c r="CG426" s="180"/>
      <c r="CH426" s="180"/>
      <c r="CI426" s="180"/>
      <c r="CJ426" s="180"/>
      <c r="CK426" s="180"/>
      <c r="CL426" s="180"/>
      <c r="CM426" s="180"/>
      <c r="CN426" s="180"/>
      <c r="CO426" s="180"/>
      <c r="CP426" s="180"/>
      <c r="CQ426" s="180"/>
      <c r="CR426" s="180"/>
      <c r="CS426" s="180"/>
      <c r="CT426" s="180"/>
      <c r="CU426" s="180"/>
      <c r="CV426" s="180"/>
      <c r="CW426" s="180"/>
      <c r="CX426" s="180"/>
      <c r="CY426" s="180"/>
      <c r="CZ426" s="180"/>
      <c r="DA426" s="180"/>
      <c r="DB426" s="180"/>
    </row>
    <row r="427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  <c r="BY427" s="180"/>
      <c r="BZ427" s="180"/>
      <c r="CA427" s="180"/>
      <c r="CB427" s="180"/>
      <c r="CC427" s="180"/>
      <c r="CD427" s="180"/>
      <c r="CE427" s="180"/>
      <c r="CF427" s="180"/>
      <c r="CG427" s="180"/>
      <c r="CH427" s="180"/>
      <c r="CI427" s="180"/>
      <c r="CJ427" s="180"/>
      <c r="CK427" s="180"/>
      <c r="CL427" s="180"/>
      <c r="CM427" s="180"/>
      <c r="CN427" s="180"/>
      <c r="CO427" s="180"/>
      <c r="CP427" s="180"/>
      <c r="CQ427" s="180"/>
      <c r="CR427" s="180"/>
      <c r="CS427" s="180"/>
      <c r="CT427" s="180"/>
      <c r="CU427" s="180"/>
      <c r="CV427" s="180"/>
      <c r="CW427" s="180"/>
      <c r="CX427" s="180"/>
      <c r="CY427" s="180"/>
      <c r="CZ427" s="180"/>
      <c r="DA427" s="180"/>
      <c r="DB427" s="180"/>
    </row>
    <row r="428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  <c r="BY428" s="180"/>
      <c r="BZ428" s="180"/>
      <c r="CA428" s="180"/>
      <c r="CB428" s="180"/>
      <c r="CC428" s="180"/>
      <c r="CD428" s="180"/>
      <c r="CE428" s="180"/>
      <c r="CF428" s="180"/>
      <c r="CG428" s="180"/>
      <c r="CH428" s="180"/>
      <c r="CI428" s="180"/>
      <c r="CJ428" s="180"/>
      <c r="CK428" s="180"/>
      <c r="CL428" s="180"/>
      <c r="CM428" s="180"/>
      <c r="CN428" s="180"/>
      <c r="CO428" s="180"/>
      <c r="CP428" s="180"/>
      <c r="CQ428" s="180"/>
      <c r="CR428" s="180"/>
      <c r="CS428" s="180"/>
      <c r="CT428" s="180"/>
      <c r="CU428" s="180"/>
      <c r="CV428" s="180"/>
      <c r="CW428" s="180"/>
      <c r="CX428" s="180"/>
      <c r="CY428" s="180"/>
      <c r="CZ428" s="180"/>
      <c r="DA428" s="180"/>
      <c r="DB428" s="180"/>
    </row>
    <row r="429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  <c r="BY429" s="180"/>
      <c r="BZ429" s="180"/>
      <c r="CA429" s="180"/>
      <c r="CB429" s="180"/>
      <c r="CC429" s="180"/>
      <c r="CD429" s="180"/>
      <c r="CE429" s="180"/>
      <c r="CF429" s="180"/>
      <c r="CG429" s="180"/>
      <c r="CH429" s="180"/>
      <c r="CI429" s="180"/>
      <c r="CJ429" s="180"/>
      <c r="CK429" s="180"/>
      <c r="CL429" s="180"/>
      <c r="CM429" s="180"/>
      <c r="CN429" s="180"/>
      <c r="CO429" s="180"/>
      <c r="CP429" s="180"/>
      <c r="CQ429" s="180"/>
      <c r="CR429" s="180"/>
      <c r="CS429" s="180"/>
      <c r="CT429" s="180"/>
      <c r="CU429" s="180"/>
      <c r="CV429" s="180"/>
      <c r="CW429" s="180"/>
      <c r="CX429" s="180"/>
      <c r="CY429" s="180"/>
      <c r="CZ429" s="180"/>
      <c r="DA429" s="180"/>
      <c r="DB429" s="180"/>
    </row>
    <row r="430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  <c r="K430" s="180"/>
      <c r="L430" s="180"/>
      <c r="M430" s="180"/>
      <c r="N430" s="180"/>
      <c r="O430" s="180"/>
      <c r="P430" s="180"/>
      <c r="Q430" s="180"/>
      <c r="R430" s="180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180"/>
      <c r="AW430" s="180"/>
      <c r="AX430" s="180"/>
      <c r="AY430" s="180"/>
      <c r="AZ430" s="180"/>
      <c r="BA430" s="180"/>
      <c r="BB430" s="180"/>
      <c r="BC430" s="180"/>
      <c r="BD430" s="180"/>
      <c r="BE430" s="180"/>
      <c r="BF430" s="180"/>
      <c r="BG430" s="180"/>
      <c r="BH430" s="180"/>
      <c r="BI430" s="180"/>
      <c r="BJ430" s="180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180"/>
      <c r="BV430" s="180"/>
      <c r="BW430" s="180"/>
      <c r="BX430" s="180"/>
      <c r="BY430" s="180"/>
      <c r="BZ430" s="180"/>
      <c r="CA430" s="180"/>
      <c r="CB430" s="180"/>
      <c r="CC430" s="180"/>
      <c r="CD430" s="180"/>
      <c r="CE430" s="180"/>
      <c r="CF430" s="180"/>
      <c r="CG430" s="180"/>
      <c r="CH430" s="180"/>
      <c r="CI430" s="180"/>
      <c r="CJ430" s="180"/>
      <c r="CK430" s="180"/>
      <c r="CL430" s="180"/>
      <c r="CM430" s="180"/>
      <c r="CN430" s="180"/>
      <c r="CO430" s="180"/>
      <c r="CP430" s="180"/>
      <c r="CQ430" s="180"/>
      <c r="CR430" s="180"/>
      <c r="CS430" s="180"/>
      <c r="CT430" s="180"/>
      <c r="CU430" s="180"/>
      <c r="CV430" s="180"/>
      <c r="CW430" s="180"/>
      <c r="CX430" s="180"/>
      <c r="CY430" s="180"/>
      <c r="CZ430" s="180"/>
      <c r="DA430" s="180"/>
      <c r="DB430" s="180"/>
    </row>
    <row r="431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  <c r="BY431" s="180"/>
      <c r="BZ431" s="180"/>
      <c r="CA431" s="180"/>
      <c r="CB431" s="180"/>
      <c r="CC431" s="180"/>
      <c r="CD431" s="180"/>
      <c r="CE431" s="180"/>
      <c r="CF431" s="180"/>
      <c r="CG431" s="180"/>
      <c r="CH431" s="180"/>
      <c r="CI431" s="180"/>
      <c r="CJ431" s="180"/>
      <c r="CK431" s="180"/>
      <c r="CL431" s="180"/>
      <c r="CM431" s="180"/>
      <c r="CN431" s="180"/>
      <c r="CO431" s="180"/>
      <c r="CP431" s="180"/>
      <c r="CQ431" s="180"/>
      <c r="CR431" s="180"/>
      <c r="CS431" s="180"/>
      <c r="CT431" s="180"/>
      <c r="CU431" s="180"/>
      <c r="CV431" s="180"/>
      <c r="CW431" s="180"/>
      <c r="CX431" s="180"/>
      <c r="CY431" s="180"/>
      <c r="CZ431" s="180"/>
      <c r="DA431" s="180"/>
      <c r="DB431" s="180"/>
    </row>
    <row r="432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  <c r="BY432" s="180"/>
      <c r="BZ432" s="180"/>
      <c r="CA432" s="180"/>
      <c r="CB432" s="180"/>
      <c r="CC432" s="180"/>
      <c r="CD432" s="180"/>
      <c r="CE432" s="180"/>
      <c r="CF432" s="180"/>
      <c r="CG432" s="180"/>
      <c r="CH432" s="180"/>
      <c r="CI432" s="180"/>
      <c r="CJ432" s="180"/>
      <c r="CK432" s="180"/>
      <c r="CL432" s="180"/>
      <c r="CM432" s="180"/>
      <c r="CN432" s="180"/>
      <c r="CO432" s="180"/>
      <c r="CP432" s="180"/>
      <c r="CQ432" s="180"/>
      <c r="CR432" s="180"/>
      <c r="CS432" s="180"/>
      <c r="CT432" s="180"/>
      <c r="CU432" s="180"/>
      <c r="CV432" s="180"/>
      <c r="CW432" s="180"/>
      <c r="CX432" s="180"/>
      <c r="CY432" s="180"/>
      <c r="CZ432" s="180"/>
      <c r="DA432" s="180"/>
      <c r="DB432" s="180"/>
    </row>
    <row r="433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  <c r="BY433" s="180"/>
      <c r="BZ433" s="180"/>
      <c r="CA433" s="180"/>
      <c r="CB433" s="180"/>
      <c r="CC433" s="180"/>
      <c r="CD433" s="180"/>
      <c r="CE433" s="180"/>
      <c r="CF433" s="180"/>
      <c r="CG433" s="180"/>
      <c r="CH433" s="180"/>
      <c r="CI433" s="180"/>
      <c r="CJ433" s="180"/>
      <c r="CK433" s="180"/>
      <c r="CL433" s="180"/>
      <c r="CM433" s="180"/>
      <c r="CN433" s="180"/>
      <c r="CO433" s="180"/>
      <c r="CP433" s="180"/>
      <c r="CQ433" s="180"/>
      <c r="CR433" s="180"/>
      <c r="CS433" s="180"/>
      <c r="CT433" s="180"/>
      <c r="CU433" s="180"/>
      <c r="CV433" s="180"/>
      <c r="CW433" s="180"/>
      <c r="CX433" s="180"/>
      <c r="CY433" s="180"/>
      <c r="CZ433" s="180"/>
      <c r="DA433" s="180"/>
      <c r="DB433" s="180"/>
    </row>
    <row r="434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  <c r="BY434" s="180"/>
      <c r="BZ434" s="180"/>
      <c r="CA434" s="180"/>
      <c r="CB434" s="180"/>
      <c r="CC434" s="180"/>
      <c r="CD434" s="180"/>
      <c r="CE434" s="180"/>
      <c r="CF434" s="180"/>
      <c r="CG434" s="180"/>
      <c r="CH434" s="180"/>
      <c r="CI434" s="180"/>
      <c r="CJ434" s="180"/>
      <c r="CK434" s="180"/>
      <c r="CL434" s="180"/>
      <c r="CM434" s="180"/>
      <c r="CN434" s="180"/>
      <c r="CO434" s="180"/>
      <c r="CP434" s="180"/>
      <c r="CQ434" s="180"/>
      <c r="CR434" s="180"/>
      <c r="CS434" s="180"/>
      <c r="CT434" s="180"/>
      <c r="CU434" s="180"/>
      <c r="CV434" s="180"/>
      <c r="CW434" s="180"/>
      <c r="CX434" s="180"/>
      <c r="CY434" s="180"/>
      <c r="CZ434" s="180"/>
      <c r="DA434" s="180"/>
      <c r="DB434" s="180"/>
    </row>
    <row r="435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  <c r="AG435" s="180"/>
      <c r="AH435" s="180"/>
      <c r="AI435" s="180"/>
      <c r="AJ435" s="180"/>
      <c r="AK435" s="180"/>
      <c r="AL435" s="180"/>
      <c r="AM435" s="180"/>
      <c r="AN435" s="180"/>
      <c r="AO435" s="180"/>
      <c r="AP435" s="180"/>
      <c r="AQ435" s="180"/>
      <c r="AR435" s="180"/>
      <c r="AS435" s="180"/>
      <c r="AT435" s="180"/>
      <c r="AU435" s="180"/>
      <c r="AV435" s="180"/>
      <c r="AW435" s="180"/>
      <c r="AX435" s="180"/>
      <c r="AY435" s="180"/>
      <c r="AZ435" s="180"/>
      <c r="BA435" s="180"/>
      <c r="BB435" s="180"/>
      <c r="BC435" s="180"/>
      <c r="BD435" s="180"/>
      <c r="BE435" s="180"/>
      <c r="BF435" s="180"/>
      <c r="BG435" s="180"/>
      <c r="BH435" s="180"/>
      <c r="BI435" s="180"/>
      <c r="BJ435" s="180"/>
      <c r="BK435" s="180"/>
      <c r="BL435" s="180"/>
      <c r="BM435" s="180"/>
      <c r="BN435" s="180"/>
      <c r="BO435" s="180"/>
      <c r="BP435" s="180"/>
      <c r="BQ435" s="180"/>
      <c r="BR435" s="180"/>
      <c r="BS435" s="180"/>
      <c r="BT435" s="180"/>
      <c r="BU435" s="180"/>
      <c r="BV435" s="180"/>
      <c r="BW435" s="180"/>
      <c r="BX435" s="180"/>
      <c r="BY435" s="180"/>
      <c r="BZ435" s="180"/>
      <c r="CA435" s="180"/>
      <c r="CB435" s="180"/>
      <c r="CC435" s="180"/>
      <c r="CD435" s="180"/>
      <c r="CE435" s="180"/>
      <c r="CF435" s="180"/>
      <c r="CG435" s="180"/>
      <c r="CH435" s="180"/>
      <c r="CI435" s="180"/>
      <c r="CJ435" s="180"/>
      <c r="CK435" s="180"/>
      <c r="CL435" s="180"/>
      <c r="CM435" s="180"/>
      <c r="CN435" s="180"/>
      <c r="CO435" s="180"/>
      <c r="CP435" s="180"/>
      <c r="CQ435" s="180"/>
      <c r="CR435" s="180"/>
      <c r="CS435" s="180"/>
      <c r="CT435" s="180"/>
      <c r="CU435" s="180"/>
      <c r="CV435" s="180"/>
      <c r="CW435" s="180"/>
      <c r="CX435" s="180"/>
      <c r="CY435" s="180"/>
      <c r="CZ435" s="180"/>
      <c r="DA435" s="180"/>
      <c r="DB435" s="180"/>
    </row>
    <row r="436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0"/>
      <c r="BB436" s="180"/>
      <c r="BC436" s="180"/>
      <c r="BD436" s="180"/>
      <c r="BE436" s="180"/>
      <c r="BF436" s="180"/>
      <c r="BG436" s="180"/>
      <c r="BH436" s="180"/>
      <c r="BI436" s="180"/>
      <c r="BJ436" s="180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0"/>
      <c r="BW436" s="180"/>
      <c r="BX436" s="180"/>
      <c r="BY436" s="180"/>
      <c r="BZ436" s="180"/>
      <c r="CA436" s="180"/>
      <c r="CB436" s="180"/>
      <c r="CC436" s="180"/>
      <c r="CD436" s="180"/>
      <c r="CE436" s="180"/>
      <c r="CF436" s="180"/>
      <c r="CG436" s="180"/>
      <c r="CH436" s="180"/>
      <c r="CI436" s="180"/>
      <c r="CJ436" s="180"/>
      <c r="CK436" s="180"/>
      <c r="CL436" s="180"/>
      <c r="CM436" s="180"/>
      <c r="CN436" s="180"/>
      <c r="CO436" s="180"/>
      <c r="CP436" s="180"/>
      <c r="CQ436" s="180"/>
      <c r="CR436" s="180"/>
      <c r="CS436" s="180"/>
      <c r="CT436" s="180"/>
      <c r="CU436" s="180"/>
      <c r="CV436" s="180"/>
      <c r="CW436" s="180"/>
      <c r="CX436" s="180"/>
      <c r="CY436" s="180"/>
      <c r="CZ436" s="180"/>
      <c r="DA436" s="180"/>
      <c r="DB436" s="180"/>
    </row>
    <row r="437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0"/>
      <c r="BW437" s="180"/>
      <c r="BX437" s="180"/>
      <c r="BY437" s="180"/>
      <c r="BZ437" s="180"/>
      <c r="CA437" s="180"/>
      <c r="CB437" s="180"/>
      <c r="CC437" s="180"/>
      <c r="CD437" s="180"/>
      <c r="CE437" s="180"/>
      <c r="CF437" s="180"/>
      <c r="CG437" s="180"/>
      <c r="CH437" s="180"/>
      <c r="CI437" s="180"/>
      <c r="CJ437" s="180"/>
      <c r="CK437" s="180"/>
      <c r="CL437" s="180"/>
      <c r="CM437" s="180"/>
      <c r="CN437" s="180"/>
      <c r="CO437" s="180"/>
      <c r="CP437" s="180"/>
      <c r="CQ437" s="180"/>
      <c r="CR437" s="180"/>
      <c r="CS437" s="180"/>
      <c r="CT437" s="180"/>
      <c r="CU437" s="180"/>
      <c r="CV437" s="180"/>
      <c r="CW437" s="180"/>
      <c r="CX437" s="180"/>
      <c r="CY437" s="180"/>
      <c r="CZ437" s="180"/>
      <c r="DA437" s="180"/>
      <c r="DB437" s="180"/>
    </row>
    <row r="438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180"/>
      <c r="BV438" s="180"/>
      <c r="BW438" s="180"/>
      <c r="BX438" s="180"/>
      <c r="BY438" s="180"/>
      <c r="BZ438" s="180"/>
      <c r="CA438" s="180"/>
      <c r="CB438" s="180"/>
      <c r="CC438" s="180"/>
      <c r="CD438" s="180"/>
      <c r="CE438" s="180"/>
      <c r="CF438" s="180"/>
      <c r="CG438" s="180"/>
      <c r="CH438" s="180"/>
      <c r="CI438" s="180"/>
      <c r="CJ438" s="180"/>
      <c r="CK438" s="180"/>
      <c r="CL438" s="180"/>
      <c r="CM438" s="180"/>
      <c r="CN438" s="180"/>
      <c r="CO438" s="180"/>
      <c r="CP438" s="180"/>
      <c r="CQ438" s="180"/>
      <c r="CR438" s="180"/>
      <c r="CS438" s="180"/>
      <c r="CT438" s="180"/>
      <c r="CU438" s="180"/>
      <c r="CV438" s="180"/>
      <c r="CW438" s="180"/>
      <c r="CX438" s="180"/>
      <c r="CY438" s="180"/>
      <c r="CZ438" s="180"/>
      <c r="DA438" s="180"/>
      <c r="DB438" s="180"/>
    </row>
    <row r="439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0"/>
      <c r="AY439" s="180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0"/>
      <c r="BK439" s="180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0"/>
      <c r="BW439" s="180"/>
      <c r="BX439" s="180"/>
      <c r="BY439" s="180"/>
      <c r="BZ439" s="180"/>
      <c r="CA439" s="180"/>
      <c r="CB439" s="180"/>
      <c r="CC439" s="180"/>
      <c r="CD439" s="180"/>
      <c r="CE439" s="180"/>
      <c r="CF439" s="180"/>
      <c r="CG439" s="180"/>
      <c r="CH439" s="180"/>
      <c r="CI439" s="180"/>
      <c r="CJ439" s="180"/>
      <c r="CK439" s="180"/>
      <c r="CL439" s="180"/>
      <c r="CM439" s="180"/>
      <c r="CN439" s="180"/>
      <c r="CO439" s="180"/>
      <c r="CP439" s="180"/>
      <c r="CQ439" s="180"/>
      <c r="CR439" s="180"/>
      <c r="CS439" s="180"/>
      <c r="CT439" s="180"/>
      <c r="CU439" s="180"/>
      <c r="CV439" s="180"/>
      <c r="CW439" s="180"/>
      <c r="CX439" s="180"/>
      <c r="CY439" s="180"/>
      <c r="CZ439" s="180"/>
      <c r="DA439" s="180"/>
      <c r="DB439" s="180"/>
    </row>
    <row r="440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0"/>
      <c r="AL440" s="180"/>
      <c r="AM440" s="180"/>
      <c r="AN440" s="180"/>
      <c r="AO440" s="180"/>
      <c r="AP440" s="180"/>
      <c r="AQ440" s="180"/>
      <c r="AR440" s="180"/>
      <c r="AS440" s="180"/>
      <c r="AT440" s="180"/>
      <c r="AU440" s="180"/>
      <c r="AV440" s="180"/>
      <c r="AW440" s="180"/>
      <c r="AX440" s="180"/>
      <c r="AY440" s="180"/>
      <c r="AZ440" s="180"/>
      <c r="BA440" s="180"/>
      <c r="BB440" s="180"/>
      <c r="BC440" s="180"/>
      <c r="BD440" s="180"/>
      <c r="BE440" s="180"/>
      <c r="BF440" s="180"/>
      <c r="BG440" s="180"/>
      <c r="BH440" s="180"/>
      <c r="BI440" s="180"/>
      <c r="BJ440" s="180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180"/>
      <c r="BV440" s="180"/>
      <c r="BW440" s="180"/>
      <c r="BX440" s="180"/>
      <c r="BY440" s="180"/>
      <c r="BZ440" s="180"/>
      <c r="CA440" s="180"/>
      <c r="CB440" s="180"/>
      <c r="CC440" s="180"/>
      <c r="CD440" s="180"/>
      <c r="CE440" s="180"/>
      <c r="CF440" s="180"/>
      <c r="CG440" s="180"/>
      <c r="CH440" s="180"/>
      <c r="CI440" s="180"/>
      <c r="CJ440" s="180"/>
      <c r="CK440" s="180"/>
      <c r="CL440" s="180"/>
      <c r="CM440" s="180"/>
      <c r="CN440" s="180"/>
      <c r="CO440" s="180"/>
      <c r="CP440" s="180"/>
      <c r="CQ440" s="180"/>
      <c r="CR440" s="180"/>
      <c r="CS440" s="180"/>
      <c r="CT440" s="180"/>
      <c r="CU440" s="180"/>
      <c r="CV440" s="180"/>
      <c r="CW440" s="180"/>
      <c r="CX440" s="180"/>
      <c r="CY440" s="180"/>
      <c r="CZ440" s="180"/>
      <c r="DA440" s="180"/>
      <c r="DB440" s="180"/>
    </row>
    <row r="441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180"/>
      <c r="AW441" s="180"/>
      <c r="AX441" s="180"/>
      <c r="AY441" s="180"/>
      <c r="AZ441" s="180"/>
      <c r="BA441" s="180"/>
      <c r="BB441" s="180"/>
      <c r="BC441" s="180"/>
      <c r="BD441" s="180"/>
      <c r="BE441" s="180"/>
      <c r="BF441" s="180"/>
      <c r="BG441" s="180"/>
      <c r="BH441" s="180"/>
      <c r="BI441" s="180"/>
      <c r="BJ441" s="180"/>
      <c r="BK441" s="180"/>
      <c r="BL441" s="180"/>
      <c r="BM441" s="180"/>
      <c r="BN441" s="180"/>
      <c r="BO441" s="180"/>
      <c r="BP441" s="180"/>
      <c r="BQ441" s="180"/>
      <c r="BR441" s="180"/>
      <c r="BS441" s="180"/>
      <c r="BT441" s="180"/>
      <c r="BU441" s="180"/>
      <c r="BV441" s="180"/>
      <c r="BW441" s="180"/>
      <c r="BX441" s="180"/>
      <c r="BY441" s="180"/>
      <c r="BZ441" s="180"/>
      <c r="CA441" s="180"/>
      <c r="CB441" s="180"/>
      <c r="CC441" s="180"/>
      <c r="CD441" s="180"/>
      <c r="CE441" s="180"/>
      <c r="CF441" s="180"/>
      <c r="CG441" s="180"/>
      <c r="CH441" s="180"/>
      <c r="CI441" s="180"/>
      <c r="CJ441" s="180"/>
      <c r="CK441" s="180"/>
      <c r="CL441" s="180"/>
      <c r="CM441" s="180"/>
      <c r="CN441" s="180"/>
      <c r="CO441" s="180"/>
      <c r="CP441" s="180"/>
      <c r="CQ441" s="180"/>
      <c r="CR441" s="180"/>
      <c r="CS441" s="180"/>
      <c r="CT441" s="180"/>
      <c r="CU441" s="180"/>
      <c r="CV441" s="180"/>
      <c r="CW441" s="180"/>
      <c r="CX441" s="180"/>
      <c r="CY441" s="180"/>
      <c r="CZ441" s="180"/>
      <c r="DA441" s="180"/>
      <c r="DB441" s="180"/>
    </row>
    <row r="442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0"/>
      <c r="AL442" s="180"/>
      <c r="AM442" s="180"/>
      <c r="AN442" s="180"/>
      <c r="AO442" s="180"/>
      <c r="AP442" s="180"/>
      <c r="AQ442" s="180"/>
      <c r="AR442" s="180"/>
      <c r="AS442" s="180"/>
      <c r="AT442" s="180"/>
      <c r="AU442" s="180"/>
      <c r="AV442" s="180"/>
      <c r="AW442" s="180"/>
      <c r="AX442" s="180"/>
      <c r="AY442" s="180"/>
      <c r="AZ442" s="180"/>
      <c r="BA442" s="180"/>
      <c r="BB442" s="180"/>
      <c r="BC442" s="180"/>
      <c r="BD442" s="180"/>
      <c r="BE442" s="180"/>
      <c r="BF442" s="180"/>
      <c r="BG442" s="180"/>
      <c r="BH442" s="180"/>
      <c r="BI442" s="180"/>
      <c r="BJ442" s="180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180"/>
      <c r="BV442" s="180"/>
      <c r="BW442" s="180"/>
      <c r="BX442" s="180"/>
      <c r="BY442" s="180"/>
      <c r="BZ442" s="180"/>
      <c r="CA442" s="180"/>
      <c r="CB442" s="180"/>
      <c r="CC442" s="180"/>
      <c r="CD442" s="180"/>
      <c r="CE442" s="180"/>
      <c r="CF442" s="180"/>
      <c r="CG442" s="180"/>
      <c r="CH442" s="180"/>
      <c r="CI442" s="180"/>
      <c r="CJ442" s="180"/>
      <c r="CK442" s="180"/>
      <c r="CL442" s="180"/>
      <c r="CM442" s="180"/>
      <c r="CN442" s="180"/>
      <c r="CO442" s="180"/>
      <c r="CP442" s="180"/>
      <c r="CQ442" s="180"/>
      <c r="CR442" s="180"/>
      <c r="CS442" s="180"/>
      <c r="CT442" s="180"/>
      <c r="CU442" s="180"/>
      <c r="CV442" s="180"/>
      <c r="CW442" s="180"/>
      <c r="CX442" s="180"/>
      <c r="CY442" s="180"/>
      <c r="CZ442" s="180"/>
      <c r="DA442" s="180"/>
      <c r="DB442" s="180"/>
    </row>
    <row r="443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L443" s="180"/>
      <c r="M443" s="180"/>
      <c r="N443" s="180"/>
      <c r="O443" s="180"/>
      <c r="P443" s="180"/>
      <c r="Q443" s="180"/>
      <c r="R443" s="180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180"/>
      <c r="AW443" s="180"/>
      <c r="AX443" s="180"/>
      <c r="AY443" s="180"/>
      <c r="AZ443" s="180"/>
      <c r="BA443" s="180"/>
      <c r="BB443" s="180"/>
      <c r="BC443" s="180"/>
      <c r="BD443" s="180"/>
      <c r="BE443" s="180"/>
      <c r="BF443" s="180"/>
      <c r="BG443" s="180"/>
      <c r="BH443" s="180"/>
      <c r="BI443" s="180"/>
      <c r="BJ443" s="180"/>
      <c r="BK443" s="180"/>
      <c r="BL443" s="180"/>
      <c r="BM443" s="180"/>
      <c r="BN443" s="180"/>
      <c r="BO443" s="180"/>
      <c r="BP443" s="180"/>
      <c r="BQ443" s="180"/>
      <c r="BR443" s="180"/>
      <c r="BS443" s="180"/>
      <c r="BT443" s="180"/>
      <c r="BU443" s="180"/>
      <c r="BV443" s="180"/>
      <c r="BW443" s="180"/>
      <c r="BX443" s="180"/>
      <c r="BY443" s="180"/>
      <c r="BZ443" s="180"/>
      <c r="CA443" s="180"/>
      <c r="CB443" s="180"/>
      <c r="CC443" s="180"/>
      <c r="CD443" s="180"/>
      <c r="CE443" s="180"/>
      <c r="CF443" s="180"/>
      <c r="CG443" s="180"/>
      <c r="CH443" s="180"/>
      <c r="CI443" s="180"/>
      <c r="CJ443" s="180"/>
      <c r="CK443" s="180"/>
      <c r="CL443" s="180"/>
      <c r="CM443" s="180"/>
      <c r="CN443" s="180"/>
      <c r="CO443" s="180"/>
      <c r="CP443" s="180"/>
      <c r="CQ443" s="180"/>
      <c r="CR443" s="180"/>
      <c r="CS443" s="180"/>
      <c r="CT443" s="180"/>
      <c r="CU443" s="180"/>
      <c r="CV443" s="180"/>
      <c r="CW443" s="180"/>
      <c r="CX443" s="180"/>
      <c r="CY443" s="180"/>
      <c r="CZ443" s="180"/>
      <c r="DA443" s="180"/>
      <c r="DB443" s="180"/>
    </row>
    <row r="444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  <c r="BY444" s="180"/>
      <c r="BZ444" s="180"/>
      <c r="CA444" s="180"/>
      <c r="CB444" s="180"/>
      <c r="CC444" s="180"/>
      <c r="CD444" s="180"/>
      <c r="CE444" s="180"/>
      <c r="CF444" s="180"/>
      <c r="CG444" s="180"/>
      <c r="CH444" s="180"/>
      <c r="CI444" s="180"/>
      <c r="CJ444" s="180"/>
      <c r="CK444" s="180"/>
      <c r="CL444" s="180"/>
      <c r="CM444" s="180"/>
      <c r="CN444" s="180"/>
      <c r="CO444" s="180"/>
      <c r="CP444" s="180"/>
      <c r="CQ444" s="180"/>
      <c r="CR444" s="180"/>
      <c r="CS444" s="180"/>
      <c r="CT444" s="180"/>
      <c r="CU444" s="180"/>
      <c r="CV444" s="180"/>
      <c r="CW444" s="180"/>
      <c r="CX444" s="180"/>
      <c r="CY444" s="180"/>
      <c r="CZ444" s="180"/>
      <c r="DA444" s="180"/>
      <c r="DB444" s="180"/>
    </row>
    <row r="445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  <c r="BY445" s="180"/>
      <c r="BZ445" s="180"/>
      <c r="CA445" s="180"/>
      <c r="CB445" s="180"/>
      <c r="CC445" s="180"/>
      <c r="CD445" s="180"/>
      <c r="CE445" s="180"/>
      <c r="CF445" s="180"/>
      <c r="CG445" s="180"/>
      <c r="CH445" s="180"/>
      <c r="CI445" s="180"/>
      <c r="CJ445" s="180"/>
      <c r="CK445" s="180"/>
      <c r="CL445" s="180"/>
      <c r="CM445" s="180"/>
      <c r="CN445" s="180"/>
      <c r="CO445" s="180"/>
      <c r="CP445" s="180"/>
      <c r="CQ445" s="180"/>
      <c r="CR445" s="180"/>
      <c r="CS445" s="180"/>
      <c r="CT445" s="180"/>
      <c r="CU445" s="180"/>
      <c r="CV445" s="180"/>
      <c r="CW445" s="180"/>
      <c r="CX445" s="180"/>
      <c r="CY445" s="180"/>
      <c r="CZ445" s="180"/>
      <c r="DA445" s="180"/>
      <c r="DB445" s="180"/>
    </row>
    <row r="446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  <c r="BY446" s="180"/>
      <c r="BZ446" s="180"/>
      <c r="CA446" s="180"/>
      <c r="CB446" s="180"/>
      <c r="CC446" s="180"/>
      <c r="CD446" s="180"/>
      <c r="CE446" s="180"/>
      <c r="CF446" s="180"/>
      <c r="CG446" s="180"/>
      <c r="CH446" s="180"/>
      <c r="CI446" s="180"/>
      <c r="CJ446" s="180"/>
      <c r="CK446" s="180"/>
      <c r="CL446" s="180"/>
      <c r="CM446" s="180"/>
      <c r="CN446" s="180"/>
      <c r="CO446" s="180"/>
      <c r="CP446" s="180"/>
      <c r="CQ446" s="180"/>
      <c r="CR446" s="180"/>
      <c r="CS446" s="180"/>
      <c r="CT446" s="180"/>
      <c r="CU446" s="180"/>
      <c r="CV446" s="180"/>
      <c r="CW446" s="180"/>
      <c r="CX446" s="180"/>
      <c r="CY446" s="180"/>
      <c r="CZ446" s="180"/>
      <c r="DA446" s="180"/>
      <c r="DB446" s="180"/>
    </row>
    <row r="447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  <c r="BY447" s="180"/>
      <c r="BZ447" s="180"/>
      <c r="CA447" s="180"/>
      <c r="CB447" s="180"/>
      <c r="CC447" s="180"/>
      <c r="CD447" s="180"/>
      <c r="CE447" s="180"/>
      <c r="CF447" s="180"/>
      <c r="CG447" s="180"/>
      <c r="CH447" s="180"/>
      <c r="CI447" s="180"/>
      <c r="CJ447" s="180"/>
      <c r="CK447" s="180"/>
      <c r="CL447" s="180"/>
      <c r="CM447" s="180"/>
      <c r="CN447" s="180"/>
      <c r="CO447" s="180"/>
      <c r="CP447" s="180"/>
      <c r="CQ447" s="180"/>
      <c r="CR447" s="180"/>
      <c r="CS447" s="180"/>
      <c r="CT447" s="180"/>
      <c r="CU447" s="180"/>
      <c r="CV447" s="180"/>
      <c r="CW447" s="180"/>
      <c r="CX447" s="180"/>
      <c r="CY447" s="180"/>
      <c r="CZ447" s="180"/>
      <c r="DA447" s="180"/>
      <c r="DB447" s="180"/>
    </row>
    <row r="448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0"/>
      <c r="AL448" s="180"/>
      <c r="AM448" s="180"/>
      <c r="AN448" s="180"/>
      <c r="AO448" s="180"/>
      <c r="AP448" s="180"/>
      <c r="AQ448" s="180"/>
      <c r="AR448" s="180"/>
      <c r="AS448" s="180"/>
      <c r="AT448" s="180"/>
      <c r="AU448" s="180"/>
      <c r="AV448" s="180"/>
      <c r="AW448" s="180"/>
      <c r="AX448" s="180"/>
      <c r="AY448" s="180"/>
      <c r="AZ448" s="180"/>
      <c r="BA448" s="180"/>
      <c r="BB448" s="180"/>
      <c r="BC448" s="180"/>
      <c r="BD448" s="180"/>
      <c r="BE448" s="180"/>
      <c r="BF448" s="180"/>
      <c r="BG448" s="180"/>
      <c r="BH448" s="180"/>
      <c r="BI448" s="180"/>
      <c r="BJ448" s="180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180"/>
      <c r="BV448" s="180"/>
      <c r="BW448" s="180"/>
      <c r="BX448" s="180"/>
      <c r="BY448" s="180"/>
      <c r="BZ448" s="180"/>
      <c r="CA448" s="180"/>
      <c r="CB448" s="180"/>
      <c r="CC448" s="180"/>
      <c r="CD448" s="180"/>
      <c r="CE448" s="180"/>
      <c r="CF448" s="180"/>
      <c r="CG448" s="180"/>
      <c r="CH448" s="180"/>
      <c r="CI448" s="180"/>
      <c r="CJ448" s="180"/>
      <c r="CK448" s="180"/>
      <c r="CL448" s="180"/>
      <c r="CM448" s="180"/>
      <c r="CN448" s="180"/>
      <c r="CO448" s="180"/>
      <c r="CP448" s="180"/>
      <c r="CQ448" s="180"/>
      <c r="CR448" s="180"/>
      <c r="CS448" s="180"/>
      <c r="CT448" s="180"/>
      <c r="CU448" s="180"/>
      <c r="CV448" s="180"/>
      <c r="CW448" s="180"/>
      <c r="CX448" s="180"/>
      <c r="CY448" s="180"/>
      <c r="CZ448" s="180"/>
      <c r="DA448" s="180"/>
      <c r="DB448" s="180"/>
    </row>
    <row r="449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  <c r="K449" s="180"/>
      <c r="L449" s="180"/>
      <c r="M449" s="180"/>
      <c r="N449" s="180"/>
      <c r="O449" s="180"/>
      <c r="P449" s="180"/>
      <c r="Q449" s="180"/>
      <c r="R449" s="180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  <c r="AG449" s="180"/>
      <c r="AH449" s="180"/>
      <c r="AI449" s="180"/>
      <c r="AJ449" s="180"/>
      <c r="AK449" s="180"/>
      <c r="AL449" s="180"/>
      <c r="AM449" s="180"/>
      <c r="AN449" s="180"/>
      <c r="AO449" s="180"/>
      <c r="AP449" s="180"/>
      <c r="AQ449" s="180"/>
      <c r="AR449" s="180"/>
      <c r="AS449" s="180"/>
      <c r="AT449" s="180"/>
      <c r="AU449" s="180"/>
      <c r="AV449" s="180"/>
      <c r="AW449" s="180"/>
      <c r="AX449" s="180"/>
      <c r="AY449" s="180"/>
      <c r="AZ449" s="180"/>
      <c r="BA449" s="180"/>
      <c r="BB449" s="180"/>
      <c r="BC449" s="180"/>
      <c r="BD449" s="180"/>
      <c r="BE449" s="180"/>
      <c r="BF449" s="180"/>
      <c r="BG449" s="180"/>
      <c r="BH449" s="180"/>
      <c r="BI449" s="180"/>
      <c r="BJ449" s="180"/>
      <c r="BK449" s="180"/>
      <c r="BL449" s="180"/>
      <c r="BM449" s="180"/>
      <c r="BN449" s="180"/>
      <c r="BO449" s="180"/>
      <c r="BP449" s="180"/>
      <c r="BQ449" s="180"/>
      <c r="BR449" s="180"/>
      <c r="BS449" s="180"/>
      <c r="BT449" s="180"/>
      <c r="BU449" s="180"/>
      <c r="BV449" s="180"/>
      <c r="BW449" s="180"/>
      <c r="BX449" s="180"/>
      <c r="BY449" s="180"/>
      <c r="BZ449" s="180"/>
      <c r="CA449" s="180"/>
      <c r="CB449" s="180"/>
      <c r="CC449" s="180"/>
      <c r="CD449" s="180"/>
      <c r="CE449" s="180"/>
      <c r="CF449" s="180"/>
      <c r="CG449" s="180"/>
      <c r="CH449" s="180"/>
      <c r="CI449" s="180"/>
      <c r="CJ449" s="180"/>
      <c r="CK449" s="180"/>
      <c r="CL449" s="180"/>
      <c r="CM449" s="180"/>
      <c r="CN449" s="180"/>
      <c r="CO449" s="180"/>
      <c r="CP449" s="180"/>
      <c r="CQ449" s="180"/>
      <c r="CR449" s="180"/>
      <c r="CS449" s="180"/>
      <c r="CT449" s="180"/>
      <c r="CU449" s="180"/>
      <c r="CV449" s="180"/>
      <c r="CW449" s="180"/>
      <c r="CX449" s="180"/>
      <c r="CY449" s="180"/>
      <c r="CZ449" s="180"/>
      <c r="DA449" s="180"/>
      <c r="DB449" s="180"/>
    </row>
    <row r="450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180"/>
      <c r="BV450" s="180"/>
      <c r="BW450" s="180"/>
      <c r="BX450" s="180"/>
      <c r="BY450" s="180"/>
      <c r="BZ450" s="180"/>
      <c r="CA450" s="180"/>
      <c r="CB450" s="180"/>
      <c r="CC450" s="180"/>
      <c r="CD450" s="180"/>
      <c r="CE450" s="180"/>
      <c r="CF450" s="180"/>
      <c r="CG450" s="180"/>
      <c r="CH450" s="180"/>
      <c r="CI450" s="180"/>
      <c r="CJ450" s="180"/>
      <c r="CK450" s="180"/>
      <c r="CL450" s="180"/>
      <c r="CM450" s="180"/>
      <c r="CN450" s="180"/>
      <c r="CO450" s="180"/>
      <c r="CP450" s="180"/>
      <c r="CQ450" s="180"/>
      <c r="CR450" s="180"/>
      <c r="CS450" s="180"/>
      <c r="CT450" s="180"/>
      <c r="CU450" s="180"/>
      <c r="CV450" s="180"/>
      <c r="CW450" s="180"/>
      <c r="CX450" s="180"/>
      <c r="CY450" s="180"/>
      <c r="CZ450" s="180"/>
      <c r="DA450" s="180"/>
      <c r="DB450" s="180"/>
    </row>
    <row r="451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180"/>
      <c r="AW451" s="180"/>
      <c r="AX451" s="180"/>
      <c r="AY451" s="180"/>
      <c r="AZ451" s="180"/>
      <c r="BA451" s="180"/>
      <c r="BB451" s="180"/>
      <c r="BC451" s="180"/>
      <c r="BD451" s="180"/>
      <c r="BE451" s="180"/>
      <c r="BF451" s="180"/>
      <c r="BG451" s="180"/>
      <c r="BH451" s="180"/>
      <c r="BI451" s="180"/>
      <c r="BJ451" s="180"/>
      <c r="BK451" s="180"/>
      <c r="BL451" s="180"/>
      <c r="BM451" s="180"/>
      <c r="BN451" s="180"/>
      <c r="BO451" s="180"/>
      <c r="BP451" s="180"/>
      <c r="BQ451" s="180"/>
      <c r="BR451" s="180"/>
      <c r="BS451" s="180"/>
      <c r="BT451" s="180"/>
      <c r="BU451" s="180"/>
      <c r="BV451" s="180"/>
      <c r="BW451" s="180"/>
      <c r="BX451" s="180"/>
      <c r="BY451" s="180"/>
      <c r="BZ451" s="180"/>
      <c r="CA451" s="180"/>
      <c r="CB451" s="180"/>
      <c r="CC451" s="180"/>
      <c r="CD451" s="180"/>
      <c r="CE451" s="180"/>
      <c r="CF451" s="180"/>
      <c r="CG451" s="180"/>
      <c r="CH451" s="180"/>
      <c r="CI451" s="180"/>
      <c r="CJ451" s="180"/>
      <c r="CK451" s="180"/>
      <c r="CL451" s="180"/>
      <c r="CM451" s="180"/>
      <c r="CN451" s="180"/>
      <c r="CO451" s="180"/>
      <c r="CP451" s="180"/>
      <c r="CQ451" s="180"/>
      <c r="CR451" s="180"/>
      <c r="CS451" s="180"/>
      <c r="CT451" s="180"/>
      <c r="CU451" s="180"/>
      <c r="CV451" s="180"/>
      <c r="CW451" s="180"/>
      <c r="CX451" s="180"/>
      <c r="CY451" s="180"/>
      <c r="CZ451" s="180"/>
      <c r="DA451" s="180"/>
      <c r="DB451" s="180"/>
    </row>
    <row r="452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0"/>
      <c r="BH452" s="180"/>
      <c r="BI452" s="180"/>
      <c r="BJ452" s="180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180"/>
      <c r="BV452" s="180"/>
      <c r="BW452" s="180"/>
      <c r="BX452" s="180"/>
      <c r="BY452" s="180"/>
      <c r="BZ452" s="180"/>
      <c r="CA452" s="180"/>
      <c r="CB452" s="180"/>
      <c r="CC452" s="180"/>
      <c r="CD452" s="180"/>
      <c r="CE452" s="180"/>
      <c r="CF452" s="180"/>
      <c r="CG452" s="180"/>
      <c r="CH452" s="180"/>
      <c r="CI452" s="180"/>
      <c r="CJ452" s="180"/>
      <c r="CK452" s="180"/>
      <c r="CL452" s="180"/>
      <c r="CM452" s="180"/>
      <c r="CN452" s="180"/>
      <c r="CO452" s="180"/>
      <c r="CP452" s="180"/>
      <c r="CQ452" s="180"/>
      <c r="CR452" s="180"/>
      <c r="CS452" s="180"/>
      <c r="CT452" s="180"/>
      <c r="CU452" s="180"/>
      <c r="CV452" s="180"/>
      <c r="CW452" s="180"/>
      <c r="CX452" s="180"/>
      <c r="CY452" s="180"/>
      <c r="CZ452" s="180"/>
      <c r="DA452" s="180"/>
      <c r="DB452" s="180"/>
    </row>
    <row r="453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  <c r="BY453" s="180"/>
      <c r="BZ453" s="180"/>
      <c r="CA453" s="180"/>
      <c r="CB453" s="180"/>
      <c r="CC453" s="180"/>
      <c r="CD453" s="180"/>
      <c r="CE453" s="180"/>
      <c r="CF453" s="180"/>
      <c r="CG453" s="180"/>
      <c r="CH453" s="180"/>
      <c r="CI453" s="180"/>
      <c r="CJ453" s="180"/>
      <c r="CK453" s="180"/>
      <c r="CL453" s="180"/>
      <c r="CM453" s="180"/>
      <c r="CN453" s="180"/>
      <c r="CO453" s="180"/>
      <c r="CP453" s="180"/>
      <c r="CQ453" s="180"/>
      <c r="CR453" s="180"/>
      <c r="CS453" s="180"/>
      <c r="CT453" s="180"/>
      <c r="CU453" s="180"/>
      <c r="CV453" s="180"/>
      <c r="CW453" s="180"/>
      <c r="CX453" s="180"/>
      <c r="CY453" s="180"/>
      <c r="CZ453" s="180"/>
      <c r="DA453" s="180"/>
      <c r="DB453" s="180"/>
    </row>
    <row r="454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  <c r="BY454" s="180"/>
      <c r="BZ454" s="180"/>
      <c r="CA454" s="180"/>
      <c r="CB454" s="180"/>
      <c r="CC454" s="180"/>
      <c r="CD454" s="180"/>
      <c r="CE454" s="180"/>
      <c r="CF454" s="180"/>
      <c r="CG454" s="180"/>
      <c r="CH454" s="180"/>
      <c r="CI454" s="180"/>
      <c r="CJ454" s="180"/>
      <c r="CK454" s="180"/>
      <c r="CL454" s="180"/>
      <c r="CM454" s="180"/>
      <c r="CN454" s="180"/>
      <c r="CO454" s="180"/>
      <c r="CP454" s="180"/>
      <c r="CQ454" s="180"/>
      <c r="CR454" s="180"/>
      <c r="CS454" s="180"/>
      <c r="CT454" s="180"/>
      <c r="CU454" s="180"/>
      <c r="CV454" s="180"/>
      <c r="CW454" s="180"/>
      <c r="CX454" s="180"/>
      <c r="CY454" s="180"/>
      <c r="CZ454" s="180"/>
      <c r="DA454" s="180"/>
      <c r="DB454" s="180"/>
    </row>
    <row r="455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  <c r="BY455" s="180"/>
      <c r="BZ455" s="180"/>
      <c r="CA455" s="180"/>
      <c r="CB455" s="180"/>
      <c r="CC455" s="180"/>
      <c r="CD455" s="180"/>
      <c r="CE455" s="180"/>
      <c r="CF455" s="180"/>
      <c r="CG455" s="180"/>
      <c r="CH455" s="180"/>
      <c r="CI455" s="180"/>
      <c r="CJ455" s="180"/>
      <c r="CK455" s="180"/>
      <c r="CL455" s="180"/>
      <c r="CM455" s="180"/>
      <c r="CN455" s="180"/>
      <c r="CO455" s="180"/>
      <c r="CP455" s="180"/>
      <c r="CQ455" s="180"/>
      <c r="CR455" s="180"/>
      <c r="CS455" s="180"/>
      <c r="CT455" s="180"/>
      <c r="CU455" s="180"/>
      <c r="CV455" s="180"/>
      <c r="CW455" s="180"/>
      <c r="CX455" s="180"/>
      <c r="CY455" s="180"/>
      <c r="CZ455" s="180"/>
      <c r="DA455" s="180"/>
      <c r="DB455" s="180"/>
    </row>
    <row r="456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  <c r="BY456" s="180"/>
      <c r="BZ456" s="180"/>
      <c r="CA456" s="180"/>
      <c r="CB456" s="180"/>
      <c r="CC456" s="180"/>
      <c r="CD456" s="180"/>
      <c r="CE456" s="180"/>
      <c r="CF456" s="180"/>
      <c r="CG456" s="180"/>
      <c r="CH456" s="180"/>
      <c r="CI456" s="180"/>
      <c r="CJ456" s="180"/>
      <c r="CK456" s="180"/>
      <c r="CL456" s="180"/>
      <c r="CM456" s="180"/>
      <c r="CN456" s="180"/>
      <c r="CO456" s="180"/>
      <c r="CP456" s="180"/>
      <c r="CQ456" s="180"/>
      <c r="CR456" s="180"/>
      <c r="CS456" s="180"/>
      <c r="CT456" s="180"/>
      <c r="CU456" s="180"/>
      <c r="CV456" s="180"/>
      <c r="CW456" s="180"/>
      <c r="CX456" s="180"/>
      <c r="CY456" s="180"/>
      <c r="CZ456" s="180"/>
      <c r="DA456" s="180"/>
      <c r="DB456" s="180"/>
    </row>
    <row r="457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  <c r="BY457" s="180"/>
      <c r="BZ457" s="180"/>
      <c r="CA457" s="180"/>
      <c r="CB457" s="180"/>
      <c r="CC457" s="180"/>
      <c r="CD457" s="180"/>
      <c r="CE457" s="180"/>
      <c r="CF457" s="180"/>
      <c r="CG457" s="180"/>
      <c r="CH457" s="180"/>
      <c r="CI457" s="180"/>
      <c r="CJ457" s="180"/>
      <c r="CK457" s="180"/>
      <c r="CL457" s="180"/>
      <c r="CM457" s="180"/>
      <c r="CN457" s="180"/>
      <c r="CO457" s="180"/>
      <c r="CP457" s="180"/>
      <c r="CQ457" s="180"/>
      <c r="CR457" s="180"/>
      <c r="CS457" s="180"/>
      <c r="CT457" s="180"/>
      <c r="CU457" s="180"/>
      <c r="CV457" s="180"/>
      <c r="CW457" s="180"/>
      <c r="CX457" s="180"/>
      <c r="CY457" s="180"/>
      <c r="CZ457" s="180"/>
      <c r="DA457" s="180"/>
      <c r="DB457" s="180"/>
    </row>
    <row r="458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  <c r="BY458" s="180"/>
      <c r="BZ458" s="180"/>
      <c r="CA458" s="180"/>
      <c r="CB458" s="180"/>
      <c r="CC458" s="180"/>
      <c r="CD458" s="180"/>
      <c r="CE458" s="180"/>
      <c r="CF458" s="180"/>
      <c r="CG458" s="180"/>
      <c r="CH458" s="180"/>
      <c r="CI458" s="180"/>
      <c r="CJ458" s="180"/>
      <c r="CK458" s="180"/>
      <c r="CL458" s="180"/>
      <c r="CM458" s="180"/>
      <c r="CN458" s="180"/>
      <c r="CO458" s="180"/>
      <c r="CP458" s="180"/>
      <c r="CQ458" s="180"/>
      <c r="CR458" s="180"/>
      <c r="CS458" s="180"/>
      <c r="CT458" s="180"/>
      <c r="CU458" s="180"/>
      <c r="CV458" s="180"/>
      <c r="CW458" s="180"/>
      <c r="CX458" s="180"/>
      <c r="CY458" s="180"/>
      <c r="CZ458" s="180"/>
      <c r="DA458" s="180"/>
      <c r="DB458" s="180"/>
    </row>
    <row r="459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  <c r="BY459" s="180"/>
      <c r="BZ459" s="180"/>
      <c r="CA459" s="180"/>
      <c r="CB459" s="180"/>
      <c r="CC459" s="180"/>
      <c r="CD459" s="180"/>
      <c r="CE459" s="180"/>
      <c r="CF459" s="180"/>
      <c r="CG459" s="180"/>
      <c r="CH459" s="180"/>
      <c r="CI459" s="180"/>
      <c r="CJ459" s="180"/>
      <c r="CK459" s="180"/>
      <c r="CL459" s="180"/>
      <c r="CM459" s="180"/>
      <c r="CN459" s="180"/>
      <c r="CO459" s="180"/>
      <c r="CP459" s="180"/>
      <c r="CQ459" s="180"/>
      <c r="CR459" s="180"/>
      <c r="CS459" s="180"/>
      <c r="CT459" s="180"/>
      <c r="CU459" s="180"/>
      <c r="CV459" s="180"/>
      <c r="CW459" s="180"/>
      <c r="CX459" s="180"/>
      <c r="CY459" s="180"/>
      <c r="CZ459" s="180"/>
      <c r="DA459" s="180"/>
      <c r="DB459" s="180"/>
    </row>
    <row r="460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  <c r="BY460" s="180"/>
      <c r="BZ460" s="180"/>
      <c r="CA460" s="180"/>
      <c r="CB460" s="180"/>
      <c r="CC460" s="180"/>
      <c r="CD460" s="180"/>
      <c r="CE460" s="180"/>
      <c r="CF460" s="180"/>
      <c r="CG460" s="180"/>
      <c r="CH460" s="180"/>
      <c r="CI460" s="180"/>
      <c r="CJ460" s="180"/>
      <c r="CK460" s="180"/>
      <c r="CL460" s="180"/>
      <c r="CM460" s="180"/>
      <c r="CN460" s="180"/>
      <c r="CO460" s="180"/>
      <c r="CP460" s="180"/>
      <c r="CQ460" s="180"/>
      <c r="CR460" s="180"/>
      <c r="CS460" s="180"/>
      <c r="CT460" s="180"/>
      <c r="CU460" s="180"/>
      <c r="CV460" s="180"/>
      <c r="CW460" s="180"/>
      <c r="CX460" s="180"/>
      <c r="CY460" s="180"/>
      <c r="CZ460" s="180"/>
      <c r="DA460" s="180"/>
      <c r="DB460" s="180"/>
    </row>
    <row r="461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0"/>
      <c r="AL461" s="180"/>
      <c r="AM461" s="180"/>
      <c r="AN461" s="180"/>
      <c r="AO461" s="180"/>
      <c r="AP461" s="180"/>
      <c r="AQ461" s="180"/>
      <c r="AR461" s="180"/>
      <c r="AS461" s="180"/>
      <c r="AT461" s="180"/>
      <c r="AU461" s="180"/>
      <c r="AV461" s="180"/>
      <c r="AW461" s="180"/>
      <c r="AX461" s="180"/>
      <c r="AY461" s="180"/>
      <c r="AZ461" s="180"/>
      <c r="BA461" s="180"/>
      <c r="BB461" s="180"/>
      <c r="BC461" s="180"/>
      <c r="BD461" s="180"/>
      <c r="BE461" s="180"/>
      <c r="BF461" s="180"/>
      <c r="BG461" s="180"/>
      <c r="BH461" s="180"/>
      <c r="BI461" s="180"/>
      <c r="BJ461" s="180"/>
      <c r="BK461" s="180"/>
      <c r="BL461" s="180"/>
      <c r="BM461" s="180"/>
      <c r="BN461" s="180"/>
      <c r="BO461" s="180"/>
      <c r="BP461" s="180"/>
      <c r="BQ461" s="180"/>
      <c r="BR461" s="180"/>
      <c r="BS461" s="180"/>
      <c r="BT461" s="180"/>
      <c r="BU461" s="180"/>
      <c r="BV461" s="180"/>
      <c r="BW461" s="180"/>
      <c r="BX461" s="180"/>
      <c r="BY461" s="180"/>
      <c r="BZ461" s="180"/>
      <c r="CA461" s="180"/>
      <c r="CB461" s="180"/>
      <c r="CC461" s="180"/>
      <c r="CD461" s="180"/>
      <c r="CE461" s="180"/>
      <c r="CF461" s="180"/>
      <c r="CG461" s="180"/>
      <c r="CH461" s="180"/>
      <c r="CI461" s="180"/>
      <c r="CJ461" s="180"/>
      <c r="CK461" s="180"/>
      <c r="CL461" s="180"/>
      <c r="CM461" s="180"/>
      <c r="CN461" s="180"/>
      <c r="CO461" s="180"/>
      <c r="CP461" s="180"/>
      <c r="CQ461" s="180"/>
      <c r="CR461" s="180"/>
      <c r="CS461" s="180"/>
      <c r="CT461" s="180"/>
      <c r="CU461" s="180"/>
      <c r="CV461" s="180"/>
      <c r="CW461" s="180"/>
      <c r="CX461" s="180"/>
      <c r="CY461" s="180"/>
      <c r="CZ461" s="180"/>
      <c r="DA461" s="180"/>
      <c r="DB461" s="180"/>
    </row>
    <row r="462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180"/>
      <c r="AW462" s="180"/>
      <c r="AX462" s="180"/>
      <c r="AY462" s="180"/>
      <c r="AZ462" s="180"/>
      <c r="BA462" s="180"/>
      <c r="BB462" s="180"/>
      <c r="BC462" s="180"/>
      <c r="BD462" s="180"/>
      <c r="BE462" s="180"/>
      <c r="BF462" s="180"/>
      <c r="BG462" s="180"/>
      <c r="BH462" s="180"/>
      <c r="BI462" s="180"/>
      <c r="BJ462" s="180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180"/>
      <c r="BV462" s="180"/>
      <c r="BW462" s="180"/>
      <c r="BX462" s="180"/>
      <c r="BY462" s="180"/>
      <c r="BZ462" s="180"/>
      <c r="CA462" s="180"/>
      <c r="CB462" s="180"/>
      <c r="CC462" s="180"/>
      <c r="CD462" s="180"/>
      <c r="CE462" s="180"/>
      <c r="CF462" s="180"/>
      <c r="CG462" s="180"/>
      <c r="CH462" s="180"/>
      <c r="CI462" s="180"/>
      <c r="CJ462" s="180"/>
      <c r="CK462" s="180"/>
      <c r="CL462" s="180"/>
      <c r="CM462" s="180"/>
      <c r="CN462" s="180"/>
      <c r="CO462" s="180"/>
      <c r="CP462" s="180"/>
      <c r="CQ462" s="180"/>
      <c r="CR462" s="180"/>
      <c r="CS462" s="180"/>
      <c r="CT462" s="180"/>
      <c r="CU462" s="180"/>
      <c r="CV462" s="180"/>
      <c r="CW462" s="180"/>
      <c r="CX462" s="180"/>
      <c r="CY462" s="180"/>
      <c r="CZ462" s="180"/>
      <c r="DA462" s="180"/>
      <c r="DB462" s="180"/>
    </row>
    <row r="463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0"/>
      <c r="AL463" s="18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180"/>
      <c r="AW463" s="180"/>
      <c r="AX463" s="180"/>
      <c r="AY463" s="180"/>
      <c r="AZ463" s="180"/>
      <c r="BA463" s="180"/>
      <c r="BB463" s="180"/>
      <c r="BC463" s="180"/>
      <c r="BD463" s="180"/>
      <c r="BE463" s="180"/>
      <c r="BF463" s="180"/>
      <c r="BG463" s="180"/>
      <c r="BH463" s="180"/>
      <c r="BI463" s="180"/>
      <c r="BJ463" s="180"/>
      <c r="BK463" s="180"/>
      <c r="BL463" s="180"/>
      <c r="BM463" s="180"/>
      <c r="BN463" s="180"/>
      <c r="BO463" s="180"/>
      <c r="BP463" s="180"/>
      <c r="BQ463" s="180"/>
      <c r="BR463" s="180"/>
      <c r="BS463" s="180"/>
      <c r="BT463" s="180"/>
      <c r="BU463" s="180"/>
      <c r="BV463" s="180"/>
      <c r="BW463" s="180"/>
      <c r="BX463" s="180"/>
      <c r="BY463" s="180"/>
      <c r="BZ463" s="180"/>
      <c r="CA463" s="180"/>
      <c r="CB463" s="180"/>
      <c r="CC463" s="180"/>
      <c r="CD463" s="180"/>
      <c r="CE463" s="180"/>
      <c r="CF463" s="180"/>
      <c r="CG463" s="180"/>
      <c r="CH463" s="180"/>
      <c r="CI463" s="180"/>
      <c r="CJ463" s="180"/>
      <c r="CK463" s="180"/>
      <c r="CL463" s="180"/>
      <c r="CM463" s="180"/>
      <c r="CN463" s="180"/>
      <c r="CO463" s="180"/>
      <c r="CP463" s="180"/>
      <c r="CQ463" s="180"/>
      <c r="CR463" s="180"/>
      <c r="CS463" s="180"/>
      <c r="CT463" s="180"/>
      <c r="CU463" s="180"/>
      <c r="CV463" s="180"/>
      <c r="CW463" s="180"/>
      <c r="CX463" s="180"/>
      <c r="CY463" s="180"/>
      <c r="CZ463" s="180"/>
      <c r="DA463" s="180"/>
      <c r="DB463" s="180"/>
    </row>
    <row r="464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180"/>
      <c r="AW464" s="180"/>
      <c r="AX464" s="180"/>
      <c r="AY464" s="180"/>
      <c r="AZ464" s="180"/>
      <c r="BA464" s="180"/>
      <c r="BB464" s="180"/>
      <c r="BC464" s="180"/>
      <c r="BD464" s="180"/>
      <c r="BE464" s="180"/>
      <c r="BF464" s="180"/>
      <c r="BG464" s="180"/>
      <c r="BH464" s="180"/>
      <c r="BI464" s="180"/>
      <c r="BJ464" s="180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180"/>
      <c r="BV464" s="180"/>
      <c r="BW464" s="180"/>
      <c r="BX464" s="180"/>
      <c r="BY464" s="180"/>
      <c r="BZ464" s="180"/>
      <c r="CA464" s="180"/>
      <c r="CB464" s="180"/>
      <c r="CC464" s="180"/>
      <c r="CD464" s="180"/>
      <c r="CE464" s="180"/>
      <c r="CF464" s="180"/>
      <c r="CG464" s="180"/>
      <c r="CH464" s="180"/>
      <c r="CI464" s="180"/>
      <c r="CJ464" s="180"/>
      <c r="CK464" s="180"/>
      <c r="CL464" s="180"/>
      <c r="CM464" s="180"/>
      <c r="CN464" s="180"/>
      <c r="CO464" s="180"/>
      <c r="CP464" s="180"/>
      <c r="CQ464" s="180"/>
      <c r="CR464" s="180"/>
      <c r="CS464" s="180"/>
      <c r="CT464" s="180"/>
      <c r="CU464" s="180"/>
      <c r="CV464" s="180"/>
      <c r="CW464" s="180"/>
      <c r="CX464" s="180"/>
      <c r="CY464" s="180"/>
      <c r="CZ464" s="180"/>
      <c r="DA464" s="180"/>
      <c r="DB464" s="180"/>
    </row>
    <row r="465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0"/>
      <c r="AL465" s="18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180"/>
      <c r="AW465" s="180"/>
      <c r="AX465" s="180"/>
      <c r="AY465" s="180"/>
      <c r="AZ465" s="180"/>
      <c r="BA465" s="180"/>
      <c r="BB465" s="180"/>
      <c r="BC465" s="180"/>
      <c r="BD465" s="180"/>
      <c r="BE465" s="180"/>
      <c r="BF465" s="180"/>
      <c r="BG465" s="180"/>
      <c r="BH465" s="180"/>
      <c r="BI465" s="180"/>
      <c r="BJ465" s="180"/>
      <c r="BK465" s="180"/>
      <c r="BL465" s="180"/>
      <c r="BM465" s="180"/>
      <c r="BN465" s="180"/>
      <c r="BO465" s="180"/>
      <c r="BP465" s="180"/>
      <c r="BQ465" s="180"/>
      <c r="BR465" s="180"/>
      <c r="BS465" s="180"/>
      <c r="BT465" s="180"/>
      <c r="BU465" s="180"/>
      <c r="BV465" s="180"/>
      <c r="BW465" s="180"/>
      <c r="BX465" s="180"/>
      <c r="BY465" s="180"/>
      <c r="BZ465" s="180"/>
      <c r="CA465" s="180"/>
      <c r="CB465" s="180"/>
      <c r="CC465" s="180"/>
      <c r="CD465" s="180"/>
      <c r="CE465" s="180"/>
      <c r="CF465" s="180"/>
      <c r="CG465" s="180"/>
      <c r="CH465" s="180"/>
      <c r="CI465" s="180"/>
      <c r="CJ465" s="180"/>
      <c r="CK465" s="180"/>
      <c r="CL465" s="180"/>
      <c r="CM465" s="180"/>
      <c r="CN465" s="180"/>
      <c r="CO465" s="180"/>
      <c r="CP465" s="180"/>
      <c r="CQ465" s="180"/>
      <c r="CR465" s="180"/>
      <c r="CS465" s="180"/>
      <c r="CT465" s="180"/>
      <c r="CU465" s="180"/>
      <c r="CV465" s="180"/>
      <c r="CW465" s="180"/>
      <c r="CX465" s="180"/>
      <c r="CY465" s="180"/>
      <c r="CZ465" s="180"/>
      <c r="DA465" s="180"/>
      <c r="DB465" s="180"/>
    </row>
    <row r="466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180"/>
      <c r="AW466" s="180"/>
      <c r="AX466" s="180"/>
      <c r="AY466" s="180"/>
      <c r="AZ466" s="180"/>
      <c r="BA466" s="180"/>
      <c r="BB466" s="180"/>
      <c r="BC466" s="180"/>
      <c r="BD466" s="180"/>
      <c r="BE466" s="180"/>
      <c r="BF466" s="180"/>
      <c r="BG466" s="180"/>
      <c r="BH466" s="180"/>
      <c r="BI466" s="180"/>
      <c r="BJ466" s="180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180"/>
      <c r="BV466" s="180"/>
      <c r="BW466" s="180"/>
      <c r="BX466" s="180"/>
      <c r="BY466" s="180"/>
      <c r="BZ466" s="180"/>
      <c r="CA466" s="180"/>
      <c r="CB466" s="180"/>
      <c r="CC466" s="180"/>
      <c r="CD466" s="180"/>
      <c r="CE466" s="180"/>
      <c r="CF466" s="180"/>
      <c r="CG466" s="180"/>
      <c r="CH466" s="180"/>
      <c r="CI466" s="180"/>
      <c r="CJ466" s="180"/>
      <c r="CK466" s="180"/>
      <c r="CL466" s="180"/>
      <c r="CM466" s="180"/>
      <c r="CN466" s="180"/>
      <c r="CO466" s="180"/>
      <c r="CP466" s="180"/>
      <c r="CQ466" s="180"/>
      <c r="CR466" s="180"/>
      <c r="CS466" s="180"/>
      <c r="CT466" s="180"/>
      <c r="CU466" s="180"/>
      <c r="CV466" s="180"/>
      <c r="CW466" s="180"/>
      <c r="CX466" s="180"/>
      <c r="CY466" s="180"/>
      <c r="CZ466" s="180"/>
      <c r="DA466" s="180"/>
      <c r="DB466" s="180"/>
    </row>
    <row r="467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  <c r="BY467" s="180"/>
      <c r="BZ467" s="180"/>
      <c r="CA467" s="180"/>
      <c r="CB467" s="180"/>
      <c r="CC467" s="180"/>
      <c r="CD467" s="180"/>
      <c r="CE467" s="180"/>
      <c r="CF467" s="180"/>
      <c r="CG467" s="180"/>
      <c r="CH467" s="180"/>
      <c r="CI467" s="180"/>
      <c r="CJ467" s="180"/>
      <c r="CK467" s="180"/>
      <c r="CL467" s="180"/>
      <c r="CM467" s="180"/>
      <c r="CN467" s="180"/>
      <c r="CO467" s="180"/>
      <c r="CP467" s="180"/>
      <c r="CQ467" s="180"/>
      <c r="CR467" s="180"/>
      <c r="CS467" s="180"/>
      <c r="CT467" s="180"/>
      <c r="CU467" s="180"/>
      <c r="CV467" s="180"/>
      <c r="CW467" s="180"/>
      <c r="CX467" s="180"/>
      <c r="CY467" s="180"/>
      <c r="CZ467" s="180"/>
      <c r="DA467" s="180"/>
      <c r="DB467" s="180"/>
    </row>
    <row r="468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  <c r="BY468" s="180"/>
      <c r="BZ468" s="180"/>
      <c r="CA468" s="180"/>
      <c r="CB468" s="180"/>
      <c r="CC468" s="180"/>
      <c r="CD468" s="180"/>
      <c r="CE468" s="180"/>
      <c r="CF468" s="180"/>
      <c r="CG468" s="180"/>
      <c r="CH468" s="180"/>
      <c r="CI468" s="180"/>
      <c r="CJ468" s="180"/>
      <c r="CK468" s="180"/>
      <c r="CL468" s="180"/>
      <c r="CM468" s="180"/>
      <c r="CN468" s="180"/>
      <c r="CO468" s="180"/>
      <c r="CP468" s="180"/>
      <c r="CQ468" s="180"/>
      <c r="CR468" s="180"/>
      <c r="CS468" s="180"/>
      <c r="CT468" s="180"/>
      <c r="CU468" s="180"/>
      <c r="CV468" s="180"/>
      <c r="CW468" s="180"/>
      <c r="CX468" s="180"/>
      <c r="CY468" s="180"/>
      <c r="CZ468" s="180"/>
      <c r="DA468" s="180"/>
      <c r="DB468" s="180"/>
    </row>
    <row r="469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  <c r="BY469" s="180"/>
      <c r="BZ469" s="180"/>
      <c r="CA469" s="180"/>
      <c r="CB469" s="180"/>
      <c r="CC469" s="180"/>
      <c r="CD469" s="180"/>
      <c r="CE469" s="180"/>
      <c r="CF469" s="180"/>
      <c r="CG469" s="180"/>
      <c r="CH469" s="180"/>
      <c r="CI469" s="180"/>
      <c r="CJ469" s="180"/>
      <c r="CK469" s="180"/>
      <c r="CL469" s="180"/>
      <c r="CM469" s="180"/>
      <c r="CN469" s="180"/>
      <c r="CO469" s="180"/>
      <c r="CP469" s="180"/>
      <c r="CQ469" s="180"/>
      <c r="CR469" s="180"/>
      <c r="CS469" s="180"/>
      <c r="CT469" s="180"/>
      <c r="CU469" s="180"/>
      <c r="CV469" s="180"/>
      <c r="CW469" s="180"/>
      <c r="CX469" s="180"/>
      <c r="CY469" s="180"/>
      <c r="CZ469" s="180"/>
      <c r="DA469" s="180"/>
      <c r="DB469" s="180"/>
    </row>
    <row r="470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  <c r="BY470" s="180"/>
      <c r="BZ470" s="180"/>
      <c r="CA470" s="180"/>
      <c r="CB470" s="180"/>
      <c r="CC470" s="180"/>
      <c r="CD470" s="180"/>
      <c r="CE470" s="180"/>
      <c r="CF470" s="180"/>
      <c r="CG470" s="180"/>
      <c r="CH470" s="180"/>
      <c r="CI470" s="180"/>
      <c r="CJ470" s="180"/>
      <c r="CK470" s="180"/>
      <c r="CL470" s="180"/>
      <c r="CM470" s="180"/>
      <c r="CN470" s="180"/>
      <c r="CO470" s="180"/>
      <c r="CP470" s="180"/>
      <c r="CQ470" s="180"/>
      <c r="CR470" s="180"/>
      <c r="CS470" s="180"/>
      <c r="CT470" s="180"/>
      <c r="CU470" s="180"/>
      <c r="CV470" s="180"/>
      <c r="CW470" s="180"/>
      <c r="CX470" s="180"/>
      <c r="CY470" s="180"/>
      <c r="CZ470" s="180"/>
      <c r="DA470" s="180"/>
      <c r="DB470" s="180"/>
    </row>
    <row r="471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  <c r="BY471" s="180"/>
      <c r="BZ471" s="180"/>
      <c r="CA471" s="180"/>
      <c r="CB471" s="180"/>
      <c r="CC471" s="180"/>
      <c r="CD471" s="180"/>
      <c r="CE471" s="180"/>
      <c r="CF471" s="180"/>
      <c r="CG471" s="180"/>
      <c r="CH471" s="180"/>
      <c r="CI471" s="180"/>
      <c r="CJ471" s="180"/>
      <c r="CK471" s="180"/>
      <c r="CL471" s="180"/>
      <c r="CM471" s="180"/>
      <c r="CN471" s="180"/>
      <c r="CO471" s="180"/>
      <c r="CP471" s="180"/>
      <c r="CQ471" s="180"/>
      <c r="CR471" s="180"/>
      <c r="CS471" s="180"/>
      <c r="CT471" s="180"/>
      <c r="CU471" s="180"/>
      <c r="CV471" s="180"/>
      <c r="CW471" s="180"/>
      <c r="CX471" s="180"/>
      <c r="CY471" s="180"/>
      <c r="CZ471" s="180"/>
      <c r="DA471" s="180"/>
      <c r="DB471" s="180"/>
    </row>
    <row r="472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  <c r="K472" s="180"/>
      <c r="L472" s="180"/>
      <c r="M472" s="180"/>
      <c r="N472" s="180"/>
      <c r="O472" s="180"/>
      <c r="P472" s="180"/>
      <c r="Q472" s="180"/>
      <c r="R472" s="180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0"/>
      <c r="AM472" s="180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0"/>
      <c r="AY472" s="180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0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0"/>
      <c r="BW472" s="180"/>
      <c r="BX472" s="180"/>
      <c r="BY472" s="180"/>
      <c r="BZ472" s="180"/>
      <c r="CA472" s="180"/>
      <c r="CB472" s="180"/>
      <c r="CC472" s="180"/>
      <c r="CD472" s="180"/>
      <c r="CE472" s="180"/>
      <c r="CF472" s="180"/>
      <c r="CG472" s="180"/>
      <c r="CH472" s="180"/>
      <c r="CI472" s="180"/>
      <c r="CJ472" s="180"/>
      <c r="CK472" s="180"/>
      <c r="CL472" s="180"/>
      <c r="CM472" s="180"/>
      <c r="CN472" s="180"/>
      <c r="CO472" s="180"/>
      <c r="CP472" s="180"/>
      <c r="CQ472" s="180"/>
      <c r="CR472" s="180"/>
      <c r="CS472" s="180"/>
      <c r="CT472" s="180"/>
      <c r="CU472" s="180"/>
      <c r="CV472" s="180"/>
      <c r="CW472" s="180"/>
      <c r="CX472" s="180"/>
      <c r="CY472" s="180"/>
      <c r="CZ472" s="180"/>
      <c r="DA472" s="180"/>
      <c r="DB472" s="180"/>
    </row>
    <row r="473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  <c r="BY473" s="180"/>
      <c r="BZ473" s="180"/>
      <c r="CA473" s="180"/>
      <c r="CB473" s="180"/>
      <c r="CC473" s="180"/>
      <c r="CD473" s="180"/>
      <c r="CE473" s="180"/>
      <c r="CF473" s="180"/>
      <c r="CG473" s="180"/>
      <c r="CH473" s="180"/>
      <c r="CI473" s="180"/>
      <c r="CJ473" s="180"/>
      <c r="CK473" s="180"/>
      <c r="CL473" s="180"/>
      <c r="CM473" s="180"/>
      <c r="CN473" s="180"/>
      <c r="CO473" s="180"/>
      <c r="CP473" s="180"/>
      <c r="CQ473" s="180"/>
      <c r="CR473" s="180"/>
      <c r="CS473" s="180"/>
      <c r="CT473" s="180"/>
      <c r="CU473" s="180"/>
      <c r="CV473" s="180"/>
      <c r="CW473" s="180"/>
      <c r="CX473" s="180"/>
      <c r="CY473" s="180"/>
      <c r="CZ473" s="180"/>
      <c r="DA473" s="180"/>
      <c r="DB473" s="180"/>
    </row>
    <row r="474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  <c r="BY474" s="180"/>
      <c r="BZ474" s="180"/>
      <c r="CA474" s="180"/>
      <c r="CB474" s="180"/>
      <c r="CC474" s="180"/>
      <c r="CD474" s="180"/>
      <c r="CE474" s="180"/>
      <c r="CF474" s="180"/>
      <c r="CG474" s="180"/>
      <c r="CH474" s="180"/>
      <c r="CI474" s="180"/>
      <c r="CJ474" s="180"/>
      <c r="CK474" s="180"/>
      <c r="CL474" s="180"/>
      <c r="CM474" s="180"/>
      <c r="CN474" s="180"/>
      <c r="CO474" s="180"/>
      <c r="CP474" s="180"/>
      <c r="CQ474" s="180"/>
      <c r="CR474" s="180"/>
      <c r="CS474" s="180"/>
      <c r="CT474" s="180"/>
      <c r="CU474" s="180"/>
      <c r="CV474" s="180"/>
      <c r="CW474" s="180"/>
      <c r="CX474" s="180"/>
      <c r="CY474" s="180"/>
      <c r="CZ474" s="180"/>
      <c r="DA474" s="180"/>
      <c r="DB474" s="180"/>
    </row>
    <row r="475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  <c r="BY475" s="180"/>
      <c r="BZ475" s="180"/>
      <c r="CA475" s="180"/>
      <c r="CB475" s="180"/>
      <c r="CC475" s="180"/>
      <c r="CD475" s="180"/>
      <c r="CE475" s="180"/>
      <c r="CF475" s="180"/>
      <c r="CG475" s="180"/>
      <c r="CH475" s="180"/>
      <c r="CI475" s="180"/>
      <c r="CJ475" s="180"/>
      <c r="CK475" s="180"/>
      <c r="CL475" s="180"/>
      <c r="CM475" s="180"/>
      <c r="CN475" s="180"/>
      <c r="CO475" s="180"/>
      <c r="CP475" s="180"/>
      <c r="CQ475" s="180"/>
      <c r="CR475" s="180"/>
      <c r="CS475" s="180"/>
      <c r="CT475" s="180"/>
      <c r="CU475" s="180"/>
      <c r="CV475" s="180"/>
      <c r="CW475" s="180"/>
      <c r="CX475" s="180"/>
      <c r="CY475" s="180"/>
      <c r="CZ475" s="180"/>
      <c r="DA475" s="180"/>
      <c r="DB475" s="180"/>
    </row>
    <row r="476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  <c r="BY476" s="180"/>
      <c r="BZ476" s="180"/>
      <c r="CA476" s="180"/>
      <c r="CB476" s="180"/>
      <c r="CC476" s="180"/>
      <c r="CD476" s="180"/>
      <c r="CE476" s="180"/>
      <c r="CF476" s="180"/>
      <c r="CG476" s="180"/>
      <c r="CH476" s="180"/>
      <c r="CI476" s="180"/>
      <c r="CJ476" s="180"/>
      <c r="CK476" s="180"/>
      <c r="CL476" s="180"/>
      <c r="CM476" s="180"/>
      <c r="CN476" s="180"/>
      <c r="CO476" s="180"/>
      <c r="CP476" s="180"/>
      <c r="CQ476" s="180"/>
      <c r="CR476" s="180"/>
      <c r="CS476" s="180"/>
      <c r="CT476" s="180"/>
      <c r="CU476" s="180"/>
      <c r="CV476" s="180"/>
      <c r="CW476" s="180"/>
      <c r="CX476" s="180"/>
      <c r="CY476" s="180"/>
      <c r="CZ476" s="180"/>
      <c r="DA476" s="180"/>
      <c r="DB476" s="180"/>
    </row>
    <row r="477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  <c r="K477" s="180"/>
      <c r="L477" s="180"/>
      <c r="M477" s="180"/>
      <c r="N477" s="180"/>
      <c r="O477" s="180"/>
      <c r="P477" s="180"/>
      <c r="Q477" s="180"/>
      <c r="R477" s="180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80"/>
      <c r="BN477" s="180"/>
      <c r="BO477" s="180"/>
      <c r="BP477" s="180"/>
      <c r="BQ477" s="180"/>
      <c r="BR477" s="180"/>
      <c r="BS477" s="180"/>
      <c r="BT477" s="180"/>
      <c r="BU477" s="180"/>
      <c r="BV477" s="180"/>
      <c r="BW477" s="180"/>
      <c r="BX477" s="180"/>
      <c r="BY477" s="180"/>
      <c r="BZ477" s="180"/>
      <c r="CA477" s="180"/>
      <c r="CB477" s="180"/>
      <c r="CC477" s="180"/>
      <c r="CD477" s="180"/>
      <c r="CE477" s="180"/>
      <c r="CF477" s="180"/>
      <c r="CG477" s="180"/>
      <c r="CH477" s="180"/>
      <c r="CI477" s="180"/>
      <c r="CJ477" s="180"/>
      <c r="CK477" s="180"/>
      <c r="CL477" s="180"/>
      <c r="CM477" s="180"/>
      <c r="CN477" s="180"/>
      <c r="CO477" s="180"/>
      <c r="CP477" s="180"/>
      <c r="CQ477" s="180"/>
      <c r="CR477" s="180"/>
      <c r="CS477" s="180"/>
      <c r="CT477" s="180"/>
      <c r="CU477" s="180"/>
      <c r="CV477" s="180"/>
      <c r="CW477" s="180"/>
      <c r="CX477" s="180"/>
      <c r="CY477" s="180"/>
      <c r="CZ477" s="180"/>
      <c r="DA477" s="180"/>
      <c r="DB477" s="180"/>
    </row>
    <row r="478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  <c r="BY478" s="180"/>
      <c r="BZ478" s="180"/>
      <c r="CA478" s="180"/>
      <c r="CB478" s="180"/>
      <c r="CC478" s="180"/>
      <c r="CD478" s="180"/>
      <c r="CE478" s="180"/>
      <c r="CF478" s="180"/>
      <c r="CG478" s="180"/>
      <c r="CH478" s="180"/>
      <c r="CI478" s="180"/>
      <c r="CJ478" s="180"/>
      <c r="CK478" s="180"/>
      <c r="CL478" s="180"/>
      <c r="CM478" s="180"/>
      <c r="CN478" s="180"/>
      <c r="CO478" s="180"/>
      <c r="CP478" s="180"/>
      <c r="CQ478" s="180"/>
      <c r="CR478" s="180"/>
      <c r="CS478" s="180"/>
      <c r="CT478" s="180"/>
      <c r="CU478" s="180"/>
      <c r="CV478" s="180"/>
      <c r="CW478" s="180"/>
      <c r="CX478" s="180"/>
      <c r="CY478" s="180"/>
      <c r="CZ478" s="180"/>
      <c r="DA478" s="180"/>
      <c r="DB478" s="180"/>
    </row>
    <row r="479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  <c r="BY479" s="180"/>
      <c r="BZ479" s="180"/>
      <c r="CA479" s="180"/>
      <c r="CB479" s="180"/>
      <c r="CC479" s="180"/>
      <c r="CD479" s="180"/>
      <c r="CE479" s="180"/>
      <c r="CF479" s="180"/>
      <c r="CG479" s="180"/>
      <c r="CH479" s="180"/>
      <c r="CI479" s="180"/>
      <c r="CJ479" s="180"/>
      <c r="CK479" s="180"/>
      <c r="CL479" s="180"/>
      <c r="CM479" s="180"/>
      <c r="CN479" s="180"/>
      <c r="CO479" s="180"/>
      <c r="CP479" s="180"/>
      <c r="CQ479" s="180"/>
      <c r="CR479" s="180"/>
      <c r="CS479" s="180"/>
      <c r="CT479" s="180"/>
      <c r="CU479" s="180"/>
      <c r="CV479" s="180"/>
      <c r="CW479" s="180"/>
      <c r="CX479" s="180"/>
      <c r="CY479" s="180"/>
      <c r="CZ479" s="180"/>
      <c r="DA479" s="180"/>
      <c r="DB479" s="180"/>
    </row>
    <row r="480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180"/>
      <c r="BV480" s="180"/>
      <c r="BW480" s="180"/>
      <c r="BX480" s="180"/>
      <c r="BY480" s="180"/>
      <c r="BZ480" s="180"/>
      <c r="CA480" s="180"/>
      <c r="CB480" s="180"/>
      <c r="CC480" s="180"/>
      <c r="CD480" s="180"/>
      <c r="CE480" s="180"/>
      <c r="CF480" s="180"/>
      <c r="CG480" s="180"/>
      <c r="CH480" s="180"/>
      <c r="CI480" s="180"/>
      <c r="CJ480" s="180"/>
      <c r="CK480" s="180"/>
      <c r="CL480" s="180"/>
      <c r="CM480" s="180"/>
      <c r="CN480" s="180"/>
      <c r="CO480" s="180"/>
      <c r="CP480" s="180"/>
      <c r="CQ480" s="180"/>
      <c r="CR480" s="180"/>
      <c r="CS480" s="180"/>
      <c r="CT480" s="180"/>
      <c r="CU480" s="180"/>
      <c r="CV480" s="180"/>
      <c r="CW480" s="180"/>
      <c r="CX480" s="180"/>
      <c r="CY480" s="180"/>
      <c r="CZ480" s="180"/>
      <c r="DA480" s="180"/>
      <c r="DB480" s="180"/>
    </row>
    <row r="481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  <c r="BY481" s="180"/>
      <c r="BZ481" s="180"/>
      <c r="CA481" s="180"/>
      <c r="CB481" s="180"/>
      <c r="CC481" s="180"/>
      <c r="CD481" s="180"/>
      <c r="CE481" s="180"/>
      <c r="CF481" s="180"/>
      <c r="CG481" s="180"/>
      <c r="CH481" s="180"/>
      <c r="CI481" s="180"/>
      <c r="CJ481" s="180"/>
      <c r="CK481" s="180"/>
      <c r="CL481" s="180"/>
      <c r="CM481" s="180"/>
      <c r="CN481" s="180"/>
      <c r="CO481" s="180"/>
      <c r="CP481" s="180"/>
      <c r="CQ481" s="180"/>
      <c r="CR481" s="180"/>
      <c r="CS481" s="180"/>
      <c r="CT481" s="180"/>
      <c r="CU481" s="180"/>
      <c r="CV481" s="180"/>
      <c r="CW481" s="180"/>
      <c r="CX481" s="180"/>
      <c r="CY481" s="180"/>
      <c r="CZ481" s="180"/>
      <c r="DA481" s="180"/>
      <c r="DB481" s="180"/>
    </row>
    <row r="482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180"/>
      <c r="BV482" s="180"/>
      <c r="BW482" s="180"/>
      <c r="BX482" s="180"/>
      <c r="BY482" s="180"/>
      <c r="BZ482" s="180"/>
      <c r="CA482" s="180"/>
      <c r="CB482" s="180"/>
      <c r="CC482" s="180"/>
      <c r="CD482" s="180"/>
      <c r="CE482" s="180"/>
      <c r="CF482" s="180"/>
      <c r="CG482" s="180"/>
      <c r="CH482" s="180"/>
      <c r="CI482" s="180"/>
      <c r="CJ482" s="180"/>
      <c r="CK482" s="180"/>
      <c r="CL482" s="180"/>
      <c r="CM482" s="180"/>
      <c r="CN482" s="180"/>
      <c r="CO482" s="180"/>
      <c r="CP482" s="180"/>
      <c r="CQ482" s="180"/>
      <c r="CR482" s="180"/>
      <c r="CS482" s="180"/>
      <c r="CT482" s="180"/>
      <c r="CU482" s="180"/>
      <c r="CV482" s="180"/>
      <c r="CW482" s="180"/>
      <c r="CX482" s="180"/>
      <c r="CY482" s="180"/>
      <c r="CZ482" s="180"/>
      <c r="DA482" s="180"/>
      <c r="DB482" s="180"/>
    </row>
    <row r="483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0"/>
      <c r="AL483" s="180"/>
      <c r="AM483" s="180"/>
      <c r="AN483" s="180"/>
      <c r="AO483" s="180"/>
      <c r="AP483" s="180"/>
      <c r="AQ483" s="180"/>
      <c r="AR483" s="180"/>
      <c r="AS483" s="180"/>
      <c r="AT483" s="180"/>
      <c r="AU483" s="180"/>
      <c r="AV483" s="180"/>
      <c r="AW483" s="180"/>
      <c r="AX483" s="180"/>
      <c r="AY483" s="180"/>
      <c r="AZ483" s="180"/>
      <c r="BA483" s="180"/>
      <c r="BB483" s="180"/>
      <c r="BC483" s="180"/>
      <c r="BD483" s="180"/>
      <c r="BE483" s="180"/>
      <c r="BF483" s="180"/>
      <c r="BG483" s="180"/>
      <c r="BH483" s="180"/>
      <c r="BI483" s="180"/>
      <c r="BJ483" s="180"/>
      <c r="BK483" s="180"/>
      <c r="BL483" s="180"/>
      <c r="BM483" s="180"/>
      <c r="BN483" s="180"/>
      <c r="BO483" s="180"/>
      <c r="BP483" s="180"/>
      <c r="BQ483" s="180"/>
      <c r="BR483" s="180"/>
      <c r="BS483" s="180"/>
      <c r="BT483" s="180"/>
      <c r="BU483" s="180"/>
      <c r="BV483" s="180"/>
      <c r="BW483" s="180"/>
      <c r="BX483" s="180"/>
      <c r="BY483" s="180"/>
      <c r="BZ483" s="180"/>
      <c r="CA483" s="180"/>
      <c r="CB483" s="180"/>
      <c r="CC483" s="180"/>
      <c r="CD483" s="180"/>
      <c r="CE483" s="180"/>
      <c r="CF483" s="180"/>
      <c r="CG483" s="180"/>
      <c r="CH483" s="180"/>
      <c r="CI483" s="180"/>
      <c r="CJ483" s="180"/>
      <c r="CK483" s="180"/>
      <c r="CL483" s="180"/>
      <c r="CM483" s="180"/>
      <c r="CN483" s="180"/>
      <c r="CO483" s="180"/>
      <c r="CP483" s="180"/>
      <c r="CQ483" s="180"/>
      <c r="CR483" s="180"/>
      <c r="CS483" s="180"/>
      <c r="CT483" s="180"/>
      <c r="CU483" s="180"/>
      <c r="CV483" s="180"/>
      <c r="CW483" s="180"/>
      <c r="CX483" s="180"/>
      <c r="CY483" s="180"/>
      <c r="CZ483" s="180"/>
      <c r="DA483" s="180"/>
      <c r="DB483" s="180"/>
    </row>
    <row r="484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180"/>
      <c r="AW484" s="180"/>
      <c r="AX484" s="180"/>
      <c r="AY484" s="180"/>
      <c r="AZ484" s="180"/>
      <c r="BA484" s="180"/>
      <c r="BB484" s="180"/>
      <c r="BC484" s="180"/>
      <c r="BD484" s="180"/>
      <c r="BE484" s="180"/>
      <c r="BF484" s="180"/>
      <c r="BG484" s="180"/>
      <c r="BH484" s="180"/>
      <c r="BI484" s="180"/>
      <c r="BJ484" s="180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180"/>
      <c r="BV484" s="180"/>
      <c r="BW484" s="180"/>
      <c r="BX484" s="180"/>
      <c r="BY484" s="180"/>
      <c r="BZ484" s="180"/>
      <c r="CA484" s="180"/>
      <c r="CB484" s="180"/>
      <c r="CC484" s="180"/>
      <c r="CD484" s="180"/>
      <c r="CE484" s="180"/>
      <c r="CF484" s="180"/>
      <c r="CG484" s="180"/>
      <c r="CH484" s="180"/>
      <c r="CI484" s="180"/>
      <c r="CJ484" s="180"/>
      <c r="CK484" s="180"/>
      <c r="CL484" s="180"/>
      <c r="CM484" s="180"/>
      <c r="CN484" s="180"/>
      <c r="CO484" s="180"/>
      <c r="CP484" s="180"/>
      <c r="CQ484" s="180"/>
      <c r="CR484" s="180"/>
      <c r="CS484" s="180"/>
      <c r="CT484" s="180"/>
      <c r="CU484" s="180"/>
      <c r="CV484" s="180"/>
      <c r="CW484" s="180"/>
      <c r="CX484" s="180"/>
      <c r="CY484" s="180"/>
      <c r="CZ484" s="180"/>
      <c r="DA484" s="180"/>
      <c r="DB484" s="180"/>
    </row>
    <row r="485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80"/>
      <c r="BN485" s="180"/>
      <c r="BO485" s="180"/>
      <c r="BP485" s="180"/>
      <c r="BQ485" s="180"/>
      <c r="BR485" s="180"/>
      <c r="BS485" s="180"/>
      <c r="BT485" s="180"/>
      <c r="BU485" s="180"/>
      <c r="BV485" s="180"/>
      <c r="BW485" s="180"/>
      <c r="BX485" s="180"/>
      <c r="BY485" s="180"/>
      <c r="BZ485" s="180"/>
      <c r="CA485" s="180"/>
      <c r="CB485" s="180"/>
      <c r="CC485" s="180"/>
      <c r="CD485" s="180"/>
      <c r="CE485" s="180"/>
      <c r="CF485" s="180"/>
      <c r="CG485" s="180"/>
      <c r="CH485" s="180"/>
      <c r="CI485" s="180"/>
      <c r="CJ485" s="180"/>
      <c r="CK485" s="180"/>
      <c r="CL485" s="180"/>
      <c r="CM485" s="180"/>
      <c r="CN485" s="180"/>
      <c r="CO485" s="180"/>
      <c r="CP485" s="180"/>
      <c r="CQ485" s="180"/>
      <c r="CR485" s="180"/>
      <c r="CS485" s="180"/>
      <c r="CT485" s="180"/>
      <c r="CU485" s="180"/>
      <c r="CV485" s="180"/>
      <c r="CW485" s="180"/>
      <c r="CX485" s="180"/>
      <c r="CY485" s="180"/>
      <c r="CZ485" s="180"/>
      <c r="DA485" s="180"/>
      <c r="DB485" s="180"/>
    </row>
    <row r="486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  <c r="BY486" s="180"/>
      <c r="BZ486" s="180"/>
      <c r="CA486" s="180"/>
      <c r="CB486" s="180"/>
      <c r="CC486" s="180"/>
      <c r="CD486" s="180"/>
      <c r="CE486" s="180"/>
      <c r="CF486" s="180"/>
      <c r="CG486" s="180"/>
      <c r="CH486" s="180"/>
      <c r="CI486" s="180"/>
      <c r="CJ486" s="180"/>
      <c r="CK486" s="180"/>
      <c r="CL486" s="180"/>
      <c r="CM486" s="180"/>
      <c r="CN486" s="180"/>
      <c r="CO486" s="180"/>
      <c r="CP486" s="180"/>
      <c r="CQ486" s="180"/>
      <c r="CR486" s="180"/>
      <c r="CS486" s="180"/>
      <c r="CT486" s="180"/>
      <c r="CU486" s="180"/>
      <c r="CV486" s="180"/>
      <c r="CW486" s="180"/>
      <c r="CX486" s="180"/>
      <c r="CY486" s="180"/>
      <c r="CZ486" s="180"/>
      <c r="DA486" s="180"/>
      <c r="DB486" s="180"/>
    </row>
    <row r="487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80"/>
      <c r="BN487" s="180"/>
      <c r="BO487" s="180"/>
      <c r="BP487" s="180"/>
      <c r="BQ487" s="180"/>
      <c r="BR487" s="180"/>
      <c r="BS487" s="180"/>
      <c r="BT487" s="180"/>
      <c r="BU487" s="180"/>
      <c r="BV487" s="180"/>
      <c r="BW487" s="180"/>
      <c r="BX487" s="180"/>
      <c r="BY487" s="180"/>
      <c r="BZ487" s="180"/>
      <c r="CA487" s="180"/>
      <c r="CB487" s="180"/>
      <c r="CC487" s="180"/>
      <c r="CD487" s="180"/>
      <c r="CE487" s="180"/>
      <c r="CF487" s="180"/>
      <c r="CG487" s="180"/>
      <c r="CH487" s="180"/>
      <c r="CI487" s="180"/>
      <c r="CJ487" s="180"/>
      <c r="CK487" s="180"/>
      <c r="CL487" s="180"/>
      <c r="CM487" s="180"/>
      <c r="CN487" s="180"/>
      <c r="CO487" s="180"/>
      <c r="CP487" s="180"/>
      <c r="CQ487" s="180"/>
      <c r="CR487" s="180"/>
      <c r="CS487" s="180"/>
      <c r="CT487" s="180"/>
      <c r="CU487" s="180"/>
      <c r="CV487" s="180"/>
      <c r="CW487" s="180"/>
      <c r="CX487" s="180"/>
      <c r="CY487" s="180"/>
      <c r="CZ487" s="180"/>
      <c r="DA487" s="180"/>
      <c r="DB487" s="180"/>
    </row>
    <row r="488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180"/>
      <c r="BV488" s="180"/>
      <c r="BW488" s="180"/>
      <c r="BX488" s="180"/>
      <c r="BY488" s="180"/>
      <c r="BZ488" s="180"/>
      <c r="CA488" s="180"/>
      <c r="CB488" s="180"/>
      <c r="CC488" s="180"/>
      <c r="CD488" s="180"/>
      <c r="CE488" s="180"/>
      <c r="CF488" s="180"/>
      <c r="CG488" s="180"/>
      <c r="CH488" s="180"/>
      <c r="CI488" s="180"/>
      <c r="CJ488" s="180"/>
      <c r="CK488" s="180"/>
      <c r="CL488" s="180"/>
      <c r="CM488" s="180"/>
      <c r="CN488" s="180"/>
      <c r="CO488" s="180"/>
      <c r="CP488" s="180"/>
      <c r="CQ488" s="180"/>
      <c r="CR488" s="180"/>
      <c r="CS488" s="180"/>
      <c r="CT488" s="180"/>
      <c r="CU488" s="180"/>
      <c r="CV488" s="180"/>
      <c r="CW488" s="180"/>
      <c r="CX488" s="180"/>
      <c r="CY488" s="180"/>
      <c r="CZ488" s="180"/>
      <c r="DA488" s="180"/>
      <c r="DB488" s="180"/>
    </row>
    <row r="489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80"/>
      <c r="BN489" s="180"/>
      <c r="BO489" s="180"/>
      <c r="BP489" s="180"/>
      <c r="BQ489" s="180"/>
      <c r="BR489" s="180"/>
      <c r="BS489" s="180"/>
      <c r="BT489" s="180"/>
      <c r="BU489" s="180"/>
      <c r="BV489" s="180"/>
      <c r="BW489" s="180"/>
      <c r="BX489" s="180"/>
      <c r="BY489" s="180"/>
      <c r="BZ489" s="180"/>
      <c r="CA489" s="180"/>
      <c r="CB489" s="180"/>
      <c r="CC489" s="180"/>
      <c r="CD489" s="180"/>
      <c r="CE489" s="180"/>
      <c r="CF489" s="180"/>
      <c r="CG489" s="180"/>
      <c r="CH489" s="180"/>
      <c r="CI489" s="180"/>
      <c r="CJ489" s="180"/>
      <c r="CK489" s="180"/>
      <c r="CL489" s="180"/>
      <c r="CM489" s="180"/>
      <c r="CN489" s="180"/>
      <c r="CO489" s="180"/>
      <c r="CP489" s="180"/>
      <c r="CQ489" s="180"/>
      <c r="CR489" s="180"/>
      <c r="CS489" s="180"/>
      <c r="CT489" s="180"/>
      <c r="CU489" s="180"/>
      <c r="CV489" s="180"/>
      <c r="CW489" s="180"/>
      <c r="CX489" s="180"/>
      <c r="CY489" s="180"/>
      <c r="CZ489" s="180"/>
      <c r="DA489" s="180"/>
      <c r="DB489" s="180"/>
    </row>
    <row r="490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180"/>
      <c r="BV490" s="180"/>
      <c r="BW490" s="180"/>
      <c r="BX490" s="180"/>
      <c r="BY490" s="180"/>
      <c r="BZ490" s="180"/>
      <c r="CA490" s="180"/>
      <c r="CB490" s="180"/>
      <c r="CC490" s="180"/>
      <c r="CD490" s="180"/>
      <c r="CE490" s="180"/>
      <c r="CF490" s="180"/>
      <c r="CG490" s="180"/>
      <c r="CH490" s="180"/>
      <c r="CI490" s="180"/>
      <c r="CJ490" s="180"/>
      <c r="CK490" s="180"/>
      <c r="CL490" s="180"/>
      <c r="CM490" s="180"/>
      <c r="CN490" s="180"/>
      <c r="CO490" s="180"/>
      <c r="CP490" s="180"/>
      <c r="CQ490" s="180"/>
      <c r="CR490" s="180"/>
      <c r="CS490" s="180"/>
      <c r="CT490" s="180"/>
      <c r="CU490" s="180"/>
      <c r="CV490" s="180"/>
      <c r="CW490" s="180"/>
      <c r="CX490" s="180"/>
      <c r="CY490" s="180"/>
      <c r="CZ490" s="180"/>
      <c r="DA490" s="180"/>
      <c r="DB490" s="180"/>
    </row>
    <row r="491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180"/>
      <c r="BN491" s="180"/>
      <c r="BO491" s="180"/>
      <c r="BP491" s="180"/>
      <c r="BQ491" s="180"/>
      <c r="BR491" s="180"/>
      <c r="BS491" s="180"/>
      <c r="BT491" s="180"/>
      <c r="BU491" s="180"/>
      <c r="BV491" s="180"/>
      <c r="BW491" s="180"/>
      <c r="BX491" s="180"/>
      <c r="BY491" s="180"/>
      <c r="BZ491" s="180"/>
      <c r="CA491" s="180"/>
      <c r="CB491" s="180"/>
      <c r="CC491" s="180"/>
      <c r="CD491" s="180"/>
      <c r="CE491" s="180"/>
      <c r="CF491" s="180"/>
      <c r="CG491" s="180"/>
      <c r="CH491" s="180"/>
      <c r="CI491" s="180"/>
      <c r="CJ491" s="180"/>
      <c r="CK491" s="180"/>
      <c r="CL491" s="180"/>
      <c r="CM491" s="180"/>
      <c r="CN491" s="180"/>
      <c r="CO491" s="180"/>
      <c r="CP491" s="180"/>
      <c r="CQ491" s="180"/>
      <c r="CR491" s="180"/>
      <c r="CS491" s="180"/>
      <c r="CT491" s="180"/>
      <c r="CU491" s="180"/>
      <c r="CV491" s="180"/>
      <c r="CW491" s="180"/>
      <c r="CX491" s="180"/>
      <c r="CY491" s="180"/>
      <c r="CZ491" s="180"/>
      <c r="DA491" s="180"/>
      <c r="DB491" s="180"/>
    </row>
    <row r="492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180"/>
      <c r="BV492" s="180"/>
      <c r="BW492" s="180"/>
      <c r="BX492" s="180"/>
      <c r="BY492" s="180"/>
      <c r="BZ492" s="180"/>
      <c r="CA492" s="180"/>
      <c r="CB492" s="180"/>
      <c r="CC492" s="180"/>
      <c r="CD492" s="180"/>
      <c r="CE492" s="180"/>
      <c r="CF492" s="180"/>
      <c r="CG492" s="180"/>
      <c r="CH492" s="180"/>
      <c r="CI492" s="180"/>
      <c r="CJ492" s="180"/>
      <c r="CK492" s="180"/>
      <c r="CL492" s="180"/>
      <c r="CM492" s="180"/>
      <c r="CN492" s="180"/>
      <c r="CO492" s="180"/>
      <c r="CP492" s="180"/>
      <c r="CQ492" s="180"/>
      <c r="CR492" s="180"/>
      <c r="CS492" s="180"/>
      <c r="CT492" s="180"/>
      <c r="CU492" s="180"/>
      <c r="CV492" s="180"/>
      <c r="CW492" s="180"/>
      <c r="CX492" s="180"/>
      <c r="CY492" s="180"/>
      <c r="CZ492" s="180"/>
      <c r="DA492" s="180"/>
      <c r="DB492" s="180"/>
    </row>
    <row r="493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180"/>
      <c r="BN493" s="180"/>
      <c r="BO493" s="180"/>
      <c r="BP493" s="180"/>
      <c r="BQ493" s="180"/>
      <c r="BR493" s="180"/>
      <c r="BS493" s="180"/>
      <c r="BT493" s="180"/>
      <c r="BU493" s="180"/>
      <c r="BV493" s="180"/>
      <c r="BW493" s="180"/>
      <c r="BX493" s="180"/>
      <c r="BY493" s="180"/>
      <c r="BZ493" s="180"/>
      <c r="CA493" s="180"/>
      <c r="CB493" s="180"/>
      <c r="CC493" s="180"/>
      <c r="CD493" s="180"/>
      <c r="CE493" s="180"/>
      <c r="CF493" s="180"/>
      <c r="CG493" s="180"/>
      <c r="CH493" s="180"/>
      <c r="CI493" s="180"/>
      <c r="CJ493" s="180"/>
      <c r="CK493" s="180"/>
      <c r="CL493" s="180"/>
      <c r="CM493" s="180"/>
      <c r="CN493" s="180"/>
      <c r="CO493" s="180"/>
      <c r="CP493" s="180"/>
      <c r="CQ493" s="180"/>
      <c r="CR493" s="180"/>
      <c r="CS493" s="180"/>
      <c r="CT493" s="180"/>
      <c r="CU493" s="180"/>
      <c r="CV493" s="180"/>
      <c r="CW493" s="180"/>
      <c r="CX493" s="180"/>
      <c r="CY493" s="180"/>
      <c r="CZ493" s="180"/>
      <c r="DA493" s="180"/>
      <c r="DB493" s="180"/>
    </row>
    <row r="494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0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180"/>
      <c r="AW494" s="180"/>
      <c r="AX494" s="180"/>
      <c r="AY494" s="180"/>
      <c r="AZ494" s="180"/>
      <c r="BA494" s="180"/>
      <c r="BB494" s="180"/>
      <c r="BC494" s="180"/>
      <c r="BD494" s="180"/>
      <c r="BE494" s="180"/>
      <c r="BF494" s="180"/>
      <c r="BG494" s="180"/>
      <c r="BH494" s="180"/>
      <c r="BI494" s="180"/>
      <c r="BJ494" s="180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180"/>
      <c r="BV494" s="180"/>
      <c r="BW494" s="180"/>
      <c r="BX494" s="180"/>
      <c r="BY494" s="180"/>
      <c r="BZ494" s="180"/>
      <c r="CA494" s="180"/>
      <c r="CB494" s="180"/>
      <c r="CC494" s="180"/>
      <c r="CD494" s="180"/>
      <c r="CE494" s="180"/>
      <c r="CF494" s="180"/>
      <c r="CG494" s="180"/>
      <c r="CH494" s="180"/>
      <c r="CI494" s="180"/>
      <c r="CJ494" s="180"/>
      <c r="CK494" s="180"/>
      <c r="CL494" s="180"/>
      <c r="CM494" s="180"/>
      <c r="CN494" s="180"/>
      <c r="CO494" s="180"/>
      <c r="CP494" s="180"/>
      <c r="CQ494" s="180"/>
      <c r="CR494" s="180"/>
      <c r="CS494" s="180"/>
      <c r="CT494" s="180"/>
      <c r="CU494" s="180"/>
      <c r="CV494" s="180"/>
      <c r="CW494" s="180"/>
      <c r="CX494" s="180"/>
      <c r="CY494" s="180"/>
      <c r="CZ494" s="180"/>
      <c r="DA494" s="180"/>
      <c r="DB494" s="180"/>
    </row>
    <row r="495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0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180"/>
      <c r="AW495" s="180"/>
      <c r="AX495" s="180"/>
      <c r="AY495" s="180"/>
      <c r="AZ495" s="180"/>
      <c r="BA495" s="180"/>
      <c r="BB495" s="180"/>
      <c r="BC495" s="180"/>
      <c r="BD495" s="180"/>
      <c r="BE495" s="180"/>
      <c r="BF495" s="180"/>
      <c r="BG495" s="180"/>
      <c r="BH495" s="180"/>
      <c r="BI495" s="180"/>
      <c r="BJ495" s="180"/>
      <c r="BK495" s="180"/>
      <c r="BL495" s="180"/>
      <c r="BM495" s="180"/>
      <c r="BN495" s="180"/>
      <c r="BO495" s="180"/>
      <c r="BP495" s="180"/>
      <c r="BQ495" s="180"/>
      <c r="BR495" s="180"/>
      <c r="BS495" s="180"/>
      <c r="BT495" s="180"/>
      <c r="BU495" s="180"/>
      <c r="BV495" s="180"/>
      <c r="BW495" s="180"/>
      <c r="BX495" s="180"/>
      <c r="BY495" s="180"/>
      <c r="BZ495" s="180"/>
      <c r="CA495" s="180"/>
      <c r="CB495" s="180"/>
      <c r="CC495" s="180"/>
      <c r="CD495" s="180"/>
      <c r="CE495" s="180"/>
      <c r="CF495" s="180"/>
      <c r="CG495" s="180"/>
      <c r="CH495" s="180"/>
      <c r="CI495" s="180"/>
      <c r="CJ495" s="180"/>
      <c r="CK495" s="180"/>
      <c r="CL495" s="180"/>
      <c r="CM495" s="180"/>
      <c r="CN495" s="180"/>
      <c r="CO495" s="180"/>
      <c r="CP495" s="180"/>
      <c r="CQ495" s="180"/>
      <c r="CR495" s="180"/>
      <c r="CS495" s="180"/>
      <c r="CT495" s="180"/>
      <c r="CU495" s="180"/>
      <c r="CV495" s="180"/>
      <c r="CW495" s="180"/>
      <c r="CX495" s="180"/>
      <c r="CY495" s="180"/>
      <c r="CZ495" s="180"/>
      <c r="DA495" s="180"/>
      <c r="DB495" s="180"/>
    </row>
    <row r="496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180"/>
      <c r="AW496" s="180"/>
      <c r="AX496" s="180"/>
      <c r="AY496" s="180"/>
      <c r="AZ496" s="180"/>
      <c r="BA496" s="180"/>
      <c r="BB496" s="180"/>
      <c r="BC496" s="180"/>
      <c r="BD496" s="180"/>
      <c r="BE496" s="180"/>
      <c r="BF496" s="180"/>
      <c r="BG496" s="180"/>
      <c r="BH496" s="180"/>
      <c r="BI496" s="180"/>
      <c r="BJ496" s="180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180"/>
      <c r="BV496" s="180"/>
      <c r="BW496" s="180"/>
      <c r="BX496" s="180"/>
      <c r="BY496" s="180"/>
      <c r="BZ496" s="180"/>
      <c r="CA496" s="180"/>
      <c r="CB496" s="180"/>
      <c r="CC496" s="180"/>
      <c r="CD496" s="180"/>
      <c r="CE496" s="180"/>
      <c r="CF496" s="180"/>
      <c r="CG496" s="180"/>
      <c r="CH496" s="180"/>
      <c r="CI496" s="180"/>
      <c r="CJ496" s="180"/>
      <c r="CK496" s="180"/>
      <c r="CL496" s="180"/>
      <c r="CM496" s="180"/>
      <c r="CN496" s="180"/>
      <c r="CO496" s="180"/>
      <c r="CP496" s="180"/>
      <c r="CQ496" s="180"/>
      <c r="CR496" s="180"/>
      <c r="CS496" s="180"/>
      <c r="CT496" s="180"/>
      <c r="CU496" s="180"/>
      <c r="CV496" s="180"/>
      <c r="CW496" s="180"/>
      <c r="CX496" s="180"/>
      <c r="CY496" s="180"/>
      <c r="CZ496" s="180"/>
      <c r="DA496" s="180"/>
      <c r="DB496" s="180"/>
    </row>
    <row r="497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  <c r="BY497" s="180"/>
      <c r="BZ497" s="180"/>
      <c r="CA497" s="180"/>
      <c r="CB497" s="180"/>
      <c r="CC497" s="180"/>
      <c r="CD497" s="180"/>
      <c r="CE497" s="180"/>
      <c r="CF497" s="180"/>
      <c r="CG497" s="180"/>
      <c r="CH497" s="180"/>
      <c r="CI497" s="180"/>
      <c r="CJ497" s="180"/>
      <c r="CK497" s="180"/>
      <c r="CL497" s="180"/>
      <c r="CM497" s="180"/>
      <c r="CN497" s="180"/>
      <c r="CO497" s="180"/>
      <c r="CP497" s="180"/>
      <c r="CQ497" s="180"/>
      <c r="CR497" s="180"/>
      <c r="CS497" s="180"/>
      <c r="CT497" s="180"/>
      <c r="CU497" s="180"/>
      <c r="CV497" s="180"/>
      <c r="CW497" s="180"/>
      <c r="CX497" s="180"/>
      <c r="CY497" s="180"/>
      <c r="CZ497" s="180"/>
      <c r="DA497" s="180"/>
      <c r="DB497" s="180"/>
    </row>
    <row r="498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  <c r="BY498" s="180"/>
      <c r="BZ498" s="180"/>
      <c r="CA498" s="180"/>
      <c r="CB498" s="180"/>
      <c r="CC498" s="180"/>
      <c r="CD498" s="180"/>
      <c r="CE498" s="180"/>
      <c r="CF498" s="180"/>
      <c r="CG498" s="180"/>
      <c r="CH498" s="180"/>
      <c r="CI498" s="180"/>
      <c r="CJ498" s="180"/>
      <c r="CK498" s="180"/>
      <c r="CL498" s="180"/>
      <c r="CM498" s="180"/>
      <c r="CN498" s="180"/>
      <c r="CO498" s="180"/>
      <c r="CP498" s="180"/>
      <c r="CQ498" s="180"/>
      <c r="CR498" s="180"/>
      <c r="CS498" s="180"/>
      <c r="CT498" s="180"/>
      <c r="CU498" s="180"/>
      <c r="CV498" s="180"/>
      <c r="CW498" s="180"/>
      <c r="CX498" s="180"/>
      <c r="CY498" s="180"/>
      <c r="CZ498" s="180"/>
      <c r="DA498" s="180"/>
      <c r="DB498" s="180"/>
    </row>
    <row r="499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  <c r="BY499" s="180"/>
      <c r="BZ499" s="180"/>
      <c r="CA499" s="180"/>
      <c r="CB499" s="180"/>
      <c r="CC499" s="180"/>
      <c r="CD499" s="180"/>
      <c r="CE499" s="180"/>
      <c r="CF499" s="180"/>
      <c r="CG499" s="180"/>
      <c r="CH499" s="180"/>
      <c r="CI499" s="180"/>
      <c r="CJ499" s="180"/>
      <c r="CK499" s="180"/>
      <c r="CL499" s="180"/>
      <c r="CM499" s="180"/>
      <c r="CN499" s="180"/>
      <c r="CO499" s="180"/>
      <c r="CP499" s="180"/>
      <c r="CQ499" s="180"/>
      <c r="CR499" s="180"/>
      <c r="CS499" s="180"/>
      <c r="CT499" s="180"/>
      <c r="CU499" s="180"/>
      <c r="CV499" s="180"/>
      <c r="CW499" s="180"/>
      <c r="CX499" s="180"/>
      <c r="CY499" s="180"/>
      <c r="CZ499" s="180"/>
      <c r="DA499" s="180"/>
      <c r="DB499" s="180"/>
    </row>
    <row r="500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  <c r="BY500" s="180"/>
      <c r="BZ500" s="180"/>
      <c r="CA500" s="180"/>
      <c r="CB500" s="180"/>
      <c r="CC500" s="180"/>
      <c r="CD500" s="180"/>
      <c r="CE500" s="180"/>
      <c r="CF500" s="180"/>
      <c r="CG500" s="180"/>
      <c r="CH500" s="180"/>
      <c r="CI500" s="180"/>
      <c r="CJ500" s="180"/>
      <c r="CK500" s="180"/>
      <c r="CL500" s="180"/>
      <c r="CM500" s="180"/>
      <c r="CN500" s="180"/>
      <c r="CO500" s="180"/>
      <c r="CP500" s="180"/>
      <c r="CQ500" s="180"/>
      <c r="CR500" s="180"/>
      <c r="CS500" s="180"/>
      <c r="CT500" s="180"/>
      <c r="CU500" s="180"/>
      <c r="CV500" s="180"/>
      <c r="CW500" s="180"/>
      <c r="CX500" s="180"/>
      <c r="CY500" s="180"/>
      <c r="CZ500" s="180"/>
      <c r="DA500" s="180"/>
      <c r="DB500" s="180"/>
    </row>
    <row r="501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  <c r="BY501" s="180"/>
      <c r="BZ501" s="180"/>
      <c r="CA501" s="180"/>
      <c r="CB501" s="180"/>
      <c r="CC501" s="180"/>
      <c r="CD501" s="180"/>
      <c r="CE501" s="180"/>
      <c r="CF501" s="180"/>
      <c r="CG501" s="180"/>
      <c r="CH501" s="180"/>
      <c r="CI501" s="180"/>
      <c r="CJ501" s="180"/>
      <c r="CK501" s="180"/>
      <c r="CL501" s="180"/>
      <c r="CM501" s="180"/>
      <c r="CN501" s="180"/>
      <c r="CO501" s="180"/>
      <c r="CP501" s="180"/>
      <c r="CQ501" s="180"/>
      <c r="CR501" s="180"/>
      <c r="CS501" s="180"/>
      <c r="CT501" s="180"/>
      <c r="CU501" s="180"/>
      <c r="CV501" s="180"/>
      <c r="CW501" s="180"/>
      <c r="CX501" s="180"/>
      <c r="CY501" s="180"/>
      <c r="CZ501" s="180"/>
      <c r="DA501" s="180"/>
      <c r="DB501" s="180"/>
    </row>
    <row r="502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  <c r="BY502" s="180"/>
      <c r="BZ502" s="180"/>
      <c r="CA502" s="180"/>
      <c r="CB502" s="180"/>
      <c r="CC502" s="180"/>
      <c r="CD502" s="180"/>
      <c r="CE502" s="180"/>
      <c r="CF502" s="180"/>
      <c r="CG502" s="180"/>
      <c r="CH502" s="180"/>
      <c r="CI502" s="180"/>
      <c r="CJ502" s="180"/>
      <c r="CK502" s="180"/>
      <c r="CL502" s="180"/>
      <c r="CM502" s="180"/>
      <c r="CN502" s="180"/>
      <c r="CO502" s="180"/>
      <c r="CP502" s="180"/>
      <c r="CQ502" s="180"/>
      <c r="CR502" s="180"/>
      <c r="CS502" s="180"/>
      <c r="CT502" s="180"/>
      <c r="CU502" s="180"/>
      <c r="CV502" s="180"/>
      <c r="CW502" s="180"/>
      <c r="CX502" s="180"/>
      <c r="CY502" s="180"/>
      <c r="CZ502" s="180"/>
      <c r="DA502" s="180"/>
      <c r="DB502" s="180"/>
    </row>
    <row r="503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0"/>
      <c r="BH503" s="180"/>
      <c r="BI503" s="180"/>
      <c r="BJ503" s="180"/>
      <c r="BK503" s="180"/>
      <c r="BL503" s="180"/>
      <c r="BM503" s="180"/>
      <c r="BN503" s="180"/>
      <c r="BO503" s="180"/>
      <c r="BP503" s="180"/>
      <c r="BQ503" s="180"/>
      <c r="BR503" s="180"/>
      <c r="BS503" s="180"/>
      <c r="BT503" s="180"/>
      <c r="BU503" s="180"/>
      <c r="BV503" s="180"/>
      <c r="BW503" s="180"/>
      <c r="BX503" s="180"/>
      <c r="BY503" s="180"/>
      <c r="BZ503" s="180"/>
      <c r="CA503" s="180"/>
      <c r="CB503" s="180"/>
      <c r="CC503" s="180"/>
      <c r="CD503" s="180"/>
      <c r="CE503" s="180"/>
      <c r="CF503" s="180"/>
      <c r="CG503" s="180"/>
      <c r="CH503" s="180"/>
      <c r="CI503" s="180"/>
      <c r="CJ503" s="180"/>
      <c r="CK503" s="180"/>
      <c r="CL503" s="180"/>
      <c r="CM503" s="180"/>
      <c r="CN503" s="180"/>
      <c r="CO503" s="180"/>
      <c r="CP503" s="180"/>
      <c r="CQ503" s="180"/>
      <c r="CR503" s="180"/>
      <c r="CS503" s="180"/>
      <c r="CT503" s="180"/>
      <c r="CU503" s="180"/>
      <c r="CV503" s="180"/>
      <c r="CW503" s="180"/>
      <c r="CX503" s="180"/>
      <c r="CY503" s="180"/>
      <c r="CZ503" s="180"/>
      <c r="DA503" s="180"/>
      <c r="DB503" s="180"/>
    </row>
    <row r="504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0"/>
      <c r="BW504" s="180"/>
      <c r="BX504" s="180"/>
      <c r="BY504" s="180"/>
      <c r="BZ504" s="180"/>
      <c r="CA504" s="180"/>
      <c r="CB504" s="180"/>
      <c r="CC504" s="180"/>
      <c r="CD504" s="180"/>
      <c r="CE504" s="180"/>
      <c r="CF504" s="180"/>
      <c r="CG504" s="180"/>
      <c r="CH504" s="180"/>
      <c r="CI504" s="180"/>
      <c r="CJ504" s="180"/>
      <c r="CK504" s="180"/>
      <c r="CL504" s="180"/>
      <c r="CM504" s="180"/>
      <c r="CN504" s="180"/>
      <c r="CO504" s="180"/>
      <c r="CP504" s="180"/>
      <c r="CQ504" s="180"/>
      <c r="CR504" s="180"/>
      <c r="CS504" s="180"/>
      <c r="CT504" s="180"/>
      <c r="CU504" s="180"/>
      <c r="CV504" s="180"/>
      <c r="CW504" s="180"/>
      <c r="CX504" s="180"/>
      <c r="CY504" s="180"/>
      <c r="CZ504" s="180"/>
      <c r="DA504" s="180"/>
      <c r="DB504" s="180"/>
    </row>
    <row r="505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0"/>
      <c r="BW505" s="180"/>
      <c r="BX505" s="180"/>
      <c r="BY505" s="180"/>
      <c r="BZ505" s="180"/>
      <c r="CA505" s="180"/>
      <c r="CB505" s="180"/>
      <c r="CC505" s="180"/>
      <c r="CD505" s="180"/>
      <c r="CE505" s="180"/>
      <c r="CF505" s="180"/>
      <c r="CG505" s="180"/>
      <c r="CH505" s="180"/>
      <c r="CI505" s="180"/>
      <c r="CJ505" s="180"/>
      <c r="CK505" s="180"/>
      <c r="CL505" s="180"/>
      <c r="CM505" s="180"/>
      <c r="CN505" s="180"/>
      <c r="CO505" s="180"/>
      <c r="CP505" s="180"/>
      <c r="CQ505" s="180"/>
      <c r="CR505" s="180"/>
      <c r="CS505" s="180"/>
      <c r="CT505" s="180"/>
      <c r="CU505" s="180"/>
      <c r="CV505" s="180"/>
      <c r="CW505" s="180"/>
      <c r="CX505" s="180"/>
      <c r="CY505" s="180"/>
      <c r="CZ505" s="180"/>
      <c r="DA505" s="180"/>
      <c r="DB505" s="180"/>
    </row>
    <row r="506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180"/>
      <c r="BV506" s="180"/>
      <c r="BW506" s="180"/>
      <c r="BX506" s="180"/>
      <c r="BY506" s="180"/>
      <c r="BZ506" s="180"/>
      <c r="CA506" s="180"/>
      <c r="CB506" s="180"/>
      <c r="CC506" s="180"/>
      <c r="CD506" s="180"/>
      <c r="CE506" s="180"/>
      <c r="CF506" s="180"/>
      <c r="CG506" s="180"/>
      <c r="CH506" s="180"/>
      <c r="CI506" s="180"/>
      <c r="CJ506" s="180"/>
      <c r="CK506" s="180"/>
      <c r="CL506" s="180"/>
      <c r="CM506" s="180"/>
      <c r="CN506" s="180"/>
      <c r="CO506" s="180"/>
      <c r="CP506" s="180"/>
      <c r="CQ506" s="180"/>
      <c r="CR506" s="180"/>
      <c r="CS506" s="180"/>
      <c r="CT506" s="180"/>
      <c r="CU506" s="180"/>
      <c r="CV506" s="180"/>
      <c r="CW506" s="180"/>
      <c r="CX506" s="180"/>
      <c r="CY506" s="180"/>
      <c r="CZ506" s="180"/>
      <c r="DA506" s="180"/>
      <c r="DB506" s="180"/>
    </row>
    <row r="507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80"/>
      <c r="BN507" s="180"/>
      <c r="BO507" s="180"/>
      <c r="BP507" s="180"/>
      <c r="BQ507" s="180"/>
      <c r="BR507" s="180"/>
      <c r="BS507" s="180"/>
      <c r="BT507" s="180"/>
      <c r="BU507" s="180"/>
      <c r="BV507" s="180"/>
      <c r="BW507" s="180"/>
      <c r="BX507" s="180"/>
      <c r="BY507" s="180"/>
      <c r="BZ507" s="180"/>
      <c r="CA507" s="180"/>
      <c r="CB507" s="180"/>
      <c r="CC507" s="180"/>
      <c r="CD507" s="180"/>
      <c r="CE507" s="180"/>
      <c r="CF507" s="180"/>
      <c r="CG507" s="180"/>
      <c r="CH507" s="180"/>
      <c r="CI507" s="180"/>
      <c r="CJ507" s="180"/>
      <c r="CK507" s="180"/>
      <c r="CL507" s="180"/>
      <c r="CM507" s="180"/>
      <c r="CN507" s="180"/>
      <c r="CO507" s="180"/>
      <c r="CP507" s="180"/>
      <c r="CQ507" s="180"/>
      <c r="CR507" s="180"/>
      <c r="CS507" s="180"/>
      <c r="CT507" s="180"/>
      <c r="CU507" s="180"/>
      <c r="CV507" s="180"/>
      <c r="CW507" s="180"/>
      <c r="CX507" s="180"/>
      <c r="CY507" s="180"/>
      <c r="CZ507" s="180"/>
      <c r="DA507" s="180"/>
      <c r="DB507" s="180"/>
    </row>
    <row r="508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  <c r="K508" s="180"/>
      <c r="L508" s="180"/>
      <c r="M508" s="180"/>
      <c r="N508" s="180"/>
      <c r="O508" s="180"/>
      <c r="P508" s="180"/>
      <c r="Q508" s="180"/>
      <c r="R508" s="180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  <c r="AG508" s="180"/>
      <c r="AH508" s="180"/>
      <c r="AI508" s="180"/>
      <c r="AJ508" s="180"/>
      <c r="AK508" s="180"/>
      <c r="AL508" s="180"/>
      <c r="AM508" s="180"/>
      <c r="AN508" s="180"/>
      <c r="AO508" s="180"/>
      <c r="AP508" s="180"/>
      <c r="AQ508" s="180"/>
      <c r="AR508" s="180"/>
      <c r="AS508" s="180"/>
      <c r="AT508" s="180"/>
      <c r="AU508" s="180"/>
      <c r="AV508" s="180"/>
      <c r="AW508" s="180"/>
      <c r="AX508" s="180"/>
      <c r="AY508" s="180"/>
      <c r="AZ508" s="180"/>
      <c r="BA508" s="180"/>
      <c r="BB508" s="180"/>
      <c r="BC508" s="180"/>
      <c r="BD508" s="180"/>
      <c r="BE508" s="180"/>
      <c r="BF508" s="180"/>
      <c r="BG508" s="180"/>
      <c r="BH508" s="180"/>
      <c r="BI508" s="180"/>
      <c r="BJ508" s="180"/>
      <c r="BK508" s="180"/>
      <c r="BL508" s="180"/>
      <c r="BM508" s="180"/>
      <c r="BN508" s="180"/>
      <c r="BO508" s="180"/>
      <c r="BP508" s="180"/>
      <c r="BQ508" s="180"/>
      <c r="BR508" s="180"/>
      <c r="BS508" s="180"/>
      <c r="BT508" s="180"/>
      <c r="BU508" s="180"/>
      <c r="BV508" s="180"/>
      <c r="BW508" s="180"/>
      <c r="BX508" s="180"/>
      <c r="BY508" s="180"/>
      <c r="BZ508" s="180"/>
      <c r="CA508" s="180"/>
      <c r="CB508" s="180"/>
      <c r="CC508" s="180"/>
      <c r="CD508" s="180"/>
      <c r="CE508" s="180"/>
      <c r="CF508" s="180"/>
      <c r="CG508" s="180"/>
      <c r="CH508" s="180"/>
      <c r="CI508" s="180"/>
      <c r="CJ508" s="180"/>
      <c r="CK508" s="180"/>
      <c r="CL508" s="180"/>
      <c r="CM508" s="180"/>
      <c r="CN508" s="180"/>
      <c r="CO508" s="180"/>
      <c r="CP508" s="180"/>
      <c r="CQ508" s="180"/>
      <c r="CR508" s="180"/>
      <c r="CS508" s="180"/>
      <c r="CT508" s="180"/>
      <c r="CU508" s="180"/>
      <c r="CV508" s="180"/>
      <c r="CW508" s="180"/>
      <c r="CX508" s="180"/>
      <c r="CY508" s="180"/>
      <c r="CZ508" s="180"/>
      <c r="DA508" s="180"/>
      <c r="DB508" s="180"/>
    </row>
    <row r="509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180"/>
      <c r="BN509" s="180"/>
      <c r="BO509" s="180"/>
      <c r="BP509" s="180"/>
      <c r="BQ509" s="180"/>
      <c r="BR509" s="180"/>
      <c r="BS509" s="180"/>
      <c r="BT509" s="180"/>
      <c r="BU509" s="180"/>
      <c r="BV509" s="180"/>
      <c r="BW509" s="180"/>
      <c r="BX509" s="180"/>
      <c r="BY509" s="180"/>
      <c r="BZ509" s="180"/>
      <c r="CA509" s="180"/>
      <c r="CB509" s="180"/>
      <c r="CC509" s="180"/>
      <c r="CD509" s="180"/>
      <c r="CE509" s="180"/>
      <c r="CF509" s="180"/>
      <c r="CG509" s="180"/>
      <c r="CH509" s="180"/>
      <c r="CI509" s="180"/>
      <c r="CJ509" s="180"/>
      <c r="CK509" s="180"/>
      <c r="CL509" s="180"/>
      <c r="CM509" s="180"/>
      <c r="CN509" s="180"/>
      <c r="CO509" s="180"/>
      <c r="CP509" s="180"/>
      <c r="CQ509" s="180"/>
      <c r="CR509" s="180"/>
      <c r="CS509" s="180"/>
      <c r="CT509" s="180"/>
      <c r="CU509" s="180"/>
      <c r="CV509" s="180"/>
      <c r="CW509" s="180"/>
      <c r="CX509" s="180"/>
      <c r="CY509" s="180"/>
      <c r="CZ509" s="180"/>
      <c r="DA509" s="180"/>
      <c r="DB509" s="180"/>
    </row>
    <row r="510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0"/>
      <c r="BW510" s="180"/>
      <c r="BX510" s="180"/>
      <c r="BY510" s="180"/>
      <c r="BZ510" s="180"/>
      <c r="CA510" s="180"/>
      <c r="CB510" s="180"/>
      <c r="CC510" s="180"/>
      <c r="CD510" s="180"/>
      <c r="CE510" s="180"/>
      <c r="CF510" s="180"/>
      <c r="CG510" s="180"/>
      <c r="CH510" s="180"/>
      <c r="CI510" s="180"/>
      <c r="CJ510" s="180"/>
      <c r="CK510" s="180"/>
      <c r="CL510" s="180"/>
      <c r="CM510" s="180"/>
      <c r="CN510" s="180"/>
      <c r="CO510" s="180"/>
      <c r="CP510" s="180"/>
      <c r="CQ510" s="180"/>
      <c r="CR510" s="180"/>
      <c r="CS510" s="180"/>
      <c r="CT510" s="180"/>
      <c r="CU510" s="180"/>
      <c r="CV510" s="180"/>
      <c r="CW510" s="180"/>
      <c r="CX510" s="180"/>
      <c r="CY510" s="180"/>
      <c r="CZ510" s="180"/>
      <c r="DA510" s="180"/>
      <c r="DB510" s="180"/>
    </row>
    <row r="511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0"/>
      <c r="BW511" s="180"/>
      <c r="BX511" s="180"/>
      <c r="BY511" s="180"/>
      <c r="BZ511" s="180"/>
      <c r="CA511" s="180"/>
      <c r="CB511" s="180"/>
      <c r="CC511" s="180"/>
      <c r="CD511" s="180"/>
      <c r="CE511" s="180"/>
      <c r="CF511" s="180"/>
      <c r="CG511" s="180"/>
      <c r="CH511" s="180"/>
      <c r="CI511" s="180"/>
      <c r="CJ511" s="180"/>
      <c r="CK511" s="180"/>
      <c r="CL511" s="180"/>
      <c r="CM511" s="180"/>
      <c r="CN511" s="180"/>
      <c r="CO511" s="180"/>
      <c r="CP511" s="180"/>
      <c r="CQ511" s="180"/>
      <c r="CR511" s="180"/>
      <c r="CS511" s="180"/>
      <c r="CT511" s="180"/>
      <c r="CU511" s="180"/>
      <c r="CV511" s="180"/>
      <c r="CW511" s="180"/>
      <c r="CX511" s="180"/>
      <c r="CY511" s="180"/>
      <c r="CZ511" s="180"/>
      <c r="DA511" s="180"/>
      <c r="DB511" s="180"/>
    </row>
    <row r="512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180"/>
      <c r="BV512" s="180"/>
      <c r="BW512" s="180"/>
      <c r="BX512" s="180"/>
      <c r="BY512" s="180"/>
      <c r="BZ512" s="180"/>
      <c r="CA512" s="180"/>
      <c r="CB512" s="180"/>
      <c r="CC512" s="180"/>
      <c r="CD512" s="180"/>
      <c r="CE512" s="180"/>
      <c r="CF512" s="180"/>
      <c r="CG512" s="180"/>
      <c r="CH512" s="180"/>
      <c r="CI512" s="180"/>
      <c r="CJ512" s="180"/>
      <c r="CK512" s="180"/>
      <c r="CL512" s="180"/>
      <c r="CM512" s="180"/>
      <c r="CN512" s="180"/>
      <c r="CO512" s="180"/>
      <c r="CP512" s="180"/>
      <c r="CQ512" s="180"/>
      <c r="CR512" s="180"/>
      <c r="CS512" s="180"/>
      <c r="CT512" s="180"/>
      <c r="CU512" s="180"/>
      <c r="CV512" s="180"/>
      <c r="CW512" s="180"/>
      <c r="CX512" s="180"/>
      <c r="CY512" s="180"/>
      <c r="CZ512" s="180"/>
      <c r="DA512" s="180"/>
      <c r="DB512" s="180"/>
    </row>
    <row r="513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180"/>
      <c r="AW513" s="180"/>
      <c r="AX513" s="180"/>
      <c r="AY513" s="180"/>
      <c r="AZ513" s="180"/>
      <c r="BA513" s="180"/>
      <c r="BB513" s="180"/>
      <c r="BC513" s="180"/>
      <c r="BD513" s="180"/>
      <c r="BE513" s="180"/>
      <c r="BF513" s="180"/>
      <c r="BG513" s="180"/>
      <c r="BH513" s="180"/>
      <c r="BI513" s="180"/>
      <c r="BJ513" s="180"/>
      <c r="BK513" s="180"/>
      <c r="BL513" s="180"/>
      <c r="BM513" s="180"/>
      <c r="BN513" s="180"/>
      <c r="BO513" s="180"/>
      <c r="BP513" s="180"/>
      <c r="BQ513" s="180"/>
      <c r="BR513" s="180"/>
      <c r="BS513" s="180"/>
      <c r="BT513" s="180"/>
      <c r="BU513" s="180"/>
      <c r="BV513" s="180"/>
      <c r="BW513" s="180"/>
      <c r="BX513" s="180"/>
      <c r="BY513" s="180"/>
      <c r="BZ513" s="180"/>
      <c r="CA513" s="180"/>
      <c r="CB513" s="180"/>
      <c r="CC513" s="180"/>
      <c r="CD513" s="180"/>
      <c r="CE513" s="180"/>
      <c r="CF513" s="180"/>
      <c r="CG513" s="180"/>
      <c r="CH513" s="180"/>
      <c r="CI513" s="180"/>
      <c r="CJ513" s="180"/>
      <c r="CK513" s="180"/>
      <c r="CL513" s="180"/>
      <c r="CM513" s="180"/>
      <c r="CN513" s="180"/>
      <c r="CO513" s="180"/>
      <c r="CP513" s="180"/>
      <c r="CQ513" s="180"/>
      <c r="CR513" s="180"/>
      <c r="CS513" s="180"/>
      <c r="CT513" s="180"/>
      <c r="CU513" s="180"/>
      <c r="CV513" s="180"/>
      <c r="CW513" s="180"/>
      <c r="CX513" s="180"/>
      <c r="CY513" s="180"/>
      <c r="CZ513" s="180"/>
      <c r="DA513" s="180"/>
      <c r="DB513" s="180"/>
    </row>
    <row r="514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0"/>
      <c r="BW514" s="180"/>
      <c r="BX514" s="180"/>
      <c r="BY514" s="180"/>
      <c r="BZ514" s="180"/>
      <c r="CA514" s="180"/>
      <c r="CB514" s="180"/>
      <c r="CC514" s="180"/>
      <c r="CD514" s="180"/>
      <c r="CE514" s="180"/>
      <c r="CF514" s="180"/>
      <c r="CG514" s="180"/>
      <c r="CH514" s="180"/>
      <c r="CI514" s="180"/>
      <c r="CJ514" s="180"/>
      <c r="CK514" s="180"/>
      <c r="CL514" s="180"/>
      <c r="CM514" s="180"/>
      <c r="CN514" s="180"/>
      <c r="CO514" s="180"/>
      <c r="CP514" s="180"/>
      <c r="CQ514" s="180"/>
      <c r="CR514" s="180"/>
      <c r="CS514" s="180"/>
      <c r="CT514" s="180"/>
      <c r="CU514" s="180"/>
      <c r="CV514" s="180"/>
      <c r="CW514" s="180"/>
      <c r="CX514" s="180"/>
      <c r="CY514" s="180"/>
      <c r="CZ514" s="180"/>
      <c r="DA514" s="180"/>
      <c r="DB514" s="180"/>
    </row>
    <row r="515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0"/>
      <c r="BW515" s="180"/>
      <c r="BX515" s="180"/>
      <c r="BY515" s="180"/>
      <c r="BZ515" s="180"/>
      <c r="CA515" s="180"/>
      <c r="CB515" s="180"/>
      <c r="CC515" s="180"/>
      <c r="CD515" s="180"/>
      <c r="CE515" s="180"/>
      <c r="CF515" s="180"/>
      <c r="CG515" s="180"/>
      <c r="CH515" s="180"/>
      <c r="CI515" s="180"/>
      <c r="CJ515" s="180"/>
      <c r="CK515" s="180"/>
      <c r="CL515" s="180"/>
      <c r="CM515" s="180"/>
      <c r="CN515" s="180"/>
      <c r="CO515" s="180"/>
      <c r="CP515" s="180"/>
      <c r="CQ515" s="180"/>
      <c r="CR515" s="180"/>
      <c r="CS515" s="180"/>
      <c r="CT515" s="180"/>
      <c r="CU515" s="180"/>
      <c r="CV515" s="180"/>
      <c r="CW515" s="180"/>
      <c r="CX515" s="180"/>
      <c r="CY515" s="180"/>
      <c r="CZ515" s="180"/>
      <c r="DA515" s="180"/>
      <c r="DB515" s="180"/>
    </row>
    <row r="516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  <c r="K516" s="180"/>
      <c r="L516" s="180"/>
      <c r="M516" s="180"/>
      <c r="N516" s="180"/>
      <c r="O516" s="180"/>
      <c r="P516" s="180"/>
      <c r="Q516" s="180"/>
      <c r="R516" s="180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  <c r="AG516" s="180"/>
      <c r="AH516" s="180"/>
      <c r="AI516" s="180"/>
      <c r="AJ516" s="180"/>
      <c r="AK516" s="180"/>
      <c r="AL516" s="180"/>
      <c r="AM516" s="180"/>
      <c r="AN516" s="180"/>
      <c r="AO516" s="180"/>
      <c r="AP516" s="180"/>
      <c r="AQ516" s="180"/>
      <c r="AR516" s="180"/>
      <c r="AS516" s="180"/>
      <c r="AT516" s="180"/>
      <c r="AU516" s="180"/>
      <c r="AV516" s="180"/>
      <c r="AW516" s="180"/>
      <c r="AX516" s="180"/>
      <c r="AY516" s="180"/>
      <c r="AZ516" s="180"/>
      <c r="BA516" s="180"/>
      <c r="BB516" s="180"/>
      <c r="BC516" s="180"/>
      <c r="BD516" s="180"/>
      <c r="BE516" s="180"/>
      <c r="BF516" s="180"/>
      <c r="BG516" s="180"/>
      <c r="BH516" s="180"/>
      <c r="BI516" s="180"/>
      <c r="BJ516" s="180"/>
      <c r="BK516" s="180"/>
      <c r="BL516" s="180"/>
      <c r="BM516" s="180"/>
      <c r="BN516" s="180"/>
      <c r="BO516" s="180"/>
      <c r="BP516" s="180"/>
      <c r="BQ516" s="180"/>
      <c r="BR516" s="180"/>
      <c r="BS516" s="180"/>
      <c r="BT516" s="180"/>
      <c r="BU516" s="180"/>
      <c r="BV516" s="180"/>
      <c r="BW516" s="180"/>
      <c r="BX516" s="180"/>
      <c r="BY516" s="180"/>
      <c r="BZ516" s="180"/>
      <c r="CA516" s="180"/>
      <c r="CB516" s="180"/>
      <c r="CC516" s="180"/>
      <c r="CD516" s="180"/>
      <c r="CE516" s="180"/>
      <c r="CF516" s="180"/>
      <c r="CG516" s="180"/>
      <c r="CH516" s="180"/>
      <c r="CI516" s="180"/>
      <c r="CJ516" s="180"/>
      <c r="CK516" s="180"/>
      <c r="CL516" s="180"/>
      <c r="CM516" s="180"/>
      <c r="CN516" s="180"/>
      <c r="CO516" s="180"/>
      <c r="CP516" s="180"/>
      <c r="CQ516" s="180"/>
      <c r="CR516" s="180"/>
      <c r="CS516" s="180"/>
      <c r="CT516" s="180"/>
      <c r="CU516" s="180"/>
      <c r="CV516" s="180"/>
      <c r="CW516" s="180"/>
      <c r="CX516" s="180"/>
      <c r="CY516" s="180"/>
      <c r="CZ516" s="180"/>
      <c r="DA516" s="180"/>
      <c r="DB516" s="180"/>
    </row>
    <row r="517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80"/>
      <c r="BN517" s="180"/>
      <c r="BO517" s="180"/>
      <c r="BP517" s="180"/>
      <c r="BQ517" s="180"/>
      <c r="BR517" s="180"/>
      <c r="BS517" s="180"/>
      <c r="BT517" s="180"/>
      <c r="BU517" s="180"/>
      <c r="BV517" s="180"/>
      <c r="BW517" s="180"/>
      <c r="BX517" s="180"/>
      <c r="BY517" s="180"/>
      <c r="BZ517" s="180"/>
      <c r="CA517" s="180"/>
      <c r="CB517" s="180"/>
      <c r="CC517" s="180"/>
      <c r="CD517" s="180"/>
      <c r="CE517" s="180"/>
      <c r="CF517" s="180"/>
      <c r="CG517" s="180"/>
      <c r="CH517" s="180"/>
      <c r="CI517" s="180"/>
      <c r="CJ517" s="180"/>
      <c r="CK517" s="180"/>
      <c r="CL517" s="180"/>
      <c r="CM517" s="180"/>
      <c r="CN517" s="180"/>
      <c r="CO517" s="180"/>
      <c r="CP517" s="180"/>
      <c r="CQ517" s="180"/>
      <c r="CR517" s="180"/>
      <c r="CS517" s="180"/>
      <c r="CT517" s="180"/>
      <c r="CU517" s="180"/>
      <c r="CV517" s="180"/>
      <c r="CW517" s="180"/>
      <c r="CX517" s="180"/>
      <c r="CY517" s="180"/>
      <c r="CZ517" s="180"/>
      <c r="DA517" s="180"/>
      <c r="DB517" s="180"/>
    </row>
    <row r="518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180"/>
      <c r="BV518" s="180"/>
      <c r="BW518" s="180"/>
      <c r="BX518" s="180"/>
      <c r="BY518" s="180"/>
      <c r="BZ518" s="180"/>
      <c r="CA518" s="180"/>
      <c r="CB518" s="180"/>
      <c r="CC518" s="180"/>
      <c r="CD518" s="180"/>
      <c r="CE518" s="180"/>
      <c r="CF518" s="180"/>
      <c r="CG518" s="180"/>
      <c r="CH518" s="180"/>
      <c r="CI518" s="180"/>
      <c r="CJ518" s="180"/>
      <c r="CK518" s="180"/>
      <c r="CL518" s="180"/>
      <c r="CM518" s="180"/>
      <c r="CN518" s="180"/>
      <c r="CO518" s="180"/>
      <c r="CP518" s="180"/>
      <c r="CQ518" s="180"/>
      <c r="CR518" s="180"/>
      <c r="CS518" s="180"/>
      <c r="CT518" s="180"/>
      <c r="CU518" s="180"/>
      <c r="CV518" s="180"/>
      <c r="CW518" s="180"/>
      <c r="CX518" s="180"/>
      <c r="CY518" s="180"/>
      <c r="CZ518" s="180"/>
      <c r="DA518" s="180"/>
      <c r="DB518" s="180"/>
    </row>
    <row r="519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180"/>
      <c r="BN519" s="180"/>
      <c r="BO519" s="180"/>
      <c r="BP519" s="180"/>
      <c r="BQ519" s="180"/>
      <c r="BR519" s="180"/>
      <c r="BS519" s="180"/>
      <c r="BT519" s="180"/>
      <c r="BU519" s="180"/>
      <c r="BV519" s="180"/>
      <c r="BW519" s="180"/>
      <c r="BX519" s="180"/>
      <c r="BY519" s="180"/>
      <c r="BZ519" s="180"/>
      <c r="CA519" s="180"/>
      <c r="CB519" s="180"/>
      <c r="CC519" s="180"/>
      <c r="CD519" s="180"/>
      <c r="CE519" s="180"/>
      <c r="CF519" s="180"/>
      <c r="CG519" s="180"/>
      <c r="CH519" s="180"/>
      <c r="CI519" s="180"/>
      <c r="CJ519" s="180"/>
      <c r="CK519" s="180"/>
      <c r="CL519" s="180"/>
      <c r="CM519" s="180"/>
      <c r="CN519" s="180"/>
      <c r="CO519" s="180"/>
      <c r="CP519" s="180"/>
      <c r="CQ519" s="180"/>
      <c r="CR519" s="180"/>
      <c r="CS519" s="180"/>
      <c r="CT519" s="180"/>
      <c r="CU519" s="180"/>
      <c r="CV519" s="180"/>
      <c r="CW519" s="180"/>
      <c r="CX519" s="180"/>
      <c r="CY519" s="180"/>
      <c r="CZ519" s="180"/>
      <c r="DA519" s="180"/>
      <c r="DB519" s="180"/>
    </row>
    <row r="520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180"/>
      <c r="BV520" s="180"/>
      <c r="BW520" s="180"/>
      <c r="BX520" s="180"/>
      <c r="BY520" s="180"/>
      <c r="BZ520" s="180"/>
      <c r="CA520" s="180"/>
      <c r="CB520" s="180"/>
      <c r="CC520" s="180"/>
      <c r="CD520" s="180"/>
      <c r="CE520" s="180"/>
      <c r="CF520" s="180"/>
      <c r="CG520" s="180"/>
      <c r="CH520" s="180"/>
      <c r="CI520" s="180"/>
      <c r="CJ520" s="180"/>
      <c r="CK520" s="180"/>
      <c r="CL520" s="180"/>
      <c r="CM520" s="180"/>
      <c r="CN520" s="180"/>
      <c r="CO520" s="180"/>
      <c r="CP520" s="180"/>
      <c r="CQ520" s="180"/>
      <c r="CR520" s="180"/>
      <c r="CS520" s="180"/>
      <c r="CT520" s="180"/>
      <c r="CU520" s="180"/>
      <c r="CV520" s="180"/>
      <c r="CW520" s="180"/>
      <c r="CX520" s="180"/>
      <c r="CY520" s="180"/>
      <c r="CZ520" s="180"/>
      <c r="DA520" s="180"/>
      <c r="DB520" s="180"/>
    </row>
    <row r="521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180"/>
      <c r="BN521" s="180"/>
      <c r="BO521" s="180"/>
      <c r="BP521" s="180"/>
      <c r="BQ521" s="180"/>
      <c r="BR521" s="180"/>
      <c r="BS521" s="180"/>
      <c r="BT521" s="180"/>
      <c r="BU521" s="180"/>
      <c r="BV521" s="180"/>
      <c r="BW521" s="180"/>
      <c r="BX521" s="180"/>
      <c r="BY521" s="180"/>
      <c r="BZ521" s="180"/>
      <c r="CA521" s="180"/>
      <c r="CB521" s="180"/>
      <c r="CC521" s="180"/>
      <c r="CD521" s="180"/>
      <c r="CE521" s="180"/>
      <c r="CF521" s="180"/>
      <c r="CG521" s="180"/>
      <c r="CH521" s="180"/>
      <c r="CI521" s="180"/>
      <c r="CJ521" s="180"/>
      <c r="CK521" s="180"/>
      <c r="CL521" s="180"/>
      <c r="CM521" s="180"/>
      <c r="CN521" s="180"/>
      <c r="CO521" s="180"/>
      <c r="CP521" s="180"/>
      <c r="CQ521" s="180"/>
      <c r="CR521" s="180"/>
      <c r="CS521" s="180"/>
      <c r="CT521" s="180"/>
      <c r="CU521" s="180"/>
      <c r="CV521" s="180"/>
      <c r="CW521" s="180"/>
      <c r="CX521" s="180"/>
      <c r="CY521" s="180"/>
      <c r="CZ521" s="180"/>
      <c r="DA521" s="180"/>
      <c r="DB521" s="180"/>
    </row>
    <row r="522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  <c r="K522" s="180"/>
      <c r="L522" s="180"/>
      <c r="M522" s="180"/>
      <c r="N522" s="180"/>
      <c r="O522" s="180"/>
      <c r="P522" s="180"/>
      <c r="Q522" s="180"/>
      <c r="R522" s="180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  <c r="AG522" s="180"/>
      <c r="AH522" s="180"/>
      <c r="AI522" s="180"/>
      <c r="AJ522" s="180"/>
      <c r="AK522" s="180"/>
      <c r="AL522" s="180"/>
      <c r="AM522" s="180"/>
      <c r="AN522" s="180"/>
      <c r="AO522" s="180"/>
      <c r="AP522" s="180"/>
      <c r="AQ522" s="180"/>
      <c r="AR522" s="180"/>
      <c r="AS522" s="180"/>
      <c r="AT522" s="180"/>
      <c r="AU522" s="180"/>
      <c r="AV522" s="180"/>
      <c r="AW522" s="180"/>
      <c r="AX522" s="180"/>
      <c r="AY522" s="180"/>
      <c r="AZ522" s="180"/>
      <c r="BA522" s="180"/>
      <c r="BB522" s="180"/>
      <c r="BC522" s="180"/>
      <c r="BD522" s="180"/>
      <c r="BE522" s="180"/>
      <c r="BF522" s="180"/>
      <c r="BG522" s="180"/>
      <c r="BH522" s="180"/>
      <c r="BI522" s="180"/>
      <c r="BJ522" s="180"/>
      <c r="BK522" s="180"/>
      <c r="BL522" s="180"/>
      <c r="BM522" s="180"/>
      <c r="BN522" s="180"/>
      <c r="BO522" s="180"/>
      <c r="BP522" s="180"/>
      <c r="BQ522" s="180"/>
      <c r="BR522" s="180"/>
      <c r="BS522" s="180"/>
      <c r="BT522" s="180"/>
      <c r="BU522" s="180"/>
      <c r="BV522" s="180"/>
      <c r="BW522" s="180"/>
      <c r="BX522" s="180"/>
      <c r="BY522" s="180"/>
      <c r="BZ522" s="180"/>
      <c r="CA522" s="180"/>
      <c r="CB522" s="180"/>
      <c r="CC522" s="180"/>
      <c r="CD522" s="180"/>
      <c r="CE522" s="180"/>
      <c r="CF522" s="180"/>
      <c r="CG522" s="180"/>
      <c r="CH522" s="180"/>
      <c r="CI522" s="180"/>
      <c r="CJ522" s="180"/>
      <c r="CK522" s="180"/>
      <c r="CL522" s="180"/>
      <c r="CM522" s="180"/>
      <c r="CN522" s="180"/>
      <c r="CO522" s="180"/>
      <c r="CP522" s="180"/>
      <c r="CQ522" s="180"/>
      <c r="CR522" s="180"/>
      <c r="CS522" s="180"/>
      <c r="CT522" s="180"/>
      <c r="CU522" s="180"/>
      <c r="CV522" s="180"/>
      <c r="CW522" s="180"/>
      <c r="CX522" s="180"/>
      <c r="CY522" s="180"/>
      <c r="CZ522" s="180"/>
      <c r="DA522" s="180"/>
      <c r="DB522" s="180"/>
    </row>
    <row r="523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80"/>
      <c r="BN523" s="180"/>
      <c r="BO523" s="180"/>
      <c r="BP523" s="180"/>
      <c r="BQ523" s="180"/>
      <c r="BR523" s="180"/>
      <c r="BS523" s="180"/>
      <c r="BT523" s="180"/>
      <c r="BU523" s="180"/>
      <c r="BV523" s="180"/>
      <c r="BW523" s="180"/>
      <c r="BX523" s="180"/>
      <c r="BY523" s="180"/>
      <c r="BZ523" s="180"/>
      <c r="CA523" s="180"/>
      <c r="CB523" s="180"/>
      <c r="CC523" s="180"/>
      <c r="CD523" s="180"/>
      <c r="CE523" s="180"/>
      <c r="CF523" s="180"/>
      <c r="CG523" s="180"/>
      <c r="CH523" s="180"/>
      <c r="CI523" s="180"/>
      <c r="CJ523" s="180"/>
      <c r="CK523" s="180"/>
      <c r="CL523" s="180"/>
      <c r="CM523" s="180"/>
      <c r="CN523" s="180"/>
      <c r="CO523" s="180"/>
      <c r="CP523" s="180"/>
      <c r="CQ523" s="180"/>
      <c r="CR523" s="180"/>
      <c r="CS523" s="180"/>
      <c r="CT523" s="180"/>
      <c r="CU523" s="180"/>
      <c r="CV523" s="180"/>
      <c r="CW523" s="180"/>
      <c r="CX523" s="180"/>
      <c r="CY523" s="180"/>
      <c r="CZ523" s="180"/>
      <c r="DA523" s="180"/>
      <c r="DB523" s="180"/>
    </row>
    <row r="524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180"/>
      <c r="BV524" s="180"/>
      <c r="BW524" s="180"/>
      <c r="BX524" s="180"/>
      <c r="BY524" s="180"/>
      <c r="BZ524" s="180"/>
      <c r="CA524" s="180"/>
      <c r="CB524" s="180"/>
      <c r="CC524" s="180"/>
      <c r="CD524" s="180"/>
      <c r="CE524" s="180"/>
      <c r="CF524" s="180"/>
      <c r="CG524" s="180"/>
      <c r="CH524" s="180"/>
      <c r="CI524" s="180"/>
      <c r="CJ524" s="180"/>
      <c r="CK524" s="180"/>
      <c r="CL524" s="180"/>
      <c r="CM524" s="180"/>
      <c r="CN524" s="180"/>
      <c r="CO524" s="180"/>
      <c r="CP524" s="180"/>
      <c r="CQ524" s="180"/>
      <c r="CR524" s="180"/>
      <c r="CS524" s="180"/>
      <c r="CT524" s="180"/>
      <c r="CU524" s="180"/>
      <c r="CV524" s="180"/>
      <c r="CW524" s="180"/>
      <c r="CX524" s="180"/>
      <c r="CY524" s="180"/>
      <c r="CZ524" s="180"/>
      <c r="DA524" s="180"/>
      <c r="DB524" s="180"/>
    </row>
    <row r="525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80"/>
      <c r="BN525" s="180"/>
      <c r="BO525" s="180"/>
      <c r="BP525" s="180"/>
      <c r="BQ525" s="180"/>
      <c r="BR525" s="180"/>
      <c r="BS525" s="180"/>
      <c r="BT525" s="180"/>
      <c r="BU525" s="180"/>
      <c r="BV525" s="180"/>
      <c r="BW525" s="180"/>
      <c r="BX525" s="180"/>
      <c r="BY525" s="180"/>
      <c r="BZ525" s="180"/>
      <c r="CA525" s="180"/>
      <c r="CB525" s="180"/>
      <c r="CC525" s="180"/>
      <c r="CD525" s="180"/>
      <c r="CE525" s="180"/>
      <c r="CF525" s="180"/>
      <c r="CG525" s="180"/>
      <c r="CH525" s="180"/>
      <c r="CI525" s="180"/>
      <c r="CJ525" s="180"/>
      <c r="CK525" s="180"/>
      <c r="CL525" s="180"/>
      <c r="CM525" s="180"/>
      <c r="CN525" s="180"/>
      <c r="CO525" s="180"/>
      <c r="CP525" s="180"/>
      <c r="CQ525" s="180"/>
      <c r="CR525" s="180"/>
      <c r="CS525" s="180"/>
      <c r="CT525" s="180"/>
      <c r="CU525" s="180"/>
      <c r="CV525" s="180"/>
      <c r="CW525" s="180"/>
      <c r="CX525" s="180"/>
      <c r="CY525" s="180"/>
      <c r="CZ525" s="180"/>
      <c r="DA525" s="180"/>
      <c r="DB525" s="180"/>
    </row>
    <row r="526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180"/>
      <c r="BV526" s="180"/>
      <c r="BW526" s="180"/>
      <c r="BX526" s="180"/>
      <c r="BY526" s="180"/>
      <c r="BZ526" s="180"/>
      <c r="CA526" s="180"/>
      <c r="CB526" s="180"/>
      <c r="CC526" s="180"/>
      <c r="CD526" s="180"/>
      <c r="CE526" s="180"/>
      <c r="CF526" s="180"/>
      <c r="CG526" s="180"/>
      <c r="CH526" s="180"/>
      <c r="CI526" s="180"/>
      <c r="CJ526" s="180"/>
      <c r="CK526" s="180"/>
      <c r="CL526" s="180"/>
      <c r="CM526" s="180"/>
      <c r="CN526" s="180"/>
      <c r="CO526" s="180"/>
      <c r="CP526" s="180"/>
      <c r="CQ526" s="180"/>
      <c r="CR526" s="180"/>
      <c r="CS526" s="180"/>
      <c r="CT526" s="180"/>
      <c r="CU526" s="180"/>
      <c r="CV526" s="180"/>
      <c r="CW526" s="180"/>
      <c r="CX526" s="180"/>
      <c r="CY526" s="180"/>
      <c r="CZ526" s="180"/>
      <c r="DA526" s="180"/>
      <c r="DB526" s="180"/>
    </row>
    <row r="527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  <c r="BN527" s="180"/>
      <c r="BO527" s="180"/>
      <c r="BP527" s="180"/>
      <c r="BQ527" s="180"/>
      <c r="BR527" s="180"/>
      <c r="BS527" s="180"/>
      <c r="BT527" s="180"/>
      <c r="BU527" s="180"/>
      <c r="BV527" s="180"/>
      <c r="BW527" s="180"/>
      <c r="BX527" s="180"/>
      <c r="BY527" s="180"/>
      <c r="BZ527" s="180"/>
      <c r="CA527" s="180"/>
      <c r="CB527" s="180"/>
      <c r="CC527" s="180"/>
      <c r="CD527" s="180"/>
      <c r="CE527" s="180"/>
      <c r="CF527" s="180"/>
      <c r="CG527" s="180"/>
      <c r="CH527" s="180"/>
      <c r="CI527" s="180"/>
      <c r="CJ527" s="180"/>
      <c r="CK527" s="180"/>
      <c r="CL527" s="180"/>
      <c r="CM527" s="180"/>
      <c r="CN527" s="180"/>
      <c r="CO527" s="180"/>
      <c r="CP527" s="180"/>
      <c r="CQ527" s="180"/>
      <c r="CR527" s="180"/>
      <c r="CS527" s="180"/>
      <c r="CT527" s="180"/>
      <c r="CU527" s="180"/>
      <c r="CV527" s="180"/>
      <c r="CW527" s="180"/>
      <c r="CX527" s="180"/>
      <c r="CY527" s="180"/>
      <c r="CZ527" s="180"/>
      <c r="DA527" s="180"/>
      <c r="DB527" s="180"/>
    </row>
    <row r="528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180"/>
      <c r="BV528" s="180"/>
      <c r="BW528" s="180"/>
      <c r="BX528" s="180"/>
      <c r="BY528" s="180"/>
      <c r="BZ528" s="180"/>
      <c r="CA528" s="180"/>
      <c r="CB528" s="180"/>
      <c r="CC528" s="180"/>
      <c r="CD528" s="180"/>
      <c r="CE528" s="180"/>
      <c r="CF528" s="180"/>
      <c r="CG528" s="180"/>
      <c r="CH528" s="180"/>
      <c r="CI528" s="180"/>
      <c r="CJ528" s="180"/>
      <c r="CK528" s="180"/>
      <c r="CL528" s="180"/>
      <c r="CM528" s="180"/>
      <c r="CN528" s="180"/>
      <c r="CO528" s="180"/>
      <c r="CP528" s="180"/>
      <c r="CQ528" s="180"/>
      <c r="CR528" s="180"/>
      <c r="CS528" s="180"/>
      <c r="CT528" s="180"/>
      <c r="CU528" s="180"/>
      <c r="CV528" s="180"/>
      <c r="CW528" s="180"/>
      <c r="CX528" s="180"/>
      <c r="CY528" s="180"/>
      <c r="CZ528" s="180"/>
      <c r="DA528" s="180"/>
      <c r="DB528" s="180"/>
    </row>
    <row r="529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180"/>
      <c r="BN529" s="180"/>
      <c r="BO529" s="180"/>
      <c r="BP529" s="180"/>
      <c r="BQ529" s="180"/>
      <c r="BR529" s="180"/>
      <c r="BS529" s="180"/>
      <c r="BT529" s="180"/>
      <c r="BU529" s="180"/>
      <c r="BV529" s="180"/>
      <c r="BW529" s="180"/>
      <c r="BX529" s="180"/>
      <c r="BY529" s="180"/>
      <c r="BZ529" s="180"/>
      <c r="CA529" s="180"/>
      <c r="CB529" s="180"/>
      <c r="CC529" s="180"/>
      <c r="CD529" s="180"/>
      <c r="CE529" s="180"/>
      <c r="CF529" s="180"/>
      <c r="CG529" s="180"/>
      <c r="CH529" s="180"/>
      <c r="CI529" s="180"/>
      <c r="CJ529" s="180"/>
      <c r="CK529" s="180"/>
      <c r="CL529" s="180"/>
      <c r="CM529" s="180"/>
      <c r="CN529" s="180"/>
      <c r="CO529" s="180"/>
      <c r="CP529" s="180"/>
      <c r="CQ529" s="180"/>
      <c r="CR529" s="180"/>
      <c r="CS529" s="180"/>
      <c r="CT529" s="180"/>
      <c r="CU529" s="180"/>
      <c r="CV529" s="180"/>
      <c r="CW529" s="180"/>
      <c r="CX529" s="180"/>
      <c r="CY529" s="180"/>
      <c r="CZ529" s="180"/>
      <c r="DA529" s="180"/>
      <c r="DB529" s="180"/>
    </row>
    <row r="530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180"/>
      <c r="BV530" s="180"/>
      <c r="BW530" s="180"/>
      <c r="BX530" s="180"/>
      <c r="BY530" s="180"/>
      <c r="BZ530" s="180"/>
      <c r="CA530" s="180"/>
      <c r="CB530" s="180"/>
      <c r="CC530" s="180"/>
      <c r="CD530" s="180"/>
      <c r="CE530" s="180"/>
      <c r="CF530" s="180"/>
      <c r="CG530" s="180"/>
      <c r="CH530" s="180"/>
      <c r="CI530" s="180"/>
      <c r="CJ530" s="180"/>
      <c r="CK530" s="180"/>
      <c r="CL530" s="180"/>
      <c r="CM530" s="180"/>
      <c r="CN530" s="180"/>
      <c r="CO530" s="180"/>
      <c r="CP530" s="180"/>
      <c r="CQ530" s="180"/>
      <c r="CR530" s="180"/>
      <c r="CS530" s="180"/>
      <c r="CT530" s="180"/>
      <c r="CU530" s="180"/>
      <c r="CV530" s="180"/>
      <c r="CW530" s="180"/>
      <c r="CX530" s="180"/>
      <c r="CY530" s="180"/>
      <c r="CZ530" s="180"/>
      <c r="DA530" s="180"/>
      <c r="DB530" s="180"/>
    </row>
    <row r="531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0"/>
      <c r="AL531" s="180"/>
      <c r="AM531" s="180"/>
      <c r="AN531" s="180"/>
      <c r="AO531" s="180"/>
      <c r="AP531" s="180"/>
      <c r="AQ531" s="180"/>
      <c r="AR531" s="180"/>
      <c r="AS531" s="180"/>
      <c r="AT531" s="180"/>
      <c r="AU531" s="180"/>
      <c r="AV531" s="180"/>
      <c r="AW531" s="180"/>
      <c r="AX531" s="180"/>
      <c r="AY531" s="180"/>
      <c r="AZ531" s="180"/>
      <c r="BA531" s="180"/>
      <c r="BB531" s="180"/>
      <c r="BC531" s="180"/>
      <c r="BD531" s="180"/>
      <c r="BE531" s="180"/>
      <c r="BF531" s="180"/>
      <c r="BG531" s="180"/>
      <c r="BH531" s="180"/>
      <c r="BI531" s="180"/>
      <c r="BJ531" s="180"/>
      <c r="BK531" s="180"/>
      <c r="BL531" s="180"/>
      <c r="BM531" s="180"/>
      <c r="BN531" s="180"/>
      <c r="BO531" s="180"/>
      <c r="BP531" s="180"/>
      <c r="BQ531" s="180"/>
      <c r="BR531" s="180"/>
      <c r="BS531" s="180"/>
      <c r="BT531" s="180"/>
      <c r="BU531" s="180"/>
      <c r="BV531" s="180"/>
      <c r="BW531" s="180"/>
      <c r="BX531" s="180"/>
      <c r="BY531" s="180"/>
      <c r="BZ531" s="180"/>
      <c r="CA531" s="180"/>
      <c r="CB531" s="180"/>
      <c r="CC531" s="180"/>
      <c r="CD531" s="180"/>
      <c r="CE531" s="180"/>
      <c r="CF531" s="180"/>
      <c r="CG531" s="180"/>
      <c r="CH531" s="180"/>
      <c r="CI531" s="180"/>
      <c r="CJ531" s="180"/>
      <c r="CK531" s="180"/>
      <c r="CL531" s="180"/>
      <c r="CM531" s="180"/>
      <c r="CN531" s="180"/>
      <c r="CO531" s="180"/>
      <c r="CP531" s="180"/>
      <c r="CQ531" s="180"/>
      <c r="CR531" s="180"/>
      <c r="CS531" s="180"/>
      <c r="CT531" s="180"/>
      <c r="CU531" s="180"/>
      <c r="CV531" s="180"/>
      <c r="CW531" s="180"/>
      <c r="CX531" s="180"/>
      <c r="CY531" s="180"/>
      <c r="CZ531" s="180"/>
      <c r="DA531" s="180"/>
      <c r="DB531" s="180"/>
    </row>
    <row r="532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0"/>
      <c r="BW532" s="180"/>
      <c r="BX532" s="180"/>
      <c r="BY532" s="180"/>
      <c r="BZ532" s="180"/>
      <c r="CA532" s="180"/>
      <c r="CB532" s="180"/>
      <c r="CC532" s="180"/>
      <c r="CD532" s="180"/>
      <c r="CE532" s="180"/>
      <c r="CF532" s="180"/>
      <c r="CG532" s="180"/>
      <c r="CH532" s="180"/>
      <c r="CI532" s="180"/>
      <c r="CJ532" s="180"/>
      <c r="CK532" s="180"/>
      <c r="CL532" s="180"/>
      <c r="CM532" s="180"/>
      <c r="CN532" s="180"/>
      <c r="CO532" s="180"/>
      <c r="CP532" s="180"/>
      <c r="CQ532" s="180"/>
      <c r="CR532" s="180"/>
      <c r="CS532" s="180"/>
      <c r="CT532" s="180"/>
      <c r="CU532" s="180"/>
      <c r="CV532" s="180"/>
      <c r="CW532" s="180"/>
      <c r="CX532" s="180"/>
      <c r="CY532" s="180"/>
      <c r="CZ532" s="180"/>
      <c r="DA532" s="180"/>
      <c r="DB532" s="180"/>
    </row>
    <row r="533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80"/>
      <c r="BN533" s="180"/>
      <c r="BO533" s="180"/>
      <c r="BP533" s="180"/>
      <c r="BQ533" s="180"/>
      <c r="BR533" s="180"/>
      <c r="BS533" s="180"/>
      <c r="BT533" s="180"/>
      <c r="BU533" s="180"/>
      <c r="BV533" s="180"/>
      <c r="BW533" s="180"/>
      <c r="BX533" s="180"/>
      <c r="BY533" s="180"/>
      <c r="BZ533" s="180"/>
      <c r="CA533" s="180"/>
      <c r="CB533" s="180"/>
      <c r="CC533" s="180"/>
      <c r="CD533" s="180"/>
      <c r="CE533" s="180"/>
      <c r="CF533" s="180"/>
      <c r="CG533" s="180"/>
      <c r="CH533" s="180"/>
      <c r="CI533" s="180"/>
      <c r="CJ533" s="180"/>
      <c r="CK533" s="180"/>
      <c r="CL533" s="180"/>
      <c r="CM533" s="180"/>
      <c r="CN533" s="180"/>
      <c r="CO533" s="180"/>
      <c r="CP533" s="180"/>
      <c r="CQ533" s="180"/>
      <c r="CR533" s="180"/>
      <c r="CS533" s="180"/>
      <c r="CT533" s="180"/>
      <c r="CU533" s="180"/>
      <c r="CV533" s="180"/>
      <c r="CW533" s="180"/>
      <c r="CX533" s="180"/>
      <c r="CY533" s="180"/>
      <c r="CZ533" s="180"/>
      <c r="DA533" s="180"/>
      <c r="DB533" s="180"/>
    </row>
    <row r="534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180"/>
      <c r="BV534" s="180"/>
      <c r="BW534" s="180"/>
      <c r="BX534" s="180"/>
      <c r="BY534" s="180"/>
      <c r="BZ534" s="180"/>
      <c r="CA534" s="180"/>
      <c r="CB534" s="180"/>
      <c r="CC534" s="180"/>
      <c r="CD534" s="180"/>
      <c r="CE534" s="180"/>
      <c r="CF534" s="180"/>
      <c r="CG534" s="180"/>
      <c r="CH534" s="180"/>
      <c r="CI534" s="180"/>
      <c r="CJ534" s="180"/>
      <c r="CK534" s="180"/>
      <c r="CL534" s="180"/>
      <c r="CM534" s="180"/>
      <c r="CN534" s="180"/>
      <c r="CO534" s="180"/>
      <c r="CP534" s="180"/>
      <c r="CQ534" s="180"/>
      <c r="CR534" s="180"/>
      <c r="CS534" s="180"/>
      <c r="CT534" s="180"/>
      <c r="CU534" s="180"/>
      <c r="CV534" s="180"/>
      <c r="CW534" s="180"/>
      <c r="CX534" s="180"/>
      <c r="CY534" s="180"/>
      <c r="CZ534" s="180"/>
      <c r="DA534" s="180"/>
      <c r="DB534" s="180"/>
    </row>
    <row r="535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  <c r="BN535" s="180"/>
      <c r="BO535" s="180"/>
      <c r="BP535" s="180"/>
      <c r="BQ535" s="180"/>
      <c r="BR535" s="180"/>
      <c r="BS535" s="180"/>
      <c r="BT535" s="180"/>
      <c r="BU535" s="180"/>
      <c r="BV535" s="180"/>
      <c r="BW535" s="180"/>
      <c r="BX535" s="180"/>
      <c r="BY535" s="180"/>
      <c r="BZ535" s="180"/>
      <c r="CA535" s="180"/>
      <c r="CB535" s="180"/>
      <c r="CC535" s="180"/>
      <c r="CD535" s="180"/>
      <c r="CE535" s="180"/>
      <c r="CF535" s="180"/>
      <c r="CG535" s="180"/>
      <c r="CH535" s="180"/>
      <c r="CI535" s="180"/>
      <c r="CJ535" s="180"/>
      <c r="CK535" s="180"/>
      <c r="CL535" s="180"/>
      <c r="CM535" s="180"/>
      <c r="CN535" s="180"/>
      <c r="CO535" s="180"/>
      <c r="CP535" s="180"/>
      <c r="CQ535" s="180"/>
      <c r="CR535" s="180"/>
      <c r="CS535" s="180"/>
      <c r="CT535" s="180"/>
      <c r="CU535" s="180"/>
      <c r="CV535" s="180"/>
      <c r="CW535" s="180"/>
      <c r="CX535" s="180"/>
      <c r="CY535" s="180"/>
      <c r="CZ535" s="180"/>
      <c r="DA535" s="180"/>
      <c r="DB535" s="180"/>
    </row>
    <row r="536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180"/>
      <c r="BV536" s="180"/>
      <c r="BW536" s="180"/>
      <c r="BX536" s="180"/>
      <c r="BY536" s="180"/>
      <c r="BZ536" s="180"/>
      <c r="CA536" s="180"/>
      <c r="CB536" s="180"/>
      <c r="CC536" s="180"/>
      <c r="CD536" s="180"/>
      <c r="CE536" s="180"/>
      <c r="CF536" s="180"/>
      <c r="CG536" s="180"/>
      <c r="CH536" s="180"/>
      <c r="CI536" s="180"/>
      <c r="CJ536" s="180"/>
      <c r="CK536" s="180"/>
      <c r="CL536" s="180"/>
      <c r="CM536" s="180"/>
      <c r="CN536" s="180"/>
      <c r="CO536" s="180"/>
      <c r="CP536" s="180"/>
      <c r="CQ536" s="180"/>
      <c r="CR536" s="180"/>
      <c r="CS536" s="180"/>
      <c r="CT536" s="180"/>
      <c r="CU536" s="180"/>
      <c r="CV536" s="180"/>
      <c r="CW536" s="180"/>
      <c r="CX536" s="180"/>
      <c r="CY536" s="180"/>
      <c r="CZ536" s="180"/>
      <c r="DA536" s="180"/>
      <c r="DB536" s="180"/>
    </row>
    <row r="537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180"/>
      <c r="BN537" s="180"/>
      <c r="BO537" s="180"/>
      <c r="BP537" s="180"/>
      <c r="BQ537" s="180"/>
      <c r="BR537" s="180"/>
      <c r="BS537" s="180"/>
      <c r="BT537" s="180"/>
      <c r="BU537" s="180"/>
      <c r="BV537" s="180"/>
      <c r="BW537" s="180"/>
      <c r="BX537" s="180"/>
      <c r="BY537" s="180"/>
      <c r="BZ537" s="180"/>
      <c r="CA537" s="180"/>
      <c r="CB537" s="180"/>
      <c r="CC537" s="180"/>
      <c r="CD537" s="180"/>
      <c r="CE537" s="180"/>
      <c r="CF537" s="180"/>
      <c r="CG537" s="180"/>
      <c r="CH537" s="180"/>
      <c r="CI537" s="180"/>
      <c r="CJ537" s="180"/>
      <c r="CK537" s="180"/>
      <c r="CL537" s="180"/>
      <c r="CM537" s="180"/>
      <c r="CN537" s="180"/>
      <c r="CO537" s="180"/>
      <c r="CP537" s="180"/>
      <c r="CQ537" s="180"/>
      <c r="CR537" s="180"/>
      <c r="CS537" s="180"/>
      <c r="CT537" s="180"/>
      <c r="CU537" s="180"/>
      <c r="CV537" s="180"/>
      <c r="CW537" s="180"/>
      <c r="CX537" s="180"/>
      <c r="CY537" s="180"/>
      <c r="CZ537" s="180"/>
      <c r="DA537" s="180"/>
      <c r="DB537" s="180"/>
    </row>
    <row r="538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0"/>
      <c r="BW538" s="180"/>
      <c r="BX538" s="180"/>
      <c r="BY538" s="180"/>
      <c r="BZ538" s="180"/>
      <c r="CA538" s="180"/>
      <c r="CB538" s="180"/>
      <c r="CC538" s="180"/>
      <c r="CD538" s="180"/>
      <c r="CE538" s="180"/>
      <c r="CF538" s="180"/>
      <c r="CG538" s="180"/>
      <c r="CH538" s="180"/>
      <c r="CI538" s="180"/>
      <c r="CJ538" s="180"/>
      <c r="CK538" s="180"/>
      <c r="CL538" s="180"/>
      <c r="CM538" s="180"/>
      <c r="CN538" s="180"/>
      <c r="CO538" s="180"/>
      <c r="CP538" s="180"/>
      <c r="CQ538" s="180"/>
      <c r="CR538" s="180"/>
      <c r="CS538" s="180"/>
      <c r="CT538" s="180"/>
      <c r="CU538" s="180"/>
      <c r="CV538" s="180"/>
      <c r="CW538" s="180"/>
      <c r="CX538" s="180"/>
      <c r="CY538" s="180"/>
      <c r="CZ538" s="180"/>
      <c r="DA538" s="180"/>
      <c r="DB538" s="180"/>
    </row>
    <row r="539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0"/>
      <c r="BW539" s="180"/>
      <c r="BX539" s="180"/>
      <c r="BY539" s="180"/>
      <c r="BZ539" s="180"/>
      <c r="CA539" s="180"/>
      <c r="CB539" s="180"/>
      <c r="CC539" s="180"/>
      <c r="CD539" s="180"/>
      <c r="CE539" s="180"/>
      <c r="CF539" s="180"/>
      <c r="CG539" s="180"/>
      <c r="CH539" s="180"/>
      <c r="CI539" s="180"/>
      <c r="CJ539" s="180"/>
      <c r="CK539" s="180"/>
      <c r="CL539" s="180"/>
      <c r="CM539" s="180"/>
      <c r="CN539" s="180"/>
      <c r="CO539" s="180"/>
      <c r="CP539" s="180"/>
      <c r="CQ539" s="180"/>
      <c r="CR539" s="180"/>
      <c r="CS539" s="180"/>
      <c r="CT539" s="180"/>
      <c r="CU539" s="180"/>
      <c r="CV539" s="180"/>
      <c r="CW539" s="180"/>
      <c r="CX539" s="180"/>
      <c r="CY539" s="180"/>
      <c r="CZ539" s="180"/>
      <c r="DA539" s="180"/>
      <c r="DB539" s="180"/>
    </row>
    <row r="540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180"/>
      <c r="BV540" s="180"/>
      <c r="BW540" s="180"/>
      <c r="BX540" s="180"/>
      <c r="BY540" s="180"/>
      <c r="BZ540" s="180"/>
      <c r="CA540" s="180"/>
      <c r="CB540" s="180"/>
      <c r="CC540" s="180"/>
      <c r="CD540" s="180"/>
      <c r="CE540" s="180"/>
      <c r="CF540" s="180"/>
      <c r="CG540" s="180"/>
      <c r="CH540" s="180"/>
      <c r="CI540" s="180"/>
      <c r="CJ540" s="180"/>
      <c r="CK540" s="180"/>
      <c r="CL540" s="180"/>
      <c r="CM540" s="180"/>
      <c r="CN540" s="180"/>
      <c r="CO540" s="180"/>
      <c r="CP540" s="180"/>
      <c r="CQ540" s="180"/>
      <c r="CR540" s="180"/>
      <c r="CS540" s="180"/>
      <c r="CT540" s="180"/>
      <c r="CU540" s="180"/>
      <c r="CV540" s="180"/>
      <c r="CW540" s="180"/>
      <c r="CX540" s="180"/>
      <c r="CY540" s="180"/>
      <c r="CZ540" s="180"/>
      <c r="DA540" s="180"/>
      <c r="DB540" s="180"/>
    </row>
    <row r="541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80"/>
      <c r="BN541" s="180"/>
      <c r="BO541" s="180"/>
      <c r="BP541" s="180"/>
      <c r="BQ541" s="180"/>
      <c r="BR541" s="180"/>
      <c r="BS541" s="180"/>
      <c r="BT541" s="180"/>
      <c r="BU541" s="180"/>
      <c r="BV541" s="180"/>
      <c r="BW541" s="180"/>
      <c r="BX541" s="180"/>
      <c r="BY541" s="180"/>
      <c r="BZ541" s="180"/>
      <c r="CA541" s="180"/>
      <c r="CB541" s="180"/>
      <c r="CC541" s="180"/>
      <c r="CD541" s="180"/>
      <c r="CE541" s="180"/>
      <c r="CF541" s="180"/>
      <c r="CG541" s="180"/>
      <c r="CH541" s="180"/>
      <c r="CI541" s="180"/>
      <c r="CJ541" s="180"/>
      <c r="CK541" s="180"/>
      <c r="CL541" s="180"/>
      <c r="CM541" s="180"/>
      <c r="CN541" s="180"/>
      <c r="CO541" s="180"/>
      <c r="CP541" s="180"/>
      <c r="CQ541" s="180"/>
      <c r="CR541" s="180"/>
      <c r="CS541" s="180"/>
      <c r="CT541" s="180"/>
      <c r="CU541" s="180"/>
      <c r="CV541" s="180"/>
      <c r="CW541" s="180"/>
      <c r="CX541" s="180"/>
      <c r="CY541" s="180"/>
      <c r="CZ541" s="180"/>
      <c r="DA541" s="180"/>
      <c r="DB541" s="180"/>
    </row>
    <row r="542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180"/>
      <c r="BV542" s="180"/>
      <c r="BW542" s="180"/>
      <c r="BX542" s="180"/>
      <c r="BY542" s="180"/>
      <c r="BZ542" s="180"/>
      <c r="CA542" s="180"/>
      <c r="CB542" s="180"/>
      <c r="CC542" s="180"/>
      <c r="CD542" s="180"/>
      <c r="CE542" s="180"/>
      <c r="CF542" s="180"/>
      <c r="CG542" s="180"/>
      <c r="CH542" s="180"/>
      <c r="CI542" s="180"/>
      <c r="CJ542" s="180"/>
      <c r="CK542" s="180"/>
      <c r="CL542" s="180"/>
      <c r="CM542" s="180"/>
      <c r="CN542" s="180"/>
      <c r="CO542" s="180"/>
      <c r="CP542" s="180"/>
      <c r="CQ542" s="180"/>
      <c r="CR542" s="180"/>
      <c r="CS542" s="180"/>
      <c r="CT542" s="180"/>
      <c r="CU542" s="180"/>
      <c r="CV542" s="180"/>
      <c r="CW542" s="180"/>
      <c r="CX542" s="180"/>
      <c r="CY542" s="180"/>
      <c r="CZ542" s="180"/>
      <c r="DA542" s="180"/>
      <c r="DB542" s="180"/>
    </row>
    <row r="543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80"/>
      <c r="BN543" s="180"/>
      <c r="BO543" s="180"/>
      <c r="BP543" s="180"/>
      <c r="BQ543" s="180"/>
      <c r="BR543" s="180"/>
      <c r="BS543" s="180"/>
      <c r="BT543" s="180"/>
      <c r="BU543" s="180"/>
      <c r="BV543" s="180"/>
      <c r="BW543" s="180"/>
      <c r="BX543" s="180"/>
      <c r="BY543" s="180"/>
      <c r="BZ543" s="180"/>
      <c r="CA543" s="180"/>
      <c r="CB543" s="180"/>
      <c r="CC543" s="180"/>
      <c r="CD543" s="180"/>
      <c r="CE543" s="180"/>
      <c r="CF543" s="180"/>
      <c r="CG543" s="180"/>
      <c r="CH543" s="180"/>
      <c r="CI543" s="180"/>
      <c r="CJ543" s="180"/>
      <c r="CK543" s="180"/>
      <c r="CL543" s="180"/>
      <c r="CM543" s="180"/>
      <c r="CN543" s="180"/>
      <c r="CO543" s="180"/>
      <c r="CP543" s="180"/>
      <c r="CQ543" s="180"/>
      <c r="CR543" s="180"/>
      <c r="CS543" s="180"/>
      <c r="CT543" s="180"/>
      <c r="CU543" s="180"/>
      <c r="CV543" s="180"/>
      <c r="CW543" s="180"/>
      <c r="CX543" s="180"/>
      <c r="CY543" s="180"/>
      <c r="CZ543" s="180"/>
      <c r="DA543" s="180"/>
      <c r="DB543" s="180"/>
    </row>
    <row r="544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180"/>
      <c r="BV544" s="180"/>
      <c r="BW544" s="180"/>
      <c r="BX544" s="180"/>
      <c r="BY544" s="180"/>
      <c r="BZ544" s="180"/>
      <c r="CA544" s="180"/>
      <c r="CB544" s="180"/>
      <c r="CC544" s="180"/>
      <c r="CD544" s="180"/>
      <c r="CE544" s="180"/>
      <c r="CF544" s="180"/>
      <c r="CG544" s="180"/>
      <c r="CH544" s="180"/>
      <c r="CI544" s="180"/>
      <c r="CJ544" s="180"/>
      <c r="CK544" s="180"/>
      <c r="CL544" s="180"/>
      <c r="CM544" s="180"/>
      <c r="CN544" s="180"/>
      <c r="CO544" s="180"/>
      <c r="CP544" s="180"/>
      <c r="CQ544" s="180"/>
      <c r="CR544" s="180"/>
      <c r="CS544" s="180"/>
      <c r="CT544" s="180"/>
      <c r="CU544" s="180"/>
      <c r="CV544" s="180"/>
      <c r="CW544" s="180"/>
      <c r="CX544" s="180"/>
      <c r="CY544" s="180"/>
      <c r="CZ544" s="180"/>
      <c r="DA544" s="180"/>
      <c r="DB544" s="180"/>
    </row>
    <row r="545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  <c r="AG545" s="180"/>
      <c r="AH545" s="180"/>
      <c r="AI545" s="180"/>
      <c r="AJ545" s="180"/>
      <c r="AK545" s="180"/>
      <c r="AL545" s="180"/>
      <c r="AM545" s="180"/>
      <c r="AN545" s="180"/>
      <c r="AO545" s="180"/>
      <c r="AP545" s="180"/>
      <c r="AQ545" s="180"/>
      <c r="AR545" s="180"/>
      <c r="AS545" s="180"/>
      <c r="AT545" s="180"/>
      <c r="AU545" s="180"/>
      <c r="AV545" s="180"/>
      <c r="AW545" s="180"/>
      <c r="AX545" s="180"/>
      <c r="AY545" s="180"/>
      <c r="AZ545" s="180"/>
      <c r="BA545" s="180"/>
      <c r="BB545" s="180"/>
      <c r="BC545" s="180"/>
      <c r="BD545" s="180"/>
      <c r="BE545" s="180"/>
      <c r="BF545" s="180"/>
      <c r="BG545" s="180"/>
      <c r="BH545" s="180"/>
      <c r="BI545" s="180"/>
      <c r="BJ545" s="180"/>
      <c r="BK545" s="180"/>
      <c r="BL545" s="180"/>
      <c r="BM545" s="180"/>
      <c r="BN545" s="180"/>
      <c r="BO545" s="180"/>
      <c r="BP545" s="180"/>
      <c r="BQ545" s="180"/>
      <c r="BR545" s="180"/>
      <c r="BS545" s="180"/>
      <c r="BT545" s="180"/>
      <c r="BU545" s="180"/>
      <c r="BV545" s="180"/>
      <c r="BW545" s="180"/>
      <c r="BX545" s="180"/>
      <c r="BY545" s="180"/>
      <c r="BZ545" s="180"/>
      <c r="CA545" s="180"/>
      <c r="CB545" s="180"/>
      <c r="CC545" s="180"/>
      <c r="CD545" s="180"/>
      <c r="CE545" s="180"/>
      <c r="CF545" s="180"/>
      <c r="CG545" s="180"/>
      <c r="CH545" s="180"/>
      <c r="CI545" s="180"/>
      <c r="CJ545" s="180"/>
      <c r="CK545" s="180"/>
      <c r="CL545" s="180"/>
      <c r="CM545" s="180"/>
      <c r="CN545" s="180"/>
      <c r="CO545" s="180"/>
      <c r="CP545" s="180"/>
      <c r="CQ545" s="180"/>
      <c r="CR545" s="180"/>
      <c r="CS545" s="180"/>
      <c r="CT545" s="180"/>
      <c r="CU545" s="180"/>
      <c r="CV545" s="180"/>
      <c r="CW545" s="180"/>
      <c r="CX545" s="180"/>
      <c r="CY545" s="180"/>
      <c r="CZ545" s="180"/>
      <c r="DA545" s="180"/>
      <c r="DB545" s="180"/>
    </row>
    <row r="546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180"/>
      <c r="BV546" s="180"/>
      <c r="BW546" s="180"/>
      <c r="BX546" s="180"/>
      <c r="BY546" s="180"/>
      <c r="BZ546" s="180"/>
      <c r="CA546" s="180"/>
      <c r="CB546" s="180"/>
      <c r="CC546" s="180"/>
      <c r="CD546" s="180"/>
      <c r="CE546" s="180"/>
      <c r="CF546" s="180"/>
      <c r="CG546" s="180"/>
      <c r="CH546" s="180"/>
      <c r="CI546" s="180"/>
      <c r="CJ546" s="180"/>
      <c r="CK546" s="180"/>
      <c r="CL546" s="180"/>
      <c r="CM546" s="180"/>
      <c r="CN546" s="180"/>
      <c r="CO546" s="180"/>
      <c r="CP546" s="180"/>
      <c r="CQ546" s="180"/>
      <c r="CR546" s="180"/>
      <c r="CS546" s="180"/>
      <c r="CT546" s="180"/>
      <c r="CU546" s="180"/>
      <c r="CV546" s="180"/>
      <c r="CW546" s="180"/>
      <c r="CX546" s="180"/>
      <c r="CY546" s="180"/>
      <c r="CZ546" s="180"/>
      <c r="DA546" s="180"/>
      <c r="DB546" s="180"/>
    </row>
    <row r="547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/>
      <c r="BX547" s="180"/>
      <c r="BY547" s="180"/>
      <c r="BZ547" s="180"/>
      <c r="CA547" s="180"/>
      <c r="CB547" s="180"/>
      <c r="CC547" s="180"/>
      <c r="CD547" s="180"/>
      <c r="CE547" s="180"/>
      <c r="CF547" s="180"/>
      <c r="CG547" s="180"/>
      <c r="CH547" s="180"/>
      <c r="CI547" s="180"/>
      <c r="CJ547" s="180"/>
      <c r="CK547" s="180"/>
      <c r="CL547" s="180"/>
      <c r="CM547" s="180"/>
      <c r="CN547" s="180"/>
      <c r="CO547" s="180"/>
      <c r="CP547" s="180"/>
      <c r="CQ547" s="180"/>
      <c r="CR547" s="180"/>
      <c r="CS547" s="180"/>
      <c r="CT547" s="180"/>
      <c r="CU547" s="180"/>
      <c r="CV547" s="180"/>
      <c r="CW547" s="180"/>
      <c r="CX547" s="180"/>
      <c r="CY547" s="180"/>
      <c r="CZ547" s="180"/>
      <c r="DA547" s="180"/>
      <c r="DB547" s="180"/>
    </row>
    <row r="548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/>
      <c r="BX548" s="180"/>
      <c r="BY548" s="180"/>
      <c r="BZ548" s="180"/>
      <c r="CA548" s="180"/>
      <c r="CB548" s="180"/>
      <c r="CC548" s="180"/>
      <c r="CD548" s="180"/>
      <c r="CE548" s="180"/>
      <c r="CF548" s="180"/>
      <c r="CG548" s="180"/>
      <c r="CH548" s="180"/>
      <c r="CI548" s="180"/>
      <c r="CJ548" s="180"/>
      <c r="CK548" s="180"/>
      <c r="CL548" s="180"/>
      <c r="CM548" s="180"/>
      <c r="CN548" s="180"/>
      <c r="CO548" s="180"/>
      <c r="CP548" s="180"/>
      <c r="CQ548" s="180"/>
      <c r="CR548" s="180"/>
      <c r="CS548" s="180"/>
      <c r="CT548" s="180"/>
      <c r="CU548" s="180"/>
      <c r="CV548" s="180"/>
      <c r="CW548" s="180"/>
      <c r="CX548" s="180"/>
      <c r="CY548" s="180"/>
      <c r="CZ548" s="180"/>
      <c r="DA548" s="180"/>
      <c r="DB548" s="180"/>
    </row>
    <row r="549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180"/>
      <c r="BN549" s="180"/>
      <c r="BO549" s="180"/>
      <c r="BP549" s="180"/>
      <c r="BQ549" s="180"/>
      <c r="BR549" s="180"/>
      <c r="BS549" s="180"/>
      <c r="BT549" s="180"/>
      <c r="BU549" s="180"/>
      <c r="BV549" s="180"/>
      <c r="BW549" s="180"/>
      <c r="BX549" s="180"/>
      <c r="BY549" s="180"/>
      <c r="BZ549" s="180"/>
      <c r="CA549" s="180"/>
      <c r="CB549" s="180"/>
      <c r="CC549" s="180"/>
      <c r="CD549" s="180"/>
      <c r="CE549" s="180"/>
      <c r="CF549" s="180"/>
      <c r="CG549" s="180"/>
      <c r="CH549" s="180"/>
      <c r="CI549" s="180"/>
      <c r="CJ549" s="180"/>
      <c r="CK549" s="180"/>
      <c r="CL549" s="180"/>
      <c r="CM549" s="180"/>
      <c r="CN549" s="180"/>
      <c r="CO549" s="180"/>
      <c r="CP549" s="180"/>
      <c r="CQ549" s="180"/>
      <c r="CR549" s="180"/>
      <c r="CS549" s="180"/>
      <c r="CT549" s="180"/>
      <c r="CU549" s="180"/>
      <c r="CV549" s="180"/>
      <c r="CW549" s="180"/>
      <c r="CX549" s="180"/>
      <c r="CY549" s="180"/>
      <c r="CZ549" s="180"/>
      <c r="DA549" s="180"/>
      <c r="DB549" s="180"/>
    </row>
    <row r="550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0"/>
      <c r="AL550" s="180"/>
      <c r="AM550" s="180"/>
      <c r="AN550" s="180"/>
      <c r="AO550" s="180"/>
      <c r="AP550" s="180"/>
      <c r="AQ550" s="180"/>
      <c r="AR550" s="180"/>
      <c r="AS550" s="180"/>
      <c r="AT550" s="180"/>
      <c r="AU550" s="180"/>
      <c r="AV550" s="180"/>
      <c r="AW550" s="180"/>
      <c r="AX550" s="180"/>
      <c r="AY550" s="180"/>
      <c r="AZ550" s="180"/>
      <c r="BA550" s="180"/>
      <c r="BB550" s="180"/>
      <c r="BC550" s="180"/>
      <c r="BD550" s="180"/>
      <c r="BE550" s="180"/>
      <c r="BF550" s="180"/>
      <c r="BG550" s="180"/>
      <c r="BH550" s="180"/>
      <c r="BI550" s="180"/>
      <c r="BJ550" s="180"/>
      <c r="BK550" s="180"/>
      <c r="BL550" s="180"/>
      <c r="BM550" s="180"/>
      <c r="BN550" s="180"/>
      <c r="BO550" s="180"/>
      <c r="BP550" s="180"/>
      <c r="BQ550" s="180"/>
      <c r="BR550" s="180"/>
      <c r="BS550" s="180"/>
      <c r="BT550" s="180"/>
      <c r="BU550" s="180"/>
      <c r="BV550" s="180"/>
      <c r="BW550" s="180"/>
      <c r="BX550" s="180"/>
      <c r="BY550" s="180"/>
      <c r="BZ550" s="180"/>
      <c r="CA550" s="180"/>
      <c r="CB550" s="180"/>
      <c r="CC550" s="180"/>
      <c r="CD550" s="180"/>
      <c r="CE550" s="180"/>
      <c r="CF550" s="180"/>
      <c r="CG550" s="180"/>
      <c r="CH550" s="180"/>
      <c r="CI550" s="180"/>
      <c r="CJ550" s="180"/>
      <c r="CK550" s="180"/>
      <c r="CL550" s="180"/>
      <c r="CM550" s="180"/>
      <c r="CN550" s="180"/>
      <c r="CO550" s="180"/>
      <c r="CP550" s="180"/>
      <c r="CQ550" s="180"/>
      <c r="CR550" s="180"/>
      <c r="CS550" s="180"/>
      <c r="CT550" s="180"/>
      <c r="CU550" s="180"/>
      <c r="CV550" s="180"/>
      <c r="CW550" s="180"/>
      <c r="CX550" s="180"/>
      <c r="CY550" s="180"/>
      <c r="CZ550" s="180"/>
      <c r="DA550" s="180"/>
      <c r="DB550" s="180"/>
    </row>
    <row r="551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180"/>
      <c r="AP551" s="180"/>
      <c r="AQ551" s="180"/>
      <c r="AR551" s="180"/>
      <c r="AS551" s="180"/>
      <c r="AT551" s="180"/>
      <c r="AU551" s="180"/>
      <c r="AV551" s="180"/>
      <c r="AW551" s="180"/>
      <c r="AX551" s="180"/>
      <c r="AY551" s="180"/>
      <c r="AZ551" s="180"/>
      <c r="BA551" s="180"/>
      <c r="BB551" s="180"/>
      <c r="BC551" s="180"/>
      <c r="BD551" s="180"/>
      <c r="BE551" s="180"/>
      <c r="BF551" s="180"/>
      <c r="BG551" s="180"/>
      <c r="BH551" s="180"/>
      <c r="BI551" s="180"/>
      <c r="BJ551" s="180"/>
      <c r="BK551" s="180"/>
      <c r="BL551" s="180"/>
      <c r="BM551" s="180"/>
      <c r="BN551" s="180"/>
      <c r="BO551" s="180"/>
      <c r="BP551" s="180"/>
      <c r="BQ551" s="180"/>
      <c r="BR551" s="180"/>
      <c r="BS551" s="180"/>
      <c r="BT551" s="180"/>
      <c r="BU551" s="180"/>
      <c r="BV551" s="180"/>
      <c r="BW551" s="180"/>
      <c r="BX551" s="180"/>
      <c r="BY551" s="180"/>
      <c r="BZ551" s="180"/>
      <c r="CA551" s="180"/>
      <c r="CB551" s="180"/>
      <c r="CC551" s="180"/>
      <c r="CD551" s="180"/>
      <c r="CE551" s="180"/>
      <c r="CF551" s="180"/>
      <c r="CG551" s="180"/>
      <c r="CH551" s="180"/>
      <c r="CI551" s="180"/>
      <c r="CJ551" s="180"/>
      <c r="CK551" s="180"/>
      <c r="CL551" s="180"/>
      <c r="CM551" s="180"/>
      <c r="CN551" s="180"/>
      <c r="CO551" s="180"/>
      <c r="CP551" s="180"/>
      <c r="CQ551" s="180"/>
      <c r="CR551" s="180"/>
      <c r="CS551" s="180"/>
      <c r="CT551" s="180"/>
      <c r="CU551" s="180"/>
      <c r="CV551" s="180"/>
      <c r="CW551" s="180"/>
      <c r="CX551" s="180"/>
      <c r="CY551" s="180"/>
      <c r="CZ551" s="180"/>
      <c r="DA551" s="180"/>
      <c r="DB551" s="180"/>
    </row>
    <row r="552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0"/>
      <c r="AU552" s="180"/>
      <c r="AV552" s="180"/>
      <c r="AW552" s="180"/>
      <c r="AX552" s="180"/>
      <c r="AY552" s="180"/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180"/>
      <c r="BV552" s="180"/>
      <c r="BW552" s="180"/>
      <c r="BX552" s="180"/>
      <c r="BY552" s="180"/>
      <c r="BZ552" s="180"/>
      <c r="CA552" s="180"/>
      <c r="CB552" s="180"/>
      <c r="CC552" s="180"/>
      <c r="CD552" s="180"/>
      <c r="CE552" s="180"/>
      <c r="CF552" s="180"/>
      <c r="CG552" s="180"/>
      <c r="CH552" s="180"/>
      <c r="CI552" s="180"/>
      <c r="CJ552" s="180"/>
      <c r="CK552" s="180"/>
      <c r="CL552" s="180"/>
      <c r="CM552" s="180"/>
      <c r="CN552" s="180"/>
      <c r="CO552" s="180"/>
      <c r="CP552" s="180"/>
      <c r="CQ552" s="180"/>
      <c r="CR552" s="180"/>
      <c r="CS552" s="180"/>
      <c r="CT552" s="180"/>
      <c r="CU552" s="180"/>
      <c r="CV552" s="180"/>
      <c r="CW552" s="180"/>
      <c r="CX552" s="180"/>
      <c r="CY552" s="180"/>
      <c r="CZ552" s="180"/>
      <c r="DA552" s="180"/>
      <c r="DB552" s="180"/>
    </row>
    <row r="553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180"/>
      <c r="AP553" s="180"/>
      <c r="AQ553" s="180"/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0"/>
      <c r="BB553" s="180"/>
      <c r="BC553" s="180"/>
      <c r="BD553" s="180"/>
      <c r="BE553" s="180"/>
      <c r="BF553" s="180"/>
      <c r="BG553" s="180"/>
      <c r="BH553" s="180"/>
      <c r="BI553" s="180"/>
      <c r="BJ553" s="180"/>
      <c r="BK553" s="180"/>
      <c r="BL553" s="180"/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0"/>
      <c r="BW553" s="180"/>
      <c r="BX553" s="180"/>
      <c r="BY553" s="180"/>
      <c r="BZ553" s="180"/>
      <c r="CA553" s="180"/>
      <c r="CB553" s="180"/>
      <c r="CC553" s="180"/>
      <c r="CD553" s="180"/>
      <c r="CE553" s="180"/>
      <c r="CF553" s="180"/>
      <c r="CG553" s="180"/>
      <c r="CH553" s="180"/>
      <c r="CI553" s="180"/>
      <c r="CJ553" s="180"/>
      <c r="CK553" s="180"/>
      <c r="CL553" s="180"/>
      <c r="CM553" s="180"/>
      <c r="CN553" s="180"/>
      <c r="CO553" s="180"/>
      <c r="CP553" s="180"/>
      <c r="CQ553" s="180"/>
      <c r="CR553" s="180"/>
      <c r="CS553" s="180"/>
      <c r="CT553" s="180"/>
      <c r="CU553" s="180"/>
      <c r="CV553" s="180"/>
      <c r="CW553" s="180"/>
      <c r="CX553" s="180"/>
      <c r="CY553" s="180"/>
      <c r="CZ553" s="180"/>
      <c r="DA553" s="180"/>
      <c r="DB553" s="180"/>
    </row>
    <row r="554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180"/>
      <c r="AP554" s="180"/>
      <c r="AQ554" s="180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0"/>
      <c r="BB554" s="180"/>
      <c r="BC554" s="180"/>
      <c r="BD554" s="180"/>
      <c r="BE554" s="180"/>
      <c r="BF554" s="180"/>
      <c r="BG554" s="180"/>
      <c r="BH554" s="180"/>
      <c r="BI554" s="180"/>
      <c r="BJ554" s="180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0"/>
      <c r="BW554" s="180"/>
      <c r="BX554" s="180"/>
      <c r="BY554" s="180"/>
      <c r="BZ554" s="180"/>
      <c r="CA554" s="180"/>
      <c r="CB554" s="180"/>
      <c r="CC554" s="180"/>
      <c r="CD554" s="180"/>
      <c r="CE554" s="180"/>
      <c r="CF554" s="180"/>
      <c r="CG554" s="180"/>
      <c r="CH554" s="180"/>
      <c r="CI554" s="180"/>
      <c r="CJ554" s="180"/>
      <c r="CK554" s="180"/>
      <c r="CL554" s="180"/>
      <c r="CM554" s="180"/>
      <c r="CN554" s="180"/>
      <c r="CO554" s="180"/>
      <c r="CP554" s="180"/>
      <c r="CQ554" s="180"/>
      <c r="CR554" s="180"/>
      <c r="CS554" s="180"/>
      <c r="CT554" s="180"/>
      <c r="CU554" s="180"/>
      <c r="CV554" s="180"/>
      <c r="CW554" s="180"/>
      <c r="CX554" s="180"/>
      <c r="CY554" s="180"/>
      <c r="CZ554" s="180"/>
      <c r="DA554" s="180"/>
      <c r="DB554" s="180"/>
    </row>
    <row r="555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0"/>
      <c r="BH555" s="180"/>
      <c r="BI555" s="180"/>
      <c r="BJ555" s="180"/>
      <c r="BK555" s="180"/>
      <c r="BL555" s="180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0"/>
      <c r="BW555" s="180"/>
      <c r="BX555" s="180"/>
      <c r="BY555" s="180"/>
      <c r="BZ555" s="180"/>
      <c r="CA555" s="180"/>
      <c r="CB555" s="180"/>
      <c r="CC555" s="180"/>
      <c r="CD555" s="180"/>
      <c r="CE555" s="180"/>
      <c r="CF555" s="180"/>
      <c r="CG555" s="180"/>
      <c r="CH555" s="180"/>
      <c r="CI555" s="180"/>
      <c r="CJ555" s="180"/>
      <c r="CK555" s="180"/>
      <c r="CL555" s="180"/>
      <c r="CM555" s="180"/>
      <c r="CN555" s="180"/>
      <c r="CO555" s="180"/>
      <c r="CP555" s="180"/>
      <c r="CQ555" s="180"/>
      <c r="CR555" s="180"/>
      <c r="CS555" s="180"/>
      <c r="CT555" s="180"/>
      <c r="CU555" s="180"/>
      <c r="CV555" s="180"/>
      <c r="CW555" s="180"/>
      <c r="CX555" s="180"/>
      <c r="CY555" s="180"/>
      <c r="CZ555" s="180"/>
      <c r="DA555" s="180"/>
      <c r="DB555" s="180"/>
    </row>
    <row r="556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/>
      <c r="BB556" s="180"/>
      <c r="BC556" s="180"/>
      <c r="BD556" s="180"/>
      <c r="BE556" s="180"/>
      <c r="BF556" s="180"/>
      <c r="BG556" s="180"/>
      <c r="BH556" s="180"/>
      <c r="BI556" s="180"/>
      <c r="BJ556" s="180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/>
      <c r="BX556" s="180"/>
      <c r="BY556" s="180"/>
      <c r="BZ556" s="180"/>
      <c r="CA556" s="180"/>
      <c r="CB556" s="180"/>
      <c r="CC556" s="180"/>
      <c r="CD556" s="180"/>
      <c r="CE556" s="180"/>
      <c r="CF556" s="180"/>
      <c r="CG556" s="180"/>
      <c r="CH556" s="180"/>
      <c r="CI556" s="180"/>
      <c r="CJ556" s="180"/>
      <c r="CK556" s="180"/>
      <c r="CL556" s="180"/>
      <c r="CM556" s="180"/>
      <c r="CN556" s="180"/>
      <c r="CO556" s="180"/>
      <c r="CP556" s="180"/>
      <c r="CQ556" s="180"/>
      <c r="CR556" s="180"/>
      <c r="CS556" s="180"/>
      <c r="CT556" s="180"/>
      <c r="CU556" s="180"/>
      <c r="CV556" s="180"/>
      <c r="CW556" s="180"/>
      <c r="CX556" s="180"/>
      <c r="CY556" s="180"/>
      <c r="CZ556" s="180"/>
      <c r="DA556" s="180"/>
      <c r="DB556" s="180"/>
    </row>
    <row r="557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/>
      <c r="BX557" s="180"/>
      <c r="BY557" s="180"/>
      <c r="BZ557" s="180"/>
      <c r="CA557" s="180"/>
      <c r="CB557" s="180"/>
      <c r="CC557" s="180"/>
      <c r="CD557" s="180"/>
      <c r="CE557" s="180"/>
      <c r="CF557" s="180"/>
      <c r="CG557" s="180"/>
      <c r="CH557" s="180"/>
      <c r="CI557" s="180"/>
      <c r="CJ557" s="180"/>
      <c r="CK557" s="180"/>
      <c r="CL557" s="180"/>
      <c r="CM557" s="180"/>
      <c r="CN557" s="180"/>
      <c r="CO557" s="180"/>
      <c r="CP557" s="180"/>
      <c r="CQ557" s="180"/>
      <c r="CR557" s="180"/>
      <c r="CS557" s="180"/>
      <c r="CT557" s="180"/>
      <c r="CU557" s="180"/>
      <c r="CV557" s="180"/>
      <c r="CW557" s="180"/>
      <c r="CX557" s="180"/>
      <c r="CY557" s="180"/>
      <c r="CZ557" s="180"/>
      <c r="DA557" s="180"/>
      <c r="DB557" s="180"/>
    </row>
    <row r="558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  <c r="AG558" s="180"/>
      <c r="AH558" s="180"/>
      <c r="AI558" s="180"/>
      <c r="AJ558" s="180"/>
      <c r="AK558" s="180"/>
      <c r="AL558" s="180"/>
      <c r="AM558" s="180"/>
      <c r="AN558" s="180"/>
      <c r="AO558" s="180"/>
      <c r="AP558" s="180"/>
      <c r="AQ558" s="180"/>
      <c r="AR558" s="180"/>
      <c r="AS558" s="180"/>
      <c r="AT558" s="180"/>
      <c r="AU558" s="180"/>
      <c r="AV558" s="180"/>
      <c r="AW558" s="180"/>
      <c r="AX558" s="180"/>
      <c r="AY558" s="180"/>
      <c r="AZ558" s="180"/>
      <c r="BA558" s="180"/>
      <c r="BB558" s="180"/>
      <c r="BC558" s="180"/>
      <c r="BD558" s="180"/>
      <c r="BE558" s="180"/>
      <c r="BF558" s="180"/>
      <c r="BG558" s="180"/>
      <c r="BH558" s="180"/>
      <c r="BI558" s="180"/>
      <c r="BJ558" s="180"/>
      <c r="BK558" s="180"/>
      <c r="BL558" s="180"/>
      <c r="BM558" s="180"/>
      <c r="BN558" s="180"/>
      <c r="BO558" s="180"/>
      <c r="BP558" s="180"/>
      <c r="BQ558" s="180"/>
      <c r="BR558" s="180"/>
      <c r="BS558" s="180"/>
      <c r="BT558" s="180"/>
      <c r="BU558" s="180"/>
      <c r="BV558" s="180"/>
      <c r="BW558" s="180"/>
      <c r="BX558" s="180"/>
      <c r="BY558" s="180"/>
      <c r="BZ558" s="180"/>
      <c r="CA558" s="180"/>
      <c r="CB558" s="180"/>
      <c r="CC558" s="180"/>
      <c r="CD558" s="180"/>
      <c r="CE558" s="180"/>
      <c r="CF558" s="180"/>
      <c r="CG558" s="180"/>
      <c r="CH558" s="180"/>
      <c r="CI558" s="180"/>
      <c r="CJ558" s="180"/>
      <c r="CK558" s="180"/>
      <c r="CL558" s="180"/>
      <c r="CM558" s="180"/>
      <c r="CN558" s="180"/>
      <c r="CO558" s="180"/>
      <c r="CP558" s="180"/>
      <c r="CQ558" s="180"/>
      <c r="CR558" s="180"/>
      <c r="CS558" s="180"/>
      <c r="CT558" s="180"/>
      <c r="CU558" s="180"/>
      <c r="CV558" s="180"/>
      <c r="CW558" s="180"/>
      <c r="CX558" s="180"/>
      <c r="CY558" s="180"/>
      <c r="CZ558" s="180"/>
      <c r="DA558" s="180"/>
      <c r="DB558" s="180"/>
    </row>
    <row r="559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80"/>
      <c r="BN559" s="180"/>
      <c r="BO559" s="180"/>
      <c r="BP559" s="180"/>
      <c r="BQ559" s="180"/>
      <c r="BR559" s="180"/>
      <c r="BS559" s="180"/>
      <c r="BT559" s="180"/>
      <c r="BU559" s="180"/>
      <c r="BV559" s="180"/>
      <c r="BW559" s="180"/>
      <c r="BX559" s="180"/>
      <c r="BY559" s="180"/>
      <c r="BZ559" s="180"/>
      <c r="CA559" s="180"/>
      <c r="CB559" s="180"/>
      <c r="CC559" s="180"/>
      <c r="CD559" s="180"/>
      <c r="CE559" s="180"/>
      <c r="CF559" s="180"/>
      <c r="CG559" s="180"/>
      <c r="CH559" s="180"/>
      <c r="CI559" s="180"/>
      <c r="CJ559" s="180"/>
      <c r="CK559" s="180"/>
      <c r="CL559" s="180"/>
      <c r="CM559" s="180"/>
      <c r="CN559" s="180"/>
      <c r="CO559" s="180"/>
      <c r="CP559" s="180"/>
      <c r="CQ559" s="180"/>
      <c r="CR559" s="180"/>
      <c r="CS559" s="180"/>
      <c r="CT559" s="180"/>
      <c r="CU559" s="180"/>
      <c r="CV559" s="180"/>
      <c r="CW559" s="180"/>
      <c r="CX559" s="180"/>
      <c r="CY559" s="180"/>
      <c r="CZ559" s="180"/>
      <c r="DA559" s="180"/>
      <c r="DB559" s="180"/>
    </row>
    <row r="560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180"/>
      <c r="BV560" s="180"/>
      <c r="BW560" s="180"/>
      <c r="BX560" s="180"/>
      <c r="BY560" s="180"/>
      <c r="BZ560" s="180"/>
      <c r="CA560" s="180"/>
      <c r="CB560" s="180"/>
      <c r="CC560" s="180"/>
      <c r="CD560" s="180"/>
      <c r="CE560" s="180"/>
      <c r="CF560" s="180"/>
      <c r="CG560" s="180"/>
      <c r="CH560" s="180"/>
      <c r="CI560" s="180"/>
      <c r="CJ560" s="180"/>
      <c r="CK560" s="180"/>
      <c r="CL560" s="180"/>
      <c r="CM560" s="180"/>
      <c r="CN560" s="180"/>
      <c r="CO560" s="180"/>
      <c r="CP560" s="180"/>
      <c r="CQ560" s="180"/>
      <c r="CR560" s="180"/>
      <c r="CS560" s="180"/>
      <c r="CT560" s="180"/>
      <c r="CU560" s="180"/>
      <c r="CV560" s="180"/>
      <c r="CW560" s="180"/>
      <c r="CX560" s="180"/>
      <c r="CY560" s="180"/>
      <c r="CZ560" s="180"/>
      <c r="DA560" s="180"/>
      <c r="DB560" s="180"/>
    </row>
    <row r="561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80"/>
      <c r="BN561" s="180"/>
      <c r="BO561" s="180"/>
      <c r="BP561" s="180"/>
      <c r="BQ561" s="180"/>
      <c r="BR561" s="180"/>
      <c r="BS561" s="180"/>
      <c r="BT561" s="180"/>
      <c r="BU561" s="180"/>
      <c r="BV561" s="180"/>
      <c r="BW561" s="180"/>
      <c r="BX561" s="180"/>
      <c r="BY561" s="180"/>
      <c r="BZ561" s="180"/>
      <c r="CA561" s="180"/>
      <c r="CB561" s="180"/>
      <c r="CC561" s="180"/>
      <c r="CD561" s="180"/>
      <c r="CE561" s="180"/>
      <c r="CF561" s="180"/>
      <c r="CG561" s="180"/>
      <c r="CH561" s="180"/>
      <c r="CI561" s="180"/>
      <c r="CJ561" s="180"/>
      <c r="CK561" s="180"/>
      <c r="CL561" s="180"/>
      <c r="CM561" s="180"/>
      <c r="CN561" s="180"/>
      <c r="CO561" s="180"/>
      <c r="CP561" s="180"/>
      <c r="CQ561" s="180"/>
      <c r="CR561" s="180"/>
      <c r="CS561" s="180"/>
      <c r="CT561" s="180"/>
      <c r="CU561" s="180"/>
      <c r="CV561" s="180"/>
      <c r="CW561" s="180"/>
      <c r="CX561" s="180"/>
      <c r="CY561" s="180"/>
      <c r="CZ561" s="180"/>
      <c r="DA561" s="180"/>
      <c r="DB561" s="180"/>
    </row>
    <row r="562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180"/>
      <c r="BV562" s="180"/>
      <c r="BW562" s="180"/>
      <c r="BX562" s="180"/>
      <c r="BY562" s="180"/>
      <c r="BZ562" s="180"/>
      <c r="CA562" s="180"/>
      <c r="CB562" s="180"/>
      <c r="CC562" s="180"/>
      <c r="CD562" s="180"/>
      <c r="CE562" s="180"/>
      <c r="CF562" s="180"/>
      <c r="CG562" s="180"/>
      <c r="CH562" s="180"/>
      <c r="CI562" s="180"/>
      <c r="CJ562" s="180"/>
      <c r="CK562" s="180"/>
      <c r="CL562" s="180"/>
      <c r="CM562" s="180"/>
      <c r="CN562" s="180"/>
      <c r="CO562" s="180"/>
      <c r="CP562" s="180"/>
      <c r="CQ562" s="180"/>
      <c r="CR562" s="180"/>
      <c r="CS562" s="180"/>
      <c r="CT562" s="180"/>
      <c r="CU562" s="180"/>
      <c r="CV562" s="180"/>
      <c r="CW562" s="180"/>
      <c r="CX562" s="180"/>
      <c r="CY562" s="180"/>
      <c r="CZ562" s="180"/>
      <c r="DA562" s="180"/>
      <c r="DB562" s="180"/>
    </row>
    <row r="563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80"/>
      <c r="BN563" s="180"/>
      <c r="BO563" s="180"/>
      <c r="BP563" s="180"/>
      <c r="BQ563" s="180"/>
      <c r="BR563" s="180"/>
      <c r="BS563" s="180"/>
      <c r="BT563" s="180"/>
      <c r="BU563" s="180"/>
      <c r="BV563" s="180"/>
      <c r="BW563" s="180"/>
      <c r="BX563" s="180"/>
      <c r="BY563" s="180"/>
      <c r="BZ563" s="180"/>
      <c r="CA563" s="180"/>
      <c r="CB563" s="180"/>
      <c r="CC563" s="180"/>
      <c r="CD563" s="180"/>
      <c r="CE563" s="180"/>
      <c r="CF563" s="180"/>
      <c r="CG563" s="180"/>
      <c r="CH563" s="180"/>
      <c r="CI563" s="180"/>
      <c r="CJ563" s="180"/>
      <c r="CK563" s="180"/>
      <c r="CL563" s="180"/>
      <c r="CM563" s="180"/>
      <c r="CN563" s="180"/>
      <c r="CO563" s="180"/>
      <c r="CP563" s="180"/>
      <c r="CQ563" s="180"/>
      <c r="CR563" s="180"/>
      <c r="CS563" s="180"/>
      <c r="CT563" s="180"/>
      <c r="CU563" s="180"/>
      <c r="CV563" s="180"/>
      <c r="CW563" s="180"/>
      <c r="CX563" s="180"/>
      <c r="CY563" s="180"/>
      <c r="CZ563" s="180"/>
      <c r="DA563" s="180"/>
      <c r="DB563" s="180"/>
    </row>
    <row r="564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  <c r="AG564" s="180"/>
      <c r="AH564" s="180"/>
      <c r="AI564" s="180"/>
      <c r="AJ564" s="180"/>
      <c r="AK564" s="180"/>
      <c r="AL564" s="180"/>
      <c r="AM564" s="180"/>
      <c r="AN564" s="180"/>
      <c r="AO564" s="180"/>
      <c r="AP564" s="180"/>
      <c r="AQ564" s="180"/>
      <c r="AR564" s="180"/>
      <c r="AS564" s="180"/>
      <c r="AT564" s="180"/>
      <c r="AU564" s="180"/>
      <c r="AV564" s="180"/>
      <c r="AW564" s="180"/>
      <c r="AX564" s="180"/>
      <c r="AY564" s="180"/>
      <c r="AZ564" s="180"/>
      <c r="BA564" s="180"/>
      <c r="BB564" s="180"/>
      <c r="BC564" s="180"/>
      <c r="BD564" s="180"/>
      <c r="BE564" s="180"/>
      <c r="BF564" s="180"/>
      <c r="BG564" s="180"/>
      <c r="BH564" s="180"/>
      <c r="BI564" s="180"/>
      <c r="BJ564" s="180"/>
      <c r="BK564" s="180"/>
      <c r="BL564" s="180"/>
      <c r="BM564" s="180"/>
      <c r="BN564" s="180"/>
      <c r="BO564" s="180"/>
      <c r="BP564" s="180"/>
      <c r="BQ564" s="180"/>
      <c r="BR564" s="180"/>
      <c r="BS564" s="180"/>
      <c r="BT564" s="180"/>
      <c r="BU564" s="180"/>
      <c r="BV564" s="180"/>
      <c r="BW564" s="180"/>
      <c r="BX564" s="180"/>
      <c r="BY564" s="180"/>
      <c r="BZ564" s="180"/>
      <c r="CA564" s="180"/>
      <c r="CB564" s="180"/>
      <c r="CC564" s="180"/>
      <c r="CD564" s="180"/>
      <c r="CE564" s="180"/>
      <c r="CF564" s="180"/>
      <c r="CG564" s="180"/>
      <c r="CH564" s="180"/>
      <c r="CI564" s="180"/>
      <c r="CJ564" s="180"/>
      <c r="CK564" s="180"/>
      <c r="CL564" s="180"/>
      <c r="CM564" s="180"/>
      <c r="CN564" s="180"/>
      <c r="CO564" s="180"/>
      <c r="CP564" s="180"/>
      <c r="CQ564" s="180"/>
      <c r="CR564" s="180"/>
      <c r="CS564" s="180"/>
      <c r="CT564" s="180"/>
      <c r="CU564" s="180"/>
      <c r="CV564" s="180"/>
      <c r="CW564" s="180"/>
      <c r="CX564" s="180"/>
      <c r="CY564" s="180"/>
      <c r="CZ564" s="180"/>
      <c r="DA564" s="180"/>
      <c r="DB564" s="180"/>
    </row>
    <row r="565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180"/>
      <c r="BN565" s="180"/>
      <c r="BO565" s="180"/>
      <c r="BP565" s="180"/>
      <c r="BQ565" s="180"/>
      <c r="BR565" s="180"/>
      <c r="BS565" s="180"/>
      <c r="BT565" s="180"/>
      <c r="BU565" s="180"/>
      <c r="BV565" s="180"/>
      <c r="BW565" s="180"/>
      <c r="BX565" s="180"/>
      <c r="BY565" s="180"/>
      <c r="BZ565" s="180"/>
      <c r="CA565" s="180"/>
      <c r="CB565" s="180"/>
      <c r="CC565" s="180"/>
      <c r="CD565" s="180"/>
      <c r="CE565" s="180"/>
      <c r="CF565" s="180"/>
      <c r="CG565" s="180"/>
      <c r="CH565" s="180"/>
      <c r="CI565" s="180"/>
      <c r="CJ565" s="180"/>
      <c r="CK565" s="180"/>
      <c r="CL565" s="180"/>
      <c r="CM565" s="180"/>
      <c r="CN565" s="180"/>
      <c r="CO565" s="180"/>
      <c r="CP565" s="180"/>
      <c r="CQ565" s="180"/>
      <c r="CR565" s="180"/>
      <c r="CS565" s="180"/>
      <c r="CT565" s="180"/>
      <c r="CU565" s="180"/>
      <c r="CV565" s="180"/>
      <c r="CW565" s="180"/>
      <c r="CX565" s="180"/>
      <c r="CY565" s="180"/>
      <c r="CZ565" s="180"/>
      <c r="DA565" s="180"/>
      <c r="DB565" s="180"/>
    </row>
    <row r="566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180"/>
      <c r="BN566" s="180"/>
      <c r="BO566" s="180"/>
      <c r="BP566" s="180"/>
      <c r="BQ566" s="180"/>
      <c r="BR566" s="180"/>
      <c r="BS566" s="180"/>
      <c r="BT566" s="180"/>
      <c r="BU566" s="180"/>
      <c r="BV566" s="180"/>
      <c r="BW566" s="180"/>
      <c r="BX566" s="180"/>
      <c r="BY566" s="180"/>
      <c r="BZ566" s="180"/>
      <c r="CA566" s="180"/>
      <c r="CB566" s="180"/>
      <c r="CC566" s="180"/>
      <c r="CD566" s="180"/>
      <c r="CE566" s="180"/>
      <c r="CF566" s="180"/>
      <c r="CG566" s="180"/>
      <c r="CH566" s="180"/>
      <c r="CI566" s="180"/>
      <c r="CJ566" s="180"/>
      <c r="CK566" s="180"/>
      <c r="CL566" s="180"/>
      <c r="CM566" s="180"/>
      <c r="CN566" s="180"/>
      <c r="CO566" s="180"/>
      <c r="CP566" s="180"/>
      <c r="CQ566" s="180"/>
      <c r="CR566" s="180"/>
      <c r="CS566" s="180"/>
      <c r="CT566" s="180"/>
      <c r="CU566" s="180"/>
      <c r="CV566" s="180"/>
      <c r="CW566" s="180"/>
      <c r="CX566" s="180"/>
      <c r="CY566" s="180"/>
      <c r="CZ566" s="180"/>
      <c r="DA566" s="180"/>
      <c r="DB566" s="180"/>
    </row>
    <row r="567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  <c r="BN567" s="180"/>
      <c r="BO567" s="180"/>
      <c r="BP567" s="180"/>
      <c r="BQ567" s="180"/>
      <c r="BR567" s="180"/>
      <c r="BS567" s="180"/>
      <c r="BT567" s="180"/>
      <c r="BU567" s="180"/>
      <c r="BV567" s="180"/>
      <c r="BW567" s="180"/>
      <c r="BX567" s="180"/>
      <c r="BY567" s="180"/>
      <c r="BZ567" s="180"/>
      <c r="CA567" s="180"/>
      <c r="CB567" s="180"/>
      <c r="CC567" s="180"/>
      <c r="CD567" s="180"/>
      <c r="CE567" s="180"/>
      <c r="CF567" s="180"/>
      <c r="CG567" s="180"/>
      <c r="CH567" s="180"/>
      <c r="CI567" s="180"/>
      <c r="CJ567" s="180"/>
      <c r="CK567" s="180"/>
      <c r="CL567" s="180"/>
      <c r="CM567" s="180"/>
      <c r="CN567" s="180"/>
      <c r="CO567" s="180"/>
      <c r="CP567" s="180"/>
      <c r="CQ567" s="180"/>
      <c r="CR567" s="180"/>
      <c r="CS567" s="180"/>
      <c r="CT567" s="180"/>
      <c r="CU567" s="180"/>
      <c r="CV567" s="180"/>
      <c r="CW567" s="180"/>
      <c r="CX567" s="180"/>
      <c r="CY567" s="180"/>
      <c r="CZ567" s="180"/>
      <c r="DA567" s="180"/>
      <c r="DB567" s="180"/>
    </row>
    <row r="568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180"/>
      <c r="BV568" s="180"/>
      <c r="BW568" s="180"/>
      <c r="BX568" s="180"/>
      <c r="BY568" s="180"/>
      <c r="BZ568" s="180"/>
      <c r="CA568" s="180"/>
      <c r="CB568" s="180"/>
      <c r="CC568" s="180"/>
      <c r="CD568" s="180"/>
      <c r="CE568" s="180"/>
      <c r="CF568" s="180"/>
      <c r="CG568" s="180"/>
      <c r="CH568" s="180"/>
      <c r="CI568" s="180"/>
      <c r="CJ568" s="180"/>
      <c r="CK568" s="180"/>
      <c r="CL568" s="180"/>
      <c r="CM568" s="180"/>
      <c r="CN568" s="180"/>
      <c r="CO568" s="180"/>
      <c r="CP568" s="180"/>
      <c r="CQ568" s="180"/>
      <c r="CR568" s="180"/>
      <c r="CS568" s="180"/>
      <c r="CT568" s="180"/>
      <c r="CU568" s="180"/>
      <c r="CV568" s="180"/>
      <c r="CW568" s="180"/>
      <c r="CX568" s="180"/>
      <c r="CY568" s="180"/>
      <c r="CZ568" s="180"/>
      <c r="DA568" s="180"/>
      <c r="DB568" s="180"/>
    </row>
    <row r="569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180"/>
      <c r="AP569" s="180"/>
      <c r="AQ569" s="180"/>
      <c r="AR569" s="180"/>
      <c r="AS569" s="180"/>
      <c r="AT569" s="180"/>
      <c r="AU569" s="180"/>
      <c r="AV569" s="180"/>
      <c r="AW569" s="180"/>
      <c r="AX569" s="180"/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80"/>
      <c r="BN569" s="180"/>
      <c r="BO569" s="180"/>
      <c r="BP569" s="180"/>
      <c r="BQ569" s="180"/>
      <c r="BR569" s="180"/>
      <c r="BS569" s="180"/>
      <c r="BT569" s="180"/>
      <c r="BU569" s="180"/>
      <c r="BV569" s="180"/>
      <c r="BW569" s="180"/>
      <c r="BX569" s="180"/>
      <c r="BY569" s="180"/>
      <c r="BZ569" s="180"/>
      <c r="CA569" s="180"/>
      <c r="CB569" s="180"/>
      <c r="CC569" s="180"/>
      <c r="CD569" s="180"/>
      <c r="CE569" s="180"/>
      <c r="CF569" s="180"/>
      <c r="CG569" s="180"/>
      <c r="CH569" s="180"/>
      <c r="CI569" s="180"/>
      <c r="CJ569" s="180"/>
      <c r="CK569" s="180"/>
      <c r="CL569" s="180"/>
      <c r="CM569" s="180"/>
      <c r="CN569" s="180"/>
      <c r="CO569" s="180"/>
      <c r="CP569" s="180"/>
      <c r="CQ569" s="180"/>
      <c r="CR569" s="180"/>
      <c r="CS569" s="180"/>
      <c r="CT569" s="180"/>
      <c r="CU569" s="180"/>
      <c r="CV569" s="180"/>
      <c r="CW569" s="180"/>
      <c r="CX569" s="180"/>
      <c r="CY569" s="180"/>
      <c r="CZ569" s="180"/>
      <c r="DA569" s="180"/>
      <c r="DB569" s="180"/>
    </row>
    <row r="570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0"/>
      <c r="AL570" s="180"/>
      <c r="AM570" s="180"/>
      <c r="AN570" s="180"/>
      <c r="AO570" s="180"/>
      <c r="AP570" s="180"/>
      <c r="AQ570" s="180"/>
      <c r="AR570" s="180"/>
      <c r="AS570" s="180"/>
      <c r="AT570" s="180"/>
      <c r="AU570" s="180"/>
      <c r="AV570" s="180"/>
      <c r="AW570" s="180"/>
      <c r="AX570" s="180"/>
      <c r="AY570" s="180"/>
      <c r="AZ570" s="180"/>
      <c r="BA570" s="180"/>
      <c r="BB570" s="180"/>
      <c r="BC570" s="180"/>
      <c r="BD570" s="180"/>
      <c r="BE570" s="180"/>
      <c r="BF570" s="180"/>
      <c r="BG570" s="180"/>
      <c r="BH570" s="180"/>
      <c r="BI570" s="180"/>
      <c r="BJ570" s="180"/>
      <c r="BK570" s="180"/>
      <c r="BL570" s="180"/>
      <c r="BM570" s="180"/>
      <c r="BN570" s="180"/>
      <c r="BO570" s="180"/>
      <c r="BP570" s="180"/>
      <c r="BQ570" s="180"/>
      <c r="BR570" s="180"/>
      <c r="BS570" s="180"/>
      <c r="BT570" s="180"/>
      <c r="BU570" s="180"/>
      <c r="BV570" s="180"/>
      <c r="BW570" s="180"/>
      <c r="BX570" s="180"/>
      <c r="BY570" s="180"/>
      <c r="BZ570" s="180"/>
      <c r="CA570" s="180"/>
      <c r="CB570" s="180"/>
      <c r="CC570" s="180"/>
      <c r="CD570" s="180"/>
      <c r="CE570" s="180"/>
      <c r="CF570" s="180"/>
      <c r="CG570" s="180"/>
      <c r="CH570" s="180"/>
      <c r="CI570" s="180"/>
      <c r="CJ570" s="180"/>
      <c r="CK570" s="180"/>
      <c r="CL570" s="180"/>
      <c r="CM570" s="180"/>
      <c r="CN570" s="180"/>
      <c r="CO570" s="180"/>
      <c r="CP570" s="180"/>
      <c r="CQ570" s="180"/>
      <c r="CR570" s="180"/>
      <c r="CS570" s="180"/>
      <c r="CT570" s="180"/>
      <c r="CU570" s="180"/>
      <c r="CV570" s="180"/>
      <c r="CW570" s="180"/>
      <c r="CX570" s="180"/>
      <c r="CY570" s="180"/>
      <c r="CZ570" s="180"/>
      <c r="DA570" s="180"/>
      <c r="DB570" s="180"/>
    </row>
    <row r="571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0"/>
      <c r="AL571" s="180"/>
      <c r="AM571" s="180"/>
      <c r="AN571" s="180"/>
      <c r="AO571" s="180"/>
      <c r="AP571" s="180"/>
      <c r="AQ571" s="180"/>
      <c r="AR571" s="180"/>
      <c r="AS571" s="180"/>
      <c r="AT571" s="180"/>
      <c r="AU571" s="180"/>
      <c r="AV571" s="180"/>
      <c r="AW571" s="180"/>
      <c r="AX571" s="180"/>
      <c r="AY571" s="180"/>
      <c r="AZ571" s="180"/>
      <c r="BA571" s="180"/>
      <c r="BB571" s="180"/>
      <c r="BC571" s="180"/>
      <c r="BD571" s="180"/>
      <c r="BE571" s="180"/>
      <c r="BF571" s="180"/>
      <c r="BG571" s="180"/>
      <c r="BH571" s="180"/>
      <c r="BI571" s="180"/>
      <c r="BJ571" s="180"/>
      <c r="BK571" s="180"/>
      <c r="BL571" s="180"/>
      <c r="BM571" s="180"/>
      <c r="BN571" s="180"/>
      <c r="BO571" s="180"/>
      <c r="BP571" s="180"/>
      <c r="BQ571" s="180"/>
      <c r="BR571" s="180"/>
      <c r="BS571" s="180"/>
      <c r="BT571" s="180"/>
      <c r="BU571" s="180"/>
      <c r="BV571" s="180"/>
      <c r="BW571" s="180"/>
      <c r="BX571" s="180"/>
      <c r="BY571" s="180"/>
      <c r="BZ571" s="180"/>
      <c r="CA571" s="180"/>
      <c r="CB571" s="180"/>
      <c r="CC571" s="180"/>
      <c r="CD571" s="180"/>
      <c r="CE571" s="180"/>
      <c r="CF571" s="180"/>
      <c r="CG571" s="180"/>
      <c r="CH571" s="180"/>
      <c r="CI571" s="180"/>
      <c r="CJ571" s="180"/>
      <c r="CK571" s="180"/>
      <c r="CL571" s="180"/>
      <c r="CM571" s="180"/>
      <c r="CN571" s="180"/>
      <c r="CO571" s="180"/>
      <c r="CP571" s="180"/>
      <c r="CQ571" s="180"/>
      <c r="CR571" s="180"/>
      <c r="CS571" s="180"/>
      <c r="CT571" s="180"/>
      <c r="CU571" s="180"/>
      <c r="CV571" s="180"/>
      <c r="CW571" s="180"/>
      <c r="CX571" s="180"/>
      <c r="CY571" s="180"/>
      <c r="CZ571" s="180"/>
      <c r="DA571" s="180"/>
      <c r="DB571" s="180"/>
    </row>
    <row r="572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180"/>
      <c r="AN572" s="180"/>
      <c r="AO572" s="180"/>
      <c r="AP572" s="180"/>
      <c r="AQ572" s="180"/>
      <c r="AR572" s="180"/>
      <c r="AS572" s="180"/>
      <c r="AT572" s="180"/>
      <c r="AU572" s="180"/>
      <c r="AV572" s="180"/>
      <c r="AW572" s="180"/>
      <c r="AX572" s="180"/>
      <c r="AY572" s="180"/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80"/>
      <c r="BN572" s="180"/>
      <c r="BO572" s="180"/>
      <c r="BP572" s="180"/>
      <c r="BQ572" s="180"/>
      <c r="BR572" s="180"/>
      <c r="BS572" s="180"/>
      <c r="BT572" s="180"/>
      <c r="BU572" s="180"/>
      <c r="BV572" s="180"/>
      <c r="BW572" s="180"/>
      <c r="BX572" s="180"/>
      <c r="BY572" s="180"/>
      <c r="BZ572" s="180"/>
      <c r="CA572" s="180"/>
      <c r="CB572" s="180"/>
      <c r="CC572" s="180"/>
      <c r="CD572" s="180"/>
      <c r="CE572" s="180"/>
      <c r="CF572" s="180"/>
      <c r="CG572" s="180"/>
      <c r="CH572" s="180"/>
      <c r="CI572" s="180"/>
      <c r="CJ572" s="180"/>
      <c r="CK572" s="180"/>
      <c r="CL572" s="180"/>
      <c r="CM572" s="180"/>
      <c r="CN572" s="180"/>
      <c r="CO572" s="180"/>
      <c r="CP572" s="180"/>
      <c r="CQ572" s="180"/>
      <c r="CR572" s="180"/>
      <c r="CS572" s="180"/>
      <c r="CT572" s="180"/>
      <c r="CU572" s="180"/>
      <c r="CV572" s="180"/>
      <c r="CW572" s="180"/>
      <c r="CX572" s="180"/>
      <c r="CY572" s="180"/>
      <c r="CZ572" s="180"/>
      <c r="DA572" s="180"/>
      <c r="DB572" s="180"/>
    </row>
    <row r="573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0"/>
      <c r="AL573" s="180"/>
      <c r="AM573" s="180"/>
      <c r="AN573" s="180"/>
      <c r="AO573" s="180"/>
      <c r="AP573" s="180"/>
      <c r="AQ573" s="180"/>
      <c r="AR573" s="180"/>
      <c r="AS573" s="180"/>
      <c r="AT573" s="180"/>
      <c r="AU573" s="180"/>
      <c r="AV573" s="180"/>
      <c r="AW573" s="180"/>
      <c r="AX573" s="180"/>
      <c r="AY573" s="180"/>
      <c r="AZ573" s="180"/>
      <c r="BA573" s="180"/>
      <c r="BB573" s="180"/>
      <c r="BC573" s="180"/>
      <c r="BD573" s="180"/>
      <c r="BE573" s="180"/>
      <c r="BF573" s="180"/>
      <c r="BG573" s="180"/>
      <c r="BH573" s="180"/>
      <c r="BI573" s="180"/>
      <c r="BJ573" s="180"/>
      <c r="BK573" s="180"/>
      <c r="BL573" s="180"/>
      <c r="BM573" s="180"/>
      <c r="BN573" s="180"/>
      <c r="BO573" s="180"/>
      <c r="BP573" s="180"/>
      <c r="BQ573" s="180"/>
      <c r="BR573" s="180"/>
      <c r="BS573" s="180"/>
      <c r="BT573" s="180"/>
      <c r="BU573" s="180"/>
      <c r="BV573" s="180"/>
      <c r="BW573" s="180"/>
      <c r="BX573" s="180"/>
      <c r="BY573" s="180"/>
      <c r="BZ573" s="180"/>
      <c r="CA573" s="180"/>
      <c r="CB573" s="180"/>
      <c r="CC573" s="180"/>
      <c r="CD573" s="180"/>
      <c r="CE573" s="180"/>
      <c r="CF573" s="180"/>
      <c r="CG573" s="180"/>
      <c r="CH573" s="180"/>
      <c r="CI573" s="180"/>
      <c r="CJ573" s="180"/>
      <c r="CK573" s="180"/>
      <c r="CL573" s="180"/>
      <c r="CM573" s="180"/>
      <c r="CN573" s="180"/>
      <c r="CO573" s="180"/>
      <c r="CP573" s="180"/>
      <c r="CQ573" s="180"/>
      <c r="CR573" s="180"/>
      <c r="CS573" s="180"/>
      <c r="CT573" s="180"/>
      <c r="CU573" s="180"/>
      <c r="CV573" s="180"/>
      <c r="CW573" s="180"/>
      <c r="CX573" s="180"/>
      <c r="CY573" s="180"/>
      <c r="CZ573" s="180"/>
      <c r="DA573" s="180"/>
      <c r="DB573" s="180"/>
    </row>
    <row r="574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180"/>
      <c r="AP574" s="180"/>
      <c r="AQ574" s="180"/>
      <c r="AR574" s="180"/>
      <c r="AS574" s="180"/>
      <c r="AT574" s="180"/>
      <c r="AU574" s="180"/>
      <c r="AV574" s="180"/>
      <c r="AW574" s="180"/>
      <c r="AX574" s="180"/>
      <c r="AY574" s="180"/>
      <c r="AZ574" s="180"/>
      <c r="BA574" s="180"/>
      <c r="BB574" s="180"/>
      <c r="BC574" s="180"/>
      <c r="BD574" s="180"/>
      <c r="BE574" s="180"/>
      <c r="BF574" s="180"/>
      <c r="BG574" s="180"/>
      <c r="BH574" s="180"/>
      <c r="BI574" s="180"/>
      <c r="BJ574" s="180"/>
      <c r="BK574" s="180"/>
      <c r="BL574" s="180"/>
      <c r="BM574" s="180"/>
      <c r="BN574" s="180"/>
      <c r="BO574" s="180"/>
      <c r="BP574" s="180"/>
      <c r="BQ574" s="180"/>
      <c r="BR574" s="180"/>
      <c r="BS574" s="180"/>
      <c r="BT574" s="180"/>
      <c r="BU574" s="180"/>
      <c r="BV574" s="180"/>
      <c r="BW574" s="180"/>
      <c r="BX574" s="180"/>
      <c r="BY574" s="180"/>
      <c r="BZ574" s="180"/>
      <c r="CA574" s="180"/>
      <c r="CB574" s="180"/>
      <c r="CC574" s="180"/>
      <c r="CD574" s="180"/>
      <c r="CE574" s="180"/>
      <c r="CF574" s="180"/>
      <c r="CG574" s="180"/>
      <c r="CH574" s="180"/>
      <c r="CI574" s="180"/>
      <c r="CJ574" s="180"/>
      <c r="CK574" s="180"/>
      <c r="CL574" s="180"/>
      <c r="CM574" s="180"/>
      <c r="CN574" s="180"/>
      <c r="CO574" s="180"/>
      <c r="CP574" s="180"/>
      <c r="CQ574" s="180"/>
      <c r="CR574" s="180"/>
      <c r="CS574" s="180"/>
      <c r="CT574" s="180"/>
      <c r="CU574" s="180"/>
      <c r="CV574" s="180"/>
      <c r="CW574" s="180"/>
      <c r="CX574" s="180"/>
      <c r="CY574" s="180"/>
      <c r="CZ574" s="180"/>
      <c r="DA574" s="180"/>
      <c r="DB574" s="180"/>
    </row>
    <row r="575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180"/>
      <c r="AP575" s="180"/>
      <c r="AQ575" s="180"/>
      <c r="AR575" s="180"/>
      <c r="AS575" s="180"/>
      <c r="AT575" s="180"/>
      <c r="AU575" s="180"/>
      <c r="AV575" s="180"/>
      <c r="AW575" s="180"/>
      <c r="AX575" s="180"/>
      <c r="AY575" s="180"/>
      <c r="AZ575" s="180"/>
      <c r="BA575" s="180"/>
      <c r="BB575" s="180"/>
      <c r="BC575" s="180"/>
      <c r="BD575" s="180"/>
      <c r="BE575" s="180"/>
      <c r="BF575" s="180"/>
      <c r="BG575" s="180"/>
      <c r="BH575" s="180"/>
      <c r="BI575" s="180"/>
      <c r="BJ575" s="180"/>
      <c r="BK575" s="180"/>
      <c r="BL575" s="180"/>
      <c r="BM575" s="180"/>
      <c r="BN575" s="180"/>
      <c r="BO575" s="180"/>
      <c r="BP575" s="180"/>
      <c r="BQ575" s="180"/>
      <c r="BR575" s="180"/>
      <c r="BS575" s="180"/>
      <c r="BT575" s="180"/>
      <c r="BU575" s="180"/>
      <c r="BV575" s="180"/>
      <c r="BW575" s="180"/>
      <c r="BX575" s="180"/>
      <c r="BY575" s="180"/>
      <c r="BZ575" s="180"/>
      <c r="CA575" s="180"/>
      <c r="CB575" s="180"/>
      <c r="CC575" s="180"/>
      <c r="CD575" s="180"/>
      <c r="CE575" s="180"/>
      <c r="CF575" s="180"/>
      <c r="CG575" s="180"/>
      <c r="CH575" s="180"/>
      <c r="CI575" s="180"/>
      <c r="CJ575" s="180"/>
      <c r="CK575" s="180"/>
      <c r="CL575" s="180"/>
      <c r="CM575" s="180"/>
      <c r="CN575" s="180"/>
      <c r="CO575" s="180"/>
      <c r="CP575" s="180"/>
      <c r="CQ575" s="180"/>
      <c r="CR575" s="180"/>
      <c r="CS575" s="180"/>
      <c r="CT575" s="180"/>
      <c r="CU575" s="180"/>
      <c r="CV575" s="180"/>
      <c r="CW575" s="180"/>
      <c r="CX575" s="180"/>
      <c r="CY575" s="180"/>
      <c r="CZ575" s="180"/>
      <c r="DA575" s="180"/>
      <c r="DB575" s="180"/>
    </row>
    <row r="576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  <c r="AK576" s="180"/>
      <c r="AL576" s="180"/>
      <c r="AM576" s="180"/>
      <c r="AN576" s="180"/>
      <c r="AO576" s="180"/>
      <c r="AP576" s="180"/>
      <c r="AQ576" s="180"/>
      <c r="AR576" s="180"/>
      <c r="AS576" s="180"/>
      <c r="AT576" s="180"/>
      <c r="AU576" s="180"/>
      <c r="AV576" s="180"/>
      <c r="AW576" s="180"/>
      <c r="AX576" s="180"/>
      <c r="AY576" s="180"/>
      <c r="AZ576" s="180"/>
      <c r="BA576" s="180"/>
      <c r="BB576" s="180"/>
      <c r="BC576" s="180"/>
      <c r="BD576" s="180"/>
      <c r="BE576" s="180"/>
      <c r="BF576" s="180"/>
      <c r="BG576" s="180"/>
      <c r="BH576" s="180"/>
      <c r="BI576" s="180"/>
      <c r="BJ576" s="180"/>
      <c r="BK576" s="180"/>
      <c r="BL576" s="180"/>
      <c r="BM576" s="180"/>
      <c r="BN576" s="180"/>
      <c r="BO576" s="180"/>
      <c r="BP576" s="180"/>
      <c r="BQ576" s="180"/>
      <c r="BR576" s="180"/>
      <c r="BS576" s="180"/>
      <c r="BT576" s="180"/>
      <c r="BU576" s="180"/>
      <c r="BV576" s="180"/>
      <c r="BW576" s="180"/>
      <c r="BX576" s="180"/>
      <c r="BY576" s="180"/>
      <c r="BZ576" s="180"/>
      <c r="CA576" s="180"/>
      <c r="CB576" s="180"/>
      <c r="CC576" s="180"/>
      <c r="CD576" s="180"/>
      <c r="CE576" s="180"/>
      <c r="CF576" s="180"/>
      <c r="CG576" s="180"/>
      <c r="CH576" s="180"/>
      <c r="CI576" s="180"/>
      <c r="CJ576" s="180"/>
      <c r="CK576" s="180"/>
      <c r="CL576" s="180"/>
      <c r="CM576" s="180"/>
      <c r="CN576" s="180"/>
      <c r="CO576" s="180"/>
      <c r="CP576" s="180"/>
      <c r="CQ576" s="180"/>
      <c r="CR576" s="180"/>
      <c r="CS576" s="180"/>
      <c r="CT576" s="180"/>
      <c r="CU576" s="180"/>
      <c r="CV576" s="180"/>
      <c r="CW576" s="180"/>
      <c r="CX576" s="180"/>
      <c r="CY576" s="180"/>
      <c r="CZ576" s="180"/>
      <c r="DA576" s="180"/>
      <c r="DB576" s="180"/>
    </row>
    <row r="577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0"/>
      <c r="AL577" s="180"/>
      <c r="AM577" s="180"/>
      <c r="AN577" s="180"/>
      <c r="AO577" s="180"/>
      <c r="AP577" s="180"/>
      <c r="AQ577" s="180"/>
      <c r="AR577" s="180"/>
      <c r="AS577" s="180"/>
      <c r="AT577" s="180"/>
      <c r="AU577" s="180"/>
      <c r="AV577" s="180"/>
      <c r="AW577" s="180"/>
      <c r="AX577" s="180"/>
      <c r="AY577" s="180"/>
      <c r="AZ577" s="180"/>
      <c r="BA577" s="180"/>
      <c r="BB577" s="180"/>
      <c r="BC577" s="180"/>
      <c r="BD577" s="180"/>
      <c r="BE577" s="180"/>
      <c r="BF577" s="180"/>
      <c r="BG577" s="180"/>
      <c r="BH577" s="180"/>
      <c r="BI577" s="180"/>
      <c r="BJ577" s="180"/>
      <c r="BK577" s="180"/>
      <c r="BL577" s="180"/>
      <c r="BM577" s="180"/>
      <c r="BN577" s="180"/>
      <c r="BO577" s="180"/>
      <c r="BP577" s="180"/>
      <c r="BQ577" s="180"/>
      <c r="BR577" s="180"/>
      <c r="BS577" s="180"/>
      <c r="BT577" s="180"/>
      <c r="BU577" s="180"/>
      <c r="BV577" s="180"/>
      <c r="BW577" s="180"/>
      <c r="BX577" s="180"/>
      <c r="BY577" s="180"/>
      <c r="BZ577" s="180"/>
      <c r="CA577" s="180"/>
      <c r="CB577" s="180"/>
      <c r="CC577" s="180"/>
      <c r="CD577" s="180"/>
      <c r="CE577" s="180"/>
      <c r="CF577" s="180"/>
      <c r="CG577" s="180"/>
      <c r="CH577" s="180"/>
      <c r="CI577" s="180"/>
      <c r="CJ577" s="180"/>
      <c r="CK577" s="180"/>
      <c r="CL577" s="180"/>
      <c r="CM577" s="180"/>
      <c r="CN577" s="180"/>
      <c r="CO577" s="180"/>
      <c r="CP577" s="180"/>
      <c r="CQ577" s="180"/>
      <c r="CR577" s="180"/>
      <c r="CS577" s="180"/>
      <c r="CT577" s="180"/>
      <c r="CU577" s="180"/>
      <c r="CV577" s="180"/>
      <c r="CW577" s="180"/>
      <c r="CX577" s="180"/>
      <c r="CY577" s="180"/>
      <c r="CZ577" s="180"/>
      <c r="DA577" s="180"/>
      <c r="DB577" s="180"/>
    </row>
    <row r="578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180"/>
      <c r="AP578" s="180"/>
      <c r="AQ578" s="180"/>
      <c r="AR578" s="180"/>
      <c r="AS578" s="180"/>
      <c r="AT578" s="180"/>
      <c r="AU578" s="180"/>
      <c r="AV578" s="180"/>
      <c r="AW578" s="180"/>
      <c r="AX578" s="180"/>
      <c r="AY578" s="180"/>
      <c r="AZ578" s="180"/>
      <c r="BA578" s="180"/>
      <c r="BB578" s="180"/>
      <c r="BC578" s="180"/>
      <c r="BD578" s="180"/>
      <c r="BE578" s="180"/>
      <c r="BF578" s="180"/>
      <c r="BG578" s="180"/>
      <c r="BH578" s="180"/>
      <c r="BI578" s="180"/>
      <c r="BJ578" s="180"/>
      <c r="BK578" s="180"/>
      <c r="BL578" s="180"/>
      <c r="BM578" s="180"/>
      <c r="BN578" s="180"/>
      <c r="BO578" s="180"/>
      <c r="BP578" s="180"/>
      <c r="BQ578" s="180"/>
      <c r="BR578" s="180"/>
      <c r="BS578" s="180"/>
      <c r="BT578" s="180"/>
      <c r="BU578" s="180"/>
      <c r="BV578" s="180"/>
      <c r="BW578" s="180"/>
      <c r="BX578" s="180"/>
      <c r="BY578" s="180"/>
      <c r="BZ578" s="180"/>
      <c r="CA578" s="180"/>
      <c r="CB578" s="180"/>
      <c r="CC578" s="180"/>
      <c r="CD578" s="180"/>
      <c r="CE578" s="180"/>
      <c r="CF578" s="180"/>
      <c r="CG578" s="180"/>
      <c r="CH578" s="180"/>
      <c r="CI578" s="180"/>
      <c r="CJ578" s="180"/>
      <c r="CK578" s="180"/>
      <c r="CL578" s="180"/>
      <c r="CM578" s="180"/>
      <c r="CN578" s="180"/>
      <c r="CO578" s="180"/>
      <c r="CP578" s="180"/>
      <c r="CQ578" s="180"/>
      <c r="CR578" s="180"/>
      <c r="CS578" s="180"/>
      <c r="CT578" s="180"/>
      <c r="CU578" s="180"/>
      <c r="CV578" s="180"/>
      <c r="CW578" s="180"/>
      <c r="CX578" s="180"/>
      <c r="CY578" s="180"/>
      <c r="CZ578" s="180"/>
      <c r="DA578" s="180"/>
      <c r="DB578" s="180"/>
    </row>
    <row r="579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180"/>
      <c r="AP579" s="180"/>
      <c r="AQ579" s="180"/>
      <c r="AR579" s="180"/>
      <c r="AS579" s="180"/>
      <c r="AT579" s="180"/>
      <c r="AU579" s="180"/>
      <c r="AV579" s="180"/>
      <c r="AW579" s="180"/>
      <c r="AX579" s="180"/>
      <c r="AY579" s="180"/>
      <c r="AZ579" s="180"/>
      <c r="BA579" s="180"/>
      <c r="BB579" s="180"/>
      <c r="BC579" s="180"/>
      <c r="BD579" s="180"/>
      <c r="BE579" s="180"/>
      <c r="BF579" s="180"/>
      <c r="BG579" s="180"/>
      <c r="BH579" s="180"/>
      <c r="BI579" s="180"/>
      <c r="BJ579" s="180"/>
      <c r="BK579" s="180"/>
      <c r="BL579" s="180"/>
      <c r="BM579" s="180"/>
      <c r="BN579" s="180"/>
      <c r="BO579" s="180"/>
      <c r="BP579" s="180"/>
      <c r="BQ579" s="180"/>
      <c r="BR579" s="180"/>
      <c r="BS579" s="180"/>
      <c r="BT579" s="180"/>
      <c r="BU579" s="180"/>
      <c r="BV579" s="180"/>
      <c r="BW579" s="180"/>
      <c r="BX579" s="180"/>
      <c r="BY579" s="180"/>
      <c r="BZ579" s="180"/>
      <c r="CA579" s="180"/>
      <c r="CB579" s="180"/>
      <c r="CC579" s="180"/>
      <c r="CD579" s="180"/>
      <c r="CE579" s="180"/>
      <c r="CF579" s="180"/>
      <c r="CG579" s="180"/>
      <c r="CH579" s="180"/>
      <c r="CI579" s="180"/>
      <c r="CJ579" s="180"/>
      <c r="CK579" s="180"/>
      <c r="CL579" s="180"/>
      <c r="CM579" s="180"/>
      <c r="CN579" s="180"/>
      <c r="CO579" s="180"/>
      <c r="CP579" s="180"/>
      <c r="CQ579" s="180"/>
      <c r="CR579" s="180"/>
      <c r="CS579" s="180"/>
      <c r="CT579" s="180"/>
      <c r="CU579" s="180"/>
      <c r="CV579" s="180"/>
      <c r="CW579" s="180"/>
      <c r="CX579" s="180"/>
      <c r="CY579" s="180"/>
      <c r="CZ579" s="180"/>
      <c r="DA579" s="180"/>
      <c r="DB579" s="180"/>
    </row>
    <row r="580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180"/>
      <c r="AP580" s="180"/>
      <c r="AQ580" s="180"/>
      <c r="AR580" s="180"/>
      <c r="AS580" s="180"/>
      <c r="AT580" s="180"/>
      <c r="AU580" s="180"/>
      <c r="AV580" s="180"/>
      <c r="AW580" s="180"/>
      <c r="AX580" s="180"/>
      <c r="AY580" s="180"/>
      <c r="AZ580" s="180"/>
      <c r="BA580" s="180"/>
      <c r="BB580" s="180"/>
      <c r="BC580" s="180"/>
      <c r="BD580" s="180"/>
      <c r="BE580" s="180"/>
      <c r="BF580" s="180"/>
      <c r="BG580" s="180"/>
      <c r="BH580" s="180"/>
      <c r="BI580" s="180"/>
      <c r="BJ580" s="180"/>
      <c r="BK580" s="180"/>
      <c r="BL580" s="180"/>
      <c r="BM580" s="180"/>
      <c r="BN580" s="180"/>
      <c r="BO580" s="180"/>
      <c r="BP580" s="180"/>
      <c r="BQ580" s="180"/>
      <c r="BR580" s="180"/>
      <c r="BS580" s="180"/>
      <c r="BT580" s="180"/>
      <c r="BU580" s="180"/>
      <c r="BV580" s="180"/>
      <c r="BW580" s="180"/>
      <c r="BX580" s="180"/>
      <c r="BY580" s="180"/>
      <c r="BZ580" s="180"/>
      <c r="CA580" s="180"/>
      <c r="CB580" s="180"/>
      <c r="CC580" s="180"/>
      <c r="CD580" s="180"/>
      <c r="CE580" s="180"/>
      <c r="CF580" s="180"/>
      <c r="CG580" s="180"/>
      <c r="CH580" s="180"/>
      <c r="CI580" s="180"/>
      <c r="CJ580" s="180"/>
      <c r="CK580" s="180"/>
      <c r="CL580" s="180"/>
      <c r="CM580" s="180"/>
      <c r="CN580" s="180"/>
      <c r="CO580" s="180"/>
      <c r="CP580" s="180"/>
      <c r="CQ580" s="180"/>
      <c r="CR580" s="180"/>
      <c r="CS580" s="180"/>
      <c r="CT580" s="180"/>
      <c r="CU580" s="180"/>
      <c r="CV580" s="180"/>
      <c r="CW580" s="180"/>
      <c r="CX580" s="180"/>
      <c r="CY580" s="180"/>
      <c r="CZ580" s="180"/>
      <c r="DA580" s="180"/>
      <c r="DB580" s="180"/>
    </row>
    <row r="581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0"/>
      <c r="AL581" s="180"/>
      <c r="AM581" s="180"/>
      <c r="AN581" s="180"/>
      <c r="AO581" s="180"/>
      <c r="AP581" s="180"/>
      <c r="AQ581" s="180"/>
      <c r="AR581" s="180"/>
      <c r="AS581" s="180"/>
      <c r="AT581" s="180"/>
      <c r="AU581" s="180"/>
      <c r="AV581" s="180"/>
      <c r="AW581" s="180"/>
      <c r="AX581" s="180"/>
      <c r="AY581" s="180"/>
      <c r="AZ581" s="180"/>
      <c r="BA581" s="180"/>
      <c r="BB581" s="180"/>
      <c r="BC581" s="180"/>
      <c r="BD581" s="180"/>
      <c r="BE581" s="180"/>
      <c r="BF581" s="180"/>
      <c r="BG581" s="180"/>
      <c r="BH581" s="180"/>
      <c r="BI581" s="180"/>
      <c r="BJ581" s="180"/>
      <c r="BK581" s="180"/>
      <c r="BL581" s="180"/>
      <c r="BM581" s="180"/>
      <c r="BN581" s="180"/>
      <c r="BO581" s="180"/>
      <c r="BP581" s="180"/>
      <c r="BQ581" s="180"/>
      <c r="BR581" s="180"/>
      <c r="BS581" s="180"/>
      <c r="BT581" s="180"/>
      <c r="BU581" s="180"/>
      <c r="BV581" s="180"/>
      <c r="BW581" s="180"/>
      <c r="BX581" s="180"/>
      <c r="BY581" s="180"/>
      <c r="BZ581" s="180"/>
      <c r="CA581" s="180"/>
      <c r="CB581" s="180"/>
      <c r="CC581" s="180"/>
      <c r="CD581" s="180"/>
      <c r="CE581" s="180"/>
      <c r="CF581" s="180"/>
      <c r="CG581" s="180"/>
      <c r="CH581" s="180"/>
      <c r="CI581" s="180"/>
      <c r="CJ581" s="180"/>
      <c r="CK581" s="180"/>
      <c r="CL581" s="180"/>
      <c r="CM581" s="180"/>
      <c r="CN581" s="180"/>
      <c r="CO581" s="180"/>
      <c r="CP581" s="180"/>
      <c r="CQ581" s="180"/>
      <c r="CR581" s="180"/>
      <c r="CS581" s="180"/>
      <c r="CT581" s="180"/>
      <c r="CU581" s="180"/>
      <c r="CV581" s="180"/>
      <c r="CW581" s="180"/>
      <c r="CX581" s="180"/>
      <c r="CY581" s="180"/>
      <c r="CZ581" s="180"/>
      <c r="DA581" s="180"/>
      <c r="DB581" s="180"/>
    </row>
    <row r="582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0"/>
      <c r="AL582" s="180"/>
      <c r="AM582" s="180"/>
      <c r="AN582" s="180"/>
      <c r="AO582" s="180"/>
      <c r="AP582" s="180"/>
      <c r="AQ582" s="180"/>
      <c r="AR582" s="180"/>
      <c r="AS582" s="180"/>
      <c r="AT582" s="180"/>
      <c r="AU582" s="180"/>
      <c r="AV582" s="180"/>
      <c r="AW582" s="180"/>
      <c r="AX582" s="180"/>
      <c r="AY582" s="180"/>
      <c r="AZ582" s="180"/>
      <c r="BA582" s="180"/>
      <c r="BB582" s="180"/>
      <c r="BC582" s="180"/>
      <c r="BD582" s="180"/>
      <c r="BE582" s="180"/>
      <c r="BF582" s="180"/>
      <c r="BG582" s="180"/>
      <c r="BH582" s="180"/>
      <c r="BI582" s="180"/>
      <c r="BJ582" s="180"/>
      <c r="BK582" s="180"/>
      <c r="BL582" s="180"/>
      <c r="BM582" s="180"/>
      <c r="BN582" s="180"/>
      <c r="BO582" s="180"/>
      <c r="BP582" s="180"/>
      <c r="BQ582" s="180"/>
      <c r="BR582" s="180"/>
      <c r="BS582" s="180"/>
      <c r="BT582" s="180"/>
      <c r="BU582" s="180"/>
      <c r="BV582" s="180"/>
      <c r="BW582" s="180"/>
      <c r="BX582" s="180"/>
      <c r="BY582" s="180"/>
      <c r="BZ582" s="180"/>
      <c r="CA582" s="180"/>
      <c r="CB582" s="180"/>
      <c r="CC582" s="180"/>
      <c r="CD582" s="180"/>
      <c r="CE582" s="180"/>
      <c r="CF582" s="180"/>
      <c r="CG582" s="180"/>
      <c r="CH582" s="180"/>
      <c r="CI582" s="180"/>
      <c r="CJ582" s="180"/>
      <c r="CK582" s="180"/>
      <c r="CL582" s="180"/>
      <c r="CM582" s="180"/>
      <c r="CN582" s="180"/>
      <c r="CO582" s="180"/>
      <c r="CP582" s="180"/>
      <c r="CQ582" s="180"/>
      <c r="CR582" s="180"/>
      <c r="CS582" s="180"/>
      <c r="CT582" s="180"/>
      <c r="CU582" s="180"/>
      <c r="CV582" s="180"/>
      <c r="CW582" s="180"/>
      <c r="CX582" s="180"/>
      <c r="CY582" s="180"/>
      <c r="CZ582" s="180"/>
      <c r="DA582" s="180"/>
      <c r="DB582" s="180"/>
    </row>
    <row r="583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0"/>
      <c r="AU583" s="180"/>
      <c r="AV583" s="180"/>
      <c r="AW583" s="180"/>
      <c r="AX583" s="180"/>
      <c r="AY583" s="180"/>
      <c r="AZ583" s="180"/>
      <c r="BA583" s="180"/>
      <c r="BB583" s="180"/>
      <c r="BC583" s="180"/>
      <c r="BD583" s="180"/>
      <c r="BE583" s="180"/>
      <c r="BF583" s="180"/>
      <c r="BG583" s="180"/>
      <c r="BH583" s="180"/>
      <c r="BI583" s="180"/>
      <c r="BJ583" s="180"/>
      <c r="BK583" s="180"/>
      <c r="BL583" s="180"/>
      <c r="BM583" s="180"/>
      <c r="BN583" s="180"/>
      <c r="BO583" s="180"/>
      <c r="BP583" s="180"/>
      <c r="BQ583" s="180"/>
      <c r="BR583" s="180"/>
      <c r="BS583" s="180"/>
      <c r="BT583" s="180"/>
      <c r="BU583" s="180"/>
      <c r="BV583" s="180"/>
      <c r="BW583" s="180"/>
      <c r="BX583" s="180"/>
      <c r="BY583" s="180"/>
      <c r="BZ583" s="180"/>
      <c r="CA583" s="180"/>
      <c r="CB583" s="180"/>
      <c r="CC583" s="180"/>
      <c r="CD583" s="180"/>
      <c r="CE583" s="180"/>
      <c r="CF583" s="180"/>
      <c r="CG583" s="180"/>
      <c r="CH583" s="180"/>
      <c r="CI583" s="180"/>
      <c r="CJ583" s="180"/>
      <c r="CK583" s="180"/>
      <c r="CL583" s="180"/>
      <c r="CM583" s="180"/>
      <c r="CN583" s="180"/>
      <c r="CO583" s="180"/>
      <c r="CP583" s="180"/>
      <c r="CQ583" s="180"/>
      <c r="CR583" s="180"/>
      <c r="CS583" s="180"/>
      <c r="CT583" s="180"/>
      <c r="CU583" s="180"/>
      <c r="CV583" s="180"/>
      <c r="CW583" s="180"/>
      <c r="CX583" s="180"/>
      <c r="CY583" s="180"/>
      <c r="CZ583" s="180"/>
      <c r="DA583" s="180"/>
      <c r="DB583" s="180"/>
    </row>
    <row r="584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180"/>
      <c r="AW584" s="180"/>
      <c r="AX584" s="180"/>
      <c r="AY584" s="180"/>
      <c r="AZ584" s="180"/>
      <c r="BA584" s="180"/>
      <c r="BB584" s="180"/>
      <c r="BC584" s="180"/>
      <c r="BD584" s="180"/>
      <c r="BE584" s="180"/>
      <c r="BF584" s="180"/>
      <c r="BG584" s="180"/>
      <c r="BH584" s="180"/>
      <c r="BI584" s="180"/>
      <c r="BJ584" s="180"/>
      <c r="BK584" s="180"/>
      <c r="BL584" s="180"/>
      <c r="BM584" s="180"/>
      <c r="BN584" s="180"/>
      <c r="BO584" s="180"/>
      <c r="BP584" s="180"/>
      <c r="BQ584" s="180"/>
      <c r="BR584" s="180"/>
      <c r="BS584" s="180"/>
      <c r="BT584" s="180"/>
      <c r="BU584" s="180"/>
      <c r="BV584" s="180"/>
      <c r="BW584" s="180"/>
      <c r="BX584" s="180"/>
      <c r="BY584" s="180"/>
      <c r="BZ584" s="180"/>
      <c r="CA584" s="180"/>
      <c r="CB584" s="180"/>
      <c r="CC584" s="180"/>
      <c r="CD584" s="180"/>
      <c r="CE584" s="180"/>
      <c r="CF584" s="180"/>
      <c r="CG584" s="180"/>
      <c r="CH584" s="180"/>
      <c r="CI584" s="180"/>
      <c r="CJ584" s="180"/>
      <c r="CK584" s="180"/>
      <c r="CL584" s="180"/>
      <c r="CM584" s="180"/>
      <c r="CN584" s="180"/>
      <c r="CO584" s="180"/>
      <c r="CP584" s="180"/>
      <c r="CQ584" s="180"/>
      <c r="CR584" s="180"/>
      <c r="CS584" s="180"/>
      <c r="CT584" s="180"/>
      <c r="CU584" s="180"/>
      <c r="CV584" s="180"/>
      <c r="CW584" s="180"/>
      <c r="CX584" s="180"/>
      <c r="CY584" s="180"/>
      <c r="CZ584" s="180"/>
      <c r="DA584" s="180"/>
      <c r="DB584" s="180"/>
    </row>
    <row r="585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180"/>
      <c r="AW585" s="180"/>
      <c r="AX585" s="180"/>
      <c r="AY585" s="180"/>
      <c r="AZ585" s="180"/>
      <c r="BA585" s="180"/>
      <c r="BB585" s="180"/>
      <c r="BC585" s="180"/>
      <c r="BD585" s="180"/>
      <c r="BE585" s="180"/>
      <c r="BF585" s="180"/>
      <c r="BG585" s="180"/>
      <c r="BH585" s="180"/>
      <c r="BI585" s="180"/>
      <c r="BJ585" s="180"/>
      <c r="BK585" s="180"/>
      <c r="BL585" s="180"/>
      <c r="BM585" s="180"/>
      <c r="BN585" s="180"/>
      <c r="BO585" s="180"/>
      <c r="BP585" s="180"/>
      <c r="BQ585" s="180"/>
      <c r="BR585" s="180"/>
      <c r="BS585" s="180"/>
      <c r="BT585" s="180"/>
      <c r="BU585" s="180"/>
      <c r="BV585" s="180"/>
      <c r="BW585" s="180"/>
      <c r="BX585" s="180"/>
      <c r="BY585" s="180"/>
      <c r="BZ585" s="180"/>
      <c r="CA585" s="180"/>
      <c r="CB585" s="180"/>
      <c r="CC585" s="180"/>
      <c r="CD585" s="180"/>
      <c r="CE585" s="180"/>
      <c r="CF585" s="180"/>
      <c r="CG585" s="180"/>
      <c r="CH585" s="180"/>
      <c r="CI585" s="180"/>
      <c r="CJ585" s="180"/>
      <c r="CK585" s="180"/>
      <c r="CL585" s="180"/>
      <c r="CM585" s="180"/>
      <c r="CN585" s="180"/>
      <c r="CO585" s="180"/>
      <c r="CP585" s="180"/>
      <c r="CQ585" s="180"/>
      <c r="CR585" s="180"/>
      <c r="CS585" s="180"/>
      <c r="CT585" s="180"/>
      <c r="CU585" s="180"/>
      <c r="CV585" s="180"/>
      <c r="CW585" s="180"/>
      <c r="CX585" s="180"/>
      <c r="CY585" s="180"/>
      <c r="CZ585" s="180"/>
      <c r="DA585" s="180"/>
      <c r="DB585" s="180"/>
    </row>
    <row r="586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180"/>
      <c r="AP586" s="180"/>
      <c r="AQ586" s="180"/>
      <c r="AR586" s="180"/>
      <c r="AS586" s="180"/>
      <c r="AT586" s="180"/>
      <c r="AU586" s="180"/>
      <c r="AV586" s="180"/>
      <c r="AW586" s="180"/>
      <c r="AX586" s="180"/>
      <c r="AY586" s="180"/>
      <c r="AZ586" s="180"/>
      <c r="BA586" s="180"/>
      <c r="BB586" s="180"/>
      <c r="BC586" s="180"/>
      <c r="BD586" s="180"/>
      <c r="BE586" s="180"/>
      <c r="BF586" s="180"/>
      <c r="BG586" s="180"/>
      <c r="BH586" s="180"/>
      <c r="BI586" s="180"/>
      <c r="BJ586" s="180"/>
      <c r="BK586" s="180"/>
      <c r="BL586" s="180"/>
      <c r="BM586" s="180"/>
      <c r="BN586" s="180"/>
      <c r="BO586" s="180"/>
      <c r="BP586" s="180"/>
      <c r="BQ586" s="180"/>
      <c r="BR586" s="180"/>
      <c r="BS586" s="180"/>
      <c r="BT586" s="180"/>
      <c r="BU586" s="180"/>
      <c r="BV586" s="180"/>
      <c r="BW586" s="180"/>
      <c r="BX586" s="180"/>
      <c r="BY586" s="180"/>
      <c r="BZ586" s="180"/>
      <c r="CA586" s="180"/>
      <c r="CB586" s="180"/>
      <c r="CC586" s="180"/>
      <c r="CD586" s="180"/>
      <c r="CE586" s="180"/>
      <c r="CF586" s="180"/>
      <c r="CG586" s="180"/>
      <c r="CH586" s="180"/>
      <c r="CI586" s="180"/>
      <c r="CJ586" s="180"/>
      <c r="CK586" s="180"/>
      <c r="CL586" s="180"/>
      <c r="CM586" s="180"/>
      <c r="CN586" s="180"/>
      <c r="CO586" s="180"/>
      <c r="CP586" s="180"/>
      <c r="CQ586" s="180"/>
      <c r="CR586" s="180"/>
      <c r="CS586" s="180"/>
      <c r="CT586" s="180"/>
      <c r="CU586" s="180"/>
      <c r="CV586" s="180"/>
      <c r="CW586" s="180"/>
      <c r="CX586" s="180"/>
      <c r="CY586" s="180"/>
      <c r="CZ586" s="180"/>
      <c r="DA586" s="180"/>
      <c r="DB586" s="180"/>
    </row>
    <row r="587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180"/>
      <c r="AP587" s="180"/>
      <c r="AQ587" s="180"/>
      <c r="AR587" s="180"/>
      <c r="AS587" s="180"/>
      <c r="AT587" s="180"/>
      <c r="AU587" s="180"/>
      <c r="AV587" s="180"/>
      <c r="AW587" s="180"/>
      <c r="AX587" s="180"/>
      <c r="AY587" s="180"/>
      <c r="AZ587" s="180"/>
      <c r="BA587" s="180"/>
      <c r="BB587" s="180"/>
      <c r="BC587" s="180"/>
      <c r="BD587" s="180"/>
      <c r="BE587" s="180"/>
      <c r="BF587" s="180"/>
      <c r="BG587" s="180"/>
      <c r="BH587" s="180"/>
      <c r="BI587" s="180"/>
      <c r="BJ587" s="180"/>
      <c r="BK587" s="180"/>
      <c r="BL587" s="180"/>
      <c r="BM587" s="180"/>
      <c r="BN587" s="180"/>
      <c r="BO587" s="180"/>
      <c r="BP587" s="180"/>
      <c r="BQ587" s="180"/>
      <c r="BR587" s="180"/>
      <c r="BS587" s="180"/>
      <c r="BT587" s="180"/>
      <c r="BU587" s="180"/>
      <c r="BV587" s="180"/>
      <c r="BW587" s="180"/>
      <c r="BX587" s="180"/>
      <c r="BY587" s="180"/>
      <c r="BZ587" s="180"/>
      <c r="CA587" s="180"/>
      <c r="CB587" s="180"/>
      <c r="CC587" s="180"/>
      <c r="CD587" s="180"/>
      <c r="CE587" s="180"/>
      <c r="CF587" s="180"/>
      <c r="CG587" s="180"/>
      <c r="CH587" s="180"/>
      <c r="CI587" s="180"/>
      <c r="CJ587" s="180"/>
      <c r="CK587" s="180"/>
      <c r="CL587" s="180"/>
      <c r="CM587" s="180"/>
      <c r="CN587" s="180"/>
      <c r="CO587" s="180"/>
      <c r="CP587" s="180"/>
      <c r="CQ587" s="180"/>
      <c r="CR587" s="180"/>
      <c r="CS587" s="180"/>
      <c r="CT587" s="180"/>
      <c r="CU587" s="180"/>
      <c r="CV587" s="180"/>
      <c r="CW587" s="180"/>
      <c r="CX587" s="180"/>
      <c r="CY587" s="180"/>
      <c r="CZ587" s="180"/>
      <c r="DA587" s="180"/>
      <c r="DB587" s="180"/>
    </row>
    <row r="588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180"/>
      <c r="AW588" s="180"/>
      <c r="AX588" s="180"/>
      <c r="AY588" s="180"/>
      <c r="AZ588" s="180"/>
      <c r="BA588" s="180"/>
      <c r="BB588" s="180"/>
      <c r="BC588" s="180"/>
      <c r="BD588" s="180"/>
      <c r="BE588" s="180"/>
      <c r="BF588" s="180"/>
      <c r="BG588" s="180"/>
      <c r="BH588" s="180"/>
      <c r="BI588" s="180"/>
      <c r="BJ588" s="180"/>
      <c r="BK588" s="180"/>
      <c r="BL588" s="180"/>
      <c r="BM588" s="180"/>
      <c r="BN588" s="180"/>
      <c r="BO588" s="180"/>
      <c r="BP588" s="180"/>
      <c r="BQ588" s="180"/>
      <c r="BR588" s="180"/>
      <c r="BS588" s="180"/>
      <c r="BT588" s="180"/>
      <c r="BU588" s="180"/>
      <c r="BV588" s="180"/>
      <c r="BW588" s="180"/>
      <c r="BX588" s="180"/>
      <c r="BY588" s="180"/>
      <c r="BZ588" s="180"/>
      <c r="CA588" s="180"/>
      <c r="CB588" s="180"/>
      <c r="CC588" s="180"/>
      <c r="CD588" s="180"/>
      <c r="CE588" s="180"/>
      <c r="CF588" s="180"/>
      <c r="CG588" s="180"/>
      <c r="CH588" s="180"/>
      <c r="CI588" s="180"/>
      <c r="CJ588" s="180"/>
      <c r="CK588" s="180"/>
      <c r="CL588" s="180"/>
      <c r="CM588" s="180"/>
      <c r="CN588" s="180"/>
      <c r="CO588" s="180"/>
      <c r="CP588" s="180"/>
      <c r="CQ588" s="180"/>
      <c r="CR588" s="180"/>
      <c r="CS588" s="180"/>
      <c r="CT588" s="180"/>
      <c r="CU588" s="180"/>
      <c r="CV588" s="180"/>
      <c r="CW588" s="180"/>
      <c r="CX588" s="180"/>
      <c r="CY588" s="180"/>
      <c r="CZ588" s="180"/>
      <c r="DA588" s="180"/>
      <c r="DB588" s="180"/>
    </row>
    <row r="589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180"/>
      <c r="AP589" s="180"/>
      <c r="AQ589" s="180"/>
      <c r="AR589" s="180"/>
      <c r="AS589" s="180"/>
      <c r="AT589" s="180"/>
      <c r="AU589" s="180"/>
      <c r="AV589" s="180"/>
      <c r="AW589" s="180"/>
      <c r="AX589" s="180"/>
      <c r="AY589" s="180"/>
      <c r="AZ589" s="180"/>
      <c r="BA589" s="180"/>
      <c r="BB589" s="180"/>
      <c r="BC589" s="180"/>
      <c r="BD589" s="180"/>
      <c r="BE589" s="180"/>
      <c r="BF589" s="180"/>
      <c r="BG589" s="180"/>
      <c r="BH589" s="180"/>
      <c r="BI589" s="180"/>
      <c r="BJ589" s="180"/>
      <c r="BK589" s="180"/>
      <c r="BL589" s="180"/>
      <c r="BM589" s="180"/>
      <c r="BN589" s="180"/>
      <c r="BO589" s="180"/>
      <c r="BP589" s="180"/>
      <c r="BQ589" s="180"/>
      <c r="BR589" s="180"/>
      <c r="BS589" s="180"/>
      <c r="BT589" s="180"/>
      <c r="BU589" s="180"/>
      <c r="BV589" s="180"/>
      <c r="BW589" s="180"/>
      <c r="BX589" s="180"/>
      <c r="BY589" s="180"/>
      <c r="BZ589" s="180"/>
      <c r="CA589" s="180"/>
      <c r="CB589" s="180"/>
      <c r="CC589" s="180"/>
      <c r="CD589" s="180"/>
      <c r="CE589" s="180"/>
      <c r="CF589" s="180"/>
      <c r="CG589" s="180"/>
      <c r="CH589" s="180"/>
      <c r="CI589" s="180"/>
      <c r="CJ589" s="180"/>
      <c r="CK589" s="180"/>
      <c r="CL589" s="180"/>
      <c r="CM589" s="180"/>
      <c r="CN589" s="180"/>
      <c r="CO589" s="180"/>
      <c r="CP589" s="180"/>
      <c r="CQ589" s="180"/>
      <c r="CR589" s="180"/>
      <c r="CS589" s="180"/>
      <c r="CT589" s="180"/>
      <c r="CU589" s="180"/>
      <c r="CV589" s="180"/>
      <c r="CW589" s="180"/>
      <c r="CX589" s="180"/>
      <c r="CY589" s="180"/>
      <c r="CZ589" s="180"/>
      <c r="DA589" s="180"/>
      <c r="DB589" s="180"/>
    </row>
    <row r="590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180"/>
      <c r="AP590" s="180"/>
      <c r="AQ590" s="180"/>
      <c r="AR590" s="180"/>
      <c r="AS590" s="180"/>
      <c r="AT590" s="180"/>
      <c r="AU590" s="180"/>
      <c r="AV590" s="180"/>
      <c r="AW590" s="180"/>
      <c r="AX590" s="180"/>
      <c r="AY590" s="180"/>
      <c r="AZ590" s="180"/>
      <c r="BA590" s="180"/>
      <c r="BB590" s="180"/>
      <c r="BC590" s="180"/>
      <c r="BD590" s="180"/>
      <c r="BE590" s="180"/>
      <c r="BF590" s="180"/>
      <c r="BG590" s="180"/>
      <c r="BH590" s="180"/>
      <c r="BI590" s="180"/>
      <c r="BJ590" s="180"/>
      <c r="BK590" s="180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180"/>
      <c r="BV590" s="180"/>
      <c r="BW590" s="180"/>
      <c r="BX590" s="180"/>
      <c r="BY590" s="180"/>
      <c r="BZ590" s="180"/>
      <c r="CA590" s="180"/>
      <c r="CB590" s="180"/>
      <c r="CC590" s="180"/>
      <c r="CD590" s="180"/>
      <c r="CE590" s="180"/>
      <c r="CF590" s="180"/>
      <c r="CG590" s="180"/>
      <c r="CH590" s="180"/>
      <c r="CI590" s="180"/>
      <c r="CJ590" s="180"/>
      <c r="CK590" s="180"/>
      <c r="CL590" s="180"/>
      <c r="CM590" s="180"/>
      <c r="CN590" s="180"/>
      <c r="CO590" s="180"/>
      <c r="CP590" s="180"/>
      <c r="CQ590" s="180"/>
      <c r="CR590" s="180"/>
      <c r="CS590" s="180"/>
      <c r="CT590" s="180"/>
      <c r="CU590" s="180"/>
      <c r="CV590" s="180"/>
      <c r="CW590" s="180"/>
      <c r="CX590" s="180"/>
      <c r="CY590" s="180"/>
      <c r="CZ590" s="180"/>
      <c r="DA590" s="180"/>
      <c r="DB590" s="180"/>
    </row>
    <row r="591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180"/>
      <c r="AP591" s="180"/>
      <c r="AQ591" s="180"/>
      <c r="AR591" s="180"/>
      <c r="AS591" s="180"/>
      <c r="AT591" s="180"/>
      <c r="AU591" s="180"/>
      <c r="AV591" s="180"/>
      <c r="AW591" s="180"/>
      <c r="AX591" s="180"/>
      <c r="AY591" s="180"/>
      <c r="AZ591" s="180"/>
      <c r="BA591" s="180"/>
      <c r="BB591" s="180"/>
      <c r="BC591" s="180"/>
      <c r="BD591" s="180"/>
      <c r="BE591" s="180"/>
      <c r="BF591" s="180"/>
      <c r="BG591" s="180"/>
      <c r="BH591" s="180"/>
      <c r="BI591" s="180"/>
      <c r="BJ591" s="180"/>
      <c r="BK591" s="180"/>
      <c r="BL591" s="180"/>
      <c r="BM591" s="180"/>
      <c r="BN591" s="180"/>
      <c r="BO591" s="180"/>
      <c r="BP591" s="180"/>
      <c r="BQ591" s="180"/>
      <c r="BR591" s="180"/>
      <c r="BS591" s="180"/>
      <c r="BT591" s="180"/>
      <c r="BU591" s="180"/>
      <c r="BV591" s="180"/>
      <c r="BW591" s="180"/>
      <c r="BX591" s="180"/>
      <c r="BY591" s="180"/>
      <c r="BZ591" s="180"/>
      <c r="CA591" s="180"/>
      <c r="CB591" s="180"/>
      <c r="CC591" s="180"/>
      <c r="CD591" s="180"/>
      <c r="CE591" s="180"/>
      <c r="CF591" s="180"/>
      <c r="CG591" s="180"/>
      <c r="CH591" s="180"/>
      <c r="CI591" s="180"/>
      <c r="CJ591" s="180"/>
      <c r="CK591" s="180"/>
      <c r="CL591" s="180"/>
      <c r="CM591" s="180"/>
      <c r="CN591" s="180"/>
      <c r="CO591" s="180"/>
      <c r="CP591" s="180"/>
      <c r="CQ591" s="180"/>
      <c r="CR591" s="180"/>
      <c r="CS591" s="180"/>
      <c r="CT591" s="180"/>
      <c r="CU591" s="180"/>
      <c r="CV591" s="180"/>
      <c r="CW591" s="180"/>
      <c r="CX591" s="180"/>
      <c r="CY591" s="180"/>
      <c r="CZ591" s="180"/>
      <c r="DA591" s="180"/>
      <c r="DB591" s="180"/>
    </row>
    <row r="592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0"/>
      <c r="AL592" s="180"/>
      <c r="AM592" s="180"/>
      <c r="AN592" s="180"/>
      <c r="AO592" s="180"/>
      <c r="AP592" s="180"/>
      <c r="AQ592" s="180"/>
      <c r="AR592" s="180"/>
      <c r="AS592" s="180"/>
      <c r="AT592" s="180"/>
      <c r="AU592" s="180"/>
      <c r="AV592" s="180"/>
      <c r="AW592" s="180"/>
      <c r="AX592" s="180"/>
      <c r="AY592" s="180"/>
      <c r="AZ592" s="180"/>
      <c r="BA592" s="180"/>
      <c r="BB592" s="180"/>
      <c r="BC592" s="180"/>
      <c r="BD592" s="180"/>
      <c r="BE592" s="180"/>
      <c r="BF592" s="180"/>
      <c r="BG592" s="180"/>
      <c r="BH592" s="180"/>
      <c r="BI592" s="180"/>
      <c r="BJ592" s="180"/>
      <c r="BK592" s="180"/>
      <c r="BL592" s="180"/>
      <c r="BM592" s="180"/>
      <c r="BN592" s="180"/>
      <c r="BO592" s="180"/>
      <c r="BP592" s="180"/>
      <c r="BQ592" s="180"/>
      <c r="BR592" s="180"/>
      <c r="BS592" s="180"/>
      <c r="BT592" s="180"/>
      <c r="BU592" s="180"/>
      <c r="BV592" s="180"/>
      <c r="BW592" s="180"/>
      <c r="BX592" s="180"/>
      <c r="BY592" s="180"/>
      <c r="BZ592" s="180"/>
      <c r="CA592" s="180"/>
      <c r="CB592" s="180"/>
      <c r="CC592" s="180"/>
      <c r="CD592" s="180"/>
      <c r="CE592" s="180"/>
      <c r="CF592" s="180"/>
      <c r="CG592" s="180"/>
      <c r="CH592" s="180"/>
      <c r="CI592" s="180"/>
      <c r="CJ592" s="180"/>
      <c r="CK592" s="180"/>
      <c r="CL592" s="180"/>
      <c r="CM592" s="180"/>
      <c r="CN592" s="180"/>
      <c r="CO592" s="180"/>
      <c r="CP592" s="180"/>
      <c r="CQ592" s="180"/>
      <c r="CR592" s="180"/>
      <c r="CS592" s="180"/>
      <c r="CT592" s="180"/>
      <c r="CU592" s="180"/>
      <c r="CV592" s="180"/>
      <c r="CW592" s="180"/>
      <c r="CX592" s="180"/>
      <c r="CY592" s="180"/>
      <c r="CZ592" s="180"/>
      <c r="DA592" s="180"/>
      <c r="DB592" s="180"/>
    </row>
    <row r="593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  <c r="AK593" s="180"/>
      <c r="AL593" s="180"/>
      <c r="AM593" s="180"/>
      <c r="AN593" s="180"/>
      <c r="AO593" s="180"/>
      <c r="AP593" s="180"/>
      <c r="AQ593" s="180"/>
      <c r="AR593" s="180"/>
      <c r="AS593" s="180"/>
      <c r="AT593" s="180"/>
      <c r="AU593" s="180"/>
      <c r="AV593" s="180"/>
      <c r="AW593" s="180"/>
      <c r="AX593" s="180"/>
      <c r="AY593" s="180"/>
      <c r="AZ593" s="180"/>
      <c r="BA593" s="180"/>
      <c r="BB593" s="180"/>
      <c r="BC593" s="180"/>
      <c r="BD593" s="180"/>
      <c r="BE593" s="180"/>
      <c r="BF593" s="180"/>
      <c r="BG593" s="180"/>
      <c r="BH593" s="180"/>
      <c r="BI593" s="180"/>
      <c r="BJ593" s="180"/>
      <c r="BK593" s="180"/>
      <c r="BL593" s="180"/>
      <c r="BM593" s="180"/>
      <c r="BN593" s="180"/>
      <c r="BO593" s="180"/>
      <c r="BP593" s="180"/>
      <c r="BQ593" s="180"/>
      <c r="BR593" s="180"/>
      <c r="BS593" s="180"/>
      <c r="BT593" s="180"/>
      <c r="BU593" s="180"/>
      <c r="BV593" s="180"/>
      <c r="BW593" s="180"/>
      <c r="BX593" s="180"/>
      <c r="BY593" s="180"/>
      <c r="BZ593" s="180"/>
      <c r="CA593" s="180"/>
      <c r="CB593" s="180"/>
      <c r="CC593" s="180"/>
      <c r="CD593" s="180"/>
      <c r="CE593" s="180"/>
      <c r="CF593" s="180"/>
      <c r="CG593" s="180"/>
      <c r="CH593" s="180"/>
      <c r="CI593" s="180"/>
      <c r="CJ593" s="180"/>
      <c r="CK593" s="180"/>
      <c r="CL593" s="180"/>
      <c r="CM593" s="180"/>
      <c r="CN593" s="180"/>
      <c r="CO593" s="180"/>
      <c r="CP593" s="180"/>
      <c r="CQ593" s="180"/>
      <c r="CR593" s="180"/>
      <c r="CS593" s="180"/>
      <c r="CT593" s="180"/>
      <c r="CU593" s="180"/>
      <c r="CV593" s="180"/>
      <c r="CW593" s="180"/>
      <c r="CX593" s="180"/>
      <c r="CY593" s="180"/>
      <c r="CZ593" s="180"/>
      <c r="DA593" s="180"/>
      <c r="DB593" s="180"/>
    </row>
    <row r="594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180"/>
      <c r="AP594" s="180"/>
      <c r="AQ594" s="180"/>
      <c r="AR594" s="180"/>
      <c r="AS594" s="180"/>
      <c r="AT594" s="180"/>
      <c r="AU594" s="180"/>
      <c r="AV594" s="180"/>
      <c r="AW594" s="180"/>
      <c r="AX594" s="180"/>
      <c r="AY594" s="180"/>
      <c r="AZ594" s="180"/>
      <c r="BA594" s="180"/>
      <c r="BB594" s="180"/>
      <c r="BC594" s="180"/>
      <c r="BD594" s="180"/>
      <c r="BE594" s="180"/>
      <c r="BF594" s="180"/>
      <c r="BG594" s="180"/>
      <c r="BH594" s="180"/>
      <c r="BI594" s="180"/>
      <c r="BJ594" s="180"/>
      <c r="BK594" s="180"/>
      <c r="BL594" s="180"/>
      <c r="BM594" s="180"/>
      <c r="BN594" s="180"/>
      <c r="BO594" s="180"/>
      <c r="BP594" s="180"/>
      <c r="BQ594" s="180"/>
      <c r="BR594" s="180"/>
      <c r="BS594" s="180"/>
      <c r="BT594" s="180"/>
      <c r="BU594" s="180"/>
      <c r="BV594" s="180"/>
      <c r="BW594" s="180"/>
      <c r="BX594" s="180"/>
      <c r="BY594" s="180"/>
      <c r="BZ594" s="180"/>
      <c r="CA594" s="180"/>
      <c r="CB594" s="180"/>
      <c r="CC594" s="180"/>
      <c r="CD594" s="180"/>
      <c r="CE594" s="180"/>
      <c r="CF594" s="180"/>
      <c r="CG594" s="180"/>
      <c r="CH594" s="180"/>
      <c r="CI594" s="180"/>
      <c r="CJ594" s="180"/>
      <c r="CK594" s="180"/>
      <c r="CL594" s="180"/>
      <c r="CM594" s="180"/>
      <c r="CN594" s="180"/>
      <c r="CO594" s="180"/>
      <c r="CP594" s="180"/>
      <c r="CQ594" s="180"/>
      <c r="CR594" s="180"/>
      <c r="CS594" s="180"/>
      <c r="CT594" s="180"/>
      <c r="CU594" s="180"/>
      <c r="CV594" s="180"/>
      <c r="CW594" s="180"/>
      <c r="CX594" s="180"/>
      <c r="CY594" s="180"/>
      <c r="CZ594" s="180"/>
      <c r="DA594" s="180"/>
      <c r="DB594" s="180"/>
    </row>
    <row r="595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180"/>
      <c r="AP595" s="180"/>
      <c r="AQ595" s="180"/>
      <c r="AR595" s="180"/>
      <c r="AS595" s="180"/>
      <c r="AT595" s="180"/>
      <c r="AU595" s="180"/>
      <c r="AV595" s="180"/>
      <c r="AW595" s="180"/>
      <c r="AX595" s="180"/>
      <c r="AY595" s="180"/>
      <c r="AZ595" s="180"/>
      <c r="BA595" s="180"/>
      <c r="BB595" s="180"/>
      <c r="BC595" s="180"/>
      <c r="BD595" s="180"/>
      <c r="BE595" s="180"/>
      <c r="BF595" s="180"/>
      <c r="BG595" s="180"/>
      <c r="BH595" s="180"/>
      <c r="BI595" s="180"/>
      <c r="BJ595" s="180"/>
      <c r="BK595" s="180"/>
      <c r="BL595" s="180"/>
      <c r="BM595" s="180"/>
      <c r="BN595" s="180"/>
      <c r="BO595" s="180"/>
      <c r="BP595" s="180"/>
      <c r="BQ595" s="180"/>
      <c r="BR595" s="180"/>
      <c r="BS595" s="180"/>
      <c r="BT595" s="180"/>
      <c r="BU595" s="180"/>
      <c r="BV595" s="180"/>
      <c r="BW595" s="180"/>
      <c r="BX595" s="180"/>
      <c r="BY595" s="180"/>
      <c r="BZ595" s="180"/>
      <c r="CA595" s="180"/>
      <c r="CB595" s="180"/>
      <c r="CC595" s="180"/>
      <c r="CD595" s="180"/>
      <c r="CE595" s="180"/>
      <c r="CF595" s="180"/>
      <c r="CG595" s="180"/>
      <c r="CH595" s="180"/>
      <c r="CI595" s="180"/>
      <c r="CJ595" s="180"/>
      <c r="CK595" s="180"/>
      <c r="CL595" s="180"/>
      <c r="CM595" s="180"/>
      <c r="CN595" s="180"/>
      <c r="CO595" s="180"/>
      <c r="CP595" s="180"/>
      <c r="CQ595" s="180"/>
      <c r="CR595" s="180"/>
      <c r="CS595" s="180"/>
      <c r="CT595" s="180"/>
      <c r="CU595" s="180"/>
      <c r="CV595" s="180"/>
      <c r="CW595" s="180"/>
      <c r="CX595" s="180"/>
      <c r="CY595" s="180"/>
      <c r="CZ595" s="180"/>
      <c r="DA595" s="180"/>
      <c r="DB595" s="180"/>
    </row>
    <row r="596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180"/>
      <c r="AN596" s="180"/>
      <c r="AO596" s="180"/>
      <c r="AP596" s="180"/>
      <c r="AQ596" s="180"/>
      <c r="AR596" s="180"/>
      <c r="AS596" s="180"/>
      <c r="AT596" s="180"/>
      <c r="AU596" s="180"/>
      <c r="AV596" s="180"/>
      <c r="AW596" s="180"/>
      <c r="AX596" s="180"/>
      <c r="AY596" s="180"/>
      <c r="AZ596" s="180"/>
      <c r="BA596" s="180"/>
      <c r="BB596" s="180"/>
      <c r="BC596" s="180"/>
      <c r="BD596" s="180"/>
      <c r="BE596" s="180"/>
      <c r="BF596" s="180"/>
      <c r="BG596" s="180"/>
      <c r="BH596" s="180"/>
      <c r="BI596" s="180"/>
      <c r="BJ596" s="180"/>
      <c r="BK596" s="180"/>
      <c r="BL596" s="180"/>
      <c r="BM596" s="180"/>
      <c r="BN596" s="180"/>
      <c r="BO596" s="180"/>
      <c r="BP596" s="180"/>
      <c r="BQ596" s="180"/>
      <c r="BR596" s="180"/>
      <c r="BS596" s="180"/>
      <c r="BT596" s="180"/>
      <c r="BU596" s="180"/>
      <c r="BV596" s="180"/>
      <c r="BW596" s="180"/>
      <c r="BX596" s="180"/>
      <c r="BY596" s="180"/>
      <c r="BZ596" s="180"/>
      <c r="CA596" s="180"/>
      <c r="CB596" s="180"/>
      <c r="CC596" s="180"/>
      <c r="CD596" s="180"/>
      <c r="CE596" s="180"/>
      <c r="CF596" s="180"/>
      <c r="CG596" s="180"/>
      <c r="CH596" s="180"/>
      <c r="CI596" s="180"/>
      <c r="CJ596" s="180"/>
      <c r="CK596" s="180"/>
      <c r="CL596" s="180"/>
      <c r="CM596" s="180"/>
      <c r="CN596" s="180"/>
      <c r="CO596" s="180"/>
      <c r="CP596" s="180"/>
      <c r="CQ596" s="180"/>
      <c r="CR596" s="180"/>
      <c r="CS596" s="180"/>
      <c r="CT596" s="180"/>
      <c r="CU596" s="180"/>
      <c r="CV596" s="180"/>
      <c r="CW596" s="180"/>
      <c r="CX596" s="180"/>
      <c r="CY596" s="180"/>
      <c r="CZ596" s="180"/>
      <c r="DA596" s="180"/>
      <c r="DB596" s="180"/>
    </row>
    <row r="597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0"/>
      <c r="AL597" s="180"/>
      <c r="AM597" s="180"/>
      <c r="AN597" s="180"/>
      <c r="AO597" s="180"/>
      <c r="AP597" s="180"/>
      <c r="AQ597" s="180"/>
      <c r="AR597" s="180"/>
      <c r="AS597" s="180"/>
      <c r="AT597" s="180"/>
      <c r="AU597" s="180"/>
      <c r="AV597" s="180"/>
      <c r="AW597" s="180"/>
      <c r="AX597" s="180"/>
      <c r="AY597" s="180"/>
      <c r="AZ597" s="180"/>
      <c r="BA597" s="180"/>
      <c r="BB597" s="180"/>
      <c r="BC597" s="180"/>
      <c r="BD597" s="180"/>
      <c r="BE597" s="180"/>
      <c r="BF597" s="180"/>
      <c r="BG597" s="180"/>
      <c r="BH597" s="180"/>
      <c r="BI597" s="180"/>
      <c r="BJ597" s="180"/>
      <c r="BK597" s="180"/>
      <c r="BL597" s="180"/>
      <c r="BM597" s="180"/>
      <c r="BN597" s="180"/>
      <c r="BO597" s="180"/>
      <c r="BP597" s="180"/>
      <c r="BQ597" s="180"/>
      <c r="BR597" s="180"/>
      <c r="BS597" s="180"/>
      <c r="BT597" s="180"/>
      <c r="BU597" s="180"/>
      <c r="BV597" s="180"/>
      <c r="BW597" s="180"/>
      <c r="BX597" s="180"/>
      <c r="BY597" s="180"/>
      <c r="BZ597" s="180"/>
      <c r="CA597" s="180"/>
      <c r="CB597" s="180"/>
      <c r="CC597" s="180"/>
      <c r="CD597" s="180"/>
      <c r="CE597" s="180"/>
      <c r="CF597" s="180"/>
      <c r="CG597" s="180"/>
      <c r="CH597" s="180"/>
      <c r="CI597" s="180"/>
      <c r="CJ597" s="180"/>
      <c r="CK597" s="180"/>
      <c r="CL597" s="180"/>
      <c r="CM597" s="180"/>
      <c r="CN597" s="180"/>
      <c r="CO597" s="180"/>
      <c r="CP597" s="180"/>
      <c r="CQ597" s="180"/>
      <c r="CR597" s="180"/>
      <c r="CS597" s="180"/>
      <c r="CT597" s="180"/>
      <c r="CU597" s="180"/>
      <c r="CV597" s="180"/>
      <c r="CW597" s="180"/>
      <c r="CX597" s="180"/>
      <c r="CY597" s="180"/>
      <c r="CZ597" s="180"/>
      <c r="DA597" s="180"/>
      <c r="DB597" s="180"/>
    </row>
    <row r="598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180"/>
      <c r="AP598" s="180"/>
      <c r="AQ598" s="180"/>
      <c r="AR598" s="180"/>
      <c r="AS598" s="180"/>
      <c r="AT598" s="180"/>
      <c r="AU598" s="180"/>
      <c r="AV598" s="180"/>
      <c r="AW598" s="180"/>
      <c r="AX598" s="180"/>
      <c r="AY598" s="180"/>
      <c r="AZ598" s="180"/>
      <c r="BA598" s="180"/>
      <c r="BB598" s="180"/>
      <c r="BC598" s="180"/>
      <c r="BD598" s="180"/>
      <c r="BE598" s="180"/>
      <c r="BF598" s="180"/>
      <c r="BG598" s="180"/>
      <c r="BH598" s="180"/>
      <c r="BI598" s="180"/>
      <c r="BJ598" s="180"/>
      <c r="BK598" s="180"/>
      <c r="BL598" s="180"/>
      <c r="BM598" s="180"/>
      <c r="BN598" s="180"/>
      <c r="BO598" s="180"/>
      <c r="BP598" s="180"/>
      <c r="BQ598" s="180"/>
      <c r="BR598" s="180"/>
      <c r="BS598" s="180"/>
      <c r="BT598" s="180"/>
      <c r="BU598" s="180"/>
      <c r="BV598" s="180"/>
      <c r="BW598" s="180"/>
      <c r="BX598" s="180"/>
      <c r="BY598" s="180"/>
      <c r="BZ598" s="180"/>
      <c r="CA598" s="180"/>
      <c r="CB598" s="180"/>
      <c r="CC598" s="180"/>
      <c r="CD598" s="180"/>
      <c r="CE598" s="180"/>
      <c r="CF598" s="180"/>
      <c r="CG598" s="180"/>
      <c r="CH598" s="180"/>
      <c r="CI598" s="180"/>
      <c r="CJ598" s="180"/>
      <c r="CK598" s="180"/>
      <c r="CL598" s="180"/>
      <c r="CM598" s="180"/>
      <c r="CN598" s="180"/>
      <c r="CO598" s="180"/>
      <c r="CP598" s="180"/>
      <c r="CQ598" s="180"/>
      <c r="CR598" s="180"/>
      <c r="CS598" s="180"/>
      <c r="CT598" s="180"/>
      <c r="CU598" s="180"/>
      <c r="CV598" s="180"/>
      <c r="CW598" s="180"/>
      <c r="CX598" s="180"/>
      <c r="CY598" s="180"/>
      <c r="CZ598" s="180"/>
      <c r="DA598" s="180"/>
      <c r="DB598" s="180"/>
    </row>
    <row r="599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0"/>
      <c r="AL599" s="180"/>
      <c r="AM599" s="180"/>
      <c r="AN599" s="180"/>
      <c r="AO599" s="180"/>
      <c r="AP599" s="180"/>
      <c r="AQ599" s="180"/>
      <c r="AR599" s="180"/>
      <c r="AS599" s="180"/>
      <c r="AT599" s="180"/>
      <c r="AU599" s="180"/>
      <c r="AV599" s="180"/>
      <c r="AW599" s="180"/>
      <c r="AX599" s="180"/>
      <c r="AY599" s="180"/>
      <c r="AZ599" s="180"/>
      <c r="BA599" s="180"/>
      <c r="BB599" s="180"/>
      <c r="BC599" s="180"/>
      <c r="BD599" s="180"/>
      <c r="BE599" s="180"/>
      <c r="BF599" s="180"/>
      <c r="BG599" s="180"/>
      <c r="BH599" s="180"/>
      <c r="BI599" s="180"/>
      <c r="BJ599" s="180"/>
      <c r="BK599" s="180"/>
      <c r="BL599" s="180"/>
      <c r="BM599" s="180"/>
      <c r="BN599" s="180"/>
      <c r="BO599" s="180"/>
      <c r="BP599" s="180"/>
      <c r="BQ599" s="180"/>
      <c r="BR599" s="180"/>
      <c r="BS599" s="180"/>
      <c r="BT599" s="180"/>
      <c r="BU599" s="180"/>
      <c r="BV599" s="180"/>
      <c r="BW599" s="180"/>
      <c r="BX599" s="180"/>
      <c r="BY599" s="180"/>
      <c r="BZ599" s="180"/>
      <c r="CA599" s="180"/>
      <c r="CB599" s="180"/>
      <c r="CC599" s="180"/>
      <c r="CD599" s="180"/>
      <c r="CE599" s="180"/>
      <c r="CF599" s="180"/>
      <c r="CG599" s="180"/>
      <c r="CH599" s="180"/>
      <c r="CI599" s="180"/>
      <c r="CJ599" s="180"/>
      <c r="CK599" s="180"/>
      <c r="CL599" s="180"/>
      <c r="CM599" s="180"/>
      <c r="CN599" s="180"/>
      <c r="CO599" s="180"/>
      <c r="CP599" s="180"/>
      <c r="CQ599" s="180"/>
      <c r="CR599" s="180"/>
      <c r="CS599" s="180"/>
      <c r="CT599" s="180"/>
      <c r="CU599" s="180"/>
      <c r="CV599" s="180"/>
      <c r="CW599" s="180"/>
      <c r="CX599" s="180"/>
      <c r="CY599" s="180"/>
      <c r="CZ599" s="180"/>
      <c r="DA599" s="180"/>
      <c r="DB599" s="180"/>
    </row>
    <row r="600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  <c r="AG600" s="180"/>
      <c r="AH600" s="180"/>
      <c r="AI600" s="180"/>
      <c r="AJ600" s="180"/>
      <c r="AK600" s="180"/>
      <c r="AL600" s="180"/>
      <c r="AM600" s="180"/>
      <c r="AN600" s="180"/>
      <c r="AO600" s="180"/>
      <c r="AP600" s="180"/>
      <c r="AQ600" s="180"/>
      <c r="AR600" s="180"/>
      <c r="AS600" s="180"/>
      <c r="AT600" s="180"/>
      <c r="AU600" s="180"/>
      <c r="AV600" s="180"/>
      <c r="AW600" s="180"/>
      <c r="AX600" s="180"/>
      <c r="AY600" s="180"/>
      <c r="AZ600" s="180"/>
      <c r="BA600" s="180"/>
      <c r="BB600" s="180"/>
      <c r="BC600" s="180"/>
      <c r="BD600" s="180"/>
      <c r="BE600" s="180"/>
      <c r="BF600" s="180"/>
      <c r="BG600" s="180"/>
      <c r="BH600" s="180"/>
      <c r="BI600" s="180"/>
      <c r="BJ600" s="180"/>
      <c r="BK600" s="180"/>
      <c r="BL600" s="180"/>
      <c r="BM600" s="180"/>
      <c r="BN600" s="180"/>
      <c r="BO600" s="180"/>
      <c r="BP600" s="180"/>
      <c r="BQ600" s="180"/>
      <c r="BR600" s="180"/>
      <c r="BS600" s="180"/>
      <c r="BT600" s="180"/>
      <c r="BU600" s="180"/>
      <c r="BV600" s="180"/>
      <c r="BW600" s="180"/>
      <c r="BX600" s="180"/>
      <c r="BY600" s="180"/>
      <c r="BZ600" s="180"/>
      <c r="CA600" s="180"/>
      <c r="CB600" s="180"/>
      <c r="CC600" s="180"/>
      <c r="CD600" s="180"/>
      <c r="CE600" s="180"/>
      <c r="CF600" s="180"/>
      <c r="CG600" s="180"/>
      <c r="CH600" s="180"/>
      <c r="CI600" s="180"/>
      <c r="CJ600" s="180"/>
      <c r="CK600" s="180"/>
      <c r="CL600" s="180"/>
      <c r="CM600" s="180"/>
      <c r="CN600" s="180"/>
      <c r="CO600" s="180"/>
      <c r="CP600" s="180"/>
      <c r="CQ600" s="180"/>
      <c r="CR600" s="180"/>
      <c r="CS600" s="180"/>
      <c r="CT600" s="180"/>
      <c r="CU600" s="180"/>
      <c r="CV600" s="180"/>
      <c r="CW600" s="180"/>
      <c r="CX600" s="180"/>
      <c r="CY600" s="180"/>
      <c r="CZ600" s="180"/>
      <c r="DA600" s="180"/>
      <c r="DB600" s="180"/>
    </row>
    <row r="601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  <c r="AK601" s="180"/>
      <c r="AL601" s="180"/>
      <c r="AM601" s="180"/>
      <c r="AN601" s="180"/>
      <c r="AO601" s="180"/>
      <c r="AP601" s="180"/>
      <c r="AQ601" s="180"/>
      <c r="AR601" s="180"/>
      <c r="AS601" s="180"/>
      <c r="AT601" s="180"/>
      <c r="AU601" s="180"/>
      <c r="AV601" s="180"/>
      <c r="AW601" s="180"/>
      <c r="AX601" s="180"/>
      <c r="AY601" s="180"/>
      <c r="AZ601" s="180"/>
      <c r="BA601" s="180"/>
      <c r="BB601" s="180"/>
      <c r="BC601" s="180"/>
      <c r="BD601" s="180"/>
      <c r="BE601" s="180"/>
      <c r="BF601" s="180"/>
      <c r="BG601" s="180"/>
      <c r="BH601" s="180"/>
      <c r="BI601" s="180"/>
      <c r="BJ601" s="180"/>
      <c r="BK601" s="180"/>
      <c r="BL601" s="180"/>
      <c r="BM601" s="180"/>
      <c r="BN601" s="180"/>
      <c r="BO601" s="180"/>
      <c r="BP601" s="180"/>
      <c r="BQ601" s="180"/>
      <c r="BR601" s="180"/>
      <c r="BS601" s="180"/>
      <c r="BT601" s="180"/>
      <c r="BU601" s="180"/>
      <c r="BV601" s="180"/>
      <c r="BW601" s="180"/>
      <c r="BX601" s="180"/>
      <c r="BY601" s="180"/>
      <c r="BZ601" s="180"/>
      <c r="CA601" s="180"/>
      <c r="CB601" s="180"/>
      <c r="CC601" s="180"/>
      <c r="CD601" s="180"/>
      <c r="CE601" s="180"/>
      <c r="CF601" s="180"/>
      <c r="CG601" s="180"/>
      <c r="CH601" s="180"/>
      <c r="CI601" s="180"/>
      <c r="CJ601" s="180"/>
      <c r="CK601" s="180"/>
      <c r="CL601" s="180"/>
      <c r="CM601" s="180"/>
      <c r="CN601" s="180"/>
      <c r="CO601" s="180"/>
      <c r="CP601" s="180"/>
      <c r="CQ601" s="180"/>
      <c r="CR601" s="180"/>
      <c r="CS601" s="180"/>
      <c r="CT601" s="180"/>
      <c r="CU601" s="180"/>
      <c r="CV601" s="180"/>
      <c r="CW601" s="180"/>
      <c r="CX601" s="180"/>
      <c r="CY601" s="180"/>
      <c r="CZ601" s="180"/>
      <c r="DA601" s="180"/>
      <c r="DB601" s="180"/>
    </row>
    <row r="602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0"/>
      <c r="AL602" s="180"/>
      <c r="AM602" s="180"/>
      <c r="AN602" s="180"/>
      <c r="AO602" s="180"/>
      <c r="AP602" s="180"/>
      <c r="AQ602" s="180"/>
      <c r="AR602" s="180"/>
      <c r="AS602" s="180"/>
      <c r="AT602" s="180"/>
      <c r="AU602" s="180"/>
      <c r="AV602" s="180"/>
      <c r="AW602" s="180"/>
      <c r="AX602" s="180"/>
      <c r="AY602" s="180"/>
      <c r="AZ602" s="180"/>
      <c r="BA602" s="180"/>
      <c r="BB602" s="180"/>
      <c r="BC602" s="180"/>
      <c r="BD602" s="180"/>
      <c r="BE602" s="180"/>
      <c r="BF602" s="180"/>
      <c r="BG602" s="180"/>
      <c r="BH602" s="180"/>
      <c r="BI602" s="180"/>
      <c r="BJ602" s="180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180"/>
      <c r="BV602" s="180"/>
      <c r="BW602" s="180"/>
      <c r="BX602" s="180"/>
      <c r="BY602" s="180"/>
      <c r="BZ602" s="180"/>
      <c r="CA602" s="180"/>
      <c r="CB602" s="180"/>
      <c r="CC602" s="180"/>
      <c r="CD602" s="180"/>
      <c r="CE602" s="180"/>
      <c r="CF602" s="180"/>
      <c r="CG602" s="180"/>
      <c r="CH602" s="180"/>
      <c r="CI602" s="180"/>
      <c r="CJ602" s="180"/>
      <c r="CK602" s="180"/>
      <c r="CL602" s="180"/>
      <c r="CM602" s="180"/>
      <c r="CN602" s="180"/>
      <c r="CO602" s="180"/>
      <c r="CP602" s="180"/>
      <c r="CQ602" s="180"/>
      <c r="CR602" s="180"/>
      <c r="CS602" s="180"/>
      <c r="CT602" s="180"/>
      <c r="CU602" s="180"/>
      <c r="CV602" s="180"/>
      <c r="CW602" s="180"/>
      <c r="CX602" s="180"/>
      <c r="CY602" s="180"/>
      <c r="CZ602" s="180"/>
      <c r="DA602" s="180"/>
      <c r="DB602" s="180"/>
    </row>
    <row r="603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/>
      <c r="AJ603" s="180"/>
      <c r="AK603" s="180"/>
      <c r="AL603" s="180"/>
      <c r="AM603" s="180"/>
      <c r="AN603" s="180"/>
      <c r="AO603" s="180"/>
      <c r="AP603" s="180"/>
      <c r="AQ603" s="180"/>
      <c r="AR603" s="180"/>
      <c r="AS603" s="180"/>
      <c r="AT603" s="180"/>
      <c r="AU603" s="180"/>
      <c r="AV603" s="180"/>
      <c r="AW603" s="180"/>
      <c r="AX603" s="180"/>
      <c r="AY603" s="180"/>
      <c r="AZ603" s="180"/>
      <c r="BA603" s="180"/>
      <c r="BB603" s="180"/>
      <c r="BC603" s="180"/>
      <c r="BD603" s="180"/>
      <c r="BE603" s="180"/>
      <c r="BF603" s="180"/>
      <c r="BG603" s="180"/>
      <c r="BH603" s="180"/>
      <c r="BI603" s="180"/>
      <c r="BJ603" s="180"/>
      <c r="BK603" s="180"/>
      <c r="BL603" s="180"/>
      <c r="BM603" s="180"/>
      <c r="BN603" s="180"/>
      <c r="BO603" s="180"/>
      <c r="BP603" s="180"/>
      <c r="BQ603" s="180"/>
      <c r="BR603" s="180"/>
      <c r="BS603" s="180"/>
      <c r="BT603" s="180"/>
      <c r="BU603" s="180"/>
      <c r="BV603" s="180"/>
      <c r="BW603" s="180"/>
      <c r="BX603" s="180"/>
      <c r="BY603" s="180"/>
      <c r="BZ603" s="180"/>
      <c r="CA603" s="180"/>
      <c r="CB603" s="180"/>
      <c r="CC603" s="180"/>
      <c r="CD603" s="180"/>
      <c r="CE603" s="180"/>
      <c r="CF603" s="180"/>
      <c r="CG603" s="180"/>
      <c r="CH603" s="180"/>
      <c r="CI603" s="180"/>
      <c r="CJ603" s="180"/>
      <c r="CK603" s="180"/>
      <c r="CL603" s="180"/>
      <c r="CM603" s="180"/>
      <c r="CN603" s="180"/>
      <c r="CO603" s="180"/>
      <c r="CP603" s="180"/>
      <c r="CQ603" s="180"/>
      <c r="CR603" s="180"/>
      <c r="CS603" s="180"/>
      <c r="CT603" s="180"/>
      <c r="CU603" s="180"/>
      <c r="CV603" s="180"/>
      <c r="CW603" s="180"/>
      <c r="CX603" s="180"/>
      <c r="CY603" s="180"/>
      <c r="CZ603" s="180"/>
      <c r="DA603" s="180"/>
      <c r="DB603" s="180"/>
    </row>
    <row r="604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  <c r="AK604" s="180"/>
      <c r="AL604" s="180"/>
      <c r="AM604" s="180"/>
      <c r="AN604" s="180"/>
      <c r="AO604" s="180"/>
      <c r="AP604" s="180"/>
      <c r="AQ604" s="180"/>
      <c r="AR604" s="180"/>
      <c r="AS604" s="180"/>
      <c r="AT604" s="180"/>
      <c r="AU604" s="180"/>
      <c r="AV604" s="180"/>
      <c r="AW604" s="180"/>
      <c r="AX604" s="180"/>
      <c r="AY604" s="180"/>
      <c r="AZ604" s="180"/>
      <c r="BA604" s="180"/>
      <c r="BB604" s="180"/>
      <c r="BC604" s="180"/>
      <c r="BD604" s="180"/>
      <c r="BE604" s="180"/>
      <c r="BF604" s="180"/>
      <c r="BG604" s="180"/>
      <c r="BH604" s="180"/>
      <c r="BI604" s="180"/>
      <c r="BJ604" s="180"/>
      <c r="BK604" s="180"/>
      <c r="BL604" s="180"/>
      <c r="BM604" s="180"/>
      <c r="BN604" s="180"/>
      <c r="BO604" s="180"/>
      <c r="BP604" s="180"/>
      <c r="BQ604" s="180"/>
      <c r="BR604" s="180"/>
      <c r="BS604" s="180"/>
      <c r="BT604" s="180"/>
      <c r="BU604" s="180"/>
      <c r="BV604" s="180"/>
      <c r="BW604" s="180"/>
      <c r="BX604" s="180"/>
      <c r="BY604" s="180"/>
      <c r="BZ604" s="180"/>
      <c r="CA604" s="180"/>
      <c r="CB604" s="180"/>
      <c r="CC604" s="180"/>
      <c r="CD604" s="180"/>
      <c r="CE604" s="180"/>
      <c r="CF604" s="180"/>
      <c r="CG604" s="180"/>
      <c r="CH604" s="180"/>
      <c r="CI604" s="180"/>
      <c r="CJ604" s="180"/>
      <c r="CK604" s="180"/>
      <c r="CL604" s="180"/>
      <c r="CM604" s="180"/>
      <c r="CN604" s="180"/>
      <c r="CO604" s="180"/>
      <c r="CP604" s="180"/>
      <c r="CQ604" s="180"/>
      <c r="CR604" s="180"/>
      <c r="CS604" s="180"/>
      <c r="CT604" s="180"/>
      <c r="CU604" s="180"/>
      <c r="CV604" s="180"/>
      <c r="CW604" s="180"/>
      <c r="CX604" s="180"/>
      <c r="CY604" s="180"/>
      <c r="CZ604" s="180"/>
      <c r="DA604" s="180"/>
      <c r="DB604" s="180"/>
    </row>
    <row r="605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  <c r="BA605" s="180"/>
      <c r="BB605" s="180"/>
      <c r="BC605" s="180"/>
      <c r="BD605" s="180"/>
      <c r="BE605" s="180"/>
      <c r="BF605" s="180"/>
      <c r="BG605" s="180"/>
      <c r="BH605" s="180"/>
      <c r="BI605" s="180"/>
      <c r="BJ605" s="180"/>
      <c r="BK605" s="180"/>
      <c r="BL605" s="180"/>
      <c r="BM605" s="180"/>
      <c r="BN605" s="180"/>
      <c r="BO605" s="180"/>
      <c r="BP605" s="180"/>
      <c r="BQ605" s="180"/>
      <c r="BR605" s="180"/>
      <c r="BS605" s="180"/>
      <c r="BT605" s="180"/>
      <c r="BU605" s="180"/>
      <c r="BV605" s="180"/>
      <c r="BW605" s="180"/>
      <c r="BX605" s="180"/>
      <c r="BY605" s="180"/>
      <c r="BZ605" s="180"/>
      <c r="CA605" s="180"/>
      <c r="CB605" s="180"/>
      <c r="CC605" s="180"/>
      <c r="CD605" s="180"/>
      <c r="CE605" s="180"/>
      <c r="CF605" s="180"/>
      <c r="CG605" s="180"/>
      <c r="CH605" s="180"/>
      <c r="CI605" s="180"/>
      <c r="CJ605" s="180"/>
      <c r="CK605" s="180"/>
      <c r="CL605" s="180"/>
      <c r="CM605" s="180"/>
      <c r="CN605" s="180"/>
      <c r="CO605" s="180"/>
      <c r="CP605" s="180"/>
      <c r="CQ605" s="180"/>
      <c r="CR605" s="180"/>
      <c r="CS605" s="180"/>
      <c r="CT605" s="180"/>
      <c r="CU605" s="180"/>
      <c r="CV605" s="180"/>
      <c r="CW605" s="180"/>
      <c r="CX605" s="180"/>
      <c r="CY605" s="180"/>
      <c r="CZ605" s="180"/>
      <c r="DA605" s="180"/>
      <c r="DB605" s="180"/>
    </row>
    <row r="606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  <c r="AG606" s="180"/>
      <c r="AH606" s="180"/>
      <c r="AI606" s="180"/>
      <c r="AJ606" s="180"/>
      <c r="AK606" s="180"/>
      <c r="AL606" s="180"/>
      <c r="AM606" s="180"/>
      <c r="AN606" s="180"/>
      <c r="AO606" s="180"/>
      <c r="AP606" s="180"/>
      <c r="AQ606" s="180"/>
      <c r="AR606" s="180"/>
      <c r="AS606" s="180"/>
      <c r="AT606" s="180"/>
      <c r="AU606" s="180"/>
      <c r="AV606" s="180"/>
      <c r="AW606" s="180"/>
      <c r="AX606" s="180"/>
      <c r="AY606" s="180"/>
      <c r="AZ606" s="180"/>
      <c r="BA606" s="180"/>
      <c r="BB606" s="180"/>
      <c r="BC606" s="180"/>
      <c r="BD606" s="180"/>
      <c r="BE606" s="180"/>
      <c r="BF606" s="180"/>
      <c r="BG606" s="180"/>
      <c r="BH606" s="180"/>
      <c r="BI606" s="180"/>
      <c r="BJ606" s="180"/>
      <c r="BK606" s="180"/>
      <c r="BL606" s="180"/>
      <c r="BM606" s="180"/>
      <c r="BN606" s="180"/>
      <c r="BO606" s="180"/>
      <c r="BP606" s="180"/>
      <c r="BQ606" s="180"/>
      <c r="BR606" s="180"/>
      <c r="BS606" s="180"/>
      <c r="BT606" s="180"/>
      <c r="BU606" s="180"/>
      <c r="BV606" s="180"/>
      <c r="BW606" s="180"/>
      <c r="BX606" s="180"/>
      <c r="BY606" s="180"/>
      <c r="BZ606" s="180"/>
      <c r="CA606" s="180"/>
      <c r="CB606" s="180"/>
      <c r="CC606" s="180"/>
      <c r="CD606" s="180"/>
      <c r="CE606" s="180"/>
      <c r="CF606" s="180"/>
      <c r="CG606" s="180"/>
      <c r="CH606" s="180"/>
      <c r="CI606" s="180"/>
      <c r="CJ606" s="180"/>
      <c r="CK606" s="180"/>
      <c r="CL606" s="180"/>
      <c r="CM606" s="180"/>
      <c r="CN606" s="180"/>
      <c r="CO606" s="180"/>
      <c r="CP606" s="180"/>
      <c r="CQ606" s="180"/>
      <c r="CR606" s="180"/>
      <c r="CS606" s="180"/>
      <c r="CT606" s="180"/>
      <c r="CU606" s="180"/>
      <c r="CV606" s="180"/>
      <c r="CW606" s="180"/>
      <c r="CX606" s="180"/>
      <c r="CY606" s="180"/>
      <c r="CZ606" s="180"/>
      <c r="DA606" s="180"/>
      <c r="DB606" s="180"/>
    </row>
    <row r="607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  <c r="AU607" s="180"/>
      <c r="AV607" s="180"/>
      <c r="AW607" s="180"/>
      <c r="AX607" s="180"/>
      <c r="AY607" s="180"/>
      <c r="AZ607" s="180"/>
      <c r="BA607" s="180"/>
      <c r="BB607" s="180"/>
      <c r="BC607" s="180"/>
      <c r="BD607" s="180"/>
      <c r="BE607" s="180"/>
      <c r="BF607" s="180"/>
      <c r="BG607" s="180"/>
      <c r="BH607" s="180"/>
      <c r="BI607" s="180"/>
      <c r="BJ607" s="180"/>
      <c r="BK607" s="180"/>
      <c r="BL607" s="180"/>
      <c r="BM607" s="180"/>
      <c r="BN607" s="180"/>
      <c r="BO607" s="180"/>
      <c r="BP607" s="180"/>
      <c r="BQ607" s="180"/>
      <c r="BR607" s="180"/>
      <c r="BS607" s="180"/>
      <c r="BT607" s="180"/>
      <c r="BU607" s="180"/>
      <c r="BV607" s="180"/>
      <c r="BW607" s="180"/>
      <c r="BX607" s="180"/>
      <c r="BY607" s="180"/>
      <c r="BZ607" s="180"/>
      <c r="CA607" s="180"/>
      <c r="CB607" s="180"/>
      <c r="CC607" s="180"/>
      <c r="CD607" s="180"/>
      <c r="CE607" s="180"/>
      <c r="CF607" s="180"/>
      <c r="CG607" s="180"/>
      <c r="CH607" s="180"/>
      <c r="CI607" s="180"/>
      <c r="CJ607" s="180"/>
      <c r="CK607" s="180"/>
      <c r="CL607" s="180"/>
      <c r="CM607" s="180"/>
      <c r="CN607" s="180"/>
      <c r="CO607" s="180"/>
      <c r="CP607" s="180"/>
      <c r="CQ607" s="180"/>
      <c r="CR607" s="180"/>
      <c r="CS607" s="180"/>
      <c r="CT607" s="180"/>
      <c r="CU607" s="180"/>
      <c r="CV607" s="180"/>
      <c r="CW607" s="180"/>
      <c r="CX607" s="180"/>
      <c r="CY607" s="180"/>
      <c r="CZ607" s="180"/>
      <c r="DA607" s="180"/>
      <c r="DB607" s="180"/>
    </row>
    <row r="608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  <c r="BA608" s="180"/>
      <c r="BB608" s="180"/>
      <c r="BC608" s="180"/>
      <c r="BD608" s="180"/>
      <c r="BE608" s="180"/>
      <c r="BF608" s="180"/>
      <c r="BG608" s="180"/>
      <c r="BH608" s="180"/>
      <c r="BI608" s="180"/>
      <c r="BJ608" s="180"/>
      <c r="BK608" s="180"/>
      <c r="BL608" s="180"/>
      <c r="BM608" s="180"/>
      <c r="BN608" s="180"/>
      <c r="BO608" s="180"/>
      <c r="BP608" s="180"/>
      <c r="BQ608" s="180"/>
      <c r="BR608" s="180"/>
      <c r="BS608" s="180"/>
      <c r="BT608" s="180"/>
      <c r="BU608" s="180"/>
      <c r="BV608" s="180"/>
      <c r="BW608" s="180"/>
      <c r="BX608" s="180"/>
      <c r="BY608" s="180"/>
      <c r="BZ608" s="180"/>
      <c r="CA608" s="180"/>
      <c r="CB608" s="180"/>
      <c r="CC608" s="180"/>
      <c r="CD608" s="180"/>
      <c r="CE608" s="180"/>
      <c r="CF608" s="180"/>
      <c r="CG608" s="180"/>
      <c r="CH608" s="180"/>
      <c r="CI608" s="180"/>
      <c r="CJ608" s="180"/>
      <c r="CK608" s="180"/>
      <c r="CL608" s="180"/>
      <c r="CM608" s="180"/>
      <c r="CN608" s="180"/>
      <c r="CO608" s="180"/>
      <c r="CP608" s="180"/>
      <c r="CQ608" s="180"/>
      <c r="CR608" s="180"/>
      <c r="CS608" s="180"/>
      <c r="CT608" s="180"/>
      <c r="CU608" s="180"/>
      <c r="CV608" s="180"/>
      <c r="CW608" s="180"/>
      <c r="CX608" s="180"/>
      <c r="CY608" s="180"/>
      <c r="CZ608" s="180"/>
      <c r="DA608" s="180"/>
      <c r="DB608" s="180"/>
    </row>
    <row r="609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  <c r="AU609" s="180"/>
      <c r="AV609" s="180"/>
      <c r="AW609" s="180"/>
      <c r="AX609" s="180"/>
      <c r="AY609" s="180"/>
      <c r="AZ609" s="180"/>
      <c r="BA609" s="180"/>
      <c r="BB609" s="180"/>
      <c r="BC609" s="180"/>
      <c r="BD609" s="180"/>
      <c r="BE609" s="180"/>
      <c r="BF609" s="180"/>
      <c r="BG609" s="180"/>
      <c r="BH609" s="180"/>
      <c r="BI609" s="180"/>
      <c r="BJ609" s="180"/>
      <c r="BK609" s="180"/>
      <c r="BL609" s="180"/>
      <c r="BM609" s="180"/>
      <c r="BN609" s="180"/>
      <c r="BO609" s="180"/>
      <c r="BP609" s="180"/>
      <c r="BQ609" s="180"/>
      <c r="BR609" s="180"/>
      <c r="BS609" s="180"/>
      <c r="BT609" s="180"/>
      <c r="BU609" s="180"/>
      <c r="BV609" s="180"/>
      <c r="BW609" s="180"/>
      <c r="BX609" s="180"/>
      <c r="BY609" s="180"/>
      <c r="BZ609" s="180"/>
      <c r="CA609" s="180"/>
      <c r="CB609" s="180"/>
      <c r="CC609" s="180"/>
      <c r="CD609" s="180"/>
      <c r="CE609" s="180"/>
      <c r="CF609" s="180"/>
      <c r="CG609" s="180"/>
      <c r="CH609" s="180"/>
      <c r="CI609" s="180"/>
      <c r="CJ609" s="180"/>
      <c r="CK609" s="180"/>
      <c r="CL609" s="180"/>
      <c r="CM609" s="180"/>
      <c r="CN609" s="180"/>
      <c r="CO609" s="180"/>
      <c r="CP609" s="180"/>
      <c r="CQ609" s="180"/>
      <c r="CR609" s="180"/>
      <c r="CS609" s="180"/>
      <c r="CT609" s="180"/>
      <c r="CU609" s="180"/>
      <c r="CV609" s="180"/>
      <c r="CW609" s="180"/>
      <c r="CX609" s="180"/>
      <c r="CY609" s="180"/>
      <c r="CZ609" s="180"/>
      <c r="DA609" s="180"/>
      <c r="DB609" s="180"/>
    </row>
    <row r="610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  <c r="AU610" s="180"/>
      <c r="AV610" s="180"/>
      <c r="AW610" s="180"/>
      <c r="AX610" s="180"/>
      <c r="AY610" s="180"/>
      <c r="AZ610" s="180"/>
      <c r="BA610" s="180"/>
      <c r="BB610" s="180"/>
      <c r="BC610" s="180"/>
      <c r="BD610" s="180"/>
      <c r="BE610" s="180"/>
      <c r="BF610" s="180"/>
      <c r="BG610" s="180"/>
      <c r="BH610" s="180"/>
      <c r="BI610" s="180"/>
      <c r="BJ610" s="180"/>
      <c r="BK610" s="180"/>
      <c r="BL610" s="180"/>
      <c r="BM610" s="180"/>
      <c r="BN610" s="180"/>
      <c r="BO610" s="180"/>
      <c r="BP610" s="180"/>
      <c r="BQ610" s="180"/>
      <c r="BR610" s="180"/>
      <c r="BS610" s="180"/>
      <c r="BT610" s="180"/>
      <c r="BU610" s="180"/>
      <c r="BV610" s="180"/>
      <c r="BW610" s="180"/>
      <c r="BX610" s="180"/>
      <c r="BY610" s="180"/>
      <c r="BZ610" s="180"/>
      <c r="CA610" s="180"/>
      <c r="CB610" s="180"/>
      <c r="CC610" s="180"/>
      <c r="CD610" s="180"/>
      <c r="CE610" s="180"/>
      <c r="CF610" s="180"/>
      <c r="CG610" s="180"/>
      <c r="CH610" s="180"/>
      <c r="CI610" s="180"/>
      <c r="CJ610" s="180"/>
      <c r="CK610" s="180"/>
      <c r="CL610" s="180"/>
      <c r="CM610" s="180"/>
      <c r="CN610" s="180"/>
      <c r="CO610" s="180"/>
      <c r="CP610" s="180"/>
      <c r="CQ610" s="180"/>
      <c r="CR610" s="180"/>
      <c r="CS610" s="180"/>
      <c r="CT610" s="180"/>
      <c r="CU610" s="180"/>
      <c r="CV610" s="180"/>
      <c r="CW610" s="180"/>
      <c r="CX610" s="180"/>
      <c r="CY610" s="180"/>
      <c r="CZ610" s="180"/>
      <c r="DA610" s="180"/>
      <c r="DB610" s="180"/>
    </row>
    <row r="611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  <c r="AU611" s="180"/>
      <c r="AV611" s="180"/>
      <c r="AW611" s="180"/>
      <c r="AX611" s="180"/>
      <c r="AY611" s="180"/>
      <c r="AZ611" s="180"/>
      <c r="BA611" s="180"/>
      <c r="BB611" s="180"/>
      <c r="BC611" s="180"/>
      <c r="BD611" s="180"/>
      <c r="BE611" s="180"/>
      <c r="BF611" s="180"/>
      <c r="BG611" s="180"/>
      <c r="BH611" s="180"/>
      <c r="BI611" s="180"/>
      <c r="BJ611" s="180"/>
      <c r="BK611" s="180"/>
      <c r="BL611" s="180"/>
      <c r="BM611" s="180"/>
      <c r="BN611" s="180"/>
      <c r="BO611" s="180"/>
      <c r="BP611" s="180"/>
      <c r="BQ611" s="180"/>
      <c r="BR611" s="180"/>
      <c r="BS611" s="180"/>
      <c r="BT611" s="180"/>
      <c r="BU611" s="180"/>
      <c r="BV611" s="180"/>
      <c r="BW611" s="180"/>
      <c r="BX611" s="180"/>
      <c r="BY611" s="180"/>
      <c r="BZ611" s="180"/>
      <c r="CA611" s="180"/>
      <c r="CB611" s="180"/>
      <c r="CC611" s="180"/>
      <c r="CD611" s="180"/>
      <c r="CE611" s="180"/>
      <c r="CF611" s="180"/>
      <c r="CG611" s="180"/>
      <c r="CH611" s="180"/>
      <c r="CI611" s="180"/>
      <c r="CJ611" s="180"/>
      <c r="CK611" s="180"/>
      <c r="CL611" s="180"/>
      <c r="CM611" s="180"/>
      <c r="CN611" s="180"/>
      <c r="CO611" s="180"/>
      <c r="CP611" s="180"/>
      <c r="CQ611" s="180"/>
      <c r="CR611" s="180"/>
      <c r="CS611" s="180"/>
      <c r="CT611" s="180"/>
      <c r="CU611" s="180"/>
      <c r="CV611" s="180"/>
      <c r="CW611" s="180"/>
      <c r="CX611" s="180"/>
      <c r="CY611" s="180"/>
      <c r="CZ611" s="180"/>
      <c r="DA611" s="180"/>
      <c r="DB611" s="180"/>
    </row>
    <row r="612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  <c r="AU612" s="180"/>
      <c r="AV612" s="180"/>
      <c r="AW612" s="180"/>
      <c r="AX612" s="180"/>
      <c r="AY612" s="180"/>
      <c r="AZ612" s="180"/>
      <c r="BA612" s="180"/>
      <c r="BB612" s="180"/>
      <c r="BC612" s="180"/>
      <c r="BD612" s="180"/>
      <c r="BE612" s="180"/>
      <c r="BF612" s="180"/>
      <c r="BG612" s="180"/>
      <c r="BH612" s="180"/>
      <c r="BI612" s="180"/>
      <c r="BJ612" s="180"/>
      <c r="BK612" s="180"/>
      <c r="BL612" s="180"/>
      <c r="BM612" s="180"/>
      <c r="BN612" s="180"/>
      <c r="BO612" s="180"/>
      <c r="BP612" s="180"/>
      <c r="BQ612" s="180"/>
      <c r="BR612" s="180"/>
      <c r="BS612" s="180"/>
      <c r="BT612" s="180"/>
      <c r="BU612" s="180"/>
      <c r="BV612" s="180"/>
      <c r="BW612" s="180"/>
      <c r="BX612" s="180"/>
      <c r="BY612" s="180"/>
      <c r="BZ612" s="180"/>
      <c r="CA612" s="180"/>
      <c r="CB612" s="180"/>
      <c r="CC612" s="180"/>
      <c r="CD612" s="180"/>
      <c r="CE612" s="180"/>
      <c r="CF612" s="180"/>
      <c r="CG612" s="180"/>
      <c r="CH612" s="180"/>
      <c r="CI612" s="180"/>
      <c r="CJ612" s="180"/>
      <c r="CK612" s="180"/>
      <c r="CL612" s="180"/>
      <c r="CM612" s="180"/>
      <c r="CN612" s="180"/>
      <c r="CO612" s="180"/>
      <c r="CP612" s="180"/>
      <c r="CQ612" s="180"/>
      <c r="CR612" s="180"/>
      <c r="CS612" s="180"/>
      <c r="CT612" s="180"/>
      <c r="CU612" s="180"/>
      <c r="CV612" s="180"/>
      <c r="CW612" s="180"/>
      <c r="CX612" s="180"/>
      <c r="CY612" s="180"/>
      <c r="CZ612" s="180"/>
      <c r="DA612" s="180"/>
      <c r="DB612" s="180"/>
    </row>
    <row r="613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  <c r="AU613" s="180"/>
      <c r="AV613" s="180"/>
      <c r="AW613" s="180"/>
      <c r="AX613" s="180"/>
      <c r="AY613" s="180"/>
      <c r="AZ613" s="180"/>
      <c r="BA613" s="180"/>
      <c r="BB613" s="180"/>
      <c r="BC613" s="180"/>
      <c r="BD613" s="180"/>
      <c r="BE613" s="180"/>
      <c r="BF613" s="180"/>
      <c r="BG613" s="180"/>
      <c r="BH613" s="180"/>
      <c r="BI613" s="180"/>
      <c r="BJ613" s="180"/>
      <c r="BK613" s="180"/>
      <c r="BL613" s="180"/>
      <c r="BM613" s="180"/>
      <c r="BN613" s="180"/>
      <c r="BO613" s="180"/>
      <c r="BP613" s="180"/>
      <c r="BQ613" s="180"/>
      <c r="BR613" s="180"/>
      <c r="BS613" s="180"/>
      <c r="BT613" s="180"/>
      <c r="BU613" s="180"/>
      <c r="BV613" s="180"/>
      <c r="BW613" s="180"/>
      <c r="BX613" s="180"/>
      <c r="BY613" s="180"/>
      <c r="BZ613" s="180"/>
      <c r="CA613" s="180"/>
      <c r="CB613" s="180"/>
      <c r="CC613" s="180"/>
      <c r="CD613" s="180"/>
      <c r="CE613" s="180"/>
      <c r="CF613" s="180"/>
      <c r="CG613" s="180"/>
      <c r="CH613" s="180"/>
      <c r="CI613" s="180"/>
      <c r="CJ613" s="180"/>
      <c r="CK613" s="180"/>
      <c r="CL613" s="180"/>
      <c r="CM613" s="180"/>
      <c r="CN613" s="180"/>
      <c r="CO613" s="180"/>
      <c r="CP613" s="180"/>
      <c r="CQ613" s="180"/>
      <c r="CR613" s="180"/>
      <c r="CS613" s="180"/>
      <c r="CT613" s="180"/>
      <c r="CU613" s="180"/>
      <c r="CV613" s="180"/>
      <c r="CW613" s="180"/>
      <c r="CX613" s="180"/>
      <c r="CY613" s="180"/>
      <c r="CZ613" s="180"/>
      <c r="DA613" s="180"/>
      <c r="DB613" s="180"/>
    </row>
    <row r="614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  <c r="AU614" s="180"/>
      <c r="AV614" s="180"/>
      <c r="AW614" s="180"/>
      <c r="AX614" s="180"/>
      <c r="AY614" s="180"/>
      <c r="AZ614" s="180"/>
      <c r="BA614" s="180"/>
      <c r="BB614" s="180"/>
      <c r="BC614" s="180"/>
      <c r="BD614" s="180"/>
      <c r="BE614" s="180"/>
      <c r="BF614" s="180"/>
      <c r="BG614" s="180"/>
      <c r="BH614" s="180"/>
      <c r="BI614" s="180"/>
      <c r="BJ614" s="180"/>
      <c r="BK614" s="180"/>
      <c r="BL614" s="180"/>
      <c r="BM614" s="180"/>
      <c r="BN614" s="180"/>
      <c r="BO614" s="180"/>
      <c r="BP614" s="180"/>
      <c r="BQ614" s="180"/>
      <c r="BR614" s="180"/>
      <c r="BS614" s="180"/>
      <c r="BT614" s="180"/>
      <c r="BU614" s="180"/>
      <c r="BV614" s="180"/>
      <c r="BW614" s="180"/>
      <c r="BX614" s="180"/>
      <c r="BY614" s="180"/>
      <c r="BZ614" s="180"/>
      <c r="CA614" s="180"/>
      <c r="CB614" s="180"/>
      <c r="CC614" s="180"/>
      <c r="CD614" s="180"/>
      <c r="CE614" s="180"/>
      <c r="CF614" s="180"/>
      <c r="CG614" s="180"/>
      <c r="CH614" s="180"/>
      <c r="CI614" s="180"/>
      <c r="CJ614" s="180"/>
      <c r="CK614" s="180"/>
      <c r="CL614" s="180"/>
      <c r="CM614" s="180"/>
      <c r="CN614" s="180"/>
      <c r="CO614" s="180"/>
      <c r="CP614" s="180"/>
      <c r="CQ614" s="180"/>
      <c r="CR614" s="180"/>
      <c r="CS614" s="180"/>
      <c r="CT614" s="180"/>
      <c r="CU614" s="180"/>
      <c r="CV614" s="180"/>
      <c r="CW614" s="180"/>
      <c r="CX614" s="180"/>
      <c r="CY614" s="180"/>
      <c r="CZ614" s="180"/>
      <c r="DA614" s="180"/>
      <c r="DB614" s="180"/>
    </row>
    <row r="615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  <c r="BA615" s="180"/>
      <c r="BB615" s="180"/>
      <c r="BC615" s="180"/>
      <c r="BD615" s="180"/>
      <c r="BE615" s="180"/>
      <c r="BF615" s="180"/>
      <c r="BG615" s="180"/>
      <c r="BH615" s="180"/>
      <c r="BI615" s="180"/>
      <c r="BJ615" s="180"/>
      <c r="BK615" s="180"/>
      <c r="BL615" s="180"/>
      <c r="BM615" s="180"/>
      <c r="BN615" s="180"/>
      <c r="BO615" s="180"/>
      <c r="BP615" s="180"/>
      <c r="BQ615" s="180"/>
      <c r="BR615" s="180"/>
      <c r="BS615" s="180"/>
      <c r="BT615" s="180"/>
      <c r="BU615" s="180"/>
      <c r="BV615" s="180"/>
      <c r="BW615" s="180"/>
      <c r="BX615" s="180"/>
      <c r="BY615" s="180"/>
      <c r="BZ615" s="180"/>
      <c r="CA615" s="180"/>
      <c r="CB615" s="180"/>
      <c r="CC615" s="180"/>
      <c r="CD615" s="180"/>
      <c r="CE615" s="180"/>
      <c r="CF615" s="180"/>
      <c r="CG615" s="180"/>
      <c r="CH615" s="180"/>
      <c r="CI615" s="180"/>
      <c r="CJ615" s="180"/>
      <c r="CK615" s="180"/>
      <c r="CL615" s="180"/>
      <c r="CM615" s="180"/>
      <c r="CN615" s="180"/>
      <c r="CO615" s="180"/>
      <c r="CP615" s="180"/>
      <c r="CQ615" s="180"/>
      <c r="CR615" s="180"/>
      <c r="CS615" s="180"/>
      <c r="CT615" s="180"/>
      <c r="CU615" s="180"/>
      <c r="CV615" s="180"/>
      <c r="CW615" s="180"/>
      <c r="CX615" s="180"/>
      <c r="CY615" s="180"/>
      <c r="CZ615" s="180"/>
      <c r="DA615" s="180"/>
      <c r="DB615" s="180"/>
    </row>
    <row r="616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  <c r="BA616" s="180"/>
      <c r="BB616" s="180"/>
      <c r="BC616" s="180"/>
      <c r="BD616" s="180"/>
      <c r="BE616" s="180"/>
      <c r="BF616" s="180"/>
      <c r="BG616" s="180"/>
      <c r="BH616" s="180"/>
      <c r="BI616" s="180"/>
      <c r="BJ616" s="180"/>
      <c r="BK616" s="180"/>
      <c r="BL616" s="180"/>
      <c r="BM616" s="180"/>
      <c r="BN616" s="180"/>
      <c r="BO616" s="180"/>
      <c r="BP616" s="180"/>
      <c r="BQ616" s="180"/>
      <c r="BR616" s="180"/>
      <c r="BS616" s="180"/>
      <c r="BT616" s="180"/>
      <c r="BU616" s="180"/>
      <c r="BV616" s="180"/>
      <c r="BW616" s="180"/>
      <c r="BX616" s="180"/>
      <c r="BY616" s="180"/>
      <c r="BZ616" s="180"/>
      <c r="CA616" s="180"/>
      <c r="CB616" s="180"/>
      <c r="CC616" s="180"/>
      <c r="CD616" s="180"/>
      <c r="CE616" s="180"/>
      <c r="CF616" s="180"/>
      <c r="CG616" s="180"/>
      <c r="CH616" s="180"/>
      <c r="CI616" s="180"/>
      <c r="CJ616" s="180"/>
      <c r="CK616" s="180"/>
      <c r="CL616" s="180"/>
      <c r="CM616" s="180"/>
      <c r="CN616" s="180"/>
      <c r="CO616" s="180"/>
      <c r="CP616" s="180"/>
      <c r="CQ616" s="180"/>
      <c r="CR616" s="180"/>
      <c r="CS616" s="180"/>
      <c r="CT616" s="180"/>
      <c r="CU616" s="180"/>
      <c r="CV616" s="180"/>
      <c r="CW616" s="180"/>
      <c r="CX616" s="180"/>
      <c r="CY616" s="180"/>
      <c r="CZ616" s="180"/>
      <c r="DA616" s="180"/>
      <c r="DB616" s="180"/>
    </row>
    <row r="617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  <c r="BA617" s="180"/>
      <c r="BB617" s="180"/>
      <c r="BC617" s="180"/>
      <c r="BD617" s="180"/>
      <c r="BE617" s="180"/>
      <c r="BF617" s="180"/>
      <c r="BG617" s="180"/>
      <c r="BH617" s="180"/>
      <c r="BI617" s="180"/>
      <c r="BJ617" s="180"/>
      <c r="BK617" s="180"/>
      <c r="BL617" s="180"/>
      <c r="BM617" s="180"/>
      <c r="BN617" s="180"/>
      <c r="BO617" s="180"/>
      <c r="BP617" s="180"/>
      <c r="BQ617" s="180"/>
      <c r="BR617" s="180"/>
      <c r="BS617" s="180"/>
      <c r="BT617" s="180"/>
      <c r="BU617" s="180"/>
      <c r="BV617" s="180"/>
      <c r="BW617" s="180"/>
      <c r="BX617" s="180"/>
      <c r="BY617" s="180"/>
      <c r="BZ617" s="180"/>
      <c r="CA617" s="180"/>
      <c r="CB617" s="180"/>
      <c r="CC617" s="180"/>
      <c r="CD617" s="180"/>
      <c r="CE617" s="180"/>
      <c r="CF617" s="180"/>
      <c r="CG617" s="180"/>
      <c r="CH617" s="180"/>
      <c r="CI617" s="180"/>
      <c r="CJ617" s="180"/>
      <c r="CK617" s="180"/>
      <c r="CL617" s="180"/>
      <c r="CM617" s="180"/>
      <c r="CN617" s="180"/>
      <c r="CO617" s="180"/>
      <c r="CP617" s="180"/>
      <c r="CQ617" s="180"/>
      <c r="CR617" s="180"/>
      <c r="CS617" s="180"/>
      <c r="CT617" s="180"/>
      <c r="CU617" s="180"/>
      <c r="CV617" s="180"/>
      <c r="CW617" s="180"/>
      <c r="CX617" s="180"/>
      <c r="CY617" s="180"/>
      <c r="CZ617" s="180"/>
      <c r="DA617" s="180"/>
      <c r="DB617" s="180"/>
    </row>
    <row r="618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  <c r="BA618" s="180"/>
      <c r="BB618" s="180"/>
      <c r="BC618" s="180"/>
      <c r="BD618" s="180"/>
      <c r="BE618" s="180"/>
      <c r="BF618" s="180"/>
      <c r="BG618" s="180"/>
      <c r="BH618" s="180"/>
      <c r="BI618" s="180"/>
      <c r="BJ618" s="180"/>
      <c r="BK618" s="180"/>
      <c r="BL618" s="180"/>
      <c r="BM618" s="180"/>
      <c r="BN618" s="180"/>
      <c r="BO618" s="180"/>
      <c r="BP618" s="180"/>
      <c r="BQ618" s="180"/>
      <c r="BR618" s="180"/>
      <c r="BS618" s="180"/>
      <c r="BT618" s="180"/>
      <c r="BU618" s="180"/>
      <c r="BV618" s="180"/>
      <c r="BW618" s="180"/>
      <c r="BX618" s="180"/>
      <c r="BY618" s="180"/>
      <c r="BZ618" s="180"/>
      <c r="CA618" s="180"/>
      <c r="CB618" s="180"/>
      <c r="CC618" s="180"/>
      <c r="CD618" s="180"/>
      <c r="CE618" s="180"/>
      <c r="CF618" s="180"/>
      <c r="CG618" s="180"/>
      <c r="CH618" s="180"/>
      <c r="CI618" s="180"/>
      <c r="CJ618" s="180"/>
      <c r="CK618" s="180"/>
      <c r="CL618" s="180"/>
      <c r="CM618" s="180"/>
      <c r="CN618" s="180"/>
      <c r="CO618" s="180"/>
      <c r="CP618" s="180"/>
      <c r="CQ618" s="180"/>
      <c r="CR618" s="180"/>
      <c r="CS618" s="180"/>
      <c r="CT618" s="180"/>
      <c r="CU618" s="180"/>
      <c r="CV618" s="180"/>
      <c r="CW618" s="180"/>
      <c r="CX618" s="180"/>
      <c r="CY618" s="180"/>
      <c r="CZ618" s="180"/>
      <c r="DA618" s="180"/>
      <c r="DB618" s="180"/>
    </row>
    <row r="619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  <c r="BA619" s="180"/>
      <c r="BB619" s="180"/>
      <c r="BC619" s="180"/>
      <c r="BD619" s="180"/>
      <c r="BE619" s="180"/>
      <c r="BF619" s="180"/>
      <c r="BG619" s="180"/>
      <c r="BH619" s="180"/>
      <c r="BI619" s="180"/>
      <c r="BJ619" s="180"/>
      <c r="BK619" s="180"/>
      <c r="BL619" s="180"/>
      <c r="BM619" s="180"/>
      <c r="BN619" s="180"/>
      <c r="BO619" s="180"/>
      <c r="BP619" s="180"/>
      <c r="BQ619" s="180"/>
      <c r="BR619" s="180"/>
      <c r="BS619" s="180"/>
      <c r="BT619" s="180"/>
      <c r="BU619" s="180"/>
      <c r="BV619" s="180"/>
      <c r="BW619" s="180"/>
      <c r="BX619" s="180"/>
      <c r="BY619" s="180"/>
      <c r="BZ619" s="180"/>
      <c r="CA619" s="180"/>
      <c r="CB619" s="180"/>
      <c r="CC619" s="180"/>
      <c r="CD619" s="180"/>
      <c r="CE619" s="180"/>
      <c r="CF619" s="180"/>
      <c r="CG619" s="180"/>
      <c r="CH619" s="180"/>
      <c r="CI619" s="180"/>
      <c r="CJ619" s="180"/>
      <c r="CK619" s="180"/>
      <c r="CL619" s="180"/>
      <c r="CM619" s="180"/>
      <c r="CN619" s="180"/>
      <c r="CO619" s="180"/>
      <c r="CP619" s="180"/>
      <c r="CQ619" s="180"/>
      <c r="CR619" s="180"/>
      <c r="CS619" s="180"/>
      <c r="CT619" s="180"/>
      <c r="CU619" s="180"/>
      <c r="CV619" s="180"/>
      <c r="CW619" s="180"/>
      <c r="CX619" s="180"/>
      <c r="CY619" s="180"/>
      <c r="CZ619" s="180"/>
      <c r="DA619" s="180"/>
      <c r="DB619" s="180"/>
    </row>
    <row r="620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  <c r="BA620" s="180"/>
      <c r="BB620" s="180"/>
      <c r="BC620" s="180"/>
      <c r="BD620" s="180"/>
      <c r="BE620" s="180"/>
      <c r="BF620" s="180"/>
      <c r="BG620" s="180"/>
      <c r="BH620" s="180"/>
      <c r="BI620" s="180"/>
      <c r="BJ620" s="180"/>
      <c r="BK620" s="180"/>
      <c r="BL620" s="180"/>
      <c r="BM620" s="180"/>
      <c r="BN620" s="180"/>
      <c r="BO620" s="180"/>
      <c r="BP620" s="180"/>
      <c r="BQ620" s="180"/>
      <c r="BR620" s="180"/>
      <c r="BS620" s="180"/>
      <c r="BT620" s="180"/>
      <c r="BU620" s="180"/>
      <c r="BV620" s="180"/>
      <c r="BW620" s="180"/>
      <c r="BX620" s="180"/>
      <c r="BY620" s="180"/>
      <c r="BZ620" s="180"/>
      <c r="CA620" s="180"/>
      <c r="CB620" s="180"/>
      <c r="CC620" s="180"/>
      <c r="CD620" s="180"/>
      <c r="CE620" s="180"/>
      <c r="CF620" s="180"/>
      <c r="CG620" s="180"/>
      <c r="CH620" s="180"/>
      <c r="CI620" s="180"/>
      <c r="CJ620" s="180"/>
      <c r="CK620" s="180"/>
      <c r="CL620" s="180"/>
      <c r="CM620" s="180"/>
      <c r="CN620" s="180"/>
      <c r="CO620" s="180"/>
      <c r="CP620" s="180"/>
      <c r="CQ620" s="180"/>
      <c r="CR620" s="180"/>
      <c r="CS620" s="180"/>
      <c r="CT620" s="180"/>
      <c r="CU620" s="180"/>
      <c r="CV620" s="180"/>
      <c r="CW620" s="180"/>
      <c r="CX620" s="180"/>
      <c r="CY620" s="180"/>
      <c r="CZ620" s="180"/>
      <c r="DA620" s="180"/>
      <c r="DB620" s="180"/>
    </row>
    <row r="621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  <c r="BA621" s="180"/>
      <c r="BB621" s="180"/>
      <c r="BC621" s="180"/>
      <c r="BD621" s="180"/>
      <c r="BE621" s="180"/>
      <c r="BF621" s="180"/>
      <c r="BG621" s="180"/>
      <c r="BH621" s="180"/>
      <c r="BI621" s="180"/>
      <c r="BJ621" s="180"/>
      <c r="BK621" s="180"/>
      <c r="BL621" s="180"/>
      <c r="BM621" s="180"/>
      <c r="BN621" s="180"/>
      <c r="BO621" s="180"/>
      <c r="BP621" s="180"/>
      <c r="BQ621" s="180"/>
      <c r="BR621" s="180"/>
      <c r="BS621" s="180"/>
      <c r="BT621" s="180"/>
      <c r="BU621" s="180"/>
      <c r="BV621" s="180"/>
      <c r="BW621" s="180"/>
      <c r="BX621" s="180"/>
      <c r="BY621" s="180"/>
      <c r="BZ621" s="180"/>
      <c r="CA621" s="180"/>
      <c r="CB621" s="180"/>
      <c r="CC621" s="180"/>
      <c r="CD621" s="180"/>
      <c r="CE621" s="180"/>
      <c r="CF621" s="180"/>
      <c r="CG621" s="180"/>
      <c r="CH621" s="180"/>
      <c r="CI621" s="180"/>
      <c r="CJ621" s="180"/>
      <c r="CK621" s="180"/>
      <c r="CL621" s="180"/>
      <c r="CM621" s="180"/>
      <c r="CN621" s="180"/>
      <c r="CO621" s="180"/>
      <c r="CP621" s="180"/>
      <c r="CQ621" s="180"/>
      <c r="CR621" s="180"/>
      <c r="CS621" s="180"/>
      <c r="CT621" s="180"/>
      <c r="CU621" s="180"/>
      <c r="CV621" s="180"/>
      <c r="CW621" s="180"/>
      <c r="CX621" s="180"/>
      <c r="CY621" s="180"/>
      <c r="CZ621" s="180"/>
      <c r="DA621" s="180"/>
      <c r="DB621" s="180"/>
    </row>
    <row r="622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  <c r="BA622" s="180"/>
      <c r="BB622" s="180"/>
      <c r="BC622" s="180"/>
      <c r="BD622" s="180"/>
      <c r="BE622" s="180"/>
      <c r="BF622" s="180"/>
      <c r="BG622" s="180"/>
      <c r="BH622" s="180"/>
      <c r="BI622" s="180"/>
      <c r="BJ622" s="180"/>
      <c r="BK622" s="180"/>
      <c r="BL622" s="180"/>
      <c r="BM622" s="180"/>
      <c r="BN622" s="180"/>
      <c r="BO622" s="180"/>
      <c r="BP622" s="180"/>
      <c r="BQ622" s="180"/>
      <c r="BR622" s="180"/>
      <c r="BS622" s="180"/>
      <c r="BT622" s="180"/>
      <c r="BU622" s="180"/>
      <c r="BV622" s="180"/>
      <c r="BW622" s="180"/>
      <c r="BX622" s="180"/>
      <c r="BY622" s="180"/>
      <c r="BZ622" s="180"/>
      <c r="CA622" s="180"/>
      <c r="CB622" s="180"/>
      <c r="CC622" s="180"/>
      <c r="CD622" s="180"/>
      <c r="CE622" s="180"/>
      <c r="CF622" s="180"/>
      <c r="CG622" s="180"/>
      <c r="CH622" s="180"/>
      <c r="CI622" s="180"/>
      <c r="CJ622" s="180"/>
      <c r="CK622" s="180"/>
      <c r="CL622" s="180"/>
      <c r="CM622" s="180"/>
      <c r="CN622" s="180"/>
      <c r="CO622" s="180"/>
      <c r="CP622" s="180"/>
      <c r="CQ622" s="180"/>
      <c r="CR622" s="180"/>
      <c r="CS622" s="180"/>
      <c r="CT622" s="180"/>
      <c r="CU622" s="180"/>
      <c r="CV622" s="180"/>
      <c r="CW622" s="180"/>
      <c r="CX622" s="180"/>
      <c r="CY622" s="180"/>
      <c r="CZ622" s="180"/>
      <c r="DA622" s="180"/>
      <c r="DB622" s="180"/>
    </row>
    <row r="623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  <c r="BA623" s="180"/>
      <c r="BB623" s="180"/>
      <c r="BC623" s="180"/>
      <c r="BD623" s="180"/>
      <c r="BE623" s="180"/>
      <c r="BF623" s="180"/>
      <c r="BG623" s="180"/>
      <c r="BH623" s="180"/>
      <c r="BI623" s="180"/>
      <c r="BJ623" s="180"/>
      <c r="BK623" s="180"/>
      <c r="BL623" s="180"/>
      <c r="BM623" s="180"/>
      <c r="BN623" s="180"/>
      <c r="BO623" s="180"/>
      <c r="BP623" s="180"/>
      <c r="BQ623" s="180"/>
      <c r="BR623" s="180"/>
      <c r="BS623" s="180"/>
      <c r="BT623" s="180"/>
      <c r="BU623" s="180"/>
      <c r="BV623" s="180"/>
      <c r="BW623" s="180"/>
      <c r="BX623" s="180"/>
      <c r="BY623" s="180"/>
      <c r="BZ623" s="180"/>
      <c r="CA623" s="180"/>
      <c r="CB623" s="180"/>
      <c r="CC623" s="180"/>
      <c r="CD623" s="180"/>
      <c r="CE623" s="180"/>
      <c r="CF623" s="180"/>
      <c r="CG623" s="180"/>
      <c r="CH623" s="180"/>
      <c r="CI623" s="180"/>
      <c r="CJ623" s="180"/>
      <c r="CK623" s="180"/>
      <c r="CL623" s="180"/>
      <c r="CM623" s="180"/>
      <c r="CN623" s="180"/>
      <c r="CO623" s="180"/>
      <c r="CP623" s="180"/>
      <c r="CQ623" s="180"/>
      <c r="CR623" s="180"/>
      <c r="CS623" s="180"/>
      <c r="CT623" s="180"/>
      <c r="CU623" s="180"/>
      <c r="CV623" s="180"/>
      <c r="CW623" s="180"/>
      <c r="CX623" s="180"/>
      <c r="CY623" s="180"/>
      <c r="CZ623" s="180"/>
      <c r="DA623" s="180"/>
      <c r="DB623" s="180"/>
    </row>
    <row r="624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  <c r="AU624" s="180"/>
      <c r="AV624" s="180"/>
      <c r="AW624" s="180"/>
      <c r="AX624" s="180"/>
      <c r="AY624" s="180"/>
      <c r="AZ624" s="180"/>
      <c r="BA624" s="180"/>
      <c r="BB624" s="180"/>
      <c r="BC624" s="180"/>
      <c r="BD624" s="180"/>
      <c r="BE624" s="180"/>
      <c r="BF624" s="180"/>
      <c r="BG624" s="180"/>
      <c r="BH624" s="180"/>
      <c r="BI624" s="180"/>
      <c r="BJ624" s="180"/>
      <c r="BK624" s="180"/>
      <c r="BL624" s="180"/>
      <c r="BM624" s="180"/>
      <c r="BN624" s="180"/>
      <c r="BO624" s="180"/>
      <c r="BP624" s="180"/>
      <c r="BQ624" s="180"/>
      <c r="BR624" s="180"/>
      <c r="BS624" s="180"/>
      <c r="BT624" s="180"/>
      <c r="BU624" s="180"/>
      <c r="BV624" s="180"/>
      <c r="BW624" s="180"/>
      <c r="BX624" s="180"/>
      <c r="BY624" s="180"/>
      <c r="BZ624" s="180"/>
      <c r="CA624" s="180"/>
      <c r="CB624" s="180"/>
      <c r="CC624" s="180"/>
      <c r="CD624" s="180"/>
      <c r="CE624" s="180"/>
      <c r="CF624" s="180"/>
      <c r="CG624" s="180"/>
      <c r="CH624" s="180"/>
      <c r="CI624" s="180"/>
      <c r="CJ624" s="180"/>
      <c r="CK624" s="180"/>
      <c r="CL624" s="180"/>
      <c r="CM624" s="180"/>
      <c r="CN624" s="180"/>
      <c r="CO624" s="180"/>
      <c r="CP624" s="180"/>
      <c r="CQ624" s="180"/>
      <c r="CR624" s="180"/>
      <c r="CS624" s="180"/>
      <c r="CT624" s="180"/>
      <c r="CU624" s="180"/>
      <c r="CV624" s="180"/>
      <c r="CW624" s="180"/>
      <c r="CX624" s="180"/>
      <c r="CY624" s="180"/>
      <c r="CZ624" s="180"/>
      <c r="DA624" s="180"/>
      <c r="DB624" s="180"/>
    </row>
    <row r="625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  <c r="AU625" s="180"/>
      <c r="AV625" s="180"/>
      <c r="AW625" s="180"/>
      <c r="AX625" s="180"/>
      <c r="AY625" s="180"/>
      <c r="AZ625" s="180"/>
      <c r="BA625" s="180"/>
      <c r="BB625" s="180"/>
      <c r="BC625" s="180"/>
      <c r="BD625" s="180"/>
      <c r="BE625" s="180"/>
      <c r="BF625" s="180"/>
      <c r="BG625" s="180"/>
      <c r="BH625" s="180"/>
      <c r="BI625" s="180"/>
      <c r="BJ625" s="180"/>
      <c r="BK625" s="180"/>
      <c r="BL625" s="180"/>
      <c r="BM625" s="180"/>
      <c r="BN625" s="180"/>
      <c r="BO625" s="180"/>
      <c r="BP625" s="180"/>
      <c r="BQ625" s="180"/>
      <c r="BR625" s="180"/>
      <c r="BS625" s="180"/>
      <c r="BT625" s="180"/>
      <c r="BU625" s="180"/>
      <c r="BV625" s="180"/>
      <c r="BW625" s="180"/>
      <c r="BX625" s="180"/>
      <c r="BY625" s="180"/>
      <c r="BZ625" s="180"/>
      <c r="CA625" s="180"/>
      <c r="CB625" s="180"/>
      <c r="CC625" s="180"/>
      <c r="CD625" s="180"/>
      <c r="CE625" s="180"/>
      <c r="CF625" s="180"/>
      <c r="CG625" s="180"/>
      <c r="CH625" s="180"/>
      <c r="CI625" s="180"/>
      <c r="CJ625" s="180"/>
      <c r="CK625" s="180"/>
      <c r="CL625" s="180"/>
      <c r="CM625" s="180"/>
      <c r="CN625" s="180"/>
      <c r="CO625" s="180"/>
      <c r="CP625" s="180"/>
      <c r="CQ625" s="180"/>
      <c r="CR625" s="180"/>
      <c r="CS625" s="180"/>
      <c r="CT625" s="180"/>
      <c r="CU625" s="180"/>
      <c r="CV625" s="180"/>
      <c r="CW625" s="180"/>
      <c r="CX625" s="180"/>
      <c r="CY625" s="180"/>
      <c r="CZ625" s="180"/>
      <c r="DA625" s="180"/>
      <c r="DB625" s="180"/>
    </row>
    <row r="626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  <c r="AU626" s="180"/>
      <c r="AV626" s="180"/>
      <c r="AW626" s="180"/>
      <c r="AX626" s="180"/>
      <c r="AY626" s="180"/>
      <c r="AZ626" s="180"/>
      <c r="BA626" s="180"/>
      <c r="BB626" s="180"/>
      <c r="BC626" s="180"/>
      <c r="BD626" s="180"/>
      <c r="BE626" s="180"/>
      <c r="BF626" s="180"/>
      <c r="BG626" s="180"/>
      <c r="BH626" s="180"/>
      <c r="BI626" s="180"/>
      <c r="BJ626" s="180"/>
      <c r="BK626" s="180"/>
      <c r="BL626" s="180"/>
      <c r="BM626" s="180"/>
      <c r="BN626" s="180"/>
      <c r="BO626" s="180"/>
      <c r="BP626" s="180"/>
      <c r="BQ626" s="180"/>
      <c r="BR626" s="180"/>
      <c r="BS626" s="180"/>
      <c r="BT626" s="180"/>
      <c r="BU626" s="180"/>
      <c r="BV626" s="180"/>
      <c r="BW626" s="180"/>
      <c r="BX626" s="180"/>
      <c r="BY626" s="180"/>
      <c r="BZ626" s="180"/>
      <c r="CA626" s="180"/>
      <c r="CB626" s="180"/>
      <c r="CC626" s="180"/>
      <c r="CD626" s="180"/>
      <c r="CE626" s="180"/>
      <c r="CF626" s="180"/>
      <c r="CG626" s="180"/>
      <c r="CH626" s="180"/>
      <c r="CI626" s="180"/>
      <c r="CJ626" s="180"/>
      <c r="CK626" s="180"/>
      <c r="CL626" s="180"/>
      <c r="CM626" s="180"/>
      <c r="CN626" s="180"/>
      <c r="CO626" s="180"/>
      <c r="CP626" s="180"/>
      <c r="CQ626" s="180"/>
      <c r="CR626" s="180"/>
      <c r="CS626" s="180"/>
      <c r="CT626" s="180"/>
      <c r="CU626" s="180"/>
      <c r="CV626" s="180"/>
      <c r="CW626" s="180"/>
      <c r="CX626" s="180"/>
      <c r="CY626" s="180"/>
      <c r="CZ626" s="180"/>
      <c r="DA626" s="180"/>
      <c r="DB626" s="180"/>
    </row>
    <row r="627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  <c r="BA627" s="180"/>
      <c r="BB627" s="180"/>
      <c r="BC627" s="180"/>
      <c r="BD627" s="180"/>
      <c r="BE627" s="180"/>
      <c r="BF627" s="180"/>
      <c r="BG627" s="180"/>
      <c r="BH627" s="180"/>
      <c r="BI627" s="180"/>
      <c r="BJ627" s="180"/>
      <c r="BK627" s="180"/>
      <c r="BL627" s="180"/>
      <c r="BM627" s="180"/>
      <c r="BN627" s="180"/>
      <c r="BO627" s="180"/>
      <c r="BP627" s="180"/>
      <c r="BQ627" s="180"/>
      <c r="BR627" s="180"/>
      <c r="BS627" s="180"/>
      <c r="BT627" s="180"/>
      <c r="BU627" s="180"/>
      <c r="BV627" s="180"/>
      <c r="BW627" s="180"/>
      <c r="BX627" s="180"/>
      <c r="BY627" s="180"/>
      <c r="BZ627" s="180"/>
      <c r="CA627" s="180"/>
      <c r="CB627" s="180"/>
      <c r="CC627" s="180"/>
      <c r="CD627" s="180"/>
      <c r="CE627" s="180"/>
      <c r="CF627" s="180"/>
      <c r="CG627" s="180"/>
      <c r="CH627" s="180"/>
      <c r="CI627" s="180"/>
      <c r="CJ627" s="180"/>
      <c r="CK627" s="180"/>
      <c r="CL627" s="180"/>
      <c r="CM627" s="180"/>
      <c r="CN627" s="180"/>
      <c r="CO627" s="180"/>
      <c r="CP627" s="180"/>
      <c r="CQ627" s="180"/>
      <c r="CR627" s="180"/>
      <c r="CS627" s="180"/>
      <c r="CT627" s="180"/>
      <c r="CU627" s="180"/>
      <c r="CV627" s="180"/>
      <c r="CW627" s="180"/>
      <c r="CX627" s="180"/>
      <c r="CY627" s="180"/>
      <c r="CZ627" s="180"/>
      <c r="DA627" s="180"/>
      <c r="DB627" s="180"/>
    </row>
    <row r="628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180"/>
      <c r="AW628" s="180"/>
      <c r="AX628" s="180"/>
      <c r="AY628" s="180"/>
      <c r="AZ628" s="180"/>
      <c r="BA628" s="180"/>
      <c r="BB628" s="180"/>
      <c r="BC628" s="180"/>
      <c r="BD628" s="180"/>
      <c r="BE628" s="180"/>
      <c r="BF628" s="180"/>
      <c r="BG628" s="180"/>
      <c r="BH628" s="180"/>
      <c r="BI628" s="180"/>
      <c r="BJ628" s="180"/>
      <c r="BK628" s="180"/>
      <c r="BL628" s="180"/>
      <c r="BM628" s="180"/>
      <c r="BN628" s="180"/>
      <c r="BO628" s="180"/>
      <c r="BP628" s="180"/>
      <c r="BQ628" s="180"/>
      <c r="BR628" s="180"/>
      <c r="BS628" s="180"/>
      <c r="BT628" s="180"/>
      <c r="BU628" s="180"/>
      <c r="BV628" s="180"/>
      <c r="BW628" s="180"/>
      <c r="BX628" s="180"/>
      <c r="BY628" s="180"/>
      <c r="BZ628" s="180"/>
      <c r="CA628" s="180"/>
      <c r="CB628" s="180"/>
      <c r="CC628" s="180"/>
      <c r="CD628" s="180"/>
      <c r="CE628" s="180"/>
      <c r="CF628" s="180"/>
      <c r="CG628" s="180"/>
      <c r="CH628" s="180"/>
      <c r="CI628" s="180"/>
      <c r="CJ628" s="180"/>
      <c r="CK628" s="180"/>
      <c r="CL628" s="180"/>
      <c r="CM628" s="180"/>
      <c r="CN628" s="180"/>
      <c r="CO628" s="180"/>
      <c r="CP628" s="180"/>
      <c r="CQ628" s="180"/>
      <c r="CR628" s="180"/>
      <c r="CS628" s="180"/>
      <c r="CT628" s="180"/>
      <c r="CU628" s="180"/>
      <c r="CV628" s="180"/>
      <c r="CW628" s="180"/>
      <c r="CX628" s="180"/>
      <c r="CY628" s="180"/>
      <c r="CZ628" s="180"/>
      <c r="DA628" s="180"/>
      <c r="DB628" s="180"/>
    </row>
    <row r="629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  <c r="K629" s="180"/>
      <c r="L629" s="180"/>
      <c r="M629" s="180"/>
      <c r="N629" s="180"/>
      <c r="O629" s="180"/>
      <c r="P629" s="180"/>
      <c r="Q629" s="180"/>
      <c r="R629" s="180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180"/>
      <c r="AP629" s="180"/>
      <c r="AQ629" s="180"/>
      <c r="AR629" s="180"/>
      <c r="AS629" s="180"/>
      <c r="AT629" s="180"/>
      <c r="AU629" s="180"/>
      <c r="AV629" s="180"/>
      <c r="AW629" s="180"/>
      <c r="AX629" s="180"/>
      <c r="AY629" s="180"/>
      <c r="AZ629" s="180"/>
      <c r="BA629" s="180"/>
      <c r="BB629" s="180"/>
      <c r="BC629" s="180"/>
      <c r="BD629" s="180"/>
      <c r="BE629" s="180"/>
      <c r="BF629" s="180"/>
      <c r="BG629" s="180"/>
      <c r="BH629" s="180"/>
      <c r="BI629" s="180"/>
      <c r="BJ629" s="180"/>
      <c r="BK629" s="180"/>
      <c r="BL629" s="180"/>
      <c r="BM629" s="180"/>
      <c r="BN629" s="180"/>
      <c r="BO629" s="180"/>
      <c r="BP629" s="180"/>
      <c r="BQ629" s="180"/>
      <c r="BR629" s="180"/>
      <c r="BS629" s="180"/>
      <c r="BT629" s="180"/>
      <c r="BU629" s="180"/>
      <c r="BV629" s="180"/>
      <c r="BW629" s="180"/>
      <c r="BX629" s="180"/>
      <c r="BY629" s="180"/>
      <c r="BZ629" s="180"/>
      <c r="CA629" s="180"/>
      <c r="CB629" s="180"/>
      <c r="CC629" s="180"/>
      <c r="CD629" s="180"/>
      <c r="CE629" s="180"/>
      <c r="CF629" s="180"/>
      <c r="CG629" s="180"/>
      <c r="CH629" s="180"/>
      <c r="CI629" s="180"/>
      <c r="CJ629" s="180"/>
      <c r="CK629" s="180"/>
      <c r="CL629" s="180"/>
      <c r="CM629" s="180"/>
      <c r="CN629" s="180"/>
      <c r="CO629" s="180"/>
      <c r="CP629" s="180"/>
      <c r="CQ629" s="180"/>
      <c r="CR629" s="180"/>
      <c r="CS629" s="180"/>
      <c r="CT629" s="180"/>
      <c r="CU629" s="180"/>
      <c r="CV629" s="180"/>
      <c r="CW629" s="180"/>
      <c r="CX629" s="180"/>
      <c r="CY629" s="180"/>
      <c r="CZ629" s="180"/>
      <c r="DA629" s="180"/>
      <c r="DB629" s="180"/>
    </row>
    <row r="630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  <c r="AU630" s="180"/>
      <c r="AV630" s="180"/>
      <c r="AW630" s="180"/>
      <c r="AX630" s="180"/>
      <c r="AY630" s="180"/>
      <c r="AZ630" s="180"/>
      <c r="BA630" s="180"/>
      <c r="BB630" s="180"/>
      <c r="BC630" s="180"/>
      <c r="BD630" s="180"/>
      <c r="BE630" s="180"/>
      <c r="BF630" s="180"/>
      <c r="BG630" s="180"/>
      <c r="BH630" s="180"/>
      <c r="BI630" s="180"/>
      <c r="BJ630" s="180"/>
      <c r="BK630" s="180"/>
      <c r="BL630" s="180"/>
      <c r="BM630" s="180"/>
      <c r="BN630" s="180"/>
      <c r="BO630" s="180"/>
      <c r="BP630" s="180"/>
      <c r="BQ630" s="180"/>
      <c r="BR630" s="180"/>
      <c r="BS630" s="180"/>
      <c r="BT630" s="180"/>
      <c r="BU630" s="180"/>
      <c r="BV630" s="180"/>
      <c r="BW630" s="180"/>
      <c r="BX630" s="180"/>
      <c r="BY630" s="180"/>
      <c r="BZ630" s="180"/>
      <c r="CA630" s="180"/>
      <c r="CB630" s="180"/>
      <c r="CC630" s="180"/>
      <c r="CD630" s="180"/>
      <c r="CE630" s="180"/>
      <c r="CF630" s="180"/>
      <c r="CG630" s="180"/>
      <c r="CH630" s="180"/>
      <c r="CI630" s="180"/>
      <c r="CJ630" s="180"/>
      <c r="CK630" s="180"/>
      <c r="CL630" s="180"/>
      <c r="CM630" s="180"/>
      <c r="CN630" s="180"/>
      <c r="CO630" s="180"/>
      <c r="CP630" s="180"/>
      <c r="CQ630" s="180"/>
      <c r="CR630" s="180"/>
      <c r="CS630" s="180"/>
      <c r="CT630" s="180"/>
      <c r="CU630" s="180"/>
      <c r="CV630" s="180"/>
      <c r="CW630" s="180"/>
      <c r="CX630" s="180"/>
      <c r="CY630" s="180"/>
      <c r="CZ630" s="180"/>
      <c r="DA630" s="180"/>
      <c r="DB630" s="180"/>
    </row>
    <row r="631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  <c r="BA631" s="180"/>
      <c r="BB631" s="180"/>
      <c r="BC631" s="180"/>
      <c r="BD631" s="180"/>
      <c r="BE631" s="180"/>
      <c r="BF631" s="180"/>
      <c r="BG631" s="180"/>
      <c r="BH631" s="180"/>
      <c r="BI631" s="180"/>
      <c r="BJ631" s="180"/>
      <c r="BK631" s="180"/>
      <c r="BL631" s="180"/>
      <c r="BM631" s="180"/>
      <c r="BN631" s="180"/>
      <c r="BO631" s="180"/>
      <c r="BP631" s="180"/>
      <c r="BQ631" s="180"/>
      <c r="BR631" s="180"/>
      <c r="BS631" s="180"/>
      <c r="BT631" s="180"/>
      <c r="BU631" s="180"/>
      <c r="BV631" s="180"/>
      <c r="BW631" s="180"/>
      <c r="BX631" s="180"/>
      <c r="BY631" s="180"/>
      <c r="BZ631" s="180"/>
      <c r="CA631" s="180"/>
      <c r="CB631" s="180"/>
      <c r="CC631" s="180"/>
      <c r="CD631" s="180"/>
      <c r="CE631" s="180"/>
      <c r="CF631" s="180"/>
      <c r="CG631" s="180"/>
      <c r="CH631" s="180"/>
      <c r="CI631" s="180"/>
      <c r="CJ631" s="180"/>
      <c r="CK631" s="180"/>
      <c r="CL631" s="180"/>
      <c r="CM631" s="180"/>
      <c r="CN631" s="180"/>
      <c r="CO631" s="180"/>
      <c r="CP631" s="180"/>
      <c r="CQ631" s="180"/>
      <c r="CR631" s="180"/>
      <c r="CS631" s="180"/>
      <c r="CT631" s="180"/>
      <c r="CU631" s="180"/>
      <c r="CV631" s="180"/>
      <c r="CW631" s="180"/>
      <c r="CX631" s="180"/>
      <c r="CY631" s="180"/>
      <c r="CZ631" s="180"/>
      <c r="DA631" s="180"/>
      <c r="DB631" s="180"/>
    </row>
    <row r="632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  <c r="BA632" s="180"/>
      <c r="BB632" s="180"/>
      <c r="BC632" s="180"/>
      <c r="BD632" s="180"/>
      <c r="BE632" s="180"/>
      <c r="BF632" s="180"/>
      <c r="BG632" s="180"/>
      <c r="BH632" s="180"/>
      <c r="BI632" s="180"/>
      <c r="BJ632" s="180"/>
      <c r="BK632" s="180"/>
      <c r="BL632" s="180"/>
      <c r="BM632" s="180"/>
      <c r="BN632" s="180"/>
      <c r="BO632" s="180"/>
      <c r="BP632" s="180"/>
      <c r="BQ632" s="180"/>
      <c r="BR632" s="180"/>
      <c r="BS632" s="180"/>
      <c r="BT632" s="180"/>
      <c r="BU632" s="180"/>
      <c r="BV632" s="180"/>
      <c r="BW632" s="180"/>
      <c r="BX632" s="180"/>
      <c r="BY632" s="180"/>
      <c r="BZ632" s="180"/>
      <c r="CA632" s="180"/>
      <c r="CB632" s="180"/>
      <c r="CC632" s="180"/>
      <c r="CD632" s="180"/>
      <c r="CE632" s="180"/>
      <c r="CF632" s="180"/>
      <c r="CG632" s="180"/>
      <c r="CH632" s="180"/>
      <c r="CI632" s="180"/>
      <c r="CJ632" s="180"/>
      <c r="CK632" s="180"/>
      <c r="CL632" s="180"/>
      <c r="CM632" s="180"/>
      <c r="CN632" s="180"/>
      <c r="CO632" s="180"/>
      <c r="CP632" s="180"/>
      <c r="CQ632" s="180"/>
      <c r="CR632" s="180"/>
      <c r="CS632" s="180"/>
      <c r="CT632" s="180"/>
      <c r="CU632" s="180"/>
      <c r="CV632" s="180"/>
      <c r="CW632" s="180"/>
      <c r="CX632" s="180"/>
      <c r="CY632" s="180"/>
      <c r="CZ632" s="180"/>
      <c r="DA632" s="180"/>
      <c r="DB632" s="180"/>
    </row>
    <row r="633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  <c r="BA633" s="180"/>
      <c r="BB633" s="180"/>
      <c r="BC633" s="180"/>
      <c r="BD633" s="180"/>
      <c r="BE633" s="180"/>
      <c r="BF633" s="180"/>
      <c r="BG633" s="180"/>
      <c r="BH633" s="180"/>
      <c r="BI633" s="180"/>
      <c r="BJ633" s="180"/>
      <c r="BK633" s="180"/>
      <c r="BL633" s="180"/>
      <c r="BM633" s="180"/>
      <c r="BN633" s="180"/>
      <c r="BO633" s="180"/>
      <c r="BP633" s="180"/>
      <c r="BQ633" s="180"/>
      <c r="BR633" s="180"/>
      <c r="BS633" s="180"/>
      <c r="BT633" s="180"/>
      <c r="BU633" s="180"/>
      <c r="BV633" s="180"/>
      <c r="BW633" s="180"/>
      <c r="BX633" s="180"/>
      <c r="BY633" s="180"/>
      <c r="BZ633" s="180"/>
      <c r="CA633" s="180"/>
      <c r="CB633" s="180"/>
      <c r="CC633" s="180"/>
      <c r="CD633" s="180"/>
      <c r="CE633" s="180"/>
      <c r="CF633" s="180"/>
      <c r="CG633" s="180"/>
      <c r="CH633" s="180"/>
      <c r="CI633" s="180"/>
      <c r="CJ633" s="180"/>
      <c r="CK633" s="180"/>
      <c r="CL633" s="180"/>
      <c r="CM633" s="180"/>
      <c r="CN633" s="180"/>
      <c r="CO633" s="180"/>
      <c r="CP633" s="180"/>
      <c r="CQ633" s="180"/>
      <c r="CR633" s="180"/>
      <c r="CS633" s="180"/>
      <c r="CT633" s="180"/>
      <c r="CU633" s="180"/>
      <c r="CV633" s="180"/>
      <c r="CW633" s="180"/>
      <c r="CX633" s="180"/>
      <c r="CY633" s="180"/>
      <c r="CZ633" s="180"/>
      <c r="DA633" s="180"/>
      <c r="DB633" s="180"/>
    </row>
    <row r="634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  <c r="K634" s="180"/>
      <c r="L634" s="180"/>
      <c r="M634" s="180"/>
      <c r="N634" s="180"/>
      <c r="O634" s="180"/>
      <c r="P634" s="180"/>
      <c r="Q634" s="180"/>
      <c r="R634" s="180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  <c r="AG634" s="180"/>
      <c r="AH634" s="180"/>
      <c r="AI634" s="180"/>
      <c r="AJ634" s="180"/>
      <c r="AK634" s="180"/>
      <c r="AL634" s="180"/>
      <c r="AM634" s="180"/>
      <c r="AN634" s="180"/>
      <c r="AO634" s="180"/>
      <c r="AP634" s="180"/>
      <c r="AQ634" s="180"/>
      <c r="AR634" s="180"/>
      <c r="AS634" s="180"/>
      <c r="AT634" s="180"/>
      <c r="AU634" s="180"/>
      <c r="AV634" s="180"/>
      <c r="AW634" s="180"/>
      <c r="AX634" s="180"/>
      <c r="AY634" s="180"/>
      <c r="AZ634" s="180"/>
      <c r="BA634" s="180"/>
      <c r="BB634" s="180"/>
      <c r="BC634" s="180"/>
      <c r="BD634" s="180"/>
      <c r="BE634" s="180"/>
      <c r="BF634" s="180"/>
      <c r="BG634" s="180"/>
      <c r="BH634" s="180"/>
      <c r="BI634" s="180"/>
      <c r="BJ634" s="180"/>
      <c r="BK634" s="180"/>
      <c r="BL634" s="180"/>
      <c r="BM634" s="180"/>
      <c r="BN634" s="180"/>
      <c r="BO634" s="180"/>
      <c r="BP634" s="180"/>
      <c r="BQ634" s="180"/>
      <c r="BR634" s="180"/>
      <c r="BS634" s="180"/>
      <c r="BT634" s="180"/>
      <c r="BU634" s="180"/>
      <c r="BV634" s="180"/>
      <c r="BW634" s="180"/>
      <c r="BX634" s="180"/>
      <c r="BY634" s="180"/>
      <c r="BZ634" s="180"/>
      <c r="CA634" s="180"/>
      <c r="CB634" s="180"/>
      <c r="CC634" s="180"/>
      <c r="CD634" s="180"/>
      <c r="CE634" s="180"/>
      <c r="CF634" s="180"/>
      <c r="CG634" s="180"/>
      <c r="CH634" s="180"/>
      <c r="CI634" s="180"/>
      <c r="CJ634" s="180"/>
      <c r="CK634" s="180"/>
      <c r="CL634" s="180"/>
      <c r="CM634" s="180"/>
      <c r="CN634" s="180"/>
      <c r="CO634" s="180"/>
      <c r="CP634" s="180"/>
      <c r="CQ634" s="180"/>
      <c r="CR634" s="180"/>
      <c r="CS634" s="180"/>
      <c r="CT634" s="180"/>
      <c r="CU634" s="180"/>
      <c r="CV634" s="180"/>
      <c r="CW634" s="180"/>
      <c r="CX634" s="180"/>
      <c r="CY634" s="180"/>
      <c r="CZ634" s="180"/>
      <c r="DA634" s="180"/>
      <c r="DB634" s="180"/>
    </row>
    <row r="635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0"/>
      <c r="BB635" s="180"/>
      <c r="BC635" s="180"/>
      <c r="BD635" s="180"/>
      <c r="BE635" s="180"/>
      <c r="BF635" s="180"/>
      <c r="BG635" s="180"/>
      <c r="BH635" s="180"/>
      <c r="BI635" s="180"/>
      <c r="BJ635" s="180"/>
      <c r="BK635" s="180"/>
      <c r="BL635" s="180"/>
      <c r="BM635" s="180"/>
      <c r="BN635" s="180"/>
      <c r="BO635" s="180"/>
      <c r="BP635" s="180"/>
      <c r="BQ635" s="180"/>
      <c r="BR635" s="180"/>
      <c r="BS635" s="180"/>
      <c r="BT635" s="180"/>
      <c r="BU635" s="180"/>
      <c r="BV635" s="180"/>
      <c r="BW635" s="180"/>
      <c r="BX635" s="180"/>
      <c r="BY635" s="180"/>
      <c r="BZ635" s="180"/>
      <c r="CA635" s="180"/>
      <c r="CB635" s="180"/>
      <c r="CC635" s="180"/>
      <c r="CD635" s="180"/>
      <c r="CE635" s="180"/>
      <c r="CF635" s="180"/>
      <c r="CG635" s="180"/>
      <c r="CH635" s="180"/>
      <c r="CI635" s="180"/>
      <c r="CJ635" s="180"/>
      <c r="CK635" s="180"/>
      <c r="CL635" s="180"/>
      <c r="CM635" s="180"/>
      <c r="CN635" s="180"/>
      <c r="CO635" s="180"/>
      <c r="CP635" s="180"/>
      <c r="CQ635" s="180"/>
      <c r="CR635" s="180"/>
      <c r="CS635" s="180"/>
      <c r="CT635" s="180"/>
      <c r="CU635" s="180"/>
      <c r="CV635" s="180"/>
      <c r="CW635" s="180"/>
      <c r="CX635" s="180"/>
      <c r="CY635" s="180"/>
      <c r="CZ635" s="180"/>
      <c r="DA635" s="180"/>
      <c r="DB635" s="180"/>
    </row>
    <row r="636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  <c r="BA636" s="180"/>
      <c r="BB636" s="180"/>
      <c r="BC636" s="180"/>
      <c r="BD636" s="180"/>
      <c r="BE636" s="180"/>
      <c r="BF636" s="180"/>
      <c r="BG636" s="180"/>
      <c r="BH636" s="180"/>
      <c r="BI636" s="180"/>
      <c r="BJ636" s="180"/>
      <c r="BK636" s="180"/>
      <c r="BL636" s="180"/>
      <c r="BM636" s="180"/>
      <c r="BN636" s="180"/>
      <c r="BO636" s="180"/>
      <c r="BP636" s="180"/>
      <c r="BQ636" s="180"/>
      <c r="BR636" s="180"/>
      <c r="BS636" s="180"/>
      <c r="BT636" s="180"/>
      <c r="BU636" s="180"/>
      <c r="BV636" s="180"/>
      <c r="BW636" s="180"/>
      <c r="BX636" s="180"/>
      <c r="BY636" s="180"/>
      <c r="BZ636" s="180"/>
      <c r="CA636" s="180"/>
      <c r="CB636" s="180"/>
      <c r="CC636" s="180"/>
      <c r="CD636" s="180"/>
      <c r="CE636" s="180"/>
      <c r="CF636" s="180"/>
      <c r="CG636" s="180"/>
      <c r="CH636" s="180"/>
      <c r="CI636" s="180"/>
      <c r="CJ636" s="180"/>
      <c r="CK636" s="180"/>
      <c r="CL636" s="180"/>
      <c r="CM636" s="180"/>
      <c r="CN636" s="180"/>
      <c r="CO636" s="180"/>
      <c r="CP636" s="180"/>
      <c r="CQ636" s="180"/>
      <c r="CR636" s="180"/>
      <c r="CS636" s="180"/>
      <c r="CT636" s="180"/>
      <c r="CU636" s="180"/>
      <c r="CV636" s="180"/>
      <c r="CW636" s="180"/>
      <c r="CX636" s="180"/>
      <c r="CY636" s="180"/>
      <c r="CZ636" s="180"/>
      <c r="DA636" s="180"/>
      <c r="DB636" s="180"/>
    </row>
    <row r="637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  <c r="K637" s="180"/>
      <c r="L637" s="180"/>
      <c r="M637" s="180"/>
      <c r="N637" s="180"/>
      <c r="O637" s="180"/>
      <c r="P637" s="180"/>
      <c r="Q637" s="180"/>
      <c r="R637" s="180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  <c r="AG637" s="180"/>
      <c r="AH637" s="180"/>
      <c r="AI637" s="180"/>
      <c r="AJ637" s="180"/>
      <c r="AK637" s="180"/>
      <c r="AL637" s="180"/>
      <c r="AM637" s="180"/>
      <c r="AN637" s="180"/>
      <c r="AO637" s="180"/>
      <c r="AP637" s="180"/>
      <c r="AQ637" s="180"/>
      <c r="AR637" s="180"/>
      <c r="AS637" s="180"/>
      <c r="AT637" s="180"/>
      <c r="AU637" s="180"/>
      <c r="AV637" s="180"/>
      <c r="AW637" s="180"/>
      <c r="AX637" s="180"/>
      <c r="AY637" s="180"/>
      <c r="AZ637" s="180"/>
      <c r="BA637" s="180"/>
      <c r="BB637" s="180"/>
      <c r="BC637" s="180"/>
      <c r="BD637" s="180"/>
      <c r="BE637" s="180"/>
      <c r="BF637" s="180"/>
      <c r="BG637" s="180"/>
      <c r="BH637" s="180"/>
      <c r="BI637" s="180"/>
      <c r="BJ637" s="180"/>
      <c r="BK637" s="180"/>
      <c r="BL637" s="180"/>
      <c r="BM637" s="180"/>
      <c r="BN637" s="180"/>
      <c r="BO637" s="180"/>
      <c r="BP637" s="180"/>
      <c r="BQ637" s="180"/>
      <c r="BR637" s="180"/>
      <c r="BS637" s="180"/>
      <c r="BT637" s="180"/>
      <c r="BU637" s="180"/>
      <c r="BV637" s="180"/>
      <c r="BW637" s="180"/>
      <c r="BX637" s="180"/>
      <c r="BY637" s="180"/>
      <c r="BZ637" s="180"/>
      <c r="CA637" s="180"/>
      <c r="CB637" s="180"/>
      <c r="CC637" s="180"/>
      <c r="CD637" s="180"/>
      <c r="CE637" s="180"/>
      <c r="CF637" s="180"/>
      <c r="CG637" s="180"/>
      <c r="CH637" s="180"/>
      <c r="CI637" s="180"/>
      <c r="CJ637" s="180"/>
      <c r="CK637" s="180"/>
      <c r="CL637" s="180"/>
      <c r="CM637" s="180"/>
      <c r="CN637" s="180"/>
      <c r="CO637" s="180"/>
      <c r="CP637" s="180"/>
      <c r="CQ637" s="180"/>
      <c r="CR637" s="180"/>
      <c r="CS637" s="180"/>
      <c r="CT637" s="180"/>
      <c r="CU637" s="180"/>
      <c r="CV637" s="180"/>
      <c r="CW637" s="180"/>
      <c r="CX637" s="180"/>
      <c r="CY637" s="180"/>
      <c r="CZ637" s="180"/>
      <c r="DA637" s="180"/>
      <c r="DB637" s="180"/>
    </row>
    <row r="638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  <c r="BA638" s="180"/>
      <c r="BB638" s="180"/>
      <c r="BC638" s="180"/>
      <c r="BD638" s="180"/>
      <c r="BE638" s="180"/>
      <c r="BF638" s="180"/>
      <c r="BG638" s="180"/>
      <c r="BH638" s="180"/>
      <c r="BI638" s="180"/>
      <c r="BJ638" s="180"/>
      <c r="BK638" s="180"/>
      <c r="BL638" s="180"/>
      <c r="BM638" s="180"/>
      <c r="BN638" s="180"/>
      <c r="BO638" s="180"/>
      <c r="BP638" s="180"/>
      <c r="BQ638" s="180"/>
      <c r="BR638" s="180"/>
      <c r="BS638" s="180"/>
      <c r="BT638" s="180"/>
      <c r="BU638" s="180"/>
      <c r="BV638" s="180"/>
      <c r="BW638" s="180"/>
      <c r="BX638" s="180"/>
      <c r="BY638" s="180"/>
      <c r="BZ638" s="180"/>
      <c r="CA638" s="180"/>
      <c r="CB638" s="180"/>
      <c r="CC638" s="180"/>
      <c r="CD638" s="180"/>
      <c r="CE638" s="180"/>
      <c r="CF638" s="180"/>
      <c r="CG638" s="180"/>
      <c r="CH638" s="180"/>
      <c r="CI638" s="180"/>
      <c r="CJ638" s="180"/>
      <c r="CK638" s="180"/>
      <c r="CL638" s="180"/>
      <c r="CM638" s="180"/>
      <c r="CN638" s="180"/>
      <c r="CO638" s="180"/>
      <c r="CP638" s="180"/>
      <c r="CQ638" s="180"/>
      <c r="CR638" s="180"/>
      <c r="CS638" s="180"/>
      <c r="CT638" s="180"/>
      <c r="CU638" s="180"/>
      <c r="CV638" s="180"/>
      <c r="CW638" s="180"/>
      <c r="CX638" s="180"/>
      <c r="CY638" s="180"/>
      <c r="CZ638" s="180"/>
      <c r="DA638" s="180"/>
      <c r="DB638" s="180"/>
    </row>
    <row r="639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0"/>
      <c r="BB639" s="180"/>
      <c r="BC639" s="180"/>
      <c r="BD639" s="180"/>
      <c r="BE639" s="180"/>
      <c r="BF639" s="180"/>
      <c r="BG639" s="180"/>
      <c r="BH639" s="180"/>
      <c r="BI639" s="180"/>
      <c r="BJ639" s="180"/>
      <c r="BK639" s="180"/>
      <c r="BL639" s="180"/>
      <c r="BM639" s="180"/>
      <c r="BN639" s="180"/>
      <c r="BO639" s="180"/>
      <c r="BP639" s="180"/>
      <c r="BQ639" s="180"/>
      <c r="BR639" s="180"/>
      <c r="BS639" s="180"/>
      <c r="BT639" s="180"/>
      <c r="BU639" s="180"/>
      <c r="BV639" s="180"/>
      <c r="BW639" s="180"/>
      <c r="BX639" s="180"/>
      <c r="BY639" s="180"/>
      <c r="BZ639" s="180"/>
      <c r="CA639" s="180"/>
      <c r="CB639" s="180"/>
      <c r="CC639" s="180"/>
      <c r="CD639" s="180"/>
      <c r="CE639" s="180"/>
      <c r="CF639" s="180"/>
      <c r="CG639" s="180"/>
      <c r="CH639" s="180"/>
      <c r="CI639" s="180"/>
      <c r="CJ639" s="180"/>
      <c r="CK639" s="180"/>
      <c r="CL639" s="180"/>
      <c r="CM639" s="180"/>
      <c r="CN639" s="180"/>
      <c r="CO639" s="180"/>
      <c r="CP639" s="180"/>
      <c r="CQ639" s="180"/>
      <c r="CR639" s="180"/>
      <c r="CS639" s="180"/>
      <c r="CT639" s="180"/>
      <c r="CU639" s="180"/>
      <c r="CV639" s="180"/>
      <c r="CW639" s="180"/>
      <c r="CX639" s="180"/>
      <c r="CY639" s="180"/>
      <c r="CZ639" s="180"/>
      <c r="DA639" s="180"/>
      <c r="DB639" s="180"/>
    </row>
    <row r="640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0"/>
      <c r="BB640" s="180"/>
      <c r="BC640" s="180"/>
      <c r="BD640" s="180"/>
      <c r="BE640" s="180"/>
      <c r="BF640" s="180"/>
      <c r="BG640" s="180"/>
      <c r="BH640" s="180"/>
      <c r="BI640" s="180"/>
      <c r="BJ640" s="180"/>
      <c r="BK640" s="180"/>
      <c r="BL640" s="180"/>
      <c r="BM640" s="180"/>
      <c r="BN640" s="180"/>
      <c r="BO640" s="180"/>
      <c r="BP640" s="180"/>
      <c r="BQ640" s="180"/>
      <c r="BR640" s="180"/>
      <c r="BS640" s="180"/>
      <c r="BT640" s="180"/>
      <c r="BU640" s="180"/>
      <c r="BV640" s="180"/>
      <c r="BW640" s="180"/>
      <c r="BX640" s="180"/>
      <c r="BY640" s="180"/>
      <c r="BZ640" s="180"/>
      <c r="CA640" s="180"/>
      <c r="CB640" s="180"/>
      <c r="CC640" s="180"/>
      <c r="CD640" s="180"/>
      <c r="CE640" s="180"/>
      <c r="CF640" s="180"/>
      <c r="CG640" s="180"/>
      <c r="CH640" s="180"/>
      <c r="CI640" s="180"/>
      <c r="CJ640" s="180"/>
      <c r="CK640" s="180"/>
      <c r="CL640" s="180"/>
      <c r="CM640" s="180"/>
      <c r="CN640" s="180"/>
      <c r="CO640" s="180"/>
      <c r="CP640" s="180"/>
      <c r="CQ640" s="180"/>
      <c r="CR640" s="180"/>
      <c r="CS640" s="180"/>
      <c r="CT640" s="180"/>
      <c r="CU640" s="180"/>
      <c r="CV640" s="180"/>
      <c r="CW640" s="180"/>
      <c r="CX640" s="180"/>
      <c r="CY640" s="180"/>
      <c r="CZ640" s="180"/>
      <c r="DA640" s="180"/>
      <c r="DB640" s="180"/>
    </row>
    <row r="641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0"/>
      <c r="BB641" s="180"/>
      <c r="BC641" s="180"/>
      <c r="BD641" s="180"/>
      <c r="BE641" s="180"/>
      <c r="BF641" s="180"/>
      <c r="BG641" s="180"/>
      <c r="BH641" s="180"/>
      <c r="BI641" s="180"/>
      <c r="BJ641" s="180"/>
      <c r="BK641" s="180"/>
      <c r="BL641" s="180"/>
      <c r="BM641" s="180"/>
      <c r="BN641" s="180"/>
      <c r="BO641" s="180"/>
      <c r="BP641" s="180"/>
      <c r="BQ641" s="180"/>
      <c r="BR641" s="180"/>
      <c r="BS641" s="180"/>
      <c r="BT641" s="180"/>
      <c r="BU641" s="180"/>
      <c r="BV641" s="180"/>
      <c r="BW641" s="180"/>
      <c r="BX641" s="180"/>
      <c r="BY641" s="180"/>
      <c r="BZ641" s="180"/>
      <c r="CA641" s="180"/>
      <c r="CB641" s="180"/>
      <c r="CC641" s="180"/>
      <c r="CD641" s="180"/>
      <c r="CE641" s="180"/>
      <c r="CF641" s="180"/>
      <c r="CG641" s="180"/>
      <c r="CH641" s="180"/>
      <c r="CI641" s="180"/>
      <c r="CJ641" s="180"/>
      <c r="CK641" s="180"/>
      <c r="CL641" s="180"/>
      <c r="CM641" s="180"/>
      <c r="CN641" s="180"/>
      <c r="CO641" s="180"/>
      <c r="CP641" s="180"/>
      <c r="CQ641" s="180"/>
      <c r="CR641" s="180"/>
      <c r="CS641" s="180"/>
      <c r="CT641" s="180"/>
      <c r="CU641" s="180"/>
      <c r="CV641" s="180"/>
      <c r="CW641" s="180"/>
      <c r="CX641" s="180"/>
      <c r="CY641" s="180"/>
      <c r="CZ641" s="180"/>
      <c r="DA641" s="180"/>
      <c r="DB641" s="180"/>
    </row>
    <row r="642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  <c r="BA642" s="180"/>
      <c r="BB642" s="180"/>
      <c r="BC642" s="180"/>
      <c r="BD642" s="180"/>
      <c r="BE642" s="180"/>
      <c r="BF642" s="180"/>
      <c r="BG642" s="180"/>
      <c r="BH642" s="180"/>
      <c r="BI642" s="180"/>
      <c r="BJ642" s="180"/>
      <c r="BK642" s="180"/>
      <c r="BL642" s="180"/>
      <c r="BM642" s="180"/>
      <c r="BN642" s="180"/>
      <c r="BO642" s="180"/>
      <c r="BP642" s="180"/>
      <c r="BQ642" s="180"/>
      <c r="BR642" s="180"/>
      <c r="BS642" s="180"/>
      <c r="BT642" s="180"/>
      <c r="BU642" s="180"/>
      <c r="BV642" s="180"/>
      <c r="BW642" s="180"/>
      <c r="BX642" s="180"/>
      <c r="BY642" s="180"/>
      <c r="BZ642" s="180"/>
      <c r="CA642" s="180"/>
      <c r="CB642" s="180"/>
      <c r="CC642" s="180"/>
      <c r="CD642" s="180"/>
      <c r="CE642" s="180"/>
      <c r="CF642" s="180"/>
      <c r="CG642" s="180"/>
      <c r="CH642" s="180"/>
      <c r="CI642" s="180"/>
      <c r="CJ642" s="180"/>
      <c r="CK642" s="180"/>
      <c r="CL642" s="180"/>
      <c r="CM642" s="180"/>
      <c r="CN642" s="180"/>
      <c r="CO642" s="180"/>
      <c r="CP642" s="180"/>
      <c r="CQ642" s="180"/>
      <c r="CR642" s="180"/>
      <c r="CS642" s="180"/>
      <c r="CT642" s="180"/>
      <c r="CU642" s="180"/>
      <c r="CV642" s="180"/>
      <c r="CW642" s="180"/>
      <c r="CX642" s="180"/>
      <c r="CY642" s="180"/>
      <c r="CZ642" s="180"/>
      <c r="DA642" s="180"/>
      <c r="DB642" s="180"/>
    </row>
    <row r="643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  <c r="BA643" s="180"/>
      <c r="BB643" s="180"/>
      <c r="BC643" s="180"/>
      <c r="BD643" s="180"/>
      <c r="BE643" s="180"/>
      <c r="BF643" s="180"/>
      <c r="BG643" s="180"/>
      <c r="BH643" s="180"/>
      <c r="BI643" s="180"/>
      <c r="BJ643" s="180"/>
      <c r="BK643" s="180"/>
      <c r="BL643" s="180"/>
      <c r="BM643" s="180"/>
      <c r="BN643" s="180"/>
      <c r="BO643" s="180"/>
      <c r="BP643" s="180"/>
      <c r="BQ643" s="180"/>
      <c r="BR643" s="180"/>
      <c r="BS643" s="180"/>
      <c r="BT643" s="180"/>
      <c r="BU643" s="180"/>
      <c r="BV643" s="180"/>
      <c r="BW643" s="180"/>
      <c r="BX643" s="180"/>
      <c r="BY643" s="180"/>
      <c r="BZ643" s="180"/>
      <c r="CA643" s="180"/>
      <c r="CB643" s="180"/>
      <c r="CC643" s="180"/>
      <c r="CD643" s="180"/>
      <c r="CE643" s="180"/>
      <c r="CF643" s="180"/>
      <c r="CG643" s="180"/>
      <c r="CH643" s="180"/>
      <c r="CI643" s="180"/>
      <c r="CJ643" s="180"/>
      <c r="CK643" s="180"/>
      <c r="CL643" s="180"/>
      <c r="CM643" s="180"/>
      <c r="CN643" s="180"/>
      <c r="CO643" s="180"/>
      <c r="CP643" s="180"/>
      <c r="CQ643" s="180"/>
      <c r="CR643" s="180"/>
      <c r="CS643" s="180"/>
      <c r="CT643" s="180"/>
      <c r="CU643" s="180"/>
      <c r="CV643" s="180"/>
      <c r="CW643" s="180"/>
      <c r="CX643" s="180"/>
      <c r="CY643" s="180"/>
      <c r="CZ643" s="180"/>
      <c r="DA643" s="180"/>
      <c r="DB643" s="180"/>
    </row>
    <row r="644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  <c r="BA644" s="180"/>
      <c r="BB644" s="180"/>
      <c r="BC644" s="180"/>
      <c r="BD644" s="180"/>
      <c r="BE644" s="180"/>
      <c r="BF644" s="180"/>
      <c r="BG644" s="180"/>
      <c r="BH644" s="180"/>
      <c r="BI644" s="180"/>
      <c r="BJ644" s="180"/>
      <c r="BK644" s="180"/>
      <c r="BL644" s="180"/>
      <c r="BM644" s="180"/>
      <c r="BN644" s="180"/>
      <c r="BO644" s="180"/>
      <c r="BP644" s="180"/>
      <c r="BQ644" s="180"/>
      <c r="BR644" s="180"/>
      <c r="BS644" s="180"/>
      <c r="BT644" s="180"/>
      <c r="BU644" s="180"/>
      <c r="BV644" s="180"/>
      <c r="BW644" s="180"/>
      <c r="BX644" s="180"/>
      <c r="BY644" s="180"/>
      <c r="BZ644" s="180"/>
      <c r="CA644" s="180"/>
      <c r="CB644" s="180"/>
      <c r="CC644" s="180"/>
      <c r="CD644" s="180"/>
      <c r="CE644" s="180"/>
      <c r="CF644" s="180"/>
      <c r="CG644" s="180"/>
      <c r="CH644" s="180"/>
      <c r="CI644" s="180"/>
      <c r="CJ644" s="180"/>
      <c r="CK644" s="180"/>
      <c r="CL644" s="180"/>
      <c r="CM644" s="180"/>
      <c r="CN644" s="180"/>
      <c r="CO644" s="180"/>
      <c r="CP644" s="180"/>
      <c r="CQ644" s="180"/>
      <c r="CR644" s="180"/>
      <c r="CS644" s="180"/>
      <c r="CT644" s="180"/>
      <c r="CU644" s="180"/>
      <c r="CV644" s="180"/>
      <c r="CW644" s="180"/>
      <c r="CX644" s="180"/>
      <c r="CY644" s="180"/>
      <c r="CZ644" s="180"/>
      <c r="DA644" s="180"/>
      <c r="DB644" s="180"/>
    </row>
    <row r="645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  <c r="BA645" s="180"/>
      <c r="BB645" s="180"/>
      <c r="BC645" s="180"/>
      <c r="BD645" s="180"/>
      <c r="BE645" s="180"/>
      <c r="BF645" s="180"/>
      <c r="BG645" s="180"/>
      <c r="BH645" s="180"/>
      <c r="BI645" s="180"/>
      <c r="BJ645" s="180"/>
      <c r="BK645" s="180"/>
      <c r="BL645" s="180"/>
      <c r="BM645" s="180"/>
      <c r="BN645" s="180"/>
      <c r="BO645" s="180"/>
      <c r="BP645" s="180"/>
      <c r="BQ645" s="180"/>
      <c r="BR645" s="180"/>
      <c r="BS645" s="180"/>
      <c r="BT645" s="180"/>
      <c r="BU645" s="180"/>
      <c r="BV645" s="180"/>
      <c r="BW645" s="180"/>
      <c r="BX645" s="180"/>
      <c r="BY645" s="180"/>
      <c r="BZ645" s="180"/>
      <c r="CA645" s="180"/>
      <c r="CB645" s="180"/>
      <c r="CC645" s="180"/>
      <c r="CD645" s="180"/>
      <c r="CE645" s="180"/>
      <c r="CF645" s="180"/>
      <c r="CG645" s="180"/>
      <c r="CH645" s="180"/>
      <c r="CI645" s="180"/>
      <c r="CJ645" s="180"/>
      <c r="CK645" s="180"/>
      <c r="CL645" s="180"/>
      <c r="CM645" s="180"/>
      <c r="CN645" s="180"/>
      <c r="CO645" s="180"/>
      <c r="CP645" s="180"/>
      <c r="CQ645" s="180"/>
      <c r="CR645" s="180"/>
      <c r="CS645" s="180"/>
      <c r="CT645" s="180"/>
      <c r="CU645" s="180"/>
      <c r="CV645" s="180"/>
      <c r="CW645" s="180"/>
      <c r="CX645" s="180"/>
      <c r="CY645" s="180"/>
      <c r="CZ645" s="180"/>
      <c r="DA645" s="180"/>
      <c r="DB645" s="180"/>
    </row>
    <row r="646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  <c r="BA646" s="180"/>
      <c r="BB646" s="180"/>
      <c r="BC646" s="180"/>
      <c r="BD646" s="180"/>
      <c r="BE646" s="180"/>
      <c r="BF646" s="180"/>
      <c r="BG646" s="180"/>
      <c r="BH646" s="180"/>
      <c r="BI646" s="180"/>
      <c r="BJ646" s="180"/>
      <c r="BK646" s="180"/>
      <c r="BL646" s="180"/>
      <c r="BM646" s="180"/>
      <c r="BN646" s="180"/>
      <c r="BO646" s="180"/>
      <c r="BP646" s="180"/>
      <c r="BQ646" s="180"/>
      <c r="BR646" s="180"/>
      <c r="BS646" s="180"/>
      <c r="BT646" s="180"/>
      <c r="BU646" s="180"/>
      <c r="BV646" s="180"/>
      <c r="BW646" s="180"/>
      <c r="BX646" s="180"/>
      <c r="BY646" s="180"/>
      <c r="BZ646" s="180"/>
      <c r="CA646" s="180"/>
      <c r="CB646" s="180"/>
      <c r="CC646" s="180"/>
      <c r="CD646" s="180"/>
      <c r="CE646" s="180"/>
      <c r="CF646" s="180"/>
      <c r="CG646" s="180"/>
      <c r="CH646" s="180"/>
      <c r="CI646" s="180"/>
      <c r="CJ646" s="180"/>
      <c r="CK646" s="180"/>
      <c r="CL646" s="180"/>
      <c r="CM646" s="180"/>
      <c r="CN646" s="180"/>
      <c r="CO646" s="180"/>
      <c r="CP646" s="180"/>
      <c r="CQ646" s="180"/>
      <c r="CR646" s="180"/>
      <c r="CS646" s="180"/>
      <c r="CT646" s="180"/>
      <c r="CU646" s="180"/>
      <c r="CV646" s="180"/>
      <c r="CW646" s="180"/>
      <c r="CX646" s="180"/>
      <c r="CY646" s="180"/>
      <c r="CZ646" s="180"/>
      <c r="DA646" s="180"/>
      <c r="DB646" s="180"/>
    </row>
    <row r="647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  <c r="BA647" s="180"/>
      <c r="BB647" s="180"/>
      <c r="BC647" s="180"/>
      <c r="BD647" s="180"/>
      <c r="BE647" s="180"/>
      <c r="BF647" s="180"/>
      <c r="BG647" s="180"/>
      <c r="BH647" s="180"/>
      <c r="BI647" s="180"/>
      <c r="BJ647" s="180"/>
      <c r="BK647" s="180"/>
      <c r="BL647" s="180"/>
      <c r="BM647" s="180"/>
      <c r="BN647" s="180"/>
      <c r="BO647" s="180"/>
      <c r="BP647" s="180"/>
      <c r="BQ647" s="180"/>
      <c r="BR647" s="180"/>
      <c r="BS647" s="180"/>
      <c r="BT647" s="180"/>
      <c r="BU647" s="180"/>
      <c r="BV647" s="180"/>
      <c r="BW647" s="180"/>
      <c r="BX647" s="180"/>
      <c r="BY647" s="180"/>
      <c r="BZ647" s="180"/>
      <c r="CA647" s="180"/>
      <c r="CB647" s="180"/>
      <c r="CC647" s="180"/>
      <c r="CD647" s="180"/>
      <c r="CE647" s="180"/>
      <c r="CF647" s="180"/>
      <c r="CG647" s="180"/>
      <c r="CH647" s="180"/>
      <c r="CI647" s="180"/>
      <c r="CJ647" s="180"/>
      <c r="CK647" s="180"/>
      <c r="CL647" s="180"/>
      <c r="CM647" s="180"/>
      <c r="CN647" s="180"/>
      <c r="CO647" s="180"/>
      <c r="CP647" s="180"/>
      <c r="CQ647" s="180"/>
      <c r="CR647" s="180"/>
      <c r="CS647" s="180"/>
      <c r="CT647" s="180"/>
      <c r="CU647" s="180"/>
      <c r="CV647" s="180"/>
      <c r="CW647" s="180"/>
      <c r="CX647" s="180"/>
      <c r="CY647" s="180"/>
      <c r="CZ647" s="180"/>
      <c r="DA647" s="180"/>
      <c r="DB647" s="180"/>
    </row>
    <row r="648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  <c r="BA648" s="180"/>
      <c r="BB648" s="180"/>
      <c r="BC648" s="180"/>
      <c r="BD648" s="180"/>
      <c r="BE648" s="180"/>
      <c r="BF648" s="180"/>
      <c r="BG648" s="180"/>
      <c r="BH648" s="180"/>
      <c r="BI648" s="180"/>
      <c r="BJ648" s="180"/>
      <c r="BK648" s="180"/>
      <c r="BL648" s="180"/>
      <c r="BM648" s="180"/>
      <c r="BN648" s="180"/>
      <c r="BO648" s="180"/>
      <c r="BP648" s="180"/>
      <c r="BQ648" s="180"/>
      <c r="BR648" s="180"/>
      <c r="BS648" s="180"/>
      <c r="BT648" s="180"/>
      <c r="BU648" s="180"/>
      <c r="BV648" s="180"/>
      <c r="BW648" s="180"/>
      <c r="BX648" s="180"/>
      <c r="BY648" s="180"/>
      <c r="BZ648" s="180"/>
      <c r="CA648" s="180"/>
      <c r="CB648" s="180"/>
      <c r="CC648" s="180"/>
      <c r="CD648" s="180"/>
      <c r="CE648" s="180"/>
      <c r="CF648" s="180"/>
      <c r="CG648" s="180"/>
      <c r="CH648" s="180"/>
      <c r="CI648" s="180"/>
      <c r="CJ648" s="180"/>
      <c r="CK648" s="180"/>
      <c r="CL648" s="180"/>
      <c r="CM648" s="180"/>
      <c r="CN648" s="180"/>
      <c r="CO648" s="180"/>
      <c r="CP648" s="180"/>
      <c r="CQ648" s="180"/>
      <c r="CR648" s="180"/>
      <c r="CS648" s="180"/>
      <c r="CT648" s="180"/>
      <c r="CU648" s="180"/>
      <c r="CV648" s="180"/>
      <c r="CW648" s="180"/>
      <c r="CX648" s="180"/>
      <c r="CY648" s="180"/>
      <c r="CZ648" s="180"/>
      <c r="DA648" s="180"/>
      <c r="DB648" s="180"/>
    </row>
    <row r="649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  <c r="AU649" s="180"/>
      <c r="AV649" s="180"/>
      <c r="AW649" s="180"/>
      <c r="AX649" s="180"/>
      <c r="AY649" s="180"/>
      <c r="AZ649" s="180"/>
      <c r="BA649" s="180"/>
      <c r="BB649" s="180"/>
      <c r="BC649" s="180"/>
      <c r="BD649" s="180"/>
      <c r="BE649" s="180"/>
      <c r="BF649" s="180"/>
      <c r="BG649" s="180"/>
      <c r="BH649" s="180"/>
      <c r="BI649" s="180"/>
      <c r="BJ649" s="180"/>
      <c r="BK649" s="180"/>
      <c r="BL649" s="180"/>
      <c r="BM649" s="180"/>
      <c r="BN649" s="180"/>
      <c r="BO649" s="180"/>
      <c r="BP649" s="180"/>
      <c r="BQ649" s="180"/>
      <c r="BR649" s="180"/>
      <c r="BS649" s="180"/>
      <c r="BT649" s="180"/>
      <c r="BU649" s="180"/>
      <c r="BV649" s="180"/>
      <c r="BW649" s="180"/>
      <c r="BX649" s="180"/>
      <c r="BY649" s="180"/>
      <c r="BZ649" s="180"/>
      <c r="CA649" s="180"/>
      <c r="CB649" s="180"/>
      <c r="CC649" s="180"/>
      <c r="CD649" s="180"/>
      <c r="CE649" s="180"/>
      <c r="CF649" s="180"/>
      <c r="CG649" s="180"/>
      <c r="CH649" s="180"/>
      <c r="CI649" s="180"/>
      <c r="CJ649" s="180"/>
      <c r="CK649" s="180"/>
      <c r="CL649" s="180"/>
      <c r="CM649" s="180"/>
      <c r="CN649" s="180"/>
      <c r="CO649" s="180"/>
      <c r="CP649" s="180"/>
      <c r="CQ649" s="180"/>
      <c r="CR649" s="180"/>
      <c r="CS649" s="180"/>
      <c r="CT649" s="180"/>
      <c r="CU649" s="180"/>
      <c r="CV649" s="180"/>
      <c r="CW649" s="180"/>
      <c r="CX649" s="180"/>
      <c r="CY649" s="180"/>
      <c r="CZ649" s="180"/>
      <c r="DA649" s="180"/>
      <c r="DB649" s="180"/>
    </row>
    <row r="650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  <c r="AU650" s="180"/>
      <c r="AV650" s="180"/>
      <c r="AW650" s="180"/>
      <c r="AX650" s="180"/>
      <c r="AY650" s="180"/>
      <c r="AZ650" s="180"/>
      <c r="BA650" s="180"/>
      <c r="BB650" s="180"/>
      <c r="BC650" s="180"/>
      <c r="BD650" s="180"/>
      <c r="BE650" s="180"/>
      <c r="BF650" s="180"/>
      <c r="BG650" s="180"/>
      <c r="BH650" s="180"/>
      <c r="BI650" s="180"/>
      <c r="BJ650" s="180"/>
      <c r="BK650" s="180"/>
      <c r="BL650" s="180"/>
      <c r="BM650" s="180"/>
      <c r="BN650" s="180"/>
      <c r="BO650" s="180"/>
      <c r="BP650" s="180"/>
      <c r="BQ650" s="180"/>
      <c r="BR650" s="180"/>
      <c r="BS650" s="180"/>
      <c r="BT650" s="180"/>
      <c r="BU650" s="180"/>
      <c r="BV650" s="180"/>
      <c r="BW650" s="180"/>
      <c r="BX650" s="180"/>
      <c r="BY650" s="180"/>
      <c r="BZ650" s="180"/>
      <c r="CA650" s="180"/>
      <c r="CB650" s="180"/>
      <c r="CC650" s="180"/>
      <c r="CD650" s="180"/>
      <c r="CE650" s="180"/>
      <c r="CF650" s="180"/>
      <c r="CG650" s="180"/>
      <c r="CH650" s="180"/>
      <c r="CI650" s="180"/>
      <c r="CJ650" s="180"/>
      <c r="CK650" s="180"/>
      <c r="CL650" s="180"/>
      <c r="CM650" s="180"/>
      <c r="CN650" s="180"/>
      <c r="CO650" s="180"/>
      <c r="CP650" s="180"/>
      <c r="CQ650" s="180"/>
      <c r="CR650" s="180"/>
      <c r="CS650" s="180"/>
      <c r="CT650" s="180"/>
      <c r="CU650" s="180"/>
      <c r="CV650" s="180"/>
      <c r="CW650" s="180"/>
      <c r="CX650" s="180"/>
      <c r="CY650" s="180"/>
      <c r="CZ650" s="180"/>
      <c r="DA650" s="180"/>
      <c r="DB650" s="180"/>
    </row>
    <row r="651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  <c r="AU651" s="180"/>
      <c r="AV651" s="180"/>
      <c r="AW651" s="180"/>
      <c r="AX651" s="180"/>
      <c r="AY651" s="180"/>
      <c r="AZ651" s="180"/>
      <c r="BA651" s="180"/>
      <c r="BB651" s="180"/>
      <c r="BC651" s="180"/>
      <c r="BD651" s="180"/>
      <c r="BE651" s="180"/>
      <c r="BF651" s="180"/>
      <c r="BG651" s="180"/>
      <c r="BH651" s="180"/>
      <c r="BI651" s="180"/>
      <c r="BJ651" s="180"/>
      <c r="BK651" s="180"/>
      <c r="BL651" s="180"/>
      <c r="BM651" s="180"/>
      <c r="BN651" s="180"/>
      <c r="BO651" s="180"/>
      <c r="BP651" s="180"/>
      <c r="BQ651" s="180"/>
      <c r="BR651" s="180"/>
      <c r="BS651" s="180"/>
      <c r="BT651" s="180"/>
      <c r="BU651" s="180"/>
      <c r="BV651" s="180"/>
      <c r="BW651" s="180"/>
      <c r="BX651" s="180"/>
      <c r="BY651" s="180"/>
      <c r="BZ651" s="180"/>
      <c r="CA651" s="180"/>
      <c r="CB651" s="180"/>
      <c r="CC651" s="180"/>
      <c r="CD651" s="180"/>
      <c r="CE651" s="180"/>
      <c r="CF651" s="180"/>
      <c r="CG651" s="180"/>
      <c r="CH651" s="180"/>
      <c r="CI651" s="180"/>
      <c r="CJ651" s="180"/>
      <c r="CK651" s="180"/>
      <c r="CL651" s="180"/>
      <c r="CM651" s="180"/>
      <c r="CN651" s="180"/>
      <c r="CO651" s="180"/>
      <c r="CP651" s="180"/>
      <c r="CQ651" s="180"/>
      <c r="CR651" s="180"/>
      <c r="CS651" s="180"/>
      <c r="CT651" s="180"/>
      <c r="CU651" s="180"/>
      <c r="CV651" s="180"/>
      <c r="CW651" s="180"/>
      <c r="CX651" s="180"/>
      <c r="CY651" s="180"/>
      <c r="CZ651" s="180"/>
      <c r="DA651" s="180"/>
      <c r="DB651" s="180"/>
    </row>
    <row r="652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  <c r="AU652" s="180"/>
      <c r="AV652" s="180"/>
      <c r="AW652" s="180"/>
      <c r="AX652" s="180"/>
      <c r="AY652" s="180"/>
      <c r="AZ652" s="180"/>
      <c r="BA652" s="180"/>
      <c r="BB652" s="180"/>
      <c r="BC652" s="180"/>
      <c r="BD652" s="180"/>
      <c r="BE652" s="180"/>
      <c r="BF652" s="180"/>
      <c r="BG652" s="180"/>
      <c r="BH652" s="180"/>
      <c r="BI652" s="180"/>
      <c r="BJ652" s="180"/>
      <c r="BK652" s="180"/>
      <c r="BL652" s="180"/>
      <c r="BM652" s="180"/>
      <c r="BN652" s="180"/>
      <c r="BO652" s="180"/>
      <c r="BP652" s="180"/>
      <c r="BQ652" s="180"/>
      <c r="BR652" s="180"/>
      <c r="BS652" s="180"/>
      <c r="BT652" s="180"/>
      <c r="BU652" s="180"/>
      <c r="BV652" s="180"/>
      <c r="BW652" s="180"/>
      <c r="BX652" s="180"/>
      <c r="BY652" s="180"/>
      <c r="BZ652" s="180"/>
      <c r="CA652" s="180"/>
      <c r="CB652" s="180"/>
      <c r="CC652" s="180"/>
      <c r="CD652" s="180"/>
      <c r="CE652" s="180"/>
      <c r="CF652" s="180"/>
      <c r="CG652" s="180"/>
      <c r="CH652" s="180"/>
      <c r="CI652" s="180"/>
      <c r="CJ652" s="180"/>
      <c r="CK652" s="180"/>
      <c r="CL652" s="180"/>
      <c r="CM652" s="180"/>
      <c r="CN652" s="180"/>
      <c r="CO652" s="180"/>
      <c r="CP652" s="180"/>
      <c r="CQ652" s="180"/>
      <c r="CR652" s="180"/>
      <c r="CS652" s="180"/>
      <c r="CT652" s="180"/>
      <c r="CU652" s="180"/>
      <c r="CV652" s="180"/>
      <c r="CW652" s="180"/>
      <c r="CX652" s="180"/>
      <c r="CY652" s="180"/>
      <c r="CZ652" s="180"/>
      <c r="DA652" s="180"/>
      <c r="DB652" s="180"/>
    </row>
    <row r="653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  <c r="AU653" s="180"/>
      <c r="AV653" s="180"/>
      <c r="AW653" s="180"/>
      <c r="AX653" s="180"/>
      <c r="AY653" s="180"/>
      <c r="AZ653" s="180"/>
      <c r="BA653" s="180"/>
      <c r="BB653" s="180"/>
      <c r="BC653" s="180"/>
      <c r="BD653" s="180"/>
      <c r="BE653" s="180"/>
      <c r="BF653" s="180"/>
      <c r="BG653" s="180"/>
      <c r="BH653" s="180"/>
      <c r="BI653" s="180"/>
      <c r="BJ653" s="180"/>
      <c r="BK653" s="180"/>
      <c r="BL653" s="180"/>
      <c r="BM653" s="180"/>
      <c r="BN653" s="180"/>
      <c r="BO653" s="180"/>
      <c r="BP653" s="180"/>
      <c r="BQ653" s="180"/>
      <c r="BR653" s="180"/>
      <c r="BS653" s="180"/>
      <c r="BT653" s="180"/>
      <c r="BU653" s="180"/>
      <c r="BV653" s="180"/>
      <c r="BW653" s="180"/>
      <c r="BX653" s="180"/>
      <c r="BY653" s="180"/>
      <c r="BZ653" s="180"/>
      <c r="CA653" s="180"/>
      <c r="CB653" s="180"/>
      <c r="CC653" s="180"/>
      <c r="CD653" s="180"/>
      <c r="CE653" s="180"/>
      <c r="CF653" s="180"/>
      <c r="CG653" s="180"/>
      <c r="CH653" s="180"/>
      <c r="CI653" s="180"/>
      <c r="CJ653" s="180"/>
      <c r="CK653" s="180"/>
      <c r="CL653" s="180"/>
      <c r="CM653" s="180"/>
      <c r="CN653" s="180"/>
      <c r="CO653" s="180"/>
      <c r="CP653" s="180"/>
      <c r="CQ653" s="180"/>
      <c r="CR653" s="180"/>
      <c r="CS653" s="180"/>
      <c r="CT653" s="180"/>
      <c r="CU653" s="180"/>
      <c r="CV653" s="180"/>
      <c r="CW653" s="180"/>
      <c r="CX653" s="180"/>
      <c r="CY653" s="180"/>
      <c r="CZ653" s="180"/>
      <c r="DA653" s="180"/>
      <c r="DB653" s="180"/>
    </row>
    <row r="654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  <c r="AU654" s="180"/>
      <c r="AV654" s="180"/>
      <c r="AW654" s="180"/>
      <c r="AX654" s="180"/>
      <c r="AY654" s="180"/>
      <c r="AZ654" s="180"/>
      <c r="BA654" s="180"/>
      <c r="BB654" s="180"/>
      <c r="BC654" s="180"/>
      <c r="BD654" s="180"/>
      <c r="BE654" s="180"/>
      <c r="BF654" s="180"/>
      <c r="BG654" s="180"/>
      <c r="BH654" s="180"/>
      <c r="BI654" s="180"/>
      <c r="BJ654" s="180"/>
      <c r="BK654" s="180"/>
      <c r="BL654" s="180"/>
      <c r="BM654" s="180"/>
      <c r="BN654" s="180"/>
      <c r="BO654" s="180"/>
      <c r="BP654" s="180"/>
      <c r="BQ654" s="180"/>
      <c r="BR654" s="180"/>
      <c r="BS654" s="180"/>
      <c r="BT654" s="180"/>
      <c r="BU654" s="180"/>
      <c r="BV654" s="180"/>
      <c r="BW654" s="180"/>
      <c r="BX654" s="180"/>
      <c r="BY654" s="180"/>
      <c r="BZ654" s="180"/>
      <c r="CA654" s="180"/>
      <c r="CB654" s="180"/>
      <c r="CC654" s="180"/>
      <c r="CD654" s="180"/>
      <c r="CE654" s="180"/>
      <c r="CF654" s="180"/>
      <c r="CG654" s="180"/>
      <c r="CH654" s="180"/>
      <c r="CI654" s="180"/>
      <c r="CJ654" s="180"/>
      <c r="CK654" s="180"/>
      <c r="CL654" s="180"/>
      <c r="CM654" s="180"/>
      <c r="CN654" s="180"/>
      <c r="CO654" s="180"/>
      <c r="CP654" s="180"/>
      <c r="CQ654" s="180"/>
      <c r="CR654" s="180"/>
      <c r="CS654" s="180"/>
      <c r="CT654" s="180"/>
      <c r="CU654" s="180"/>
      <c r="CV654" s="180"/>
      <c r="CW654" s="180"/>
      <c r="CX654" s="180"/>
      <c r="CY654" s="180"/>
      <c r="CZ654" s="180"/>
      <c r="DA654" s="180"/>
      <c r="DB654" s="180"/>
    </row>
    <row r="655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  <c r="AU655" s="180"/>
      <c r="AV655" s="180"/>
      <c r="AW655" s="180"/>
      <c r="AX655" s="180"/>
      <c r="AY655" s="180"/>
      <c r="AZ655" s="180"/>
      <c r="BA655" s="180"/>
      <c r="BB655" s="180"/>
      <c r="BC655" s="180"/>
      <c r="BD655" s="180"/>
      <c r="BE655" s="180"/>
      <c r="BF655" s="180"/>
      <c r="BG655" s="180"/>
      <c r="BH655" s="180"/>
      <c r="BI655" s="180"/>
      <c r="BJ655" s="180"/>
      <c r="BK655" s="180"/>
      <c r="BL655" s="180"/>
      <c r="BM655" s="180"/>
      <c r="BN655" s="180"/>
      <c r="BO655" s="180"/>
      <c r="BP655" s="180"/>
      <c r="BQ655" s="180"/>
      <c r="BR655" s="180"/>
      <c r="BS655" s="180"/>
      <c r="BT655" s="180"/>
      <c r="BU655" s="180"/>
      <c r="BV655" s="180"/>
      <c r="BW655" s="180"/>
      <c r="BX655" s="180"/>
      <c r="BY655" s="180"/>
      <c r="BZ655" s="180"/>
      <c r="CA655" s="180"/>
      <c r="CB655" s="180"/>
      <c r="CC655" s="180"/>
      <c r="CD655" s="180"/>
      <c r="CE655" s="180"/>
      <c r="CF655" s="180"/>
      <c r="CG655" s="180"/>
      <c r="CH655" s="180"/>
      <c r="CI655" s="180"/>
      <c r="CJ655" s="180"/>
      <c r="CK655" s="180"/>
      <c r="CL655" s="180"/>
      <c r="CM655" s="180"/>
      <c r="CN655" s="180"/>
      <c r="CO655" s="180"/>
      <c r="CP655" s="180"/>
      <c r="CQ655" s="180"/>
      <c r="CR655" s="180"/>
      <c r="CS655" s="180"/>
      <c r="CT655" s="180"/>
      <c r="CU655" s="180"/>
      <c r="CV655" s="180"/>
      <c r="CW655" s="180"/>
      <c r="CX655" s="180"/>
      <c r="CY655" s="180"/>
      <c r="CZ655" s="180"/>
      <c r="DA655" s="180"/>
      <c r="DB655" s="180"/>
    </row>
    <row r="656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  <c r="AU656" s="180"/>
      <c r="AV656" s="180"/>
      <c r="AW656" s="180"/>
      <c r="AX656" s="180"/>
      <c r="AY656" s="180"/>
      <c r="AZ656" s="180"/>
      <c r="BA656" s="180"/>
      <c r="BB656" s="180"/>
      <c r="BC656" s="180"/>
      <c r="BD656" s="180"/>
      <c r="BE656" s="180"/>
      <c r="BF656" s="180"/>
      <c r="BG656" s="180"/>
      <c r="BH656" s="180"/>
      <c r="BI656" s="180"/>
      <c r="BJ656" s="180"/>
      <c r="BK656" s="180"/>
      <c r="BL656" s="180"/>
      <c r="BM656" s="180"/>
      <c r="BN656" s="180"/>
      <c r="BO656" s="180"/>
      <c r="BP656" s="180"/>
      <c r="BQ656" s="180"/>
      <c r="BR656" s="180"/>
      <c r="BS656" s="180"/>
      <c r="BT656" s="180"/>
      <c r="BU656" s="180"/>
      <c r="BV656" s="180"/>
      <c r="BW656" s="180"/>
      <c r="BX656" s="180"/>
      <c r="BY656" s="180"/>
      <c r="BZ656" s="180"/>
      <c r="CA656" s="180"/>
      <c r="CB656" s="180"/>
      <c r="CC656" s="180"/>
      <c r="CD656" s="180"/>
      <c r="CE656" s="180"/>
      <c r="CF656" s="180"/>
      <c r="CG656" s="180"/>
      <c r="CH656" s="180"/>
      <c r="CI656" s="180"/>
      <c r="CJ656" s="180"/>
      <c r="CK656" s="180"/>
      <c r="CL656" s="180"/>
      <c r="CM656" s="180"/>
      <c r="CN656" s="180"/>
      <c r="CO656" s="180"/>
      <c r="CP656" s="180"/>
      <c r="CQ656" s="180"/>
      <c r="CR656" s="180"/>
      <c r="CS656" s="180"/>
      <c r="CT656" s="180"/>
      <c r="CU656" s="180"/>
      <c r="CV656" s="180"/>
      <c r="CW656" s="180"/>
      <c r="CX656" s="180"/>
      <c r="CY656" s="180"/>
      <c r="CZ656" s="180"/>
      <c r="DA656" s="180"/>
      <c r="DB656" s="180"/>
    </row>
    <row r="657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  <c r="BA657" s="180"/>
      <c r="BB657" s="180"/>
      <c r="BC657" s="180"/>
      <c r="BD657" s="180"/>
      <c r="BE657" s="180"/>
      <c r="BF657" s="180"/>
      <c r="BG657" s="180"/>
      <c r="BH657" s="180"/>
      <c r="BI657" s="180"/>
      <c r="BJ657" s="180"/>
      <c r="BK657" s="180"/>
      <c r="BL657" s="180"/>
      <c r="BM657" s="180"/>
      <c r="BN657" s="180"/>
      <c r="BO657" s="180"/>
      <c r="BP657" s="180"/>
      <c r="BQ657" s="180"/>
      <c r="BR657" s="180"/>
      <c r="BS657" s="180"/>
      <c r="BT657" s="180"/>
      <c r="BU657" s="180"/>
      <c r="BV657" s="180"/>
      <c r="BW657" s="180"/>
      <c r="BX657" s="180"/>
      <c r="BY657" s="180"/>
      <c r="BZ657" s="180"/>
      <c r="CA657" s="180"/>
      <c r="CB657" s="180"/>
      <c r="CC657" s="180"/>
      <c r="CD657" s="180"/>
      <c r="CE657" s="180"/>
      <c r="CF657" s="180"/>
      <c r="CG657" s="180"/>
      <c r="CH657" s="180"/>
      <c r="CI657" s="180"/>
      <c r="CJ657" s="180"/>
      <c r="CK657" s="180"/>
      <c r="CL657" s="180"/>
      <c r="CM657" s="180"/>
      <c r="CN657" s="180"/>
      <c r="CO657" s="180"/>
      <c r="CP657" s="180"/>
      <c r="CQ657" s="180"/>
      <c r="CR657" s="180"/>
      <c r="CS657" s="180"/>
      <c r="CT657" s="180"/>
      <c r="CU657" s="180"/>
      <c r="CV657" s="180"/>
      <c r="CW657" s="180"/>
      <c r="CX657" s="180"/>
      <c r="CY657" s="180"/>
      <c r="CZ657" s="180"/>
      <c r="DA657" s="180"/>
      <c r="DB657" s="180"/>
    </row>
    <row r="658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  <c r="AU658" s="180"/>
      <c r="AV658" s="180"/>
      <c r="AW658" s="180"/>
      <c r="AX658" s="180"/>
      <c r="AY658" s="180"/>
      <c r="AZ658" s="180"/>
      <c r="BA658" s="180"/>
      <c r="BB658" s="180"/>
      <c r="BC658" s="180"/>
      <c r="BD658" s="180"/>
      <c r="BE658" s="180"/>
      <c r="BF658" s="180"/>
      <c r="BG658" s="180"/>
      <c r="BH658" s="180"/>
      <c r="BI658" s="180"/>
      <c r="BJ658" s="180"/>
      <c r="BK658" s="180"/>
      <c r="BL658" s="180"/>
      <c r="BM658" s="180"/>
      <c r="BN658" s="180"/>
      <c r="BO658" s="180"/>
      <c r="BP658" s="180"/>
      <c r="BQ658" s="180"/>
      <c r="BR658" s="180"/>
      <c r="BS658" s="180"/>
      <c r="BT658" s="180"/>
      <c r="BU658" s="180"/>
      <c r="BV658" s="180"/>
      <c r="BW658" s="180"/>
      <c r="BX658" s="180"/>
      <c r="BY658" s="180"/>
      <c r="BZ658" s="180"/>
      <c r="CA658" s="180"/>
      <c r="CB658" s="180"/>
      <c r="CC658" s="180"/>
      <c r="CD658" s="180"/>
      <c r="CE658" s="180"/>
      <c r="CF658" s="180"/>
      <c r="CG658" s="180"/>
      <c r="CH658" s="180"/>
      <c r="CI658" s="180"/>
      <c r="CJ658" s="180"/>
      <c r="CK658" s="180"/>
      <c r="CL658" s="180"/>
      <c r="CM658" s="180"/>
      <c r="CN658" s="180"/>
      <c r="CO658" s="180"/>
      <c r="CP658" s="180"/>
      <c r="CQ658" s="180"/>
      <c r="CR658" s="180"/>
      <c r="CS658" s="180"/>
      <c r="CT658" s="180"/>
      <c r="CU658" s="180"/>
      <c r="CV658" s="180"/>
      <c r="CW658" s="180"/>
      <c r="CX658" s="180"/>
      <c r="CY658" s="180"/>
      <c r="CZ658" s="180"/>
      <c r="DA658" s="180"/>
      <c r="DB658" s="180"/>
    </row>
    <row r="659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  <c r="AU659" s="180"/>
      <c r="AV659" s="180"/>
      <c r="AW659" s="180"/>
      <c r="AX659" s="180"/>
      <c r="AY659" s="180"/>
      <c r="AZ659" s="180"/>
      <c r="BA659" s="180"/>
      <c r="BB659" s="180"/>
      <c r="BC659" s="180"/>
      <c r="BD659" s="180"/>
      <c r="BE659" s="180"/>
      <c r="BF659" s="180"/>
      <c r="BG659" s="180"/>
      <c r="BH659" s="180"/>
      <c r="BI659" s="180"/>
      <c r="BJ659" s="180"/>
      <c r="BK659" s="180"/>
      <c r="BL659" s="180"/>
      <c r="BM659" s="180"/>
      <c r="BN659" s="180"/>
      <c r="BO659" s="180"/>
      <c r="BP659" s="180"/>
      <c r="BQ659" s="180"/>
      <c r="BR659" s="180"/>
      <c r="BS659" s="180"/>
      <c r="BT659" s="180"/>
      <c r="BU659" s="180"/>
      <c r="BV659" s="180"/>
      <c r="BW659" s="180"/>
      <c r="BX659" s="180"/>
      <c r="BY659" s="180"/>
      <c r="BZ659" s="180"/>
      <c r="CA659" s="180"/>
      <c r="CB659" s="180"/>
      <c r="CC659" s="180"/>
      <c r="CD659" s="180"/>
      <c r="CE659" s="180"/>
      <c r="CF659" s="180"/>
      <c r="CG659" s="180"/>
      <c r="CH659" s="180"/>
      <c r="CI659" s="180"/>
      <c r="CJ659" s="180"/>
      <c r="CK659" s="180"/>
      <c r="CL659" s="180"/>
      <c r="CM659" s="180"/>
      <c r="CN659" s="180"/>
      <c r="CO659" s="180"/>
      <c r="CP659" s="180"/>
      <c r="CQ659" s="180"/>
      <c r="CR659" s="180"/>
      <c r="CS659" s="180"/>
      <c r="CT659" s="180"/>
      <c r="CU659" s="180"/>
      <c r="CV659" s="180"/>
      <c r="CW659" s="180"/>
      <c r="CX659" s="180"/>
      <c r="CY659" s="180"/>
      <c r="CZ659" s="180"/>
      <c r="DA659" s="180"/>
      <c r="DB659" s="180"/>
    </row>
    <row r="660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  <c r="K660" s="180"/>
      <c r="L660" s="180"/>
      <c r="M660" s="180"/>
      <c r="N660" s="180"/>
      <c r="O660" s="180"/>
      <c r="P660" s="180"/>
      <c r="Q660" s="180"/>
      <c r="R660" s="180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  <c r="AG660" s="180"/>
      <c r="AH660" s="180"/>
      <c r="AI660" s="180"/>
      <c r="AJ660" s="180"/>
      <c r="AK660" s="180"/>
      <c r="AL660" s="180"/>
      <c r="AM660" s="180"/>
      <c r="AN660" s="180"/>
      <c r="AO660" s="180"/>
      <c r="AP660" s="180"/>
      <c r="AQ660" s="180"/>
      <c r="AR660" s="180"/>
      <c r="AS660" s="180"/>
      <c r="AT660" s="180"/>
      <c r="AU660" s="180"/>
      <c r="AV660" s="180"/>
      <c r="AW660" s="180"/>
      <c r="AX660" s="180"/>
      <c r="AY660" s="180"/>
      <c r="AZ660" s="180"/>
      <c r="BA660" s="180"/>
      <c r="BB660" s="180"/>
      <c r="BC660" s="180"/>
      <c r="BD660" s="180"/>
      <c r="BE660" s="180"/>
      <c r="BF660" s="180"/>
      <c r="BG660" s="180"/>
      <c r="BH660" s="180"/>
      <c r="BI660" s="180"/>
      <c r="BJ660" s="180"/>
      <c r="BK660" s="180"/>
      <c r="BL660" s="180"/>
      <c r="BM660" s="180"/>
      <c r="BN660" s="180"/>
      <c r="BO660" s="180"/>
      <c r="BP660" s="180"/>
      <c r="BQ660" s="180"/>
      <c r="BR660" s="180"/>
      <c r="BS660" s="180"/>
      <c r="BT660" s="180"/>
      <c r="BU660" s="180"/>
      <c r="BV660" s="180"/>
      <c r="BW660" s="180"/>
      <c r="BX660" s="180"/>
      <c r="BY660" s="180"/>
      <c r="BZ660" s="180"/>
      <c r="CA660" s="180"/>
      <c r="CB660" s="180"/>
      <c r="CC660" s="180"/>
      <c r="CD660" s="180"/>
      <c r="CE660" s="180"/>
      <c r="CF660" s="180"/>
      <c r="CG660" s="180"/>
      <c r="CH660" s="180"/>
      <c r="CI660" s="180"/>
      <c r="CJ660" s="180"/>
      <c r="CK660" s="180"/>
      <c r="CL660" s="180"/>
      <c r="CM660" s="180"/>
      <c r="CN660" s="180"/>
      <c r="CO660" s="180"/>
      <c r="CP660" s="180"/>
      <c r="CQ660" s="180"/>
      <c r="CR660" s="180"/>
      <c r="CS660" s="180"/>
      <c r="CT660" s="180"/>
      <c r="CU660" s="180"/>
      <c r="CV660" s="180"/>
      <c r="CW660" s="180"/>
      <c r="CX660" s="180"/>
      <c r="CY660" s="180"/>
      <c r="CZ660" s="180"/>
      <c r="DA660" s="180"/>
      <c r="DB660" s="180"/>
    </row>
    <row r="661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  <c r="AU661" s="180"/>
      <c r="AV661" s="180"/>
      <c r="AW661" s="180"/>
      <c r="AX661" s="180"/>
      <c r="AY661" s="180"/>
      <c r="AZ661" s="180"/>
      <c r="BA661" s="180"/>
      <c r="BB661" s="180"/>
      <c r="BC661" s="180"/>
      <c r="BD661" s="180"/>
      <c r="BE661" s="180"/>
      <c r="BF661" s="180"/>
      <c r="BG661" s="180"/>
      <c r="BH661" s="180"/>
      <c r="BI661" s="180"/>
      <c r="BJ661" s="180"/>
      <c r="BK661" s="180"/>
      <c r="BL661" s="180"/>
      <c r="BM661" s="180"/>
      <c r="BN661" s="180"/>
      <c r="BO661" s="180"/>
      <c r="BP661" s="180"/>
      <c r="BQ661" s="180"/>
      <c r="BR661" s="180"/>
      <c r="BS661" s="180"/>
      <c r="BT661" s="180"/>
      <c r="BU661" s="180"/>
      <c r="BV661" s="180"/>
      <c r="BW661" s="180"/>
      <c r="BX661" s="180"/>
      <c r="BY661" s="180"/>
      <c r="BZ661" s="180"/>
      <c r="CA661" s="180"/>
      <c r="CB661" s="180"/>
      <c r="CC661" s="180"/>
      <c r="CD661" s="180"/>
      <c r="CE661" s="180"/>
      <c r="CF661" s="180"/>
      <c r="CG661" s="180"/>
      <c r="CH661" s="180"/>
      <c r="CI661" s="180"/>
      <c r="CJ661" s="180"/>
      <c r="CK661" s="180"/>
      <c r="CL661" s="180"/>
      <c r="CM661" s="180"/>
      <c r="CN661" s="180"/>
      <c r="CO661" s="180"/>
      <c r="CP661" s="180"/>
      <c r="CQ661" s="180"/>
      <c r="CR661" s="180"/>
      <c r="CS661" s="180"/>
      <c r="CT661" s="180"/>
      <c r="CU661" s="180"/>
      <c r="CV661" s="180"/>
      <c r="CW661" s="180"/>
      <c r="CX661" s="180"/>
      <c r="CY661" s="180"/>
      <c r="CZ661" s="180"/>
      <c r="DA661" s="180"/>
      <c r="DB661" s="180"/>
    </row>
    <row r="662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  <c r="AU662" s="180"/>
      <c r="AV662" s="180"/>
      <c r="AW662" s="180"/>
      <c r="AX662" s="180"/>
      <c r="AY662" s="180"/>
      <c r="AZ662" s="180"/>
      <c r="BA662" s="180"/>
      <c r="BB662" s="180"/>
      <c r="BC662" s="180"/>
      <c r="BD662" s="180"/>
      <c r="BE662" s="180"/>
      <c r="BF662" s="180"/>
      <c r="BG662" s="180"/>
      <c r="BH662" s="180"/>
      <c r="BI662" s="180"/>
      <c r="BJ662" s="180"/>
      <c r="BK662" s="180"/>
      <c r="BL662" s="180"/>
      <c r="BM662" s="180"/>
      <c r="BN662" s="180"/>
      <c r="BO662" s="180"/>
      <c r="BP662" s="180"/>
      <c r="BQ662" s="180"/>
      <c r="BR662" s="180"/>
      <c r="BS662" s="180"/>
      <c r="BT662" s="180"/>
      <c r="BU662" s="180"/>
      <c r="BV662" s="180"/>
      <c r="BW662" s="180"/>
      <c r="BX662" s="180"/>
      <c r="BY662" s="180"/>
      <c r="BZ662" s="180"/>
      <c r="CA662" s="180"/>
      <c r="CB662" s="180"/>
      <c r="CC662" s="180"/>
      <c r="CD662" s="180"/>
      <c r="CE662" s="180"/>
      <c r="CF662" s="180"/>
      <c r="CG662" s="180"/>
      <c r="CH662" s="180"/>
      <c r="CI662" s="180"/>
      <c r="CJ662" s="180"/>
      <c r="CK662" s="180"/>
      <c r="CL662" s="180"/>
      <c r="CM662" s="180"/>
      <c r="CN662" s="180"/>
      <c r="CO662" s="180"/>
      <c r="CP662" s="180"/>
      <c r="CQ662" s="180"/>
      <c r="CR662" s="180"/>
      <c r="CS662" s="180"/>
      <c r="CT662" s="180"/>
      <c r="CU662" s="180"/>
      <c r="CV662" s="180"/>
      <c r="CW662" s="180"/>
      <c r="CX662" s="180"/>
      <c r="CY662" s="180"/>
      <c r="CZ662" s="180"/>
      <c r="DA662" s="180"/>
      <c r="DB662" s="180"/>
    </row>
    <row r="663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  <c r="AU663" s="180"/>
      <c r="AV663" s="180"/>
      <c r="AW663" s="180"/>
      <c r="AX663" s="180"/>
      <c r="AY663" s="180"/>
      <c r="AZ663" s="180"/>
      <c r="BA663" s="180"/>
      <c r="BB663" s="180"/>
      <c r="BC663" s="180"/>
      <c r="BD663" s="180"/>
      <c r="BE663" s="180"/>
      <c r="BF663" s="180"/>
      <c r="BG663" s="180"/>
      <c r="BH663" s="180"/>
      <c r="BI663" s="180"/>
      <c r="BJ663" s="180"/>
      <c r="BK663" s="180"/>
      <c r="BL663" s="180"/>
      <c r="BM663" s="180"/>
      <c r="BN663" s="180"/>
      <c r="BO663" s="180"/>
      <c r="BP663" s="180"/>
      <c r="BQ663" s="180"/>
      <c r="BR663" s="180"/>
      <c r="BS663" s="180"/>
      <c r="BT663" s="180"/>
      <c r="BU663" s="180"/>
      <c r="BV663" s="180"/>
      <c r="BW663" s="180"/>
      <c r="BX663" s="180"/>
      <c r="BY663" s="180"/>
      <c r="BZ663" s="180"/>
      <c r="CA663" s="180"/>
      <c r="CB663" s="180"/>
      <c r="CC663" s="180"/>
      <c r="CD663" s="180"/>
      <c r="CE663" s="180"/>
      <c r="CF663" s="180"/>
      <c r="CG663" s="180"/>
      <c r="CH663" s="180"/>
      <c r="CI663" s="180"/>
      <c r="CJ663" s="180"/>
      <c r="CK663" s="180"/>
      <c r="CL663" s="180"/>
      <c r="CM663" s="180"/>
      <c r="CN663" s="180"/>
      <c r="CO663" s="180"/>
      <c r="CP663" s="180"/>
      <c r="CQ663" s="180"/>
      <c r="CR663" s="180"/>
      <c r="CS663" s="180"/>
      <c r="CT663" s="180"/>
      <c r="CU663" s="180"/>
      <c r="CV663" s="180"/>
      <c r="CW663" s="180"/>
      <c r="CX663" s="180"/>
      <c r="CY663" s="180"/>
      <c r="CZ663" s="180"/>
      <c r="DA663" s="180"/>
      <c r="DB663" s="180"/>
    </row>
    <row r="664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  <c r="AU664" s="180"/>
      <c r="AV664" s="180"/>
      <c r="AW664" s="180"/>
      <c r="AX664" s="180"/>
      <c r="AY664" s="180"/>
      <c r="AZ664" s="180"/>
      <c r="BA664" s="180"/>
      <c r="BB664" s="180"/>
      <c r="BC664" s="180"/>
      <c r="BD664" s="180"/>
      <c r="BE664" s="180"/>
      <c r="BF664" s="180"/>
      <c r="BG664" s="180"/>
      <c r="BH664" s="180"/>
      <c r="BI664" s="180"/>
      <c r="BJ664" s="180"/>
      <c r="BK664" s="180"/>
      <c r="BL664" s="180"/>
      <c r="BM664" s="180"/>
      <c r="BN664" s="180"/>
      <c r="BO664" s="180"/>
      <c r="BP664" s="180"/>
      <c r="BQ664" s="180"/>
      <c r="BR664" s="180"/>
      <c r="BS664" s="180"/>
      <c r="BT664" s="180"/>
      <c r="BU664" s="180"/>
      <c r="BV664" s="180"/>
      <c r="BW664" s="180"/>
      <c r="BX664" s="180"/>
      <c r="BY664" s="180"/>
      <c r="BZ664" s="180"/>
      <c r="CA664" s="180"/>
      <c r="CB664" s="180"/>
      <c r="CC664" s="180"/>
      <c r="CD664" s="180"/>
      <c r="CE664" s="180"/>
      <c r="CF664" s="180"/>
      <c r="CG664" s="180"/>
      <c r="CH664" s="180"/>
      <c r="CI664" s="180"/>
      <c r="CJ664" s="180"/>
      <c r="CK664" s="180"/>
      <c r="CL664" s="180"/>
      <c r="CM664" s="180"/>
      <c r="CN664" s="180"/>
      <c r="CO664" s="180"/>
      <c r="CP664" s="180"/>
      <c r="CQ664" s="180"/>
      <c r="CR664" s="180"/>
      <c r="CS664" s="180"/>
      <c r="CT664" s="180"/>
      <c r="CU664" s="180"/>
      <c r="CV664" s="180"/>
      <c r="CW664" s="180"/>
      <c r="CX664" s="180"/>
      <c r="CY664" s="180"/>
      <c r="CZ664" s="180"/>
      <c r="DA664" s="180"/>
      <c r="DB664" s="180"/>
    </row>
    <row r="665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180"/>
      <c r="R665" s="180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  <c r="AG665" s="180"/>
      <c r="AH665" s="180"/>
      <c r="AI665" s="180"/>
      <c r="AJ665" s="180"/>
      <c r="AK665" s="180"/>
      <c r="AL665" s="180"/>
      <c r="AM665" s="180"/>
      <c r="AN665" s="180"/>
      <c r="AO665" s="180"/>
      <c r="AP665" s="180"/>
      <c r="AQ665" s="180"/>
      <c r="AR665" s="180"/>
      <c r="AS665" s="180"/>
      <c r="AT665" s="180"/>
      <c r="AU665" s="180"/>
      <c r="AV665" s="180"/>
      <c r="AW665" s="180"/>
      <c r="AX665" s="180"/>
      <c r="AY665" s="180"/>
      <c r="AZ665" s="180"/>
      <c r="BA665" s="180"/>
      <c r="BB665" s="180"/>
      <c r="BC665" s="180"/>
      <c r="BD665" s="180"/>
      <c r="BE665" s="180"/>
      <c r="BF665" s="180"/>
      <c r="BG665" s="180"/>
      <c r="BH665" s="180"/>
      <c r="BI665" s="180"/>
      <c r="BJ665" s="180"/>
      <c r="BK665" s="180"/>
      <c r="BL665" s="180"/>
      <c r="BM665" s="180"/>
      <c r="BN665" s="180"/>
      <c r="BO665" s="180"/>
      <c r="BP665" s="180"/>
      <c r="BQ665" s="180"/>
      <c r="BR665" s="180"/>
      <c r="BS665" s="180"/>
      <c r="BT665" s="180"/>
      <c r="BU665" s="180"/>
      <c r="BV665" s="180"/>
      <c r="BW665" s="180"/>
      <c r="BX665" s="180"/>
      <c r="BY665" s="180"/>
      <c r="BZ665" s="180"/>
      <c r="CA665" s="180"/>
      <c r="CB665" s="180"/>
      <c r="CC665" s="180"/>
      <c r="CD665" s="180"/>
      <c r="CE665" s="180"/>
      <c r="CF665" s="180"/>
      <c r="CG665" s="180"/>
      <c r="CH665" s="180"/>
      <c r="CI665" s="180"/>
      <c r="CJ665" s="180"/>
      <c r="CK665" s="180"/>
      <c r="CL665" s="180"/>
      <c r="CM665" s="180"/>
      <c r="CN665" s="180"/>
      <c r="CO665" s="180"/>
      <c r="CP665" s="180"/>
      <c r="CQ665" s="180"/>
      <c r="CR665" s="180"/>
      <c r="CS665" s="180"/>
      <c r="CT665" s="180"/>
      <c r="CU665" s="180"/>
      <c r="CV665" s="180"/>
      <c r="CW665" s="180"/>
      <c r="CX665" s="180"/>
      <c r="CY665" s="180"/>
      <c r="CZ665" s="180"/>
      <c r="DA665" s="180"/>
      <c r="DB665" s="180"/>
    </row>
    <row r="666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  <c r="BA666" s="180"/>
      <c r="BB666" s="180"/>
      <c r="BC666" s="180"/>
      <c r="BD666" s="180"/>
      <c r="BE666" s="180"/>
      <c r="BF666" s="180"/>
      <c r="BG666" s="180"/>
      <c r="BH666" s="180"/>
      <c r="BI666" s="180"/>
      <c r="BJ666" s="180"/>
      <c r="BK666" s="180"/>
      <c r="BL666" s="180"/>
      <c r="BM666" s="180"/>
      <c r="BN666" s="180"/>
      <c r="BO666" s="180"/>
      <c r="BP666" s="180"/>
      <c r="BQ666" s="180"/>
      <c r="BR666" s="180"/>
      <c r="BS666" s="180"/>
      <c r="BT666" s="180"/>
      <c r="BU666" s="180"/>
      <c r="BV666" s="180"/>
      <c r="BW666" s="180"/>
      <c r="BX666" s="180"/>
      <c r="BY666" s="180"/>
      <c r="BZ666" s="180"/>
      <c r="CA666" s="180"/>
      <c r="CB666" s="180"/>
      <c r="CC666" s="180"/>
      <c r="CD666" s="180"/>
      <c r="CE666" s="180"/>
      <c r="CF666" s="180"/>
      <c r="CG666" s="180"/>
      <c r="CH666" s="180"/>
      <c r="CI666" s="180"/>
      <c r="CJ666" s="180"/>
      <c r="CK666" s="180"/>
      <c r="CL666" s="180"/>
      <c r="CM666" s="180"/>
      <c r="CN666" s="180"/>
      <c r="CO666" s="180"/>
      <c r="CP666" s="180"/>
      <c r="CQ666" s="180"/>
      <c r="CR666" s="180"/>
      <c r="CS666" s="180"/>
      <c r="CT666" s="180"/>
      <c r="CU666" s="180"/>
      <c r="CV666" s="180"/>
      <c r="CW666" s="180"/>
      <c r="CX666" s="180"/>
      <c r="CY666" s="180"/>
      <c r="CZ666" s="180"/>
      <c r="DA666" s="180"/>
      <c r="DB666" s="180"/>
    </row>
    <row r="667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  <c r="AU667" s="180"/>
      <c r="AV667" s="180"/>
      <c r="AW667" s="180"/>
      <c r="AX667" s="180"/>
      <c r="AY667" s="180"/>
      <c r="AZ667" s="180"/>
      <c r="BA667" s="180"/>
      <c r="BB667" s="180"/>
      <c r="BC667" s="180"/>
      <c r="BD667" s="180"/>
      <c r="BE667" s="180"/>
      <c r="BF667" s="180"/>
      <c r="BG667" s="180"/>
      <c r="BH667" s="180"/>
      <c r="BI667" s="180"/>
      <c r="BJ667" s="180"/>
      <c r="BK667" s="180"/>
      <c r="BL667" s="180"/>
      <c r="BM667" s="180"/>
      <c r="BN667" s="180"/>
      <c r="BO667" s="180"/>
      <c r="BP667" s="180"/>
      <c r="BQ667" s="180"/>
      <c r="BR667" s="180"/>
      <c r="BS667" s="180"/>
      <c r="BT667" s="180"/>
      <c r="BU667" s="180"/>
      <c r="BV667" s="180"/>
      <c r="BW667" s="180"/>
      <c r="BX667" s="180"/>
      <c r="BY667" s="180"/>
      <c r="BZ667" s="180"/>
      <c r="CA667" s="180"/>
      <c r="CB667" s="180"/>
      <c r="CC667" s="180"/>
      <c r="CD667" s="180"/>
      <c r="CE667" s="180"/>
      <c r="CF667" s="180"/>
      <c r="CG667" s="180"/>
      <c r="CH667" s="180"/>
      <c r="CI667" s="180"/>
      <c r="CJ667" s="180"/>
      <c r="CK667" s="180"/>
      <c r="CL667" s="180"/>
      <c r="CM667" s="180"/>
      <c r="CN667" s="180"/>
      <c r="CO667" s="180"/>
      <c r="CP667" s="180"/>
      <c r="CQ667" s="180"/>
      <c r="CR667" s="180"/>
      <c r="CS667" s="180"/>
      <c r="CT667" s="180"/>
      <c r="CU667" s="180"/>
      <c r="CV667" s="180"/>
      <c r="CW667" s="180"/>
      <c r="CX667" s="180"/>
      <c r="CY667" s="180"/>
      <c r="CZ667" s="180"/>
      <c r="DA667" s="180"/>
      <c r="DB667" s="180"/>
    </row>
    <row r="668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  <c r="BA668" s="180"/>
      <c r="BB668" s="180"/>
      <c r="BC668" s="180"/>
      <c r="BD668" s="180"/>
      <c r="BE668" s="180"/>
      <c r="BF668" s="180"/>
      <c r="BG668" s="180"/>
      <c r="BH668" s="180"/>
      <c r="BI668" s="180"/>
      <c r="BJ668" s="180"/>
      <c r="BK668" s="180"/>
      <c r="BL668" s="180"/>
      <c r="BM668" s="180"/>
      <c r="BN668" s="180"/>
      <c r="BO668" s="180"/>
      <c r="BP668" s="180"/>
      <c r="BQ668" s="180"/>
      <c r="BR668" s="180"/>
      <c r="BS668" s="180"/>
      <c r="BT668" s="180"/>
      <c r="BU668" s="180"/>
      <c r="BV668" s="180"/>
      <c r="BW668" s="180"/>
      <c r="BX668" s="180"/>
      <c r="BY668" s="180"/>
      <c r="BZ668" s="180"/>
      <c r="CA668" s="180"/>
      <c r="CB668" s="180"/>
      <c r="CC668" s="180"/>
      <c r="CD668" s="180"/>
      <c r="CE668" s="180"/>
      <c r="CF668" s="180"/>
      <c r="CG668" s="180"/>
      <c r="CH668" s="180"/>
      <c r="CI668" s="180"/>
      <c r="CJ668" s="180"/>
      <c r="CK668" s="180"/>
      <c r="CL668" s="180"/>
      <c r="CM668" s="180"/>
      <c r="CN668" s="180"/>
      <c r="CO668" s="180"/>
      <c r="CP668" s="180"/>
      <c r="CQ668" s="180"/>
      <c r="CR668" s="180"/>
      <c r="CS668" s="180"/>
      <c r="CT668" s="180"/>
      <c r="CU668" s="180"/>
      <c r="CV668" s="180"/>
      <c r="CW668" s="180"/>
      <c r="CX668" s="180"/>
      <c r="CY668" s="180"/>
      <c r="CZ668" s="180"/>
      <c r="DA668" s="180"/>
      <c r="DB668" s="180"/>
    </row>
    <row r="669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  <c r="AU669" s="180"/>
      <c r="AV669" s="180"/>
      <c r="AW669" s="180"/>
      <c r="AX669" s="180"/>
      <c r="AY669" s="180"/>
      <c r="AZ669" s="180"/>
      <c r="BA669" s="180"/>
      <c r="BB669" s="180"/>
      <c r="BC669" s="180"/>
      <c r="BD669" s="180"/>
      <c r="BE669" s="180"/>
      <c r="BF669" s="180"/>
      <c r="BG669" s="180"/>
      <c r="BH669" s="180"/>
      <c r="BI669" s="180"/>
      <c r="BJ669" s="180"/>
      <c r="BK669" s="180"/>
      <c r="BL669" s="180"/>
      <c r="BM669" s="180"/>
      <c r="BN669" s="180"/>
      <c r="BO669" s="180"/>
      <c r="BP669" s="180"/>
      <c r="BQ669" s="180"/>
      <c r="BR669" s="180"/>
      <c r="BS669" s="180"/>
      <c r="BT669" s="180"/>
      <c r="BU669" s="180"/>
      <c r="BV669" s="180"/>
      <c r="BW669" s="180"/>
      <c r="BX669" s="180"/>
      <c r="BY669" s="180"/>
      <c r="BZ669" s="180"/>
      <c r="CA669" s="180"/>
      <c r="CB669" s="180"/>
      <c r="CC669" s="180"/>
      <c r="CD669" s="180"/>
      <c r="CE669" s="180"/>
      <c r="CF669" s="180"/>
      <c r="CG669" s="180"/>
      <c r="CH669" s="180"/>
      <c r="CI669" s="180"/>
      <c r="CJ669" s="180"/>
      <c r="CK669" s="180"/>
      <c r="CL669" s="180"/>
      <c r="CM669" s="180"/>
      <c r="CN669" s="180"/>
      <c r="CO669" s="180"/>
      <c r="CP669" s="180"/>
      <c r="CQ669" s="180"/>
      <c r="CR669" s="180"/>
      <c r="CS669" s="180"/>
      <c r="CT669" s="180"/>
      <c r="CU669" s="180"/>
      <c r="CV669" s="180"/>
      <c r="CW669" s="180"/>
      <c r="CX669" s="180"/>
      <c r="CY669" s="180"/>
      <c r="CZ669" s="180"/>
      <c r="DA669" s="180"/>
      <c r="DB669" s="180"/>
    </row>
    <row r="670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  <c r="AU670" s="180"/>
      <c r="AV670" s="180"/>
      <c r="AW670" s="180"/>
      <c r="AX670" s="180"/>
      <c r="AY670" s="180"/>
      <c r="AZ670" s="180"/>
      <c r="BA670" s="180"/>
      <c r="BB670" s="180"/>
      <c r="BC670" s="180"/>
      <c r="BD670" s="180"/>
      <c r="BE670" s="180"/>
      <c r="BF670" s="180"/>
      <c r="BG670" s="180"/>
      <c r="BH670" s="180"/>
      <c r="BI670" s="180"/>
      <c r="BJ670" s="180"/>
      <c r="BK670" s="180"/>
      <c r="BL670" s="180"/>
      <c r="BM670" s="180"/>
      <c r="BN670" s="180"/>
      <c r="BO670" s="180"/>
      <c r="BP670" s="180"/>
      <c r="BQ670" s="180"/>
      <c r="BR670" s="180"/>
      <c r="BS670" s="180"/>
      <c r="BT670" s="180"/>
      <c r="BU670" s="180"/>
      <c r="BV670" s="180"/>
      <c r="BW670" s="180"/>
      <c r="BX670" s="180"/>
      <c r="BY670" s="180"/>
      <c r="BZ670" s="180"/>
      <c r="CA670" s="180"/>
      <c r="CB670" s="180"/>
      <c r="CC670" s="180"/>
      <c r="CD670" s="180"/>
      <c r="CE670" s="180"/>
      <c r="CF670" s="180"/>
      <c r="CG670" s="180"/>
      <c r="CH670" s="180"/>
      <c r="CI670" s="180"/>
      <c r="CJ670" s="180"/>
      <c r="CK670" s="180"/>
      <c r="CL670" s="180"/>
      <c r="CM670" s="180"/>
      <c r="CN670" s="180"/>
      <c r="CO670" s="180"/>
      <c r="CP670" s="180"/>
      <c r="CQ670" s="180"/>
      <c r="CR670" s="180"/>
      <c r="CS670" s="180"/>
      <c r="CT670" s="180"/>
      <c r="CU670" s="180"/>
      <c r="CV670" s="180"/>
      <c r="CW670" s="180"/>
      <c r="CX670" s="180"/>
      <c r="CY670" s="180"/>
      <c r="CZ670" s="180"/>
      <c r="DA670" s="180"/>
      <c r="DB670" s="180"/>
    </row>
    <row r="671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180"/>
      <c r="AW671" s="180"/>
      <c r="AX671" s="180"/>
      <c r="AY671" s="180"/>
      <c r="AZ671" s="180"/>
      <c r="BA671" s="180"/>
      <c r="BB671" s="180"/>
      <c r="BC671" s="180"/>
      <c r="BD671" s="180"/>
      <c r="BE671" s="180"/>
      <c r="BF671" s="180"/>
      <c r="BG671" s="180"/>
      <c r="BH671" s="180"/>
      <c r="BI671" s="180"/>
      <c r="BJ671" s="180"/>
      <c r="BK671" s="180"/>
      <c r="BL671" s="180"/>
      <c r="BM671" s="180"/>
      <c r="BN671" s="180"/>
      <c r="BO671" s="180"/>
      <c r="BP671" s="180"/>
      <c r="BQ671" s="180"/>
      <c r="BR671" s="180"/>
      <c r="BS671" s="180"/>
      <c r="BT671" s="180"/>
      <c r="BU671" s="180"/>
      <c r="BV671" s="180"/>
      <c r="BW671" s="180"/>
      <c r="BX671" s="180"/>
      <c r="BY671" s="180"/>
      <c r="BZ671" s="180"/>
      <c r="CA671" s="180"/>
      <c r="CB671" s="180"/>
      <c r="CC671" s="180"/>
      <c r="CD671" s="180"/>
      <c r="CE671" s="180"/>
      <c r="CF671" s="180"/>
      <c r="CG671" s="180"/>
      <c r="CH671" s="180"/>
      <c r="CI671" s="180"/>
      <c r="CJ671" s="180"/>
      <c r="CK671" s="180"/>
      <c r="CL671" s="180"/>
      <c r="CM671" s="180"/>
      <c r="CN671" s="180"/>
      <c r="CO671" s="180"/>
      <c r="CP671" s="180"/>
      <c r="CQ671" s="180"/>
      <c r="CR671" s="180"/>
      <c r="CS671" s="180"/>
      <c r="CT671" s="180"/>
      <c r="CU671" s="180"/>
      <c r="CV671" s="180"/>
      <c r="CW671" s="180"/>
      <c r="CX671" s="180"/>
      <c r="CY671" s="180"/>
      <c r="CZ671" s="180"/>
      <c r="DA671" s="180"/>
      <c r="DB671" s="180"/>
    </row>
    <row r="672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  <c r="AU672" s="180"/>
      <c r="AV672" s="180"/>
      <c r="AW672" s="180"/>
      <c r="AX672" s="180"/>
      <c r="AY672" s="180"/>
      <c r="AZ672" s="180"/>
      <c r="BA672" s="180"/>
      <c r="BB672" s="180"/>
      <c r="BC672" s="180"/>
      <c r="BD672" s="180"/>
      <c r="BE672" s="180"/>
      <c r="BF672" s="180"/>
      <c r="BG672" s="180"/>
      <c r="BH672" s="180"/>
      <c r="BI672" s="180"/>
      <c r="BJ672" s="180"/>
      <c r="BK672" s="180"/>
      <c r="BL672" s="180"/>
      <c r="BM672" s="180"/>
      <c r="BN672" s="180"/>
      <c r="BO672" s="180"/>
      <c r="BP672" s="180"/>
      <c r="BQ672" s="180"/>
      <c r="BR672" s="180"/>
      <c r="BS672" s="180"/>
      <c r="BT672" s="180"/>
      <c r="BU672" s="180"/>
      <c r="BV672" s="180"/>
      <c r="BW672" s="180"/>
      <c r="BX672" s="180"/>
      <c r="BY672" s="180"/>
      <c r="BZ672" s="180"/>
      <c r="CA672" s="180"/>
      <c r="CB672" s="180"/>
      <c r="CC672" s="180"/>
      <c r="CD672" s="180"/>
      <c r="CE672" s="180"/>
      <c r="CF672" s="180"/>
      <c r="CG672" s="180"/>
      <c r="CH672" s="180"/>
      <c r="CI672" s="180"/>
      <c r="CJ672" s="180"/>
      <c r="CK672" s="180"/>
      <c r="CL672" s="180"/>
      <c r="CM672" s="180"/>
      <c r="CN672" s="180"/>
      <c r="CO672" s="180"/>
      <c r="CP672" s="180"/>
      <c r="CQ672" s="180"/>
      <c r="CR672" s="180"/>
      <c r="CS672" s="180"/>
      <c r="CT672" s="180"/>
      <c r="CU672" s="180"/>
      <c r="CV672" s="180"/>
      <c r="CW672" s="180"/>
      <c r="CX672" s="180"/>
      <c r="CY672" s="180"/>
      <c r="CZ672" s="180"/>
      <c r="DA672" s="180"/>
      <c r="DB672" s="180"/>
    </row>
    <row r="673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  <c r="K673" s="180"/>
      <c r="L673" s="180"/>
      <c r="M673" s="180"/>
      <c r="N673" s="180"/>
      <c r="O673" s="180"/>
      <c r="P673" s="180"/>
      <c r="Q673" s="180"/>
      <c r="R673" s="180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  <c r="AG673" s="180"/>
      <c r="AH673" s="180"/>
      <c r="AI673" s="180"/>
      <c r="AJ673" s="180"/>
      <c r="AK673" s="180"/>
      <c r="AL673" s="180"/>
      <c r="AM673" s="180"/>
      <c r="AN673" s="180"/>
      <c r="AO673" s="180"/>
      <c r="AP673" s="180"/>
      <c r="AQ673" s="180"/>
      <c r="AR673" s="180"/>
      <c r="AS673" s="180"/>
      <c r="AT673" s="180"/>
      <c r="AU673" s="180"/>
      <c r="AV673" s="180"/>
      <c r="AW673" s="180"/>
      <c r="AX673" s="180"/>
      <c r="AY673" s="180"/>
      <c r="AZ673" s="180"/>
      <c r="BA673" s="180"/>
      <c r="BB673" s="180"/>
      <c r="BC673" s="180"/>
      <c r="BD673" s="180"/>
      <c r="BE673" s="180"/>
      <c r="BF673" s="180"/>
      <c r="BG673" s="180"/>
      <c r="BH673" s="180"/>
      <c r="BI673" s="180"/>
      <c r="BJ673" s="180"/>
      <c r="BK673" s="180"/>
      <c r="BL673" s="180"/>
      <c r="BM673" s="180"/>
      <c r="BN673" s="180"/>
      <c r="BO673" s="180"/>
      <c r="BP673" s="180"/>
      <c r="BQ673" s="180"/>
      <c r="BR673" s="180"/>
      <c r="BS673" s="180"/>
      <c r="BT673" s="180"/>
      <c r="BU673" s="180"/>
      <c r="BV673" s="180"/>
      <c r="BW673" s="180"/>
      <c r="BX673" s="180"/>
      <c r="BY673" s="180"/>
      <c r="BZ673" s="180"/>
      <c r="CA673" s="180"/>
      <c r="CB673" s="180"/>
      <c r="CC673" s="180"/>
      <c r="CD673" s="180"/>
      <c r="CE673" s="180"/>
      <c r="CF673" s="180"/>
      <c r="CG673" s="180"/>
      <c r="CH673" s="180"/>
      <c r="CI673" s="180"/>
      <c r="CJ673" s="180"/>
      <c r="CK673" s="180"/>
      <c r="CL673" s="180"/>
      <c r="CM673" s="180"/>
      <c r="CN673" s="180"/>
      <c r="CO673" s="180"/>
      <c r="CP673" s="180"/>
      <c r="CQ673" s="180"/>
      <c r="CR673" s="180"/>
      <c r="CS673" s="180"/>
      <c r="CT673" s="180"/>
      <c r="CU673" s="180"/>
      <c r="CV673" s="180"/>
      <c r="CW673" s="180"/>
      <c r="CX673" s="180"/>
      <c r="CY673" s="180"/>
      <c r="CZ673" s="180"/>
      <c r="DA673" s="180"/>
      <c r="DB673" s="180"/>
    </row>
    <row r="674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  <c r="AU674" s="180"/>
      <c r="AV674" s="180"/>
      <c r="AW674" s="180"/>
      <c r="AX674" s="180"/>
      <c r="AY674" s="180"/>
      <c r="AZ674" s="180"/>
      <c r="BA674" s="180"/>
      <c r="BB674" s="180"/>
      <c r="BC674" s="180"/>
      <c r="BD674" s="180"/>
      <c r="BE674" s="180"/>
      <c r="BF674" s="180"/>
      <c r="BG674" s="180"/>
      <c r="BH674" s="180"/>
      <c r="BI674" s="180"/>
      <c r="BJ674" s="180"/>
      <c r="BK674" s="180"/>
      <c r="BL674" s="180"/>
      <c r="BM674" s="180"/>
      <c r="BN674" s="180"/>
      <c r="BO674" s="180"/>
      <c r="BP674" s="180"/>
      <c r="BQ674" s="180"/>
      <c r="BR674" s="180"/>
      <c r="BS674" s="180"/>
      <c r="BT674" s="180"/>
      <c r="BU674" s="180"/>
      <c r="BV674" s="180"/>
      <c r="BW674" s="180"/>
      <c r="BX674" s="180"/>
      <c r="BY674" s="180"/>
      <c r="BZ674" s="180"/>
      <c r="CA674" s="180"/>
      <c r="CB674" s="180"/>
      <c r="CC674" s="180"/>
      <c r="CD674" s="180"/>
      <c r="CE674" s="180"/>
      <c r="CF674" s="180"/>
      <c r="CG674" s="180"/>
      <c r="CH674" s="180"/>
      <c r="CI674" s="180"/>
      <c r="CJ674" s="180"/>
      <c r="CK674" s="180"/>
      <c r="CL674" s="180"/>
      <c r="CM674" s="180"/>
      <c r="CN674" s="180"/>
      <c r="CO674" s="180"/>
      <c r="CP674" s="180"/>
      <c r="CQ674" s="180"/>
      <c r="CR674" s="180"/>
      <c r="CS674" s="180"/>
      <c r="CT674" s="180"/>
      <c r="CU674" s="180"/>
      <c r="CV674" s="180"/>
      <c r="CW674" s="180"/>
      <c r="CX674" s="180"/>
      <c r="CY674" s="180"/>
      <c r="CZ674" s="180"/>
      <c r="DA674" s="180"/>
      <c r="DB674" s="180"/>
    </row>
    <row r="675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0"/>
      <c r="BB675" s="180"/>
      <c r="BC675" s="180"/>
      <c r="BD675" s="180"/>
      <c r="BE675" s="180"/>
      <c r="BF675" s="180"/>
      <c r="BG675" s="180"/>
      <c r="BH675" s="180"/>
      <c r="BI675" s="180"/>
      <c r="BJ675" s="180"/>
      <c r="BK675" s="180"/>
      <c r="BL675" s="180"/>
      <c r="BM675" s="180"/>
      <c r="BN675" s="180"/>
      <c r="BO675" s="180"/>
      <c r="BP675" s="180"/>
      <c r="BQ675" s="180"/>
      <c r="BR675" s="180"/>
      <c r="BS675" s="180"/>
      <c r="BT675" s="180"/>
      <c r="BU675" s="180"/>
      <c r="BV675" s="180"/>
      <c r="BW675" s="180"/>
      <c r="BX675" s="180"/>
      <c r="BY675" s="180"/>
      <c r="BZ675" s="180"/>
      <c r="CA675" s="180"/>
      <c r="CB675" s="180"/>
      <c r="CC675" s="180"/>
      <c r="CD675" s="180"/>
      <c r="CE675" s="180"/>
      <c r="CF675" s="180"/>
      <c r="CG675" s="180"/>
      <c r="CH675" s="180"/>
      <c r="CI675" s="180"/>
      <c r="CJ675" s="180"/>
      <c r="CK675" s="180"/>
      <c r="CL675" s="180"/>
      <c r="CM675" s="180"/>
      <c r="CN675" s="180"/>
      <c r="CO675" s="180"/>
      <c r="CP675" s="180"/>
      <c r="CQ675" s="180"/>
      <c r="CR675" s="180"/>
      <c r="CS675" s="180"/>
      <c r="CT675" s="180"/>
      <c r="CU675" s="180"/>
      <c r="CV675" s="180"/>
      <c r="CW675" s="180"/>
      <c r="CX675" s="180"/>
      <c r="CY675" s="180"/>
      <c r="CZ675" s="180"/>
      <c r="DA675" s="180"/>
      <c r="DB675" s="180"/>
    </row>
    <row r="676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  <c r="AU676" s="180"/>
      <c r="AV676" s="180"/>
      <c r="AW676" s="180"/>
      <c r="AX676" s="180"/>
      <c r="AY676" s="180"/>
      <c r="AZ676" s="180"/>
      <c r="BA676" s="180"/>
      <c r="BB676" s="180"/>
      <c r="BC676" s="180"/>
      <c r="BD676" s="180"/>
      <c r="BE676" s="180"/>
      <c r="BF676" s="180"/>
      <c r="BG676" s="180"/>
      <c r="BH676" s="180"/>
      <c r="BI676" s="180"/>
      <c r="BJ676" s="180"/>
      <c r="BK676" s="180"/>
      <c r="BL676" s="180"/>
      <c r="BM676" s="180"/>
      <c r="BN676" s="180"/>
      <c r="BO676" s="180"/>
      <c r="BP676" s="180"/>
      <c r="BQ676" s="180"/>
      <c r="BR676" s="180"/>
      <c r="BS676" s="180"/>
      <c r="BT676" s="180"/>
      <c r="BU676" s="180"/>
      <c r="BV676" s="180"/>
      <c r="BW676" s="180"/>
      <c r="BX676" s="180"/>
      <c r="BY676" s="180"/>
      <c r="BZ676" s="180"/>
      <c r="CA676" s="180"/>
      <c r="CB676" s="180"/>
      <c r="CC676" s="180"/>
      <c r="CD676" s="180"/>
      <c r="CE676" s="180"/>
      <c r="CF676" s="180"/>
      <c r="CG676" s="180"/>
      <c r="CH676" s="180"/>
      <c r="CI676" s="180"/>
      <c r="CJ676" s="180"/>
      <c r="CK676" s="180"/>
      <c r="CL676" s="180"/>
      <c r="CM676" s="180"/>
      <c r="CN676" s="180"/>
      <c r="CO676" s="180"/>
      <c r="CP676" s="180"/>
      <c r="CQ676" s="180"/>
      <c r="CR676" s="180"/>
      <c r="CS676" s="180"/>
      <c r="CT676" s="180"/>
      <c r="CU676" s="180"/>
      <c r="CV676" s="180"/>
      <c r="CW676" s="180"/>
      <c r="CX676" s="180"/>
      <c r="CY676" s="180"/>
      <c r="CZ676" s="180"/>
      <c r="DA676" s="180"/>
      <c r="DB676" s="180"/>
    </row>
    <row r="677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  <c r="AU677" s="180"/>
      <c r="AV677" s="180"/>
      <c r="AW677" s="180"/>
      <c r="AX677" s="180"/>
      <c r="AY677" s="180"/>
      <c r="AZ677" s="180"/>
      <c r="BA677" s="180"/>
      <c r="BB677" s="180"/>
      <c r="BC677" s="180"/>
      <c r="BD677" s="180"/>
      <c r="BE677" s="180"/>
      <c r="BF677" s="180"/>
      <c r="BG677" s="180"/>
      <c r="BH677" s="180"/>
      <c r="BI677" s="180"/>
      <c r="BJ677" s="180"/>
      <c r="BK677" s="180"/>
      <c r="BL677" s="180"/>
      <c r="BM677" s="180"/>
      <c r="BN677" s="180"/>
      <c r="BO677" s="180"/>
      <c r="BP677" s="180"/>
      <c r="BQ677" s="180"/>
      <c r="BR677" s="180"/>
      <c r="BS677" s="180"/>
      <c r="BT677" s="180"/>
      <c r="BU677" s="180"/>
      <c r="BV677" s="180"/>
      <c r="BW677" s="180"/>
      <c r="BX677" s="180"/>
      <c r="BY677" s="180"/>
      <c r="BZ677" s="180"/>
      <c r="CA677" s="180"/>
      <c r="CB677" s="180"/>
      <c r="CC677" s="180"/>
      <c r="CD677" s="180"/>
      <c r="CE677" s="180"/>
      <c r="CF677" s="180"/>
      <c r="CG677" s="180"/>
      <c r="CH677" s="180"/>
      <c r="CI677" s="180"/>
      <c r="CJ677" s="180"/>
      <c r="CK677" s="180"/>
      <c r="CL677" s="180"/>
      <c r="CM677" s="180"/>
      <c r="CN677" s="180"/>
      <c r="CO677" s="180"/>
      <c r="CP677" s="180"/>
      <c r="CQ677" s="180"/>
      <c r="CR677" s="180"/>
      <c r="CS677" s="180"/>
      <c r="CT677" s="180"/>
      <c r="CU677" s="180"/>
      <c r="CV677" s="180"/>
      <c r="CW677" s="180"/>
      <c r="CX677" s="180"/>
      <c r="CY677" s="180"/>
      <c r="CZ677" s="180"/>
      <c r="DA677" s="180"/>
      <c r="DB677" s="180"/>
    </row>
    <row r="678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  <c r="AU678" s="180"/>
      <c r="AV678" s="180"/>
      <c r="AW678" s="180"/>
      <c r="AX678" s="180"/>
      <c r="AY678" s="180"/>
      <c r="AZ678" s="180"/>
      <c r="BA678" s="180"/>
      <c r="BB678" s="180"/>
      <c r="BC678" s="180"/>
      <c r="BD678" s="180"/>
      <c r="BE678" s="180"/>
      <c r="BF678" s="180"/>
      <c r="BG678" s="180"/>
      <c r="BH678" s="180"/>
      <c r="BI678" s="180"/>
      <c r="BJ678" s="180"/>
      <c r="BK678" s="180"/>
      <c r="BL678" s="180"/>
      <c r="BM678" s="180"/>
      <c r="BN678" s="180"/>
      <c r="BO678" s="180"/>
      <c r="BP678" s="180"/>
      <c r="BQ678" s="180"/>
      <c r="BR678" s="180"/>
      <c r="BS678" s="180"/>
      <c r="BT678" s="180"/>
      <c r="BU678" s="180"/>
      <c r="BV678" s="180"/>
      <c r="BW678" s="180"/>
      <c r="BX678" s="180"/>
      <c r="BY678" s="180"/>
      <c r="BZ678" s="180"/>
      <c r="CA678" s="180"/>
      <c r="CB678" s="180"/>
      <c r="CC678" s="180"/>
      <c r="CD678" s="180"/>
      <c r="CE678" s="180"/>
      <c r="CF678" s="180"/>
      <c r="CG678" s="180"/>
      <c r="CH678" s="180"/>
      <c r="CI678" s="180"/>
      <c r="CJ678" s="180"/>
      <c r="CK678" s="180"/>
      <c r="CL678" s="180"/>
      <c r="CM678" s="180"/>
      <c r="CN678" s="180"/>
      <c r="CO678" s="180"/>
      <c r="CP678" s="180"/>
      <c r="CQ678" s="180"/>
      <c r="CR678" s="180"/>
      <c r="CS678" s="180"/>
      <c r="CT678" s="180"/>
      <c r="CU678" s="180"/>
      <c r="CV678" s="180"/>
      <c r="CW678" s="180"/>
      <c r="CX678" s="180"/>
      <c r="CY678" s="180"/>
      <c r="CZ678" s="180"/>
      <c r="DA678" s="180"/>
      <c r="DB678" s="180"/>
    </row>
    <row r="679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  <c r="K679" s="180"/>
      <c r="L679" s="180"/>
      <c r="M679" s="180"/>
      <c r="N679" s="180"/>
      <c r="O679" s="180"/>
      <c r="P679" s="180"/>
      <c r="Q679" s="180"/>
      <c r="R679" s="180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  <c r="AG679" s="180"/>
      <c r="AH679" s="180"/>
      <c r="AI679" s="180"/>
      <c r="AJ679" s="180"/>
      <c r="AK679" s="180"/>
      <c r="AL679" s="180"/>
      <c r="AM679" s="180"/>
      <c r="AN679" s="180"/>
      <c r="AO679" s="180"/>
      <c r="AP679" s="180"/>
      <c r="AQ679" s="180"/>
      <c r="AR679" s="180"/>
      <c r="AS679" s="180"/>
      <c r="AT679" s="180"/>
      <c r="AU679" s="180"/>
      <c r="AV679" s="180"/>
      <c r="AW679" s="180"/>
      <c r="AX679" s="180"/>
      <c r="AY679" s="180"/>
      <c r="AZ679" s="180"/>
      <c r="BA679" s="180"/>
      <c r="BB679" s="180"/>
      <c r="BC679" s="180"/>
      <c r="BD679" s="180"/>
      <c r="BE679" s="180"/>
      <c r="BF679" s="180"/>
      <c r="BG679" s="180"/>
      <c r="BH679" s="180"/>
      <c r="BI679" s="180"/>
      <c r="BJ679" s="180"/>
      <c r="BK679" s="180"/>
      <c r="BL679" s="180"/>
      <c r="BM679" s="180"/>
      <c r="BN679" s="180"/>
      <c r="BO679" s="180"/>
      <c r="BP679" s="180"/>
      <c r="BQ679" s="180"/>
      <c r="BR679" s="180"/>
      <c r="BS679" s="180"/>
      <c r="BT679" s="180"/>
      <c r="BU679" s="180"/>
      <c r="BV679" s="180"/>
      <c r="BW679" s="180"/>
      <c r="BX679" s="180"/>
      <c r="BY679" s="180"/>
      <c r="BZ679" s="180"/>
      <c r="CA679" s="180"/>
      <c r="CB679" s="180"/>
      <c r="CC679" s="180"/>
      <c r="CD679" s="180"/>
      <c r="CE679" s="180"/>
      <c r="CF679" s="180"/>
      <c r="CG679" s="180"/>
      <c r="CH679" s="180"/>
      <c r="CI679" s="180"/>
      <c r="CJ679" s="180"/>
      <c r="CK679" s="180"/>
      <c r="CL679" s="180"/>
      <c r="CM679" s="180"/>
      <c r="CN679" s="180"/>
      <c r="CO679" s="180"/>
      <c r="CP679" s="180"/>
      <c r="CQ679" s="180"/>
      <c r="CR679" s="180"/>
      <c r="CS679" s="180"/>
      <c r="CT679" s="180"/>
      <c r="CU679" s="180"/>
      <c r="CV679" s="180"/>
      <c r="CW679" s="180"/>
      <c r="CX679" s="180"/>
      <c r="CY679" s="180"/>
      <c r="CZ679" s="180"/>
      <c r="DA679" s="180"/>
      <c r="DB679" s="180"/>
    </row>
    <row r="680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  <c r="AU680" s="180"/>
      <c r="AV680" s="180"/>
      <c r="AW680" s="180"/>
      <c r="AX680" s="180"/>
      <c r="AY680" s="180"/>
      <c r="AZ680" s="180"/>
      <c r="BA680" s="180"/>
      <c r="BB680" s="180"/>
      <c r="BC680" s="180"/>
      <c r="BD680" s="180"/>
      <c r="BE680" s="180"/>
      <c r="BF680" s="180"/>
      <c r="BG680" s="180"/>
      <c r="BH680" s="180"/>
      <c r="BI680" s="180"/>
      <c r="BJ680" s="180"/>
      <c r="BK680" s="180"/>
      <c r="BL680" s="180"/>
      <c r="BM680" s="180"/>
      <c r="BN680" s="180"/>
      <c r="BO680" s="180"/>
      <c r="BP680" s="180"/>
      <c r="BQ680" s="180"/>
      <c r="BR680" s="180"/>
      <c r="BS680" s="180"/>
      <c r="BT680" s="180"/>
      <c r="BU680" s="180"/>
      <c r="BV680" s="180"/>
      <c r="BW680" s="180"/>
      <c r="BX680" s="180"/>
      <c r="BY680" s="180"/>
      <c r="BZ680" s="180"/>
      <c r="CA680" s="180"/>
      <c r="CB680" s="180"/>
      <c r="CC680" s="180"/>
      <c r="CD680" s="180"/>
      <c r="CE680" s="180"/>
      <c r="CF680" s="180"/>
      <c r="CG680" s="180"/>
      <c r="CH680" s="180"/>
      <c r="CI680" s="180"/>
      <c r="CJ680" s="180"/>
      <c r="CK680" s="180"/>
      <c r="CL680" s="180"/>
      <c r="CM680" s="180"/>
      <c r="CN680" s="180"/>
      <c r="CO680" s="180"/>
      <c r="CP680" s="180"/>
      <c r="CQ680" s="180"/>
      <c r="CR680" s="180"/>
      <c r="CS680" s="180"/>
      <c r="CT680" s="180"/>
      <c r="CU680" s="180"/>
      <c r="CV680" s="180"/>
      <c r="CW680" s="180"/>
      <c r="CX680" s="180"/>
      <c r="CY680" s="180"/>
      <c r="CZ680" s="180"/>
      <c r="DA680" s="180"/>
      <c r="DB680" s="180"/>
    </row>
    <row r="681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  <c r="AU681" s="180"/>
      <c r="AV681" s="180"/>
      <c r="AW681" s="180"/>
      <c r="AX681" s="180"/>
      <c r="AY681" s="180"/>
      <c r="AZ681" s="180"/>
      <c r="BA681" s="180"/>
      <c r="BB681" s="180"/>
      <c r="BC681" s="180"/>
      <c r="BD681" s="180"/>
      <c r="BE681" s="180"/>
      <c r="BF681" s="180"/>
      <c r="BG681" s="180"/>
      <c r="BH681" s="180"/>
      <c r="BI681" s="180"/>
      <c r="BJ681" s="180"/>
      <c r="BK681" s="180"/>
      <c r="BL681" s="180"/>
      <c r="BM681" s="180"/>
      <c r="BN681" s="180"/>
      <c r="BO681" s="180"/>
      <c r="BP681" s="180"/>
      <c r="BQ681" s="180"/>
      <c r="BR681" s="180"/>
      <c r="BS681" s="180"/>
      <c r="BT681" s="180"/>
      <c r="BU681" s="180"/>
      <c r="BV681" s="180"/>
      <c r="BW681" s="180"/>
      <c r="BX681" s="180"/>
      <c r="BY681" s="180"/>
      <c r="BZ681" s="180"/>
      <c r="CA681" s="180"/>
      <c r="CB681" s="180"/>
      <c r="CC681" s="180"/>
      <c r="CD681" s="180"/>
      <c r="CE681" s="180"/>
      <c r="CF681" s="180"/>
      <c r="CG681" s="180"/>
      <c r="CH681" s="180"/>
      <c r="CI681" s="180"/>
      <c r="CJ681" s="180"/>
      <c r="CK681" s="180"/>
      <c r="CL681" s="180"/>
      <c r="CM681" s="180"/>
      <c r="CN681" s="180"/>
      <c r="CO681" s="180"/>
      <c r="CP681" s="180"/>
      <c r="CQ681" s="180"/>
      <c r="CR681" s="180"/>
      <c r="CS681" s="180"/>
      <c r="CT681" s="180"/>
      <c r="CU681" s="180"/>
      <c r="CV681" s="180"/>
      <c r="CW681" s="180"/>
      <c r="CX681" s="180"/>
      <c r="CY681" s="180"/>
      <c r="CZ681" s="180"/>
      <c r="DA681" s="180"/>
      <c r="DB681" s="180"/>
    </row>
    <row r="682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  <c r="AU682" s="180"/>
      <c r="AV682" s="180"/>
      <c r="AW682" s="180"/>
      <c r="AX682" s="180"/>
      <c r="AY682" s="180"/>
      <c r="AZ682" s="180"/>
      <c r="BA682" s="180"/>
      <c r="BB682" s="180"/>
      <c r="BC682" s="180"/>
      <c r="BD682" s="180"/>
      <c r="BE682" s="180"/>
      <c r="BF682" s="180"/>
      <c r="BG682" s="180"/>
      <c r="BH682" s="180"/>
      <c r="BI682" s="180"/>
      <c r="BJ682" s="180"/>
      <c r="BK682" s="180"/>
      <c r="BL682" s="180"/>
      <c r="BM682" s="180"/>
      <c r="BN682" s="180"/>
      <c r="BO682" s="180"/>
      <c r="BP682" s="180"/>
      <c r="BQ682" s="180"/>
      <c r="BR682" s="180"/>
      <c r="BS682" s="180"/>
      <c r="BT682" s="180"/>
      <c r="BU682" s="180"/>
      <c r="BV682" s="180"/>
      <c r="BW682" s="180"/>
      <c r="BX682" s="180"/>
      <c r="BY682" s="180"/>
      <c r="BZ682" s="180"/>
      <c r="CA682" s="180"/>
      <c r="CB682" s="180"/>
      <c r="CC682" s="180"/>
      <c r="CD682" s="180"/>
      <c r="CE682" s="180"/>
      <c r="CF682" s="180"/>
      <c r="CG682" s="180"/>
      <c r="CH682" s="180"/>
      <c r="CI682" s="180"/>
      <c r="CJ682" s="180"/>
      <c r="CK682" s="180"/>
      <c r="CL682" s="180"/>
      <c r="CM682" s="180"/>
      <c r="CN682" s="180"/>
      <c r="CO682" s="180"/>
      <c r="CP682" s="180"/>
      <c r="CQ682" s="180"/>
      <c r="CR682" s="180"/>
      <c r="CS682" s="180"/>
      <c r="CT682" s="180"/>
      <c r="CU682" s="180"/>
      <c r="CV682" s="180"/>
      <c r="CW682" s="180"/>
      <c r="CX682" s="180"/>
      <c r="CY682" s="180"/>
      <c r="CZ682" s="180"/>
      <c r="DA682" s="180"/>
      <c r="DB682" s="180"/>
    </row>
    <row r="683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  <c r="AU683" s="180"/>
      <c r="AV683" s="180"/>
      <c r="AW683" s="180"/>
      <c r="AX683" s="180"/>
      <c r="AY683" s="180"/>
      <c r="AZ683" s="180"/>
      <c r="BA683" s="180"/>
      <c r="BB683" s="180"/>
      <c r="BC683" s="180"/>
      <c r="BD683" s="180"/>
      <c r="BE683" s="180"/>
      <c r="BF683" s="180"/>
      <c r="BG683" s="180"/>
      <c r="BH683" s="180"/>
      <c r="BI683" s="180"/>
      <c r="BJ683" s="180"/>
      <c r="BK683" s="180"/>
      <c r="BL683" s="180"/>
      <c r="BM683" s="180"/>
      <c r="BN683" s="180"/>
      <c r="BO683" s="180"/>
      <c r="BP683" s="180"/>
      <c r="BQ683" s="180"/>
      <c r="BR683" s="180"/>
      <c r="BS683" s="180"/>
      <c r="BT683" s="180"/>
      <c r="BU683" s="180"/>
      <c r="BV683" s="180"/>
      <c r="BW683" s="180"/>
      <c r="BX683" s="180"/>
      <c r="BY683" s="180"/>
      <c r="BZ683" s="180"/>
      <c r="CA683" s="180"/>
      <c r="CB683" s="180"/>
      <c r="CC683" s="180"/>
      <c r="CD683" s="180"/>
      <c r="CE683" s="180"/>
      <c r="CF683" s="180"/>
      <c r="CG683" s="180"/>
      <c r="CH683" s="180"/>
      <c r="CI683" s="180"/>
      <c r="CJ683" s="180"/>
      <c r="CK683" s="180"/>
      <c r="CL683" s="180"/>
      <c r="CM683" s="180"/>
      <c r="CN683" s="180"/>
      <c r="CO683" s="180"/>
      <c r="CP683" s="180"/>
      <c r="CQ683" s="180"/>
      <c r="CR683" s="180"/>
      <c r="CS683" s="180"/>
      <c r="CT683" s="180"/>
      <c r="CU683" s="180"/>
      <c r="CV683" s="180"/>
      <c r="CW683" s="180"/>
      <c r="CX683" s="180"/>
      <c r="CY683" s="180"/>
      <c r="CZ683" s="180"/>
      <c r="DA683" s="180"/>
      <c r="DB683" s="180"/>
    </row>
    <row r="684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  <c r="BA684" s="180"/>
      <c r="BB684" s="180"/>
      <c r="BC684" s="180"/>
      <c r="BD684" s="180"/>
      <c r="BE684" s="180"/>
      <c r="BF684" s="180"/>
      <c r="BG684" s="180"/>
      <c r="BH684" s="180"/>
      <c r="BI684" s="180"/>
      <c r="BJ684" s="180"/>
      <c r="BK684" s="180"/>
      <c r="BL684" s="180"/>
      <c r="BM684" s="180"/>
      <c r="BN684" s="180"/>
      <c r="BO684" s="180"/>
      <c r="BP684" s="180"/>
      <c r="BQ684" s="180"/>
      <c r="BR684" s="180"/>
      <c r="BS684" s="180"/>
      <c r="BT684" s="180"/>
      <c r="BU684" s="180"/>
      <c r="BV684" s="180"/>
      <c r="BW684" s="180"/>
      <c r="BX684" s="180"/>
      <c r="BY684" s="180"/>
      <c r="BZ684" s="180"/>
      <c r="CA684" s="180"/>
      <c r="CB684" s="180"/>
      <c r="CC684" s="180"/>
      <c r="CD684" s="180"/>
      <c r="CE684" s="180"/>
      <c r="CF684" s="180"/>
      <c r="CG684" s="180"/>
      <c r="CH684" s="180"/>
      <c r="CI684" s="180"/>
      <c r="CJ684" s="180"/>
      <c r="CK684" s="180"/>
      <c r="CL684" s="180"/>
      <c r="CM684" s="180"/>
      <c r="CN684" s="180"/>
      <c r="CO684" s="180"/>
      <c r="CP684" s="180"/>
      <c r="CQ684" s="180"/>
      <c r="CR684" s="180"/>
      <c r="CS684" s="180"/>
      <c r="CT684" s="180"/>
      <c r="CU684" s="180"/>
      <c r="CV684" s="180"/>
      <c r="CW684" s="180"/>
      <c r="CX684" s="180"/>
      <c r="CY684" s="180"/>
      <c r="CZ684" s="180"/>
      <c r="DA684" s="180"/>
      <c r="DB684" s="180"/>
    </row>
    <row r="685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  <c r="AU685" s="180"/>
      <c r="AV685" s="180"/>
      <c r="AW685" s="180"/>
      <c r="AX685" s="180"/>
      <c r="AY685" s="180"/>
      <c r="AZ685" s="180"/>
      <c r="BA685" s="180"/>
      <c r="BB685" s="180"/>
      <c r="BC685" s="180"/>
      <c r="BD685" s="180"/>
      <c r="BE685" s="180"/>
      <c r="BF685" s="180"/>
      <c r="BG685" s="180"/>
      <c r="BH685" s="180"/>
      <c r="BI685" s="180"/>
      <c r="BJ685" s="180"/>
      <c r="BK685" s="180"/>
      <c r="BL685" s="180"/>
      <c r="BM685" s="180"/>
      <c r="BN685" s="180"/>
      <c r="BO685" s="180"/>
      <c r="BP685" s="180"/>
      <c r="BQ685" s="180"/>
      <c r="BR685" s="180"/>
      <c r="BS685" s="180"/>
      <c r="BT685" s="180"/>
      <c r="BU685" s="180"/>
      <c r="BV685" s="180"/>
      <c r="BW685" s="180"/>
      <c r="BX685" s="180"/>
      <c r="BY685" s="180"/>
      <c r="BZ685" s="180"/>
      <c r="CA685" s="180"/>
      <c r="CB685" s="180"/>
      <c r="CC685" s="180"/>
      <c r="CD685" s="180"/>
      <c r="CE685" s="180"/>
      <c r="CF685" s="180"/>
      <c r="CG685" s="180"/>
      <c r="CH685" s="180"/>
      <c r="CI685" s="180"/>
      <c r="CJ685" s="180"/>
      <c r="CK685" s="180"/>
      <c r="CL685" s="180"/>
      <c r="CM685" s="180"/>
      <c r="CN685" s="180"/>
      <c r="CO685" s="180"/>
      <c r="CP685" s="180"/>
      <c r="CQ685" s="180"/>
      <c r="CR685" s="180"/>
      <c r="CS685" s="180"/>
      <c r="CT685" s="180"/>
      <c r="CU685" s="180"/>
      <c r="CV685" s="180"/>
      <c r="CW685" s="180"/>
      <c r="CX685" s="180"/>
      <c r="CY685" s="180"/>
      <c r="CZ685" s="180"/>
      <c r="DA685" s="180"/>
      <c r="DB685" s="180"/>
    </row>
    <row r="686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  <c r="AU686" s="180"/>
      <c r="AV686" s="180"/>
      <c r="AW686" s="180"/>
      <c r="AX686" s="180"/>
      <c r="AY686" s="180"/>
      <c r="AZ686" s="180"/>
      <c r="BA686" s="180"/>
      <c r="BB686" s="180"/>
      <c r="BC686" s="180"/>
      <c r="BD686" s="180"/>
      <c r="BE686" s="180"/>
      <c r="BF686" s="180"/>
      <c r="BG686" s="180"/>
      <c r="BH686" s="180"/>
      <c r="BI686" s="180"/>
      <c r="BJ686" s="180"/>
      <c r="BK686" s="180"/>
      <c r="BL686" s="180"/>
      <c r="BM686" s="180"/>
      <c r="BN686" s="180"/>
      <c r="BO686" s="180"/>
      <c r="BP686" s="180"/>
      <c r="BQ686" s="180"/>
      <c r="BR686" s="180"/>
      <c r="BS686" s="180"/>
      <c r="BT686" s="180"/>
      <c r="BU686" s="180"/>
      <c r="BV686" s="180"/>
      <c r="BW686" s="180"/>
      <c r="BX686" s="180"/>
      <c r="BY686" s="180"/>
      <c r="BZ686" s="180"/>
      <c r="CA686" s="180"/>
      <c r="CB686" s="180"/>
      <c r="CC686" s="180"/>
      <c r="CD686" s="180"/>
      <c r="CE686" s="180"/>
      <c r="CF686" s="180"/>
      <c r="CG686" s="180"/>
      <c r="CH686" s="180"/>
      <c r="CI686" s="180"/>
      <c r="CJ686" s="180"/>
      <c r="CK686" s="180"/>
      <c r="CL686" s="180"/>
      <c r="CM686" s="180"/>
      <c r="CN686" s="180"/>
      <c r="CO686" s="180"/>
      <c r="CP686" s="180"/>
      <c r="CQ686" s="180"/>
      <c r="CR686" s="180"/>
      <c r="CS686" s="180"/>
      <c r="CT686" s="180"/>
      <c r="CU686" s="180"/>
      <c r="CV686" s="180"/>
      <c r="CW686" s="180"/>
      <c r="CX686" s="180"/>
      <c r="CY686" s="180"/>
      <c r="CZ686" s="180"/>
      <c r="DA686" s="180"/>
      <c r="DB686" s="180"/>
    </row>
    <row r="687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  <c r="BA687" s="180"/>
      <c r="BB687" s="180"/>
      <c r="BC687" s="180"/>
      <c r="BD687" s="180"/>
      <c r="BE687" s="180"/>
      <c r="BF687" s="180"/>
      <c r="BG687" s="180"/>
      <c r="BH687" s="180"/>
      <c r="BI687" s="180"/>
      <c r="BJ687" s="180"/>
      <c r="BK687" s="180"/>
      <c r="BL687" s="180"/>
      <c r="BM687" s="180"/>
      <c r="BN687" s="180"/>
      <c r="BO687" s="180"/>
      <c r="BP687" s="180"/>
      <c r="BQ687" s="180"/>
      <c r="BR687" s="180"/>
      <c r="BS687" s="180"/>
      <c r="BT687" s="180"/>
      <c r="BU687" s="180"/>
      <c r="BV687" s="180"/>
      <c r="BW687" s="180"/>
      <c r="BX687" s="180"/>
      <c r="BY687" s="180"/>
      <c r="BZ687" s="180"/>
      <c r="CA687" s="180"/>
      <c r="CB687" s="180"/>
      <c r="CC687" s="180"/>
      <c r="CD687" s="180"/>
      <c r="CE687" s="180"/>
      <c r="CF687" s="180"/>
      <c r="CG687" s="180"/>
      <c r="CH687" s="180"/>
      <c r="CI687" s="180"/>
      <c r="CJ687" s="180"/>
      <c r="CK687" s="180"/>
      <c r="CL687" s="180"/>
      <c r="CM687" s="180"/>
      <c r="CN687" s="180"/>
      <c r="CO687" s="180"/>
      <c r="CP687" s="180"/>
      <c r="CQ687" s="180"/>
      <c r="CR687" s="180"/>
      <c r="CS687" s="180"/>
      <c r="CT687" s="180"/>
      <c r="CU687" s="180"/>
      <c r="CV687" s="180"/>
      <c r="CW687" s="180"/>
      <c r="CX687" s="180"/>
      <c r="CY687" s="180"/>
      <c r="CZ687" s="180"/>
      <c r="DA687" s="180"/>
      <c r="DB687" s="180"/>
    </row>
    <row r="688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  <c r="BA688" s="180"/>
      <c r="BB688" s="180"/>
      <c r="BC688" s="180"/>
      <c r="BD688" s="180"/>
      <c r="BE688" s="180"/>
      <c r="BF688" s="180"/>
      <c r="BG688" s="180"/>
      <c r="BH688" s="180"/>
      <c r="BI688" s="180"/>
      <c r="BJ688" s="180"/>
      <c r="BK688" s="180"/>
      <c r="BL688" s="180"/>
      <c r="BM688" s="180"/>
      <c r="BN688" s="180"/>
      <c r="BO688" s="180"/>
      <c r="BP688" s="180"/>
      <c r="BQ688" s="180"/>
      <c r="BR688" s="180"/>
      <c r="BS688" s="180"/>
      <c r="BT688" s="180"/>
      <c r="BU688" s="180"/>
      <c r="BV688" s="180"/>
      <c r="BW688" s="180"/>
      <c r="BX688" s="180"/>
      <c r="BY688" s="180"/>
      <c r="BZ688" s="180"/>
      <c r="CA688" s="180"/>
      <c r="CB688" s="180"/>
      <c r="CC688" s="180"/>
      <c r="CD688" s="180"/>
      <c r="CE688" s="180"/>
      <c r="CF688" s="180"/>
      <c r="CG688" s="180"/>
      <c r="CH688" s="180"/>
      <c r="CI688" s="180"/>
      <c r="CJ688" s="180"/>
      <c r="CK688" s="180"/>
      <c r="CL688" s="180"/>
      <c r="CM688" s="180"/>
      <c r="CN688" s="180"/>
      <c r="CO688" s="180"/>
      <c r="CP688" s="180"/>
      <c r="CQ688" s="180"/>
      <c r="CR688" s="180"/>
      <c r="CS688" s="180"/>
      <c r="CT688" s="180"/>
      <c r="CU688" s="180"/>
      <c r="CV688" s="180"/>
      <c r="CW688" s="180"/>
      <c r="CX688" s="180"/>
      <c r="CY688" s="180"/>
      <c r="CZ688" s="180"/>
      <c r="DA688" s="180"/>
      <c r="DB688" s="180"/>
    </row>
    <row r="689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  <c r="BA689" s="180"/>
      <c r="BB689" s="180"/>
      <c r="BC689" s="180"/>
      <c r="BD689" s="180"/>
      <c r="BE689" s="180"/>
      <c r="BF689" s="180"/>
      <c r="BG689" s="180"/>
      <c r="BH689" s="180"/>
      <c r="BI689" s="180"/>
      <c r="BJ689" s="180"/>
      <c r="BK689" s="180"/>
      <c r="BL689" s="180"/>
      <c r="BM689" s="180"/>
      <c r="BN689" s="180"/>
      <c r="BO689" s="180"/>
      <c r="BP689" s="180"/>
      <c r="BQ689" s="180"/>
      <c r="BR689" s="180"/>
      <c r="BS689" s="180"/>
      <c r="BT689" s="180"/>
      <c r="BU689" s="180"/>
      <c r="BV689" s="180"/>
      <c r="BW689" s="180"/>
      <c r="BX689" s="180"/>
      <c r="BY689" s="180"/>
      <c r="BZ689" s="180"/>
      <c r="CA689" s="180"/>
      <c r="CB689" s="180"/>
      <c r="CC689" s="180"/>
      <c r="CD689" s="180"/>
      <c r="CE689" s="180"/>
      <c r="CF689" s="180"/>
      <c r="CG689" s="180"/>
      <c r="CH689" s="180"/>
      <c r="CI689" s="180"/>
      <c r="CJ689" s="180"/>
      <c r="CK689" s="180"/>
      <c r="CL689" s="180"/>
      <c r="CM689" s="180"/>
      <c r="CN689" s="180"/>
      <c r="CO689" s="180"/>
      <c r="CP689" s="180"/>
      <c r="CQ689" s="180"/>
      <c r="CR689" s="180"/>
      <c r="CS689" s="180"/>
      <c r="CT689" s="180"/>
      <c r="CU689" s="180"/>
      <c r="CV689" s="180"/>
      <c r="CW689" s="180"/>
      <c r="CX689" s="180"/>
      <c r="CY689" s="180"/>
      <c r="CZ689" s="180"/>
      <c r="DA689" s="180"/>
      <c r="DB689" s="180"/>
    </row>
    <row r="690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  <c r="BA690" s="180"/>
      <c r="BB690" s="180"/>
      <c r="BC690" s="180"/>
      <c r="BD690" s="180"/>
      <c r="BE690" s="180"/>
      <c r="BF690" s="180"/>
      <c r="BG690" s="180"/>
      <c r="BH690" s="180"/>
      <c r="BI690" s="180"/>
      <c r="BJ690" s="180"/>
      <c r="BK690" s="180"/>
      <c r="BL690" s="180"/>
      <c r="BM690" s="180"/>
      <c r="BN690" s="180"/>
      <c r="BO690" s="180"/>
      <c r="BP690" s="180"/>
      <c r="BQ690" s="180"/>
      <c r="BR690" s="180"/>
      <c r="BS690" s="180"/>
      <c r="BT690" s="180"/>
      <c r="BU690" s="180"/>
      <c r="BV690" s="180"/>
      <c r="BW690" s="180"/>
      <c r="BX690" s="180"/>
      <c r="BY690" s="180"/>
      <c r="BZ690" s="180"/>
      <c r="CA690" s="180"/>
      <c r="CB690" s="180"/>
      <c r="CC690" s="180"/>
      <c r="CD690" s="180"/>
      <c r="CE690" s="180"/>
      <c r="CF690" s="180"/>
      <c r="CG690" s="180"/>
      <c r="CH690" s="180"/>
      <c r="CI690" s="180"/>
      <c r="CJ690" s="180"/>
      <c r="CK690" s="180"/>
      <c r="CL690" s="180"/>
      <c r="CM690" s="180"/>
      <c r="CN690" s="180"/>
      <c r="CO690" s="180"/>
      <c r="CP690" s="180"/>
      <c r="CQ690" s="180"/>
      <c r="CR690" s="180"/>
      <c r="CS690" s="180"/>
      <c r="CT690" s="180"/>
      <c r="CU690" s="180"/>
      <c r="CV690" s="180"/>
      <c r="CW690" s="180"/>
      <c r="CX690" s="180"/>
      <c r="CY690" s="180"/>
      <c r="CZ690" s="180"/>
      <c r="DA690" s="180"/>
      <c r="DB690" s="180"/>
    </row>
    <row r="691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  <c r="BA691" s="180"/>
      <c r="BB691" s="180"/>
      <c r="BC691" s="180"/>
      <c r="BD691" s="180"/>
      <c r="BE691" s="180"/>
      <c r="BF691" s="180"/>
      <c r="BG691" s="180"/>
      <c r="BH691" s="180"/>
      <c r="BI691" s="180"/>
      <c r="BJ691" s="180"/>
      <c r="BK691" s="180"/>
      <c r="BL691" s="180"/>
      <c r="BM691" s="180"/>
      <c r="BN691" s="180"/>
      <c r="BO691" s="180"/>
      <c r="BP691" s="180"/>
      <c r="BQ691" s="180"/>
      <c r="BR691" s="180"/>
      <c r="BS691" s="180"/>
      <c r="BT691" s="180"/>
      <c r="BU691" s="180"/>
      <c r="BV691" s="180"/>
      <c r="BW691" s="180"/>
      <c r="BX691" s="180"/>
      <c r="BY691" s="180"/>
      <c r="BZ691" s="180"/>
      <c r="CA691" s="180"/>
      <c r="CB691" s="180"/>
      <c r="CC691" s="180"/>
      <c r="CD691" s="180"/>
      <c r="CE691" s="180"/>
      <c r="CF691" s="180"/>
      <c r="CG691" s="180"/>
      <c r="CH691" s="180"/>
      <c r="CI691" s="180"/>
      <c r="CJ691" s="180"/>
      <c r="CK691" s="180"/>
      <c r="CL691" s="180"/>
      <c r="CM691" s="180"/>
      <c r="CN691" s="180"/>
      <c r="CO691" s="180"/>
      <c r="CP691" s="180"/>
      <c r="CQ691" s="180"/>
      <c r="CR691" s="180"/>
      <c r="CS691" s="180"/>
      <c r="CT691" s="180"/>
      <c r="CU691" s="180"/>
      <c r="CV691" s="180"/>
      <c r="CW691" s="180"/>
      <c r="CX691" s="180"/>
      <c r="CY691" s="180"/>
      <c r="CZ691" s="180"/>
      <c r="DA691" s="180"/>
      <c r="DB691" s="180"/>
    </row>
    <row r="692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  <c r="BA692" s="180"/>
      <c r="BB692" s="180"/>
      <c r="BC692" s="180"/>
      <c r="BD692" s="180"/>
      <c r="BE692" s="180"/>
      <c r="BF692" s="180"/>
      <c r="BG692" s="180"/>
      <c r="BH692" s="180"/>
      <c r="BI692" s="180"/>
      <c r="BJ692" s="180"/>
      <c r="BK692" s="180"/>
      <c r="BL692" s="180"/>
      <c r="BM692" s="180"/>
      <c r="BN692" s="180"/>
      <c r="BO692" s="180"/>
      <c r="BP692" s="180"/>
      <c r="BQ692" s="180"/>
      <c r="BR692" s="180"/>
      <c r="BS692" s="180"/>
      <c r="BT692" s="180"/>
      <c r="BU692" s="180"/>
      <c r="BV692" s="180"/>
      <c r="BW692" s="180"/>
      <c r="BX692" s="180"/>
      <c r="BY692" s="180"/>
      <c r="BZ692" s="180"/>
      <c r="CA692" s="180"/>
      <c r="CB692" s="180"/>
      <c r="CC692" s="180"/>
      <c r="CD692" s="180"/>
      <c r="CE692" s="180"/>
      <c r="CF692" s="180"/>
      <c r="CG692" s="180"/>
      <c r="CH692" s="180"/>
      <c r="CI692" s="180"/>
      <c r="CJ692" s="180"/>
      <c r="CK692" s="180"/>
      <c r="CL692" s="180"/>
      <c r="CM692" s="180"/>
      <c r="CN692" s="180"/>
      <c r="CO692" s="180"/>
      <c r="CP692" s="180"/>
      <c r="CQ692" s="180"/>
      <c r="CR692" s="180"/>
      <c r="CS692" s="180"/>
      <c r="CT692" s="180"/>
      <c r="CU692" s="180"/>
      <c r="CV692" s="180"/>
      <c r="CW692" s="180"/>
      <c r="CX692" s="180"/>
      <c r="CY692" s="180"/>
      <c r="CZ692" s="180"/>
      <c r="DA692" s="180"/>
      <c r="DB692" s="180"/>
    </row>
    <row r="693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  <c r="BA693" s="180"/>
      <c r="BB693" s="180"/>
      <c r="BC693" s="180"/>
      <c r="BD693" s="180"/>
      <c r="BE693" s="180"/>
      <c r="BF693" s="180"/>
      <c r="BG693" s="180"/>
      <c r="BH693" s="180"/>
      <c r="BI693" s="180"/>
      <c r="BJ693" s="180"/>
      <c r="BK693" s="180"/>
      <c r="BL693" s="180"/>
      <c r="BM693" s="180"/>
      <c r="BN693" s="180"/>
      <c r="BO693" s="180"/>
      <c r="BP693" s="180"/>
      <c r="BQ693" s="180"/>
      <c r="BR693" s="180"/>
      <c r="BS693" s="180"/>
      <c r="BT693" s="180"/>
      <c r="BU693" s="180"/>
      <c r="BV693" s="180"/>
      <c r="BW693" s="180"/>
      <c r="BX693" s="180"/>
      <c r="BY693" s="180"/>
      <c r="BZ693" s="180"/>
      <c r="CA693" s="180"/>
      <c r="CB693" s="180"/>
      <c r="CC693" s="180"/>
      <c r="CD693" s="180"/>
      <c r="CE693" s="180"/>
      <c r="CF693" s="180"/>
      <c r="CG693" s="180"/>
      <c r="CH693" s="180"/>
      <c r="CI693" s="180"/>
      <c r="CJ693" s="180"/>
      <c r="CK693" s="180"/>
      <c r="CL693" s="180"/>
      <c r="CM693" s="180"/>
      <c r="CN693" s="180"/>
      <c r="CO693" s="180"/>
      <c r="CP693" s="180"/>
      <c r="CQ693" s="180"/>
      <c r="CR693" s="180"/>
      <c r="CS693" s="180"/>
      <c r="CT693" s="180"/>
      <c r="CU693" s="180"/>
      <c r="CV693" s="180"/>
      <c r="CW693" s="180"/>
      <c r="CX693" s="180"/>
      <c r="CY693" s="180"/>
      <c r="CZ693" s="180"/>
      <c r="DA693" s="180"/>
      <c r="DB693" s="180"/>
    </row>
    <row r="694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  <c r="BA694" s="180"/>
      <c r="BB694" s="180"/>
      <c r="BC694" s="180"/>
      <c r="BD694" s="180"/>
      <c r="BE694" s="180"/>
      <c r="BF694" s="180"/>
      <c r="BG694" s="180"/>
      <c r="BH694" s="180"/>
      <c r="BI694" s="180"/>
      <c r="BJ694" s="180"/>
      <c r="BK694" s="180"/>
      <c r="BL694" s="180"/>
      <c r="BM694" s="180"/>
      <c r="BN694" s="180"/>
      <c r="BO694" s="180"/>
      <c r="BP694" s="180"/>
      <c r="BQ694" s="180"/>
      <c r="BR694" s="180"/>
      <c r="BS694" s="180"/>
      <c r="BT694" s="180"/>
      <c r="BU694" s="180"/>
      <c r="BV694" s="180"/>
      <c r="BW694" s="180"/>
      <c r="BX694" s="180"/>
      <c r="BY694" s="180"/>
      <c r="BZ694" s="180"/>
      <c r="CA694" s="180"/>
      <c r="CB694" s="180"/>
      <c r="CC694" s="180"/>
      <c r="CD694" s="180"/>
      <c r="CE694" s="180"/>
      <c r="CF694" s="180"/>
      <c r="CG694" s="180"/>
      <c r="CH694" s="180"/>
      <c r="CI694" s="180"/>
      <c r="CJ694" s="180"/>
      <c r="CK694" s="180"/>
      <c r="CL694" s="180"/>
      <c r="CM694" s="180"/>
      <c r="CN694" s="180"/>
      <c r="CO694" s="180"/>
      <c r="CP694" s="180"/>
      <c r="CQ694" s="180"/>
      <c r="CR694" s="180"/>
      <c r="CS694" s="180"/>
      <c r="CT694" s="180"/>
      <c r="CU694" s="180"/>
      <c r="CV694" s="180"/>
      <c r="CW694" s="180"/>
      <c r="CX694" s="180"/>
      <c r="CY694" s="180"/>
      <c r="CZ694" s="180"/>
      <c r="DA694" s="180"/>
      <c r="DB694" s="180"/>
    </row>
    <row r="695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  <c r="BA695" s="180"/>
      <c r="BB695" s="180"/>
      <c r="BC695" s="180"/>
      <c r="BD695" s="180"/>
      <c r="BE695" s="180"/>
      <c r="BF695" s="180"/>
      <c r="BG695" s="180"/>
      <c r="BH695" s="180"/>
      <c r="BI695" s="180"/>
      <c r="BJ695" s="180"/>
      <c r="BK695" s="180"/>
      <c r="BL695" s="180"/>
      <c r="BM695" s="180"/>
      <c r="BN695" s="180"/>
      <c r="BO695" s="180"/>
      <c r="BP695" s="180"/>
      <c r="BQ695" s="180"/>
      <c r="BR695" s="180"/>
      <c r="BS695" s="180"/>
      <c r="BT695" s="180"/>
      <c r="BU695" s="180"/>
      <c r="BV695" s="180"/>
      <c r="BW695" s="180"/>
      <c r="BX695" s="180"/>
      <c r="BY695" s="180"/>
      <c r="BZ695" s="180"/>
      <c r="CA695" s="180"/>
      <c r="CB695" s="180"/>
      <c r="CC695" s="180"/>
      <c r="CD695" s="180"/>
      <c r="CE695" s="180"/>
      <c r="CF695" s="180"/>
      <c r="CG695" s="180"/>
      <c r="CH695" s="180"/>
      <c r="CI695" s="180"/>
      <c r="CJ695" s="180"/>
      <c r="CK695" s="180"/>
      <c r="CL695" s="180"/>
      <c r="CM695" s="180"/>
      <c r="CN695" s="180"/>
      <c r="CO695" s="180"/>
      <c r="CP695" s="180"/>
      <c r="CQ695" s="180"/>
      <c r="CR695" s="180"/>
      <c r="CS695" s="180"/>
      <c r="CT695" s="180"/>
      <c r="CU695" s="180"/>
      <c r="CV695" s="180"/>
      <c r="CW695" s="180"/>
      <c r="CX695" s="180"/>
      <c r="CY695" s="180"/>
      <c r="CZ695" s="180"/>
      <c r="DA695" s="180"/>
      <c r="DB695" s="180"/>
    </row>
    <row r="696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  <c r="BA696" s="180"/>
      <c r="BB696" s="180"/>
      <c r="BC696" s="180"/>
      <c r="BD696" s="180"/>
      <c r="BE696" s="180"/>
      <c r="BF696" s="180"/>
      <c r="BG696" s="180"/>
      <c r="BH696" s="180"/>
      <c r="BI696" s="180"/>
      <c r="BJ696" s="180"/>
      <c r="BK696" s="180"/>
      <c r="BL696" s="180"/>
      <c r="BM696" s="180"/>
      <c r="BN696" s="180"/>
      <c r="BO696" s="180"/>
      <c r="BP696" s="180"/>
      <c r="BQ696" s="180"/>
      <c r="BR696" s="180"/>
      <c r="BS696" s="180"/>
      <c r="BT696" s="180"/>
      <c r="BU696" s="180"/>
      <c r="BV696" s="180"/>
      <c r="BW696" s="180"/>
      <c r="BX696" s="180"/>
      <c r="BY696" s="180"/>
      <c r="BZ696" s="180"/>
      <c r="CA696" s="180"/>
      <c r="CB696" s="180"/>
      <c r="CC696" s="180"/>
      <c r="CD696" s="180"/>
      <c r="CE696" s="180"/>
      <c r="CF696" s="180"/>
      <c r="CG696" s="180"/>
      <c r="CH696" s="180"/>
      <c r="CI696" s="180"/>
      <c r="CJ696" s="180"/>
      <c r="CK696" s="180"/>
      <c r="CL696" s="180"/>
      <c r="CM696" s="180"/>
      <c r="CN696" s="180"/>
      <c r="CO696" s="180"/>
      <c r="CP696" s="180"/>
      <c r="CQ696" s="180"/>
      <c r="CR696" s="180"/>
      <c r="CS696" s="180"/>
      <c r="CT696" s="180"/>
      <c r="CU696" s="180"/>
      <c r="CV696" s="180"/>
      <c r="CW696" s="180"/>
      <c r="CX696" s="180"/>
      <c r="CY696" s="180"/>
      <c r="CZ696" s="180"/>
      <c r="DA696" s="180"/>
      <c r="DB696" s="180"/>
    </row>
    <row r="697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  <c r="BA697" s="180"/>
      <c r="BB697" s="180"/>
      <c r="BC697" s="180"/>
      <c r="BD697" s="180"/>
      <c r="BE697" s="180"/>
      <c r="BF697" s="180"/>
      <c r="BG697" s="180"/>
      <c r="BH697" s="180"/>
      <c r="BI697" s="180"/>
      <c r="BJ697" s="180"/>
      <c r="BK697" s="180"/>
      <c r="BL697" s="180"/>
      <c r="BM697" s="180"/>
      <c r="BN697" s="180"/>
      <c r="BO697" s="180"/>
      <c r="BP697" s="180"/>
      <c r="BQ697" s="180"/>
      <c r="BR697" s="180"/>
      <c r="BS697" s="180"/>
      <c r="BT697" s="180"/>
      <c r="BU697" s="180"/>
      <c r="BV697" s="180"/>
      <c r="BW697" s="180"/>
      <c r="BX697" s="180"/>
      <c r="BY697" s="180"/>
      <c r="BZ697" s="180"/>
      <c r="CA697" s="180"/>
      <c r="CB697" s="180"/>
      <c r="CC697" s="180"/>
      <c r="CD697" s="180"/>
      <c r="CE697" s="180"/>
      <c r="CF697" s="180"/>
      <c r="CG697" s="180"/>
      <c r="CH697" s="180"/>
      <c r="CI697" s="180"/>
      <c r="CJ697" s="180"/>
      <c r="CK697" s="180"/>
      <c r="CL697" s="180"/>
      <c r="CM697" s="180"/>
      <c r="CN697" s="180"/>
      <c r="CO697" s="180"/>
      <c r="CP697" s="180"/>
      <c r="CQ697" s="180"/>
      <c r="CR697" s="180"/>
      <c r="CS697" s="180"/>
      <c r="CT697" s="180"/>
      <c r="CU697" s="180"/>
      <c r="CV697" s="180"/>
      <c r="CW697" s="180"/>
      <c r="CX697" s="180"/>
      <c r="CY697" s="180"/>
      <c r="CZ697" s="180"/>
      <c r="DA697" s="180"/>
      <c r="DB697" s="180"/>
    </row>
    <row r="698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  <c r="BA698" s="180"/>
      <c r="BB698" s="180"/>
      <c r="BC698" s="180"/>
      <c r="BD698" s="180"/>
      <c r="BE698" s="180"/>
      <c r="BF698" s="180"/>
      <c r="BG698" s="180"/>
      <c r="BH698" s="180"/>
      <c r="BI698" s="180"/>
      <c r="BJ698" s="180"/>
      <c r="BK698" s="180"/>
      <c r="BL698" s="180"/>
      <c r="BM698" s="180"/>
      <c r="BN698" s="180"/>
      <c r="BO698" s="180"/>
      <c r="BP698" s="180"/>
      <c r="BQ698" s="180"/>
      <c r="BR698" s="180"/>
      <c r="BS698" s="180"/>
      <c r="BT698" s="180"/>
      <c r="BU698" s="180"/>
      <c r="BV698" s="180"/>
      <c r="BW698" s="180"/>
      <c r="BX698" s="180"/>
      <c r="BY698" s="180"/>
      <c r="BZ698" s="180"/>
      <c r="CA698" s="180"/>
      <c r="CB698" s="180"/>
      <c r="CC698" s="180"/>
      <c r="CD698" s="180"/>
      <c r="CE698" s="180"/>
      <c r="CF698" s="180"/>
      <c r="CG698" s="180"/>
      <c r="CH698" s="180"/>
      <c r="CI698" s="180"/>
      <c r="CJ698" s="180"/>
      <c r="CK698" s="180"/>
      <c r="CL698" s="180"/>
      <c r="CM698" s="180"/>
      <c r="CN698" s="180"/>
      <c r="CO698" s="180"/>
      <c r="CP698" s="180"/>
      <c r="CQ698" s="180"/>
      <c r="CR698" s="180"/>
      <c r="CS698" s="180"/>
      <c r="CT698" s="180"/>
      <c r="CU698" s="180"/>
      <c r="CV698" s="180"/>
      <c r="CW698" s="180"/>
      <c r="CX698" s="180"/>
      <c r="CY698" s="180"/>
      <c r="CZ698" s="180"/>
      <c r="DA698" s="180"/>
      <c r="DB698" s="180"/>
    </row>
    <row r="699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  <c r="AU699" s="180"/>
      <c r="AV699" s="180"/>
      <c r="AW699" s="180"/>
      <c r="AX699" s="180"/>
      <c r="AY699" s="180"/>
      <c r="AZ699" s="180"/>
      <c r="BA699" s="180"/>
      <c r="BB699" s="180"/>
      <c r="BC699" s="180"/>
      <c r="BD699" s="180"/>
      <c r="BE699" s="180"/>
      <c r="BF699" s="180"/>
      <c r="BG699" s="180"/>
      <c r="BH699" s="180"/>
      <c r="BI699" s="180"/>
      <c r="BJ699" s="180"/>
      <c r="BK699" s="180"/>
      <c r="BL699" s="180"/>
      <c r="BM699" s="180"/>
      <c r="BN699" s="180"/>
      <c r="BO699" s="180"/>
      <c r="BP699" s="180"/>
      <c r="BQ699" s="180"/>
      <c r="BR699" s="180"/>
      <c r="BS699" s="180"/>
      <c r="BT699" s="180"/>
      <c r="BU699" s="180"/>
      <c r="BV699" s="180"/>
      <c r="BW699" s="180"/>
      <c r="BX699" s="180"/>
      <c r="BY699" s="180"/>
      <c r="BZ699" s="180"/>
      <c r="CA699" s="180"/>
      <c r="CB699" s="180"/>
      <c r="CC699" s="180"/>
      <c r="CD699" s="180"/>
      <c r="CE699" s="180"/>
      <c r="CF699" s="180"/>
      <c r="CG699" s="180"/>
      <c r="CH699" s="180"/>
      <c r="CI699" s="180"/>
      <c r="CJ699" s="180"/>
      <c r="CK699" s="180"/>
      <c r="CL699" s="180"/>
      <c r="CM699" s="180"/>
      <c r="CN699" s="180"/>
      <c r="CO699" s="180"/>
      <c r="CP699" s="180"/>
      <c r="CQ699" s="180"/>
      <c r="CR699" s="180"/>
      <c r="CS699" s="180"/>
      <c r="CT699" s="180"/>
      <c r="CU699" s="180"/>
      <c r="CV699" s="180"/>
      <c r="CW699" s="180"/>
      <c r="CX699" s="180"/>
      <c r="CY699" s="180"/>
      <c r="CZ699" s="180"/>
      <c r="DA699" s="180"/>
      <c r="DB699" s="180"/>
    </row>
    <row r="700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  <c r="AU700" s="180"/>
      <c r="AV700" s="180"/>
      <c r="AW700" s="180"/>
      <c r="AX700" s="180"/>
      <c r="AY700" s="180"/>
      <c r="AZ700" s="180"/>
      <c r="BA700" s="180"/>
      <c r="BB700" s="180"/>
      <c r="BC700" s="180"/>
      <c r="BD700" s="180"/>
      <c r="BE700" s="180"/>
      <c r="BF700" s="180"/>
      <c r="BG700" s="180"/>
      <c r="BH700" s="180"/>
      <c r="BI700" s="180"/>
      <c r="BJ700" s="180"/>
      <c r="BK700" s="180"/>
      <c r="BL700" s="180"/>
      <c r="BM700" s="180"/>
      <c r="BN700" s="180"/>
      <c r="BO700" s="180"/>
      <c r="BP700" s="180"/>
      <c r="BQ700" s="180"/>
      <c r="BR700" s="180"/>
      <c r="BS700" s="180"/>
      <c r="BT700" s="180"/>
      <c r="BU700" s="180"/>
      <c r="BV700" s="180"/>
      <c r="BW700" s="180"/>
      <c r="BX700" s="180"/>
      <c r="BY700" s="180"/>
      <c r="BZ700" s="180"/>
      <c r="CA700" s="180"/>
      <c r="CB700" s="180"/>
      <c r="CC700" s="180"/>
      <c r="CD700" s="180"/>
      <c r="CE700" s="180"/>
      <c r="CF700" s="180"/>
      <c r="CG700" s="180"/>
      <c r="CH700" s="180"/>
      <c r="CI700" s="180"/>
      <c r="CJ700" s="180"/>
      <c r="CK700" s="180"/>
      <c r="CL700" s="180"/>
      <c r="CM700" s="180"/>
      <c r="CN700" s="180"/>
      <c r="CO700" s="180"/>
      <c r="CP700" s="180"/>
      <c r="CQ700" s="180"/>
      <c r="CR700" s="180"/>
      <c r="CS700" s="180"/>
      <c r="CT700" s="180"/>
      <c r="CU700" s="180"/>
      <c r="CV700" s="180"/>
      <c r="CW700" s="180"/>
      <c r="CX700" s="180"/>
      <c r="CY700" s="180"/>
      <c r="CZ700" s="180"/>
      <c r="DA700" s="180"/>
      <c r="DB700" s="180"/>
    </row>
    <row r="701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  <c r="AU701" s="180"/>
      <c r="AV701" s="180"/>
      <c r="AW701" s="180"/>
      <c r="AX701" s="180"/>
      <c r="AY701" s="180"/>
      <c r="AZ701" s="180"/>
      <c r="BA701" s="180"/>
      <c r="BB701" s="180"/>
      <c r="BC701" s="180"/>
      <c r="BD701" s="180"/>
      <c r="BE701" s="180"/>
      <c r="BF701" s="180"/>
      <c r="BG701" s="180"/>
      <c r="BH701" s="180"/>
      <c r="BI701" s="180"/>
      <c r="BJ701" s="180"/>
      <c r="BK701" s="180"/>
      <c r="BL701" s="180"/>
      <c r="BM701" s="180"/>
      <c r="BN701" s="180"/>
      <c r="BO701" s="180"/>
      <c r="BP701" s="180"/>
      <c r="BQ701" s="180"/>
      <c r="BR701" s="180"/>
      <c r="BS701" s="180"/>
      <c r="BT701" s="180"/>
      <c r="BU701" s="180"/>
      <c r="BV701" s="180"/>
      <c r="BW701" s="180"/>
      <c r="BX701" s="180"/>
      <c r="BY701" s="180"/>
      <c r="BZ701" s="180"/>
      <c r="CA701" s="180"/>
      <c r="CB701" s="180"/>
      <c r="CC701" s="180"/>
      <c r="CD701" s="180"/>
      <c r="CE701" s="180"/>
      <c r="CF701" s="180"/>
      <c r="CG701" s="180"/>
      <c r="CH701" s="180"/>
      <c r="CI701" s="180"/>
      <c r="CJ701" s="180"/>
      <c r="CK701" s="180"/>
      <c r="CL701" s="180"/>
      <c r="CM701" s="180"/>
      <c r="CN701" s="180"/>
      <c r="CO701" s="180"/>
      <c r="CP701" s="180"/>
      <c r="CQ701" s="180"/>
      <c r="CR701" s="180"/>
      <c r="CS701" s="180"/>
      <c r="CT701" s="180"/>
      <c r="CU701" s="180"/>
      <c r="CV701" s="180"/>
      <c r="CW701" s="180"/>
      <c r="CX701" s="180"/>
      <c r="CY701" s="180"/>
      <c r="CZ701" s="180"/>
      <c r="DA701" s="180"/>
      <c r="DB701" s="180"/>
    </row>
    <row r="702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  <c r="K702" s="180"/>
      <c r="L702" s="180"/>
      <c r="M702" s="180"/>
      <c r="N702" s="180"/>
      <c r="O702" s="180"/>
      <c r="P702" s="180"/>
      <c r="Q702" s="180"/>
      <c r="R702" s="180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  <c r="AG702" s="180"/>
      <c r="AH702" s="180"/>
      <c r="AI702" s="180"/>
      <c r="AJ702" s="180"/>
      <c r="AK702" s="180"/>
      <c r="AL702" s="180"/>
      <c r="AM702" s="180"/>
      <c r="AN702" s="180"/>
      <c r="AO702" s="180"/>
      <c r="AP702" s="180"/>
      <c r="AQ702" s="180"/>
      <c r="AR702" s="180"/>
      <c r="AS702" s="180"/>
      <c r="AT702" s="180"/>
      <c r="AU702" s="180"/>
      <c r="AV702" s="180"/>
      <c r="AW702" s="180"/>
      <c r="AX702" s="180"/>
      <c r="AY702" s="180"/>
      <c r="AZ702" s="180"/>
      <c r="BA702" s="180"/>
      <c r="BB702" s="180"/>
      <c r="BC702" s="180"/>
      <c r="BD702" s="180"/>
      <c r="BE702" s="180"/>
      <c r="BF702" s="180"/>
      <c r="BG702" s="180"/>
      <c r="BH702" s="180"/>
      <c r="BI702" s="180"/>
      <c r="BJ702" s="180"/>
      <c r="BK702" s="180"/>
      <c r="BL702" s="180"/>
      <c r="BM702" s="180"/>
      <c r="BN702" s="180"/>
      <c r="BO702" s="180"/>
      <c r="BP702" s="180"/>
      <c r="BQ702" s="180"/>
      <c r="BR702" s="180"/>
      <c r="BS702" s="180"/>
      <c r="BT702" s="180"/>
      <c r="BU702" s="180"/>
      <c r="BV702" s="180"/>
      <c r="BW702" s="180"/>
      <c r="BX702" s="180"/>
      <c r="BY702" s="180"/>
      <c r="BZ702" s="180"/>
      <c r="CA702" s="180"/>
      <c r="CB702" s="180"/>
      <c r="CC702" s="180"/>
      <c r="CD702" s="180"/>
      <c r="CE702" s="180"/>
      <c r="CF702" s="180"/>
      <c r="CG702" s="180"/>
      <c r="CH702" s="180"/>
      <c r="CI702" s="180"/>
      <c r="CJ702" s="180"/>
      <c r="CK702" s="180"/>
      <c r="CL702" s="180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</row>
    <row r="703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  <c r="BA703" s="180"/>
      <c r="BB703" s="180"/>
      <c r="BC703" s="180"/>
      <c r="BD703" s="180"/>
      <c r="BE703" s="180"/>
      <c r="BF703" s="180"/>
      <c r="BG703" s="180"/>
      <c r="BH703" s="180"/>
      <c r="BI703" s="180"/>
      <c r="BJ703" s="180"/>
      <c r="BK703" s="180"/>
      <c r="BL703" s="180"/>
      <c r="BM703" s="180"/>
      <c r="BN703" s="180"/>
      <c r="BO703" s="180"/>
      <c r="BP703" s="180"/>
      <c r="BQ703" s="180"/>
      <c r="BR703" s="180"/>
      <c r="BS703" s="180"/>
      <c r="BT703" s="180"/>
      <c r="BU703" s="180"/>
      <c r="BV703" s="180"/>
      <c r="BW703" s="180"/>
      <c r="BX703" s="180"/>
      <c r="BY703" s="180"/>
      <c r="BZ703" s="180"/>
      <c r="CA703" s="180"/>
      <c r="CB703" s="180"/>
      <c r="CC703" s="180"/>
      <c r="CD703" s="180"/>
      <c r="CE703" s="180"/>
      <c r="CF703" s="180"/>
      <c r="CG703" s="180"/>
      <c r="CH703" s="180"/>
      <c r="CI703" s="180"/>
      <c r="CJ703" s="180"/>
      <c r="CK703" s="180"/>
      <c r="CL703" s="180"/>
      <c r="CM703" s="180"/>
      <c r="CN703" s="180"/>
      <c r="CO703" s="180"/>
      <c r="CP703" s="180"/>
      <c r="CQ703" s="180"/>
      <c r="CR703" s="180"/>
      <c r="CS703" s="180"/>
      <c r="CT703" s="180"/>
      <c r="CU703" s="180"/>
      <c r="CV703" s="180"/>
      <c r="CW703" s="180"/>
      <c r="CX703" s="180"/>
      <c r="CY703" s="180"/>
      <c r="CZ703" s="180"/>
      <c r="DA703" s="180"/>
      <c r="DB703" s="180"/>
    </row>
    <row r="704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  <c r="BA704" s="180"/>
      <c r="BB704" s="180"/>
      <c r="BC704" s="180"/>
      <c r="BD704" s="180"/>
      <c r="BE704" s="180"/>
      <c r="BF704" s="180"/>
      <c r="BG704" s="180"/>
      <c r="BH704" s="180"/>
      <c r="BI704" s="180"/>
      <c r="BJ704" s="180"/>
      <c r="BK704" s="180"/>
      <c r="BL704" s="180"/>
      <c r="BM704" s="180"/>
      <c r="BN704" s="180"/>
      <c r="BO704" s="180"/>
      <c r="BP704" s="180"/>
      <c r="BQ704" s="180"/>
      <c r="BR704" s="180"/>
      <c r="BS704" s="180"/>
      <c r="BT704" s="180"/>
      <c r="BU704" s="180"/>
      <c r="BV704" s="180"/>
      <c r="BW704" s="180"/>
      <c r="BX704" s="180"/>
      <c r="BY704" s="180"/>
      <c r="BZ704" s="180"/>
      <c r="CA704" s="180"/>
      <c r="CB704" s="180"/>
      <c r="CC704" s="180"/>
      <c r="CD704" s="180"/>
      <c r="CE704" s="180"/>
      <c r="CF704" s="180"/>
      <c r="CG704" s="180"/>
      <c r="CH704" s="180"/>
      <c r="CI704" s="180"/>
      <c r="CJ704" s="180"/>
      <c r="CK704" s="180"/>
      <c r="CL704" s="180"/>
      <c r="CM704" s="180"/>
      <c r="CN704" s="180"/>
      <c r="CO704" s="180"/>
      <c r="CP704" s="180"/>
      <c r="CQ704" s="180"/>
      <c r="CR704" s="180"/>
      <c r="CS704" s="180"/>
      <c r="CT704" s="180"/>
      <c r="CU704" s="180"/>
      <c r="CV704" s="180"/>
      <c r="CW704" s="180"/>
      <c r="CX704" s="180"/>
      <c r="CY704" s="180"/>
      <c r="CZ704" s="180"/>
      <c r="DA704" s="180"/>
      <c r="DB704" s="180"/>
    </row>
    <row r="705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  <c r="BA705" s="180"/>
      <c r="BB705" s="180"/>
      <c r="BC705" s="180"/>
      <c r="BD705" s="180"/>
      <c r="BE705" s="180"/>
      <c r="BF705" s="180"/>
      <c r="BG705" s="180"/>
      <c r="BH705" s="180"/>
      <c r="BI705" s="180"/>
      <c r="BJ705" s="180"/>
      <c r="BK705" s="180"/>
      <c r="BL705" s="180"/>
      <c r="BM705" s="180"/>
      <c r="BN705" s="180"/>
      <c r="BO705" s="180"/>
      <c r="BP705" s="180"/>
      <c r="BQ705" s="180"/>
      <c r="BR705" s="180"/>
      <c r="BS705" s="180"/>
      <c r="BT705" s="180"/>
      <c r="BU705" s="180"/>
      <c r="BV705" s="180"/>
      <c r="BW705" s="180"/>
      <c r="BX705" s="180"/>
      <c r="BY705" s="180"/>
      <c r="BZ705" s="180"/>
      <c r="CA705" s="180"/>
      <c r="CB705" s="180"/>
      <c r="CC705" s="180"/>
      <c r="CD705" s="180"/>
      <c r="CE705" s="180"/>
      <c r="CF705" s="180"/>
      <c r="CG705" s="180"/>
      <c r="CH705" s="180"/>
      <c r="CI705" s="180"/>
      <c r="CJ705" s="180"/>
      <c r="CK705" s="180"/>
      <c r="CL705" s="180"/>
      <c r="CM705" s="180"/>
      <c r="CN705" s="180"/>
      <c r="CO705" s="180"/>
      <c r="CP705" s="180"/>
      <c r="CQ705" s="180"/>
      <c r="CR705" s="180"/>
      <c r="CS705" s="180"/>
      <c r="CT705" s="180"/>
      <c r="CU705" s="180"/>
      <c r="CV705" s="180"/>
      <c r="CW705" s="180"/>
      <c r="CX705" s="180"/>
      <c r="CY705" s="180"/>
      <c r="CZ705" s="180"/>
      <c r="DA705" s="180"/>
      <c r="DB705" s="180"/>
    </row>
    <row r="706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  <c r="BA706" s="180"/>
      <c r="BB706" s="180"/>
      <c r="BC706" s="180"/>
      <c r="BD706" s="180"/>
      <c r="BE706" s="180"/>
      <c r="BF706" s="180"/>
      <c r="BG706" s="180"/>
      <c r="BH706" s="180"/>
      <c r="BI706" s="180"/>
      <c r="BJ706" s="180"/>
      <c r="BK706" s="180"/>
      <c r="BL706" s="180"/>
      <c r="BM706" s="180"/>
      <c r="BN706" s="180"/>
      <c r="BO706" s="180"/>
      <c r="BP706" s="180"/>
      <c r="BQ706" s="180"/>
      <c r="BR706" s="180"/>
      <c r="BS706" s="180"/>
      <c r="BT706" s="180"/>
      <c r="BU706" s="180"/>
      <c r="BV706" s="180"/>
      <c r="BW706" s="180"/>
      <c r="BX706" s="180"/>
      <c r="BY706" s="180"/>
      <c r="BZ706" s="180"/>
      <c r="CA706" s="180"/>
      <c r="CB706" s="180"/>
      <c r="CC706" s="180"/>
      <c r="CD706" s="180"/>
      <c r="CE706" s="180"/>
      <c r="CF706" s="180"/>
      <c r="CG706" s="180"/>
      <c r="CH706" s="180"/>
      <c r="CI706" s="180"/>
      <c r="CJ706" s="180"/>
      <c r="CK706" s="180"/>
      <c r="CL706" s="180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</row>
    <row r="707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  <c r="K707" s="180"/>
      <c r="L707" s="180"/>
      <c r="M707" s="180"/>
      <c r="N707" s="180"/>
      <c r="O707" s="180"/>
      <c r="P707" s="180"/>
      <c r="Q707" s="180"/>
      <c r="R707" s="180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  <c r="AG707" s="180"/>
      <c r="AH707" s="180"/>
      <c r="AI707" s="180"/>
      <c r="AJ707" s="180"/>
      <c r="AK707" s="180"/>
      <c r="AL707" s="180"/>
      <c r="AM707" s="180"/>
      <c r="AN707" s="180"/>
      <c r="AO707" s="180"/>
      <c r="AP707" s="180"/>
      <c r="AQ707" s="180"/>
      <c r="AR707" s="180"/>
      <c r="AS707" s="180"/>
      <c r="AT707" s="180"/>
      <c r="AU707" s="180"/>
      <c r="AV707" s="180"/>
      <c r="AW707" s="180"/>
      <c r="AX707" s="180"/>
      <c r="AY707" s="180"/>
      <c r="AZ707" s="180"/>
      <c r="BA707" s="180"/>
      <c r="BB707" s="180"/>
      <c r="BC707" s="180"/>
      <c r="BD707" s="180"/>
      <c r="BE707" s="180"/>
      <c r="BF707" s="180"/>
      <c r="BG707" s="180"/>
      <c r="BH707" s="180"/>
      <c r="BI707" s="180"/>
      <c r="BJ707" s="180"/>
      <c r="BK707" s="180"/>
      <c r="BL707" s="180"/>
      <c r="BM707" s="180"/>
      <c r="BN707" s="180"/>
      <c r="BO707" s="180"/>
      <c r="BP707" s="180"/>
      <c r="BQ707" s="180"/>
      <c r="BR707" s="180"/>
      <c r="BS707" s="180"/>
      <c r="BT707" s="180"/>
      <c r="BU707" s="180"/>
      <c r="BV707" s="180"/>
      <c r="BW707" s="180"/>
      <c r="BX707" s="180"/>
      <c r="BY707" s="180"/>
      <c r="BZ707" s="180"/>
      <c r="CA707" s="180"/>
      <c r="CB707" s="180"/>
      <c r="CC707" s="180"/>
      <c r="CD707" s="180"/>
      <c r="CE707" s="180"/>
      <c r="CF707" s="180"/>
      <c r="CG707" s="180"/>
      <c r="CH707" s="180"/>
      <c r="CI707" s="180"/>
      <c r="CJ707" s="180"/>
      <c r="CK707" s="180"/>
      <c r="CL707" s="180"/>
      <c r="CM707" s="180"/>
      <c r="CN707" s="180"/>
      <c r="CO707" s="180"/>
      <c r="CP707" s="180"/>
      <c r="CQ707" s="180"/>
      <c r="CR707" s="180"/>
      <c r="CS707" s="180"/>
      <c r="CT707" s="180"/>
      <c r="CU707" s="180"/>
      <c r="CV707" s="180"/>
      <c r="CW707" s="180"/>
      <c r="CX707" s="180"/>
      <c r="CY707" s="180"/>
      <c r="CZ707" s="180"/>
      <c r="DA707" s="180"/>
      <c r="DB707" s="180"/>
    </row>
    <row r="708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  <c r="BA708" s="180"/>
      <c r="BB708" s="180"/>
      <c r="BC708" s="180"/>
      <c r="BD708" s="180"/>
      <c r="BE708" s="180"/>
      <c r="BF708" s="180"/>
      <c r="BG708" s="180"/>
      <c r="BH708" s="180"/>
      <c r="BI708" s="180"/>
      <c r="BJ708" s="180"/>
      <c r="BK708" s="180"/>
      <c r="BL708" s="180"/>
      <c r="BM708" s="180"/>
      <c r="BN708" s="180"/>
      <c r="BO708" s="180"/>
      <c r="BP708" s="180"/>
      <c r="BQ708" s="180"/>
      <c r="BR708" s="180"/>
      <c r="BS708" s="180"/>
      <c r="BT708" s="180"/>
      <c r="BU708" s="180"/>
      <c r="BV708" s="180"/>
      <c r="BW708" s="180"/>
      <c r="BX708" s="180"/>
      <c r="BY708" s="180"/>
      <c r="BZ708" s="180"/>
      <c r="CA708" s="180"/>
      <c r="CB708" s="180"/>
      <c r="CC708" s="180"/>
      <c r="CD708" s="180"/>
      <c r="CE708" s="180"/>
      <c r="CF708" s="180"/>
      <c r="CG708" s="180"/>
      <c r="CH708" s="180"/>
      <c r="CI708" s="180"/>
      <c r="CJ708" s="180"/>
      <c r="CK708" s="180"/>
      <c r="CL708" s="180"/>
      <c r="CM708" s="180"/>
      <c r="CN708" s="180"/>
      <c r="CO708" s="180"/>
      <c r="CP708" s="180"/>
      <c r="CQ708" s="180"/>
      <c r="CR708" s="180"/>
      <c r="CS708" s="180"/>
      <c r="CT708" s="180"/>
      <c r="CU708" s="180"/>
      <c r="CV708" s="180"/>
      <c r="CW708" s="180"/>
      <c r="CX708" s="180"/>
      <c r="CY708" s="180"/>
      <c r="CZ708" s="180"/>
      <c r="DA708" s="180"/>
      <c r="DB708" s="180"/>
    </row>
    <row r="709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0"/>
      <c r="BB709" s="180"/>
      <c r="BC709" s="180"/>
      <c r="BD709" s="180"/>
      <c r="BE709" s="180"/>
      <c r="BF709" s="180"/>
      <c r="BG709" s="180"/>
      <c r="BH709" s="180"/>
      <c r="BI709" s="180"/>
      <c r="BJ709" s="180"/>
      <c r="BK709" s="180"/>
      <c r="BL709" s="180"/>
      <c r="BM709" s="180"/>
      <c r="BN709" s="180"/>
      <c r="BO709" s="180"/>
      <c r="BP709" s="180"/>
      <c r="BQ709" s="180"/>
      <c r="BR709" s="180"/>
      <c r="BS709" s="180"/>
      <c r="BT709" s="180"/>
      <c r="BU709" s="180"/>
      <c r="BV709" s="180"/>
      <c r="BW709" s="180"/>
      <c r="BX709" s="180"/>
      <c r="BY709" s="180"/>
      <c r="BZ709" s="180"/>
      <c r="CA709" s="180"/>
      <c r="CB709" s="180"/>
      <c r="CC709" s="180"/>
      <c r="CD709" s="180"/>
      <c r="CE709" s="180"/>
      <c r="CF709" s="180"/>
      <c r="CG709" s="180"/>
      <c r="CH709" s="180"/>
      <c r="CI709" s="180"/>
      <c r="CJ709" s="180"/>
      <c r="CK709" s="180"/>
      <c r="CL709" s="180"/>
      <c r="CM709" s="180"/>
      <c r="CN709" s="180"/>
      <c r="CO709" s="180"/>
      <c r="CP709" s="180"/>
      <c r="CQ709" s="180"/>
      <c r="CR709" s="180"/>
      <c r="CS709" s="180"/>
      <c r="CT709" s="180"/>
      <c r="CU709" s="180"/>
      <c r="CV709" s="180"/>
      <c r="CW709" s="180"/>
      <c r="CX709" s="180"/>
      <c r="CY709" s="180"/>
      <c r="CZ709" s="180"/>
      <c r="DA709" s="180"/>
      <c r="DB709" s="180"/>
    </row>
    <row r="710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  <c r="BA710" s="180"/>
      <c r="BB710" s="180"/>
      <c r="BC710" s="180"/>
      <c r="BD710" s="180"/>
      <c r="BE710" s="180"/>
      <c r="BF710" s="180"/>
      <c r="BG710" s="180"/>
      <c r="BH710" s="180"/>
      <c r="BI710" s="180"/>
      <c r="BJ710" s="180"/>
      <c r="BK710" s="180"/>
      <c r="BL710" s="180"/>
      <c r="BM710" s="180"/>
      <c r="BN710" s="180"/>
      <c r="BO710" s="180"/>
      <c r="BP710" s="180"/>
      <c r="BQ710" s="180"/>
      <c r="BR710" s="180"/>
      <c r="BS710" s="180"/>
      <c r="BT710" s="180"/>
      <c r="BU710" s="180"/>
      <c r="BV710" s="180"/>
      <c r="BW710" s="180"/>
      <c r="BX710" s="180"/>
      <c r="BY710" s="180"/>
      <c r="BZ710" s="180"/>
      <c r="CA710" s="180"/>
      <c r="CB710" s="180"/>
      <c r="CC710" s="180"/>
      <c r="CD710" s="180"/>
      <c r="CE710" s="180"/>
      <c r="CF710" s="180"/>
      <c r="CG710" s="180"/>
      <c r="CH710" s="180"/>
      <c r="CI710" s="180"/>
      <c r="CJ710" s="180"/>
      <c r="CK710" s="180"/>
      <c r="CL710" s="180"/>
      <c r="CM710" s="180"/>
      <c r="CN710" s="180"/>
      <c r="CO710" s="180"/>
      <c r="CP710" s="180"/>
      <c r="CQ710" s="180"/>
      <c r="CR710" s="180"/>
      <c r="CS710" s="180"/>
      <c r="CT710" s="180"/>
      <c r="CU710" s="180"/>
      <c r="CV710" s="180"/>
      <c r="CW710" s="180"/>
      <c r="CX710" s="180"/>
      <c r="CY710" s="180"/>
      <c r="CZ710" s="180"/>
      <c r="DA710" s="180"/>
      <c r="DB710" s="180"/>
    </row>
    <row r="711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  <c r="BA711" s="180"/>
      <c r="BB711" s="180"/>
      <c r="BC711" s="180"/>
      <c r="BD711" s="180"/>
      <c r="BE711" s="180"/>
      <c r="BF711" s="180"/>
      <c r="BG711" s="180"/>
      <c r="BH711" s="180"/>
      <c r="BI711" s="180"/>
      <c r="BJ711" s="180"/>
      <c r="BK711" s="180"/>
      <c r="BL711" s="180"/>
      <c r="BM711" s="180"/>
      <c r="BN711" s="180"/>
      <c r="BO711" s="180"/>
      <c r="BP711" s="180"/>
      <c r="BQ711" s="180"/>
      <c r="BR711" s="180"/>
      <c r="BS711" s="180"/>
      <c r="BT711" s="180"/>
      <c r="BU711" s="180"/>
      <c r="BV711" s="180"/>
      <c r="BW711" s="180"/>
      <c r="BX711" s="180"/>
      <c r="BY711" s="180"/>
      <c r="BZ711" s="180"/>
      <c r="CA711" s="180"/>
      <c r="CB711" s="180"/>
      <c r="CC711" s="180"/>
      <c r="CD711" s="180"/>
      <c r="CE711" s="180"/>
      <c r="CF711" s="180"/>
      <c r="CG711" s="180"/>
      <c r="CH711" s="180"/>
      <c r="CI711" s="180"/>
      <c r="CJ711" s="180"/>
      <c r="CK711" s="180"/>
      <c r="CL711" s="180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</row>
    <row r="712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  <c r="AU712" s="180"/>
      <c r="AV712" s="180"/>
      <c r="AW712" s="180"/>
      <c r="AX712" s="180"/>
      <c r="AY712" s="180"/>
      <c r="AZ712" s="180"/>
      <c r="BA712" s="180"/>
      <c r="BB712" s="180"/>
      <c r="BC712" s="180"/>
      <c r="BD712" s="180"/>
      <c r="BE712" s="180"/>
      <c r="BF712" s="180"/>
      <c r="BG712" s="180"/>
      <c r="BH712" s="180"/>
      <c r="BI712" s="180"/>
      <c r="BJ712" s="180"/>
      <c r="BK712" s="180"/>
      <c r="BL712" s="180"/>
      <c r="BM712" s="180"/>
      <c r="BN712" s="180"/>
      <c r="BO712" s="180"/>
      <c r="BP712" s="180"/>
      <c r="BQ712" s="180"/>
      <c r="BR712" s="180"/>
      <c r="BS712" s="180"/>
      <c r="BT712" s="180"/>
      <c r="BU712" s="180"/>
      <c r="BV712" s="180"/>
      <c r="BW712" s="180"/>
      <c r="BX712" s="180"/>
      <c r="BY712" s="180"/>
      <c r="BZ712" s="180"/>
      <c r="CA712" s="180"/>
      <c r="CB712" s="180"/>
      <c r="CC712" s="180"/>
      <c r="CD712" s="180"/>
      <c r="CE712" s="180"/>
      <c r="CF712" s="180"/>
      <c r="CG712" s="180"/>
      <c r="CH712" s="180"/>
      <c r="CI712" s="180"/>
      <c r="CJ712" s="180"/>
      <c r="CK712" s="180"/>
      <c r="CL712" s="180"/>
      <c r="CM712" s="180"/>
      <c r="CN712" s="180"/>
      <c r="CO712" s="180"/>
      <c r="CP712" s="180"/>
      <c r="CQ712" s="180"/>
      <c r="CR712" s="180"/>
      <c r="CS712" s="180"/>
      <c r="CT712" s="180"/>
      <c r="CU712" s="180"/>
      <c r="CV712" s="180"/>
      <c r="CW712" s="180"/>
      <c r="CX712" s="180"/>
      <c r="CY712" s="180"/>
      <c r="CZ712" s="180"/>
      <c r="DA712" s="180"/>
      <c r="DB712" s="180"/>
    </row>
    <row r="713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  <c r="BA713" s="180"/>
      <c r="BB713" s="180"/>
      <c r="BC713" s="180"/>
      <c r="BD713" s="180"/>
      <c r="BE713" s="180"/>
      <c r="BF713" s="180"/>
      <c r="BG713" s="180"/>
      <c r="BH713" s="180"/>
      <c r="BI713" s="180"/>
      <c r="BJ713" s="180"/>
      <c r="BK713" s="180"/>
      <c r="BL713" s="180"/>
      <c r="BM713" s="180"/>
      <c r="BN713" s="180"/>
      <c r="BO713" s="180"/>
      <c r="BP713" s="180"/>
      <c r="BQ713" s="180"/>
      <c r="BR713" s="180"/>
      <c r="BS713" s="180"/>
      <c r="BT713" s="180"/>
      <c r="BU713" s="180"/>
      <c r="BV713" s="180"/>
      <c r="BW713" s="180"/>
      <c r="BX713" s="180"/>
      <c r="BY713" s="180"/>
      <c r="BZ713" s="180"/>
      <c r="CA713" s="180"/>
      <c r="CB713" s="180"/>
      <c r="CC713" s="180"/>
      <c r="CD713" s="180"/>
      <c r="CE713" s="180"/>
      <c r="CF713" s="180"/>
      <c r="CG713" s="180"/>
      <c r="CH713" s="180"/>
      <c r="CI713" s="180"/>
      <c r="CJ713" s="180"/>
      <c r="CK713" s="180"/>
      <c r="CL713" s="180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</row>
    <row r="714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  <c r="BA714" s="180"/>
      <c r="BB714" s="180"/>
      <c r="BC714" s="180"/>
      <c r="BD714" s="180"/>
      <c r="BE714" s="180"/>
      <c r="BF714" s="180"/>
      <c r="BG714" s="180"/>
      <c r="BH714" s="180"/>
      <c r="BI714" s="180"/>
      <c r="BJ714" s="180"/>
      <c r="BK714" s="180"/>
      <c r="BL714" s="180"/>
      <c r="BM714" s="180"/>
      <c r="BN714" s="180"/>
      <c r="BO714" s="180"/>
      <c r="BP714" s="180"/>
      <c r="BQ714" s="180"/>
      <c r="BR714" s="180"/>
      <c r="BS714" s="180"/>
      <c r="BT714" s="180"/>
      <c r="BU714" s="180"/>
      <c r="BV714" s="180"/>
      <c r="BW714" s="180"/>
      <c r="BX714" s="180"/>
      <c r="BY714" s="180"/>
      <c r="BZ714" s="180"/>
      <c r="CA714" s="180"/>
      <c r="CB714" s="180"/>
      <c r="CC714" s="180"/>
      <c r="CD714" s="180"/>
      <c r="CE714" s="180"/>
      <c r="CF714" s="180"/>
      <c r="CG714" s="180"/>
      <c r="CH714" s="180"/>
      <c r="CI714" s="180"/>
      <c r="CJ714" s="180"/>
      <c r="CK714" s="180"/>
      <c r="CL714" s="180"/>
      <c r="CM714" s="180"/>
      <c r="CN714" s="180"/>
      <c r="CO714" s="180"/>
      <c r="CP714" s="180"/>
      <c r="CQ714" s="180"/>
      <c r="CR714" s="180"/>
      <c r="CS714" s="180"/>
      <c r="CT714" s="180"/>
      <c r="CU714" s="180"/>
      <c r="CV714" s="180"/>
      <c r="CW714" s="180"/>
      <c r="CX714" s="180"/>
      <c r="CY714" s="180"/>
      <c r="CZ714" s="180"/>
      <c r="DA714" s="180"/>
      <c r="DB714" s="180"/>
    </row>
    <row r="715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  <c r="K715" s="180"/>
      <c r="L715" s="180"/>
      <c r="M715" s="180"/>
      <c r="N715" s="180"/>
      <c r="O715" s="180"/>
      <c r="P715" s="180"/>
      <c r="Q715" s="180"/>
      <c r="R715" s="180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  <c r="AG715" s="180"/>
      <c r="AH715" s="180"/>
      <c r="AI715" s="180"/>
      <c r="AJ715" s="180"/>
      <c r="AK715" s="180"/>
      <c r="AL715" s="180"/>
      <c r="AM715" s="180"/>
      <c r="AN715" s="180"/>
      <c r="AO715" s="180"/>
      <c r="AP715" s="180"/>
      <c r="AQ715" s="180"/>
      <c r="AR715" s="180"/>
      <c r="AS715" s="180"/>
      <c r="AT715" s="180"/>
      <c r="AU715" s="180"/>
      <c r="AV715" s="180"/>
      <c r="AW715" s="180"/>
      <c r="AX715" s="180"/>
      <c r="AY715" s="180"/>
      <c r="AZ715" s="180"/>
      <c r="BA715" s="180"/>
      <c r="BB715" s="180"/>
      <c r="BC715" s="180"/>
      <c r="BD715" s="180"/>
      <c r="BE715" s="180"/>
      <c r="BF715" s="180"/>
      <c r="BG715" s="180"/>
      <c r="BH715" s="180"/>
      <c r="BI715" s="180"/>
      <c r="BJ715" s="180"/>
      <c r="BK715" s="180"/>
      <c r="BL715" s="180"/>
      <c r="BM715" s="180"/>
      <c r="BN715" s="180"/>
      <c r="BO715" s="180"/>
      <c r="BP715" s="180"/>
      <c r="BQ715" s="180"/>
      <c r="BR715" s="180"/>
      <c r="BS715" s="180"/>
      <c r="BT715" s="180"/>
      <c r="BU715" s="180"/>
      <c r="BV715" s="180"/>
      <c r="BW715" s="180"/>
      <c r="BX715" s="180"/>
      <c r="BY715" s="180"/>
      <c r="BZ715" s="180"/>
      <c r="CA715" s="180"/>
      <c r="CB715" s="180"/>
      <c r="CC715" s="180"/>
      <c r="CD715" s="180"/>
      <c r="CE715" s="180"/>
      <c r="CF715" s="180"/>
      <c r="CG715" s="180"/>
      <c r="CH715" s="180"/>
      <c r="CI715" s="180"/>
      <c r="CJ715" s="180"/>
      <c r="CK715" s="180"/>
      <c r="CL715" s="180"/>
      <c r="CM715" s="180"/>
      <c r="CN715" s="180"/>
      <c r="CO715" s="180"/>
      <c r="CP715" s="180"/>
      <c r="CQ715" s="180"/>
      <c r="CR715" s="180"/>
      <c r="CS715" s="180"/>
      <c r="CT715" s="180"/>
      <c r="CU715" s="180"/>
      <c r="CV715" s="180"/>
      <c r="CW715" s="180"/>
      <c r="CX715" s="180"/>
      <c r="CY715" s="180"/>
      <c r="CZ715" s="180"/>
      <c r="DA715" s="180"/>
      <c r="DB715" s="180"/>
    </row>
    <row r="716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  <c r="AU716" s="180"/>
      <c r="AV716" s="180"/>
      <c r="AW716" s="180"/>
      <c r="AX716" s="180"/>
      <c r="AY716" s="180"/>
      <c r="AZ716" s="180"/>
      <c r="BA716" s="180"/>
      <c r="BB716" s="180"/>
      <c r="BC716" s="180"/>
      <c r="BD716" s="180"/>
      <c r="BE716" s="180"/>
      <c r="BF716" s="180"/>
      <c r="BG716" s="180"/>
      <c r="BH716" s="180"/>
      <c r="BI716" s="180"/>
      <c r="BJ716" s="180"/>
      <c r="BK716" s="180"/>
      <c r="BL716" s="180"/>
      <c r="BM716" s="180"/>
      <c r="BN716" s="180"/>
      <c r="BO716" s="180"/>
      <c r="BP716" s="180"/>
      <c r="BQ716" s="180"/>
      <c r="BR716" s="180"/>
      <c r="BS716" s="180"/>
      <c r="BT716" s="180"/>
      <c r="BU716" s="180"/>
      <c r="BV716" s="180"/>
      <c r="BW716" s="180"/>
      <c r="BX716" s="180"/>
      <c r="BY716" s="180"/>
      <c r="BZ716" s="180"/>
      <c r="CA716" s="180"/>
      <c r="CB716" s="180"/>
      <c r="CC716" s="180"/>
      <c r="CD716" s="180"/>
      <c r="CE716" s="180"/>
      <c r="CF716" s="180"/>
      <c r="CG716" s="180"/>
      <c r="CH716" s="180"/>
      <c r="CI716" s="180"/>
      <c r="CJ716" s="180"/>
      <c r="CK716" s="180"/>
      <c r="CL716" s="180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</row>
    <row r="717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  <c r="AU717" s="180"/>
      <c r="AV717" s="180"/>
      <c r="AW717" s="180"/>
      <c r="AX717" s="180"/>
      <c r="AY717" s="180"/>
      <c r="AZ717" s="180"/>
      <c r="BA717" s="180"/>
      <c r="BB717" s="180"/>
      <c r="BC717" s="180"/>
      <c r="BD717" s="180"/>
      <c r="BE717" s="180"/>
      <c r="BF717" s="180"/>
      <c r="BG717" s="180"/>
      <c r="BH717" s="180"/>
      <c r="BI717" s="180"/>
      <c r="BJ717" s="180"/>
      <c r="BK717" s="180"/>
      <c r="BL717" s="180"/>
      <c r="BM717" s="180"/>
      <c r="BN717" s="180"/>
      <c r="BO717" s="180"/>
      <c r="BP717" s="180"/>
      <c r="BQ717" s="180"/>
      <c r="BR717" s="180"/>
      <c r="BS717" s="180"/>
      <c r="BT717" s="180"/>
      <c r="BU717" s="180"/>
      <c r="BV717" s="180"/>
      <c r="BW717" s="180"/>
      <c r="BX717" s="180"/>
      <c r="BY717" s="180"/>
      <c r="BZ717" s="180"/>
      <c r="CA717" s="180"/>
      <c r="CB717" s="180"/>
      <c r="CC717" s="180"/>
      <c r="CD717" s="180"/>
      <c r="CE717" s="180"/>
      <c r="CF717" s="180"/>
      <c r="CG717" s="180"/>
      <c r="CH717" s="180"/>
      <c r="CI717" s="180"/>
      <c r="CJ717" s="180"/>
      <c r="CK717" s="180"/>
      <c r="CL717" s="180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</row>
    <row r="718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  <c r="BA718" s="180"/>
      <c r="BB718" s="180"/>
      <c r="BC718" s="180"/>
      <c r="BD718" s="180"/>
      <c r="BE718" s="180"/>
      <c r="BF718" s="180"/>
      <c r="BG718" s="180"/>
      <c r="BH718" s="180"/>
      <c r="BI718" s="180"/>
      <c r="BJ718" s="180"/>
      <c r="BK718" s="180"/>
      <c r="BL718" s="180"/>
      <c r="BM718" s="180"/>
      <c r="BN718" s="180"/>
      <c r="BO718" s="180"/>
      <c r="BP718" s="180"/>
      <c r="BQ718" s="180"/>
      <c r="BR718" s="180"/>
      <c r="BS718" s="180"/>
      <c r="BT718" s="180"/>
      <c r="BU718" s="180"/>
      <c r="BV718" s="180"/>
      <c r="BW718" s="180"/>
      <c r="BX718" s="180"/>
      <c r="BY718" s="180"/>
      <c r="BZ718" s="180"/>
      <c r="CA718" s="180"/>
      <c r="CB718" s="180"/>
      <c r="CC718" s="180"/>
      <c r="CD718" s="180"/>
      <c r="CE718" s="180"/>
      <c r="CF718" s="180"/>
      <c r="CG718" s="180"/>
      <c r="CH718" s="180"/>
      <c r="CI718" s="180"/>
      <c r="CJ718" s="180"/>
      <c r="CK718" s="180"/>
      <c r="CL718" s="180"/>
      <c r="CM718" s="180"/>
      <c r="CN718" s="180"/>
      <c r="CO718" s="180"/>
      <c r="CP718" s="180"/>
      <c r="CQ718" s="180"/>
      <c r="CR718" s="180"/>
      <c r="CS718" s="180"/>
      <c r="CT718" s="180"/>
      <c r="CU718" s="180"/>
      <c r="CV718" s="180"/>
      <c r="CW718" s="180"/>
      <c r="CX718" s="180"/>
      <c r="CY718" s="180"/>
      <c r="CZ718" s="180"/>
      <c r="DA718" s="180"/>
      <c r="DB718" s="180"/>
    </row>
    <row r="719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  <c r="AU719" s="180"/>
      <c r="AV719" s="180"/>
      <c r="AW719" s="180"/>
      <c r="AX719" s="180"/>
      <c r="AY719" s="180"/>
      <c r="AZ719" s="180"/>
      <c r="BA719" s="180"/>
      <c r="BB719" s="180"/>
      <c r="BC719" s="180"/>
      <c r="BD719" s="180"/>
      <c r="BE719" s="180"/>
      <c r="BF719" s="180"/>
      <c r="BG719" s="180"/>
      <c r="BH719" s="180"/>
      <c r="BI719" s="180"/>
      <c r="BJ719" s="180"/>
      <c r="BK719" s="180"/>
      <c r="BL719" s="180"/>
      <c r="BM719" s="180"/>
      <c r="BN719" s="180"/>
      <c r="BO719" s="180"/>
      <c r="BP719" s="180"/>
      <c r="BQ719" s="180"/>
      <c r="BR719" s="180"/>
      <c r="BS719" s="180"/>
      <c r="BT719" s="180"/>
      <c r="BU719" s="180"/>
      <c r="BV719" s="180"/>
      <c r="BW719" s="180"/>
      <c r="BX719" s="180"/>
      <c r="BY719" s="180"/>
      <c r="BZ719" s="180"/>
      <c r="CA719" s="180"/>
      <c r="CB719" s="180"/>
      <c r="CC719" s="180"/>
      <c r="CD719" s="180"/>
      <c r="CE719" s="180"/>
      <c r="CF719" s="180"/>
      <c r="CG719" s="180"/>
      <c r="CH719" s="180"/>
      <c r="CI719" s="180"/>
      <c r="CJ719" s="180"/>
      <c r="CK719" s="180"/>
      <c r="CL719" s="180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</row>
    <row r="720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  <c r="AU720" s="180"/>
      <c r="AV720" s="180"/>
      <c r="AW720" s="180"/>
      <c r="AX720" s="180"/>
      <c r="AY720" s="180"/>
      <c r="AZ720" s="180"/>
      <c r="BA720" s="180"/>
      <c r="BB720" s="180"/>
      <c r="BC720" s="180"/>
      <c r="BD720" s="180"/>
      <c r="BE720" s="180"/>
      <c r="BF720" s="180"/>
      <c r="BG720" s="180"/>
      <c r="BH720" s="180"/>
      <c r="BI720" s="180"/>
      <c r="BJ720" s="180"/>
      <c r="BK720" s="180"/>
      <c r="BL720" s="180"/>
      <c r="BM720" s="180"/>
      <c r="BN720" s="180"/>
      <c r="BO720" s="180"/>
      <c r="BP720" s="180"/>
      <c r="BQ720" s="180"/>
      <c r="BR720" s="180"/>
      <c r="BS720" s="180"/>
      <c r="BT720" s="180"/>
      <c r="BU720" s="180"/>
      <c r="BV720" s="180"/>
      <c r="BW720" s="180"/>
      <c r="BX720" s="180"/>
      <c r="BY720" s="180"/>
      <c r="BZ720" s="180"/>
      <c r="CA720" s="180"/>
      <c r="CB720" s="180"/>
      <c r="CC720" s="180"/>
      <c r="CD720" s="180"/>
      <c r="CE720" s="180"/>
      <c r="CF720" s="180"/>
      <c r="CG720" s="180"/>
      <c r="CH720" s="180"/>
      <c r="CI720" s="180"/>
      <c r="CJ720" s="180"/>
      <c r="CK720" s="180"/>
      <c r="CL720" s="180"/>
      <c r="CM720" s="180"/>
      <c r="CN720" s="180"/>
      <c r="CO720" s="180"/>
      <c r="CP720" s="180"/>
      <c r="CQ720" s="180"/>
      <c r="CR720" s="180"/>
      <c r="CS720" s="180"/>
      <c r="CT720" s="180"/>
      <c r="CU720" s="180"/>
      <c r="CV720" s="180"/>
      <c r="CW720" s="180"/>
      <c r="CX720" s="180"/>
      <c r="CY720" s="180"/>
      <c r="CZ720" s="180"/>
      <c r="DA720" s="180"/>
      <c r="DB720" s="180"/>
    </row>
    <row r="721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  <c r="K721" s="180"/>
      <c r="L721" s="180"/>
      <c r="M721" s="180"/>
      <c r="N721" s="180"/>
      <c r="O721" s="180"/>
      <c r="P721" s="180"/>
      <c r="Q721" s="180"/>
      <c r="R721" s="180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  <c r="AG721" s="180"/>
      <c r="AH721" s="180"/>
      <c r="AI721" s="180"/>
      <c r="AJ721" s="180"/>
      <c r="AK721" s="180"/>
      <c r="AL721" s="180"/>
      <c r="AM721" s="180"/>
      <c r="AN721" s="180"/>
      <c r="AO721" s="180"/>
      <c r="AP721" s="180"/>
      <c r="AQ721" s="180"/>
      <c r="AR721" s="180"/>
      <c r="AS721" s="180"/>
      <c r="AT721" s="180"/>
      <c r="AU721" s="180"/>
      <c r="AV721" s="180"/>
      <c r="AW721" s="180"/>
      <c r="AX721" s="180"/>
      <c r="AY721" s="180"/>
      <c r="AZ721" s="180"/>
      <c r="BA721" s="180"/>
      <c r="BB721" s="180"/>
      <c r="BC721" s="180"/>
      <c r="BD721" s="180"/>
      <c r="BE721" s="180"/>
      <c r="BF721" s="180"/>
      <c r="BG721" s="180"/>
      <c r="BH721" s="180"/>
      <c r="BI721" s="180"/>
      <c r="BJ721" s="180"/>
      <c r="BK721" s="180"/>
      <c r="BL721" s="180"/>
      <c r="BM721" s="180"/>
      <c r="BN721" s="180"/>
      <c r="BO721" s="180"/>
      <c r="BP721" s="180"/>
      <c r="BQ721" s="180"/>
      <c r="BR721" s="180"/>
      <c r="BS721" s="180"/>
      <c r="BT721" s="180"/>
      <c r="BU721" s="180"/>
      <c r="BV721" s="180"/>
      <c r="BW721" s="180"/>
      <c r="BX721" s="180"/>
      <c r="BY721" s="180"/>
      <c r="BZ721" s="180"/>
      <c r="CA721" s="180"/>
      <c r="CB721" s="180"/>
      <c r="CC721" s="180"/>
      <c r="CD721" s="180"/>
      <c r="CE721" s="180"/>
      <c r="CF721" s="180"/>
      <c r="CG721" s="180"/>
      <c r="CH721" s="180"/>
      <c r="CI721" s="180"/>
      <c r="CJ721" s="180"/>
      <c r="CK721" s="180"/>
      <c r="CL721" s="180"/>
      <c r="CM721" s="180"/>
      <c r="CN721" s="180"/>
      <c r="CO721" s="180"/>
      <c r="CP721" s="180"/>
      <c r="CQ721" s="180"/>
      <c r="CR721" s="180"/>
      <c r="CS721" s="180"/>
      <c r="CT721" s="180"/>
      <c r="CU721" s="180"/>
      <c r="CV721" s="180"/>
      <c r="CW721" s="180"/>
      <c r="CX721" s="180"/>
      <c r="CY721" s="180"/>
      <c r="CZ721" s="180"/>
      <c r="DA721" s="180"/>
      <c r="DB721" s="180"/>
    </row>
    <row r="722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  <c r="AK722" s="180"/>
      <c r="AL722" s="180"/>
      <c r="AM722" s="180"/>
      <c r="AN722" s="180"/>
      <c r="AO722" s="180"/>
      <c r="AP722" s="180"/>
      <c r="AQ722" s="180"/>
      <c r="AR722" s="180"/>
      <c r="AS722" s="180"/>
      <c r="AT722" s="180"/>
      <c r="AU722" s="180"/>
      <c r="AV722" s="180"/>
      <c r="AW722" s="180"/>
      <c r="AX722" s="180"/>
      <c r="AY722" s="180"/>
      <c r="AZ722" s="180"/>
      <c r="BA722" s="180"/>
      <c r="BB722" s="180"/>
      <c r="BC722" s="180"/>
      <c r="BD722" s="180"/>
      <c r="BE722" s="180"/>
      <c r="BF722" s="180"/>
      <c r="BG722" s="180"/>
      <c r="BH722" s="180"/>
      <c r="BI722" s="180"/>
      <c r="BJ722" s="180"/>
      <c r="BK722" s="180"/>
      <c r="BL722" s="180"/>
      <c r="BM722" s="180"/>
      <c r="BN722" s="180"/>
      <c r="BO722" s="180"/>
      <c r="BP722" s="180"/>
      <c r="BQ722" s="180"/>
      <c r="BR722" s="180"/>
      <c r="BS722" s="180"/>
      <c r="BT722" s="180"/>
      <c r="BU722" s="180"/>
      <c r="BV722" s="180"/>
      <c r="BW722" s="180"/>
      <c r="BX722" s="180"/>
      <c r="BY722" s="180"/>
      <c r="BZ722" s="180"/>
      <c r="CA722" s="180"/>
      <c r="CB722" s="180"/>
      <c r="CC722" s="180"/>
      <c r="CD722" s="180"/>
      <c r="CE722" s="180"/>
      <c r="CF722" s="180"/>
      <c r="CG722" s="180"/>
      <c r="CH722" s="180"/>
      <c r="CI722" s="180"/>
      <c r="CJ722" s="180"/>
      <c r="CK722" s="180"/>
      <c r="CL722" s="180"/>
      <c r="CM722" s="180"/>
      <c r="CN722" s="180"/>
      <c r="CO722" s="180"/>
      <c r="CP722" s="180"/>
      <c r="CQ722" s="180"/>
      <c r="CR722" s="180"/>
      <c r="CS722" s="180"/>
      <c r="CT722" s="180"/>
      <c r="CU722" s="180"/>
      <c r="CV722" s="180"/>
      <c r="CW722" s="180"/>
      <c r="CX722" s="180"/>
      <c r="CY722" s="180"/>
      <c r="CZ722" s="180"/>
      <c r="DA722" s="180"/>
      <c r="DB722" s="180"/>
    </row>
    <row r="723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  <c r="AF723" s="180"/>
      <c r="AG723" s="180"/>
      <c r="AH723" s="180"/>
      <c r="AI723" s="180"/>
      <c r="AJ723" s="180"/>
      <c r="AK723" s="180"/>
      <c r="AL723" s="180"/>
      <c r="AM723" s="180"/>
      <c r="AN723" s="180"/>
      <c r="AO723" s="180"/>
      <c r="AP723" s="180"/>
      <c r="AQ723" s="180"/>
      <c r="AR723" s="180"/>
      <c r="AS723" s="180"/>
      <c r="AT723" s="180"/>
      <c r="AU723" s="180"/>
      <c r="AV723" s="180"/>
      <c r="AW723" s="180"/>
      <c r="AX723" s="180"/>
      <c r="AY723" s="180"/>
      <c r="AZ723" s="180"/>
      <c r="BA723" s="180"/>
      <c r="BB723" s="180"/>
      <c r="BC723" s="180"/>
      <c r="BD723" s="180"/>
      <c r="BE723" s="180"/>
      <c r="BF723" s="180"/>
      <c r="BG723" s="180"/>
      <c r="BH723" s="180"/>
      <c r="BI723" s="180"/>
      <c r="BJ723" s="180"/>
      <c r="BK723" s="180"/>
      <c r="BL723" s="180"/>
      <c r="BM723" s="180"/>
      <c r="BN723" s="180"/>
      <c r="BO723" s="180"/>
      <c r="BP723" s="180"/>
      <c r="BQ723" s="180"/>
      <c r="BR723" s="180"/>
      <c r="BS723" s="180"/>
      <c r="BT723" s="180"/>
      <c r="BU723" s="180"/>
      <c r="BV723" s="180"/>
      <c r="BW723" s="180"/>
      <c r="BX723" s="180"/>
      <c r="BY723" s="180"/>
      <c r="BZ723" s="180"/>
      <c r="CA723" s="180"/>
      <c r="CB723" s="180"/>
      <c r="CC723" s="180"/>
      <c r="CD723" s="180"/>
      <c r="CE723" s="180"/>
      <c r="CF723" s="180"/>
      <c r="CG723" s="180"/>
      <c r="CH723" s="180"/>
      <c r="CI723" s="180"/>
      <c r="CJ723" s="180"/>
      <c r="CK723" s="180"/>
      <c r="CL723" s="180"/>
      <c r="CM723" s="180"/>
      <c r="CN723" s="180"/>
      <c r="CO723" s="180"/>
      <c r="CP723" s="180"/>
      <c r="CQ723" s="180"/>
      <c r="CR723" s="180"/>
      <c r="CS723" s="180"/>
      <c r="CT723" s="180"/>
      <c r="CU723" s="180"/>
      <c r="CV723" s="180"/>
      <c r="CW723" s="180"/>
      <c r="CX723" s="180"/>
      <c r="CY723" s="180"/>
      <c r="CZ723" s="180"/>
      <c r="DA723" s="180"/>
      <c r="DB723" s="180"/>
    </row>
    <row r="724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  <c r="AF724" s="180"/>
      <c r="AG724" s="180"/>
      <c r="AH724" s="180"/>
      <c r="AI724" s="180"/>
      <c r="AJ724" s="180"/>
      <c r="AK724" s="180"/>
      <c r="AL724" s="180"/>
      <c r="AM724" s="180"/>
      <c r="AN724" s="180"/>
      <c r="AO724" s="180"/>
      <c r="AP724" s="180"/>
      <c r="AQ724" s="180"/>
      <c r="AR724" s="180"/>
      <c r="AS724" s="180"/>
      <c r="AT724" s="180"/>
      <c r="AU724" s="180"/>
      <c r="AV724" s="180"/>
      <c r="AW724" s="180"/>
      <c r="AX724" s="180"/>
      <c r="AY724" s="180"/>
      <c r="AZ724" s="180"/>
      <c r="BA724" s="180"/>
      <c r="BB724" s="180"/>
      <c r="BC724" s="180"/>
      <c r="BD724" s="180"/>
      <c r="BE724" s="180"/>
      <c r="BF724" s="180"/>
      <c r="BG724" s="180"/>
      <c r="BH724" s="180"/>
      <c r="BI724" s="180"/>
      <c r="BJ724" s="180"/>
      <c r="BK724" s="180"/>
      <c r="BL724" s="180"/>
      <c r="BM724" s="180"/>
      <c r="BN724" s="180"/>
      <c r="BO724" s="180"/>
      <c r="BP724" s="180"/>
      <c r="BQ724" s="180"/>
      <c r="BR724" s="180"/>
      <c r="BS724" s="180"/>
      <c r="BT724" s="180"/>
      <c r="BU724" s="180"/>
      <c r="BV724" s="180"/>
      <c r="BW724" s="180"/>
      <c r="BX724" s="180"/>
      <c r="BY724" s="180"/>
      <c r="BZ724" s="180"/>
      <c r="CA724" s="180"/>
      <c r="CB724" s="180"/>
      <c r="CC724" s="180"/>
      <c r="CD724" s="180"/>
      <c r="CE724" s="180"/>
      <c r="CF724" s="180"/>
      <c r="CG724" s="180"/>
      <c r="CH724" s="180"/>
      <c r="CI724" s="180"/>
      <c r="CJ724" s="180"/>
      <c r="CK724" s="180"/>
      <c r="CL724" s="180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</row>
    <row r="725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0"/>
      <c r="AN725" s="180"/>
      <c r="AO725" s="180"/>
      <c r="AP725" s="180"/>
      <c r="AQ725" s="180"/>
      <c r="AR725" s="180"/>
      <c r="AS725" s="180"/>
      <c r="AT725" s="180"/>
      <c r="AU725" s="180"/>
      <c r="AV725" s="180"/>
      <c r="AW725" s="180"/>
      <c r="AX725" s="180"/>
      <c r="AY725" s="180"/>
      <c r="AZ725" s="180"/>
      <c r="BA725" s="180"/>
      <c r="BB725" s="180"/>
      <c r="BC725" s="180"/>
      <c r="BD725" s="180"/>
      <c r="BE725" s="180"/>
      <c r="BF725" s="180"/>
      <c r="BG725" s="180"/>
      <c r="BH725" s="180"/>
      <c r="BI725" s="180"/>
      <c r="BJ725" s="180"/>
      <c r="BK725" s="180"/>
      <c r="BL725" s="180"/>
      <c r="BM725" s="180"/>
      <c r="BN725" s="180"/>
      <c r="BO725" s="180"/>
      <c r="BP725" s="180"/>
      <c r="BQ725" s="180"/>
      <c r="BR725" s="180"/>
      <c r="BS725" s="180"/>
      <c r="BT725" s="180"/>
      <c r="BU725" s="180"/>
      <c r="BV725" s="180"/>
      <c r="BW725" s="180"/>
      <c r="BX725" s="180"/>
      <c r="BY725" s="180"/>
      <c r="BZ725" s="180"/>
      <c r="CA725" s="180"/>
      <c r="CB725" s="180"/>
      <c r="CC725" s="180"/>
      <c r="CD725" s="180"/>
      <c r="CE725" s="180"/>
      <c r="CF725" s="180"/>
      <c r="CG725" s="180"/>
      <c r="CH725" s="180"/>
      <c r="CI725" s="180"/>
      <c r="CJ725" s="180"/>
      <c r="CK725" s="180"/>
      <c r="CL725" s="180"/>
      <c r="CM725" s="180"/>
      <c r="CN725" s="180"/>
      <c r="CO725" s="180"/>
      <c r="CP725" s="180"/>
      <c r="CQ725" s="180"/>
      <c r="CR725" s="180"/>
      <c r="CS725" s="180"/>
      <c r="CT725" s="180"/>
      <c r="CU725" s="180"/>
      <c r="CV725" s="180"/>
      <c r="CW725" s="180"/>
      <c r="CX725" s="180"/>
      <c r="CY725" s="180"/>
      <c r="CZ725" s="180"/>
      <c r="DA725" s="180"/>
      <c r="DB725" s="180"/>
    </row>
    <row r="726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  <c r="AG726" s="180"/>
      <c r="AH726" s="180"/>
      <c r="AI726" s="180"/>
      <c r="AJ726" s="180"/>
      <c r="AK726" s="180"/>
      <c r="AL726" s="180"/>
      <c r="AM726" s="180"/>
      <c r="AN726" s="180"/>
      <c r="AO726" s="180"/>
      <c r="AP726" s="180"/>
      <c r="AQ726" s="180"/>
      <c r="AR726" s="180"/>
      <c r="AS726" s="180"/>
      <c r="AT726" s="180"/>
      <c r="AU726" s="180"/>
      <c r="AV726" s="180"/>
      <c r="AW726" s="180"/>
      <c r="AX726" s="180"/>
      <c r="AY726" s="180"/>
      <c r="AZ726" s="180"/>
      <c r="BA726" s="180"/>
      <c r="BB726" s="180"/>
      <c r="BC726" s="180"/>
      <c r="BD726" s="180"/>
      <c r="BE726" s="180"/>
      <c r="BF726" s="180"/>
      <c r="BG726" s="180"/>
      <c r="BH726" s="180"/>
      <c r="BI726" s="180"/>
      <c r="BJ726" s="180"/>
      <c r="BK726" s="180"/>
      <c r="BL726" s="180"/>
      <c r="BM726" s="180"/>
      <c r="BN726" s="180"/>
      <c r="BO726" s="180"/>
      <c r="BP726" s="180"/>
      <c r="BQ726" s="180"/>
      <c r="BR726" s="180"/>
      <c r="BS726" s="180"/>
      <c r="BT726" s="180"/>
      <c r="BU726" s="180"/>
      <c r="BV726" s="180"/>
      <c r="BW726" s="180"/>
      <c r="BX726" s="180"/>
      <c r="BY726" s="180"/>
      <c r="BZ726" s="180"/>
      <c r="CA726" s="180"/>
      <c r="CB726" s="180"/>
      <c r="CC726" s="180"/>
      <c r="CD726" s="180"/>
      <c r="CE726" s="180"/>
      <c r="CF726" s="180"/>
      <c r="CG726" s="180"/>
      <c r="CH726" s="180"/>
      <c r="CI726" s="180"/>
      <c r="CJ726" s="180"/>
      <c r="CK726" s="180"/>
      <c r="CL726" s="180"/>
      <c r="CM726" s="180"/>
      <c r="CN726" s="180"/>
      <c r="CO726" s="180"/>
      <c r="CP726" s="180"/>
      <c r="CQ726" s="180"/>
      <c r="CR726" s="180"/>
      <c r="CS726" s="180"/>
      <c r="CT726" s="180"/>
      <c r="CU726" s="180"/>
      <c r="CV726" s="180"/>
      <c r="CW726" s="180"/>
      <c r="CX726" s="180"/>
      <c r="CY726" s="180"/>
      <c r="CZ726" s="180"/>
      <c r="DA726" s="180"/>
      <c r="DB726" s="180"/>
    </row>
    <row r="727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  <c r="AF727" s="180"/>
      <c r="AG727" s="180"/>
      <c r="AH727" s="180"/>
      <c r="AI727" s="180"/>
      <c r="AJ727" s="180"/>
      <c r="AK727" s="180"/>
      <c r="AL727" s="180"/>
      <c r="AM727" s="180"/>
      <c r="AN727" s="180"/>
      <c r="AO727" s="180"/>
      <c r="AP727" s="180"/>
      <c r="AQ727" s="180"/>
      <c r="AR727" s="180"/>
      <c r="AS727" s="180"/>
      <c r="AT727" s="180"/>
      <c r="AU727" s="180"/>
      <c r="AV727" s="180"/>
      <c r="AW727" s="180"/>
      <c r="AX727" s="180"/>
      <c r="AY727" s="180"/>
      <c r="AZ727" s="180"/>
      <c r="BA727" s="180"/>
      <c r="BB727" s="180"/>
      <c r="BC727" s="180"/>
      <c r="BD727" s="180"/>
      <c r="BE727" s="180"/>
      <c r="BF727" s="180"/>
      <c r="BG727" s="180"/>
      <c r="BH727" s="180"/>
      <c r="BI727" s="180"/>
      <c r="BJ727" s="180"/>
      <c r="BK727" s="180"/>
      <c r="BL727" s="180"/>
      <c r="BM727" s="180"/>
      <c r="BN727" s="180"/>
      <c r="BO727" s="180"/>
      <c r="BP727" s="180"/>
      <c r="BQ727" s="180"/>
      <c r="BR727" s="180"/>
      <c r="BS727" s="180"/>
      <c r="BT727" s="180"/>
      <c r="BU727" s="180"/>
      <c r="BV727" s="180"/>
      <c r="BW727" s="180"/>
      <c r="BX727" s="180"/>
      <c r="BY727" s="180"/>
      <c r="BZ727" s="180"/>
      <c r="CA727" s="180"/>
      <c r="CB727" s="180"/>
      <c r="CC727" s="180"/>
      <c r="CD727" s="180"/>
      <c r="CE727" s="180"/>
      <c r="CF727" s="180"/>
      <c r="CG727" s="180"/>
      <c r="CH727" s="180"/>
      <c r="CI727" s="180"/>
      <c r="CJ727" s="180"/>
      <c r="CK727" s="180"/>
      <c r="CL727" s="180"/>
      <c r="CM727" s="180"/>
      <c r="CN727" s="180"/>
      <c r="CO727" s="180"/>
      <c r="CP727" s="180"/>
      <c r="CQ727" s="180"/>
      <c r="CR727" s="180"/>
      <c r="CS727" s="180"/>
      <c r="CT727" s="180"/>
      <c r="CU727" s="180"/>
      <c r="CV727" s="180"/>
      <c r="CW727" s="180"/>
      <c r="CX727" s="180"/>
      <c r="CY727" s="180"/>
      <c r="CZ727" s="180"/>
      <c r="DA727" s="180"/>
      <c r="DB727" s="180"/>
    </row>
    <row r="728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  <c r="AF728" s="180"/>
      <c r="AG728" s="180"/>
      <c r="AH728" s="180"/>
      <c r="AI728" s="180"/>
      <c r="AJ728" s="180"/>
      <c r="AK728" s="180"/>
      <c r="AL728" s="180"/>
      <c r="AM728" s="180"/>
      <c r="AN728" s="180"/>
      <c r="AO728" s="180"/>
      <c r="AP728" s="180"/>
      <c r="AQ728" s="180"/>
      <c r="AR728" s="180"/>
      <c r="AS728" s="180"/>
      <c r="AT728" s="180"/>
      <c r="AU728" s="180"/>
      <c r="AV728" s="180"/>
      <c r="AW728" s="180"/>
      <c r="AX728" s="180"/>
      <c r="AY728" s="180"/>
      <c r="AZ728" s="180"/>
      <c r="BA728" s="180"/>
      <c r="BB728" s="180"/>
      <c r="BC728" s="180"/>
      <c r="BD728" s="180"/>
      <c r="BE728" s="180"/>
      <c r="BF728" s="180"/>
      <c r="BG728" s="180"/>
      <c r="BH728" s="180"/>
      <c r="BI728" s="180"/>
      <c r="BJ728" s="180"/>
      <c r="BK728" s="180"/>
      <c r="BL728" s="180"/>
      <c r="BM728" s="180"/>
      <c r="BN728" s="180"/>
      <c r="BO728" s="180"/>
      <c r="BP728" s="180"/>
      <c r="BQ728" s="180"/>
      <c r="BR728" s="180"/>
      <c r="BS728" s="180"/>
      <c r="BT728" s="180"/>
      <c r="BU728" s="180"/>
      <c r="BV728" s="180"/>
      <c r="BW728" s="180"/>
      <c r="BX728" s="180"/>
      <c r="BY728" s="180"/>
      <c r="BZ728" s="180"/>
      <c r="CA728" s="180"/>
      <c r="CB728" s="180"/>
      <c r="CC728" s="180"/>
      <c r="CD728" s="180"/>
      <c r="CE728" s="180"/>
      <c r="CF728" s="180"/>
      <c r="CG728" s="180"/>
      <c r="CH728" s="180"/>
      <c r="CI728" s="180"/>
      <c r="CJ728" s="180"/>
      <c r="CK728" s="180"/>
      <c r="CL728" s="180"/>
      <c r="CM728" s="180"/>
      <c r="CN728" s="180"/>
      <c r="CO728" s="180"/>
      <c r="CP728" s="180"/>
      <c r="CQ728" s="180"/>
      <c r="CR728" s="180"/>
      <c r="CS728" s="180"/>
      <c r="CT728" s="180"/>
      <c r="CU728" s="180"/>
      <c r="CV728" s="180"/>
      <c r="CW728" s="180"/>
      <c r="CX728" s="180"/>
      <c r="CY728" s="180"/>
      <c r="CZ728" s="180"/>
      <c r="DA728" s="180"/>
      <c r="DB728" s="180"/>
    </row>
    <row r="729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  <c r="AF729" s="180"/>
      <c r="AG729" s="180"/>
      <c r="AH729" s="180"/>
      <c r="AI729" s="180"/>
      <c r="AJ729" s="180"/>
      <c r="AK729" s="180"/>
      <c r="AL729" s="180"/>
      <c r="AM729" s="180"/>
      <c r="AN729" s="180"/>
      <c r="AO729" s="180"/>
      <c r="AP729" s="180"/>
      <c r="AQ729" s="180"/>
      <c r="AR729" s="180"/>
      <c r="AS729" s="180"/>
      <c r="AT729" s="180"/>
      <c r="AU729" s="180"/>
      <c r="AV729" s="180"/>
      <c r="AW729" s="180"/>
      <c r="AX729" s="180"/>
      <c r="AY729" s="180"/>
      <c r="AZ729" s="180"/>
      <c r="BA729" s="180"/>
      <c r="BB729" s="180"/>
      <c r="BC729" s="180"/>
      <c r="BD729" s="180"/>
      <c r="BE729" s="180"/>
      <c r="BF729" s="180"/>
      <c r="BG729" s="180"/>
      <c r="BH729" s="180"/>
      <c r="BI729" s="180"/>
      <c r="BJ729" s="180"/>
      <c r="BK729" s="180"/>
      <c r="BL729" s="180"/>
      <c r="BM729" s="180"/>
      <c r="BN729" s="180"/>
      <c r="BO729" s="180"/>
      <c r="BP729" s="180"/>
      <c r="BQ729" s="180"/>
      <c r="BR729" s="180"/>
      <c r="BS729" s="180"/>
      <c r="BT729" s="180"/>
      <c r="BU729" s="180"/>
      <c r="BV729" s="180"/>
      <c r="BW729" s="180"/>
      <c r="BX729" s="180"/>
      <c r="BY729" s="180"/>
      <c r="BZ729" s="180"/>
      <c r="CA729" s="180"/>
      <c r="CB729" s="180"/>
      <c r="CC729" s="180"/>
      <c r="CD729" s="180"/>
      <c r="CE729" s="180"/>
      <c r="CF729" s="180"/>
      <c r="CG729" s="180"/>
      <c r="CH729" s="180"/>
      <c r="CI729" s="180"/>
      <c r="CJ729" s="180"/>
      <c r="CK729" s="180"/>
      <c r="CL729" s="180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</row>
    <row r="730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  <c r="AF730" s="180"/>
      <c r="AG730" s="180"/>
      <c r="AH730" s="180"/>
      <c r="AI730" s="180"/>
      <c r="AJ730" s="180"/>
      <c r="AK730" s="180"/>
      <c r="AL730" s="180"/>
      <c r="AM730" s="180"/>
      <c r="AN730" s="180"/>
      <c r="AO730" s="180"/>
      <c r="AP730" s="180"/>
      <c r="AQ730" s="180"/>
      <c r="AR730" s="180"/>
      <c r="AS730" s="180"/>
      <c r="AT730" s="180"/>
      <c r="AU730" s="180"/>
      <c r="AV730" s="180"/>
      <c r="AW730" s="180"/>
      <c r="AX730" s="180"/>
      <c r="AY730" s="180"/>
      <c r="AZ730" s="180"/>
      <c r="BA730" s="180"/>
      <c r="BB730" s="180"/>
      <c r="BC730" s="180"/>
      <c r="BD730" s="180"/>
      <c r="BE730" s="180"/>
      <c r="BF730" s="180"/>
      <c r="BG730" s="180"/>
      <c r="BH730" s="180"/>
      <c r="BI730" s="180"/>
      <c r="BJ730" s="180"/>
      <c r="BK730" s="180"/>
      <c r="BL730" s="180"/>
      <c r="BM730" s="180"/>
      <c r="BN730" s="180"/>
      <c r="BO730" s="180"/>
      <c r="BP730" s="180"/>
      <c r="BQ730" s="180"/>
      <c r="BR730" s="180"/>
      <c r="BS730" s="180"/>
      <c r="BT730" s="180"/>
      <c r="BU730" s="180"/>
      <c r="BV730" s="180"/>
      <c r="BW730" s="180"/>
      <c r="BX730" s="180"/>
      <c r="BY730" s="180"/>
      <c r="BZ730" s="180"/>
      <c r="CA730" s="180"/>
      <c r="CB730" s="180"/>
      <c r="CC730" s="180"/>
      <c r="CD730" s="180"/>
      <c r="CE730" s="180"/>
      <c r="CF730" s="180"/>
      <c r="CG730" s="180"/>
      <c r="CH730" s="180"/>
      <c r="CI730" s="180"/>
      <c r="CJ730" s="180"/>
      <c r="CK730" s="180"/>
      <c r="CL730" s="180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</row>
    <row r="731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  <c r="AF731" s="180"/>
      <c r="AG731" s="180"/>
      <c r="AH731" s="180"/>
      <c r="AI731" s="180"/>
      <c r="AJ731" s="180"/>
      <c r="AK731" s="180"/>
      <c r="AL731" s="180"/>
      <c r="AM731" s="180"/>
      <c r="AN731" s="180"/>
      <c r="AO731" s="180"/>
      <c r="AP731" s="180"/>
      <c r="AQ731" s="180"/>
      <c r="AR731" s="180"/>
      <c r="AS731" s="180"/>
      <c r="AT731" s="180"/>
      <c r="AU731" s="180"/>
      <c r="AV731" s="180"/>
      <c r="AW731" s="180"/>
      <c r="AX731" s="180"/>
      <c r="AY731" s="180"/>
      <c r="AZ731" s="180"/>
      <c r="BA731" s="180"/>
      <c r="BB731" s="180"/>
      <c r="BC731" s="180"/>
      <c r="BD731" s="180"/>
      <c r="BE731" s="180"/>
      <c r="BF731" s="180"/>
      <c r="BG731" s="180"/>
      <c r="BH731" s="180"/>
      <c r="BI731" s="180"/>
      <c r="BJ731" s="180"/>
      <c r="BK731" s="180"/>
      <c r="BL731" s="180"/>
      <c r="BM731" s="180"/>
      <c r="BN731" s="180"/>
      <c r="BO731" s="180"/>
      <c r="BP731" s="180"/>
      <c r="BQ731" s="180"/>
      <c r="BR731" s="180"/>
      <c r="BS731" s="180"/>
      <c r="BT731" s="180"/>
      <c r="BU731" s="180"/>
      <c r="BV731" s="180"/>
      <c r="BW731" s="180"/>
      <c r="BX731" s="180"/>
      <c r="BY731" s="180"/>
      <c r="BZ731" s="180"/>
      <c r="CA731" s="180"/>
      <c r="CB731" s="180"/>
      <c r="CC731" s="180"/>
      <c r="CD731" s="180"/>
      <c r="CE731" s="180"/>
      <c r="CF731" s="180"/>
      <c r="CG731" s="180"/>
      <c r="CH731" s="180"/>
      <c r="CI731" s="180"/>
      <c r="CJ731" s="180"/>
      <c r="CK731" s="180"/>
      <c r="CL731" s="180"/>
      <c r="CM731" s="180"/>
      <c r="CN731" s="180"/>
      <c r="CO731" s="180"/>
      <c r="CP731" s="180"/>
      <c r="CQ731" s="180"/>
      <c r="CR731" s="180"/>
      <c r="CS731" s="180"/>
      <c r="CT731" s="180"/>
      <c r="CU731" s="180"/>
      <c r="CV731" s="180"/>
      <c r="CW731" s="180"/>
      <c r="CX731" s="180"/>
      <c r="CY731" s="180"/>
      <c r="CZ731" s="180"/>
      <c r="DA731" s="180"/>
      <c r="DB731" s="180"/>
    </row>
    <row r="732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  <c r="AF732" s="180"/>
      <c r="AG732" s="180"/>
      <c r="AH732" s="180"/>
      <c r="AI732" s="180"/>
      <c r="AJ732" s="180"/>
      <c r="AK732" s="180"/>
      <c r="AL732" s="180"/>
      <c r="AM732" s="180"/>
      <c r="AN732" s="180"/>
      <c r="AO732" s="180"/>
      <c r="AP732" s="180"/>
      <c r="AQ732" s="180"/>
      <c r="AR732" s="180"/>
      <c r="AS732" s="180"/>
      <c r="AT732" s="180"/>
      <c r="AU732" s="180"/>
      <c r="AV732" s="180"/>
      <c r="AW732" s="180"/>
      <c r="AX732" s="180"/>
      <c r="AY732" s="180"/>
      <c r="AZ732" s="180"/>
      <c r="BA732" s="180"/>
      <c r="BB732" s="180"/>
      <c r="BC732" s="180"/>
      <c r="BD732" s="180"/>
      <c r="BE732" s="180"/>
      <c r="BF732" s="180"/>
      <c r="BG732" s="180"/>
      <c r="BH732" s="180"/>
      <c r="BI732" s="180"/>
      <c r="BJ732" s="180"/>
      <c r="BK732" s="180"/>
      <c r="BL732" s="180"/>
      <c r="BM732" s="180"/>
      <c r="BN732" s="180"/>
      <c r="BO732" s="180"/>
      <c r="BP732" s="180"/>
      <c r="BQ732" s="180"/>
      <c r="BR732" s="180"/>
      <c r="BS732" s="180"/>
      <c r="BT732" s="180"/>
      <c r="BU732" s="180"/>
      <c r="BV732" s="180"/>
      <c r="BW732" s="180"/>
      <c r="BX732" s="180"/>
      <c r="BY732" s="180"/>
      <c r="BZ732" s="180"/>
      <c r="CA732" s="180"/>
      <c r="CB732" s="180"/>
      <c r="CC732" s="180"/>
      <c r="CD732" s="180"/>
      <c r="CE732" s="180"/>
      <c r="CF732" s="180"/>
      <c r="CG732" s="180"/>
      <c r="CH732" s="180"/>
      <c r="CI732" s="180"/>
      <c r="CJ732" s="180"/>
      <c r="CK732" s="180"/>
      <c r="CL732" s="180"/>
      <c r="CM732" s="180"/>
      <c r="CN732" s="180"/>
      <c r="CO732" s="180"/>
      <c r="CP732" s="180"/>
      <c r="CQ732" s="180"/>
      <c r="CR732" s="180"/>
      <c r="CS732" s="180"/>
      <c r="CT732" s="180"/>
      <c r="CU732" s="180"/>
      <c r="CV732" s="180"/>
      <c r="CW732" s="180"/>
      <c r="CX732" s="180"/>
      <c r="CY732" s="180"/>
      <c r="CZ732" s="180"/>
      <c r="DA732" s="180"/>
      <c r="DB732" s="180"/>
    </row>
    <row r="733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  <c r="AF733" s="180"/>
      <c r="AG733" s="180"/>
      <c r="AH733" s="180"/>
      <c r="AI733" s="180"/>
      <c r="AJ733" s="180"/>
      <c r="AK733" s="180"/>
      <c r="AL733" s="180"/>
      <c r="AM733" s="180"/>
      <c r="AN733" s="180"/>
      <c r="AO733" s="180"/>
      <c r="AP733" s="180"/>
      <c r="AQ733" s="180"/>
      <c r="AR733" s="180"/>
      <c r="AS733" s="180"/>
      <c r="AT733" s="180"/>
      <c r="AU733" s="180"/>
      <c r="AV733" s="180"/>
      <c r="AW733" s="180"/>
      <c r="AX733" s="180"/>
      <c r="AY733" s="180"/>
      <c r="AZ733" s="180"/>
      <c r="BA733" s="180"/>
      <c r="BB733" s="180"/>
      <c r="BC733" s="180"/>
      <c r="BD733" s="180"/>
      <c r="BE733" s="180"/>
      <c r="BF733" s="180"/>
      <c r="BG733" s="180"/>
      <c r="BH733" s="180"/>
      <c r="BI733" s="180"/>
      <c r="BJ733" s="180"/>
      <c r="BK733" s="180"/>
      <c r="BL733" s="180"/>
      <c r="BM733" s="180"/>
      <c r="BN733" s="180"/>
      <c r="BO733" s="180"/>
      <c r="BP733" s="180"/>
      <c r="BQ733" s="180"/>
      <c r="BR733" s="180"/>
      <c r="BS733" s="180"/>
      <c r="BT733" s="180"/>
      <c r="BU733" s="180"/>
      <c r="BV733" s="180"/>
      <c r="BW733" s="180"/>
      <c r="BX733" s="180"/>
      <c r="BY733" s="180"/>
      <c r="BZ733" s="180"/>
      <c r="CA733" s="180"/>
      <c r="CB733" s="180"/>
      <c r="CC733" s="180"/>
      <c r="CD733" s="180"/>
      <c r="CE733" s="180"/>
      <c r="CF733" s="180"/>
      <c r="CG733" s="180"/>
      <c r="CH733" s="180"/>
      <c r="CI733" s="180"/>
      <c r="CJ733" s="180"/>
      <c r="CK733" s="180"/>
      <c r="CL733" s="180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</row>
    <row r="734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  <c r="AF734" s="180"/>
      <c r="AG734" s="180"/>
      <c r="AH734" s="180"/>
      <c r="AI734" s="180"/>
      <c r="AJ734" s="180"/>
      <c r="AK734" s="180"/>
      <c r="AL734" s="180"/>
      <c r="AM734" s="180"/>
      <c r="AN734" s="180"/>
      <c r="AO734" s="180"/>
      <c r="AP734" s="180"/>
      <c r="AQ734" s="180"/>
      <c r="AR734" s="180"/>
      <c r="AS734" s="180"/>
      <c r="AT734" s="180"/>
      <c r="AU734" s="180"/>
      <c r="AV734" s="180"/>
      <c r="AW734" s="180"/>
      <c r="AX734" s="180"/>
      <c r="AY734" s="180"/>
      <c r="AZ734" s="180"/>
      <c r="BA734" s="180"/>
      <c r="BB734" s="180"/>
      <c r="BC734" s="180"/>
      <c r="BD734" s="180"/>
      <c r="BE734" s="180"/>
      <c r="BF734" s="180"/>
      <c r="BG734" s="180"/>
      <c r="BH734" s="180"/>
      <c r="BI734" s="180"/>
      <c r="BJ734" s="180"/>
      <c r="BK734" s="180"/>
      <c r="BL734" s="180"/>
      <c r="BM734" s="180"/>
      <c r="BN734" s="180"/>
      <c r="BO734" s="180"/>
      <c r="BP734" s="180"/>
      <c r="BQ734" s="180"/>
      <c r="BR734" s="180"/>
      <c r="BS734" s="180"/>
      <c r="BT734" s="180"/>
      <c r="BU734" s="180"/>
      <c r="BV734" s="180"/>
      <c r="BW734" s="180"/>
      <c r="BX734" s="180"/>
      <c r="BY734" s="180"/>
      <c r="BZ734" s="180"/>
      <c r="CA734" s="180"/>
      <c r="CB734" s="180"/>
      <c r="CC734" s="180"/>
      <c r="CD734" s="180"/>
      <c r="CE734" s="180"/>
      <c r="CF734" s="180"/>
      <c r="CG734" s="180"/>
      <c r="CH734" s="180"/>
      <c r="CI734" s="180"/>
      <c r="CJ734" s="180"/>
      <c r="CK734" s="180"/>
      <c r="CL734" s="180"/>
      <c r="CM734" s="180"/>
      <c r="CN734" s="180"/>
      <c r="CO734" s="180"/>
      <c r="CP734" s="180"/>
      <c r="CQ734" s="180"/>
      <c r="CR734" s="180"/>
      <c r="CS734" s="180"/>
      <c r="CT734" s="180"/>
      <c r="CU734" s="180"/>
      <c r="CV734" s="180"/>
      <c r="CW734" s="180"/>
      <c r="CX734" s="180"/>
      <c r="CY734" s="180"/>
      <c r="CZ734" s="180"/>
      <c r="DA734" s="180"/>
      <c r="DB734" s="180"/>
    </row>
    <row r="735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  <c r="AF735" s="180"/>
      <c r="AG735" s="180"/>
      <c r="AH735" s="180"/>
      <c r="AI735" s="180"/>
      <c r="AJ735" s="180"/>
      <c r="AK735" s="180"/>
      <c r="AL735" s="180"/>
      <c r="AM735" s="180"/>
      <c r="AN735" s="180"/>
      <c r="AO735" s="180"/>
      <c r="AP735" s="180"/>
      <c r="AQ735" s="180"/>
      <c r="AR735" s="180"/>
      <c r="AS735" s="180"/>
      <c r="AT735" s="180"/>
      <c r="AU735" s="180"/>
      <c r="AV735" s="180"/>
      <c r="AW735" s="180"/>
      <c r="AX735" s="180"/>
      <c r="AY735" s="180"/>
      <c r="AZ735" s="180"/>
      <c r="BA735" s="180"/>
      <c r="BB735" s="180"/>
      <c r="BC735" s="180"/>
      <c r="BD735" s="180"/>
      <c r="BE735" s="180"/>
      <c r="BF735" s="180"/>
      <c r="BG735" s="180"/>
      <c r="BH735" s="180"/>
      <c r="BI735" s="180"/>
      <c r="BJ735" s="180"/>
      <c r="BK735" s="180"/>
      <c r="BL735" s="180"/>
      <c r="BM735" s="180"/>
      <c r="BN735" s="180"/>
      <c r="BO735" s="180"/>
      <c r="BP735" s="180"/>
      <c r="BQ735" s="180"/>
      <c r="BR735" s="180"/>
      <c r="BS735" s="180"/>
      <c r="BT735" s="180"/>
      <c r="BU735" s="180"/>
      <c r="BV735" s="180"/>
      <c r="BW735" s="180"/>
      <c r="BX735" s="180"/>
      <c r="BY735" s="180"/>
      <c r="BZ735" s="180"/>
      <c r="CA735" s="180"/>
      <c r="CB735" s="180"/>
      <c r="CC735" s="180"/>
      <c r="CD735" s="180"/>
      <c r="CE735" s="180"/>
      <c r="CF735" s="180"/>
      <c r="CG735" s="180"/>
      <c r="CH735" s="180"/>
      <c r="CI735" s="180"/>
      <c r="CJ735" s="180"/>
      <c r="CK735" s="180"/>
      <c r="CL735" s="180"/>
      <c r="CM735" s="180"/>
      <c r="CN735" s="180"/>
      <c r="CO735" s="180"/>
      <c r="CP735" s="180"/>
      <c r="CQ735" s="180"/>
      <c r="CR735" s="180"/>
      <c r="CS735" s="180"/>
      <c r="CT735" s="180"/>
      <c r="CU735" s="180"/>
      <c r="CV735" s="180"/>
      <c r="CW735" s="180"/>
      <c r="CX735" s="180"/>
      <c r="CY735" s="180"/>
      <c r="CZ735" s="180"/>
      <c r="DA735" s="180"/>
      <c r="DB735" s="180"/>
    </row>
    <row r="736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  <c r="AF736" s="180"/>
      <c r="AG736" s="180"/>
      <c r="AH736" s="180"/>
      <c r="AI736" s="180"/>
      <c r="AJ736" s="180"/>
      <c r="AK736" s="180"/>
      <c r="AL736" s="180"/>
      <c r="AM736" s="180"/>
      <c r="AN736" s="180"/>
      <c r="AO736" s="180"/>
      <c r="AP736" s="180"/>
      <c r="AQ736" s="180"/>
      <c r="AR736" s="180"/>
      <c r="AS736" s="180"/>
      <c r="AT736" s="180"/>
      <c r="AU736" s="180"/>
      <c r="AV736" s="180"/>
      <c r="AW736" s="180"/>
      <c r="AX736" s="180"/>
      <c r="AY736" s="180"/>
      <c r="AZ736" s="180"/>
      <c r="BA736" s="180"/>
      <c r="BB736" s="180"/>
      <c r="BC736" s="180"/>
      <c r="BD736" s="180"/>
      <c r="BE736" s="180"/>
      <c r="BF736" s="180"/>
      <c r="BG736" s="180"/>
      <c r="BH736" s="180"/>
      <c r="BI736" s="180"/>
      <c r="BJ736" s="180"/>
      <c r="BK736" s="180"/>
      <c r="BL736" s="180"/>
      <c r="BM736" s="180"/>
      <c r="BN736" s="180"/>
      <c r="BO736" s="180"/>
      <c r="BP736" s="180"/>
      <c r="BQ736" s="180"/>
      <c r="BR736" s="180"/>
      <c r="BS736" s="180"/>
      <c r="BT736" s="180"/>
      <c r="BU736" s="180"/>
      <c r="BV736" s="180"/>
      <c r="BW736" s="180"/>
      <c r="BX736" s="180"/>
      <c r="BY736" s="180"/>
      <c r="BZ736" s="180"/>
      <c r="CA736" s="180"/>
      <c r="CB736" s="180"/>
      <c r="CC736" s="180"/>
      <c r="CD736" s="180"/>
      <c r="CE736" s="180"/>
      <c r="CF736" s="180"/>
      <c r="CG736" s="180"/>
      <c r="CH736" s="180"/>
      <c r="CI736" s="180"/>
      <c r="CJ736" s="180"/>
      <c r="CK736" s="180"/>
      <c r="CL736" s="180"/>
      <c r="CM736" s="180"/>
      <c r="CN736" s="180"/>
      <c r="CO736" s="180"/>
      <c r="CP736" s="180"/>
      <c r="CQ736" s="180"/>
      <c r="CR736" s="180"/>
      <c r="CS736" s="180"/>
      <c r="CT736" s="180"/>
      <c r="CU736" s="180"/>
      <c r="CV736" s="180"/>
      <c r="CW736" s="180"/>
      <c r="CX736" s="180"/>
      <c r="CY736" s="180"/>
      <c r="CZ736" s="180"/>
      <c r="DA736" s="180"/>
      <c r="DB736" s="180"/>
    </row>
    <row r="737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  <c r="AG737" s="180"/>
      <c r="AH737" s="180"/>
      <c r="AI737" s="180"/>
      <c r="AJ737" s="180"/>
      <c r="AK737" s="180"/>
      <c r="AL737" s="180"/>
      <c r="AM737" s="180"/>
      <c r="AN737" s="180"/>
      <c r="AO737" s="180"/>
      <c r="AP737" s="180"/>
      <c r="AQ737" s="180"/>
      <c r="AR737" s="180"/>
      <c r="AS737" s="180"/>
      <c r="AT737" s="180"/>
      <c r="AU737" s="180"/>
      <c r="AV737" s="180"/>
      <c r="AW737" s="180"/>
      <c r="AX737" s="180"/>
      <c r="AY737" s="180"/>
      <c r="AZ737" s="180"/>
      <c r="BA737" s="180"/>
      <c r="BB737" s="180"/>
      <c r="BC737" s="180"/>
      <c r="BD737" s="180"/>
      <c r="BE737" s="180"/>
      <c r="BF737" s="180"/>
      <c r="BG737" s="180"/>
      <c r="BH737" s="180"/>
      <c r="BI737" s="180"/>
      <c r="BJ737" s="180"/>
      <c r="BK737" s="180"/>
      <c r="BL737" s="180"/>
      <c r="BM737" s="180"/>
      <c r="BN737" s="180"/>
      <c r="BO737" s="180"/>
      <c r="BP737" s="180"/>
      <c r="BQ737" s="180"/>
      <c r="BR737" s="180"/>
      <c r="BS737" s="180"/>
      <c r="BT737" s="180"/>
      <c r="BU737" s="180"/>
      <c r="BV737" s="180"/>
      <c r="BW737" s="180"/>
      <c r="BX737" s="180"/>
      <c r="BY737" s="180"/>
      <c r="BZ737" s="180"/>
      <c r="CA737" s="180"/>
      <c r="CB737" s="180"/>
      <c r="CC737" s="180"/>
      <c r="CD737" s="180"/>
      <c r="CE737" s="180"/>
      <c r="CF737" s="180"/>
      <c r="CG737" s="180"/>
      <c r="CH737" s="180"/>
      <c r="CI737" s="180"/>
      <c r="CJ737" s="180"/>
      <c r="CK737" s="180"/>
      <c r="CL737" s="180"/>
      <c r="CM737" s="180"/>
      <c r="CN737" s="180"/>
      <c r="CO737" s="180"/>
      <c r="CP737" s="180"/>
      <c r="CQ737" s="180"/>
      <c r="CR737" s="180"/>
      <c r="CS737" s="180"/>
      <c r="CT737" s="180"/>
      <c r="CU737" s="180"/>
      <c r="CV737" s="180"/>
      <c r="CW737" s="180"/>
      <c r="CX737" s="180"/>
      <c r="CY737" s="180"/>
      <c r="CZ737" s="180"/>
      <c r="DA737" s="180"/>
      <c r="DB737" s="180"/>
    </row>
    <row r="738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  <c r="AG738" s="180"/>
      <c r="AH738" s="180"/>
      <c r="AI738" s="180"/>
      <c r="AJ738" s="180"/>
      <c r="AK738" s="180"/>
      <c r="AL738" s="180"/>
      <c r="AM738" s="180"/>
      <c r="AN738" s="180"/>
      <c r="AO738" s="180"/>
      <c r="AP738" s="180"/>
      <c r="AQ738" s="180"/>
      <c r="AR738" s="180"/>
      <c r="AS738" s="180"/>
      <c r="AT738" s="180"/>
      <c r="AU738" s="180"/>
      <c r="AV738" s="180"/>
      <c r="AW738" s="180"/>
      <c r="AX738" s="180"/>
      <c r="AY738" s="180"/>
      <c r="AZ738" s="180"/>
      <c r="BA738" s="180"/>
      <c r="BB738" s="180"/>
      <c r="BC738" s="180"/>
      <c r="BD738" s="180"/>
      <c r="BE738" s="180"/>
      <c r="BF738" s="180"/>
      <c r="BG738" s="180"/>
      <c r="BH738" s="180"/>
      <c r="BI738" s="180"/>
      <c r="BJ738" s="180"/>
      <c r="BK738" s="180"/>
      <c r="BL738" s="180"/>
      <c r="BM738" s="180"/>
      <c r="BN738" s="180"/>
      <c r="BO738" s="180"/>
      <c r="BP738" s="180"/>
      <c r="BQ738" s="180"/>
      <c r="BR738" s="180"/>
      <c r="BS738" s="180"/>
      <c r="BT738" s="180"/>
      <c r="BU738" s="180"/>
      <c r="BV738" s="180"/>
      <c r="BW738" s="180"/>
      <c r="BX738" s="180"/>
      <c r="BY738" s="180"/>
      <c r="BZ738" s="180"/>
      <c r="CA738" s="180"/>
      <c r="CB738" s="180"/>
      <c r="CC738" s="180"/>
      <c r="CD738" s="180"/>
      <c r="CE738" s="180"/>
      <c r="CF738" s="180"/>
      <c r="CG738" s="180"/>
      <c r="CH738" s="180"/>
      <c r="CI738" s="180"/>
      <c r="CJ738" s="180"/>
      <c r="CK738" s="180"/>
      <c r="CL738" s="180"/>
      <c r="CM738" s="180"/>
      <c r="CN738" s="180"/>
      <c r="CO738" s="180"/>
      <c r="CP738" s="180"/>
      <c r="CQ738" s="180"/>
      <c r="CR738" s="180"/>
      <c r="CS738" s="180"/>
      <c r="CT738" s="180"/>
      <c r="CU738" s="180"/>
      <c r="CV738" s="180"/>
      <c r="CW738" s="180"/>
      <c r="CX738" s="180"/>
      <c r="CY738" s="180"/>
      <c r="CZ738" s="180"/>
      <c r="DA738" s="180"/>
      <c r="DB738" s="180"/>
    </row>
    <row r="739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  <c r="AF739" s="180"/>
      <c r="AG739" s="180"/>
      <c r="AH739" s="180"/>
      <c r="AI739" s="180"/>
      <c r="AJ739" s="180"/>
      <c r="AK739" s="180"/>
      <c r="AL739" s="180"/>
      <c r="AM739" s="180"/>
      <c r="AN739" s="180"/>
      <c r="AO739" s="180"/>
      <c r="AP739" s="180"/>
      <c r="AQ739" s="180"/>
      <c r="AR739" s="180"/>
      <c r="AS739" s="180"/>
      <c r="AT739" s="180"/>
      <c r="AU739" s="180"/>
      <c r="AV739" s="180"/>
      <c r="AW739" s="180"/>
      <c r="AX739" s="180"/>
      <c r="AY739" s="180"/>
      <c r="AZ739" s="180"/>
      <c r="BA739" s="180"/>
      <c r="BB739" s="180"/>
      <c r="BC739" s="180"/>
      <c r="BD739" s="180"/>
      <c r="BE739" s="180"/>
      <c r="BF739" s="180"/>
      <c r="BG739" s="180"/>
      <c r="BH739" s="180"/>
      <c r="BI739" s="180"/>
      <c r="BJ739" s="180"/>
      <c r="BK739" s="180"/>
      <c r="BL739" s="180"/>
      <c r="BM739" s="180"/>
      <c r="BN739" s="180"/>
      <c r="BO739" s="180"/>
      <c r="BP739" s="180"/>
      <c r="BQ739" s="180"/>
      <c r="BR739" s="180"/>
      <c r="BS739" s="180"/>
      <c r="BT739" s="180"/>
      <c r="BU739" s="180"/>
      <c r="BV739" s="180"/>
      <c r="BW739" s="180"/>
      <c r="BX739" s="180"/>
      <c r="BY739" s="180"/>
      <c r="BZ739" s="180"/>
      <c r="CA739" s="180"/>
      <c r="CB739" s="180"/>
      <c r="CC739" s="180"/>
      <c r="CD739" s="180"/>
      <c r="CE739" s="180"/>
      <c r="CF739" s="180"/>
      <c r="CG739" s="180"/>
      <c r="CH739" s="180"/>
      <c r="CI739" s="180"/>
      <c r="CJ739" s="180"/>
      <c r="CK739" s="180"/>
      <c r="CL739" s="180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</row>
    <row r="740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  <c r="AF740" s="180"/>
      <c r="AG740" s="180"/>
      <c r="AH740" s="180"/>
      <c r="AI740" s="180"/>
      <c r="AJ740" s="180"/>
      <c r="AK740" s="180"/>
      <c r="AL740" s="180"/>
      <c r="AM740" s="180"/>
      <c r="AN740" s="180"/>
      <c r="AO740" s="180"/>
      <c r="AP740" s="180"/>
      <c r="AQ740" s="180"/>
      <c r="AR740" s="180"/>
      <c r="AS740" s="180"/>
      <c r="AT740" s="180"/>
      <c r="AU740" s="180"/>
      <c r="AV740" s="180"/>
      <c r="AW740" s="180"/>
      <c r="AX740" s="180"/>
      <c r="AY740" s="180"/>
      <c r="AZ740" s="180"/>
      <c r="BA740" s="180"/>
      <c r="BB740" s="180"/>
      <c r="BC740" s="180"/>
      <c r="BD740" s="180"/>
      <c r="BE740" s="180"/>
      <c r="BF740" s="180"/>
      <c r="BG740" s="180"/>
      <c r="BH740" s="180"/>
      <c r="BI740" s="180"/>
      <c r="BJ740" s="180"/>
      <c r="BK740" s="180"/>
      <c r="BL740" s="180"/>
      <c r="BM740" s="180"/>
      <c r="BN740" s="180"/>
      <c r="BO740" s="180"/>
      <c r="BP740" s="180"/>
      <c r="BQ740" s="180"/>
      <c r="BR740" s="180"/>
      <c r="BS740" s="180"/>
      <c r="BT740" s="180"/>
      <c r="BU740" s="180"/>
      <c r="BV740" s="180"/>
      <c r="BW740" s="180"/>
      <c r="BX740" s="180"/>
      <c r="BY740" s="180"/>
      <c r="BZ740" s="180"/>
      <c r="CA740" s="180"/>
      <c r="CB740" s="180"/>
      <c r="CC740" s="180"/>
      <c r="CD740" s="180"/>
      <c r="CE740" s="180"/>
      <c r="CF740" s="180"/>
      <c r="CG740" s="180"/>
      <c r="CH740" s="180"/>
      <c r="CI740" s="180"/>
      <c r="CJ740" s="180"/>
      <c r="CK740" s="180"/>
      <c r="CL740" s="180"/>
      <c r="CM740" s="180"/>
      <c r="CN740" s="180"/>
      <c r="CO740" s="180"/>
      <c r="CP740" s="180"/>
      <c r="CQ740" s="180"/>
      <c r="CR740" s="180"/>
      <c r="CS740" s="180"/>
      <c r="CT740" s="180"/>
      <c r="CU740" s="180"/>
      <c r="CV740" s="180"/>
      <c r="CW740" s="180"/>
      <c r="CX740" s="180"/>
      <c r="CY740" s="180"/>
      <c r="CZ740" s="180"/>
      <c r="DA740" s="180"/>
      <c r="DB740" s="180"/>
    </row>
    <row r="741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  <c r="AF741" s="180"/>
      <c r="AG741" s="180"/>
      <c r="AH741" s="180"/>
      <c r="AI741" s="180"/>
      <c r="AJ741" s="180"/>
      <c r="AK741" s="180"/>
      <c r="AL741" s="180"/>
      <c r="AM741" s="180"/>
      <c r="AN741" s="180"/>
      <c r="AO741" s="180"/>
      <c r="AP741" s="180"/>
      <c r="AQ741" s="180"/>
      <c r="AR741" s="180"/>
      <c r="AS741" s="180"/>
      <c r="AT741" s="180"/>
      <c r="AU741" s="180"/>
      <c r="AV741" s="180"/>
      <c r="AW741" s="180"/>
      <c r="AX741" s="180"/>
      <c r="AY741" s="180"/>
      <c r="AZ741" s="180"/>
      <c r="BA741" s="180"/>
      <c r="BB741" s="180"/>
      <c r="BC741" s="180"/>
      <c r="BD741" s="180"/>
      <c r="BE741" s="180"/>
      <c r="BF741" s="180"/>
      <c r="BG741" s="180"/>
      <c r="BH741" s="180"/>
      <c r="BI741" s="180"/>
      <c r="BJ741" s="180"/>
      <c r="BK741" s="180"/>
      <c r="BL741" s="180"/>
      <c r="BM741" s="180"/>
      <c r="BN741" s="180"/>
      <c r="BO741" s="180"/>
      <c r="BP741" s="180"/>
      <c r="BQ741" s="180"/>
      <c r="BR741" s="180"/>
      <c r="BS741" s="180"/>
      <c r="BT741" s="180"/>
      <c r="BU741" s="180"/>
      <c r="BV741" s="180"/>
      <c r="BW741" s="180"/>
      <c r="BX741" s="180"/>
      <c r="BY741" s="180"/>
      <c r="BZ741" s="180"/>
      <c r="CA741" s="180"/>
      <c r="CB741" s="180"/>
      <c r="CC741" s="180"/>
      <c r="CD741" s="180"/>
      <c r="CE741" s="180"/>
      <c r="CF741" s="180"/>
      <c r="CG741" s="180"/>
      <c r="CH741" s="180"/>
      <c r="CI741" s="180"/>
      <c r="CJ741" s="180"/>
      <c r="CK741" s="180"/>
      <c r="CL741" s="180"/>
      <c r="CM741" s="180"/>
      <c r="CN741" s="180"/>
      <c r="CO741" s="180"/>
      <c r="CP741" s="180"/>
      <c r="CQ741" s="180"/>
      <c r="CR741" s="180"/>
      <c r="CS741" s="180"/>
      <c r="CT741" s="180"/>
      <c r="CU741" s="180"/>
      <c r="CV741" s="180"/>
      <c r="CW741" s="180"/>
      <c r="CX741" s="180"/>
      <c r="CY741" s="180"/>
      <c r="CZ741" s="180"/>
      <c r="DA741" s="180"/>
      <c r="DB741" s="180"/>
    </row>
    <row r="742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0"/>
      <c r="AG742" s="180"/>
      <c r="AH742" s="180"/>
      <c r="AI742" s="180"/>
      <c r="AJ742" s="180"/>
      <c r="AK742" s="180"/>
      <c r="AL742" s="180"/>
      <c r="AM742" s="180"/>
      <c r="AN742" s="180"/>
      <c r="AO742" s="180"/>
      <c r="AP742" s="180"/>
      <c r="AQ742" s="180"/>
      <c r="AR742" s="180"/>
      <c r="AS742" s="180"/>
      <c r="AT742" s="180"/>
      <c r="AU742" s="180"/>
      <c r="AV742" s="180"/>
      <c r="AW742" s="180"/>
      <c r="AX742" s="180"/>
      <c r="AY742" s="180"/>
      <c r="AZ742" s="180"/>
      <c r="BA742" s="180"/>
      <c r="BB742" s="180"/>
      <c r="BC742" s="180"/>
      <c r="BD742" s="180"/>
      <c r="BE742" s="180"/>
      <c r="BF742" s="180"/>
      <c r="BG742" s="180"/>
      <c r="BH742" s="180"/>
      <c r="BI742" s="180"/>
      <c r="BJ742" s="180"/>
      <c r="BK742" s="180"/>
      <c r="BL742" s="180"/>
      <c r="BM742" s="180"/>
      <c r="BN742" s="180"/>
      <c r="BO742" s="180"/>
      <c r="BP742" s="180"/>
      <c r="BQ742" s="180"/>
      <c r="BR742" s="180"/>
      <c r="BS742" s="180"/>
      <c r="BT742" s="180"/>
      <c r="BU742" s="180"/>
      <c r="BV742" s="180"/>
      <c r="BW742" s="180"/>
      <c r="BX742" s="180"/>
      <c r="BY742" s="180"/>
      <c r="BZ742" s="180"/>
      <c r="CA742" s="180"/>
      <c r="CB742" s="180"/>
      <c r="CC742" s="180"/>
      <c r="CD742" s="180"/>
      <c r="CE742" s="180"/>
      <c r="CF742" s="180"/>
      <c r="CG742" s="180"/>
      <c r="CH742" s="180"/>
      <c r="CI742" s="180"/>
      <c r="CJ742" s="180"/>
      <c r="CK742" s="180"/>
      <c r="CL742" s="180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</row>
    <row r="743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0"/>
      <c r="AG743" s="180"/>
      <c r="AH743" s="180"/>
      <c r="AI743" s="180"/>
      <c r="AJ743" s="180"/>
      <c r="AK743" s="180"/>
      <c r="AL743" s="180"/>
      <c r="AM743" s="180"/>
      <c r="AN743" s="180"/>
      <c r="AO743" s="180"/>
      <c r="AP743" s="180"/>
      <c r="AQ743" s="180"/>
      <c r="AR743" s="180"/>
      <c r="AS743" s="180"/>
      <c r="AT743" s="180"/>
      <c r="AU743" s="180"/>
      <c r="AV743" s="180"/>
      <c r="AW743" s="180"/>
      <c r="AX743" s="180"/>
      <c r="AY743" s="180"/>
      <c r="AZ743" s="180"/>
      <c r="BA743" s="180"/>
      <c r="BB743" s="180"/>
      <c r="BC743" s="180"/>
      <c r="BD743" s="180"/>
      <c r="BE743" s="180"/>
      <c r="BF743" s="180"/>
      <c r="BG743" s="180"/>
      <c r="BH743" s="180"/>
      <c r="BI743" s="180"/>
      <c r="BJ743" s="180"/>
      <c r="BK743" s="180"/>
      <c r="BL743" s="180"/>
      <c r="BM743" s="180"/>
      <c r="BN743" s="180"/>
      <c r="BO743" s="180"/>
      <c r="BP743" s="180"/>
      <c r="BQ743" s="180"/>
      <c r="BR743" s="180"/>
      <c r="BS743" s="180"/>
      <c r="BT743" s="180"/>
      <c r="BU743" s="180"/>
      <c r="BV743" s="180"/>
      <c r="BW743" s="180"/>
      <c r="BX743" s="180"/>
      <c r="BY743" s="180"/>
      <c r="BZ743" s="180"/>
      <c r="CA743" s="180"/>
      <c r="CB743" s="180"/>
      <c r="CC743" s="180"/>
      <c r="CD743" s="180"/>
      <c r="CE743" s="180"/>
      <c r="CF743" s="180"/>
      <c r="CG743" s="180"/>
      <c r="CH743" s="180"/>
      <c r="CI743" s="180"/>
      <c r="CJ743" s="180"/>
      <c r="CK743" s="180"/>
      <c r="CL743" s="180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</row>
    <row r="744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  <c r="K744" s="180"/>
      <c r="L744" s="180"/>
      <c r="M744" s="180"/>
      <c r="N744" s="180"/>
      <c r="O744" s="180"/>
      <c r="P744" s="180"/>
      <c r="Q744" s="180"/>
      <c r="R744" s="180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  <c r="AF744" s="180"/>
      <c r="AG744" s="180"/>
      <c r="AH744" s="180"/>
      <c r="AI744" s="180"/>
      <c r="AJ744" s="180"/>
      <c r="AK744" s="180"/>
      <c r="AL744" s="180"/>
      <c r="AM744" s="180"/>
      <c r="AN744" s="180"/>
      <c r="AO744" s="180"/>
      <c r="AP744" s="180"/>
      <c r="AQ744" s="180"/>
      <c r="AR744" s="180"/>
      <c r="AS744" s="180"/>
      <c r="AT744" s="180"/>
      <c r="AU744" s="180"/>
      <c r="AV744" s="180"/>
      <c r="AW744" s="180"/>
      <c r="AX744" s="180"/>
      <c r="AY744" s="180"/>
      <c r="AZ744" s="180"/>
      <c r="BA744" s="180"/>
      <c r="BB744" s="180"/>
      <c r="BC744" s="180"/>
      <c r="BD744" s="180"/>
      <c r="BE744" s="180"/>
      <c r="BF744" s="180"/>
      <c r="BG744" s="180"/>
      <c r="BH744" s="180"/>
      <c r="BI744" s="180"/>
      <c r="BJ744" s="180"/>
      <c r="BK744" s="180"/>
      <c r="BL744" s="180"/>
      <c r="BM744" s="180"/>
      <c r="BN744" s="180"/>
      <c r="BO744" s="180"/>
      <c r="BP744" s="180"/>
      <c r="BQ744" s="180"/>
      <c r="BR744" s="180"/>
      <c r="BS744" s="180"/>
      <c r="BT744" s="180"/>
      <c r="BU744" s="180"/>
      <c r="BV744" s="180"/>
      <c r="BW744" s="180"/>
      <c r="BX744" s="180"/>
      <c r="BY744" s="180"/>
      <c r="BZ744" s="180"/>
      <c r="CA744" s="180"/>
      <c r="CB744" s="180"/>
      <c r="CC744" s="180"/>
      <c r="CD744" s="180"/>
      <c r="CE744" s="180"/>
      <c r="CF744" s="180"/>
      <c r="CG744" s="180"/>
      <c r="CH744" s="180"/>
      <c r="CI744" s="180"/>
      <c r="CJ744" s="180"/>
      <c r="CK744" s="180"/>
      <c r="CL744" s="180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</row>
    <row r="745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  <c r="AG745" s="180"/>
      <c r="AH745" s="180"/>
      <c r="AI745" s="180"/>
      <c r="AJ745" s="180"/>
      <c r="AK745" s="180"/>
      <c r="AL745" s="180"/>
      <c r="AM745" s="180"/>
      <c r="AN745" s="180"/>
      <c r="AO745" s="180"/>
      <c r="AP745" s="180"/>
      <c r="AQ745" s="180"/>
      <c r="AR745" s="180"/>
      <c r="AS745" s="180"/>
      <c r="AT745" s="180"/>
      <c r="AU745" s="180"/>
      <c r="AV745" s="180"/>
      <c r="AW745" s="180"/>
      <c r="AX745" s="180"/>
      <c r="AY745" s="180"/>
      <c r="AZ745" s="180"/>
      <c r="BA745" s="180"/>
      <c r="BB745" s="180"/>
      <c r="BC745" s="180"/>
      <c r="BD745" s="180"/>
      <c r="BE745" s="180"/>
      <c r="BF745" s="180"/>
      <c r="BG745" s="180"/>
      <c r="BH745" s="180"/>
      <c r="BI745" s="180"/>
      <c r="BJ745" s="180"/>
      <c r="BK745" s="180"/>
      <c r="BL745" s="180"/>
      <c r="BM745" s="180"/>
      <c r="BN745" s="180"/>
      <c r="BO745" s="180"/>
      <c r="BP745" s="180"/>
      <c r="BQ745" s="180"/>
      <c r="BR745" s="180"/>
      <c r="BS745" s="180"/>
      <c r="BT745" s="180"/>
      <c r="BU745" s="180"/>
      <c r="BV745" s="180"/>
      <c r="BW745" s="180"/>
      <c r="BX745" s="180"/>
      <c r="BY745" s="180"/>
      <c r="BZ745" s="180"/>
      <c r="CA745" s="180"/>
      <c r="CB745" s="180"/>
      <c r="CC745" s="180"/>
      <c r="CD745" s="180"/>
      <c r="CE745" s="180"/>
      <c r="CF745" s="180"/>
      <c r="CG745" s="180"/>
      <c r="CH745" s="180"/>
      <c r="CI745" s="180"/>
      <c r="CJ745" s="180"/>
      <c r="CK745" s="180"/>
      <c r="CL745" s="180"/>
      <c r="CM745" s="180"/>
      <c r="CN745" s="180"/>
      <c r="CO745" s="180"/>
      <c r="CP745" s="180"/>
      <c r="CQ745" s="180"/>
      <c r="CR745" s="180"/>
      <c r="CS745" s="180"/>
      <c r="CT745" s="180"/>
      <c r="CU745" s="180"/>
      <c r="CV745" s="180"/>
      <c r="CW745" s="180"/>
      <c r="CX745" s="180"/>
      <c r="CY745" s="180"/>
      <c r="CZ745" s="180"/>
      <c r="DA745" s="180"/>
      <c r="DB745" s="180"/>
    </row>
    <row r="746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  <c r="AF746" s="180"/>
      <c r="AG746" s="180"/>
      <c r="AH746" s="180"/>
      <c r="AI746" s="180"/>
      <c r="AJ746" s="180"/>
      <c r="AK746" s="180"/>
      <c r="AL746" s="180"/>
      <c r="AM746" s="180"/>
      <c r="AN746" s="180"/>
      <c r="AO746" s="180"/>
      <c r="AP746" s="180"/>
      <c r="AQ746" s="180"/>
      <c r="AR746" s="180"/>
      <c r="AS746" s="180"/>
      <c r="AT746" s="180"/>
      <c r="AU746" s="180"/>
      <c r="AV746" s="180"/>
      <c r="AW746" s="180"/>
      <c r="AX746" s="180"/>
      <c r="AY746" s="180"/>
      <c r="AZ746" s="180"/>
      <c r="BA746" s="180"/>
      <c r="BB746" s="180"/>
      <c r="BC746" s="180"/>
      <c r="BD746" s="180"/>
      <c r="BE746" s="180"/>
      <c r="BF746" s="180"/>
      <c r="BG746" s="180"/>
      <c r="BH746" s="180"/>
      <c r="BI746" s="180"/>
      <c r="BJ746" s="180"/>
      <c r="BK746" s="180"/>
      <c r="BL746" s="180"/>
      <c r="BM746" s="180"/>
      <c r="BN746" s="180"/>
      <c r="BO746" s="180"/>
      <c r="BP746" s="180"/>
      <c r="BQ746" s="180"/>
      <c r="BR746" s="180"/>
      <c r="BS746" s="180"/>
      <c r="BT746" s="180"/>
      <c r="BU746" s="180"/>
      <c r="BV746" s="180"/>
      <c r="BW746" s="180"/>
      <c r="BX746" s="180"/>
      <c r="BY746" s="180"/>
      <c r="BZ746" s="180"/>
      <c r="CA746" s="180"/>
      <c r="CB746" s="180"/>
      <c r="CC746" s="180"/>
      <c r="CD746" s="180"/>
      <c r="CE746" s="180"/>
      <c r="CF746" s="180"/>
      <c r="CG746" s="180"/>
      <c r="CH746" s="180"/>
      <c r="CI746" s="180"/>
      <c r="CJ746" s="180"/>
      <c r="CK746" s="180"/>
      <c r="CL746" s="180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</row>
    <row r="747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  <c r="AF747" s="180"/>
      <c r="AG747" s="180"/>
      <c r="AH747" s="180"/>
      <c r="AI747" s="180"/>
      <c r="AJ747" s="180"/>
      <c r="AK747" s="180"/>
      <c r="AL747" s="180"/>
      <c r="AM747" s="180"/>
      <c r="AN747" s="180"/>
      <c r="AO747" s="180"/>
      <c r="AP747" s="180"/>
      <c r="AQ747" s="180"/>
      <c r="AR747" s="180"/>
      <c r="AS747" s="180"/>
      <c r="AT747" s="180"/>
      <c r="AU747" s="180"/>
      <c r="AV747" s="180"/>
      <c r="AW747" s="180"/>
      <c r="AX747" s="180"/>
      <c r="AY747" s="180"/>
      <c r="AZ747" s="180"/>
      <c r="BA747" s="180"/>
      <c r="BB747" s="180"/>
      <c r="BC747" s="180"/>
      <c r="BD747" s="180"/>
      <c r="BE747" s="180"/>
      <c r="BF747" s="180"/>
      <c r="BG747" s="180"/>
      <c r="BH747" s="180"/>
      <c r="BI747" s="180"/>
      <c r="BJ747" s="180"/>
      <c r="BK747" s="180"/>
      <c r="BL747" s="180"/>
      <c r="BM747" s="180"/>
      <c r="BN747" s="180"/>
      <c r="BO747" s="180"/>
      <c r="BP747" s="180"/>
      <c r="BQ747" s="180"/>
      <c r="BR747" s="180"/>
      <c r="BS747" s="180"/>
      <c r="BT747" s="180"/>
      <c r="BU747" s="180"/>
      <c r="BV747" s="180"/>
      <c r="BW747" s="180"/>
      <c r="BX747" s="180"/>
      <c r="BY747" s="180"/>
      <c r="BZ747" s="180"/>
      <c r="CA747" s="180"/>
      <c r="CB747" s="180"/>
      <c r="CC747" s="180"/>
      <c r="CD747" s="180"/>
      <c r="CE747" s="180"/>
      <c r="CF747" s="180"/>
      <c r="CG747" s="180"/>
      <c r="CH747" s="180"/>
      <c r="CI747" s="180"/>
      <c r="CJ747" s="180"/>
      <c r="CK747" s="180"/>
      <c r="CL747" s="180"/>
      <c r="CM747" s="180"/>
      <c r="CN747" s="180"/>
      <c r="CO747" s="180"/>
      <c r="CP747" s="180"/>
      <c r="CQ747" s="180"/>
      <c r="CR747" s="180"/>
      <c r="CS747" s="180"/>
      <c r="CT747" s="180"/>
      <c r="CU747" s="180"/>
      <c r="CV747" s="180"/>
      <c r="CW747" s="180"/>
      <c r="CX747" s="180"/>
      <c r="CY747" s="180"/>
      <c r="CZ747" s="180"/>
      <c r="DA747" s="180"/>
      <c r="DB747" s="180"/>
    </row>
    <row r="748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  <c r="AF748" s="180"/>
      <c r="AG748" s="180"/>
      <c r="AH748" s="180"/>
      <c r="AI748" s="180"/>
      <c r="AJ748" s="180"/>
      <c r="AK748" s="180"/>
      <c r="AL748" s="180"/>
      <c r="AM748" s="180"/>
      <c r="AN748" s="180"/>
      <c r="AO748" s="180"/>
      <c r="AP748" s="180"/>
      <c r="AQ748" s="180"/>
      <c r="AR748" s="180"/>
      <c r="AS748" s="180"/>
      <c r="AT748" s="180"/>
      <c r="AU748" s="180"/>
      <c r="AV748" s="180"/>
      <c r="AW748" s="180"/>
      <c r="AX748" s="180"/>
      <c r="AY748" s="180"/>
      <c r="AZ748" s="180"/>
      <c r="BA748" s="180"/>
      <c r="BB748" s="180"/>
      <c r="BC748" s="180"/>
      <c r="BD748" s="180"/>
      <c r="BE748" s="180"/>
      <c r="BF748" s="180"/>
      <c r="BG748" s="180"/>
      <c r="BH748" s="180"/>
      <c r="BI748" s="180"/>
      <c r="BJ748" s="180"/>
      <c r="BK748" s="180"/>
      <c r="BL748" s="180"/>
      <c r="BM748" s="180"/>
      <c r="BN748" s="180"/>
      <c r="BO748" s="180"/>
      <c r="BP748" s="180"/>
      <c r="BQ748" s="180"/>
      <c r="BR748" s="180"/>
      <c r="BS748" s="180"/>
      <c r="BT748" s="180"/>
      <c r="BU748" s="180"/>
      <c r="BV748" s="180"/>
      <c r="BW748" s="180"/>
      <c r="BX748" s="180"/>
      <c r="BY748" s="180"/>
      <c r="BZ748" s="180"/>
      <c r="CA748" s="180"/>
      <c r="CB748" s="180"/>
      <c r="CC748" s="180"/>
      <c r="CD748" s="180"/>
      <c r="CE748" s="180"/>
      <c r="CF748" s="180"/>
      <c r="CG748" s="180"/>
      <c r="CH748" s="180"/>
      <c r="CI748" s="180"/>
      <c r="CJ748" s="180"/>
      <c r="CK748" s="180"/>
      <c r="CL748" s="180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</row>
    <row r="749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  <c r="K749" s="180"/>
      <c r="L749" s="180"/>
      <c r="M749" s="180"/>
      <c r="N749" s="180"/>
      <c r="O749" s="180"/>
      <c r="P749" s="180"/>
      <c r="Q749" s="180"/>
      <c r="R749" s="180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  <c r="AF749" s="180"/>
      <c r="AG749" s="180"/>
      <c r="AH749" s="180"/>
      <c r="AI749" s="180"/>
      <c r="AJ749" s="180"/>
      <c r="AK749" s="180"/>
      <c r="AL749" s="180"/>
      <c r="AM749" s="180"/>
      <c r="AN749" s="180"/>
      <c r="AO749" s="180"/>
      <c r="AP749" s="180"/>
      <c r="AQ749" s="180"/>
      <c r="AR749" s="180"/>
      <c r="AS749" s="180"/>
      <c r="AT749" s="180"/>
      <c r="AU749" s="180"/>
      <c r="AV749" s="180"/>
      <c r="AW749" s="180"/>
      <c r="AX749" s="180"/>
      <c r="AY749" s="180"/>
      <c r="AZ749" s="180"/>
      <c r="BA749" s="180"/>
      <c r="BB749" s="180"/>
      <c r="BC749" s="180"/>
      <c r="BD749" s="180"/>
      <c r="BE749" s="180"/>
      <c r="BF749" s="180"/>
      <c r="BG749" s="180"/>
      <c r="BH749" s="180"/>
      <c r="BI749" s="180"/>
      <c r="BJ749" s="180"/>
      <c r="BK749" s="180"/>
      <c r="BL749" s="180"/>
      <c r="BM749" s="180"/>
      <c r="BN749" s="180"/>
      <c r="BO749" s="180"/>
      <c r="BP749" s="180"/>
      <c r="BQ749" s="180"/>
      <c r="BR749" s="180"/>
      <c r="BS749" s="180"/>
      <c r="BT749" s="180"/>
      <c r="BU749" s="180"/>
      <c r="BV749" s="180"/>
      <c r="BW749" s="180"/>
      <c r="BX749" s="180"/>
      <c r="BY749" s="180"/>
      <c r="BZ749" s="180"/>
      <c r="CA749" s="180"/>
      <c r="CB749" s="180"/>
      <c r="CC749" s="180"/>
      <c r="CD749" s="180"/>
      <c r="CE749" s="180"/>
      <c r="CF749" s="180"/>
      <c r="CG749" s="180"/>
      <c r="CH749" s="180"/>
      <c r="CI749" s="180"/>
      <c r="CJ749" s="180"/>
      <c r="CK749" s="180"/>
      <c r="CL749" s="180"/>
      <c r="CM749" s="180"/>
      <c r="CN749" s="180"/>
      <c r="CO749" s="180"/>
      <c r="CP749" s="180"/>
      <c r="CQ749" s="180"/>
      <c r="CR749" s="180"/>
      <c r="CS749" s="180"/>
      <c r="CT749" s="180"/>
      <c r="CU749" s="180"/>
      <c r="CV749" s="180"/>
      <c r="CW749" s="180"/>
      <c r="CX749" s="180"/>
      <c r="CY749" s="180"/>
      <c r="CZ749" s="180"/>
      <c r="DA749" s="180"/>
      <c r="DB749" s="180"/>
    </row>
    <row r="750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  <c r="AG750" s="180"/>
      <c r="AH750" s="180"/>
      <c r="AI750" s="180"/>
      <c r="AJ750" s="180"/>
      <c r="AK750" s="180"/>
      <c r="AL750" s="180"/>
      <c r="AM750" s="180"/>
      <c r="AN750" s="180"/>
      <c r="AO750" s="180"/>
      <c r="AP750" s="180"/>
      <c r="AQ750" s="180"/>
      <c r="AR750" s="180"/>
      <c r="AS750" s="180"/>
      <c r="AT750" s="180"/>
      <c r="AU750" s="180"/>
      <c r="AV750" s="180"/>
      <c r="AW750" s="180"/>
      <c r="AX750" s="180"/>
      <c r="AY750" s="180"/>
      <c r="AZ750" s="180"/>
      <c r="BA750" s="180"/>
      <c r="BB750" s="180"/>
      <c r="BC750" s="180"/>
      <c r="BD750" s="180"/>
      <c r="BE750" s="180"/>
      <c r="BF750" s="180"/>
      <c r="BG750" s="180"/>
      <c r="BH750" s="180"/>
      <c r="BI750" s="180"/>
      <c r="BJ750" s="180"/>
      <c r="BK750" s="180"/>
      <c r="BL750" s="180"/>
      <c r="BM750" s="180"/>
      <c r="BN750" s="180"/>
      <c r="BO750" s="180"/>
      <c r="BP750" s="180"/>
      <c r="BQ750" s="180"/>
      <c r="BR750" s="180"/>
      <c r="BS750" s="180"/>
      <c r="BT750" s="180"/>
      <c r="BU750" s="180"/>
      <c r="BV750" s="180"/>
      <c r="BW750" s="180"/>
      <c r="BX750" s="180"/>
      <c r="BY750" s="180"/>
      <c r="BZ750" s="180"/>
      <c r="CA750" s="180"/>
      <c r="CB750" s="180"/>
      <c r="CC750" s="180"/>
      <c r="CD750" s="180"/>
      <c r="CE750" s="180"/>
      <c r="CF750" s="180"/>
      <c r="CG750" s="180"/>
      <c r="CH750" s="180"/>
      <c r="CI750" s="180"/>
      <c r="CJ750" s="180"/>
      <c r="CK750" s="180"/>
      <c r="CL750" s="180"/>
      <c r="CM750" s="180"/>
      <c r="CN750" s="180"/>
      <c r="CO750" s="180"/>
      <c r="CP750" s="180"/>
      <c r="CQ750" s="180"/>
      <c r="CR750" s="180"/>
      <c r="CS750" s="180"/>
      <c r="CT750" s="180"/>
      <c r="CU750" s="180"/>
      <c r="CV750" s="180"/>
      <c r="CW750" s="180"/>
      <c r="CX750" s="180"/>
      <c r="CY750" s="180"/>
      <c r="CZ750" s="180"/>
      <c r="DA750" s="180"/>
      <c r="DB750" s="180"/>
    </row>
    <row r="751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  <c r="AF751" s="180"/>
      <c r="AG751" s="180"/>
      <c r="AH751" s="180"/>
      <c r="AI751" s="180"/>
      <c r="AJ751" s="180"/>
      <c r="AK751" s="180"/>
      <c r="AL751" s="180"/>
      <c r="AM751" s="180"/>
      <c r="AN751" s="180"/>
      <c r="AO751" s="180"/>
      <c r="AP751" s="180"/>
      <c r="AQ751" s="180"/>
      <c r="AR751" s="180"/>
      <c r="AS751" s="180"/>
      <c r="AT751" s="180"/>
      <c r="AU751" s="180"/>
      <c r="AV751" s="180"/>
      <c r="AW751" s="180"/>
      <c r="AX751" s="180"/>
      <c r="AY751" s="180"/>
      <c r="AZ751" s="180"/>
      <c r="BA751" s="180"/>
      <c r="BB751" s="180"/>
      <c r="BC751" s="180"/>
      <c r="BD751" s="180"/>
      <c r="BE751" s="180"/>
      <c r="BF751" s="180"/>
      <c r="BG751" s="180"/>
      <c r="BH751" s="180"/>
      <c r="BI751" s="180"/>
      <c r="BJ751" s="180"/>
      <c r="BK751" s="180"/>
      <c r="BL751" s="180"/>
      <c r="BM751" s="180"/>
      <c r="BN751" s="180"/>
      <c r="BO751" s="180"/>
      <c r="BP751" s="180"/>
      <c r="BQ751" s="180"/>
      <c r="BR751" s="180"/>
      <c r="BS751" s="180"/>
      <c r="BT751" s="180"/>
      <c r="BU751" s="180"/>
      <c r="BV751" s="180"/>
      <c r="BW751" s="180"/>
      <c r="BX751" s="180"/>
      <c r="BY751" s="180"/>
      <c r="BZ751" s="180"/>
      <c r="CA751" s="180"/>
      <c r="CB751" s="180"/>
      <c r="CC751" s="180"/>
      <c r="CD751" s="180"/>
      <c r="CE751" s="180"/>
      <c r="CF751" s="180"/>
      <c r="CG751" s="180"/>
      <c r="CH751" s="180"/>
      <c r="CI751" s="180"/>
      <c r="CJ751" s="180"/>
      <c r="CK751" s="180"/>
      <c r="CL751" s="180"/>
      <c r="CM751" s="180"/>
      <c r="CN751" s="180"/>
      <c r="CO751" s="180"/>
      <c r="CP751" s="180"/>
      <c r="CQ751" s="180"/>
      <c r="CR751" s="180"/>
      <c r="CS751" s="180"/>
      <c r="CT751" s="180"/>
      <c r="CU751" s="180"/>
      <c r="CV751" s="180"/>
      <c r="CW751" s="180"/>
      <c r="CX751" s="180"/>
      <c r="CY751" s="180"/>
      <c r="CZ751" s="180"/>
      <c r="DA751" s="180"/>
      <c r="DB751" s="180"/>
    </row>
    <row r="752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  <c r="AF752" s="180"/>
      <c r="AG752" s="180"/>
      <c r="AH752" s="180"/>
      <c r="AI752" s="180"/>
      <c r="AJ752" s="180"/>
      <c r="AK752" s="180"/>
      <c r="AL752" s="180"/>
      <c r="AM752" s="180"/>
      <c r="AN752" s="180"/>
      <c r="AO752" s="180"/>
      <c r="AP752" s="180"/>
      <c r="AQ752" s="180"/>
      <c r="AR752" s="180"/>
      <c r="AS752" s="180"/>
      <c r="AT752" s="180"/>
      <c r="AU752" s="180"/>
      <c r="AV752" s="180"/>
      <c r="AW752" s="180"/>
      <c r="AX752" s="180"/>
      <c r="AY752" s="180"/>
      <c r="AZ752" s="180"/>
      <c r="BA752" s="180"/>
      <c r="BB752" s="180"/>
      <c r="BC752" s="180"/>
      <c r="BD752" s="180"/>
      <c r="BE752" s="180"/>
      <c r="BF752" s="180"/>
      <c r="BG752" s="180"/>
      <c r="BH752" s="180"/>
      <c r="BI752" s="180"/>
      <c r="BJ752" s="180"/>
      <c r="BK752" s="180"/>
      <c r="BL752" s="180"/>
      <c r="BM752" s="180"/>
      <c r="BN752" s="180"/>
      <c r="BO752" s="180"/>
      <c r="BP752" s="180"/>
      <c r="BQ752" s="180"/>
      <c r="BR752" s="180"/>
      <c r="BS752" s="180"/>
      <c r="BT752" s="180"/>
      <c r="BU752" s="180"/>
      <c r="BV752" s="180"/>
      <c r="BW752" s="180"/>
      <c r="BX752" s="180"/>
      <c r="BY752" s="180"/>
      <c r="BZ752" s="180"/>
      <c r="CA752" s="180"/>
      <c r="CB752" s="180"/>
      <c r="CC752" s="180"/>
      <c r="CD752" s="180"/>
      <c r="CE752" s="180"/>
      <c r="CF752" s="180"/>
      <c r="CG752" s="180"/>
      <c r="CH752" s="180"/>
      <c r="CI752" s="180"/>
      <c r="CJ752" s="180"/>
      <c r="CK752" s="180"/>
      <c r="CL752" s="180"/>
      <c r="CM752" s="180"/>
      <c r="CN752" s="180"/>
      <c r="CO752" s="180"/>
      <c r="CP752" s="180"/>
      <c r="CQ752" s="180"/>
      <c r="CR752" s="180"/>
      <c r="CS752" s="180"/>
      <c r="CT752" s="180"/>
      <c r="CU752" s="180"/>
      <c r="CV752" s="180"/>
      <c r="CW752" s="180"/>
      <c r="CX752" s="180"/>
      <c r="CY752" s="180"/>
      <c r="CZ752" s="180"/>
      <c r="DA752" s="180"/>
      <c r="DB752" s="180"/>
    </row>
    <row r="753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  <c r="AF753" s="180"/>
      <c r="AG753" s="180"/>
      <c r="AH753" s="180"/>
      <c r="AI753" s="180"/>
      <c r="AJ753" s="180"/>
      <c r="AK753" s="180"/>
      <c r="AL753" s="180"/>
      <c r="AM753" s="180"/>
      <c r="AN753" s="180"/>
      <c r="AO753" s="180"/>
      <c r="AP753" s="180"/>
      <c r="AQ753" s="180"/>
      <c r="AR753" s="180"/>
      <c r="AS753" s="180"/>
      <c r="AT753" s="180"/>
      <c r="AU753" s="180"/>
      <c r="AV753" s="180"/>
      <c r="AW753" s="180"/>
      <c r="AX753" s="180"/>
      <c r="AY753" s="180"/>
      <c r="AZ753" s="180"/>
      <c r="BA753" s="180"/>
      <c r="BB753" s="180"/>
      <c r="BC753" s="180"/>
      <c r="BD753" s="180"/>
      <c r="BE753" s="180"/>
      <c r="BF753" s="180"/>
      <c r="BG753" s="180"/>
      <c r="BH753" s="180"/>
      <c r="BI753" s="180"/>
      <c r="BJ753" s="180"/>
      <c r="BK753" s="180"/>
      <c r="BL753" s="180"/>
      <c r="BM753" s="180"/>
      <c r="BN753" s="180"/>
      <c r="BO753" s="180"/>
      <c r="BP753" s="180"/>
      <c r="BQ753" s="180"/>
      <c r="BR753" s="180"/>
      <c r="BS753" s="180"/>
      <c r="BT753" s="180"/>
      <c r="BU753" s="180"/>
      <c r="BV753" s="180"/>
      <c r="BW753" s="180"/>
      <c r="BX753" s="180"/>
      <c r="BY753" s="180"/>
      <c r="BZ753" s="180"/>
      <c r="CA753" s="180"/>
      <c r="CB753" s="180"/>
      <c r="CC753" s="180"/>
      <c r="CD753" s="180"/>
      <c r="CE753" s="180"/>
      <c r="CF753" s="180"/>
      <c r="CG753" s="180"/>
      <c r="CH753" s="180"/>
      <c r="CI753" s="180"/>
      <c r="CJ753" s="180"/>
      <c r="CK753" s="180"/>
      <c r="CL753" s="180"/>
      <c r="CM753" s="180"/>
      <c r="CN753" s="180"/>
      <c r="CO753" s="180"/>
      <c r="CP753" s="180"/>
      <c r="CQ753" s="180"/>
      <c r="CR753" s="180"/>
      <c r="CS753" s="180"/>
      <c r="CT753" s="180"/>
      <c r="CU753" s="180"/>
      <c r="CV753" s="180"/>
      <c r="CW753" s="180"/>
      <c r="CX753" s="180"/>
      <c r="CY753" s="180"/>
      <c r="CZ753" s="180"/>
      <c r="DA753" s="180"/>
      <c r="DB753" s="180"/>
    </row>
    <row r="754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  <c r="AG754" s="180"/>
      <c r="AH754" s="180"/>
      <c r="AI754" s="180"/>
      <c r="AJ754" s="180"/>
      <c r="AK754" s="180"/>
      <c r="AL754" s="180"/>
      <c r="AM754" s="180"/>
      <c r="AN754" s="180"/>
      <c r="AO754" s="180"/>
      <c r="AP754" s="180"/>
      <c r="AQ754" s="180"/>
      <c r="AR754" s="180"/>
      <c r="AS754" s="180"/>
      <c r="AT754" s="180"/>
      <c r="AU754" s="180"/>
      <c r="AV754" s="180"/>
      <c r="AW754" s="180"/>
      <c r="AX754" s="180"/>
      <c r="AY754" s="180"/>
      <c r="AZ754" s="180"/>
      <c r="BA754" s="180"/>
      <c r="BB754" s="180"/>
      <c r="BC754" s="180"/>
      <c r="BD754" s="180"/>
      <c r="BE754" s="180"/>
      <c r="BF754" s="180"/>
      <c r="BG754" s="180"/>
      <c r="BH754" s="180"/>
      <c r="BI754" s="180"/>
      <c r="BJ754" s="180"/>
      <c r="BK754" s="180"/>
      <c r="BL754" s="180"/>
      <c r="BM754" s="180"/>
      <c r="BN754" s="180"/>
      <c r="BO754" s="180"/>
      <c r="BP754" s="180"/>
      <c r="BQ754" s="180"/>
      <c r="BR754" s="180"/>
      <c r="BS754" s="180"/>
      <c r="BT754" s="180"/>
      <c r="BU754" s="180"/>
      <c r="BV754" s="180"/>
      <c r="BW754" s="180"/>
      <c r="BX754" s="180"/>
      <c r="BY754" s="180"/>
      <c r="BZ754" s="180"/>
      <c r="CA754" s="180"/>
      <c r="CB754" s="180"/>
      <c r="CC754" s="180"/>
      <c r="CD754" s="180"/>
      <c r="CE754" s="180"/>
      <c r="CF754" s="180"/>
      <c r="CG754" s="180"/>
      <c r="CH754" s="180"/>
      <c r="CI754" s="180"/>
      <c r="CJ754" s="180"/>
      <c r="CK754" s="180"/>
      <c r="CL754" s="180"/>
      <c r="CM754" s="180"/>
      <c r="CN754" s="180"/>
      <c r="CO754" s="180"/>
      <c r="CP754" s="180"/>
      <c r="CQ754" s="180"/>
      <c r="CR754" s="180"/>
      <c r="CS754" s="180"/>
      <c r="CT754" s="180"/>
      <c r="CU754" s="180"/>
      <c r="CV754" s="180"/>
      <c r="CW754" s="180"/>
      <c r="CX754" s="180"/>
      <c r="CY754" s="180"/>
      <c r="CZ754" s="180"/>
      <c r="DA754" s="180"/>
      <c r="DB754" s="180"/>
    </row>
    <row r="755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  <c r="AG755" s="180"/>
      <c r="AH755" s="180"/>
      <c r="AI755" s="180"/>
      <c r="AJ755" s="180"/>
      <c r="AK755" s="180"/>
      <c r="AL755" s="180"/>
      <c r="AM755" s="180"/>
      <c r="AN755" s="180"/>
      <c r="AO755" s="180"/>
      <c r="AP755" s="180"/>
      <c r="AQ755" s="180"/>
      <c r="AR755" s="180"/>
      <c r="AS755" s="180"/>
      <c r="AT755" s="180"/>
      <c r="AU755" s="180"/>
      <c r="AV755" s="180"/>
      <c r="AW755" s="180"/>
      <c r="AX755" s="180"/>
      <c r="AY755" s="180"/>
      <c r="AZ755" s="180"/>
      <c r="BA755" s="180"/>
      <c r="BB755" s="180"/>
      <c r="BC755" s="180"/>
      <c r="BD755" s="180"/>
      <c r="BE755" s="180"/>
      <c r="BF755" s="180"/>
      <c r="BG755" s="180"/>
      <c r="BH755" s="180"/>
      <c r="BI755" s="180"/>
      <c r="BJ755" s="180"/>
      <c r="BK755" s="180"/>
      <c r="BL755" s="180"/>
      <c r="BM755" s="180"/>
      <c r="BN755" s="180"/>
      <c r="BO755" s="180"/>
      <c r="BP755" s="180"/>
      <c r="BQ755" s="180"/>
      <c r="BR755" s="180"/>
      <c r="BS755" s="180"/>
      <c r="BT755" s="180"/>
      <c r="BU755" s="180"/>
      <c r="BV755" s="180"/>
      <c r="BW755" s="180"/>
      <c r="BX755" s="180"/>
      <c r="BY755" s="180"/>
      <c r="BZ755" s="180"/>
      <c r="CA755" s="180"/>
      <c r="CB755" s="180"/>
      <c r="CC755" s="180"/>
      <c r="CD755" s="180"/>
      <c r="CE755" s="180"/>
      <c r="CF755" s="180"/>
      <c r="CG755" s="180"/>
      <c r="CH755" s="180"/>
      <c r="CI755" s="180"/>
      <c r="CJ755" s="180"/>
      <c r="CK755" s="180"/>
      <c r="CL755" s="180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</row>
    <row r="756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  <c r="AF756" s="180"/>
      <c r="AG756" s="180"/>
      <c r="AH756" s="180"/>
      <c r="AI756" s="180"/>
      <c r="AJ756" s="180"/>
      <c r="AK756" s="180"/>
      <c r="AL756" s="180"/>
      <c r="AM756" s="180"/>
      <c r="AN756" s="180"/>
      <c r="AO756" s="180"/>
      <c r="AP756" s="180"/>
      <c r="AQ756" s="180"/>
      <c r="AR756" s="180"/>
      <c r="AS756" s="180"/>
      <c r="AT756" s="180"/>
      <c r="AU756" s="180"/>
      <c r="AV756" s="180"/>
      <c r="AW756" s="180"/>
      <c r="AX756" s="180"/>
      <c r="AY756" s="180"/>
      <c r="AZ756" s="180"/>
      <c r="BA756" s="180"/>
      <c r="BB756" s="180"/>
      <c r="BC756" s="180"/>
      <c r="BD756" s="180"/>
      <c r="BE756" s="180"/>
      <c r="BF756" s="180"/>
      <c r="BG756" s="180"/>
      <c r="BH756" s="180"/>
      <c r="BI756" s="180"/>
      <c r="BJ756" s="180"/>
      <c r="BK756" s="180"/>
      <c r="BL756" s="180"/>
      <c r="BM756" s="180"/>
      <c r="BN756" s="180"/>
      <c r="BO756" s="180"/>
      <c r="BP756" s="180"/>
      <c r="BQ756" s="180"/>
      <c r="BR756" s="180"/>
      <c r="BS756" s="180"/>
      <c r="BT756" s="180"/>
      <c r="BU756" s="180"/>
      <c r="BV756" s="180"/>
      <c r="BW756" s="180"/>
      <c r="BX756" s="180"/>
      <c r="BY756" s="180"/>
      <c r="BZ756" s="180"/>
      <c r="CA756" s="180"/>
      <c r="CB756" s="180"/>
      <c r="CC756" s="180"/>
      <c r="CD756" s="180"/>
      <c r="CE756" s="180"/>
      <c r="CF756" s="180"/>
      <c r="CG756" s="180"/>
      <c r="CH756" s="180"/>
      <c r="CI756" s="180"/>
      <c r="CJ756" s="180"/>
      <c r="CK756" s="180"/>
      <c r="CL756" s="180"/>
      <c r="CM756" s="180"/>
      <c r="CN756" s="180"/>
      <c r="CO756" s="180"/>
      <c r="CP756" s="180"/>
      <c r="CQ756" s="180"/>
      <c r="CR756" s="180"/>
      <c r="CS756" s="180"/>
      <c r="CT756" s="180"/>
      <c r="CU756" s="180"/>
      <c r="CV756" s="180"/>
      <c r="CW756" s="180"/>
      <c r="CX756" s="180"/>
      <c r="CY756" s="180"/>
      <c r="CZ756" s="180"/>
      <c r="DA756" s="180"/>
      <c r="DB756" s="180"/>
    </row>
    <row r="757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  <c r="K757" s="180"/>
      <c r="L757" s="180"/>
      <c r="M757" s="180"/>
      <c r="N757" s="180"/>
      <c r="O757" s="180"/>
      <c r="P757" s="180"/>
      <c r="Q757" s="180"/>
      <c r="R757" s="180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  <c r="AF757" s="180"/>
      <c r="AG757" s="180"/>
      <c r="AH757" s="180"/>
      <c r="AI757" s="180"/>
      <c r="AJ757" s="180"/>
      <c r="AK757" s="180"/>
      <c r="AL757" s="180"/>
      <c r="AM757" s="180"/>
      <c r="AN757" s="180"/>
      <c r="AO757" s="180"/>
      <c r="AP757" s="180"/>
      <c r="AQ757" s="180"/>
      <c r="AR757" s="180"/>
      <c r="AS757" s="180"/>
      <c r="AT757" s="180"/>
      <c r="AU757" s="180"/>
      <c r="AV757" s="180"/>
      <c r="AW757" s="180"/>
      <c r="AX757" s="180"/>
      <c r="AY757" s="180"/>
      <c r="AZ757" s="180"/>
      <c r="BA757" s="180"/>
      <c r="BB757" s="180"/>
      <c r="BC757" s="180"/>
      <c r="BD757" s="180"/>
      <c r="BE757" s="180"/>
      <c r="BF757" s="180"/>
      <c r="BG757" s="180"/>
      <c r="BH757" s="180"/>
      <c r="BI757" s="180"/>
      <c r="BJ757" s="180"/>
      <c r="BK757" s="180"/>
      <c r="BL757" s="180"/>
      <c r="BM757" s="180"/>
      <c r="BN757" s="180"/>
      <c r="BO757" s="180"/>
      <c r="BP757" s="180"/>
      <c r="BQ757" s="180"/>
      <c r="BR757" s="180"/>
      <c r="BS757" s="180"/>
      <c r="BT757" s="180"/>
      <c r="BU757" s="180"/>
      <c r="BV757" s="180"/>
      <c r="BW757" s="180"/>
      <c r="BX757" s="180"/>
      <c r="BY757" s="180"/>
      <c r="BZ757" s="180"/>
      <c r="CA757" s="180"/>
      <c r="CB757" s="180"/>
      <c r="CC757" s="180"/>
      <c r="CD757" s="180"/>
      <c r="CE757" s="180"/>
      <c r="CF757" s="180"/>
      <c r="CG757" s="180"/>
      <c r="CH757" s="180"/>
      <c r="CI757" s="180"/>
      <c r="CJ757" s="180"/>
      <c r="CK757" s="180"/>
      <c r="CL757" s="180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</row>
    <row r="758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  <c r="AF758" s="180"/>
      <c r="AG758" s="180"/>
      <c r="AH758" s="180"/>
      <c r="AI758" s="180"/>
      <c r="AJ758" s="180"/>
      <c r="AK758" s="180"/>
      <c r="AL758" s="180"/>
      <c r="AM758" s="180"/>
      <c r="AN758" s="180"/>
      <c r="AO758" s="180"/>
      <c r="AP758" s="180"/>
      <c r="AQ758" s="180"/>
      <c r="AR758" s="180"/>
      <c r="AS758" s="180"/>
      <c r="AT758" s="180"/>
      <c r="AU758" s="180"/>
      <c r="AV758" s="180"/>
      <c r="AW758" s="180"/>
      <c r="AX758" s="180"/>
      <c r="AY758" s="180"/>
      <c r="AZ758" s="180"/>
      <c r="BA758" s="180"/>
      <c r="BB758" s="180"/>
      <c r="BC758" s="180"/>
      <c r="BD758" s="180"/>
      <c r="BE758" s="180"/>
      <c r="BF758" s="180"/>
      <c r="BG758" s="180"/>
      <c r="BH758" s="180"/>
      <c r="BI758" s="180"/>
      <c r="BJ758" s="180"/>
      <c r="BK758" s="180"/>
      <c r="BL758" s="180"/>
      <c r="BM758" s="180"/>
      <c r="BN758" s="180"/>
      <c r="BO758" s="180"/>
      <c r="BP758" s="180"/>
      <c r="BQ758" s="180"/>
      <c r="BR758" s="180"/>
      <c r="BS758" s="180"/>
      <c r="BT758" s="180"/>
      <c r="BU758" s="180"/>
      <c r="BV758" s="180"/>
      <c r="BW758" s="180"/>
      <c r="BX758" s="180"/>
      <c r="BY758" s="180"/>
      <c r="BZ758" s="180"/>
      <c r="CA758" s="180"/>
      <c r="CB758" s="180"/>
      <c r="CC758" s="180"/>
      <c r="CD758" s="180"/>
      <c r="CE758" s="180"/>
      <c r="CF758" s="180"/>
      <c r="CG758" s="180"/>
      <c r="CH758" s="180"/>
      <c r="CI758" s="180"/>
      <c r="CJ758" s="180"/>
      <c r="CK758" s="180"/>
      <c r="CL758" s="180"/>
      <c r="CM758" s="180"/>
      <c r="CN758" s="180"/>
      <c r="CO758" s="180"/>
      <c r="CP758" s="180"/>
      <c r="CQ758" s="180"/>
      <c r="CR758" s="180"/>
      <c r="CS758" s="180"/>
      <c r="CT758" s="180"/>
      <c r="CU758" s="180"/>
      <c r="CV758" s="180"/>
      <c r="CW758" s="180"/>
      <c r="CX758" s="180"/>
      <c r="CY758" s="180"/>
      <c r="CZ758" s="180"/>
      <c r="DA758" s="180"/>
      <c r="DB758" s="180"/>
    </row>
    <row r="759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80"/>
      <c r="AO759" s="180"/>
      <c r="AP759" s="180"/>
      <c r="AQ759" s="180"/>
      <c r="AR759" s="180"/>
      <c r="AS759" s="180"/>
      <c r="AT759" s="180"/>
      <c r="AU759" s="180"/>
      <c r="AV759" s="180"/>
      <c r="AW759" s="180"/>
      <c r="AX759" s="180"/>
      <c r="AY759" s="180"/>
      <c r="AZ759" s="180"/>
      <c r="BA759" s="180"/>
      <c r="BB759" s="180"/>
      <c r="BC759" s="180"/>
      <c r="BD759" s="180"/>
      <c r="BE759" s="180"/>
      <c r="BF759" s="180"/>
      <c r="BG759" s="180"/>
      <c r="BH759" s="180"/>
      <c r="BI759" s="180"/>
      <c r="BJ759" s="180"/>
      <c r="BK759" s="180"/>
      <c r="BL759" s="180"/>
      <c r="BM759" s="180"/>
      <c r="BN759" s="180"/>
      <c r="BO759" s="180"/>
      <c r="BP759" s="180"/>
      <c r="BQ759" s="180"/>
      <c r="BR759" s="180"/>
      <c r="BS759" s="180"/>
      <c r="BT759" s="180"/>
      <c r="BU759" s="180"/>
      <c r="BV759" s="180"/>
      <c r="BW759" s="180"/>
      <c r="BX759" s="180"/>
      <c r="BY759" s="180"/>
      <c r="BZ759" s="180"/>
      <c r="CA759" s="180"/>
      <c r="CB759" s="180"/>
      <c r="CC759" s="180"/>
      <c r="CD759" s="180"/>
      <c r="CE759" s="180"/>
      <c r="CF759" s="180"/>
      <c r="CG759" s="180"/>
      <c r="CH759" s="180"/>
      <c r="CI759" s="180"/>
      <c r="CJ759" s="180"/>
      <c r="CK759" s="180"/>
      <c r="CL759" s="180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</row>
    <row r="760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  <c r="AG760" s="180"/>
      <c r="AH760" s="180"/>
      <c r="AI760" s="180"/>
      <c r="AJ760" s="180"/>
      <c r="AK760" s="180"/>
      <c r="AL760" s="180"/>
      <c r="AM760" s="180"/>
      <c r="AN760" s="180"/>
      <c r="AO760" s="180"/>
      <c r="AP760" s="180"/>
      <c r="AQ760" s="180"/>
      <c r="AR760" s="180"/>
      <c r="AS760" s="180"/>
      <c r="AT760" s="180"/>
      <c r="AU760" s="180"/>
      <c r="AV760" s="180"/>
      <c r="AW760" s="180"/>
      <c r="AX760" s="180"/>
      <c r="AY760" s="180"/>
      <c r="AZ760" s="180"/>
      <c r="BA760" s="180"/>
      <c r="BB760" s="180"/>
      <c r="BC760" s="180"/>
      <c r="BD760" s="180"/>
      <c r="BE760" s="180"/>
      <c r="BF760" s="180"/>
      <c r="BG760" s="180"/>
      <c r="BH760" s="180"/>
      <c r="BI760" s="180"/>
      <c r="BJ760" s="180"/>
      <c r="BK760" s="180"/>
      <c r="BL760" s="180"/>
      <c r="BM760" s="180"/>
      <c r="BN760" s="180"/>
      <c r="BO760" s="180"/>
      <c r="BP760" s="180"/>
      <c r="BQ760" s="180"/>
      <c r="BR760" s="180"/>
      <c r="BS760" s="180"/>
      <c r="BT760" s="180"/>
      <c r="BU760" s="180"/>
      <c r="BV760" s="180"/>
      <c r="BW760" s="180"/>
      <c r="BX760" s="180"/>
      <c r="BY760" s="180"/>
      <c r="BZ760" s="180"/>
      <c r="CA760" s="180"/>
      <c r="CB760" s="180"/>
      <c r="CC760" s="180"/>
      <c r="CD760" s="180"/>
      <c r="CE760" s="180"/>
      <c r="CF760" s="180"/>
      <c r="CG760" s="180"/>
      <c r="CH760" s="180"/>
      <c r="CI760" s="180"/>
      <c r="CJ760" s="180"/>
      <c r="CK760" s="180"/>
      <c r="CL760" s="180"/>
      <c r="CM760" s="180"/>
      <c r="CN760" s="180"/>
      <c r="CO760" s="180"/>
      <c r="CP760" s="180"/>
      <c r="CQ760" s="180"/>
      <c r="CR760" s="180"/>
      <c r="CS760" s="180"/>
      <c r="CT760" s="180"/>
      <c r="CU760" s="180"/>
      <c r="CV760" s="180"/>
      <c r="CW760" s="180"/>
      <c r="CX760" s="180"/>
      <c r="CY760" s="180"/>
      <c r="CZ760" s="180"/>
      <c r="DA760" s="180"/>
      <c r="DB760" s="180"/>
    </row>
    <row r="761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  <c r="AF761" s="180"/>
      <c r="AG761" s="180"/>
      <c r="AH761" s="180"/>
      <c r="AI761" s="180"/>
      <c r="AJ761" s="180"/>
      <c r="AK761" s="180"/>
      <c r="AL761" s="180"/>
      <c r="AM761" s="180"/>
      <c r="AN761" s="180"/>
      <c r="AO761" s="180"/>
      <c r="AP761" s="180"/>
      <c r="AQ761" s="180"/>
      <c r="AR761" s="180"/>
      <c r="AS761" s="180"/>
      <c r="AT761" s="180"/>
      <c r="AU761" s="180"/>
      <c r="AV761" s="180"/>
      <c r="AW761" s="180"/>
      <c r="AX761" s="180"/>
      <c r="AY761" s="180"/>
      <c r="AZ761" s="180"/>
      <c r="BA761" s="180"/>
      <c r="BB761" s="180"/>
      <c r="BC761" s="180"/>
      <c r="BD761" s="180"/>
      <c r="BE761" s="180"/>
      <c r="BF761" s="180"/>
      <c r="BG761" s="180"/>
      <c r="BH761" s="180"/>
      <c r="BI761" s="180"/>
      <c r="BJ761" s="180"/>
      <c r="BK761" s="180"/>
      <c r="BL761" s="180"/>
      <c r="BM761" s="180"/>
      <c r="BN761" s="180"/>
      <c r="BO761" s="180"/>
      <c r="BP761" s="180"/>
      <c r="BQ761" s="180"/>
      <c r="BR761" s="180"/>
      <c r="BS761" s="180"/>
      <c r="BT761" s="180"/>
      <c r="BU761" s="180"/>
      <c r="BV761" s="180"/>
      <c r="BW761" s="180"/>
      <c r="BX761" s="180"/>
      <c r="BY761" s="180"/>
      <c r="BZ761" s="180"/>
      <c r="CA761" s="180"/>
      <c r="CB761" s="180"/>
      <c r="CC761" s="180"/>
      <c r="CD761" s="180"/>
      <c r="CE761" s="180"/>
      <c r="CF761" s="180"/>
      <c r="CG761" s="180"/>
      <c r="CH761" s="180"/>
      <c r="CI761" s="180"/>
      <c r="CJ761" s="180"/>
      <c r="CK761" s="180"/>
      <c r="CL761" s="180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</row>
    <row r="762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  <c r="AF762" s="180"/>
      <c r="AG762" s="180"/>
      <c r="AH762" s="180"/>
      <c r="AI762" s="180"/>
      <c r="AJ762" s="180"/>
      <c r="AK762" s="180"/>
      <c r="AL762" s="180"/>
      <c r="AM762" s="180"/>
      <c r="AN762" s="180"/>
      <c r="AO762" s="180"/>
      <c r="AP762" s="180"/>
      <c r="AQ762" s="180"/>
      <c r="AR762" s="180"/>
      <c r="AS762" s="180"/>
      <c r="AT762" s="180"/>
      <c r="AU762" s="180"/>
      <c r="AV762" s="180"/>
      <c r="AW762" s="180"/>
      <c r="AX762" s="180"/>
      <c r="AY762" s="180"/>
      <c r="AZ762" s="180"/>
      <c r="BA762" s="180"/>
      <c r="BB762" s="180"/>
      <c r="BC762" s="180"/>
      <c r="BD762" s="180"/>
      <c r="BE762" s="180"/>
      <c r="BF762" s="180"/>
      <c r="BG762" s="180"/>
      <c r="BH762" s="180"/>
      <c r="BI762" s="180"/>
      <c r="BJ762" s="180"/>
      <c r="BK762" s="180"/>
      <c r="BL762" s="180"/>
      <c r="BM762" s="180"/>
      <c r="BN762" s="180"/>
      <c r="BO762" s="180"/>
      <c r="BP762" s="180"/>
      <c r="BQ762" s="180"/>
      <c r="BR762" s="180"/>
      <c r="BS762" s="180"/>
      <c r="BT762" s="180"/>
      <c r="BU762" s="180"/>
      <c r="BV762" s="180"/>
      <c r="BW762" s="180"/>
      <c r="BX762" s="180"/>
      <c r="BY762" s="180"/>
      <c r="BZ762" s="180"/>
      <c r="CA762" s="180"/>
      <c r="CB762" s="180"/>
      <c r="CC762" s="180"/>
      <c r="CD762" s="180"/>
      <c r="CE762" s="180"/>
      <c r="CF762" s="180"/>
      <c r="CG762" s="180"/>
      <c r="CH762" s="180"/>
      <c r="CI762" s="180"/>
      <c r="CJ762" s="180"/>
      <c r="CK762" s="180"/>
      <c r="CL762" s="180"/>
      <c r="CM762" s="180"/>
      <c r="CN762" s="180"/>
      <c r="CO762" s="180"/>
      <c r="CP762" s="180"/>
      <c r="CQ762" s="180"/>
      <c r="CR762" s="180"/>
      <c r="CS762" s="180"/>
      <c r="CT762" s="180"/>
      <c r="CU762" s="180"/>
      <c r="CV762" s="180"/>
      <c r="CW762" s="180"/>
      <c r="CX762" s="180"/>
      <c r="CY762" s="180"/>
      <c r="CZ762" s="180"/>
      <c r="DA762" s="180"/>
      <c r="DB762" s="180"/>
    </row>
    <row r="763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  <c r="K763" s="180"/>
      <c r="L763" s="180"/>
      <c r="M763" s="180"/>
      <c r="N763" s="180"/>
      <c r="O763" s="180"/>
      <c r="P763" s="180"/>
      <c r="Q763" s="180"/>
      <c r="R763" s="180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  <c r="AF763" s="180"/>
      <c r="AG763" s="180"/>
      <c r="AH763" s="180"/>
      <c r="AI763" s="180"/>
      <c r="AJ763" s="180"/>
      <c r="AK763" s="180"/>
      <c r="AL763" s="180"/>
      <c r="AM763" s="180"/>
      <c r="AN763" s="180"/>
      <c r="AO763" s="180"/>
      <c r="AP763" s="180"/>
      <c r="AQ763" s="180"/>
      <c r="AR763" s="180"/>
      <c r="AS763" s="180"/>
      <c r="AT763" s="180"/>
      <c r="AU763" s="180"/>
      <c r="AV763" s="180"/>
      <c r="AW763" s="180"/>
      <c r="AX763" s="180"/>
      <c r="AY763" s="180"/>
      <c r="AZ763" s="180"/>
      <c r="BA763" s="180"/>
      <c r="BB763" s="180"/>
      <c r="BC763" s="180"/>
      <c r="BD763" s="180"/>
      <c r="BE763" s="180"/>
      <c r="BF763" s="180"/>
      <c r="BG763" s="180"/>
      <c r="BH763" s="180"/>
      <c r="BI763" s="180"/>
      <c r="BJ763" s="180"/>
      <c r="BK763" s="180"/>
      <c r="BL763" s="180"/>
      <c r="BM763" s="180"/>
      <c r="BN763" s="180"/>
      <c r="BO763" s="180"/>
      <c r="BP763" s="180"/>
      <c r="BQ763" s="180"/>
      <c r="BR763" s="180"/>
      <c r="BS763" s="180"/>
      <c r="BT763" s="180"/>
      <c r="BU763" s="180"/>
      <c r="BV763" s="180"/>
      <c r="BW763" s="180"/>
      <c r="BX763" s="180"/>
      <c r="BY763" s="180"/>
      <c r="BZ763" s="180"/>
      <c r="CA763" s="180"/>
      <c r="CB763" s="180"/>
      <c r="CC763" s="180"/>
      <c r="CD763" s="180"/>
      <c r="CE763" s="180"/>
      <c r="CF763" s="180"/>
      <c r="CG763" s="180"/>
      <c r="CH763" s="180"/>
      <c r="CI763" s="180"/>
      <c r="CJ763" s="180"/>
      <c r="CK763" s="180"/>
      <c r="CL763" s="180"/>
      <c r="CM763" s="180"/>
      <c r="CN763" s="180"/>
      <c r="CO763" s="180"/>
      <c r="CP763" s="180"/>
      <c r="CQ763" s="180"/>
      <c r="CR763" s="180"/>
      <c r="CS763" s="180"/>
      <c r="CT763" s="180"/>
      <c r="CU763" s="180"/>
      <c r="CV763" s="180"/>
      <c r="CW763" s="180"/>
      <c r="CX763" s="180"/>
      <c r="CY763" s="180"/>
      <c r="CZ763" s="180"/>
      <c r="DA763" s="180"/>
      <c r="DB763" s="180"/>
    </row>
    <row r="764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  <c r="AF764" s="180"/>
      <c r="AG764" s="180"/>
      <c r="AH764" s="180"/>
      <c r="AI764" s="180"/>
      <c r="AJ764" s="180"/>
      <c r="AK764" s="180"/>
      <c r="AL764" s="180"/>
      <c r="AM764" s="180"/>
      <c r="AN764" s="180"/>
      <c r="AO764" s="180"/>
      <c r="AP764" s="180"/>
      <c r="AQ764" s="180"/>
      <c r="AR764" s="180"/>
      <c r="AS764" s="180"/>
      <c r="AT764" s="180"/>
      <c r="AU764" s="180"/>
      <c r="AV764" s="180"/>
      <c r="AW764" s="180"/>
      <c r="AX764" s="180"/>
      <c r="AY764" s="180"/>
      <c r="AZ764" s="180"/>
      <c r="BA764" s="180"/>
      <c r="BB764" s="180"/>
      <c r="BC764" s="180"/>
      <c r="BD764" s="180"/>
      <c r="BE764" s="180"/>
      <c r="BF764" s="180"/>
      <c r="BG764" s="180"/>
      <c r="BH764" s="180"/>
      <c r="BI764" s="180"/>
      <c r="BJ764" s="180"/>
      <c r="BK764" s="180"/>
      <c r="BL764" s="180"/>
      <c r="BM764" s="180"/>
      <c r="BN764" s="180"/>
      <c r="BO764" s="180"/>
      <c r="BP764" s="180"/>
      <c r="BQ764" s="180"/>
      <c r="BR764" s="180"/>
      <c r="BS764" s="180"/>
      <c r="BT764" s="180"/>
      <c r="BU764" s="180"/>
      <c r="BV764" s="180"/>
      <c r="BW764" s="180"/>
      <c r="BX764" s="180"/>
      <c r="BY764" s="180"/>
      <c r="BZ764" s="180"/>
      <c r="CA764" s="180"/>
      <c r="CB764" s="180"/>
      <c r="CC764" s="180"/>
      <c r="CD764" s="180"/>
      <c r="CE764" s="180"/>
      <c r="CF764" s="180"/>
      <c r="CG764" s="180"/>
      <c r="CH764" s="180"/>
      <c r="CI764" s="180"/>
      <c r="CJ764" s="180"/>
      <c r="CK764" s="180"/>
      <c r="CL764" s="180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</row>
    <row r="765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  <c r="AF765" s="180"/>
      <c r="AG765" s="180"/>
      <c r="AH765" s="180"/>
      <c r="AI765" s="180"/>
      <c r="AJ765" s="180"/>
      <c r="AK765" s="180"/>
      <c r="AL765" s="180"/>
      <c r="AM765" s="180"/>
      <c r="AN765" s="180"/>
      <c r="AO765" s="180"/>
      <c r="AP765" s="180"/>
      <c r="AQ765" s="180"/>
      <c r="AR765" s="180"/>
      <c r="AS765" s="180"/>
      <c r="AT765" s="180"/>
      <c r="AU765" s="180"/>
      <c r="AV765" s="180"/>
      <c r="AW765" s="180"/>
      <c r="AX765" s="180"/>
      <c r="AY765" s="180"/>
      <c r="AZ765" s="180"/>
      <c r="BA765" s="180"/>
      <c r="BB765" s="180"/>
      <c r="BC765" s="180"/>
      <c r="BD765" s="180"/>
      <c r="BE765" s="180"/>
      <c r="BF765" s="180"/>
      <c r="BG765" s="180"/>
      <c r="BH765" s="180"/>
      <c r="BI765" s="180"/>
      <c r="BJ765" s="180"/>
      <c r="BK765" s="180"/>
      <c r="BL765" s="180"/>
      <c r="BM765" s="180"/>
      <c r="BN765" s="180"/>
      <c r="BO765" s="180"/>
      <c r="BP765" s="180"/>
      <c r="BQ765" s="180"/>
      <c r="BR765" s="180"/>
      <c r="BS765" s="180"/>
      <c r="BT765" s="180"/>
      <c r="BU765" s="180"/>
      <c r="BV765" s="180"/>
      <c r="BW765" s="180"/>
      <c r="BX765" s="180"/>
      <c r="BY765" s="180"/>
      <c r="BZ765" s="180"/>
      <c r="CA765" s="180"/>
      <c r="CB765" s="180"/>
      <c r="CC765" s="180"/>
      <c r="CD765" s="180"/>
      <c r="CE765" s="180"/>
      <c r="CF765" s="180"/>
      <c r="CG765" s="180"/>
      <c r="CH765" s="180"/>
      <c r="CI765" s="180"/>
      <c r="CJ765" s="180"/>
      <c r="CK765" s="180"/>
      <c r="CL765" s="180"/>
      <c r="CM765" s="180"/>
      <c r="CN765" s="180"/>
      <c r="CO765" s="180"/>
      <c r="CP765" s="180"/>
      <c r="CQ765" s="180"/>
      <c r="CR765" s="180"/>
      <c r="CS765" s="180"/>
      <c r="CT765" s="180"/>
      <c r="CU765" s="180"/>
      <c r="CV765" s="180"/>
      <c r="CW765" s="180"/>
      <c r="CX765" s="180"/>
      <c r="CY765" s="180"/>
      <c r="CZ765" s="180"/>
      <c r="DA765" s="180"/>
      <c r="DB765" s="180"/>
    </row>
    <row r="766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  <c r="AF766" s="180"/>
      <c r="AG766" s="180"/>
      <c r="AH766" s="180"/>
      <c r="AI766" s="180"/>
      <c r="AJ766" s="180"/>
      <c r="AK766" s="180"/>
      <c r="AL766" s="180"/>
      <c r="AM766" s="180"/>
      <c r="AN766" s="180"/>
      <c r="AO766" s="180"/>
      <c r="AP766" s="180"/>
      <c r="AQ766" s="180"/>
      <c r="AR766" s="180"/>
      <c r="AS766" s="180"/>
      <c r="AT766" s="180"/>
      <c r="AU766" s="180"/>
      <c r="AV766" s="180"/>
      <c r="AW766" s="180"/>
      <c r="AX766" s="180"/>
      <c r="AY766" s="180"/>
      <c r="AZ766" s="180"/>
      <c r="BA766" s="180"/>
      <c r="BB766" s="180"/>
      <c r="BC766" s="180"/>
      <c r="BD766" s="180"/>
      <c r="BE766" s="180"/>
      <c r="BF766" s="180"/>
      <c r="BG766" s="180"/>
      <c r="BH766" s="180"/>
      <c r="BI766" s="180"/>
      <c r="BJ766" s="180"/>
      <c r="BK766" s="180"/>
      <c r="BL766" s="180"/>
      <c r="BM766" s="180"/>
      <c r="BN766" s="180"/>
      <c r="BO766" s="180"/>
      <c r="BP766" s="180"/>
      <c r="BQ766" s="180"/>
      <c r="BR766" s="180"/>
      <c r="BS766" s="180"/>
      <c r="BT766" s="180"/>
      <c r="BU766" s="180"/>
      <c r="BV766" s="180"/>
      <c r="BW766" s="180"/>
      <c r="BX766" s="180"/>
      <c r="BY766" s="180"/>
      <c r="BZ766" s="180"/>
      <c r="CA766" s="180"/>
      <c r="CB766" s="180"/>
      <c r="CC766" s="180"/>
      <c r="CD766" s="180"/>
      <c r="CE766" s="180"/>
      <c r="CF766" s="180"/>
      <c r="CG766" s="180"/>
      <c r="CH766" s="180"/>
      <c r="CI766" s="180"/>
      <c r="CJ766" s="180"/>
      <c r="CK766" s="180"/>
      <c r="CL766" s="180"/>
      <c r="CM766" s="180"/>
      <c r="CN766" s="180"/>
      <c r="CO766" s="180"/>
      <c r="CP766" s="180"/>
      <c r="CQ766" s="180"/>
      <c r="CR766" s="180"/>
      <c r="CS766" s="180"/>
      <c r="CT766" s="180"/>
      <c r="CU766" s="180"/>
      <c r="CV766" s="180"/>
      <c r="CW766" s="180"/>
      <c r="CX766" s="180"/>
      <c r="CY766" s="180"/>
      <c r="CZ766" s="180"/>
      <c r="DA766" s="180"/>
      <c r="DB766" s="180"/>
    </row>
    <row r="767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  <c r="AF767" s="180"/>
      <c r="AG767" s="180"/>
      <c r="AH767" s="180"/>
      <c r="AI767" s="180"/>
      <c r="AJ767" s="180"/>
      <c r="AK767" s="180"/>
      <c r="AL767" s="180"/>
      <c r="AM767" s="180"/>
      <c r="AN767" s="180"/>
      <c r="AO767" s="180"/>
      <c r="AP767" s="180"/>
      <c r="AQ767" s="180"/>
      <c r="AR767" s="180"/>
      <c r="AS767" s="180"/>
      <c r="AT767" s="180"/>
      <c r="AU767" s="180"/>
      <c r="AV767" s="180"/>
      <c r="AW767" s="180"/>
      <c r="AX767" s="180"/>
      <c r="AY767" s="180"/>
      <c r="AZ767" s="180"/>
      <c r="BA767" s="180"/>
      <c r="BB767" s="180"/>
      <c r="BC767" s="180"/>
      <c r="BD767" s="180"/>
      <c r="BE767" s="180"/>
      <c r="BF767" s="180"/>
      <c r="BG767" s="180"/>
      <c r="BH767" s="180"/>
      <c r="BI767" s="180"/>
      <c r="BJ767" s="180"/>
      <c r="BK767" s="180"/>
      <c r="BL767" s="180"/>
      <c r="BM767" s="180"/>
      <c r="BN767" s="180"/>
      <c r="BO767" s="180"/>
      <c r="BP767" s="180"/>
      <c r="BQ767" s="180"/>
      <c r="BR767" s="180"/>
      <c r="BS767" s="180"/>
      <c r="BT767" s="180"/>
      <c r="BU767" s="180"/>
      <c r="BV767" s="180"/>
      <c r="BW767" s="180"/>
      <c r="BX767" s="180"/>
      <c r="BY767" s="180"/>
      <c r="BZ767" s="180"/>
      <c r="CA767" s="180"/>
      <c r="CB767" s="180"/>
      <c r="CC767" s="180"/>
      <c r="CD767" s="180"/>
      <c r="CE767" s="180"/>
      <c r="CF767" s="180"/>
      <c r="CG767" s="180"/>
      <c r="CH767" s="180"/>
      <c r="CI767" s="180"/>
      <c r="CJ767" s="180"/>
      <c r="CK767" s="180"/>
      <c r="CL767" s="180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</row>
    <row r="768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0"/>
      <c r="AG768" s="180"/>
      <c r="AH768" s="180"/>
      <c r="AI768" s="180"/>
      <c r="AJ768" s="180"/>
      <c r="AK768" s="180"/>
      <c r="AL768" s="180"/>
      <c r="AM768" s="180"/>
      <c r="AN768" s="180"/>
      <c r="AO768" s="180"/>
      <c r="AP768" s="180"/>
      <c r="AQ768" s="180"/>
      <c r="AR768" s="180"/>
      <c r="AS768" s="180"/>
      <c r="AT768" s="180"/>
      <c r="AU768" s="180"/>
      <c r="AV768" s="180"/>
      <c r="AW768" s="180"/>
      <c r="AX768" s="180"/>
      <c r="AY768" s="180"/>
      <c r="AZ768" s="180"/>
      <c r="BA768" s="180"/>
      <c r="BB768" s="180"/>
      <c r="BC768" s="180"/>
      <c r="BD768" s="180"/>
      <c r="BE768" s="180"/>
      <c r="BF768" s="180"/>
      <c r="BG768" s="180"/>
      <c r="BH768" s="180"/>
      <c r="BI768" s="180"/>
      <c r="BJ768" s="180"/>
      <c r="BK768" s="180"/>
      <c r="BL768" s="180"/>
      <c r="BM768" s="180"/>
      <c r="BN768" s="180"/>
      <c r="BO768" s="180"/>
      <c r="BP768" s="180"/>
      <c r="BQ768" s="180"/>
      <c r="BR768" s="180"/>
      <c r="BS768" s="180"/>
      <c r="BT768" s="180"/>
      <c r="BU768" s="180"/>
      <c r="BV768" s="180"/>
      <c r="BW768" s="180"/>
      <c r="BX768" s="180"/>
      <c r="BY768" s="180"/>
      <c r="BZ768" s="180"/>
      <c r="CA768" s="180"/>
      <c r="CB768" s="180"/>
      <c r="CC768" s="180"/>
      <c r="CD768" s="180"/>
      <c r="CE768" s="180"/>
      <c r="CF768" s="180"/>
      <c r="CG768" s="180"/>
      <c r="CH768" s="180"/>
      <c r="CI768" s="180"/>
      <c r="CJ768" s="180"/>
      <c r="CK768" s="180"/>
      <c r="CL768" s="180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</row>
    <row r="769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0"/>
      <c r="AG769" s="180"/>
      <c r="AH769" s="180"/>
      <c r="AI769" s="180"/>
      <c r="AJ769" s="180"/>
      <c r="AK769" s="180"/>
      <c r="AL769" s="180"/>
      <c r="AM769" s="180"/>
      <c r="AN769" s="180"/>
      <c r="AO769" s="180"/>
      <c r="AP769" s="180"/>
      <c r="AQ769" s="180"/>
      <c r="AR769" s="180"/>
      <c r="AS769" s="180"/>
      <c r="AT769" s="180"/>
      <c r="AU769" s="180"/>
      <c r="AV769" s="180"/>
      <c r="AW769" s="180"/>
      <c r="AX769" s="180"/>
      <c r="AY769" s="180"/>
      <c r="AZ769" s="180"/>
      <c r="BA769" s="180"/>
      <c r="BB769" s="180"/>
      <c r="BC769" s="180"/>
      <c r="BD769" s="180"/>
      <c r="BE769" s="180"/>
      <c r="BF769" s="180"/>
      <c r="BG769" s="180"/>
      <c r="BH769" s="180"/>
      <c r="BI769" s="180"/>
      <c r="BJ769" s="180"/>
      <c r="BK769" s="180"/>
      <c r="BL769" s="180"/>
      <c r="BM769" s="180"/>
      <c r="BN769" s="180"/>
      <c r="BO769" s="180"/>
      <c r="BP769" s="180"/>
      <c r="BQ769" s="180"/>
      <c r="BR769" s="180"/>
      <c r="BS769" s="180"/>
      <c r="BT769" s="180"/>
      <c r="BU769" s="180"/>
      <c r="BV769" s="180"/>
      <c r="BW769" s="180"/>
      <c r="BX769" s="180"/>
      <c r="BY769" s="180"/>
      <c r="BZ769" s="180"/>
      <c r="CA769" s="180"/>
      <c r="CB769" s="180"/>
      <c r="CC769" s="180"/>
      <c r="CD769" s="180"/>
      <c r="CE769" s="180"/>
      <c r="CF769" s="180"/>
      <c r="CG769" s="180"/>
      <c r="CH769" s="180"/>
      <c r="CI769" s="180"/>
      <c r="CJ769" s="180"/>
      <c r="CK769" s="180"/>
      <c r="CL769" s="180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</row>
    <row r="770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0"/>
      <c r="AN770" s="180"/>
      <c r="AO770" s="180"/>
      <c r="AP770" s="180"/>
      <c r="AQ770" s="180"/>
      <c r="AR770" s="180"/>
      <c r="AS770" s="180"/>
      <c r="AT770" s="180"/>
      <c r="AU770" s="180"/>
      <c r="AV770" s="180"/>
      <c r="AW770" s="180"/>
      <c r="AX770" s="180"/>
      <c r="AY770" s="180"/>
      <c r="AZ770" s="180"/>
      <c r="BA770" s="180"/>
      <c r="BB770" s="180"/>
      <c r="BC770" s="180"/>
      <c r="BD770" s="180"/>
      <c r="BE770" s="180"/>
      <c r="BF770" s="180"/>
      <c r="BG770" s="180"/>
      <c r="BH770" s="180"/>
      <c r="BI770" s="180"/>
      <c r="BJ770" s="180"/>
      <c r="BK770" s="180"/>
      <c r="BL770" s="180"/>
      <c r="BM770" s="180"/>
      <c r="BN770" s="180"/>
      <c r="BO770" s="180"/>
      <c r="BP770" s="180"/>
      <c r="BQ770" s="180"/>
      <c r="BR770" s="180"/>
      <c r="BS770" s="180"/>
      <c r="BT770" s="180"/>
      <c r="BU770" s="180"/>
      <c r="BV770" s="180"/>
      <c r="BW770" s="180"/>
      <c r="BX770" s="180"/>
      <c r="BY770" s="180"/>
      <c r="BZ770" s="180"/>
      <c r="CA770" s="180"/>
      <c r="CB770" s="180"/>
      <c r="CC770" s="180"/>
      <c r="CD770" s="180"/>
      <c r="CE770" s="180"/>
      <c r="CF770" s="180"/>
      <c r="CG770" s="180"/>
      <c r="CH770" s="180"/>
      <c r="CI770" s="180"/>
      <c r="CJ770" s="180"/>
      <c r="CK770" s="180"/>
      <c r="CL770" s="180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</row>
    <row r="771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  <c r="AF771" s="180"/>
      <c r="AG771" s="180"/>
      <c r="AH771" s="180"/>
      <c r="AI771" s="180"/>
      <c r="AJ771" s="180"/>
      <c r="AK771" s="180"/>
      <c r="AL771" s="180"/>
      <c r="AM771" s="180"/>
      <c r="AN771" s="180"/>
      <c r="AO771" s="180"/>
      <c r="AP771" s="180"/>
      <c r="AQ771" s="180"/>
      <c r="AR771" s="180"/>
      <c r="AS771" s="180"/>
      <c r="AT771" s="180"/>
      <c r="AU771" s="180"/>
      <c r="AV771" s="180"/>
      <c r="AW771" s="180"/>
      <c r="AX771" s="180"/>
      <c r="AY771" s="180"/>
      <c r="AZ771" s="180"/>
      <c r="BA771" s="180"/>
      <c r="BB771" s="180"/>
      <c r="BC771" s="180"/>
      <c r="BD771" s="180"/>
      <c r="BE771" s="180"/>
      <c r="BF771" s="180"/>
      <c r="BG771" s="180"/>
      <c r="BH771" s="180"/>
      <c r="BI771" s="180"/>
      <c r="BJ771" s="180"/>
      <c r="BK771" s="180"/>
      <c r="BL771" s="180"/>
      <c r="BM771" s="180"/>
      <c r="BN771" s="180"/>
      <c r="BO771" s="180"/>
      <c r="BP771" s="180"/>
      <c r="BQ771" s="180"/>
      <c r="BR771" s="180"/>
      <c r="BS771" s="180"/>
      <c r="BT771" s="180"/>
      <c r="BU771" s="180"/>
      <c r="BV771" s="180"/>
      <c r="BW771" s="180"/>
      <c r="BX771" s="180"/>
      <c r="BY771" s="180"/>
      <c r="BZ771" s="180"/>
      <c r="CA771" s="180"/>
      <c r="CB771" s="180"/>
      <c r="CC771" s="180"/>
      <c r="CD771" s="180"/>
      <c r="CE771" s="180"/>
      <c r="CF771" s="180"/>
      <c r="CG771" s="180"/>
      <c r="CH771" s="180"/>
      <c r="CI771" s="180"/>
      <c r="CJ771" s="180"/>
      <c r="CK771" s="180"/>
      <c r="CL771" s="180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</row>
    <row r="772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  <c r="AF772" s="180"/>
      <c r="AG772" s="180"/>
      <c r="AH772" s="180"/>
      <c r="AI772" s="180"/>
      <c r="AJ772" s="180"/>
      <c r="AK772" s="180"/>
      <c r="AL772" s="180"/>
      <c r="AM772" s="180"/>
      <c r="AN772" s="180"/>
      <c r="AO772" s="180"/>
      <c r="AP772" s="180"/>
      <c r="AQ772" s="180"/>
      <c r="AR772" s="180"/>
      <c r="AS772" s="180"/>
      <c r="AT772" s="180"/>
      <c r="AU772" s="180"/>
      <c r="AV772" s="180"/>
      <c r="AW772" s="180"/>
      <c r="AX772" s="180"/>
      <c r="AY772" s="180"/>
      <c r="AZ772" s="180"/>
      <c r="BA772" s="180"/>
      <c r="BB772" s="180"/>
      <c r="BC772" s="180"/>
      <c r="BD772" s="180"/>
      <c r="BE772" s="180"/>
      <c r="BF772" s="180"/>
      <c r="BG772" s="180"/>
      <c r="BH772" s="180"/>
      <c r="BI772" s="180"/>
      <c r="BJ772" s="180"/>
      <c r="BK772" s="180"/>
      <c r="BL772" s="180"/>
      <c r="BM772" s="180"/>
      <c r="BN772" s="180"/>
      <c r="BO772" s="180"/>
      <c r="BP772" s="180"/>
      <c r="BQ772" s="180"/>
      <c r="BR772" s="180"/>
      <c r="BS772" s="180"/>
      <c r="BT772" s="180"/>
      <c r="BU772" s="180"/>
      <c r="BV772" s="180"/>
      <c r="BW772" s="180"/>
      <c r="BX772" s="180"/>
      <c r="BY772" s="180"/>
      <c r="BZ772" s="180"/>
      <c r="CA772" s="180"/>
      <c r="CB772" s="180"/>
      <c r="CC772" s="180"/>
      <c r="CD772" s="180"/>
      <c r="CE772" s="180"/>
      <c r="CF772" s="180"/>
      <c r="CG772" s="180"/>
      <c r="CH772" s="180"/>
      <c r="CI772" s="180"/>
      <c r="CJ772" s="180"/>
      <c r="CK772" s="180"/>
      <c r="CL772" s="180"/>
      <c r="CM772" s="180"/>
      <c r="CN772" s="180"/>
      <c r="CO772" s="180"/>
      <c r="CP772" s="180"/>
      <c r="CQ772" s="180"/>
      <c r="CR772" s="180"/>
      <c r="CS772" s="180"/>
      <c r="CT772" s="180"/>
      <c r="CU772" s="180"/>
      <c r="CV772" s="180"/>
      <c r="CW772" s="180"/>
      <c r="CX772" s="180"/>
      <c r="CY772" s="180"/>
      <c r="CZ772" s="180"/>
      <c r="DA772" s="180"/>
      <c r="DB772" s="180"/>
    </row>
    <row r="773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  <c r="AF773" s="180"/>
      <c r="AG773" s="180"/>
      <c r="AH773" s="180"/>
      <c r="AI773" s="180"/>
      <c r="AJ773" s="180"/>
      <c r="AK773" s="180"/>
      <c r="AL773" s="180"/>
      <c r="AM773" s="180"/>
      <c r="AN773" s="180"/>
      <c r="AO773" s="180"/>
      <c r="AP773" s="180"/>
      <c r="AQ773" s="180"/>
      <c r="AR773" s="180"/>
      <c r="AS773" s="180"/>
      <c r="AT773" s="180"/>
      <c r="AU773" s="180"/>
      <c r="AV773" s="180"/>
      <c r="AW773" s="180"/>
      <c r="AX773" s="180"/>
      <c r="AY773" s="180"/>
      <c r="AZ773" s="180"/>
      <c r="BA773" s="180"/>
      <c r="BB773" s="180"/>
      <c r="BC773" s="180"/>
      <c r="BD773" s="180"/>
      <c r="BE773" s="180"/>
      <c r="BF773" s="180"/>
      <c r="BG773" s="180"/>
      <c r="BH773" s="180"/>
      <c r="BI773" s="180"/>
      <c r="BJ773" s="180"/>
      <c r="BK773" s="180"/>
      <c r="BL773" s="180"/>
      <c r="BM773" s="180"/>
      <c r="BN773" s="180"/>
      <c r="BO773" s="180"/>
      <c r="BP773" s="180"/>
      <c r="BQ773" s="180"/>
      <c r="BR773" s="180"/>
      <c r="BS773" s="180"/>
      <c r="BT773" s="180"/>
      <c r="BU773" s="180"/>
      <c r="BV773" s="180"/>
      <c r="BW773" s="180"/>
      <c r="BX773" s="180"/>
      <c r="BY773" s="180"/>
      <c r="BZ773" s="180"/>
      <c r="CA773" s="180"/>
      <c r="CB773" s="180"/>
      <c r="CC773" s="180"/>
      <c r="CD773" s="180"/>
      <c r="CE773" s="180"/>
      <c r="CF773" s="180"/>
      <c r="CG773" s="180"/>
      <c r="CH773" s="180"/>
      <c r="CI773" s="180"/>
      <c r="CJ773" s="180"/>
      <c r="CK773" s="180"/>
      <c r="CL773" s="180"/>
      <c r="CM773" s="180"/>
      <c r="CN773" s="180"/>
      <c r="CO773" s="180"/>
      <c r="CP773" s="180"/>
      <c r="CQ773" s="180"/>
      <c r="CR773" s="180"/>
      <c r="CS773" s="180"/>
      <c r="CT773" s="180"/>
      <c r="CU773" s="180"/>
      <c r="CV773" s="180"/>
      <c r="CW773" s="180"/>
      <c r="CX773" s="180"/>
      <c r="CY773" s="180"/>
      <c r="CZ773" s="180"/>
      <c r="DA773" s="180"/>
      <c r="DB773" s="180"/>
    </row>
    <row r="774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  <c r="AF774" s="180"/>
      <c r="AG774" s="180"/>
      <c r="AH774" s="180"/>
      <c r="AI774" s="180"/>
      <c r="AJ774" s="180"/>
      <c r="AK774" s="180"/>
      <c r="AL774" s="180"/>
      <c r="AM774" s="180"/>
      <c r="AN774" s="180"/>
      <c r="AO774" s="180"/>
      <c r="AP774" s="180"/>
      <c r="AQ774" s="180"/>
      <c r="AR774" s="180"/>
      <c r="AS774" s="180"/>
      <c r="AT774" s="180"/>
      <c r="AU774" s="180"/>
      <c r="AV774" s="180"/>
      <c r="AW774" s="180"/>
      <c r="AX774" s="180"/>
      <c r="AY774" s="180"/>
      <c r="AZ774" s="180"/>
      <c r="BA774" s="180"/>
      <c r="BB774" s="180"/>
      <c r="BC774" s="180"/>
      <c r="BD774" s="180"/>
      <c r="BE774" s="180"/>
      <c r="BF774" s="180"/>
      <c r="BG774" s="180"/>
      <c r="BH774" s="180"/>
      <c r="BI774" s="180"/>
      <c r="BJ774" s="180"/>
      <c r="BK774" s="180"/>
      <c r="BL774" s="180"/>
      <c r="BM774" s="180"/>
      <c r="BN774" s="180"/>
      <c r="BO774" s="180"/>
      <c r="BP774" s="180"/>
      <c r="BQ774" s="180"/>
      <c r="BR774" s="180"/>
      <c r="BS774" s="180"/>
      <c r="BT774" s="180"/>
      <c r="BU774" s="180"/>
      <c r="BV774" s="180"/>
      <c r="BW774" s="180"/>
      <c r="BX774" s="180"/>
      <c r="BY774" s="180"/>
      <c r="BZ774" s="180"/>
      <c r="CA774" s="180"/>
      <c r="CB774" s="180"/>
      <c r="CC774" s="180"/>
      <c r="CD774" s="180"/>
      <c r="CE774" s="180"/>
      <c r="CF774" s="180"/>
      <c r="CG774" s="180"/>
      <c r="CH774" s="180"/>
      <c r="CI774" s="180"/>
      <c r="CJ774" s="180"/>
      <c r="CK774" s="180"/>
      <c r="CL774" s="180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</row>
    <row r="775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  <c r="AF775" s="180"/>
      <c r="AG775" s="180"/>
      <c r="AH775" s="180"/>
      <c r="AI775" s="180"/>
      <c r="AJ775" s="180"/>
      <c r="AK775" s="180"/>
      <c r="AL775" s="180"/>
      <c r="AM775" s="180"/>
      <c r="AN775" s="180"/>
      <c r="AO775" s="180"/>
      <c r="AP775" s="180"/>
      <c r="AQ775" s="180"/>
      <c r="AR775" s="180"/>
      <c r="AS775" s="180"/>
      <c r="AT775" s="180"/>
      <c r="AU775" s="180"/>
      <c r="AV775" s="180"/>
      <c r="AW775" s="180"/>
      <c r="AX775" s="180"/>
      <c r="AY775" s="180"/>
      <c r="AZ775" s="180"/>
      <c r="BA775" s="180"/>
      <c r="BB775" s="180"/>
      <c r="BC775" s="180"/>
      <c r="BD775" s="180"/>
      <c r="BE775" s="180"/>
      <c r="BF775" s="180"/>
      <c r="BG775" s="180"/>
      <c r="BH775" s="180"/>
      <c r="BI775" s="180"/>
      <c r="BJ775" s="180"/>
      <c r="BK775" s="180"/>
      <c r="BL775" s="180"/>
      <c r="BM775" s="180"/>
      <c r="BN775" s="180"/>
      <c r="BO775" s="180"/>
      <c r="BP775" s="180"/>
      <c r="BQ775" s="180"/>
      <c r="BR775" s="180"/>
      <c r="BS775" s="180"/>
      <c r="BT775" s="180"/>
      <c r="BU775" s="180"/>
      <c r="BV775" s="180"/>
      <c r="BW775" s="180"/>
      <c r="BX775" s="180"/>
      <c r="BY775" s="180"/>
      <c r="BZ775" s="180"/>
      <c r="CA775" s="180"/>
      <c r="CB775" s="180"/>
      <c r="CC775" s="180"/>
      <c r="CD775" s="180"/>
      <c r="CE775" s="180"/>
      <c r="CF775" s="180"/>
      <c r="CG775" s="180"/>
      <c r="CH775" s="180"/>
      <c r="CI775" s="180"/>
      <c r="CJ775" s="180"/>
      <c r="CK775" s="180"/>
      <c r="CL775" s="180"/>
      <c r="CM775" s="180"/>
      <c r="CN775" s="180"/>
      <c r="CO775" s="180"/>
      <c r="CP775" s="180"/>
      <c r="CQ775" s="180"/>
      <c r="CR775" s="180"/>
      <c r="CS775" s="180"/>
      <c r="CT775" s="180"/>
      <c r="CU775" s="180"/>
      <c r="CV775" s="180"/>
      <c r="CW775" s="180"/>
      <c r="CX775" s="180"/>
      <c r="CY775" s="180"/>
      <c r="CZ775" s="180"/>
      <c r="DA775" s="180"/>
      <c r="DB775" s="180"/>
    </row>
    <row r="776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0"/>
      <c r="AG776" s="180"/>
      <c r="AH776" s="180"/>
      <c r="AI776" s="180"/>
      <c r="AJ776" s="180"/>
      <c r="AK776" s="180"/>
      <c r="AL776" s="180"/>
      <c r="AM776" s="180"/>
      <c r="AN776" s="180"/>
      <c r="AO776" s="180"/>
      <c r="AP776" s="180"/>
      <c r="AQ776" s="180"/>
      <c r="AR776" s="180"/>
      <c r="AS776" s="180"/>
      <c r="AT776" s="180"/>
      <c r="AU776" s="180"/>
      <c r="AV776" s="180"/>
      <c r="AW776" s="180"/>
      <c r="AX776" s="180"/>
      <c r="AY776" s="180"/>
      <c r="AZ776" s="180"/>
      <c r="BA776" s="180"/>
      <c r="BB776" s="180"/>
      <c r="BC776" s="180"/>
      <c r="BD776" s="180"/>
      <c r="BE776" s="180"/>
      <c r="BF776" s="180"/>
      <c r="BG776" s="180"/>
      <c r="BH776" s="180"/>
      <c r="BI776" s="180"/>
      <c r="BJ776" s="180"/>
      <c r="BK776" s="180"/>
      <c r="BL776" s="180"/>
      <c r="BM776" s="180"/>
      <c r="BN776" s="180"/>
      <c r="BO776" s="180"/>
      <c r="BP776" s="180"/>
      <c r="BQ776" s="180"/>
      <c r="BR776" s="180"/>
      <c r="BS776" s="180"/>
      <c r="BT776" s="180"/>
      <c r="BU776" s="180"/>
      <c r="BV776" s="180"/>
      <c r="BW776" s="180"/>
      <c r="BX776" s="180"/>
      <c r="BY776" s="180"/>
      <c r="BZ776" s="180"/>
      <c r="CA776" s="180"/>
      <c r="CB776" s="180"/>
      <c r="CC776" s="180"/>
      <c r="CD776" s="180"/>
      <c r="CE776" s="180"/>
      <c r="CF776" s="180"/>
      <c r="CG776" s="180"/>
      <c r="CH776" s="180"/>
      <c r="CI776" s="180"/>
      <c r="CJ776" s="180"/>
      <c r="CK776" s="180"/>
      <c r="CL776" s="180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</row>
    <row r="777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0"/>
      <c r="AG777" s="180"/>
      <c r="AH777" s="180"/>
      <c r="AI777" s="180"/>
      <c r="AJ777" s="180"/>
      <c r="AK777" s="180"/>
      <c r="AL777" s="180"/>
      <c r="AM777" s="180"/>
      <c r="AN777" s="180"/>
      <c r="AO777" s="180"/>
      <c r="AP777" s="180"/>
      <c r="AQ777" s="180"/>
      <c r="AR777" s="180"/>
      <c r="AS777" s="180"/>
      <c r="AT777" s="180"/>
      <c r="AU777" s="180"/>
      <c r="AV777" s="180"/>
      <c r="AW777" s="180"/>
      <c r="AX777" s="180"/>
      <c r="AY777" s="180"/>
      <c r="AZ777" s="180"/>
      <c r="BA777" s="180"/>
      <c r="BB777" s="180"/>
      <c r="BC777" s="180"/>
      <c r="BD777" s="180"/>
      <c r="BE777" s="180"/>
      <c r="BF777" s="180"/>
      <c r="BG777" s="180"/>
      <c r="BH777" s="180"/>
      <c r="BI777" s="180"/>
      <c r="BJ777" s="180"/>
      <c r="BK777" s="180"/>
      <c r="BL777" s="180"/>
      <c r="BM777" s="180"/>
      <c r="BN777" s="180"/>
      <c r="BO777" s="180"/>
      <c r="BP777" s="180"/>
      <c r="BQ777" s="180"/>
      <c r="BR777" s="180"/>
      <c r="BS777" s="180"/>
      <c r="BT777" s="180"/>
      <c r="BU777" s="180"/>
      <c r="BV777" s="180"/>
      <c r="BW777" s="180"/>
      <c r="BX777" s="180"/>
      <c r="BY777" s="180"/>
      <c r="BZ777" s="180"/>
      <c r="CA777" s="180"/>
      <c r="CB777" s="180"/>
      <c r="CC777" s="180"/>
      <c r="CD777" s="180"/>
      <c r="CE777" s="180"/>
      <c r="CF777" s="180"/>
      <c r="CG777" s="180"/>
      <c r="CH777" s="180"/>
      <c r="CI777" s="180"/>
      <c r="CJ777" s="180"/>
      <c r="CK777" s="180"/>
      <c r="CL777" s="180"/>
      <c r="CM777" s="180"/>
      <c r="CN777" s="180"/>
      <c r="CO777" s="180"/>
      <c r="CP777" s="180"/>
      <c r="CQ777" s="180"/>
      <c r="CR777" s="180"/>
      <c r="CS777" s="180"/>
      <c r="CT777" s="180"/>
      <c r="CU777" s="180"/>
      <c r="CV777" s="180"/>
      <c r="CW777" s="180"/>
      <c r="CX777" s="180"/>
      <c r="CY777" s="180"/>
      <c r="CZ777" s="180"/>
      <c r="DA777" s="180"/>
      <c r="DB777" s="180"/>
    </row>
    <row r="778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  <c r="AF778" s="180"/>
      <c r="AG778" s="180"/>
      <c r="AH778" s="180"/>
      <c r="AI778" s="180"/>
      <c r="AJ778" s="180"/>
      <c r="AK778" s="180"/>
      <c r="AL778" s="180"/>
      <c r="AM778" s="180"/>
      <c r="AN778" s="180"/>
      <c r="AO778" s="180"/>
      <c r="AP778" s="180"/>
      <c r="AQ778" s="180"/>
      <c r="AR778" s="180"/>
      <c r="AS778" s="180"/>
      <c r="AT778" s="180"/>
      <c r="AU778" s="180"/>
      <c r="AV778" s="180"/>
      <c r="AW778" s="180"/>
      <c r="AX778" s="180"/>
      <c r="AY778" s="180"/>
      <c r="AZ778" s="180"/>
      <c r="BA778" s="180"/>
      <c r="BB778" s="180"/>
      <c r="BC778" s="180"/>
      <c r="BD778" s="180"/>
      <c r="BE778" s="180"/>
      <c r="BF778" s="180"/>
      <c r="BG778" s="180"/>
      <c r="BH778" s="180"/>
      <c r="BI778" s="180"/>
      <c r="BJ778" s="180"/>
      <c r="BK778" s="180"/>
      <c r="BL778" s="180"/>
      <c r="BM778" s="180"/>
      <c r="BN778" s="180"/>
      <c r="BO778" s="180"/>
      <c r="BP778" s="180"/>
      <c r="BQ778" s="180"/>
      <c r="BR778" s="180"/>
      <c r="BS778" s="180"/>
      <c r="BT778" s="180"/>
      <c r="BU778" s="180"/>
      <c r="BV778" s="180"/>
      <c r="BW778" s="180"/>
      <c r="BX778" s="180"/>
      <c r="BY778" s="180"/>
      <c r="BZ778" s="180"/>
      <c r="CA778" s="180"/>
      <c r="CB778" s="180"/>
      <c r="CC778" s="180"/>
      <c r="CD778" s="180"/>
      <c r="CE778" s="180"/>
      <c r="CF778" s="180"/>
      <c r="CG778" s="180"/>
      <c r="CH778" s="180"/>
      <c r="CI778" s="180"/>
      <c r="CJ778" s="180"/>
      <c r="CK778" s="180"/>
      <c r="CL778" s="180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</row>
    <row r="779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  <c r="AF779" s="180"/>
      <c r="AG779" s="180"/>
      <c r="AH779" s="180"/>
      <c r="AI779" s="180"/>
      <c r="AJ779" s="180"/>
      <c r="AK779" s="180"/>
      <c r="AL779" s="180"/>
      <c r="AM779" s="180"/>
      <c r="AN779" s="180"/>
      <c r="AO779" s="180"/>
      <c r="AP779" s="180"/>
      <c r="AQ779" s="180"/>
      <c r="AR779" s="180"/>
      <c r="AS779" s="180"/>
      <c r="AT779" s="180"/>
      <c r="AU779" s="180"/>
      <c r="AV779" s="180"/>
      <c r="AW779" s="180"/>
      <c r="AX779" s="180"/>
      <c r="AY779" s="180"/>
      <c r="AZ779" s="180"/>
      <c r="BA779" s="180"/>
      <c r="BB779" s="180"/>
      <c r="BC779" s="180"/>
      <c r="BD779" s="180"/>
      <c r="BE779" s="180"/>
      <c r="BF779" s="180"/>
      <c r="BG779" s="180"/>
      <c r="BH779" s="180"/>
      <c r="BI779" s="180"/>
      <c r="BJ779" s="180"/>
      <c r="BK779" s="180"/>
      <c r="BL779" s="180"/>
      <c r="BM779" s="180"/>
      <c r="BN779" s="180"/>
      <c r="BO779" s="180"/>
      <c r="BP779" s="180"/>
      <c r="BQ779" s="180"/>
      <c r="BR779" s="180"/>
      <c r="BS779" s="180"/>
      <c r="BT779" s="180"/>
      <c r="BU779" s="180"/>
      <c r="BV779" s="180"/>
      <c r="BW779" s="180"/>
      <c r="BX779" s="180"/>
      <c r="BY779" s="180"/>
      <c r="BZ779" s="180"/>
      <c r="CA779" s="180"/>
      <c r="CB779" s="180"/>
      <c r="CC779" s="180"/>
      <c r="CD779" s="180"/>
      <c r="CE779" s="180"/>
      <c r="CF779" s="180"/>
      <c r="CG779" s="180"/>
      <c r="CH779" s="180"/>
      <c r="CI779" s="180"/>
      <c r="CJ779" s="180"/>
      <c r="CK779" s="180"/>
      <c r="CL779" s="180"/>
      <c r="CM779" s="180"/>
      <c r="CN779" s="180"/>
      <c r="CO779" s="180"/>
      <c r="CP779" s="180"/>
      <c r="CQ779" s="180"/>
      <c r="CR779" s="180"/>
      <c r="CS779" s="180"/>
      <c r="CT779" s="180"/>
      <c r="CU779" s="180"/>
      <c r="CV779" s="180"/>
      <c r="CW779" s="180"/>
      <c r="CX779" s="180"/>
      <c r="CY779" s="180"/>
      <c r="CZ779" s="180"/>
      <c r="DA779" s="180"/>
      <c r="DB779" s="180"/>
    </row>
    <row r="780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  <c r="AF780" s="180"/>
      <c r="AG780" s="180"/>
      <c r="AH780" s="180"/>
      <c r="AI780" s="180"/>
      <c r="AJ780" s="180"/>
      <c r="AK780" s="180"/>
      <c r="AL780" s="180"/>
      <c r="AM780" s="180"/>
      <c r="AN780" s="180"/>
      <c r="AO780" s="180"/>
      <c r="AP780" s="180"/>
      <c r="AQ780" s="180"/>
      <c r="AR780" s="180"/>
      <c r="AS780" s="180"/>
      <c r="AT780" s="180"/>
      <c r="AU780" s="180"/>
      <c r="AV780" s="180"/>
      <c r="AW780" s="180"/>
      <c r="AX780" s="180"/>
      <c r="AY780" s="180"/>
      <c r="AZ780" s="180"/>
      <c r="BA780" s="180"/>
      <c r="BB780" s="180"/>
      <c r="BC780" s="180"/>
      <c r="BD780" s="180"/>
      <c r="BE780" s="180"/>
      <c r="BF780" s="180"/>
      <c r="BG780" s="180"/>
      <c r="BH780" s="180"/>
      <c r="BI780" s="180"/>
      <c r="BJ780" s="180"/>
      <c r="BK780" s="180"/>
      <c r="BL780" s="180"/>
      <c r="BM780" s="180"/>
      <c r="BN780" s="180"/>
      <c r="BO780" s="180"/>
      <c r="BP780" s="180"/>
      <c r="BQ780" s="180"/>
      <c r="BR780" s="180"/>
      <c r="BS780" s="180"/>
      <c r="BT780" s="180"/>
      <c r="BU780" s="180"/>
      <c r="BV780" s="180"/>
      <c r="BW780" s="180"/>
      <c r="BX780" s="180"/>
      <c r="BY780" s="180"/>
      <c r="BZ780" s="180"/>
      <c r="CA780" s="180"/>
      <c r="CB780" s="180"/>
      <c r="CC780" s="180"/>
      <c r="CD780" s="180"/>
      <c r="CE780" s="180"/>
      <c r="CF780" s="180"/>
      <c r="CG780" s="180"/>
      <c r="CH780" s="180"/>
      <c r="CI780" s="180"/>
      <c r="CJ780" s="180"/>
      <c r="CK780" s="180"/>
      <c r="CL780" s="180"/>
      <c r="CM780" s="180"/>
      <c r="CN780" s="180"/>
      <c r="CO780" s="180"/>
      <c r="CP780" s="180"/>
      <c r="CQ780" s="180"/>
      <c r="CR780" s="180"/>
      <c r="CS780" s="180"/>
      <c r="CT780" s="180"/>
      <c r="CU780" s="180"/>
      <c r="CV780" s="180"/>
      <c r="CW780" s="180"/>
      <c r="CX780" s="180"/>
      <c r="CY780" s="180"/>
      <c r="CZ780" s="180"/>
      <c r="DA780" s="180"/>
      <c r="DB780" s="180"/>
    </row>
    <row r="781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  <c r="AF781" s="180"/>
      <c r="AG781" s="180"/>
      <c r="AH781" s="180"/>
      <c r="AI781" s="180"/>
      <c r="AJ781" s="180"/>
      <c r="AK781" s="180"/>
      <c r="AL781" s="180"/>
      <c r="AM781" s="180"/>
      <c r="AN781" s="180"/>
      <c r="AO781" s="180"/>
      <c r="AP781" s="180"/>
      <c r="AQ781" s="180"/>
      <c r="AR781" s="180"/>
      <c r="AS781" s="180"/>
      <c r="AT781" s="180"/>
      <c r="AU781" s="180"/>
      <c r="AV781" s="180"/>
      <c r="AW781" s="180"/>
      <c r="AX781" s="180"/>
      <c r="AY781" s="180"/>
      <c r="AZ781" s="180"/>
      <c r="BA781" s="180"/>
      <c r="BB781" s="180"/>
      <c r="BC781" s="180"/>
      <c r="BD781" s="180"/>
      <c r="BE781" s="180"/>
      <c r="BF781" s="180"/>
      <c r="BG781" s="180"/>
      <c r="BH781" s="180"/>
      <c r="BI781" s="180"/>
      <c r="BJ781" s="180"/>
      <c r="BK781" s="180"/>
      <c r="BL781" s="180"/>
      <c r="BM781" s="180"/>
      <c r="BN781" s="180"/>
      <c r="BO781" s="180"/>
      <c r="BP781" s="180"/>
      <c r="BQ781" s="180"/>
      <c r="BR781" s="180"/>
      <c r="BS781" s="180"/>
      <c r="BT781" s="180"/>
      <c r="BU781" s="180"/>
      <c r="BV781" s="180"/>
      <c r="BW781" s="180"/>
      <c r="BX781" s="180"/>
      <c r="BY781" s="180"/>
      <c r="BZ781" s="180"/>
      <c r="CA781" s="180"/>
      <c r="CB781" s="180"/>
      <c r="CC781" s="180"/>
      <c r="CD781" s="180"/>
      <c r="CE781" s="180"/>
      <c r="CF781" s="180"/>
      <c r="CG781" s="180"/>
      <c r="CH781" s="180"/>
      <c r="CI781" s="180"/>
      <c r="CJ781" s="180"/>
      <c r="CK781" s="180"/>
      <c r="CL781" s="180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</row>
    <row r="782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  <c r="AG782" s="180"/>
      <c r="AH782" s="180"/>
      <c r="AI782" s="180"/>
      <c r="AJ782" s="180"/>
      <c r="AK782" s="180"/>
      <c r="AL782" s="180"/>
      <c r="AM782" s="180"/>
      <c r="AN782" s="180"/>
      <c r="AO782" s="180"/>
      <c r="AP782" s="180"/>
      <c r="AQ782" s="180"/>
      <c r="AR782" s="180"/>
      <c r="AS782" s="180"/>
      <c r="AT782" s="180"/>
      <c r="AU782" s="180"/>
      <c r="AV782" s="180"/>
      <c r="AW782" s="180"/>
      <c r="AX782" s="180"/>
      <c r="AY782" s="180"/>
      <c r="AZ782" s="180"/>
      <c r="BA782" s="180"/>
      <c r="BB782" s="180"/>
      <c r="BC782" s="180"/>
      <c r="BD782" s="180"/>
      <c r="BE782" s="180"/>
      <c r="BF782" s="180"/>
      <c r="BG782" s="180"/>
      <c r="BH782" s="180"/>
      <c r="BI782" s="180"/>
      <c r="BJ782" s="180"/>
      <c r="BK782" s="180"/>
      <c r="BL782" s="180"/>
      <c r="BM782" s="180"/>
      <c r="BN782" s="180"/>
      <c r="BO782" s="180"/>
      <c r="BP782" s="180"/>
      <c r="BQ782" s="180"/>
      <c r="BR782" s="180"/>
      <c r="BS782" s="180"/>
      <c r="BT782" s="180"/>
      <c r="BU782" s="180"/>
      <c r="BV782" s="180"/>
      <c r="BW782" s="180"/>
      <c r="BX782" s="180"/>
      <c r="BY782" s="180"/>
      <c r="BZ782" s="180"/>
      <c r="CA782" s="180"/>
      <c r="CB782" s="180"/>
      <c r="CC782" s="180"/>
      <c r="CD782" s="180"/>
      <c r="CE782" s="180"/>
      <c r="CF782" s="180"/>
      <c r="CG782" s="180"/>
      <c r="CH782" s="180"/>
      <c r="CI782" s="180"/>
      <c r="CJ782" s="180"/>
      <c r="CK782" s="180"/>
      <c r="CL782" s="180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</row>
    <row r="783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  <c r="AF783" s="180"/>
      <c r="AG783" s="180"/>
      <c r="AH783" s="180"/>
      <c r="AI783" s="180"/>
      <c r="AJ783" s="180"/>
      <c r="AK783" s="180"/>
      <c r="AL783" s="180"/>
      <c r="AM783" s="180"/>
      <c r="AN783" s="180"/>
      <c r="AO783" s="180"/>
      <c r="AP783" s="180"/>
      <c r="AQ783" s="180"/>
      <c r="AR783" s="180"/>
      <c r="AS783" s="180"/>
      <c r="AT783" s="180"/>
      <c r="AU783" s="180"/>
      <c r="AV783" s="180"/>
      <c r="AW783" s="180"/>
      <c r="AX783" s="180"/>
      <c r="AY783" s="180"/>
      <c r="AZ783" s="180"/>
      <c r="BA783" s="180"/>
      <c r="BB783" s="180"/>
      <c r="BC783" s="180"/>
      <c r="BD783" s="180"/>
      <c r="BE783" s="180"/>
      <c r="BF783" s="180"/>
      <c r="BG783" s="180"/>
      <c r="BH783" s="180"/>
      <c r="BI783" s="180"/>
      <c r="BJ783" s="180"/>
      <c r="BK783" s="180"/>
      <c r="BL783" s="180"/>
      <c r="BM783" s="180"/>
      <c r="BN783" s="180"/>
      <c r="BO783" s="180"/>
      <c r="BP783" s="180"/>
      <c r="BQ783" s="180"/>
      <c r="BR783" s="180"/>
      <c r="BS783" s="180"/>
      <c r="BT783" s="180"/>
      <c r="BU783" s="180"/>
      <c r="BV783" s="180"/>
      <c r="BW783" s="180"/>
      <c r="BX783" s="180"/>
      <c r="BY783" s="180"/>
      <c r="BZ783" s="180"/>
      <c r="CA783" s="180"/>
      <c r="CB783" s="180"/>
      <c r="CC783" s="180"/>
      <c r="CD783" s="180"/>
      <c r="CE783" s="180"/>
      <c r="CF783" s="180"/>
      <c r="CG783" s="180"/>
      <c r="CH783" s="180"/>
      <c r="CI783" s="180"/>
      <c r="CJ783" s="180"/>
      <c r="CK783" s="180"/>
      <c r="CL783" s="180"/>
      <c r="CM783" s="180"/>
      <c r="CN783" s="180"/>
      <c r="CO783" s="180"/>
      <c r="CP783" s="180"/>
      <c r="CQ783" s="180"/>
      <c r="CR783" s="180"/>
      <c r="CS783" s="180"/>
      <c r="CT783" s="180"/>
      <c r="CU783" s="180"/>
      <c r="CV783" s="180"/>
      <c r="CW783" s="180"/>
      <c r="CX783" s="180"/>
      <c r="CY783" s="180"/>
      <c r="CZ783" s="180"/>
      <c r="DA783" s="180"/>
      <c r="DB783" s="180"/>
    </row>
    <row r="784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  <c r="AF784" s="180"/>
      <c r="AG784" s="180"/>
      <c r="AH784" s="180"/>
      <c r="AI784" s="180"/>
      <c r="AJ784" s="180"/>
      <c r="AK784" s="180"/>
      <c r="AL784" s="180"/>
      <c r="AM784" s="180"/>
      <c r="AN784" s="180"/>
      <c r="AO784" s="180"/>
      <c r="AP784" s="180"/>
      <c r="AQ784" s="180"/>
      <c r="AR784" s="180"/>
      <c r="AS784" s="180"/>
      <c r="AT784" s="180"/>
      <c r="AU784" s="180"/>
      <c r="AV784" s="180"/>
      <c r="AW784" s="180"/>
      <c r="AX784" s="180"/>
      <c r="AY784" s="180"/>
      <c r="AZ784" s="180"/>
      <c r="BA784" s="180"/>
      <c r="BB784" s="180"/>
      <c r="BC784" s="180"/>
      <c r="BD784" s="180"/>
      <c r="BE784" s="180"/>
      <c r="BF784" s="180"/>
      <c r="BG784" s="180"/>
      <c r="BH784" s="180"/>
      <c r="BI784" s="180"/>
      <c r="BJ784" s="180"/>
      <c r="BK784" s="180"/>
      <c r="BL784" s="180"/>
      <c r="BM784" s="180"/>
      <c r="BN784" s="180"/>
      <c r="BO784" s="180"/>
      <c r="BP784" s="180"/>
      <c r="BQ784" s="180"/>
      <c r="BR784" s="180"/>
      <c r="BS784" s="180"/>
      <c r="BT784" s="180"/>
      <c r="BU784" s="180"/>
      <c r="BV784" s="180"/>
      <c r="BW784" s="180"/>
      <c r="BX784" s="180"/>
      <c r="BY784" s="180"/>
      <c r="BZ784" s="180"/>
      <c r="CA784" s="180"/>
      <c r="CB784" s="180"/>
      <c r="CC784" s="180"/>
      <c r="CD784" s="180"/>
      <c r="CE784" s="180"/>
      <c r="CF784" s="180"/>
      <c r="CG784" s="180"/>
      <c r="CH784" s="180"/>
      <c r="CI784" s="180"/>
      <c r="CJ784" s="180"/>
      <c r="CK784" s="180"/>
      <c r="CL784" s="180"/>
      <c r="CM784" s="180"/>
      <c r="CN784" s="180"/>
      <c r="CO784" s="180"/>
      <c r="CP784" s="180"/>
      <c r="CQ784" s="180"/>
      <c r="CR784" s="180"/>
      <c r="CS784" s="180"/>
      <c r="CT784" s="180"/>
      <c r="CU784" s="180"/>
      <c r="CV784" s="180"/>
      <c r="CW784" s="180"/>
      <c r="CX784" s="180"/>
      <c r="CY784" s="180"/>
      <c r="CZ784" s="180"/>
      <c r="DA784" s="180"/>
      <c r="DB784" s="180"/>
    </row>
    <row r="785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  <c r="AF785" s="180"/>
      <c r="AG785" s="180"/>
      <c r="AH785" s="180"/>
      <c r="AI785" s="180"/>
      <c r="AJ785" s="180"/>
      <c r="AK785" s="180"/>
      <c r="AL785" s="180"/>
      <c r="AM785" s="180"/>
      <c r="AN785" s="180"/>
      <c r="AO785" s="180"/>
      <c r="AP785" s="180"/>
      <c r="AQ785" s="180"/>
      <c r="AR785" s="180"/>
      <c r="AS785" s="180"/>
      <c r="AT785" s="180"/>
      <c r="AU785" s="180"/>
      <c r="AV785" s="180"/>
      <c r="AW785" s="180"/>
      <c r="AX785" s="180"/>
      <c r="AY785" s="180"/>
      <c r="AZ785" s="180"/>
      <c r="BA785" s="180"/>
      <c r="BB785" s="180"/>
      <c r="BC785" s="180"/>
      <c r="BD785" s="180"/>
      <c r="BE785" s="180"/>
      <c r="BF785" s="180"/>
      <c r="BG785" s="180"/>
      <c r="BH785" s="180"/>
      <c r="BI785" s="180"/>
      <c r="BJ785" s="180"/>
      <c r="BK785" s="180"/>
      <c r="BL785" s="180"/>
      <c r="BM785" s="180"/>
      <c r="BN785" s="180"/>
      <c r="BO785" s="180"/>
      <c r="BP785" s="180"/>
      <c r="BQ785" s="180"/>
      <c r="BR785" s="180"/>
      <c r="BS785" s="180"/>
      <c r="BT785" s="180"/>
      <c r="BU785" s="180"/>
      <c r="BV785" s="180"/>
      <c r="BW785" s="180"/>
      <c r="BX785" s="180"/>
      <c r="BY785" s="180"/>
      <c r="BZ785" s="180"/>
      <c r="CA785" s="180"/>
      <c r="CB785" s="180"/>
      <c r="CC785" s="180"/>
      <c r="CD785" s="180"/>
      <c r="CE785" s="180"/>
      <c r="CF785" s="180"/>
      <c r="CG785" s="180"/>
      <c r="CH785" s="180"/>
      <c r="CI785" s="180"/>
      <c r="CJ785" s="180"/>
      <c r="CK785" s="180"/>
      <c r="CL785" s="180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</row>
    <row r="786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 s="180"/>
      <c r="Q786" s="180"/>
      <c r="R786" s="180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  <c r="AF786" s="180"/>
      <c r="AG786" s="180"/>
      <c r="AH786" s="180"/>
      <c r="AI786" s="180"/>
      <c r="AJ786" s="180"/>
      <c r="AK786" s="180"/>
      <c r="AL786" s="180"/>
      <c r="AM786" s="180"/>
      <c r="AN786" s="180"/>
      <c r="AO786" s="180"/>
      <c r="AP786" s="180"/>
      <c r="AQ786" s="180"/>
      <c r="AR786" s="180"/>
      <c r="AS786" s="180"/>
      <c r="AT786" s="180"/>
      <c r="AU786" s="180"/>
      <c r="AV786" s="180"/>
      <c r="AW786" s="180"/>
      <c r="AX786" s="180"/>
      <c r="AY786" s="180"/>
      <c r="AZ786" s="180"/>
      <c r="BA786" s="180"/>
      <c r="BB786" s="180"/>
      <c r="BC786" s="180"/>
      <c r="BD786" s="180"/>
      <c r="BE786" s="180"/>
      <c r="BF786" s="180"/>
      <c r="BG786" s="180"/>
      <c r="BH786" s="180"/>
      <c r="BI786" s="180"/>
      <c r="BJ786" s="180"/>
      <c r="BK786" s="180"/>
      <c r="BL786" s="180"/>
      <c r="BM786" s="180"/>
      <c r="BN786" s="180"/>
      <c r="BO786" s="180"/>
      <c r="BP786" s="180"/>
      <c r="BQ786" s="180"/>
      <c r="BR786" s="180"/>
      <c r="BS786" s="180"/>
      <c r="BT786" s="180"/>
      <c r="BU786" s="180"/>
      <c r="BV786" s="180"/>
      <c r="BW786" s="180"/>
      <c r="BX786" s="180"/>
      <c r="BY786" s="180"/>
      <c r="BZ786" s="180"/>
      <c r="CA786" s="180"/>
      <c r="CB786" s="180"/>
      <c r="CC786" s="180"/>
      <c r="CD786" s="180"/>
      <c r="CE786" s="180"/>
      <c r="CF786" s="180"/>
      <c r="CG786" s="180"/>
      <c r="CH786" s="180"/>
      <c r="CI786" s="180"/>
      <c r="CJ786" s="180"/>
      <c r="CK786" s="180"/>
      <c r="CL786" s="180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</row>
    <row r="787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  <c r="AF787" s="180"/>
      <c r="AG787" s="180"/>
      <c r="AH787" s="180"/>
      <c r="AI787" s="180"/>
      <c r="AJ787" s="180"/>
      <c r="AK787" s="180"/>
      <c r="AL787" s="180"/>
      <c r="AM787" s="180"/>
      <c r="AN787" s="180"/>
      <c r="AO787" s="180"/>
      <c r="AP787" s="180"/>
      <c r="AQ787" s="180"/>
      <c r="AR787" s="180"/>
      <c r="AS787" s="180"/>
      <c r="AT787" s="180"/>
      <c r="AU787" s="180"/>
      <c r="AV787" s="180"/>
      <c r="AW787" s="180"/>
      <c r="AX787" s="180"/>
      <c r="AY787" s="180"/>
      <c r="AZ787" s="180"/>
      <c r="BA787" s="180"/>
      <c r="BB787" s="180"/>
      <c r="BC787" s="180"/>
      <c r="BD787" s="180"/>
      <c r="BE787" s="180"/>
      <c r="BF787" s="180"/>
      <c r="BG787" s="180"/>
      <c r="BH787" s="180"/>
      <c r="BI787" s="180"/>
      <c r="BJ787" s="180"/>
      <c r="BK787" s="180"/>
      <c r="BL787" s="180"/>
      <c r="BM787" s="180"/>
      <c r="BN787" s="180"/>
      <c r="BO787" s="180"/>
      <c r="BP787" s="180"/>
      <c r="BQ787" s="180"/>
      <c r="BR787" s="180"/>
      <c r="BS787" s="180"/>
      <c r="BT787" s="180"/>
      <c r="BU787" s="180"/>
      <c r="BV787" s="180"/>
      <c r="BW787" s="180"/>
      <c r="BX787" s="180"/>
      <c r="BY787" s="180"/>
      <c r="BZ787" s="180"/>
      <c r="CA787" s="180"/>
      <c r="CB787" s="180"/>
      <c r="CC787" s="180"/>
      <c r="CD787" s="180"/>
      <c r="CE787" s="180"/>
      <c r="CF787" s="180"/>
      <c r="CG787" s="180"/>
      <c r="CH787" s="180"/>
      <c r="CI787" s="180"/>
      <c r="CJ787" s="180"/>
      <c r="CK787" s="180"/>
      <c r="CL787" s="180"/>
      <c r="CM787" s="180"/>
      <c r="CN787" s="180"/>
      <c r="CO787" s="180"/>
      <c r="CP787" s="180"/>
      <c r="CQ787" s="180"/>
      <c r="CR787" s="180"/>
      <c r="CS787" s="180"/>
      <c r="CT787" s="180"/>
      <c r="CU787" s="180"/>
      <c r="CV787" s="180"/>
      <c r="CW787" s="180"/>
      <c r="CX787" s="180"/>
      <c r="CY787" s="180"/>
      <c r="CZ787" s="180"/>
      <c r="DA787" s="180"/>
      <c r="DB787" s="180"/>
    </row>
    <row r="788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  <c r="AG788" s="180"/>
      <c r="AH788" s="180"/>
      <c r="AI788" s="180"/>
      <c r="AJ788" s="180"/>
      <c r="AK788" s="180"/>
      <c r="AL788" s="180"/>
      <c r="AM788" s="180"/>
      <c r="AN788" s="180"/>
      <c r="AO788" s="180"/>
      <c r="AP788" s="180"/>
      <c r="AQ788" s="180"/>
      <c r="AR788" s="180"/>
      <c r="AS788" s="180"/>
      <c r="AT788" s="180"/>
      <c r="AU788" s="180"/>
      <c r="AV788" s="180"/>
      <c r="AW788" s="180"/>
      <c r="AX788" s="180"/>
      <c r="AY788" s="180"/>
      <c r="AZ788" s="180"/>
      <c r="BA788" s="180"/>
      <c r="BB788" s="180"/>
      <c r="BC788" s="180"/>
      <c r="BD788" s="180"/>
      <c r="BE788" s="180"/>
      <c r="BF788" s="180"/>
      <c r="BG788" s="180"/>
      <c r="BH788" s="180"/>
      <c r="BI788" s="180"/>
      <c r="BJ788" s="180"/>
      <c r="BK788" s="180"/>
      <c r="BL788" s="180"/>
      <c r="BM788" s="180"/>
      <c r="BN788" s="180"/>
      <c r="BO788" s="180"/>
      <c r="BP788" s="180"/>
      <c r="BQ788" s="180"/>
      <c r="BR788" s="180"/>
      <c r="BS788" s="180"/>
      <c r="BT788" s="180"/>
      <c r="BU788" s="180"/>
      <c r="BV788" s="180"/>
      <c r="BW788" s="180"/>
      <c r="BX788" s="180"/>
      <c r="BY788" s="180"/>
      <c r="BZ788" s="180"/>
      <c r="CA788" s="180"/>
      <c r="CB788" s="180"/>
      <c r="CC788" s="180"/>
      <c r="CD788" s="180"/>
      <c r="CE788" s="180"/>
      <c r="CF788" s="180"/>
      <c r="CG788" s="180"/>
      <c r="CH788" s="180"/>
      <c r="CI788" s="180"/>
      <c r="CJ788" s="180"/>
      <c r="CK788" s="180"/>
      <c r="CL788" s="180"/>
      <c r="CM788" s="180"/>
      <c r="CN788" s="180"/>
      <c r="CO788" s="180"/>
      <c r="CP788" s="180"/>
      <c r="CQ788" s="180"/>
      <c r="CR788" s="180"/>
      <c r="CS788" s="180"/>
      <c r="CT788" s="180"/>
      <c r="CU788" s="180"/>
      <c r="CV788" s="180"/>
      <c r="CW788" s="180"/>
      <c r="CX788" s="180"/>
      <c r="CY788" s="180"/>
      <c r="CZ788" s="180"/>
      <c r="DA788" s="180"/>
      <c r="DB788" s="180"/>
    </row>
    <row r="789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  <c r="AF789" s="180"/>
      <c r="AG789" s="180"/>
      <c r="AH789" s="180"/>
      <c r="AI789" s="180"/>
      <c r="AJ789" s="180"/>
      <c r="AK789" s="180"/>
      <c r="AL789" s="180"/>
      <c r="AM789" s="180"/>
      <c r="AN789" s="180"/>
      <c r="AO789" s="180"/>
      <c r="AP789" s="180"/>
      <c r="AQ789" s="180"/>
      <c r="AR789" s="180"/>
      <c r="AS789" s="180"/>
      <c r="AT789" s="180"/>
      <c r="AU789" s="180"/>
      <c r="AV789" s="180"/>
      <c r="AW789" s="180"/>
      <c r="AX789" s="180"/>
      <c r="AY789" s="180"/>
      <c r="AZ789" s="180"/>
      <c r="BA789" s="180"/>
      <c r="BB789" s="180"/>
      <c r="BC789" s="180"/>
      <c r="BD789" s="180"/>
      <c r="BE789" s="180"/>
      <c r="BF789" s="180"/>
      <c r="BG789" s="180"/>
      <c r="BH789" s="180"/>
      <c r="BI789" s="180"/>
      <c r="BJ789" s="180"/>
      <c r="BK789" s="180"/>
      <c r="BL789" s="180"/>
      <c r="BM789" s="180"/>
      <c r="BN789" s="180"/>
      <c r="BO789" s="180"/>
      <c r="BP789" s="180"/>
      <c r="BQ789" s="180"/>
      <c r="BR789" s="180"/>
      <c r="BS789" s="180"/>
      <c r="BT789" s="180"/>
      <c r="BU789" s="180"/>
      <c r="BV789" s="180"/>
      <c r="BW789" s="180"/>
      <c r="BX789" s="180"/>
      <c r="BY789" s="180"/>
      <c r="BZ789" s="180"/>
      <c r="CA789" s="180"/>
      <c r="CB789" s="180"/>
      <c r="CC789" s="180"/>
      <c r="CD789" s="180"/>
      <c r="CE789" s="180"/>
      <c r="CF789" s="180"/>
      <c r="CG789" s="180"/>
      <c r="CH789" s="180"/>
      <c r="CI789" s="180"/>
      <c r="CJ789" s="180"/>
      <c r="CK789" s="180"/>
      <c r="CL789" s="180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</row>
    <row r="790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  <c r="AF790" s="180"/>
      <c r="AG790" s="180"/>
      <c r="AH790" s="180"/>
      <c r="AI790" s="180"/>
      <c r="AJ790" s="180"/>
      <c r="AK790" s="180"/>
      <c r="AL790" s="180"/>
      <c r="AM790" s="180"/>
      <c r="AN790" s="180"/>
      <c r="AO790" s="180"/>
      <c r="AP790" s="180"/>
      <c r="AQ790" s="180"/>
      <c r="AR790" s="180"/>
      <c r="AS790" s="180"/>
      <c r="AT790" s="180"/>
      <c r="AU790" s="180"/>
      <c r="AV790" s="180"/>
      <c r="AW790" s="180"/>
      <c r="AX790" s="180"/>
      <c r="AY790" s="180"/>
      <c r="AZ790" s="180"/>
      <c r="BA790" s="180"/>
      <c r="BB790" s="180"/>
      <c r="BC790" s="180"/>
      <c r="BD790" s="180"/>
      <c r="BE790" s="180"/>
      <c r="BF790" s="180"/>
      <c r="BG790" s="180"/>
      <c r="BH790" s="180"/>
      <c r="BI790" s="180"/>
      <c r="BJ790" s="180"/>
      <c r="BK790" s="180"/>
      <c r="BL790" s="180"/>
      <c r="BM790" s="180"/>
      <c r="BN790" s="180"/>
      <c r="BO790" s="180"/>
      <c r="BP790" s="180"/>
      <c r="BQ790" s="180"/>
      <c r="BR790" s="180"/>
      <c r="BS790" s="180"/>
      <c r="BT790" s="180"/>
      <c r="BU790" s="180"/>
      <c r="BV790" s="180"/>
      <c r="BW790" s="180"/>
      <c r="BX790" s="180"/>
      <c r="BY790" s="180"/>
      <c r="BZ790" s="180"/>
      <c r="CA790" s="180"/>
      <c r="CB790" s="180"/>
      <c r="CC790" s="180"/>
      <c r="CD790" s="180"/>
      <c r="CE790" s="180"/>
      <c r="CF790" s="180"/>
      <c r="CG790" s="180"/>
      <c r="CH790" s="180"/>
      <c r="CI790" s="180"/>
      <c r="CJ790" s="180"/>
      <c r="CK790" s="180"/>
      <c r="CL790" s="180"/>
      <c r="CM790" s="180"/>
      <c r="CN790" s="180"/>
      <c r="CO790" s="180"/>
      <c r="CP790" s="180"/>
      <c r="CQ790" s="180"/>
      <c r="CR790" s="180"/>
      <c r="CS790" s="180"/>
      <c r="CT790" s="180"/>
      <c r="CU790" s="180"/>
      <c r="CV790" s="180"/>
      <c r="CW790" s="180"/>
      <c r="CX790" s="180"/>
      <c r="CY790" s="180"/>
      <c r="CZ790" s="180"/>
      <c r="DA790" s="180"/>
      <c r="DB790" s="180"/>
    </row>
    <row r="791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  <c r="K791" s="180"/>
      <c r="L791" s="180"/>
      <c r="M791" s="180"/>
      <c r="N791" s="180"/>
      <c r="O791" s="180"/>
      <c r="P791" s="180"/>
      <c r="Q791" s="180"/>
      <c r="R791" s="180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  <c r="AF791" s="180"/>
      <c r="AG791" s="180"/>
      <c r="AH791" s="180"/>
      <c r="AI791" s="180"/>
      <c r="AJ791" s="180"/>
      <c r="AK791" s="180"/>
      <c r="AL791" s="180"/>
      <c r="AM791" s="180"/>
      <c r="AN791" s="180"/>
      <c r="AO791" s="180"/>
      <c r="AP791" s="180"/>
      <c r="AQ791" s="180"/>
      <c r="AR791" s="180"/>
      <c r="AS791" s="180"/>
      <c r="AT791" s="180"/>
      <c r="AU791" s="180"/>
      <c r="AV791" s="180"/>
      <c r="AW791" s="180"/>
      <c r="AX791" s="180"/>
      <c r="AY791" s="180"/>
      <c r="AZ791" s="180"/>
      <c r="BA791" s="180"/>
      <c r="BB791" s="180"/>
      <c r="BC791" s="180"/>
      <c r="BD791" s="180"/>
      <c r="BE791" s="180"/>
      <c r="BF791" s="180"/>
      <c r="BG791" s="180"/>
      <c r="BH791" s="180"/>
      <c r="BI791" s="180"/>
      <c r="BJ791" s="180"/>
      <c r="BK791" s="180"/>
      <c r="BL791" s="180"/>
      <c r="BM791" s="180"/>
      <c r="BN791" s="180"/>
      <c r="BO791" s="180"/>
      <c r="BP791" s="180"/>
      <c r="BQ791" s="180"/>
      <c r="BR791" s="180"/>
      <c r="BS791" s="180"/>
      <c r="BT791" s="180"/>
      <c r="BU791" s="180"/>
      <c r="BV791" s="180"/>
      <c r="BW791" s="180"/>
      <c r="BX791" s="180"/>
      <c r="BY791" s="180"/>
      <c r="BZ791" s="180"/>
      <c r="CA791" s="180"/>
      <c r="CB791" s="180"/>
      <c r="CC791" s="180"/>
      <c r="CD791" s="180"/>
      <c r="CE791" s="180"/>
      <c r="CF791" s="180"/>
      <c r="CG791" s="180"/>
      <c r="CH791" s="180"/>
      <c r="CI791" s="180"/>
      <c r="CJ791" s="180"/>
      <c r="CK791" s="180"/>
      <c r="CL791" s="180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</row>
    <row r="792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  <c r="AF792" s="180"/>
      <c r="AG792" s="180"/>
      <c r="AH792" s="180"/>
      <c r="AI792" s="180"/>
      <c r="AJ792" s="180"/>
      <c r="AK792" s="180"/>
      <c r="AL792" s="180"/>
      <c r="AM792" s="180"/>
      <c r="AN792" s="180"/>
      <c r="AO792" s="180"/>
      <c r="AP792" s="180"/>
      <c r="AQ792" s="180"/>
      <c r="AR792" s="180"/>
      <c r="AS792" s="180"/>
      <c r="AT792" s="180"/>
      <c r="AU792" s="180"/>
      <c r="AV792" s="180"/>
      <c r="AW792" s="180"/>
      <c r="AX792" s="180"/>
      <c r="AY792" s="180"/>
      <c r="AZ792" s="180"/>
      <c r="BA792" s="180"/>
      <c r="BB792" s="180"/>
      <c r="BC792" s="180"/>
      <c r="BD792" s="180"/>
      <c r="BE792" s="180"/>
      <c r="BF792" s="180"/>
      <c r="BG792" s="180"/>
      <c r="BH792" s="180"/>
      <c r="BI792" s="180"/>
      <c r="BJ792" s="180"/>
      <c r="BK792" s="180"/>
      <c r="BL792" s="180"/>
      <c r="BM792" s="180"/>
      <c r="BN792" s="180"/>
      <c r="BO792" s="180"/>
      <c r="BP792" s="180"/>
      <c r="BQ792" s="180"/>
      <c r="BR792" s="180"/>
      <c r="BS792" s="180"/>
      <c r="BT792" s="180"/>
      <c r="BU792" s="180"/>
      <c r="BV792" s="180"/>
      <c r="BW792" s="180"/>
      <c r="BX792" s="180"/>
      <c r="BY792" s="180"/>
      <c r="BZ792" s="180"/>
      <c r="CA792" s="180"/>
      <c r="CB792" s="180"/>
      <c r="CC792" s="180"/>
      <c r="CD792" s="180"/>
      <c r="CE792" s="180"/>
      <c r="CF792" s="180"/>
      <c r="CG792" s="180"/>
      <c r="CH792" s="180"/>
      <c r="CI792" s="180"/>
      <c r="CJ792" s="180"/>
      <c r="CK792" s="180"/>
      <c r="CL792" s="180"/>
      <c r="CM792" s="180"/>
      <c r="CN792" s="180"/>
      <c r="CO792" s="180"/>
      <c r="CP792" s="180"/>
      <c r="CQ792" s="180"/>
      <c r="CR792" s="180"/>
      <c r="CS792" s="180"/>
      <c r="CT792" s="180"/>
      <c r="CU792" s="180"/>
      <c r="CV792" s="180"/>
      <c r="CW792" s="180"/>
      <c r="CX792" s="180"/>
      <c r="CY792" s="180"/>
      <c r="CZ792" s="180"/>
      <c r="DA792" s="180"/>
      <c r="DB792" s="180"/>
    </row>
    <row r="793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  <c r="AF793" s="180"/>
      <c r="AG793" s="180"/>
      <c r="AH793" s="180"/>
      <c r="AI793" s="180"/>
      <c r="AJ793" s="180"/>
      <c r="AK793" s="180"/>
      <c r="AL793" s="180"/>
      <c r="AM793" s="180"/>
      <c r="AN793" s="180"/>
      <c r="AO793" s="180"/>
      <c r="AP793" s="180"/>
      <c r="AQ793" s="180"/>
      <c r="AR793" s="180"/>
      <c r="AS793" s="180"/>
      <c r="AT793" s="180"/>
      <c r="AU793" s="180"/>
      <c r="AV793" s="180"/>
      <c r="AW793" s="180"/>
      <c r="AX793" s="180"/>
      <c r="AY793" s="180"/>
      <c r="AZ793" s="180"/>
      <c r="BA793" s="180"/>
      <c r="BB793" s="180"/>
      <c r="BC793" s="180"/>
      <c r="BD793" s="180"/>
      <c r="BE793" s="180"/>
      <c r="BF793" s="180"/>
      <c r="BG793" s="180"/>
      <c r="BH793" s="180"/>
      <c r="BI793" s="180"/>
      <c r="BJ793" s="180"/>
      <c r="BK793" s="180"/>
      <c r="BL793" s="180"/>
      <c r="BM793" s="180"/>
      <c r="BN793" s="180"/>
      <c r="BO793" s="180"/>
      <c r="BP793" s="180"/>
      <c r="BQ793" s="180"/>
      <c r="BR793" s="180"/>
      <c r="BS793" s="180"/>
      <c r="BT793" s="180"/>
      <c r="BU793" s="180"/>
      <c r="BV793" s="180"/>
      <c r="BW793" s="180"/>
      <c r="BX793" s="180"/>
      <c r="BY793" s="180"/>
      <c r="BZ793" s="180"/>
      <c r="CA793" s="180"/>
      <c r="CB793" s="180"/>
      <c r="CC793" s="180"/>
      <c r="CD793" s="180"/>
      <c r="CE793" s="180"/>
      <c r="CF793" s="180"/>
      <c r="CG793" s="180"/>
      <c r="CH793" s="180"/>
      <c r="CI793" s="180"/>
      <c r="CJ793" s="180"/>
      <c r="CK793" s="180"/>
      <c r="CL793" s="180"/>
      <c r="CM793" s="180"/>
      <c r="CN793" s="180"/>
      <c r="CO793" s="180"/>
      <c r="CP793" s="180"/>
      <c r="CQ793" s="180"/>
      <c r="CR793" s="180"/>
      <c r="CS793" s="180"/>
      <c r="CT793" s="180"/>
      <c r="CU793" s="180"/>
      <c r="CV793" s="180"/>
      <c r="CW793" s="180"/>
      <c r="CX793" s="180"/>
      <c r="CY793" s="180"/>
      <c r="CZ793" s="180"/>
      <c r="DA793" s="180"/>
      <c r="DB793" s="180"/>
    </row>
    <row r="794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180"/>
      <c r="R794" s="180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0"/>
      <c r="AG794" s="180"/>
      <c r="AH794" s="180"/>
      <c r="AI794" s="180"/>
      <c r="AJ794" s="180"/>
      <c r="AK794" s="180"/>
      <c r="AL794" s="180"/>
      <c r="AM794" s="180"/>
      <c r="AN794" s="180"/>
      <c r="AO794" s="180"/>
      <c r="AP794" s="180"/>
      <c r="AQ794" s="180"/>
      <c r="AR794" s="180"/>
      <c r="AS794" s="180"/>
      <c r="AT794" s="180"/>
      <c r="AU794" s="180"/>
      <c r="AV794" s="180"/>
      <c r="AW794" s="180"/>
      <c r="AX794" s="180"/>
      <c r="AY794" s="180"/>
      <c r="AZ794" s="180"/>
      <c r="BA794" s="180"/>
      <c r="BB794" s="180"/>
      <c r="BC794" s="180"/>
      <c r="BD794" s="180"/>
      <c r="BE794" s="180"/>
      <c r="BF794" s="180"/>
      <c r="BG794" s="180"/>
      <c r="BH794" s="180"/>
      <c r="BI794" s="180"/>
      <c r="BJ794" s="180"/>
      <c r="BK794" s="180"/>
      <c r="BL794" s="180"/>
      <c r="BM794" s="180"/>
      <c r="BN794" s="180"/>
      <c r="BO794" s="180"/>
      <c r="BP794" s="180"/>
      <c r="BQ794" s="180"/>
      <c r="BR794" s="180"/>
      <c r="BS794" s="180"/>
      <c r="BT794" s="180"/>
      <c r="BU794" s="180"/>
      <c r="BV794" s="180"/>
      <c r="BW794" s="180"/>
      <c r="BX794" s="180"/>
      <c r="BY794" s="180"/>
      <c r="BZ794" s="180"/>
      <c r="CA794" s="180"/>
      <c r="CB794" s="180"/>
      <c r="CC794" s="180"/>
      <c r="CD794" s="180"/>
      <c r="CE794" s="180"/>
      <c r="CF794" s="180"/>
      <c r="CG794" s="180"/>
      <c r="CH794" s="180"/>
      <c r="CI794" s="180"/>
      <c r="CJ794" s="180"/>
      <c r="CK794" s="180"/>
      <c r="CL794" s="18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</row>
    <row r="795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  <c r="AG795" s="180"/>
      <c r="AH795" s="180"/>
      <c r="AI795" s="180"/>
      <c r="AJ795" s="180"/>
      <c r="AK795" s="180"/>
      <c r="AL795" s="180"/>
      <c r="AM795" s="180"/>
      <c r="AN795" s="180"/>
      <c r="AO795" s="180"/>
      <c r="AP795" s="180"/>
      <c r="AQ795" s="180"/>
      <c r="AR795" s="180"/>
      <c r="AS795" s="180"/>
      <c r="AT795" s="180"/>
      <c r="AU795" s="180"/>
      <c r="AV795" s="180"/>
      <c r="AW795" s="180"/>
      <c r="AX795" s="180"/>
      <c r="AY795" s="180"/>
      <c r="AZ795" s="180"/>
      <c r="BA795" s="180"/>
      <c r="BB795" s="180"/>
      <c r="BC795" s="180"/>
      <c r="BD795" s="180"/>
      <c r="BE795" s="180"/>
      <c r="BF795" s="180"/>
      <c r="BG795" s="180"/>
      <c r="BH795" s="180"/>
      <c r="BI795" s="180"/>
      <c r="BJ795" s="180"/>
      <c r="BK795" s="180"/>
      <c r="BL795" s="180"/>
      <c r="BM795" s="180"/>
      <c r="BN795" s="180"/>
      <c r="BO795" s="180"/>
      <c r="BP795" s="180"/>
      <c r="BQ795" s="180"/>
      <c r="BR795" s="180"/>
      <c r="BS795" s="180"/>
      <c r="BT795" s="180"/>
      <c r="BU795" s="180"/>
      <c r="BV795" s="180"/>
      <c r="BW795" s="180"/>
      <c r="BX795" s="180"/>
      <c r="BY795" s="180"/>
      <c r="BZ795" s="180"/>
      <c r="CA795" s="180"/>
      <c r="CB795" s="180"/>
      <c r="CC795" s="180"/>
      <c r="CD795" s="180"/>
      <c r="CE795" s="180"/>
      <c r="CF795" s="180"/>
      <c r="CG795" s="180"/>
      <c r="CH795" s="180"/>
      <c r="CI795" s="180"/>
      <c r="CJ795" s="180"/>
      <c r="CK795" s="180"/>
      <c r="CL795" s="180"/>
      <c r="CM795" s="180"/>
      <c r="CN795" s="180"/>
      <c r="CO795" s="180"/>
      <c r="CP795" s="180"/>
      <c r="CQ795" s="180"/>
      <c r="CR795" s="180"/>
      <c r="CS795" s="180"/>
      <c r="CT795" s="180"/>
      <c r="CU795" s="180"/>
      <c r="CV795" s="180"/>
      <c r="CW795" s="180"/>
      <c r="CX795" s="180"/>
      <c r="CY795" s="180"/>
      <c r="CZ795" s="180"/>
      <c r="DA795" s="180"/>
      <c r="DB795" s="180"/>
    </row>
    <row r="796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  <c r="AG796" s="180"/>
      <c r="AH796" s="180"/>
      <c r="AI796" s="180"/>
      <c r="AJ796" s="180"/>
      <c r="AK796" s="180"/>
      <c r="AL796" s="180"/>
      <c r="AM796" s="180"/>
      <c r="AN796" s="180"/>
      <c r="AO796" s="180"/>
      <c r="AP796" s="180"/>
      <c r="AQ796" s="180"/>
      <c r="AR796" s="180"/>
      <c r="AS796" s="180"/>
      <c r="AT796" s="180"/>
      <c r="AU796" s="180"/>
      <c r="AV796" s="180"/>
      <c r="AW796" s="180"/>
      <c r="AX796" s="180"/>
      <c r="AY796" s="180"/>
      <c r="AZ796" s="180"/>
      <c r="BA796" s="180"/>
      <c r="BB796" s="180"/>
      <c r="BC796" s="180"/>
      <c r="BD796" s="180"/>
      <c r="BE796" s="180"/>
      <c r="BF796" s="180"/>
      <c r="BG796" s="180"/>
      <c r="BH796" s="180"/>
      <c r="BI796" s="180"/>
      <c r="BJ796" s="180"/>
      <c r="BK796" s="180"/>
      <c r="BL796" s="180"/>
      <c r="BM796" s="180"/>
      <c r="BN796" s="180"/>
      <c r="BO796" s="180"/>
      <c r="BP796" s="180"/>
      <c r="BQ796" s="180"/>
      <c r="BR796" s="180"/>
      <c r="BS796" s="180"/>
      <c r="BT796" s="180"/>
      <c r="BU796" s="180"/>
      <c r="BV796" s="180"/>
      <c r="BW796" s="180"/>
      <c r="BX796" s="180"/>
      <c r="BY796" s="180"/>
      <c r="BZ796" s="180"/>
      <c r="CA796" s="180"/>
      <c r="CB796" s="180"/>
      <c r="CC796" s="180"/>
      <c r="CD796" s="180"/>
      <c r="CE796" s="180"/>
      <c r="CF796" s="180"/>
      <c r="CG796" s="180"/>
      <c r="CH796" s="180"/>
      <c r="CI796" s="180"/>
      <c r="CJ796" s="180"/>
      <c r="CK796" s="180"/>
      <c r="CL796" s="180"/>
      <c r="CM796" s="180"/>
      <c r="CN796" s="180"/>
      <c r="CO796" s="180"/>
      <c r="CP796" s="180"/>
      <c r="CQ796" s="180"/>
      <c r="CR796" s="180"/>
      <c r="CS796" s="180"/>
      <c r="CT796" s="180"/>
      <c r="CU796" s="180"/>
      <c r="CV796" s="180"/>
      <c r="CW796" s="180"/>
      <c r="CX796" s="180"/>
      <c r="CY796" s="180"/>
      <c r="CZ796" s="180"/>
      <c r="DA796" s="180"/>
      <c r="DB796" s="180"/>
    </row>
    <row r="797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  <c r="AG797" s="180"/>
      <c r="AH797" s="180"/>
      <c r="AI797" s="180"/>
      <c r="AJ797" s="180"/>
      <c r="AK797" s="180"/>
      <c r="AL797" s="180"/>
      <c r="AM797" s="180"/>
      <c r="AN797" s="180"/>
      <c r="AO797" s="180"/>
      <c r="AP797" s="180"/>
      <c r="AQ797" s="180"/>
      <c r="AR797" s="180"/>
      <c r="AS797" s="180"/>
      <c r="AT797" s="180"/>
      <c r="AU797" s="180"/>
      <c r="AV797" s="180"/>
      <c r="AW797" s="180"/>
      <c r="AX797" s="180"/>
      <c r="AY797" s="180"/>
      <c r="AZ797" s="180"/>
      <c r="BA797" s="180"/>
      <c r="BB797" s="180"/>
      <c r="BC797" s="180"/>
      <c r="BD797" s="180"/>
      <c r="BE797" s="180"/>
      <c r="BF797" s="180"/>
      <c r="BG797" s="180"/>
      <c r="BH797" s="180"/>
      <c r="BI797" s="180"/>
      <c r="BJ797" s="180"/>
      <c r="BK797" s="180"/>
      <c r="BL797" s="180"/>
      <c r="BM797" s="180"/>
      <c r="BN797" s="180"/>
      <c r="BO797" s="180"/>
      <c r="BP797" s="180"/>
      <c r="BQ797" s="180"/>
      <c r="BR797" s="180"/>
      <c r="BS797" s="180"/>
      <c r="BT797" s="180"/>
      <c r="BU797" s="180"/>
      <c r="BV797" s="180"/>
      <c r="BW797" s="180"/>
      <c r="BX797" s="180"/>
      <c r="BY797" s="180"/>
      <c r="BZ797" s="180"/>
      <c r="CA797" s="180"/>
      <c r="CB797" s="180"/>
      <c r="CC797" s="180"/>
      <c r="CD797" s="180"/>
      <c r="CE797" s="180"/>
      <c r="CF797" s="180"/>
      <c r="CG797" s="180"/>
      <c r="CH797" s="180"/>
      <c r="CI797" s="180"/>
      <c r="CJ797" s="180"/>
      <c r="CK797" s="180"/>
      <c r="CL797" s="180"/>
      <c r="CM797" s="180"/>
      <c r="CN797" s="180"/>
      <c r="CO797" s="180"/>
      <c r="CP797" s="180"/>
      <c r="CQ797" s="180"/>
      <c r="CR797" s="180"/>
      <c r="CS797" s="180"/>
      <c r="CT797" s="180"/>
      <c r="CU797" s="180"/>
      <c r="CV797" s="180"/>
      <c r="CW797" s="180"/>
      <c r="CX797" s="180"/>
      <c r="CY797" s="180"/>
      <c r="CZ797" s="180"/>
      <c r="DA797" s="180"/>
      <c r="DB797" s="180"/>
    </row>
    <row r="798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  <c r="AG798" s="180"/>
      <c r="AH798" s="180"/>
      <c r="AI798" s="180"/>
      <c r="AJ798" s="180"/>
      <c r="AK798" s="180"/>
      <c r="AL798" s="180"/>
      <c r="AM798" s="180"/>
      <c r="AN798" s="180"/>
      <c r="AO798" s="180"/>
      <c r="AP798" s="180"/>
      <c r="AQ798" s="180"/>
      <c r="AR798" s="180"/>
      <c r="AS798" s="180"/>
      <c r="AT798" s="180"/>
      <c r="AU798" s="180"/>
      <c r="AV798" s="180"/>
      <c r="AW798" s="180"/>
      <c r="AX798" s="180"/>
      <c r="AY798" s="180"/>
      <c r="AZ798" s="180"/>
      <c r="BA798" s="180"/>
      <c r="BB798" s="180"/>
      <c r="BC798" s="180"/>
      <c r="BD798" s="180"/>
      <c r="BE798" s="180"/>
      <c r="BF798" s="180"/>
      <c r="BG798" s="180"/>
      <c r="BH798" s="180"/>
      <c r="BI798" s="180"/>
      <c r="BJ798" s="180"/>
      <c r="BK798" s="180"/>
      <c r="BL798" s="180"/>
      <c r="BM798" s="180"/>
      <c r="BN798" s="180"/>
      <c r="BO798" s="180"/>
      <c r="BP798" s="180"/>
      <c r="BQ798" s="180"/>
      <c r="BR798" s="180"/>
      <c r="BS798" s="180"/>
      <c r="BT798" s="180"/>
      <c r="BU798" s="180"/>
      <c r="BV798" s="180"/>
      <c r="BW798" s="180"/>
      <c r="BX798" s="180"/>
      <c r="BY798" s="180"/>
      <c r="BZ798" s="180"/>
      <c r="CA798" s="180"/>
      <c r="CB798" s="180"/>
      <c r="CC798" s="180"/>
      <c r="CD798" s="180"/>
      <c r="CE798" s="180"/>
      <c r="CF798" s="180"/>
      <c r="CG798" s="180"/>
      <c r="CH798" s="180"/>
      <c r="CI798" s="180"/>
      <c r="CJ798" s="180"/>
      <c r="CK798" s="180"/>
      <c r="CL798" s="180"/>
      <c r="CM798" s="180"/>
      <c r="CN798" s="180"/>
      <c r="CO798" s="180"/>
      <c r="CP798" s="180"/>
      <c r="CQ798" s="180"/>
      <c r="CR798" s="180"/>
      <c r="CS798" s="180"/>
      <c r="CT798" s="180"/>
      <c r="CU798" s="180"/>
      <c r="CV798" s="180"/>
      <c r="CW798" s="180"/>
      <c r="CX798" s="180"/>
      <c r="CY798" s="180"/>
      <c r="CZ798" s="180"/>
      <c r="DA798" s="180"/>
      <c r="DB798" s="180"/>
    </row>
    <row r="799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  <c r="AG799" s="180"/>
      <c r="AH799" s="180"/>
      <c r="AI799" s="180"/>
      <c r="AJ799" s="180"/>
      <c r="AK799" s="180"/>
      <c r="AL799" s="180"/>
      <c r="AM799" s="180"/>
      <c r="AN799" s="180"/>
      <c r="AO799" s="180"/>
      <c r="AP799" s="180"/>
      <c r="AQ799" s="180"/>
      <c r="AR799" s="180"/>
      <c r="AS799" s="180"/>
      <c r="AT799" s="180"/>
      <c r="AU799" s="180"/>
      <c r="AV799" s="180"/>
      <c r="AW799" s="180"/>
      <c r="AX799" s="180"/>
      <c r="AY799" s="180"/>
      <c r="AZ799" s="180"/>
      <c r="BA799" s="180"/>
      <c r="BB799" s="180"/>
      <c r="BC799" s="180"/>
      <c r="BD799" s="180"/>
      <c r="BE799" s="180"/>
      <c r="BF799" s="180"/>
      <c r="BG799" s="180"/>
      <c r="BH799" s="180"/>
      <c r="BI799" s="180"/>
      <c r="BJ799" s="180"/>
      <c r="BK799" s="180"/>
      <c r="BL799" s="180"/>
      <c r="BM799" s="180"/>
      <c r="BN799" s="180"/>
      <c r="BO799" s="180"/>
      <c r="BP799" s="180"/>
      <c r="BQ799" s="180"/>
      <c r="BR799" s="180"/>
      <c r="BS799" s="180"/>
      <c r="BT799" s="180"/>
      <c r="BU799" s="180"/>
      <c r="BV799" s="180"/>
      <c r="BW799" s="180"/>
      <c r="BX799" s="180"/>
      <c r="BY799" s="180"/>
      <c r="BZ799" s="180"/>
      <c r="CA799" s="180"/>
      <c r="CB799" s="180"/>
      <c r="CC799" s="180"/>
      <c r="CD799" s="180"/>
      <c r="CE799" s="180"/>
      <c r="CF799" s="180"/>
      <c r="CG799" s="180"/>
      <c r="CH799" s="180"/>
      <c r="CI799" s="180"/>
      <c r="CJ799" s="180"/>
      <c r="CK799" s="180"/>
      <c r="CL799" s="180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</row>
    <row r="800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  <c r="AG800" s="180"/>
      <c r="AH800" s="180"/>
      <c r="AI800" s="180"/>
      <c r="AJ800" s="180"/>
      <c r="AK800" s="180"/>
      <c r="AL800" s="180"/>
      <c r="AM800" s="180"/>
      <c r="AN800" s="180"/>
      <c r="AO800" s="180"/>
      <c r="AP800" s="180"/>
      <c r="AQ800" s="180"/>
      <c r="AR800" s="180"/>
      <c r="AS800" s="180"/>
      <c r="AT800" s="180"/>
      <c r="AU800" s="180"/>
      <c r="AV800" s="180"/>
      <c r="AW800" s="180"/>
      <c r="AX800" s="180"/>
      <c r="AY800" s="180"/>
      <c r="AZ800" s="180"/>
      <c r="BA800" s="180"/>
      <c r="BB800" s="180"/>
      <c r="BC800" s="180"/>
      <c r="BD800" s="180"/>
      <c r="BE800" s="180"/>
      <c r="BF800" s="180"/>
      <c r="BG800" s="180"/>
      <c r="BH800" s="180"/>
      <c r="BI800" s="180"/>
      <c r="BJ800" s="180"/>
      <c r="BK800" s="180"/>
      <c r="BL800" s="180"/>
      <c r="BM800" s="180"/>
      <c r="BN800" s="180"/>
      <c r="BO800" s="180"/>
      <c r="BP800" s="180"/>
      <c r="BQ800" s="180"/>
      <c r="BR800" s="180"/>
      <c r="BS800" s="180"/>
      <c r="BT800" s="180"/>
      <c r="BU800" s="180"/>
      <c r="BV800" s="180"/>
      <c r="BW800" s="180"/>
      <c r="BX800" s="180"/>
      <c r="BY800" s="180"/>
      <c r="BZ800" s="180"/>
      <c r="CA800" s="180"/>
      <c r="CB800" s="180"/>
      <c r="CC800" s="180"/>
      <c r="CD800" s="180"/>
      <c r="CE800" s="180"/>
      <c r="CF800" s="180"/>
      <c r="CG800" s="180"/>
      <c r="CH800" s="180"/>
      <c r="CI800" s="180"/>
      <c r="CJ800" s="180"/>
      <c r="CK800" s="180"/>
      <c r="CL800" s="180"/>
      <c r="CM800" s="180"/>
      <c r="CN800" s="180"/>
      <c r="CO800" s="180"/>
      <c r="CP800" s="180"/>
      <c r="CQ800" s="180"/>
      <c r="CR800" s="180"/>
      <c r="CS800" s="180"/>
      <c r="CT800" s="180"/>
      <c r="CU800" s="180"/>
      <c r="CV800" s="180"/>
      <c r="CW800" s="180"/>
      <c r="CX800" s="180"/>
      <c r="CY800" s="180"/>
      <c r="CZ800" s="180"/>
      <c r="DA800" s="180"/>
      <c r="DB800" s="180"/>
    </row>
    <row r="801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  <c r="AG801" s="180"/>
      <c r="AH801" s="180"/>
      <c r="AI801" s="180"/>
      <c r="AJ801" s="180"/>
      <c r="AK801" s="180"/>
      <c r="AL801" s="180"/>
      <c r="AM801" s="180"/>
      <c r="AN801" s="180"/>
      <c r="AO801" s="180"/>
      <c r="AP801" s="180"/>
      <c r="AQ801" s="180"/>
      <c r="AR801" s="180"/>
      <c r="AS801" s="180"/>
      <c r="AT801" s="180"/>
      <c r="AU801" s="180"/>
      <c r="AV801" s="180"/>
      <c r="AW801" s="180"/>
      <c r="AX801" s="180"/>
      <c r="AY801" s="180"/>
      <c r="AZ801" s="180"/>
      <c r="BA801" s="180"/>
      <c r="BB801" s="180"/>
      <c r="BC801" s="180"/>
      <c r="BD801" s="180"/>
      <c r="BE801" s="180"/>
      <c r="BF801" s="180"/>
      <c r="BG801" s="180"/>
      <c r="BH801" s="180"/>
      <c r="BI801" s="180"/>
      <c r="BJ801" s="180"/>
      <c r="BK801" s="180"/>
      <c r="BL801" s="180"/>
      <c r="BM801" s="180"/>
      <c r="BN801" s="180"/>
      <c r="BO801" s="180"/>
      <c r="BP801" s="180"/>
      <c r="BQ801" s="180"/>
      <c r="BR801" s="180"/>
      <c r="BS801" s="180"/>
      <c r="BT801" s="180"/>
      <c r="BU801" s="180"/>
      <c r="BV801" s="180"/>
      <c r="BW801" s="180"/>
      <c r="BX801" s="180"/>
      <c r="BY801" s="180"/>
      <c r="BZ801" s="180"/>
      <c r="CA801" s="180"/>
      <c r="CB801" s="180"/>
      <c r="CC801" s="180"/>
      <c r="CD801" s="180"/>
      <c r="CE801" s="180"/>
      <c r="CF801" s="180"/>
      <c r="CG801" s="180"/>
      <c r="CH801" s="180"/>
      <c r="CI801" s="180"/>
      <c r="CJ801" s="180"/>
      <c r="CK801" s="180"/>
      <c r="CL801" s="180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</row>
    <row r="802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  <c r="AG802" s="180"/>
      <c r="AH802" s="180"/>
      <c r="AI802" s="180"/>
      <c r="AJ802" s="180"/>
      <c r="AK802" s="180"/>
      <c r="AL802" s="180"/>
      <c r="AM802" s="180"/>
      <c r="AN802" s="180"/>
      <c r="AO802" s="180"/>
      <c r="AP802" s="180"/>
      <c r="AQ802" s="180"/>
      <c r="AR802" s="180"/>
      <c r="AS802" s="180"/>
      <c r="AT802" s="180"/>
      <c r="AU802" s="180"/>
      <c r="AV802" s="180"/>
      <c r="AW802" s="180"/>
      <c r="AX802" s="180"/>
      <c r="AY802" s="180"/>
      <c r="AZ802" s="180"/>
      <c r="BA802" s="180"/>
      <c r="BB802" s="180"/>
      <c r="BC802" s="180"/>
      <c r="BD802" s="180"/>
      <c r="BE802" s="180"/>
      <c r="BF802" s="180"/>
      <c r="BG802" s="180"/>
      <c r="BH802" s="180"/>
      <c r="BI802" s="180"/>
      <c r="BJ802" s="180"/>
      <c r="BK802" s="180"/>
      <c r="BL802" s="180"/>
      <c r="BM802" s="180"/>
      <c r="BN802" s="180"/>
      <c r="BO802" s="180"/>
      <c r="BP802" s="180"/>
      <c r="BQ802" s="180"/>
      <c r="BR802" s="180"/>
      <c r="BS802" s="180"/>
      <c r="BT802" s="180"/>
      <c r="BU802" s="180"/>
      <c r="BV802" s="180"/>
      <c r="BW802" s="180"/>
      <c r="BX802" s="180"/>
      <c r="BY802" s="180"/>
      <c r="BZ802" s="180"/>
      <c r="CA802" s="180"/>
      <c r="CB802" s="180"/>
      <c r="CC802" s="180"/>
      <c r="CD802" s="180"/>
      <c r="CE802" s="180"/>
      <c r="CF802" s="180"/>
      <c r="CG802" s="180"/>
      <c r="CH802" s="180"/>
      <c r="CI802" s="180"/>
      <c r="CJ802" s="180"/>
      <c r="CK802" s="180"/>
      <c r="CL802" s="180"/>
      <c r="CM802" s="180"/>
      <c r="CN802" s="180"/>
      <c r="CO802" s="180"/>
      <c r="CP802" s="180"/>
      <c r="CQ802" s="180"/>
      <c r="CR802" s="180"/>
      <c r="CS802" s="180"/>
      <c r="CT802" s="180"/>
      <c r="CU802" s="180"/>
      <c r="CV802" s="180"/>
      <c r="CW802" s="180"/>
      <c r="CX802" s="180"/>
      <c r="CY802" s="180"/>
      <c r="CZ802" s="180"/>
      <c r="DA802" s="180"/>
      <c r="DB802" s="180"/>
    </row>
    <row r="803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  <c r="AG803" s="180"/>
      <c r="AH803" s="180"/>
      <c r="AI803" s="180"/>
      <c r="AJ803" s="180"/>
      <c r="AK803" s="180"/>
      <c r="AL803" s="180"/>
      <c r="AM803" s="180"/>
      <c r="AN803" s="180"/>
      <c r="AO803" s="180"/>
      <c r="AP803" s="180"/>
      <c r="AQ803" s="180"/>
      <c r="AR803" s="180"/>
      <c r="AS803" s="180"/>
      <c r="AT803" s="180"/>
      <c r="AU803" s="180"/>
      <c r="AV803" s="180"/>
      <c r="AW803" s="180"/>
      <c r="AX803" s="180"/>
      <c r="AY803" s="180"/>
      <c r="AZ803" s="180"/>
      <c r="BA803" s="180"/>
      <c r="BB803" s="180"/>
      <c r="BC803" s="180"/>
      <c r="BD803" s="180"/>
      <c r="BE803" s="180"/>
      <c r="BF803" s="180"/>
      <c r="BG803" s="180"/>
      <c r="BH803" s="180"/>
      <c r="BI803" s="180"/>
      <c r="BJ803" s="180"/>
      <c r="BK803" s="180"/>
      <c r="BL803" s="180"/>
      <c r="BM803" s="180"/>
      <c r="BN803" s="180"/>
      <c r="BO803" s="180"/>
      <c r="BP803" s="180"/>
      <c r="BQ803" s="180"/>
      <c r="BR803" s="180"/>
      <c r="BS803" s="180"/>
      <c r="BT803" s="180"/>
      <c r="BU803" s="180"/>
      <c r="BV803" s="180"/>
      <c r="BW803" s="180"/>
      <c r="BX803" s="180"/>
      <c r="BY803" s="180"/>
      <c r="BZ803" s="180"/>
      <c r="CA803" s="180"/>
      <c r="CB803" s="180"/>
      <c r="CC803" s="180"/>
      <c r="CD803" s="180"/>
      <c r="CE803" s="180"/>
      <c r="CF803" s="180"/>
      <c r="CG803" s="180"/>
      <c r="CH803" s="180"/>
      <c r="CI803" s="180"/>
      <c r="CJ803" s="180"/>
      <c r="CK803" s="180"/>
      <c r="CL803" s="180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</row>
    <row r="804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  <c r="AF804" s="180"/>
      <c r="AG804" s="180"/>
      <c r="AH804" s="180"/>
      <c r="AI804" s="180"/>
      <c r="AJ804" s="180"/>
      <c r="AK804" s="180"/>
      <c r="AL804" s="180"/>
      <c r="AM804" s="180"/>
      <c r="AN804" s="180"/>
      <c r="AO804" s="180"/>
      <c r="AP804" s="180"/>
      <c r="AQ804" s="180"/>
      <c r="AR804" s="180"/>
      <c r="AS804" s="180"/>
      <c r="AT804" s="180"/>
      <c r="AU804" s="180"/>
      <c r="AV804" s="180"/>
      <c r="AW804" s="180"/>
      <c r="AX804" s="180"/>
      <c r="AY804" s="180"/>
      <c r="AZ804" s="180"/>
      <c r="BA804" s="180"/>
      <c r="BB804" s="180"/>
      <c r="BC804" s="180"/>
      <c r="BD804" s="180"/>
      <c r="BE804" s="180"/>
      <c r="BF804" s="180"/>
      <c r="BG804" s="180"/>
      <c r="BH804" s="180"/>
      <c r="BI804" s="180"/>
      <c r="BJ804" s="180"/>
      <c r="BK804" s="180"/>
      <c r="BL804" s="180"/>
      <c r="BM804" s="180"/>
      <c r="BN804" s="180"/>
      <c r="BO804" s="180"/>
      <c r="BP804" s="180"/>
      <c r="BQ804" s="180"/>
      <c r="BR804" s="180"/>
      <c r="BS804" s="180"/>
      <c r="BT804" s="180"/>
      <c r="BU804" s="180"/>
      <c r="BV804" s="180"/>
      <c r="BW804" s="180"/>
      <c r="BX804" s="180"/>
      <c r="BY804" s="180"/>
      <c r="BZ804" s="180"/>
      <c r="CA804" s="180"/>
      <c r="CB804" s="180"/>
      <c r="CC804" s="180"/>
      <c r="CD804" s="180"/>
      <c r="CE804" s="180"/>
      <c r="CF804" s="180"/>
      <c r="CG804" s="180"/>
      <c r="CH804" s="180"/>
      <c r="CI804" s="180"/>
      <c r="CJ804" s="180"/>
      <c r="CK804" s="180"/>
      <c r="CL804" s="180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</row>
    <row r="805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  <c r="AF805" s="180"/>
      <c r="AG805" s="180"/>
      <c r="AH805" s="180"/>
      <c r="AI805" s="180"/>
      <c r="AJ805" s="180"/>
      <c r="AK805" s="180"/>
      <c r="AL805" s="180"/>
      <c r="AM805" s="180"/>
      <c r="AN805" s="180"/>
      <c r="AO805" s="180"/>
      <c r="AP805" s="180"/>
      <c r="AQ805" s="180"/>
      <c r="AR805" s="180"/>
      <c r="AS805" s="180"/>
      <c r="AT805" s="180"/>
      <c r="AU805" s="180"/>
      <c r="AV805" s="180"/>
      <c r="AW805" s="180"/>
      <c r="AX805" s="180"/>
      <c r="AY805" s="180"/>
      <c r="AZ805" s="180"/>
      <c r="BA805" s="180"/>
      <c r="BB805" s="180"/>
      <c r="BC805" s="180"/>
      <c r="BD805" s="180"/>
      <c r="BE805" s="180"/>
      <c r="BF805" s="180"/>
      <c r="BG805" s="180"/>
      <c r="BH805" s="180"/>
      <c r="BI805" s="180"/>
      <c r="BJ805" s="180"/>
      <c r="BK805" s="180"/>
      <c r="BL805" s="180"/>
      <c r="BM805" s="180"/>
      <c r="BN805" s="180"/>
      <c r="BO805" s="180"/>
      <c r="BP805" s="180"/>
      <c r="BQ805" s="180"/>
      <c r="BR805" s="180"/>
      <c r="BS805" s="180"/>
      <c r="BT805" s="180"/>
      <c r="BU805" s="180"/>
      <c r="BV805" s="180"/>
      <c r="BW805" s="180"/>
      <c r="BX805" s="180"/>
      <c r="BY805" s="180"/>
      <c r="BZ805" s="180"/>
      <c r="CA805" s="180"/>
      <c r="CB805" s="180"/>
      <c r="CC805" s="180"/>
      <c r="CD805" s="180"/>
      <c r="CE805" s="180"/>
      <c r="CF805" s="180"/>
      <c r="CG805" s="180"/>
      <c r="CH805" s="180"/>
      <c r="CI805" s="180"/>
      <c r="CJ805" s="180"/>
      <c r="CK805" s="180"/>
      <c r="CL805" s="180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</row>
    <row r="806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  <c r="AF806" s="180"/>
      <c r="AG806" s="180"/>
      <c r="AH806" s="180"/>
      <c r="AI806" s="180"/>
      <c r="AJ806" s="180"/>
      <c r="AK806" s="180"/>
      <c r="AL806" s="180"/>
      <c r="AM806" s="180"/>
      <c r="AN806" s="180"/>
      <c r="AO806" s="180"/>
      <c r="AP806" s="180"/>
      <c r="AQ806" s="180"/>
      <c r="AR806" s="180"/>
      <c r="AS806" s="180"/>
      <c r="AT806" s="180"/>
      <c r="AU806" s="180"/>
      <c r="AV806" s="180"/>
      <c r="AW806" s="180"/>
      <c r="AX806" s="180"/>
      <c r="AY806" s="180"/>
      <c r="AZ806" s="180"/>
      <c r="BA806" s="180"/>
      <c r="BB806" s="180"/>
      <c r="BC806" s="180"/>
      <c r="BD806" s="180"/>
      <c r="BE806" s="180"/>
      <c r="BF806" s="180"/>
      <c r="BG806" s="180"/>
      <c r="BH806" s="180"/>
      <c r="BI806" s="180"/>
      <c r="BJ806" s="180"/>
      <c r="BK806" s="180"/>
      <c r="BL806" s="180"/>
      <c r="BM806" s="180"/>
      <c r="BN806" s="180"/>
      <c r="BO806" s="180"/>
      <c r="BP806" s="180"/>
      <c r="BQ806" s="180"/>
      <c r="BR806" s="180"/>
      <c r="BS806" s="180"/>
      <c r="BT806" s="180"/>
      <c r="BU806" s="180"/>
      <c r="BV806" s="180"/>
      <c r="BW806" s="180"/>
      <c r="BX806" s="180"/>
      <c r="BY806" s="180"/>
      <c r="BZ806" s="180"/>
      <c r="CA806" s="180"/>
      <c r="CB806" s="180"/>
      <c r="CC806" s="180"/>
      <c r="CD806" s="180"/>
      <c r="CE806" s="180"/>
      <c r="CF806" s="180"/>
      <c r="CG806" s="180"/>
      <c r="CH806" s="180"/>
      <c r="CI806" s="180"/>
      <c r="CJ806" s="180"/>
      <c r="CK806" s="180"/>
      <c r="CL806" s="180"/>
      <c r="CM806" s="180"/>
      <c r="CN806" s="180"/>
      <c r="CO806" s="180"/>
      <c r="CP806" s="180"/>
      <c r="CQ806" s="180"/>
      <c r="CR806" s="180"/>
      <c r="CS806" s="180"/>
      <c r="CT806" s="180"/>
      <c r="CU806" s="180"/>
      <c r="CV806" s="180"/>
      <c r="CW806" s="180"/>
      <c r="CX806" s="180"/>
      <c r="CY806" s="180"/>
      <c r="CZ806" s="180"/>
      <c r="DA806" s="180"/>
      <c r="DB806" s="180"/>
    </row>
    <row r="807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  <c r="AF807" s="180"/>
      <c r="AG807" s="180"/>
      <c r="AH807" s="180"/>
      <c r="AI807" s="180"/>
      <c r="AJ807" s="180"/>
      <c r="AK807" s="180"/>
      <c r="AL807" s="180"/>
      <c r="AM807" s="180"/>
      <c r="AN807" s="180"/>
      <c r="AO807" s="180"/>
      <c r="AP807" s="180"/>
      <c r="AQ807" s="180"/>
      <c r="AR807" s="180"/>
      <c r="AS807" s="180"/>
      <c r="AT807" s="180"/>
      <c r="AU807" s="180"/>
      <c r="AV807" s="180"/>
      <c r="AW807" s="180"/>
      <c r="AX807" s="180"/>
      <c r="AY807" s="180"/>
      <c r="AZ807" s="180"/>
      <c r="BA807" s="180"/>
      <c r="BB807" s="180"/>
      <c r="BC807" s="180"/>
      <c r="BD807" s="180"/>
      <c r="BE807" s="180"/>
      <c r="BF807" s="180"/>
      <c r="BG807" s="180"/>
      <c r="BH807" s="180"/>
      <c r="BI807" s="180"/>
      <c r="BJ807" s="180"/>
      <c r="BK807" s="180"/>
      <c r="BL807" s="180"/>
      <c r="BM807" s="180"/>
      <c r="BN807" s="180"/>
      <c r="BO807" s="180"/>
      <c r="BP807" s="180"/>
      <c r="BQ807" s="180"/>
      <c r="BR807" s="180"/>
      <c r="BS807" s="180"/>
      <c r="BT807" s="180"/>
      <c r="BU807" s="180"/>
      <c r="BV807" s="180"/>
      <c r="BW807" s="180"/>
      <c r="BX807" s="180"/>
      <c r="BY807" s="180"/>
      <c r="BZ807" s="180"/>
      <c r="CA807" s="180"/>
      <c r="CB807" s="180"/>
      <c r="CC807" s="180"/>
      <c r="CD807" s="180"/>
      <c r="CE807" s="180"/>
      <c r="CF807" s="180"/>
      <c r="CG807" s="180"/>
      <c r="CH807" s="180"/>
      <c r="CI807" s="180"/>
      <c r="CJ807" s="180"/>
      <c r="CK807" s="180"/>
      <c r="CL807" s="180"/>
      <c r="CM807" s="180"/>
      <c r="CN807" s="180"/>
      <c r="CO807" s="180"/>
      <c r="CP807" s="180"/>
      <c r="CQ807" s="180"/>
      <c r="CR807" s="180"/>
      <c r="CS807" s="180"/>
      <c r="CT807" s="180"/>
      <c r="CU807" s="180"/>
      <c r="CV807" s="180"/>
      <c r="CW807" s="180"/>
      <c r="CX807" s="180"/>
      <c r="CY807" s="180"/>
      <c r="CZ807" s="180"/>
      <c r="DA807" s="180"/>
      <c r="DB807" s="180"/>
    </row>
    <row r="808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  <c r="AF808" s="180"/>
      <c r="AG808" s="180"/>
      <c r="AH808" s="180"/>
      <c r="AI808" s="180"/>
      <c r="AJ808" s="180"/>
      <c r="AK808" s="180"/>
      <c r="AL808" s="180"/>
      <c r="AM808" s="180"/>
      <c r="AN808" s="180"/>
      <c r="AO808" s="180"/>
      <c r="AP808" s="180"/>
      <c r="AQ808" s="180"/>
      <c r="AR808" s="180"/>
      <c r="AS808" s="180"/>
      <c r="AT808" s="180"/>
      <c r="AU808" s="180"/>
      <c r="AV808" s="180"/>
      <c r="AW808" s="180"/>
      <c r="AX808" s="180"/>
      <c r="AY808" s="180"/>
      <c r="AZ808" s="180"/>
      <c r="BA808" s="180"/>
      <c r="BB808" s="180"/>
      <c r="BC808" s="180"/>
      <c r="BD808" s="180"/>
      <c r="BE808" s="180"/>
      <c r="BF808" s="180"/>
      <c r="BG808" s="180"/>
      <c r="BH808" s="180"/>
      <c r="BI808" s="180"/>
      <c r="BJ808" s="180"/>
      <c r="BK808" s="180"/>
      <c r="BL808" s="180"/>
      <c r="BM808" s="180"/>
      <c r="BN808" s="180"/>
      <c r="BO808" s="180"/>
      <c r="BP808" s="180"/>
      <c r="BQ808" s="180"/>
      <c r="BR808" s="180"/>
      <c r="BS808" s="180"/>
      <c r="BT808" s="180"/>
      <c r="BU808" s="180"/>
      <c r="BV808" s="180"/>
      <c r="BW808" s="180"/>
      <c r="BX808" s="180"/>
      <c r="BY808" s="180"/>
      <c r="BZ808" s="180"/>
      <c r="CA808" s="180"/>
      <c r="CB808" s="180"/>
      <c r="CC808" s="180"/>
      <c r="CD808" s="180"/>
      <c r="CE808" s="180"/>
      <c r="CF808" s="180"/>
      <c r="CG808" s="180"/>
      <c r="CH808" s="180"/>
      <c r="CI808" s="180"/>
      <c r="CJ808" s="180"/>
      <c r="CK808" s="180"/>
      <c r="CL808" s="180"/>
      <c r="CM808" s="180"/>
      <c r="CN808" s="180"/>
      <c r="CO808" s="180"/>
      <c r="CP808" s="180"/>
      <c r="CQ808" s="180"/>
      <c r="CR808" s="180"/>
      <c r="CS808" s="180"/>
      <c r="CT808" s="180"/>
      <c r="CU808" s="180"/>
      <c r="CV808" s="180"/>
      <c r="CW808" s="180"/>
      <c r="CX808" s="180"/>
      <c r="CY808" s="180"/>
      <c r="CZ808" s="180"/>
      <c r="DA808" s="180"/>
      <c r="DB808" s="180"/>
    </row>
    <row r="809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  <c r="AF809" s="180"/>
      <c r="AG809" s="180"/>
      <c r="AH809" s="180"/>
      <c r="AI809" s="180"/>
      <c r="AJ809" s="180"/>
      <c r="AK809" s="180"/>
      <c r="AL809" s="180"/>
      <c r="AM809" s="180"/>
      <c r="AN809" s="180"/>
      <c r="AO809" s="180"/>
      <c r="AP809" s="180"/>
      <c r="AQ809" s="180"/>
      <c r="AR809" s="180"/>
      <c r="AS809" s="180"/>
      <c r="AT809" s="180"/>
      <c r="AU809" s="180"/>
      <c r="AV809" s="180"/>
      <c r="AW809" s="180"/>
      <c r="AX809" s="180"/>
      <c r="AY809" s="180"/>
      <c r="AZ809" s="180"/>
      <c r="BA809" s="180"/>
      <c r="BB809" s="180"/>
      <c r="BC809" s="180"/>
      <c r="BD809" s="180"/>
      <c r="BE809" s="180"/>
      <c r="BF809" s="180"/>
      <c r="BG809" s="180"/>
      <c r="BH809" s="180"/>
      <c r="BI809" s="180"/>
      <c r="BJ809" s="180"/>
      <c r="BK809" s="180"/>
      <c r="BL809" s="180"/>
      <c r="BM809" s="180"/>
      <c r="BN809" s="180"/>
      <c r="BO809" s="180"/>
      <c r="BP809" s="180"/>
      <c r="BQ809" s="180"/>
      <c r="BR809" s="180"/>
      <c r="BS809" s="180"/>
      <c r="BT809" s="180"/>
      <c r="BU809" s="180"/>
      <c r="BV809" s="180"/>
      <c r="BW809" s="180"/>
      <c r="BX809" s="180"/>
      <c r="BY809" s="180"/>
      <c r="BZ809" s="180"/>
      <c r="CA809" s="180"/>
      <c r="CB809" s="180"/>
      <c r="CC809" s="180"/>
      <c r="CD809" s="180"/>
      <c r="CE809" s="180"/>
      <c r="CF809" s="180"/>
      <c r="CG809" s="180"/>
      <c r="CH809" s="180"/>
      <c r="CI809" s="180"/>
      <c r="CJ809" s="180"/>
      <c r="CK809" s="180"/>
      <c r="CL809" s="180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</row>
    <row r="810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0"/>
      <c r="AG810" s="180"/>
      <c r="AH810" s="180"/>
      <c r="AI810" s="180"/>
      <c r="AJ810" s="180"/>
      <c r="AK810" s="180"/>
      <c r="AL810" s="180"/>
      <c r="AM810" s="180"/>
      <c r="AN810" s="180"/>
      <c r="AO810" s="180"/>
      <c r="AP810" s="180"/>
      <c r="AQ810" s="180"/>
      <c r="AR810" s="180"/>
      <c r="AS810" s="180"/>
      <c r="AT810" s="180"/>
      <c r="AU810" s="180"/>
      <c r="AV810" s="180"/>
      <c r="AW810" s="180"/>
      <c r="AX810" s="180"/>
      <c r="AY810" s="180"/>
      <c r="AZ810" s="180"/>
      <c r="BA810" s="180"/>
      <c r="BB810" s="180"/>
      <c r="BC810" s="180"/>
      <c r="BD810" s="180"/>
      <c r="BE810" s="180"/>
      <c r="BF810" s="180"/>
      <c r="BG810" s="180"/>
      <c r="BH810" s="180"/>
      <c r="BI810" s="180"/>
      <c r="BJ810" s="180"/>
      <c r="BK810" s="180"/>
      <c r="BL810" s="180"/>
      <c r="BM810" s="180"/>
      <c r="BN810" s="180"/>
      <c r="BO810" s="180"/>
      <c r="BP810" s="180"/>
      <c r="BQ810" s="180"/>
      <c r="BR810" s="180"/>
      <c r="BS810" s="180"/>
      <c r="BT810" s="180"/>
      <c r="BU810" s="180"/>
      <c r="BV810" s="180"/>
      <c r="BW810" s="180"/>
      <c r="BX810" s="180"/>
      <c r="BY810" s="180"/>
      <c r="BZ810" s="180"/>
      <c r="CA810" s="180"/>
      <c r="CB810" s="180"/>
      <c r="CC810" s="180"/>
      <c r="CD810" s="180"/>
      <c r="CE810" s="180"/>
      <c r="CF810" s="180"/>
      <c r="CG810" s="180"/>
      <c r="CH810" s="180"/>
      <c r="CI810" s="180"/>
      <c r="CJ810" s="180"/>
      <c r="CK810" s="180"/>
      <c r="CL810" s="180"/>
      <c r="CM810" s="180"/>
      <c r="CN810" s="180"/>
      <c r="CO810" s="180"/>
      <c r="CP810" s="180"/>
      <c r="CQ810" s="180"/>
      <c r="CR810" s="180"/>
      <c r="CS810" s="180"/>
      <c r="CT810" s="180"/>
      <c r="CU810" s="180"/>
      <c r="CV810" s="180"/>
      <c r="CW810" s="180"/>
      <c r="CX810" s="180"/>
      <c r="CY810" s="180"/>
      <c r="CZ810" s="180"/>
      <c r="DA810" s="180"/>
      <c r="DB810" s="180"/>
    </row>
    <row r="811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  <c r="AK811" s="180"/>
      <c r="AL811" s="180"/>
      <c r="AM811" s="180"/>
      <c r="AN811" s="180"/>
      <c r="AO811" s="180"/>
      <c r="AP811" s="180"/>
      <c r="AQ811" s="180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0"/>
      <c r="BB811" s="180"/>
      <c r="BC811" s="180"/>
      <c r="BD811" s="180"/>
      <c r="BE811" s="180"/>
      <c r="BF811" s="180"/>
      <c r="BG811" s="180"/>
      <c r="BH811" s="180"/>
      <c r="BI811" s="180"/>
      <c r="BJ811" s="180"/>
      <c r="BK811" s="180"/>
      <c r="BL811" s="180"/>
      <c r="BM811" s="180"/>
      <c r="BN811" s="180"/>
      <c r="BO811" s="180"/>
      <c r="BP811" s="180"/>
      <c r="BQ811" s="180"/>
      <c r="BR811" s="180"/>
      <c r="BS811" s="180"/>
      <c r="BT811" s="180"/>
      <c r="BU811" s="180"/>
      <c r="BV811" s="180"/>
      <c r="BW811" s="180"/>
      <c r="BX811" s="180"/>
      <c r="BY811" s="180"/>
      <c r="BZ811" s="180"/>
      <c r="CA811" s="180"/>
      <c r="CB811" s="180"/>
      <c r="CC811" s="180"/>
      <c r="CD811" s="180"/>
      <c r="CE811" s="180"/>
      <c r="CF811" s="180"/>
      <c r="CG811" s="180"/>
      <c r="CH811" s="180"/>
      <c r="CI811" s="180"/>
      <c r="CJ811" s="180"/>
      <c r="CK811" s="180"/>
      <c r="CL811" s="180"/>
      <c r="CM811" s="180"/>
      <c r="CN811" s="180"/>
      <c r="CO811" s="180"/>
      <c r="CP811" s="180"/>
      <c r="CQ811" s="180"/>
      <c r="CR811" s="180"/>
      <c r="CS811" s="180"/>
      <c r="CT811" s="180"/>
      <c r="CU811" s="180"/>
      <c r="CV811" s="180"/>
      <c r="CW811" s="180"/>
      <c r="CX811" s="180"/>
      <c r="CY811" s="180"/>
      <c r="CZ811" s="180"/>
      <c r="DA811" s="180"/>
      <c r="DB811" s="180"/>
    </row>
    <row r="812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0"/>
      <c r="AG812" s="180"/>
      <c r="AH812" s="180"/>
      <c r="AI812" s="180"/>
      <c r="AJ812" s="180"/>
      <c r="AK812" s="180"/>
      <c r="AL812" s="180"/>
      <c r="AM812" s="180"/>
      <c r="AN812" s="180"/>
      <c r="AO812" s="180"/>
      <c r="AP812" s="180"/>
      <c r="AQ812" s="180"/>
      <c r="AR812" s="180"/>
      <c r="AS812" s="180"/>
      <c r="AT812" s="180"/>
      <c r="AU812" s="180"/>
      <c r="AV812" s="180"/>
      <c r="AW812" s="180"/>
      <c r="AX812" s="180"/>
      <c r="AY812" s="180"/>
      <c r="AZ812" s="180"/>
      <c r="BA812" s="180"/>
      <c r="BB812" s="180"/>
      <c r="BC812" s="180"/>
      <c r="BD812" s="180"/>
      <c r="BE812" s="180"/>
      <c r="BF812" s="180"/>
      <c r="BG812" s="180"/>
      <c r="BH812" s="180"/>
      <c r="BI812" s="180"/>
      <c r="BJ812" s="180"/>
      <c r="BK812" s="180"/>
      <c r="BL812" s="180"/>
      <c r="BM812" s="180"/>
      <c r="BN812" s="180"/>
      <c r="BO812" s="180"/>
      <c r="BP812" s="180"/>
      <c r="BQ812" s="180"/>
      <c r="BR812" s="180"/>
      <c r="BS812" s="180"/>
      <c r="BT812" s="180"/>
      <c r="BU812" s="180"/>
      <c r="BV812" s="180"/>
      <c r="BW812" s="180"/>
      <c r="BX812" s="180"/>
      <c r="BY812" s="180"/>
      <c r="BZ812" s="180"/>
      <c r="CA812" s="180"/>
      <c r="CB812" s="180"/>
      <c r="CC812" s="180"/>
      <c r="CD812" s="180"/>
      <c r="CE812" s="180"/>
      <c r="CF812" s="180"/>
      <c r="CG812" s="180"/>
      <c r="CH812" s="180"/>
      <c r="CI812" s="180"/>
      <c r="CJ812" s="180"/>
      <c r="CK812" s="180"/>
      <c r="CL812" s="180"/>
      <c r="CM812" s="180"/>
      <c r="CN812" s="180"/>
      <c r="CO812" s="180"/>
      <c r="CP812" s="180"/>
      <c r="CQ812" s="180"/>
      <c r="CR812" s="180"/>
      <c r="CS812" s="180"/>
      <c r="CT812" s="180"/>
      <c r="CU812" s="180"/>
      <c r="CV812" s="180"/>
      <c r="CW812" s="180"/>
      <c r="CX812" s="180"/>
      <c r="CY812" s="180"/>
      <c r="CZ812" s="180"/>
      <c r="DA812" s="180"/>
      <c r="DB812" s="180"/>
    </row>
    <row r="813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  <c r="AF813" s="180"/>
      <c r="AG813" s="180"/>
      <c r="AH813" s="180"/>
      <c r="AI813" s="180"/>
      <c r="AJ813" s="180"/>
      <c r="AK813" s="180"/>
      <c r="AL813" s="180"/>
      <c r="AM813" s="180"/>
      <c r="AN813" s="180"/>
      <c r="AO813" s="180"/>
      <c r="AP813" s="180"/>
      <c r="AQ813" s="180"/>
      <c r="AR813" s="180"/>
      <c r="AS813" s="180"/>
      <c r="AT813" s="180"/>
      <c r="AU813" s="180"/>
      <c r="AV813" s="180"/>
      <c r="AW813" s="180"/>
      <c r="AX813" s="180"/>
      <c r="AY813" s="180"/>
      <c r="AZ813" s="180"/>
      <c r="BA813" s="180"/>
      <c r="BB813" s="180"/>
      <c r="BC813" s="180"/>
      <c r="BD813" s="180"/>
      <c r="BE813" s="180"/>
      <c r="BF813" s="180"/>
      <c r="BG813" s="180"/>
      <c r="BH813" s="180"/>
      <c r="BI813" s="180"/>
      <c r="BJ813" s="180"/>
      <c r="BK813" s="180"/>
      <c r="BL813" s="180"/>
      <c r="BM813" s="180"/>
      <c r="BN813" s="180"/>
      <c r="BO813" s="180"/>
      <c r="BP813" s="180"/>
      <c r="BQ813" s="180"/>
      <c r="BR813" s="180"/>
      <c r="BS813" s="180"/>
      <c r="BT813" s="180"/>
      <c r="BU813" s="180"/>
      <c r="BV813" s="180"/>
      <c r="BW813" s="180"/>
      <c r="BX813" s="180"/>
      <c r="BY813" s="180"/>
      <c r="BZ813" s="180"/>
      <c r="CA813" s="180"/>
      <c r="CB813" s="180"/>
      <c r="CC813" s="180"/>
      <c r="CD813" s="180"/>
      <c r="CE813" s="180"/>
      <c r="CF813" s="180"/>
      <c r="CG813" s="180"/>
      <c r="CH813" s="180"/>
      <c r="CI813" s="180"/>
      <c r="CJ813" s="180"/>
      <c r="CK813" s="180"/>
      <c r="CL813" s="180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</row>
    <row r="814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  <c r="AF814" s="180"/>
      <c r="AG814" s="180"/>
      <c r="AH814" s="180"/>
      <c r="AI814" s="180"/>
      <c r="AJ814" s="180"/>
      <c r="AK814" s="180"/>
      <c r="AL814" s="180"/>
      <c r="AM814" s="180"/>
      <c r="AN814" s="180"/>
      <c r="AO814" s="180"/>
      <c r="AP814" s="180"/>
      <c r="AQ814" s="180"/>
      <c r="AR814" s="180"/>
      <c r="AS814" s="180"/>
      <c r="AT814" s="180"/>
      <c r="AU814" s="180"/>
      <c r="AV814" s="180"/>
      <c r="AW814" s="180"/>
      <c r="AX814" s="180"/>
      <c r="AY814" s="180"/>
      <c r="AZ814" s="180"/>
      <c r="BA814" s="180"/>
      <c r="BB814" s="180"/>
      <c r="BC814" s="180"/>
      <c r="BD814" s="180"/>
      <c r="BE814" s="180"/>
      <c r="BF814" s="180"/>
      <c r="BG814" s="180"/>
      <c r="BH814" s="180"/>
      <c r="BI814" s="180"/>
      <c r="BJ814" s="180"/>
      <c r="BK814" s="180"/>
      <c r="BL814" s="180"/>
      <c r="BM814" s="180"/>
      <c r="BN814" s="180"/>
      <c r="BO814" s="180"/>
      <c r="BP814" s="180"/>
      <c r="BQ814" s="180"/>
      <c r="BR814" s="180"/>
      <c r="BS814" s="180"/>
      <c r="BT814" s="180"/>
      <c r="BU814" s="180"/>
      <c r="BV814" s="180"/>
      <c r="BW814" s="180"/>
      <c r="BX814" s="180"/>
      <c r="BY814" s="180"/>
      <c r="BZ814" s="180"/>
      <c r="CA814" s="180"/>
      <c r="CB814" s="180"/>
      <c r="CC814" s="180"/>
      <c r="CD814" s="180"/>
      <c r="CE814" s="180"/>
      <c r="CF814" s="180"/>
      <c r="CG814" s="180"/>
      <c r="CH814" s="180"/>
      <c r="CI814" s="180"/>
      <c r="CJ814" s="180"/>
      <c r="CK814" s="180"/>
      <c r="CL814" s="180"/>
      <c r="CM814" s="180"/>
      <c r="CN814" s="180"/>
      <c r="CO814" s="180"/>
      <c r="CP814" s="180"/>
      <c r="CQ814" s="180"/>
      <c r="CR814" s="180"/>
      <c r="CS814" s="180"/>
      <c r="CT814" s="180"/>
      <c r="CU814" s="180"/>
      <c r="CV814" s="180"/>
      <c r="CW814" s="180"/>
      <c r="CX814" s="180"/>
      <c r="CY814" s="180"/>
      <c r="CZ814" s="180"/>
      <c r="DA814" s="180"/>
      <c r="DB814" s="180"/>
    </row>
    <row r="815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0"/>
      <c r="AN815" s="180"/>
      <c r="AO815" s="180"/>
      <c r="AP815" s="180"/>
      <c r="AQ815" s="180"/>
      <c r="AR815" s="180"/>
      <c r="AS815" s="180"/>
      <c r="AT815" s="180"/>
      <c r="AU815" s="180"/>
      <c r="AV815" s="180"/>
      <c r="AW815" s="180"/>
      <c r="AX815" s="180"/>
      <c r="AY815" s="180"/>
      <c r="AZ815" s="180"/>
      <c r="BA815" s="180"/>
      <c r="BB815" s="180"/>
      <c r="BC815" s="180"/>
      <c r="BD815" s="180"/>
      <c r="BE815" s="180"/>
      <c r="BF815" s="180"/>
      <c r="BG815" s="180"/>
      <c r="BH815" s="180"/>
      <c r="BI815" s="180"/>
      <c r="BJ815" s="180"/>
      <c r="BK815" s="180"/>
      <c r="BL815" s="180"/>
      <c r="BM815" s="180"/>
      <c r="BN815" s="180"/>
      <c r="BO815" s="180"/>
      <c r="BP815" s="180"/>
      <c r="BQ815" s="180"/>
      <c r="BR815" s="180"/>
      <c r="BS815" s="180"/>
      <c r="BT815" s="180"/>
      <c r="BU815" s="180"/>
      <c r="BV815" s="180"/>
      <c r="BW815" s="180"/>
      <c r="BX815" s="180"/>
      <c r="BY815" s="180"/>
      <c r="BZ815" s="180"/>
      <c r="CA815" s="180"/>
      <c r="CB815" s="180"/>
      <c r="CC815" s="180"/>
      <c r="CD815" s="180"/>
      <c r="CE815" s="180"/>
      <c r="CF815" s="180"/>
      <c r="CG815" s="180"/>
      <c r="CH815" s="180"/>
      <c r="CI815" s="180"/>
      <c r="CJ815" s="180"/>
      <c r="CK815" s="180"/>
      <c r="CL815" s="180"/>
      <c r="CM815" s="180"/>
      <c r="CN815" s="180"/>
      <c r="CO815" s="180"/>
      <c r="CP815" s="180"/>
      <c r="CQ815" s="180"/>
      <c r="CR815" s="180"/>
      <c r="CS815" s="180"/>
      <c r="CT815" s="180"/>
      <c r="CU815" s="180"/>
      <c r="CV815" s="180"/>
      <c r="CW815" s="180"/>
      <c r="CX815" s="180"/>
      <c r="CY815" s="180"/>
      <c r="CZ815" s="180"/>
      <c r="DA815" s="180"/>
      <c r="DB815" s="180"/>
    </row>
    <row r="816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  <c r="AF816" s="180"/>
      <c r="AG816" s="180"/>
      <c r="AH816" s="180"/>
      <c r="AI816" s="180"/>
      <c r="AJ816" s="180"/>
      <c r="AK816" s="180"/>
      <c r="AL816" s="180"/>
      <c r="AM816" s="180"/>
      <c r="AN816" s="180"/>
      <c r="AO816" s="180"/>
      <c r="AP816" s="180"/>
      <c r="AQ816" s="180"/>
      <c r="AR816" s="180"/>
      <c r="AS816" s="180"/>
      <c r="AT816" s="180"/>
      <c r="AU816" s="180"/>
      <c r="AV816" s="180"/>
      <c r="AW816" s="180"/>
      <c r="AX816" s="180"/>
      <c r="AY816" s="180"/>
      <c r="AZ816" s="180"/>
      <c r="BA816" s="180"/>
      <c r="BB816" s="180"/>
      <c r="BC816" s="180"/>
      <c r="BD816" s="180"/>
      <c r="BE816" s="180"/>
      <c r="BF816" s="180"/>
      <c r="BG816" s="180"/>
      <c r="BH816" s="180"/>
      <c r="BI816" s="180"/>
      <c r="BJ816" s="180"/>
      <c r="BK816" s="180"/>
      <c r="BL816" s="180"/>
      <c r="BM816" s="180"/>
      <c r="BN816" s="180"/>
      <c r="BO816" s="180"/>
      <c r="BP816" s="180"/>
      <c r="BQ816" s="180"/>
      <c r="BR816" s="180"/>
      <c r="BS816" s="180"/>
      <c r="BT816" s="180"/>
      <c r="BU816" s="180"/>
      <c r="BV816" s="180"/>
      <c r="BW816" s="180"/>
      <c r="BX816" s="180"/>
      <c r="BY816" s="180"/>
      <c r="BZ816" s="180"/>
      <c r="CA816" s="180"/>
      <c r="CB816" s="180"/>
      <c r="CC816" s="180"/>
      <c r="CD816" s="180"/>
      <c r="CE816" s="180"/>
      <c r="CF816" s="180"/>
      <c r="CG816" s="180"/>
      <c r="CH816" s="180"/>
      <c r="CI816" s="180"/>
      <c r="CJ816" s="180"/>
      <c r="CK816" s="180"/>
      <c r="CL816" s="180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</row>
    <row r="817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180"/>
      <c r="R817" s="180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  <c r="AF817" s="180"/>
      <c r="AG817" s="180"/>
      <c r="AH817" s="180"/>
      <c r="AI817" s="180"/>
      <c r="AJ817" s="180"/>
      <c r="AK817" s="180"/>
      <c r="AL817" s="180"/>
      <c r="AM817" s="180"/>
      <c r="AN817" s="180"/>
      <c r="AO817" s="180"/>
      <c r="AP817" s="180"/>
      <c r="AQ817" s="180"/>
      <c r="AR817" s="180"/>
      <c r="AS817" s="180"/>
      <c r="AT817" s="180"/>
      <c r="AU817" s="180"/>
      <c r="AV817" s="180"/>
      <c r="AW817" s="180"/>
      <c r="AX817" s="180"/>
      <c r="AY817" s="180"/>
      <c r="AZ817" s="180"/>
      <c r="BA817" s="180"/>
      <c r="BB817" s="180"/>
      <c r="BC817" s="180"/>
      <c r="BD817" s="180"/>
      <c r="BE817" s="180"/>
      <c r="BF817" s="180"/>
      <c r="BG817" s="180"/>
      <c r="BH817" s="180"/>
      <c r="BI817" s="180"/>
      <c r="BJ817" s="180"/>
      <c r="BK817" s="180"/>
      <c r="BL817" s="180"/>
      <c r="BM817" s="180"/>
      <c r="BN817" s="180"/>
      <c r="BO817" s="180"/>
      <c r="BP817" s="180"/>
      <c r="BQ817" s="180"/>
      <c r="BR817" s="180"/>
      <c r="BS817" s="180"/>
      <c r="BT817" s="180"/>
      <c r="BU817" s="180"/>
      <c r="BV817" s="180"/>
      <c r="BW817" s="180"/>
      <c r="BX817" s="180"/>
      <c r="BY817" s="180"/>
      <c r="BZ817" s="180"/>
      <c r="CA817" s="180"/>
      <c r="CB817" s="180"/>
      <c r="CC817" s="180"/>
      <c r="CD817" s="180"/>
      <c r="CE817" s="180"/>
      <c r="CF817" s="180"/>
      <c r="CG817" s="180"/>
      <c r="CH817" s="180"/>
      <c r="CI817" s="180"/>
      <c r="CJ817" s="180"/>
      <c r="CK817" s="180"/>
      <c r="CL817" s="180"/>
      <c r="CM817" s="180"/>
      <c r="CN817" s="180"/>
      <c r="CO817" s="180"/>
      <c r="CP817" s="180"/>
      <c r="CQ817" s="180"/>
      <c r="CR817" s="180"/>
      <c r="CS817" s="180"/>
      <c r="CT817" s="180"/>
      <c r="CU817" s="180"/>
      <c r="CV817" s="180"/>
      <c r="CW817" s="180"/>
      <c r="CX817" s="180"/>
      <c r="CY817" s="180"/>
      <c r="CZ817" s="180"/>
      <c r="DA817" s="180"/>
      <c r="DB817" s="180"/>
    </row>
    <row r="818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  <c r="AF818" s="180"/>
      <c r="AG818" s="180"/>
      <c r="AH818" s="180"/>
      <c r="AI818" s="180"/>
      <c r="AJ818" s="180"/>
      <c r="AK818" s="180"/>
      <c r="AL818" s="180"/>
      <c r="AM818" s="180"/>
      <c r="AN818" s="180"/>
      <c r="AO818" s="180"/>
      <c r="AP818" s="180"/>
      <c r="AQ818" s="180"/>
      <c r="AR818" s="180"/>
      <c r="AS818" s="180"/>
      <c r="AT818" s="180"/>
      <c r="AU818" s="180"/>
      <c r="AV818" s="180"/>
      <c r="AW818" s="180"/>
      <c r="AX818" s="180"/>
      <c r="AY818" s="180"/>
      <c r="AZ818" s="180"/>
      <c r="BA818" s="180"/>
      <c r="BB818" s="180"/>
      <c r="BC818" s="180"/>
      <c r="BD818" s="180"/>
      <c r="BE818" s="180"/>
      <c r="BF818" s="180"/>
      <c r="BG818" s="180"/>
      <c r="BH818" s="180"/>
      <c r="BI818" s="180"/>
      <c r="BJ818" s="180"/>
      <c r="BK818" s="180"/>
      <c r="BL818" s="180"/>
      <c r="BM818" s="180"/>
      <c r="BN818" s="180"/>
      <c r="BO818" s="180"/>
      <c r="BP818" s="180"/>
      <c r="BQ818" s="180"/>
      <c r="BR818" s="180"/>
      <c r="BS818" s="180"/>
      <c r="BT818" s="180"/>
      <c r="BU818" s="180"/>
      <c r="BV818" s="180"/>
      <c r="BW818" s="180"/>
      <c r="BX818" s="180"/>
      <c r="BY818" s="180"/>
      <c r="BZ818" s="180"/>
      <c r="CA818" s="180"/>
      <c r="CB818" s="180"/>
      <c r="CC818" s="180"/>
      <c r="CD818" s="180"/>
      <c r="CE818" s="180"/>
      <c r="CF818" s="180"/>
      <c r="CG818" s="180"/>
      <c r="CH818" s="180"/>
      <c r="CI818" s="180"/>
      <c r="CJ818" s="180"/>
      <c r="CK818" s="180"/>
      <c r="CL818" s="180"/>
      <c r="CM818" s="180"/>
      <c r="CN818" s="180"/>
      <c r="CO818" s="180"/>
      <c r="CP818" s="180"/>
      <c r="CQ818" s="180"/>
      <c r="CR818" s="180"/>
      <c r="CS818" s="180"/>
      <c r="CT818" s="180"/>
      <c r="CU818" s="180"/>
      <c r="CV818" s="180"/>
      <c r="CW818" s="180"/>
      <c r="CX818" s="180"/>
      <c r="CY818" s="180"/>
      <c r="CZ818" s="180"/>
      <c r="DA818" s="180"/>
      <c r="DB818" s="180"/>
    </row>
    <row r="819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  <c r="AF819" s="180"/>
      <c r="AG819" s="180"/>
      <c r="AH819" s="180"/>
      <c r="AI819" s="180"/>
      <c r="AJ819" s="180"/>
      <c r="AK819" s="180"/>
      <c r="AL819" s="180"/>
      <c r="AM819" s="180"/>
      <c r="AN819" s="180"/>
      <c r="AO819" s="180"/>
      <c r="AP819" s="180"/>
      <c r="AQ819" s="180"/>
      <c r="AR819" s="180"/>
      <c r="AS819" s="180"/>
      <c r="AT819" s="180"/>
      <c r="AU819" s="180"/>
      <c r="AV819" s="180"/>
      <c r="AW819" s="180"/>
      <c r="AX819" s="180"/>
      <c r="AY819" s="180"/>
      <c r="AZ819" s="180"/>
      <c r="BA819" s="180"/>
      <c r="BB819" s="180"/>
      <c r="BC819" s="180"/>
      <c r="BD819" s="180"/>
      <c r="BE819" s="180"/>
      <c r="BF819" s="180"/>
      <c r="BG819" s="180"/>
      <c r="BH819" s="180"/>
      <c r="BI819" s="180"/>
      <c r="BJ819" s="180"/>
      <c r="BK819" s="180"/>
      <c r="BL819" s="180"/>
      <c r="BM819" s="180"/>
      <c r="BN819" s="180"/>
      <c r="BO819" s="180"/>
      <c r="BP819" s="180"/>
      <c r="BQ819" s="180"/>
      <c r="BR819" s="180"/>
      <c r="BS819" s="180"/>
      <c r="BT819" s="180"/>
      <c r="BU819" s="180"/>
      <c r="BV819" s="180"/>
      <c r="BW819" s="180"/>
      <c r="BX819" s="180"/>
      <c r="BY819" s="180"/>
      <c r="BZ819" s="180"/>
      <c r="CA819" s="180"/>
      <c r="CB819" s="180"/>
      <c r="CC819" s="180"/>
      <c r="CD819" s="180"/>
      <c r="CE819" s="180"/>
      <c r="CF819" s="180"/>
      <c r="CG819" s="180"/>
      <c r="CH819" s="180"/>
      <c r="CI819" s="180"/>
      <c r="CJ819" s="180"/>
      <c r="CK819" s="180"/>
      <c r="CL819" s="180"/>
      <c r="CM819" s="180"/>
      <c r="CN819" s="180"/>
      <c r="CO819" s="180"/>
      <c r="CP819" s="180"/>
      <c r="CQ819" s="180"/>
      <c r="CR819" s="180"/>
      <c r="CS819" s="180"/>
      <c r="CT819" s="180"/>
      <c r="CU819" s="180"/>
      <c r="CV819" s="180"/>
      <c r="CW819" s="180"/>
      <c r="CX819" s="180"/>
      <c r="CY819" s="180"/>
      <c r="CZ819" s="180"/>
      <c r="DA819" s="180"/>
      <c r="DB819" s="180"/>
    </row>
    <row r="820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  <c r="AF820" s="180"/>
      <c r="AG820" s="180"/>
      <c r="AH820" s="180"/>
      <c r="AI820" s="180"/>
      <c r="AJ820" s="180"/>
      <c r="AK820" s="180"/>
      <c r="AL820" s="180"/>
      <c r="AM820" s="180"/>
      <c r="AN820" s="180"/>
      <c r="AO820" s="180"/>
      <c r="AP820" s="180"/>
      <c r="AQ820" s="180"/>
      <c r="AR820" s="180"/>
      <c r="AS820" s="180"/>
      <c r="AT820" s="180"/>
      <c r="AU820" s="180"/>
      <c r="AV820" s="180"/>
      <c r="AW820" s="180"/>
      <c r="AX820" s="180"/>
      <c r="AY820" s="180"/>
      <c r="AZ820" s="180"/>
      <c r="BA820" s="180"/>
      <c r="BB820" s="180"/>
      <c r="BC820" s="180"/>
      <c r="BD820" s="180"/>
      <c r="BE820" s="180"/>
      <c r="BF820" s="180"/>
      <c r="BG820" s="180"/>
      <c r="BH820" s="180"/>
      <c r="BI820" s="180"/>
      <c r="BJ820" s="180"/>
      <c r="BK820" s="180"/>
      <c r="BL820" s="180"/>
      <c r="BM820" s="180"/>
      <c r="BN820" s="180"/>
      <c r="BO820" s="180"/>
      <c r="BP820" s="180"/>
      <c r="BQ820" s="180"/>
      <c r="BR820" s="180"/>
      <c r="BS820" s="180"/>
      <c r="BT820" s="180"/>
      <c r="BU820" s="180"/>
      <c r="BV820" s="180"/>
      <c r="BW820" s="180"/>
      <c r="BX820" s="180"/>
      <c r="BY820" s="180"/>
      <c r="BZ820" s="180"/>
      <c r="CA820" s="180"/>
      <c r="CB820" s="180"/>
      <c r="CC820" s="180"/>
      <c r="CD820" s="180"/>
      <c r="CE820" s="180"/>
      <c r="CF820" s="180"/>
      <c r="CG820" s="180"/>
      <c r="CH820" s="180"/>
      <c r="CI820" s="180"/>
      <c r="CJ820" s="180"/>
      <c r="CK820" s="180"/>
      <c r="CL820" s="180"/>
      <c r="CM820" s="180"/>
      <c r="CN820" s="180"/>
      <c r="CO820" s="180"/>
      <c r="CP820" s="180"/>
      <c r="CQ820" s="180"/>
      <c r="CR820" s="180"/>
      <c r="CS820" s="180"/>
      <c r="CT820" s="180"/>
      <c r="CU820" s="180"/>
      <c r="CV820" s="180"/>
      <c r="CW820" s="180"/>
      <c r="CX820" s="180"/>
      <c r="CY820" s="180"/>
      <c r="CZ820" s="180"/>
      <c r="DA820" s="180"/>
      <c r="DB820" s="180"/>
    </row>
    <row r="821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  <c r="AK821" s="180"/>
      <c r="AL821" s="180"/>
      <c r="AM821" s="180"/>
      <c r="AN821" s="180"/>
      <c r="AO821" s="180"/>
      <c r="AP821" s="180"/>
      <c r="AQ821" s="180"/>
      <c r="AR821" s="180"/>
      <c r="AS821" s="180"/>
      <c r="AT821" s="180"/>
      <c r="AU821" s="180"/>
      <c r="AV821" s="180"/>
      <c r="AW821" s="180"/>
      <c r="AX821" s="180"/>
      <c r="AY821" s="180"/>
      <c r="AZ821" s="180"/>
      <c r="BA821" s="180"/>
      <c r="BB821" s="180"/>
      <c r="BC821" s="180"/>
      <c r="BD821" s="180"/>
      <c r="BE821" s="180"/>
      <c r="BF821" s="180"/>
      <c r="BG821" s="180"/>
      <c r="BH821" s="180"/>
      <c r="BI821" s="180"/>
      <c r="BJ821" s="180"/>
      <c r="BK821" s="180"/>
      <c r="BL821" s="180"/>
      <c r="BM821" s="180"/>
      <c r="BN821" s="180"/>
      <c r="BO821" s="180"/>
      <c r="BP821" s="180"/>
      <c r="BQ821" s="180"/>
      <c r="BR821" s="180"/>
      <c r="BS821" s="180"/>
      <c r="BT821" s="180"/>
      <c r="BU821" s="180"/>
      <c r="BV821" s="180"/>
      <c r="BW821" s="180"/>
      <c r="BX821" s="180"/>
      <c r="BY821" s="180"/>
      <c r="BZ821" s="180"/>
      <c r="CA821" s="180"/>
      <c r="CB821" s="180"/>
      <c r="CC821" s="180"/>
      <c r="CD821" s="180"/>
      <c r="CE821" s="180"/>
      <c r="CF821" s="180"/>
      <c r="CG821" s="180"/>
      <c r="CH821" s="180"/>
      <c r="CI821" s="180"/>
      <c r="CJ821" s="180"/>
      <c r="CK821" s="180"/>
      <c r="CL821" s="180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</row>
    <row r="822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  <c r="K822" s="180"/>
      <c r="L822" s="180"/>
      <c r="M822" s="180"/>
      <c r="N822" s="180"/>
      <c r="O822" s="180"/>
      <c r="P822" s="180"/>
      <c r="Q822" s="180"/>
      <c r="R822" s="180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  <c r="AF822" s="180"/>
      <c r="AG822" s="180"/>
      <c r="AH822" s="180"/>
      <c r="AI822" s="180"/>
      <c r="AJ822" s="180"/>
      <c r="AK822" s="180"/>
      <c r="AL822" s="180"/>
      <c r="AM822" s="180"/>
      <c r="AN822" s="180"/>
      <c r="AO822" s="180"/>
      <c r="AP822" s="180"/>
      <c r="AQ822" s="180"/>
      <c r="AR822" s="180"/>
      <c r="AS822" s="180"/>
      <c r="AT822" s="180"/>
      <c r="AU822" s="180"/>
      <c r="AV822" s="180"/>
      <c r="AW822" s="180"/>
      <c r="AX822" s="180"/>
      <c r="AY822" s="180"/>
      <c r="AZ822" s="180"/>
      <c r="BA822" s="180"/>
      <c r="BB822" s="180"/>
      <c r="BC822" s="180"/>
      <c r="BD822" s="180"/>
      <c r="BE822" s="180"/>
      <c r="BF822" s="180"/>
      <c r="BG822" s="180"/>
      <c r="BH822" s="180"/>
      <c r="BI822" s="180"/>
      <c r="BJ822" s="180"/>
      <c r="BK822" s="180"/>
      <c r="BL822" s="180"/>
      <c r="BM822" s="180"/>
      <c r="BN822" s="180"/>
      <c r="BO822" s="180"/>
      <c r="BP822" s="180"/>
      <c r="BQ822" s="180"/>
      <c r="BR822" s="180"/>
      <c r="BS822" s="180"/>
      <c r="BT822" s="180"/>
      <c r="BU822" s="180"/>
      <c r="BV822" s="180"/>
      <c r="BW822" s="180"/>
      <c r="BX822" s="180"/>
      <c r="BY822" s="180"/>
      <c r="BZ822" s="180"/>
      <c r="CA822" s="180"/>
      <c r="CB822" s="180"/>
      <c r="CC822" s="180"/>
      <c r="CD822" s="180"/>
      <c r="CE822" s="180"/>
      <c r="CF822" s="180"/>
      <c r="CG822" s="180"/>
      <c r="CH822" s="180"/>
      <c r="CI822" s="180"/>
      <c r="CJ822" s="180"/>
      <c r="CK822" s="180"/>
      <c r="CL822" s="180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</row>
    <row r="823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  <c r="AK823" s="180"/>
      <c r="AL823" s="180"/>
      <c r="AM823" s="180"/>
      <c r="AN823" s="180"/>
      <c r="AO823" s="180"/>
      <c r="AP823" s="180"/>
      <c r="AQ823" s="180"/>
      <c r="AR823" s="180"/>
      <c r="AS823" s="180"/>
      <c r="AT823" s="180"/>
      <c r="AU823" s="180"/>
      <c r="AV823" s="180"/>
      <c r="AW823" s="180"/>
      <c r="AX823" s="180"/>
      <c r="AY823" s="180"/>
      <c r="AZ823" s="180"/>
      <c r="BA823" s="180"/>
      <c r="BB823" s="180"/>
      <c r="BC823" s="180"/>
      <c r="BD823" s="180"/>
      <c r="BE823" s="180"/>
      <c r="BF823" s="180"/>
      <c r="BG823" s="180"/>
      <c r="BH823" s="180"/>
      <c r="BI823" s="180"/>
      <c r="BJ823" s="180"/>
      <c r="BK823" s="180"/>
      <c r="BL823" s="180"/>
      <c r="BM823" s="180"/>
      <c r="BN823" s="180"/>
      <c r="BO823" s="180"/>
      <c r="BP823" s="180"/>
      <c r="BQ823" s="180"/>
      <c r="BR823" s="180"/>
      <c r="BS823" s="180"/>
      <c r="BT823" s="180"/>
      <c r="BU823" s="180"/>
      <c r="BV823" s="180"/>
      <c r="BW823" s="180"/>
      <c r="BX823" s="180"/>
      <c r="BY823" s="180"/>
      <c r="BZ823" s="180"/>
      <c r="CA823" s="180"/>
      <c r="CB823" s="180"/>
      <c r="CC823" s="180"/>
      <c r="CD823" s="180"/>
      <c r="CE823" s="180"/>
      <c r="CF823" s="180"/>
      <c r="CG823" s="180"/>
      <c r="CH823" s="180"/>
      <c r="CI823" s="180"/>
      <c r="CJ823" s="180"/>
      <c r="CK823" s="180"/>
      <c r="CL823" s="180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</row>
    <row r="824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  <c r="AK824" s="180"/>
      <c r="AL824" s="180"/>
      <c r="AM824" s="180"/>
      <c r="AN824" s="180"/>
      <c r="AO824" s="180"/>
      <c r="AP824" s="180"/>
      <c r="AQ824" s="180"/>
      <c r="AR824" s="180"/>
      <c r="AS824" s="180"/>
      <c r="AT824" s="180"/>
      <c r="AU824" s="180"/>
      <c r="AV824" s="180"/>
      <c r="AW824" s="180"/>
      <c r="AX824" s="180"/>
      <c r="AY824" s="180"/>
      <c r="AZ824" s="180"/>
      <c r="BA824" s="180"/>
      <c r="BB824" s="180"/>
      <c r="BC824" s="180"/>
      <c r="BD824" s="180"/>
      <c r="BE824" s="180"/>
      <c r="BF824" s="180"/>
      <c r="BG824" s="180"/>
      <c r="BH824" s="180"/>
      <c r="BI824" s="180"/>
      <c r="BJ824" s="180"/>
      <c r="BK824" s="180"/>
      <c r="BL824" s="180"/>
      <c r="BM824" s="180"/>
      <c r="BN824" s="180"/>
      <c r="BO824" s="180"/>
      <c r="BP824" s="180"/>
      <c r="BQ824" s="180"/>
      <c r="BR824" s="180"/>
      <c r="BS824" s="180"/>
      <c r="BT824" s="180"/>
      <c r="BU824" s="180"/>
      <c r="BV824" s="180"/>
      <c r="BW824" s="180"/>
      <c r="BX824" s="180"/>
      <c r="BY824" s="180"/>
      <c r="BZ824" s="180"/>
      <c r="CA824" s="180"/>
      <c r="CB824" s="180"/>
      <c r="CC824" s="180"/>
      <c r="CD824" s="180"/>
      <c r="CE824" s="180"/>
      <c r="CF824" s="180"/>
      <c r="CG824" s="180"/>
      <c r="CH824" s="180"/>
      <c r="CI824" s="180"/>
      <c r="CJ824" s="180"/>
      <c r="CK824" s="180"/>
      <c r="CL824" s="180"/>
      <c r="CM824" s="180"/>
      <c r="CN824" s="180"/>
      <c r="CO824" s="180"/>
      <c r="CP824" s="180"/>
      <c r="CQ824" s="180"/>
      <c r="CR824" s="180"/>
      <c r="CS824" s="180"/>
      <c r="CT824" s="180"/>
      <c r="CU824" s="180"/>
      <c r="CV824" s="180"/>
      <c r="CW824" s="180"/>
      <c r="CX824" s="180"/>
      <c r="CY824" s="180"/>
      <c r="CZ824" s="180"/>
      <c r="DA824" s="180"/>
      <c r="DB824" s="180"/>
    </row>
    <row r="825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  <c r="AF825" s="180"/>
      <c r="AG825" s="180"/>
      <c r="AH825" s="180"/>
      <c r="AI825" s="180"/>
      <c r="AJ825" s="180"/>
      <c r="AK825" s="180"/>
      <c r="AL825" s="180"/>
      <c r="AM825" s="180"/>
      <c r="AN825" s="180"/>
      <c r="AO825" s="180"/>
      <c r="AP825" s="180"/>
      <c r="AQ825" s="180"/>
      <c r="AR825" s="180"/>
      <c r="AS825" s="180"/>
      <c r="AT825" s="180"/>
      <c r="AU825" s="180"/>
      <c r="AV825" s="180"/>
      <c r="AW825" s="180"/>
      <c r="AX825" s="180"/>
      <c r="AY825" s="180"/>
      <c r="AZ825" s="180"/>
      <c r="BA825" s="180"/>
      <c r="BB825" s="180"/>
      <c r="BC825" s="180"/>
      <c r="BD825" s="180"/>
      <c r="BE825" s="180"/>
      <c r="BF825" s="180"/>
      <c r="BG825" s="180"/>
      <c r="BH825" s="180"/>
      <c r="BI825" s="180"/>
      <c r="BJ825" s="180"/>
      <c r="BK825" s="180"/>
      <c r="BL825" s="180"/>
      <c r="BM825" s="180"/>
      <c r="BN825" s="180"/>
      <c r="BO825" s="180"/>
      <c r="BP825" s="180"/>
      <c r="BQ825" s="180"/>
      <c r="BR825" s="180"/>
      <c r="BS825" s="180"/>
      <c r="BT825" s="180"/>
      <c r="BU825" s="180"/>
      <c r="BV825" s="180"/>
      <c r="BW825" s="180"/>
      <c r="BX825" s="180"/>
      <c r="BY825" s="180"/>
      <c r="BZ825" s="180"/>
      <c r="CA825" s="180"/>
      <c r="CB825" s="180"/>
      <c r="CC825" s="180"/>
      <c r="CD825" s="180"/>
      <c r="CE825" s="180"/>
      <c r="CF825" s="180"/>
      <c r="CG825" s="180"/>
      <c r="CH825" s="180"/>
      <c r="CI825" s="180"/>
      <c r="CJ825" s="180"/>
      <c r="CK825" s="180"/>
      <c r="CL825" s="180"/>
      <c r="CM825" s="180"/>
      <c r="CN825" s="180"/>
      <c r="CO825" s="180"/>
      <c r="CP825" s="180"/>
      <c r="CQ825" s="180"/>
      <c r="CR825" s="180"/>
      <c r="CS825" s="180"/>
      <c r="CT825" s="180"/>
      <c r="CU825" s="180"/>
      <c r="CV825" s="180"/>
      <c r="CW825" s="180"/>
      <c r="CX825" s="180"/>
      <c r="CY825" s="180"/>
      <c r="CZ825" s="180"/>
      <c r="DA825" s="180"/>
      <c r="DB825" s="180"/>
    </row>
    <row r="826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  <c r="AK826" s="180"/>
      <c r="AL826" s="180"/>
      <c r="AM826" s="180"/>
      <c r="AN826" s="180"/>
      <c r="AO826" s="180"/>
      <c r="AP826" s="180"/>
      <c r="AQ826" s="180"/>
      <c r="AR826" s="180"/>
      <c r="AS826" s="180"/>
      <c r="AT826" s="180"/>
      <c r="AU826" s="180"/>
      <c r="AV826" s="180"/>
      <c r="AW826" s="180"/>
      <c r="AX826" s="180"/>
      <c r="AY826" s="180"/>
      <c r="AZ826" s="180"/>
      <c r="BA826" s="180"/>
      <c r="BB826" s="180"/>
      <c r="BC826" s="180"/>
      <c r="BD826" s="180"/>
      <c r="BE826" s="180"/>
      <c r="BF826" s="180"/>
      <c r="BG826" s="180"/>
      <c r="BH826" s="180"/>
      <c r="BI826" s="180"/>
      <c r="BJ826" s="180"/>
      <c r="BK826" s="180"/>
      <c r="BL826" s="180"/>
      <c r="BM826" s="180"/>
      <c r="BN826" s="180"/>
      <c r="BO826" s="180"/>
      <c r="BP826" s="180"/>
      <c r="BQ826" s="180"/>
      <c r="BR826" s="180"/>
      <c r="BS826" s="180"/>
      <c r="BT826" s="180"/>
      <c r="BU826" s="180"/>
      <c r="BV826" s="180"/>
      <c r="BW826" s="180"/>
      <c r="BX826" s="180"/>
      <c r="BY826" s="180"/>
      <c r="BZ826" s="180"/>
      <c r="CA826" s="180"/>
      <c r="CB826" s="180"/>
      <c r="CC826" s="180"/>
      <c r="CD826" s="180"/>
      <c r="CE826" s="180"/>
      <c r="CF826" s="180"/>
      <c r="CG826" s="180"/>
      <c r="CH826" s="180"/>
      <c r="CI826" s="180"/>
      <c r="CJ826" s="180"/>
      <c r="CK826" s="180"/>
      <c r="CL826" s="180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</row>
    <row r="827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  <c r="AF827" s="180"/>
      <c r="AG827" s="180"/>
      <c r="AH827" s="180"/>
      <c r="AI827" s="180"/>
      <c r="AJ827" s="180"/>
      <c r="AK827" s="180"/>
      <c r="AL827" s="180"/>
      <c r="AM827" s="180"/>
      <c r="AN827" s="180"/>
      <c r="AO827" s="180"/>
      <c r="AP827" s="180"/>
      <c r="AQ827" s="180"/>
      <c r="AR827" s="180"/>
      <c r="AS827" s="180"/>
      <c r="AT827" s="180"/>
      <c r="AU827" s="180"/>
      <c r="AV827" s="180"/>
      <c r="AW827" s="180"/>
      <c r="AX827" s="180"/>
      <c r="AY827" s="180"/>
      <c r="AZ827" s="180"/>
      <c r="BA827" s="180"/>
      <c r="BB827" s="180"/>
      <c r="BC827" s="180"/>
      <c r="BD827" s="180"/>
      <c r="BE827" s="180"/>
      <c r="BF827" s="180"/>
      <c r="BG827" s="180"/>
      <c r="BH827" s="180"/>
      <c r="BI827" s="180"/>
      <c r="BJ827" s="180"/>
      <c r="BK827" s="180"/>
      <c r="BL827" s="180"/>
      <c r="BM827" s="180"/>
      <c r="BN827" s="180"/>
      <c r="BO827" s="180"/>
      <c r="BP827" s="180"/>
      <c r="BQ827" s="180"/>
      <c r="BR827" s="180"/>
      <c r="BS827" s="180"/>
      <c r="BT827" s="180"/>
      <c r="BU827" s="180"/>
      <c r="BV827" s="180"/>
      <c r="BW827" s="180"/>
      <c r="BX827" s="180"/>
      <c r="BY827" s="180"/>
      <c r="BZ827" s="180"/>
      <c r="CA827" s="180"/>
      <c r="CB827" s="180"/>
      <c r="CC827" s="180"/>
      <c r="CD827" s="180"/>
      <c r="CE827" s="180"/>
      <c r="CF827" s="180"/>
      <c r="CG827" s="180"/>
      <c r="CH827" s="180"/>
      <c r="CI827" s="180"/>
      <c r="CJ827" s="180"/>
      <c r="CK827" s="180"/>
      <c r="CL827" s="180"/>
      <c r="CM827" s="180"/>
      <c r="CN827" s="180"/>
      <c r="CO827" s="180"/>
      <c r="CP827" s="180"/>
      <c r="CQ827" s="180"/>
      <c r="CR827" s="180"/>
      <c r="CS827" s="180"/>
      <c r="CT827" s="180"/>
      <c r="CU827" s="180"/>
      <c r="CV827" s="180"/>
      <c r="CW827" s="180"/>
      <c r="CX827" s="180"/>
      <c r="CY827" s="180"/>
      <c r="CZ827" s="180"/>
      <c r="DA827" s="180"/>
      <c r="DB827" s="180"/>
    </row>
    <row r="828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  <c r="AF828" s="180"/>
      <c r="AG828" s="180"/>
      <c r="AH828" s="180"/>
      <c r="AI828" s="180"/>
      <c r="AJ828" s="180"/>
      <c r="AK828" s="180"/>
      <c r="AL828" s="180"/>
      <c r="AM828" s="180"/>
      <c r="AN828" s="180"/>
      <c r="AO828" s="180"/>
      <c r="AP828" s="180"/>
      <c r="AQ828" s="180"/>
      <c r="AR828" s="180"/>
      <c r="AS828" s="180"/>
      <c r="AT828" s="180"/>
      <c r="AU828" s="180"/>
      <c r="AV828" s="180"/>
      <c r="AW828" s="180"/>
      <c r="AX828" s="180"/>
      <c r="AY828" s="180"/>
      <c r="AZ828" s="180"/>
      <c r="BA828" s="180"/>
      <c r="BB828" s="180"/>
      <c r="BC828" s="180"/>
      <c r="BD828" s="180"/>
      <c r="BE828" s="180"/>
      <c r="BF828" s="180"/>
      <c r="BG828" s="180"/>
      <c r="BH828" s="180"/>
      <c r="BI828" s="180"/>
      <c r="BJ828" s="180"/>
      <c r="BK828" s="180"/>
      <c r="BL828" s="180"/>
      <c r="BM828" s="180"/>
      <c r="BN828" s="180"/>
      <c r="BO828" s="180"/>
      <c r="BP828" s="180"/>
      <c r="BQ828" s="180"/>
      <c r="BR828" s="180"/>
      <c r="BS828" s="180"/>
      <c r="BT828" s="180"/>
      <c r="BU828" s="180"/>
      <c r="BV828" s="180"/>
      <c r="BW828" s="180"/>
      <c r="BX828" s="180"/>
      <c r="BY828" s="180"/>
      <c r="BZ828" s="180"/>
      <c r="CA828" s="180"/>
      <c r="CB828" s="180"/>
      <c r="CC828" s="180"/>
      <c r="CD828" s="180"/>
      <c r="CE828" s="180"/>
      <c r="CF828" s="180"/>
      <c r="CG828" s="180"/>
      <c r="CH828" s="180"/>
      <c r="CI828" s="180"/>
      <c r="CJ828" s="180"/>
      <c r="CK828" s="180"/>
      <c r="CL828" s="180"/>
      <c r="CM828" s="180"/>
      <c r="CN828" s="180"/>
      <c r="CO828" s="180"/>
      <c r="CP828" s="180"/>
      <c r="CQ828" s="180"/>
      <c r="CR828" s="180"/>
      <c r="CS828" s="180"/>
      <c r="CT828" s="180"/>
      <c r="CU828" s="180"/>
      <c r="CV828" s="180"/>
      <c r="CW828" s="180"/>
      <c r="CX828" s="180"/>
      <c r="CY828" s="180"/>
      <c r="CZ828" s="180"/>
      <c r="DA828" s="180"/>
      <c r="DB828" s="180"/>
    </row>
    <row r="829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180"/>
      <c r="AN829" s="180"/>
      <c r="AO829" s="180"/>
      <c r="AP829" s="180"/>
      <c r="AQ829" s="180"/>
      <c r="AR829" s="180"/>
      <c r="AS829" s="180"/>
      <c r="AT829" s="180"/>
      <c r="AU829" s="180"/>
      <c r="AV829" s="180"/>
      <c r="AW829" s="180"/>
      <c r="AX829" s="180"/>
      <c r="AY829" s="180"/>
      <c r="AZ829" s="180"/>
      <c r="BA829" s="180"/>
      <c r="BB829" s="180"/>
      <c r="BC829" s="180"/>
      <c r="BD829" s="180"/>
      <c r="BE829" s="180"/>
      <c r="BF829" s="180"/>
      <c r="BG829" s="180"/>
      <c r="BH829" s="180"/>
      <c r="BI829" s="180"/>
      <c r="BJ829" s="180"/>
      <c r="BK829" s="180"/>
      <c r="BL829" s="180"/>
      <c r="BM829" s="180"/>
      <c r="BN829" s="180"/>
      <c r="BO829" s="180"/>
      <c r="BP829" s="180"/>
      <c r="BQ829" s="180"/>
      <c r="BR829" s="180"/>
      <c r="BS829" s="180"/>
      <c r="BT829" s="180"/>
      <c r="BU829" s="180"/>
      <c r="BV829" s="180"/>
      <c r="BW829" s="180"/>
      <c r="BX829" s="180"/>
      <c r="BY829" s="180"/>
      <c r="BZ829" s="180"/>
      <c r="CA829" s="180"/>
      <c r="CB829" s="180"/>
      <c r="CC829" s="180"/>
      <c r="CD829" s="180"/>
      <c r="CE829" s="180"/>
      <c r="CF829" s="180"/>
      <c r="CG829" s="180"/>
      <c r="CH829" s="180"/>
      <c r="CI829" s="180"/>
      <c r="CJ829" s="180"/>
      <c r="CK829" s="180"/>
      <c r="CL829" s="180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</row>
    <row r="830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  <c r="K830" s="180"/>
      <c r="L830" s="180"/>
      <c r="M830" s="180"/>
      <c r="N830" s="180"/>
      <c r="O830" s="180"/>
      <c r="P830" s="180"/>
      <c r="Q830" s="180"/>
      <c r="R830" s="180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  <c r="AF830" s="180"/>
      <c r="AG830" s="180"/>
      <c r="AH830" s="180"/>
      <c r="AI830" s="180"/>
      <c r="AJ830" s="180"/>
      <c r="AK830" s="180"/>
      <c r="AL830" s="180"/>
      <c r="AM830" s="180"/>
      <c r="AN830" s="180"/>
      <c r="AO830" s="180"/>
      <c r="AP830" s="180"/>
      <c r="AQ830" s="180"/>
      <c r="AR830" s="180"/>
      <c r="AS830" s="180"/>
      <c r="AT830" s="180"/>
      <c r="AU830" s="180"/>
      <c r="AV830" s="180"/>
      <c r="AW830" s="180"/>
      <c r="AX830" s="180"/>
      <c r="AY830" s="180"/>
      <c r="AZ830" s="180"/>
      <c r="BA830" s="180"/>
      <c r="BB830" s="180"/>
      <c r="BC830" s="180"/>
      <c r="BD830" s="180"/>
      <c r="BE830" s="180"/>
      <c r="BF830" s="180"/>
      <c r="BG830" s="180"/>
      <c r="BH830" s="180"/>
      <c r="BI830" s="180"/>
      <c r="BJ830" s="180"/>
      <c r="BK830" s="180"/>
      <c r="BL830" s="180"/>
      <c r="BM830" s="180"/>
      <c r="BN830" s="180"/>
      <c r="BO830" s="180"/>
      <c r="BP830" s="180"/>
      <c r="BQ830" s="180"/>
      <c r="BR830" s="180"/>
      <c r="BS830" s="180"/>
      <c r="BT830" s="180"/>
      <c r="BU830" s="180"/>
      <c r="BV830" s="180"/>
      <c r="BW830" s="180"/>
      <c r="BX830" s="180"/>
      <c r="BY830" s="180"/>
      <c r="BZ830" s="180"/>
      <c r="CA830" s="180"/>
      <c r="CB830" s="180"/>
      <c r="CC830" s="180"/>
      <c r="CD830" s="180"/>
      <c r="CE830" s="180"/>
      <c r="CF830" s="180"/>
      <c r="CG830" s="180"/>
      <c r="CH830" s="180"/>
      <c r="CI830" s="180"/>
      <c r="CJ830" s="180"/>
      <c r="CK830" s="180"/>
      <c r="CL830" s="180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</row>
    <row r="831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  <c r="AF831" s="180"/>
      <c r="AG831" s="180"/>
      <c r="AH831" s="180"/>
      <c r="AI831" s="180"/>
      <c r="AJ831" s="180"/>
      <c r="AK831" s="180"/>
      <c r="AL831" s="180"/>
      <c r="AM831" s="180"/>
      <c r="AN831" s="180"/>
      <c r="AO831" s="180"/>
      <c r="AP831" s="180"/>
      <c r="AQ831" s="180"/>
      <c r="AR831" s="180"/>
      <c r="AS831" s="180"/>
      <c r="AT831" s="180"/>
      <c r="AU831" s="180"/>
      <c r="AV831" s="180"/>
      <c r="AW831" s="180"/>
      <c r="AX831" s="180"/>
      <c r="AY831" s="180"/>
      <c r="AZ831" s="180"/>
      <c r="BA831" s="180"/>
      <c r="BB831" s="180"/>
      <c r="BC831" s="180"/>
      <c r="BD831" s="180"/>
      <c r="BE831" s="180"/>
      <c r="BF831" s="180"/>
      <c r="BG831" s="180"/>
      <c r="BH831" s="180"/>
      <c r="BI831" s="180"/>
      <c r="BJ831" s="180"/>
      <c r="BK831" s="180"/>
      <c r="BL831" s="180"/>
      <c r="BM831" s="180"/>
      <c r="BN831" s="180"/>
      <c r="BO831" s="180"/>
      <c r="BP831" s="180"/>
      <c r="BQ831" s="180"/>
      <c r="BR831" s="180"/>
      <c r="BS831" s="180"/>
      <c r="BT831" s="180"/>
      <c r="BU831" s="180"/>
      <c r="BV831" s="180"/>
      <c r="BW831" s="180"/>
      <c r="BX831" s="180"/>
      <c r="BY831" s="180"/>
      <c r="BZ831" s="180"/>
      <c r="CA831" s="180"/>
      <c r="CB831" s="180"/>
      <c r="CC831" s="180"/>
      <c r="CD831" s="180"/>
      <c r="CE831" s="180"/>
      <c r="CF831" s="180"/>
      <c r="CG831" s="180"/>
      <c r="CH831" s="180"/>
      <c r="CI831" s="180"/>
      <c r="CJ831" s="180"/>
      <c r="CK831" s="180"/>
      <c r="CL831" s="180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</row>
    <row r="832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  <c r="AF832" s="180"/>
      <c r="AG832" s="180"/>
      <c r="AH832" s="180"/>
      <c r="AI832" s="180"/>
      <c r="AJ832" s="180"/>
      <c r="AK832" s="180"/>
      <c r="AL832" s="180"/>
      <c r="AM832" s="180"/>
      <c r="AN832" s="180"/>
      <c r="AO832" s="180"/>
      <c r="AP832" s="180"/>
      <c r="AQ832" s="180"/>
      <c r="AR832" s="180"/>
      <c r="AS832" s="180"/>
      <c r="AT832" s="180"/>
      <c r="AU832" s="180"/>
      <c r="AV832" s="180"/>
      <c r="AW832" s="180"/>
      <c r="AX832" s="180"/>
      <c r="AY832" s="180"/>
      <c r="AZ832" s="180"/>
      <c r="BA832" s="180"/>
      <c r="BB832" s="180"/>
      <c r="BC832" s="180"/>
      <c r="BD832" s="180"/>
      <c r="BE832" s="180"/>
      <c r="BF832" s="180"/>
      <c r="BG832" s="180"/>
      <c r="BH832" s="180"/>
      <c r="BI832" s="180"/>
      <c r="BJ832" s="180"/>
      <c r="BK832" s="180"/>
      <c r="BL832" s="180"/>
      <c r="BM832" s="180"/>
      <c r="BN832" s="180"/>
      <c r="BO832" s="180"/>
      <c r="BP832" s="180"/>
      <c r="BQ832" s="180"/>
      <c r="BR832" s="180"/>
      <c r="BS832" s="180"/>
      <c r="BT832" s="180"/>
      <c r="BU832" s="180"/>
      <c r="BV832" s="180"/>
      <c r="BW832" s="180"/>
      <c r="BX832" s="180"/>
      <c r="BY832" s="180"/>
      <c r="BZ832" s="180"/>
      <c r="CA832" s="180"/>
      <c r="CB832" s="180"/>
      <c r="CC832" s="180"/>
      <c r="CD832" s="180"/>
      <c r="CE832" s="180"/>
      <c r="CF832" s="180"/>
      <c r="CG832" s="180"/>
      <c r="CH832" s="180"/>
      <c r="CI832" s="180"/>
      <c r="CJ832" s="180"/>
      <c r="CK832" s="180"/>
      <c r="CL832" s="180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</row>
    <row r="833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  <c r="AF833" s="180"/>
      <c r="AG833" s="180"/>
      <c r="AH833" s="180"/>
      <c r="AI833" s="180"/>
      <c r="AJ833" s="180"/>
      <c r="AK833" s="180"/>
      <c r="AL833" s="180"/>
      <c r="AM833" s="180"/>
      <c r="AN833" s="180"/>
      <c r="AO833" s="180"/>
      <c r="AP833" s="180"/>
      <c r="AQ833" s="180"/>
      <c r="AR833" s="180"/>
      <c r="AS833" s="180"/>
      <c r="AT833" s="180"/>
      <c r="AU833" s="180"/>
      <c r="AV833" s="180"/>
      <c r="AW833" s="180"/>
      <c r="AX833" s="180"/>
      <c r="AY833" s="180"/>
      <c r="AZ833" s="180"/>
      <c r="BA833" s="180"/>
      <c r="BB833" s="180"/>
      <c r="BC833" s="180"/>
      <c r="BD833" s="180"/>
      <c r="BE833" s="180"/>
      <c r="BF833" s="180"/>
      <c r="BG833" s="180"/>
      <c r="BH833" s="180"/>
      <c r="BI833" s="180"/>
      <c r="BJ833" s="180"/>
      <c r="BK833" s="180"/>
      <c r="BL833" s="180"/>
      <c r="BM833" s="180"/>
      <c r="BN833" s="180"/>
      <c r="BO833" s="180"/>
      <c r="BP833" s="180"/>
      <c r="BQ833" s="180"/>
      <c r="BR833" s="180"/>
      <c r="BS833" s="180"/>
      <c r="BT833" s="180"/>
      <c r="BU833" s="180"/>
      <c r="BV833" s="180"/>
      <c r="BW833" s="180"/>
      <c r="BX833" s="180"/>
      <c r="BY833" s="180"/>
      <c r="BZ833" s="180"/>
      <c r="CA833" s="180"/>
      <c r="CB833" s="180"/>
      <c r="CC833" s="180"/>
      <c r="CD833" s="180"/>
      <c r="CE833" s="180"/>
      <c r="CF833" s="180"/>
      <c r="CG833" s="180"/>
      <c r="CH833" s="180"/>
      <c r="CI833" s="180"/>
      <c r="CJ833" s="180"/>
      <c r="CK833" s="180"/>
      <c r="CL833" s="180"/>
      <c r="CM833" s="180"/>
      <c r="CN833" s="180"/>
      <c r="CO833" s="180"/>
      <c r="CP833" s="180"/>
      <c r="CQ833" s="180"/>
      <c r="CR833" s="180"/>
      <c r="CS833" s="180"/>
      <c r="CT833" s="180"/>
      <c r="CU833" s="180"/>
      <c r="CV833" s="180"/>
      <c r="CW833" s="180"/>
      <c r="CX833" s="180"/>
      <c r="CY833" s="180"/>
      <c r="CZ833" s="180"/>
      <c r="DA833" s="180"/>
      <c r="DB833" s="180"/>
    </row>
    <row r="834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  <c r="AK834" s="180"/>
      <c r="AL834" s="180"/>
      <c r="AM834" s="180"/>
      <c r="AN834" s="180"/>
      <c r="AO834" s="180"/>
      <c r="AP834" s="180"/>
      <c r="AQ834" s="180"/>
      <c r="AR834" s="180"/>
      <c r="AS834" s="180"/>
      <c r="AT834" s="180"/>
      <c r="AU834" s="180"/>
      <c r="AV834" s="180"/>
      <c r="AW834" s="180"/>
      <c r="AX834" s="180"/>
      <c r="AY834" s="180"/>
      <c r="AZ834" s="180"/>
      <c r="BA834" s="180"/>
      <c r="BB834" s="180"/>
      <c r="BC834" s="180"/>
      <c r="BD834" s="180"/>
      <c r="BE834" s="180"/>
      <c r="BF834" s="180"/>
      <c r="BG834" s="180"/>
      <c r="BH834" s="180"/>
      <c r="BI834" s="180"/>
      <c r="BJ834" s="180"/>
      <c r="BK834" s="180"/>
      <c r="BL834" s="180"/>
      <c r="BM834" s="180"/>
      <c r="BN834" s="180"/>
      <c r="BO834" s="180"/>
      <c r="BP834" s="180"/>
      <c r="BQ834" s="180"/>
      <c r="BR834" s="180"/>
      <c r="BS834" s="180"/>
      <c r="BT834" s="180"/>
      <c r="BU834" s="180"/>
      <c r="BV834" s="180"/>
      <c r="BW834" s="180"/>
      <c r="BX834" s="180"/>
      <c r="BY834" s="180"/>
      <c r="BZ834" s="180"/>
      <c r="CA834" s="180"/>
      <c r="CB834" s="180"/>
      <c r="CC834" s="180"/>
      <c r="CD834" s="180"/>
      <c r="CE834" s="180"/>
      <c r="CF834" s="180"/>
      <c r="CG834" s="180"/>
      <c r="CH834" s="180"/>
      <c r="CI834" s="180"/>
      <c r="CJ834" s="180"/>
      <c r="CK834" s="180"/>
      <c r="CL834" s="180"/>
      <c r="CM834" s="180"/>
      <c r="CN834" s="180"/>
      <c r="CO834" s="180"/>
      <c r="CP834" s="180"/>
      <c r="CQ834" s="180"/>
      <c r="CR834" s="180"/>
      <c r="CS834" s="180"/>
      <c r="CT834" s="180"/>
      <c r="CU834" s="180"/>
      <c r="CV834" s="180"/>
      <c r="CW834" s="180"/>
      <c r="CX834" s="180"/>
      <c r="CY834" s="180"/>
      <c r="CZ834" s="180"/>
      <c r="DA834" s="180"/>
      <c r="DB834" s="180"/>
    </row>
    <row r="835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0"/>
      <c r="AG835" s="180"/>
      <c r="AH835" s="180"/>
      <c r="AI835" s="180"/>
      <c r="AJ835" s="180"/>
      <c r="AK835" s="180"/>
      <c r="AL835" s="180"/>
      <c r="AM835" s="180"/>
      <c r="AN835" s="180"/>
      <c r="AO835" s="180"/>
      <c r="AP835" s="180"/>
      <c r="AQ835" s="180"/>
      <c r="AR835" s="180"/>
      <c r="AS835" s="180"/>
      <c r="AT835" s="180"/>
      <c r="AU835" s="180"/>
      <c r="AV835" s="180"/>
      <c r="AW835" s="180"/>
      <c r="AX835" s="180"/>
      <c r="AY835" s="180"/>
      <c r="AZ835" s="180"/>
      <c r="BA835" s="180"/>
      <c r="BB835" s="180"/>
      <c r="BC835" s="180"/>
      <c r="BD835" s="180"/>
      <c r="BE835" s="180"/>
      <c r="BF835" s="180"/>
      <c r="BG835" s="180"/>
      <c r="BH835" s="180"/>
      <c r="BI835" s="180"/>
      <c r="BJ835" s="180"/>
      <c r="BK835" s="180"/>
      <c r="BL835" s="180"/>
      <c r="BM835" s="180"/>
      <c r="BN835" s="180"/>
      <c r="BO835" s="180"/>
      <c r="BP835" s="180"/>
      <c r="BQ835" s="180"/>
      <c r="BR835" s="180"/>
      <c r="BS835" s="180"/>
      <c r="BT835" s="180"/>
      <c r="BU835" s="180"/>
      <c r="BV835" s="180"/>
      <c r="BW835" s="180"/>
      <c r="BX835" s="180"/>
      <c r="BY835" s="180"/>
      <c r="BZ835" s="180"/>
      <c r="CA835" s="180"/>
      <c r="CB835" s="180"/>
      <c r="CC835" s="180"/>
      <c r="CD835" s="180"/>
      <c r="CE835" s="180"/>
      <c r="CF835" s="180"/>
      <c r="CG835" s="180"/>
      <c r="CH835" s="180"/>
      <c r="CI835" s="180"/>
      <c r="CJ835" s="180"/>
      <c r="CK835" s="180"/>
      <c r="CL835" s="180"/>
      <c r="CM835" s="180"/>
      <c r="CN835" s="180"/>
      <c r="CO835" s="180"/>
      <c r="CP835" s="180"/>
      <c r="CQ835" s="180"/>
      <c r="CR835" s="180"/>
      <c r="CS835" s="180"/>
      <c r="CT835" s="180"/>
      <c r="CU835" s="180"/>
      <c r="CV835" s="180"/>
      <c r="CW835" s="180"/>
      <c r="CX835" s="180"/>
      <c r="CY835" s="180"/>
      <c r="CZ835" s="180"/>
      <c r="DA835" s="180"/>
      <c r="DB835" s="180"/>
    </row>
    <row r="836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  <c r="K836" s="180"/>
      <c r="L836" s="180"/>
      <c r="M836" s="180"/>
      <c r="N836" s="180"/>
      <c r="O836" s="180"/>
      <c r="P836" s="180"/>
      <c r="Q836" s="180"/>
      <c r="R836" s="180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  <c r="AF836" s="180"/>
      <c r="AG836" s="180"/>
      <c r="AH836" s="180"/>
      <c r="AI836" s="180"/>
      <c r="AJ836" s="180"/>
      <c r="AK836" s="180"/>
      <c r="AL836" s="180"/>
      <c r="AM836" s="180"/>
      <c r="AN836" s="180"/>
      <c r="AO836" s="180"/>
      <c r="AP836" s="180"/>
      <c r="AQ836" s="180"/>
      <c r="AR836" s="180"/>
      <c r="AS836" s="180"/>
      <c r="AT836" s="180"/>
      <c r="AU836" s="180"/>
      <c r="AV836" s="180"/>
      <c r="AW836" s="180"/>
      <c r="AX836" s="180"/>
      <c r="AY836" s="180"/>
      <c r="AZ836" s="180"/>
      <c r="BA836" s="180"/>
      <c r="BB836" s="180"/>
      <c r="BC836" s="180"/>
      <c r="BD836" s="180"/>
      <c r="BE836" s="180"/>
      <c r="BF836" s="180"/>
      <c r="BG836" s="180"/>
      <c r="BH836" s="180"/>
      <c r="BI836" s="180"/>
      <c r="BJ836" s="180"/>
      <c r="BK836" s="180"/>
      <c r="BL836" s="180"/>
      <c r="BM836" s="180"/>
      <c r="BN836" s="180"/>
      <c r="BO836" s="180"/>
      <c r="BP836" s="180"/>
      <c r="BQ836" s="180"/>
      <c r="BR836" s="180"/>
      <c r="BS836" s="180"/>
      <c r="BT836" s="180"/>
      <c r="BU836" s="180"/>
      <c r="BV836" s="180"/>
      <c r="BW836" s="180"/>
      <c r="BX836" s="180"/>
      <c r="BY836" s="180"/>
      <c r="BZ836" s="180"/>
      <c r="CA836" s="180"/>
      <c r="CB836" s="180"/>
      <c r="CC836" s="180"/>
      <c r="CD836" s="180"/>
      <c r="CE836" s="180"/>
      <c r="CF836" s="180"/>
      <c r="CG836" s="180"/>
      <c r="CH836" s="180"/>
      <c r="CI836" s="180"/>
      <c r="CJ836" s="180"/>
      <c r="CK836" s="180"/>
      <c r="CL836" s="180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</row>
    <row r="837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  <c r="AF837" s="180"/>
      <c r="AG837" s="180"/>
      <c r="AH837" s="180"/>
      <c r="AI837" s="180"/>
      <c r="AJ837" s="180"/>
      <c r="AK837" s="180"/>
      <c r="AL837" s="180"/>
      <c r="AM837" s="180"/>
      <c r="AN837" s="180"/>
      <c r="AO837" s="180"/>
      <c r="AP837" s="180"/>
      <c r="AQ837" s="180"/>
      <c r="AR837" s="180"/>
      <c r="AS837" s="180"/>
      <c r="AT837" s="180"/>
      <c r="AU837" s="180"/>
      <c r="AV837" s="180"/>
      <c r="AW837" s="180"/>
      <c r="AX837" s="180"/>
      <c r="AY837" s="180"/>
      <c r="AZ837" s="180"/>
      <c r="BA837" s="180"/>
      <c r="BB837" s="180"/>
      <c r="BC837" s="180"/>
      <c r="BD837" s="180"/>
      <c r="BE837" s="180"/>
      <c r="BF837" s="180"/>
      <c r="BG837" s="180"/>
      <c r="BH837" s="180"/>
      <c r="BI837" s="180"/>
      <c r="BJ837" s="180"/>
      <c r="BK837" s="180"/>
      <c r="BL837" s="180"/>
      <c r="BM837" s="180"/>
      <c r="BN837" s="180"/>
      <c r="BO837" s="180"/>
      <c r="BP837" s="180"/>
      <c r="BQ837" s="180"/>
      <c r="BR837" s="180"/>
      <c r="BS837" s="180"/>
      <c r="BT837" s="180"/>
      <c r="BU837" s="180"/>
      <c r="BV837" s="180"/>
      <c r="BW837" s="180"/>
      <c r="BX837" s="180"/>
      <c r="BY837" s="180"/>
      <c r="BZ837" s="180"/>
      <c r="CA837" s="180"/>
      <c r="CB837" s="180"/>
      <c r="CC837" s="180"/>
      <c r="CD837" s="180"/>
      <c r="CE837" s="180"/>
      <c r="CF837" s="180"/>
      <c r="CG837" s="180"/>
      <c r="CH837" s="180"/>
      <c r="CI837" s="180"/>
      <c r="CJ837" s="180"/>
      <c r="CK837" s="180"/>
      <c r="CL837" s="180"/>
      <c r="CM837" s="180"/>
      <c r="CN837" s="180"/>
      <c r="CO837" s="180"/>
      <c r="CP837" s="180"/>
      <c r="CQ837" s="180"/>
      <c r="CR837" s="180"/>
      <c r="CS837" s="180"/>
      <c r="CT837" s="180"/>
      <c r="CU837" s="180"/>
      <c r="CV837" s="180"/>
      <c r="CW837" s="180"/>
      <c r="CX837" s="180"/>
      <c r="CY837" s="180"/>
      <c r="CZ837" s="180"/>
      <c r="DA837" s="180"/>
      <c r="DB837" s="180"/>
    </row>
    <row r="838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  <c r="AF838" s="180"/>
      <c r="AG838" s="180"/>
      <c r="AH838" s="180"/>
      <c r="AI838" s="180"/>
      <c r="AJ838" s="180"/>
      <c r="AK838" s="180"/>
      <c r="AL838" s="180"/>
      <c r="AM838" s="180"/>
      <c r="AN838" s="180"/>
      <c r="AO838" s="180"/>
      <c r="AP838" s="180"/>
      <c r="AQ838" s="180"/>
      <c r="AR838" s="180"/>
      <c r="AS838" s="180"/>
      <c r="AT838" s="180"/>
      <c r="AU838" s="180"/>
      <c r="AV838" s="180"/>
      <c r="AW838" s="180"/>
      <c r="AX838" s="180"/>
      <c r="AY838" s="180"/>
      <c r="AZ838" s="180"/>
      <c r="BA838" s="180"/>
      <c r="BB838" s="180"/>
      <c r="BC838" s="180"/>
      <c r="BD838" s="180"/>
      <c r="BE838" s="180"/>
      <c r="BF838" s="180"/>
      <c r="BG838" s="180"/>
      <c r="BH838" s="180"/>
      <c r="BI838" s="180"/>
      <c r="BJ838" s="180"/>
      <c r="BK838" s="180"/>
      <c r="BL838" s="180"/>
      <c r="BM838" s="180"/>
      <c r="BN838" s="180"/>
      <c r="BO838" s="180"/>
      <c r="BP838" s="180"/>
      <c r="BQ838" s="180"/>
      <c r="BR838" s="180"/>
      <c r="BS838" s="180"/>
      <c r="BT838" s="180"/>
      <c r="BU838" s="180"/>
      <c r="BV838" s="180"/>
      <c r="BW838" s="180"/>
      <c r="BX838" s="180"/>
      <c r="BY838" s="180"/>
      <c r="BZ838" s="180"/>
      <c r="CA838" s="180"/>
      <c r="CB838" s="180"/>
      <c r="CC838" s="180"/>
      <c r="CD838" s="180"/>
      <c r="CE838" s="180"/>
      <c r="CF838" s="180"/>
      <c r="CG838" s="180"/>
      <c r="CH838" s="180"/>
      <c r="CI838" s="180"/>
      <c r="CJ838" s="180"/>
      <c r="CK838" s="180"/>
      <c r="CL838" s="180"/>
      <c r="CM838" s="180"/>
      <c r="CN838" s="180"/>
      <c r="CO838" s="180"/>
      <c r="CP838" s="180"/>
      <c r="CQ838" s="180"/>
      <c r="CR838" s="180"/>
      <c r="CS838" s="180"/>
      <c r="CT838" s="180"/>
      <c r="CU838" s="180"/>
      <c r="CV838" s="180"/>
      <c r="CW838" s="180"/>
      <c r="CX838" s="180"/>
      <c r="CY838" s="180"/>
      <c r="CZ838" s="180"/>
      <c r="DA838" s="180"/>
      <c r="DB838" s="180"/>
    </row>
    <row r="839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  <c r="AF839" s="180"/>
      <c r="AG839" s="180"/>
      <c r="AH839" s="180"/>
      <c r="AI839" s="180"/>
      <c r="AJ839" s="180"/>
      <c r="AK839" s="180"/>
      <c r="AL839" s="180"/>
      <c r="AM839" s="180"/>
      <c r="AN839" s="180"/>
      <c r="AO839" s="180"/>
      <c r="AP839" s="180"/>
      <c r="AQ839" s="180"/>
      <c r="AR839" s="180"/>
      <c r="AS839" s="180"/>
      <c r="AT839" s="180"/>
      <c r="AU839" s="180"/>
      <c r="AV839" s="180"/>
      <c r="AW839" s="180"/>
      <c r="AX839" s="180"/>
      <c r="AY839" s="180"/>
      <c r="AZ839" s="180"/>
      <c r="BA839" s="180"/>
      <c r="BB839" s="180"/>
      <c r="BC839" s="180"/>
      <c r="BD839" s="180"/>
      <c r="BE839" s="180"/>
      <c r="BF839" s="180"/>
      <c r="BG839" s="180"/>
      <c r="BH839" s="180"/>
      <c r="BI839" s="180"/>
      <c r="BJ839" s="180"/>
      <c r="BK839" s="180"/>
      <c r="BL839" s="180"/>
      <c r="BM839" s="180"/>
      <c r="BN839" s="180"/>
      <c r="BO839" s="180"/>
      <c r="BP839" s="180"/>
      <c r="BQ839" s="180"/>
      <c r="BR839" s="180"/>
      <c r="BS839" s="180"/>
      <c r="BT839" s="180"/>
      <c r="BU839" s="180"/>
      <c r="BV839" s="180"/>
      <c r="BW839" s="180"/>
      <c r="BX839" s="180"/>
      <c r="BY839" s="180"/>
      <c r="BZ839" s="180"/>
      <c r="CA839" s="180"/>
      <c r="CB839" s="180"/>
      <c r="CC839" s="180"/>
      <c r="CD839" s="180"/>
      <c r="CE839" s="180"/>
      <c r="CF839" s="180"/>
      <c r="CG839" s="180"/>
      <c r="CH839" s="180"/>
      <c r="CI839" s="180"/>
      <c r="CJ839" s="180"/>
      <c r="CK839" s="180"/>
      <c r="CL839" s="180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</row>
    <row r="840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  <c r="AF840" s="180"/>
      <c r="AG840" s="180"/>
      <c r="AH840" s="180"/>
      <c r="AI840" s="180"/>
      <c r="AJ840" s="180"/>
      <c r="AK840" s="180"/>
      <c r="AL840" s="180"/>
      <c r="AM840" s="180"/>
      <c r="AN840" s="180"/>
      <c r="AO840" s="180"/>
      <c r="AP840" s="180"/>
      <c r="AQ840" s="180"/>
      <c r="AR840" s="180"/>
      <c r="AS840" s="180"/>
      <c r="AT840" s="180"/>
      <c r="AU840" s="180"/>
      <c r="AV840" s="180"/>
      <c r="AW840" s="180"/>
      <c r="AX840" s="180"/>
      <c r="AY840" s="180"/>
      <c r="AZ840" s="180"/>
      <c r="BA840" s="180"/>
      <c r="BB840" s="180"/>
      <c r="BC840" s="180"/>
      <c r="BD840" s="180"/>
      <c r="BE840" s="180"/>
      <c r="BF840" s="180"/>
      <c r="BG840" s="180"/>
      <c r="BH840" s="180"/>
      <c r="BI840" s="180"/>
      <c r="BJ840" s="180"/>
      <c r="BK840" s="180"/>
      <c r="BL840" s="180"/>
      <c r="BM840" s="180"/>
      <c r="BN840" s="180"/>
      <c r="BO840" s="180"/>
      <c r="BP840" s="180"/>
      <c r="BQ840" s="180"/>
      <c r="BR840" s="180"/>
      <c r="BS840" s="180"/>
      <c r="BT840" s="180"/>
      <c r="BU840" s="180"/>
      <c r="BV840" s="180"/>
      <c r="BW840" s="180"/>
      <c r="BX840" s="180"/>
      <c r="BY840" s="180"/>
      <c r="BZ840" s="180"/>
      <c r="CA840" s="180"/>
      <c r="CB840" s="180"/>
      <c r="CC840" s="180"/>
      <c r="CD840" s="180"/>
      <c r="CE840" s="180"/>
      <c r="CF840" s="180"/>
      <c r="CG840" s="180"/>
      <c r="CH840" s="180"/>
      <c r="CI840" s="180"/>
      <c r="CJ840" s="180"/>
      <c r="CK840" s="180"/>
      <c r="CL840" s="180"/>
      <c r="CM840" s="180"/>
      <c r="CN840" s="180"/>
      <c r="CO840" s="180"/>
      <c r="CP840" s="180"/>
      <c r="CQ840" s="180"/>
      <c r="CR840" s="180"/>
      <c r="CS840" s="180"/>
      <c r="CT840" s="180"/>
      <c r="CU840" s="180"/>
      <c r="CV840" s="180"/>
      <c r="CW840" s="180"/>
      <c r="CX840" s="180"/>
      <c r="CY840" s="180"/>
      <c r="CZ840" s="180"/>
      <c r="DA840" s="180"/>
      <c r="DB840" s="180"/>
    </row>
    <row r="841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  <c r="AF841" s="180"/>
      <c r="AG841" s="180"/>
      <c r="AH841" s="180"/>
      <c r="AI841" s="180"/>
      <c r="AJ841" s="180"/>
      <c r="AK841" s="180"/>
      <c r="AL841" s="180"/>
      <c r="AM841" s="180"/>
      <c r="AN841" s="180"/>
      <c r="AO841" s="180"/>
      <c r="AP841" s="180"/>
      <c r="AQ841" s="180"/>
      <c r="AR841" s="180"/>
      <c r="AS841" s="180"/>
      <c r="AT841" s="180"/>
      <c r="AU841" s="180"/>
      <c r="AV841" s="180"/>
      <c r="AW841" s="180"/>
      <c r="AX841" s="180"/>
      <c r="AY841" s="180"/>
      <c r="AZ841" s="180"/>
      <c r="BA841" s="180"/>
      <c r="BB841" s="180"/>
      <c r="BC841" s="180"/>
      <c r="BD841" s="180"/>
      <c r="BE841" s="180"/>
      <c r="BF841" s="180"/>
      <c r="BG841" s="180"/>
      <c r="BH841" s="180"/>
      <c r="BI841" s="180"/>
      <c r="BJ841" s="180"/>
      <c r="BK841" s="180"/>
      <c r="BL841" s="180"/>
      <c r="BM841" s="180"/>
      <c r="BN841" s="180"/>
      <c r="BO841" s="180"/>
      <c r="BP841" s="180"/>
      <c r="BQ841" s="180"/>
      <c r="BR841" s="180"/>
      <c r="BS841" s="180"/>
      <c r="BT841" s="180"/>
      <c r="BU841" s="180"/>
      <c r="BV841" s="180"/>
      <c r="BW841" s="180"/>
      <c r="BX841" s="180"/>
      <c r="BY841" s="180"/>
      <c r="BZ841" s="180"/>
      <c r="CA841" s="180"/>
      <c r="CB841" s="180"/>
      <c r="CC841" s="180"/>
      <c r="CD841" s="180"/>
      <c r="CE841" s="180"/>
      <c r="CF841" s="180"/>
      <c r="CG841" s="180"/>
      <c r="CH841" s="180"/>
      <c r="CI841" s="180"/>
      <c r="CJ841" s="180"/>
      <c r="CK841" s="180"/>
      <c r="CL841" s="180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</row>
    <row r="842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  <c r="AF842" s="180"/>
      <c r="AG842" s="180"/>
      <c r="AH842" s="180"/>
      <c r="AI842" s="180"/>
      <c r="AJ842" s="180"/>
      <c r="AK842" s="180"/>
      <c r="AL842" s="180"/>
      <c r="AM842" s="180"/>
      <c r="AN842" s="180"/>
      <c r="AO842" s="180"/>
      <c r="AP842" s="180"/>
      <c r="AQ842" s="180"/>
      <c r="AR842" s="180"/>
      <c r="AS842" s="180"/>
      <c r="AT842" s="180"/>
      <c r="AU842" s="180"/>
      <c r="AV842" s="180"/>
      <c r="AW842" s="180"/>
      <c r="AX842" s="180"/>
      <c r="AY842" s="180"/>
      <c r="AZ842" s="180"/>
      <c r="BA842" s="180"/>
      <c r="BB842" s="180"/>
      <c r="BC842" s="180"/>
      <c r="BD842" s="180"/>
      <c r="BE842" s="180"/>
      <c r="BF842" s="180"/>
      <c r="BG842" s="180"/>
      <c r="BH842" s="180"/>
      <c r="BI842" s="180"/>
      <c r="BJ842" s="180"/>
      <c r="BK842" s="180"/>
      <c r="BL842" s="180"/>
      <c r="BM842" s="180"/>
      <c r="BN842" s="180"/>
      <c r="BO842" s="180"/>
      <c r="BP842" s="180"/>
      <c r="BQ842" s="180"/>
      <c r="BR842" s="180"/>
      <c r="BS842" s="180"/>
      <c r="BT842" s="180"/>
      <c r="BU842" s="180"/>
      <c r="BV842" s="180"/>
      <c r="BW842" s="180"/>
      <c r="BX842" s="180"/>
      <c r="BY842" s="180"/>
      <c r="BZ842" s="180"/>
      <c r="CA842" s="180"/>
      <c r="CB842" s="180"/>
      <c r="CC842" s="180"/>
      <c r="CD842" s="180"/>
      <c r="CE842" s="180"/>
      <c r="CF842" s="180"/>
      <c r="CG842" s="180"/>
      <c r="CH842" s="180"/>
      <c r="CI842" s="180"/>
      <c r="CJ842" s="180"/>
      <c r="CK842" s="180"/>
      <c r="CL842" s="180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</row>
    <row r="843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  <c r="AF843" s="180"/>
      <c r="AG843" s="180"/>
      <c r="AH843" s="180"/>
      <c r="AI843" s="180"/>
      <c r="AJ843" s="180"/>
      <c r="AK843" s="180"/>
      <c r="AL843" s="180"/>
      <c r="AM843" s="180"/>
      <c r="AN843" s="180"/>
      <c r="AO843" s="180"/>
      <c r="AP843" s="180"/>
      <c r="AQ843" s="180"/>
      <c r="AR843" s="180"/>
      <c r="AS843" s="180"/>
      <c r="AT843" s="180"/>
      <c r="AU843" s="180"/>
      <c r="AV843" s="180"/>
      <c r="AW843" s="180"/>
      <c r="AX843" s="180"/>
      <c r="AY843" s="180"/>
      <c r="AZ843" s="180"/>
      <c r="BA843" s="180"/>
      <c r="BB843" s="180"/>
      <c r="BC843" s="180"/>
      <c r="BD843" s="180"/>
      <c r="BE843" s="180"/>
      <c r="BF843" s="180"/>
      <c r="BG843" s="180"/>
      <c r="BH843" s="180"/>
      <c r="BI843" s="180"/>
      <c r="BJ843" s="180"/>
      <c r="BK843" s="180"/>
      <c r="BL843" s="180"/>
      <c r="BM843" s="180"/>
      <c r="BN843" s="180"/>
      <c r="BO843" s="180"/>
      <c r="BP843" s="180"/>
      <c r="BQ843" s="180"/>
      <c r="BR843" s="180"/>
      <c r="BS843" s="180"/>
      <c r="BT843" s="180"/>
      <c r="BU843" s="180"/>
      <c r="BV843" s="180"/>
      <c r="BW843" s="180"/>
      <c r="BX843" s="180"/>
      <c r="BY843" s="180"/>
      <c r="BZ843" s="180"/>
      <c r="CA843" s="180"/>
      <c r="CB843" s="180"/>
      <c r="CC843" s="180"/>
      <c r="CD843" s="180"/>
      <c r="CE843" s="180"/>
      <c r="CF843" s="180"/>
      <c r="CG843" s="180"/>
      <c r="CH843" s="180"/>
      <c r="CI843" s="180"/>
      <c r="CJ843" s="180"/>
      <c r="CK843" s="180"/>
      <c r="CL843" s="180"/>
      <c r="CM843" s="180"/>
      <c r="CN843" s="180"/>
      <c r="CO843" s="180"/>
      <c r="CP843" s="180"/>
      <c r="CQ843" s="180"/>
      <c r="CR843" s="180"/>
      <c r="CS843" s="180"/>
      <c r="CT843" s="180"/>
      <c r="CU843" s="180"/>
      <c r="CV843" s="180"/>
      <c r="CW843" s="180"/>
      <c r="CX843" s="180"/>
      <c r="CY843" s="180"/>
      <c r="CZ843" s="180"/>
      <c r="DA843" s="180"/>
      <c r="DB843" s="180"/>
    </row>
    <row r="844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0"/>
      <c r="AG844" s="180"/>
      <c r="AH844" s="180"/>
      <c r="AI844" s="180"/>
      <c r="AJ844" s="180"/>
      <c r="AK844" s="180"/>
      <c r="AL844" s="180"/>
      <c r="AM844" s="180"/>
      <c r="AN844" s="180"/>
      <c r="AO844" s="180"/>
      <c r="AP844" s="180"/>
      <c r="AQ844" s="180"/>
      <c r="AR844" s="180"/>
      <c r="AS844" s="180"/>
      <c r="AT844" s="180"/>
      <c r="AU844" s="180"/>
      <c r="AV844" s="180"/>
      <c r="AW844" s="180"/>
      <c r="AX844" s="180"/>
      <c r="AY844" s="180"/>
      <c r="AZ844" s="180"/>
      <c r="BA844" s="180"/>
      <c r="BB844" s="180"/>
      <c r="BC844" s="180"/>
      <c r="BD844" s="180"/>
      <c r="BE844" s="180"/>
      <c r="BF844" s="180"/>
      <c r="BG844" s="180"/>
      <c r="BH844" s="180"/>
      <c r="BI844" s="180"/>
      <c r="BJ844" s="180"/>
      <c r="BK844" s="180"/>
      <c r="BL844" s="180"/>
      <c r="BM844" s="180"/>
      <c r="BN844" s="180"/>
      <c r="BO844" s="180"/>
      <c r="BP844" s="180"/>
      <c r="BQ844" s="180"/>
      <c r="BR844" s="180"/>
      <c r="BS844" s="180"/>
      <c r="BT844" s="180"/>
      <c r="BU844" s="180"/>
      <c r="BV844" s="180"/>
      <c r="BW844" s="180"/>
      <c r="BX844" s="180"/>
      <c r="BY844" s="180"/>
      <c r="BZ844" s="180"/>
      <c r="CA844" s="180"/>
      <c r="CB844" s="180"/>
      <c r="CC844" s="180"/>
      <c r="CD844" s="180"/>
      <c r="CE844" s="180"/>
      <c r="CF844" s="180"/>
      <c r="CG844" s="180"/>
      <c r="CH844" s="180"/>
      <c r="CI844" s="180"/>
      <c r="CJ844" s="180"/>
      <c r="CK844" s="180"/>
      <c r="CL844" s="18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</row>
    <row r="845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0"/>
      <c r="AG845" s="180"/>
      <c r="AH845" s="180"/>
      <c r="AI845" s="180"/>
      <c r="AJ845" s="180"/>
      <c r="AK845" s="180"/>
      <c r="AL845" s="180"/>
      <c r="AM845" s="180"/>
      <c r="AN845" s="180"/>
      <c r="AO845" s="180"/>
      <c r="AP845" s="180"/>
      <c r="AQ845" s="180"/>
      <c r="AR845" s="180"/>
      <c r="AS845" s="180"/>
      <c r="AT845" s="180"/>
      <c r="AU845" s="180"/>
      <c r="AV845" s="180"/>
      <c r="AW845" s="180"/>
      <c r="AX845" s="180"/>
      <c r="AY845" s="180"/>
      <c r="AZ845" s="180"/>
      <c r="BA845" s="180"/>
      <c r="BB845" s="180"/>
      <c r="BC845" s="180"/>
      <c r="BD845" s="180"/>
      <c r="BE845" s="180"/>
      <c r="BF845" s="180"/>
      <c r="BG845" s="180"/>
      <c r="BH845" s="180"/>
      <c r="BI845" s="180"/>
      <c r="BJ845" s="180"/>
      <c r="BK845" s="180"/>
      <c r="BL845" s="180"/>
      <c r="BM845" s="180"/>
      <c r="BN845" s="180"/>
      <c r="BO845" s="180"/>
      <c r="BP845" s="180"/>
      <c r="BQ845" s="180"/>
      <c r="BR845" s="180"/>
      <c r="BS845" s="180"/>
      <c r="BT845" s="180"/>
      <c r="BU845" s="180"/>
      <c r="BV845" s="180"/>
      <c r="BW845" s="180"/>
      <c r="BX845" s="180"/>
      <c r="BY845" s="180"/>
      <c r="BZ845" s="180"/>
      <c r="CA845" s="180"/>
      <c r="CB845" s="180"/>
      <c r="CC845" s="180"/>
      <c r="CD845" s="180"/>
      <c r="CE845" s="180"/>
      <c r="CF845" s="180"/>
      <c r="CG845" s="180"/>
      <c r="CH845" s="180"/>
      <c r="CI845" s="180"/>
      <c r="CJ845" s="180"/>
      <c r="CK845" s="180"/>
      <c r="CL845" s="180"/>
      <c r="CM845" s="180"/>
      <c r="CN845" s="180"/>
      <c r="CO845" s="180"/>
      <c r="CP845" s="180"/>
      <c r="CQ845" s="180"/>
      <c r="CR845" s="180"/>
      <c r="CS845" s="180"/>
      <c r="CT845" s="180"/>
      <c r="CU845" s="180"/>
      <c r="CV845" s="180"/>
      <c r="CW845" s="180"/>
      <c r="CX845" s="180"/>
      <c r="CY845" s="180"/>
      <c r="CZ845" s="180"/>
      <c r="DA845" s="180"/>
      <c r="DB845" s="180"/>
    </row>
    <row r="846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  <c r="AF846" s="180"/>
      <c r="AG846" s="180"/>
      <c r="AH846" s="180"/>
      <c r="AI846" s="180"/>
      <c r="AJ846" s="180"/>
      <c r="AK846" s="180"/>
      <c r="AL846" s="180"/>
      <c r="AM846" s="180"/>
      <c r="AN846" s="180"/>
      <c r="AO846" s="180"/>
      <c r="AP846" s="180"/>
      <c r="AQ846" s="180"/>
      <c r="AR846" s="180"/>
      <c r="AS846" s="180"/>
      <c r="AT846" s="180"/>
      <c r="AU846" s="180"/>
      <c r="AV846" s="180"/>
      <c r="AW846" s="180"/>
      <c r="AX846" s="180"/>
      <c r="AY846" s="180"/>
      <c r="AZ846" s="180"/>
      <c r="BA846" s="180"/>
      <c r="BB846" s="180"/>
      <c r="BC846" s="180"/>
      <c r="BD846" s="180"/>
      <c r="BE846" s="180"/>
      <c r="BF846" s="180"/>
      <c r="BG846" s="180"/>
      <c r="BH846" s="180"/>
      <c r="BI846" s="180"/>
      <c r="BJ846" s="180"/>
      <c r="BK846" s="180"/>
      <c r="BL846" s="180"/>
      <c r="BM846" s="180"/>
      <c r="BN846" s="180"/>
      <c r="BO846" s="180"/>
      <c r="BP846" s="180"/>
      <c r="BQ846" s="180"/>
      <c r="BR846" s="180"/>
      <c r="BS846" s="180"/>
      <c r="BT846" s="180"/>
      <c r="BU846" s="180"/>
      <c r="BV846" s="180"/>
      <c r="BW846" s="180"/>
      <c r="BX846" s="180"/>
      <c r="BY846" s="180"/>
      <c r="BZ846" s="180"/>
      <c r="CA846" s="180"/>
      <c r="CB846" s="180"/>
      <c r="CC846" s="180"/>
      <c r="CD846" s="180"/>
      <c r="CE846" s="180"/>
      <c r="CF846" s="180"/>
      <c r="CG846" s="180"/>
      <c r="CH846" s="180"/>
      <c r="CI846" s="180"/>
      <c r="CJ846" s="180"/>
      <c r="CK846" s="180"/>
      <c r="CL846" s="180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</row>
    <row r="847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  <c r="AF847" s="180"/>
      <c r="AG847" s="180"/>
      <c r="AH847" s="180"/>
      <c r="AI847" s="180"/>
      <c r="AJ847" s="180"/>
      <c r="AK847" s="180"/>
      <c r="AL847" s="180"/>
      <c r="AM847" s="180"/>
      <c r="AN847" s="180"/>
      <c r="AO847" s="180"/>
      <c r="AP847" s="180"/>
      <c r="AQ847" s="180"/>
      <c r="AR847" s="180"/>
      <c r="AS847" s="180"/>
      <c r="AT847" s="180"/>
      <c r="AU847" s="180"/>
      <c r="AV847" s="180"/>
      <c r="AW847" s="180"/>
      <c r="AX847" s="180"/>
      <c r="AY847" s="180"/>
      <c r="AZ847" s="180"/>
      <c r="BA847" s="180"/>
      <c r="BB847" s="180"/>
      <c r="BC847" s="180"/>
      <c r="BD847" s="180"/>
      <c r="BE847" s="180"/>
      <c r="BF847" s="180"/>
      <c r="BG847" s="180"/>
      <c r="BH847" s="180"/>
      <c r="BI847" s="180"/>
      <c r="BJ847" s="180"/>
      <c r="BK847" s="180"/>
      <c r="BL847" s="180"/>
      <c r="BM847" s="180"/>
      <c r="BN847" s="180"/>
      <c r="BO847" s="180"/>
      <c r="BP847" s="180"/>
      <c r="BQ847" s="180"/>
      <c r="BR847" s="180"/>
      <c r="BS847" s="180"/>
      <c r="BT847" s="180"/>
      <c r="BU847" s="180"/>
      <c r="BV847" s="180"/>
      <c r="BW847" s="180"/>
      <c r="BX847" s="180"/>
      <c r="BY847" s="180"/>
      <c r="BZ847" s="180"/>
      <c r="CA847" s="180"/>
      <c r="CB847" s="180"/>
      <c r="CC847" s="180"/>
      <c r="CD847" s="180"/>
      <c r="CE847" s="180"/>
      <c r="CF847" s="180"/>
      <c r="CG847" s="180"/>
      <c r="CH847" s="180"/>
      <c r="CI847" s="180"/>
      <c r="CJ847" s="180"/>
      <c r="CK847" s="180"/>
      <c r="CL847" s="180"/>
      <c r="CM847" s="180"/>
      <c r="CN847" s="180"/>
      <c r="CO847" s="180"/>
      <c r="CP847" s="180"/>
      <c r="CQ847" s="180"/>
      <c r="CR847" s="180"/>
      <c r="CS847" s="180"/>
      <c r="CT847" s="180"/>
      <c r="CU847" s="180"/>
      <c r="CV847" s="180"/>
      <c r="CW847" s="180"/>
      <c r="CX847" s="180"/>
      <c r="CY847" s="180"/>
      <c r="CZ847" s="180"/>
      <c r="DA847" s="180"/>
      <c r="DB847" s="180"/>
    </row>
    <row r="848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  <c r="AF848" s="180"/>
      <c r="AG848" s="180"/>
      <c r="AH848" s="180"/>
      <c r="AI848" s="180"/>
      <c r="AJ848" s="180"/>
      <c r="AK848" s="180"/>
      <c r="AL848" s="180"/>
      <c r="AM848" s="180"/>
      <c r="AN848" s="180"/>
      <c r="AO848" s="180"/>
      <c r="AP848" s="180"/>
      <c r="AQ848" s="180"/>
      <c r="AR848" s="180"/>
      <c r="AS848" s="180"/>
      <c r="AT848" s="180"/>
      <c r="AU848" s="180"/>
      <c r="AV848" s="180"/>
      <c r="AW848" s="180"/>
      <c r="AX848" s="180"/>
      <c r="AY848" s="180"/>
      <c r="AZ848" s="180"/>
      <c r="BA848" s="180"/>
      <c r="BB848" s="180"/>
      <c r="BC848" s="180"/>
      <c r="BD848" s="180"/>
      <c r="BE848" s="180"/>
      <c r="BF848" s="180"/>
      <c r="BG848" s="180"/>
      <c r="BH848" s="180"/>
      <c r="BI848" s="180"/>
      <c r="BJ848" s="180"/>
      <c r="BK848" s="180"/>
      <c r="BL848" s="180"/>
      <c r="BM848" s="180"/>
      <c r="BN848" s="180"/>
      <c r="BO848" s="180"/>
      <c r="BP848" s="180"/>
      <c r="BQ848" s="180"/>
      <c r="BR848" s="180"/>
      <c r="BS848" s="180"/>
      <c r="BT848" s="180"/>
      <c r="BU848" s="180"/>
      <c r="BV848" s="180"/>
      <c r="BW848" s="180"/>
      <c r="BX848" s="180"/>
      <c r="BY848" s="180"/>
      <c r="BZ848" s="180"/>
      <c r="CA848" s="180"/>
      <c r="CB848" s="180"/>
      <c r="CC848" s="180"/>
      <c r="CD848" s="180"/>
      <c r="CE848" s="180"/>
      <c r="CF848" s="180"/>
      <c r="CG848" s="180"/>
      <c r="CH848" s="180"/>
      <c r="CI848" s="180"/>
      <c r="CJ848" s="180"/>
      <c r="CK848" s="180"/>
      <c r="CL848" s="180"/>
      <c r="CM848" s="180"/>
      <c r="CN848" s="180"/>
      <c r="CO848" s="180"/>
      <c r="CP848" s="180"/>
      <c r="CQ848" s="180"/>
      <c r="CR848" s="180"/>
      <c r="CS848" s="180"/>
      <c r="CT848" s="180"/>
      <c r="CU848" s="180"/>
      <c r="CV848" s="180"/>
      <c r="CW848" s="180"/>
      <c r="CX848" s="180"/>
      <c r="CY848" s="180"/>
      <c r="CZ848" s="180"/>
      <c r="DA848" s="180"/>
      <c r="DB848" s="180"/>
    </row>
    <row r="849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  <c r="AK849" s="180"/>
      <c r="AL849" s="180"/>
      <c r="AM849" s="180"/>
      <c r="AN849" s="180"/>
      <c r="AO849" s="180"/>
      <c r="AP849" s="180"/>
      <c r="AQ849" s="180"/>
      <c r="AR849" s="180"/>
      <c r="AS849" s="180"/>
      <c r="AT849" s="180"/>
      <c r="AU849" s="180"/>
      <c r="AV849" s="180"/>
      <c r="AW849" s="180"/>
      <c r="AX849" s="180"/>
      <c r="AY849" s="180"/>
      <c r="AZ849" s="180"/>
      <c r="BA849" s="180"/>
      <c r="BB849" s="180"/>
      <c r="BC849" s="180"/>
      <c r="BD849" s="180"/>
      <c r="BE849" s="180"/>
      <c r="BF849" s="180"/>
      <c r="BG849" s="180"/>
      <c r="BH849" s="180"/>
      <c r="BI849" s="180"/>
      <c r="BJ849" s="180"/>
      <c r="BK849" s="180"/>
      <c r="BL849" s="180"/>
      <c r="BM849" s="180"/>
      <c r="BN849" s="180"/>
      <c r="BO849" s="180"/>
      <c r="BP849" s="180"/>
      <c r="BQ849" s="180"/>
      <c r="BR849" s="180"/>
      <c r="BS849" s="180"/>
      <c r="BT849" s="180"/>
      <c r="BU849" s="180"/>
      <c r="BV849" s="180"/>
      <c r="BW849" s="180"/>
      <c r="BX849" s="180"/>
      <c r="BY849" s="180"/>
      <c r="BZ849" s="180"/>
      <c r="CA849" s="180"/>
      <c r="CB849" s="180"/>
      <c r="CC849" s="180"/>
      <c r="CD849" s="180"/>
      <c r="CE849" s="180"/>
      <c r="CF849" s="180"/>
      <c r="CG849" s="180"/>
      <c r="CH849" s="180"/>
      <c r="CI849" s="180"/>
      <c r="CJ849" s="180"/>
      <c r="CK849" s="180"/>
      <c r="CL849" s="180"/>
      <c r="CM849" s="180"/>
      <c r="CN849" s="180"/>
      <c r="CO849" s="180"/>
      <c r="CP849" s="180"/>
      <c r="CQ849" s="180"/>
      <c r="CR849" s="180"/>
      <c r="CS849" s="180"/>
      <c r="CT849" s="180"/>
      <c r="CU849" s="180"/>
      <c r="CV849" s="180"/>
      <c r="CW849" s="180"/>
      <c r="CX849" s="180"/>
      <c r="CY849" s="180"/>
      <c r="CZ849" s="180"/>
      <c r="DA849" s="180"/>
      <c r="DB849" s="180"/>
    </row>
    <row r="850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  <c r="AF850" s="180"/>
      <c r="AG850" s="180"/>
      <c r="AH850" s="180"/>
      <c r="AI850" s="180"/>
      <c r="AJ850" s="180"/>
      <c r="AK850" s="180"/>
      <c r="AL850" s="180"/>
      <c r="AM850" s="180"/>
      <c r="AN850" s="180"/>
      <c r="AO850" s="180"/>
      <c r="AP850" s="180"/>
      <c r="AQ850" s="180"/>
      <c r="AR850" s="180"/>
      <c r="AS850" s="180"/>
      <c r="AT850" s="180"/>
      <c r="AU850" s="180"/>
      <c r="AV850" s="180"/>
      <c r="AW850" s="180"/>
      <c r="AX850" s="180"/>
      <c r="AY850" s="180"/>
      <c r="AZ850" s="180"/>
      <c r="BA850" s="180"/>
      <c r="BB850" s="180"/>
      <c r="BC850" s="180"/>
      <c r="BD850" s="180"/>
      <c r="BE850" s="180"/>
      <c r="BF850" s="180"/>
      <c r="BG850" s="180"/>
      <c r="BH850" s="180"/>
      <c r="BI850" s="180"/>
      <c r="BJ850" s="180"/>
      <c r="BK850" s="180"/>
      <c r="BL850" s="180"/>
      <c r="BM850" s="180"/>
      <c r="BN850" s="180"/>
      <c r="BO850" s="180"/>
      <c r="BP850" s="180"/>
      <c r="BQ850" s="180"/>
      <c r="BR850" s="180"/>
      <c r="BS850" s="180"/>
      <c r="BT850" s="180"/>
      <c r="BU850" s="180"/>
      <c r="BV850" s="180"/>
      <c r="BW850" s="180"/>
      <c r="BX850" s="180"/>
      <c r="BY850" s="180"/>
      <c r="BZ850" s="180"/>
      <c r="CA850" s="180"/>
      <c r="CB850" s="180"/>
      <c r="CC850" s="180"/>
      <c r="CD850" s="180"/>
      <c r="CE850" s="180"/>
      <c r="CF850" s="180"/>
      <c r="CG850" s="180"/>
      <c r="CH850" s="180"/>
      <c r="CI850" s="180"/>
      <c r="CJ850" s="180"/>
      <c r="CK850" s="180"/>
      <c r="CL850" s="180"/>
      <c r="CM850" s="180"/>
      <c r="CN850" s="180"/>
      <c r="CO850" s="180"/>
      <c r="CP850" s="180"/>
      <c r="CQ850" s="180"/>
      <c r="CR850" s="180"/>
      <c r="CS850" s="180"/>
      <c r="CT850" s="180"/>
      <c r="CU850" s="180"/>
      <c r="CV850" s="180"/>
      <c r="CW850" s="180"/>
      <c r="CX850" s="180"/>
      <c r="CY850" s="180"/>
      <c r="CZ850" s="180"/>
      <c r="DA850" s="180"/>
      <c r="DB850" s="180"/>
    </row>
    <row r="851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  <c r="AF851" s="180"/>
      <c r="AG851" s="180"/>
      <c r="AH851" s="180"/>
      <c r="AI851" s="180"/>
      <c r="AJ851" s="180"/>
      <c r="AK851" s="180"/>
      <c r="AL851" s="180"/>
      <c r="AM851" s="180"/>
      <c r="AN851" s="180"/>
      <c r="AO851" s="180"/>
      <c r="AP851" s="180"/>
      <c r="AQ851" s="180"/>
      <c r="AR851" s="180"/>
      <c r="AS851" s="180"/>
      <c r="AT851" s="180"/>
      <c r="AU851" s="180"/>
      <c r="AV851" s="180"/>
      <c r="AW851" s="180"/>
      <c r="AX851" s="180"/>
      <c r="AY851" s="180"/>
      <c r="AZ851" s="180"/>
      <c r="BA851" s="180"/>
      <c r="BB851" s="180"/>
      <c r="BC851" s="180"/>
      <c r="BD851" s="180"/>
      <c r="BE851" s="180"/>
      <c r="BF851" s="180"/>
      <c r="BG851" s="180"/>
      <c r="BH851" s="180"/>
      <c r="BI851" s="180"/>
      <c r="BJ851" s="180"/>
      <c r="BK851" s="180"/>
      <c r="BL851" s="180"/>
      <c r="BM851" s="180"/>
      <c r="BN851" s="180"/>
      <c r="BO851" s="180"/>
      <c r="BP851" s="180"/>
      <c r="BQ851" s="180"/>
      <c r="BR851" s="180"/>
      <c r="BS851" s="180"/>
      <c r="BT851" s="180"/>
      <c r="BU851" s="180"/>
      <c r="BV851" s="180"/>
      <c r="BW851" s="180"/>
      <c r="BX851" s="180"/>
      <c r="BY851" s="180"/>
      <c r="BZ851" s="180"/>
      <c r="CA851" s="180"/>
      <c r="CB851" s="180"/>
      <c r="CC851" s="180"/>
      <c r="CD851" s="180"/>
      <c r="CE851" s="180"/>
      <c r="CF851" s="180"/>
      <c r="CG851" s="180"/>
      <c r="CH851" s="180"/>
      <c r="CI851" s="180"/>
      <c r="CJ851" s="180"/>
      <c r="CK851" s="180"/>
      <c r="CL851" s="180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</row>
    <row r="852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  <c r="AF852" s="180"/>
      <c r="AG852" s="180"/>
      <c r="AH852" s="180"/>
      <c r="AI852" s="180"/>
      <c r="AJ852" s="180"/>
      <c r="AK852" s="180"/>
      <c r="AL852" s="180"/>
      <c r="AM852" s="180"/>
      <c r="AN852" s="180"/>
      <c r="AO852" s="180"/>
      <c r="AP852" s="180"/>
      <c r="AQ852" s="180"/>
      <c r="AR852" s="180"/>
      <c r="AS852" s="180"/>
      <c r="AT852" s="180"/>
      <c r="AU852" s="180"/>
      <c r="AV852" s="180"/>
      <c r="AW852" s="180"/>
      <c r="AX852" s="180"/>
      <c r="AY852" s="180"/>
      <c r="AZ852" s="180"/>
      <c r="BA852" s="180"/>
      <c r="BB852" s="180"/>
      <c r="BC852" s="180"/>
      <c r="BD852" s="180"/>
      <c r="BE852" s="180"/>
      <c r="BF852" s="180"/>
      <c r="BG852" s="180"/>
      <c r="BH852" s="180"/>
      <c r="BI852" s="180"/>
      <c r="BJ852" s="180"/>
      <c r="BK852" s="180"/>
      <c r="BL852" s="180"/>
      <c r="BM852" s="180"/>
      <c r="BN852" s="180"/>
      <c r="BO852" s="180"/>
      <c r="BP852" s="180"/>
      <c r="BQ852" s="180"/>
      <c r="BR852" s="180"/>
      <c r="BS852" s="180"/>
      <c r="BT852" s="180"/>
      <c r="BU852" s="180"/>
      <c r="BV852" s="180"/>
      <c r="BW852" s="180"/>
      <c r="BX852" s="180"/>
      <c r="BY852" s="180"/>
      <c r="BZ852" s="180"/>
      <c r="CA852" s="180"/>
      <c r="CB852" s="180"/>
      <c r="CC852" s="180"/>
      <c r="CD852" s="180"/>
      <c r="CE852" s="180"/>
      <c r="CF852" s="180"/>
      <c r="CG852" s="180"/>
      <c r="CH852" s="180"/>
      <c r="CI852" s="180"/>
      <c r="CJ852" s="180"/>
      <c r="CK852" s="180"/>
      <c r="CL852" s="180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</row>
    <row r="853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  <c r="AK853" s="180"/>
      <c r="AL853" s="180"/>
      <c r="AM853" s="180"/>
      <c r="AN853" s="180"/>
      <c r="AO853" s="180"/>
      <c r="AP853" s="180"/>
      <c r="AQ853" s="180"/>
      <c r="AR853" s="180"/>
      <c r="AS853" s="180"/>
      <c r="AT853" s="180"/>
      <c r="AU853" s="180"/>
      <c r="AV853" s="180"/>
      <c r="AW853" s="180"/>
      <c r="AX853" s="180"/>
      <c r="AY853" s="180"/>
      <c r="AZ853" s="180"/>
      <c r="BA853" s="180"/>
      <c r="BB853" s="180"/>
      <c r="BC853" s="180"/>
      <c r="BD853" s="180"/>
      <c r="BE853" s="180"/>
      <c r="BF853" s="180"/>
      <c r="BG853" s="180"/>
      <c r="BH853" s="180"/>
      <c r="BI853" s="180"/>
      <c r="BJ853" s="180"/>
      <c r="BK853" s="180"/>
      <c r="BL853" s="180"/>
      <c r="BM853" s="180"/>
      <c r="BN853" s="180"/>
      <c r="BO853" s="180"/>
      <c r="BP853" s="180"/>
      <c r="BQ853" s="180"/>
      <c r="BR853" s="180"/>
      <c r="BS853" s="180"/>
      <c r="BT853" s="180"/>
      <c r="BU853" s="180"/>
      <c r="BV853" s="180"/>
      <c r="BW853" s="180"/>
      <c r="BX853" s="180"/>
      <c r="BY853" s="180"/>
      <c r="BZ853" s="180"/>
      <c r="CA853" s="180"/>
      <c r="CB853" s="180"/>
      <c r="CC853" s="180"/>
      <c r="CD853" s="180"/>
      <c r="CE853" s="180"/>
      <c r="CF853" s="180"/>
      <c r="CG853" s="180"/>
      <c r="CH853" s="180"/>
      <c r="CI853" s="180"/>
      <c r="CJ853" s="180"/>
      <c r="CK853" s="180"/>
      <c r="CL853" s="18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</row>
    <row r="854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0"/>
      <c r="AG854" s="180"/>
      <c r="AH854" s="180"/>
      <c r="AI854" s="180"/>
      <c r="AJ854" s="180"/>
      <c r="AK854" s="180"/>
      <c r="AL854" s="180"/>
      <c r="AM854" s="180"/>
      <c r="AN854" s="180"/>
      <c r="AO854" s="180"/>
      <c r="AP854" s="180"/>
      <c r="AQ854" s="180"/>
      <c r="AR854" s="180"/>
      <c r="AS854" s="180"/>
      <c r="AT854" s="180"/>
      <c r="AU854" s="180"/>
      <c r="AV854" s="180"/>
      <c r="AW854" s="180"/>
      <c r="AX854" s="180"/>
      <c r="AY854" s="180"/>
      <c r="AZ854" s="180"/>
      <c r="BA854" s="180"/>
      <c r="BB854" s="180"/>
      <c r="BC854" s="180"/>
      <c r="BD854" s="180"/>
      <c r="BE854" s="180"/>
      <c r="BF854" s="180"/>
      <c r="BG854" s="180"/>
      <c r="BH854" s="180"/>
      <c r="BI854" s="180"/>
      <c r="BJ854" s="180"/>
      <c r="BK854" s="180"/>
      <c r="BL854" s="180"/>
      <c r="BM854" s="180"/>
      <c r="BN854" s="180"/>
      <c r="BO854" s="180"/>
      <c r="BP854" s="180"/>
      <c r="BQ854" s="180"/>
      <c r="BR854" s="180"/>
      <c r="BS854" s="180"/>
      <c r="BT854" s="180"/>
      <c r="BU854" s="180"/>
      <c r="BV854" s="180"/>
      <c r="BW854" s="180"/>
      <c r="BX854" s="180"/>
      <c r="BY854" s="180"/>
      <c r="BZ854" s="180"/>
      <c r="CA854" s="180"/>
      <c r="CB854" s="180"/>
      <c r="CC854" s="180"/>
      <c r="CD854" s="180"/>
      <c r="CE854" s="180"/>
      <c r="CF854" s="180"/>
      <c r="CG854" s="180"/>
      <c r="CH854" s="180"/>
      <c r="CI854" s="180"/>
      <c r="CJ854" s="180"/>
      <c r="CK854" s="180"/>
      <c r="CL854" s="180"/>
      <c r="CM854" s="180"/>
      <c r="CN854" s="180"/>
      <c r="CO854" s="180"/>
      <c r="CP854" s="180"/>
      <c r="CQ854" s="180"/>
      <c r="CR854" s="180"/>
      <c r="CS854" s="180"/>
      <c r="CT854" s="180"/>
      <c r="CU854" s="180"/>
      <c r="CV854" s="180"/>
      <c r="CW854" s="180"/>
      <c r="CX854" s="180"/>
      <c r="CY854" s="180"/>
      <c r="CZ854" s="180"/>
      <c r="DA854" s="180"/>
      <c r="DB854" s="180"/>
    </row>
    <row r="855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0"/>
      <c r="AG855" s="180"/>
      <c r="AH855" s="180"/>
      <c r="AI855" s="180"/>
      <c r="AJ855" s="180"/>
      <c r="AK855" s="180"/>
      <c r="AL855" s="180"/>
      <c r="AM855" s="180"/>
      <c r="AN855" s="180"/>
      <c r="AO855" s="180"/>
      <c r="AP855" s="180"/>
      <c r="AQ855" s="180"/>
      <c r="AR855" s="180"/>
      <c r="AS855" s="180"/>
      <c r="AT855" s="180"/>
      <c r="AU855" s="180"/>
      <c r="AV855" s="180"/>
      <c r="AW855" s="180"/>
      <c r="AX855" s="180"/>
      <c r="AY855" s="180"/>
      <c r="AZ855" s="180"/>
      <c r="BA855" s="180"/>
      <c r="BB855" s="180"/>
      <c r="BC855" s="180"/>
      <c r="BD855" s="180"/>
      <c r="BE855" s="180"/>
      <c r="BF855" s="180"/>
      <c r="BG855" s="180"/>
      <c r="BH855" s="180"/>
      <c r="BI855" s="180"/>
      <c r="BJ855" s="180"/>
      <c r="BK855" s="180"/>
      <c r="BL855" s="180"/>
      <c r="BM855" s="180"/>
      <c r="BN855" s="180"/>
      <c r="BO855" s="180"/>
      <c r="BP855" s="180"/>
      <c r="BQ855" s="180"/>
      <c r="BR855" s="180"/>
      <c r="BS855" s="180"/>
      <c r="BT855" s="180"/>
      <c r="BU855" s="180"/>
      <c r="BV855" s="180"/>
      <c r="BW855" s="180"/>
      <c r="BX855" s="180"/>
      <c r="BY855" s="180"/>
      <c r="BZ855" s="180"/>
      <c r="CA855" s="180"/>
      <c r="CB855" s="180"/>
      <c r="CC855" s="180"/>
      <c r="CD855" s="180"/>
      <c r="CE855" s="180"/>
      <c r="CF855" s="180"/>
      <c r="CG855" s="180"/>
      <c r="CH855" s="180"/>
      <c r="CI855" s="180"/>
      <c r="CJ855" s="180"/>
      <c r="CK855" s="180"/>
      <c r="CL855" s="180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</row>
    <row r="856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  <c r="AF856" s="180"/>
      <c r="AG856" s="180"/>
      <c r="AH856" s="180"/>
      <c r="AI856" s="180"/>
      <c r="AJ856" s="180"/>
      <c r="AK856" s="180"/>
      <c r="AL856" s="180"/>
      <c r="AM856" s="180"/>
      <c r="AN856" s="180"/>
      <c r="AO856" s="180"/>
      <c r="AP856" s="180"/>
      <c r="AQ856" s="180"/>
      <c r="AR856" s="180"/>
      <c r="AS856" s="180"/>
      <c r="AT856" s="180"/>
      <c r="AU856" s="180"/>
      <c r="AV856" s="180"/>
      <c r="AW856" s="180"/>
      <c r="AX856" s="180"/>
      <c r="AY856" s="180"/>
      <c r="AZ856" s="180"/>
      <c r="BA856" s="180"/>
      <c r="BB856" s="180"/>
      <c r="BC856" s="180"/>
      <c r="BD856" s="180"/>
      <c r="BE856" s="180"/>
      <c r="BF856" s="180"/>
      <c r="BG856" s="180"/>
      <c r="BH856" s="180"/>
      <c r="BI856" s="180"/>
      <c r="BJ856" s="180"/>
      <c r="BK856" s="180"/>
      <c r="BL856" s="180"/>
      <c r="BM856" s="180"/>
      <c r="BN856" s="180"/>
      <c r="BO856" s="180"/>
      <c r="BP856" s="180"/>
      <c r="BQ856" s="180"/>
      <c r="BR856" s="180"/>
      <c r="BS856" s="180"/>
      <c r="BT856" s="180"/>
      <c r="BU856" s="180"/>
      <c r="BV856" s="180"/>
      <c r="BW856" s="180"/>
      <c r="BX856" s="180"/>
      <c r="BY856" s="180"/>
      <c r="BZ856" s="180"/>
      <c r="CA856" s="180"/>
      <c r="CB856" s="180"/>
      <c r="CC856" s="180"/>
      <c r="CD856" s="180"/>
      <c r="CE856" s="180"/>
      <c r="CF856" s="180"/>
      <c r="CG856" s="180"/>
      <c r="CH856" s="180"/>
      <c r="CI856" s="180"/>
      <c r="CJ856" s="180"/>
      <c r="CK856" s="180"/>
      <c r="CL856" s="180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</row>
    <row r="857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  <c r="AF857" s="180"/>
      <c r="AG857" s="180"/>
      <c r="AH857" s="180"/>
      <c r="AI857" s="180"/>
      <c r="AJ857" s="180"/>
      <c r="AK857" s="180"/>
      <c r="AL857" s="180"/>
      <c r="AM857" s="180"/>
      <c r="AN857" s="180"/>
      <c r="AO857" s="180"/>
      <c r="AP857" s="180"/>
      <c r="AQ857" s="180"/>
      <c r="AR857" s="180"/>
      <c r="AS857" s="180"/>
      <c r="AT857" s="180"/>
      <c r="AU857" s="180"/>
      <c r="AV857" s="180"/>
      <c r="AW857" s="180"/>
      <c r="AX857" s="180"/>
      <c r="AY857" s="180"/>
      <c r="AZ857" s="180"/>
      <c r="BA857" s="180"/>
      <c r="BB857" s="180"/>
      <c r="BC857" s="180"/>
      <c r="BD857" s="180"/>
      <c r="BE857" s="180"/>
      <c r="BF857" s="180"/>
      <c r="BG857" s="180"/>
      <c r="BH857" s="180"/>
      <c r="BI857" s="180"/>
      <c r="BJ857" s="180"/>
      <c r="BK857" s="180"/>
      <c r="BL857" s="180"/>
      <c r="BM857" s="180"/>
      <c r="BN857" s="180"/>
      <c r="BO857" s="180"/>
      <c r="BP857" s="180"/>
      <c r="BQ857" s="180"/>
      <c r="BR857" s="180"/>
      <c r="BS857" s="180"/>
      <c r="BT857" s="180"/>
      <c r="BU857" s="180"/>
      <c r="BV857" s="180"/>
      <c r="BW857" s="180"/>
      <c r="BX857" s="180"/>
      <c r="BY857" s="180"/>
      <c r="BZ857" s="180"/>
      <c r="CA857" s="180"/>
      <c r="CB857" s="180"/>
      <c r="CC857" s="180"/>
      <c r="CD857" s="180"/>
      <c r="CE857" s="180"/>
      <c r="CF857" s="180"/>
      <c r="CG857" s="180"/>
      <c r="CH857" s="180"/>
      <c r="CI857" s="180"/>
      <c r="CJ857" s="180"/>
      <c r="CK857" s="180"/>
      <c r="CL857" s="180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</row>
    <row r="858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  <c r="AF858" s="180"/>
      <c r="AG858" s="180"/>
      <c r="AH858" s="180"/>
      <c r="AI858" s="180"/>
      <c r="AJ858" s="180"/>
      <c r="AK858" s="180"/>
      <c r="AL858" s="180"/>
      <c r="AM858" s="180"/>
      <c r="AN858" s="180"/>
      <c r="AO858" s="180"/>
      <c r="AP858" s="180"/>
      <c r="AQ858" s="180"/>
      <c r="AR858" s="180"/>
      <c r="AS858" s="180"/>
      <c r="AT858" s="180"/>
      <c r="AU858" s="180"/>
      <c r="AV858" s="180"/>
      <c r="AW858" s="180"/>
      <c r="AX858" s="180"/>
      <c r="AY858" s="180"/>
      <c r="AZ858" s="180"/>
      <c r="BA858" s="180"/>
      <c r="BB858" s="180"/>
      <c r="BC858" s="180"/>
      <c r="BD858" s="180"/>
      <c r="BE858" s="180"/>
      <c r="BF858" s="180"/>
      <c r="BG858" s="180"/>
      <c r="BH858" s="180"/>
      <c r="BI858" s="180"/>
      <c r="BJ858" s="180"/>
      <c r="BK858" s="180"/>
      <c r="BL858" s="180"/>
      <c r="BM858" s="180"/>
      <c r="BN858" s="180"/>
      <c r="BO858" s="180"/>
      <c r="BP858" s="180"/>
      <c r="BQ858" s="180"/>
      <c r="BR858" s="180"/>
      <c r="BS858" s="180"/>
      <c r="BT858" s="180"/>
      <c r="BU858" s="180"/>
      <c r="BV858" s="180"/>
      <c r="BW858" s="180"/>
      <c r="BX858" s="180"/>
      <c r="BY858" s="180"/>
      <c r="BZ858" s="180"/>
      <c r="CA858" s="180"/>
      <c r="CB858" s="180"/>
      <c r="CC858" s="180"/>
      <c r="CD858" s="180"/>
      <c r="CE858" s="180"/>
      <c r="CF858" s="180"/>
      <c r="CG858" s="180"/>
      <c r="CH858" s="180"/>
      <c r="CI858" s="180"/>
      <c r="CJ858" s="180"/>
      <c r="CK858" s="180"/>
      <c r="CL858" s="180"/>
      <c r="CM858" s="180"/>
      <c r="CN858" s="180"/>
      <c r="CO858" s="180"/>
      <c r="CP858" s="180"/>
      <c r="CQ858" s="180"/>
      <c r="CR858" s="180"/>
      <c r="CS858" s="180"/>
      <c r="CT858" s="180"/>
      <c r="CU858" s="180"/>
      <c r="CV858" s="180"/>
      <c r="CW858" s="180"/>
      <c r="CX858" s="180"/>
      <c r="CY858" s="180"/>
      <c r="CZ858" s="180"/>
      <c r="DA858" s="180"/>
      <c r="DB858" s="180"/>
    </row>
    <row r="859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  <c r="K859" s="180"/>
      <c r="L859" s="180"/>
      <c r="M859" s="180"/>
      <c r="N859" s="180"/>
      <c r="O859" s="180"/>
      <c r="P859" s="180"/>
      <c r="Q859" s="180"/>
      <c r="R859" s="180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  <c r="AF859" s="180"/>
      <c r="AG859" s="180"/>
      <c r="AH859" s="180"/>
      <c r="AI859" s="180"/>
      <c r="AJ859" s="180"/>
      <c r="AK859" s="180"/>
      <c r="AL859" s="180"/>
      <c r="AM859" s="180"/>
      <c r="AN859" s="180"/>
      <c r="AO859" s="180"/>
      <c r="AP859" s="180"/>
      <c r="AQ859" s="180"/>
      <c r="AR859" s="180"/>
      <c r="AS859" s="180"/>
      <c r="AT859" s="180"/>
      <c r="AU859" s="180"/>
      <c r="AV859" s="180"/>
      <c r="AW859" s="180"/>
      <c r="AX859" s="180"/>
      <c r="AY859" s="180"/>
      <c r="AZ859" s="180"/>
      <c r="BA859" s="180"/>
      <c r="BB859" s="180"/>
      <c r="BC859" s="180"/>
      <c r="BD859" s="180"/>
      <c r="BE859" s="180"/>
      <c r="BF859" s="180"/>
      <c r="BG859" s="180"/>
      <c r="BH859" s="180"/>
      <c r="BI859" s="180"/>
      <c r="BJ859" s="180"/>
      <c r="BK859" s="180"/>
      <c r="BL859" s="180"/>
      <c r="BM859" s="180"/>
      <c r="BN859" s="180"/>
      <c r="BO859" s="180"/>
      <c r="BP859" s="180"/>
      <c r="BQ859" s="180"/>
      <c r="BR859" s="180"/>
      <c r="BS859" s="180"/>
      <c r="BT859" s="180"/>
      <c r="BU859" s="180"/>
      <c r="BV859" s="180"/>
      <c r="BW859" s="180"/>
      <c r="BX859" s="180"/>
      <c r="BY859" s="180"/>
      <c r="BZ859" s="180"/>
      <c r="CA859" s="180"/>
      <c r="CB859" s="180"/>
      <c r="CC859" s="180"/>
      <c r="CD859" s="180"/>
      <c r="CE859" s="180"/>
      <c r="CF859" s="180"/>
      <c r="CG859" s="180"/>
      <c r="CH859" s="180"/>
      <c r="CI859" s="180"/>
      <c r="CJ859" s="180"/>
      <c r="CK859" s="180"/>
      <c r="CL859" s="180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</row>
    <row r="860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0"/>
      <c r="AN860" s="180"/>
      <c r="AO860" s="180"/>
      <c r="AP860" s="180"/>
      <c r="AQ860" s="180"/>
      <c r="AR860" s="180"/>
      <c r="AS860" s="180"/>
      <c r="AT860" s="180"/>
      <c r="AU860" s="180"/>
      <c r="AV860" s="180"/>
      <c r="AW860" s="180"/>
      <c r="AX860" s="180"/>
      <c r="AY860" s="180"/>
      <c r="AZ860" s="180"/>
      <c r="BA860" s="180"/>
      <c r="BB860" s="180"/>
      <c r="BC860" s="180"/>
      <c r="BD860" s="180"/>
      <c r="BE860" s="180"/>
      <c r="BF860" s="180"/>
      <c r="BG860" s="180"/>
      <c r="BH860" s="180"/>
      <c r="BI860" s="180"/>
      <c r="BJ860" s="180"/>
      <c r="BK860" s="180"/>
      <c r="BL860" s="180"/>
      <c r="BM860" s="180"/>
      <c r="BN860" s="180"/>
      <c r="BO860" s="180"/>
      <c r="BP860" s="180"/>
      <c r="BQ860" s="180"/>
      <c r="BR860" s="180"/>
      <c r="BS860" s="180"/>
      <c r="BT860" s="180"/>
      <c r="BU860" s="180"/>
      <c r="BV860" s="180"/>
      <c r="BW860" s="180"/>
      <c r="BX860" s="180"/>
      <c r="BY860" s="180"/>
      <c r="BZ860" s="180"/>
      <c r="CA860" s="180"/>
      <c r="CB860" s="180"/>
      <c r="CC860" s="180"/>
      <c r="CD860" s="180"/>
      <c r="CE860" s="180"/>
      <c r="CF860" s="180"/>
      <c r="CG860" s="180"/>
      <c r="CH860" s="180"/>
      <c r="CI860" s="180"/>
      <c r="CJ860" s="180"/>
      <c r="CK860" s="180"/>
      <c r="CL860" s="180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</row>
    <row r="861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  <c r="AG861" s="180"/>
      <c r="AH861" s="180"/>
      <c r="AI861" s="180"/>
      <c r="AJ861" s="180"/>
      <c r="AK861" s="180"/>
      <c r="AL861" s="180"/>
      <c r="AM861" s="180"/>
      <c r="AN861" s="180"/>
      <c r="AO861" s="180"/>
      <c r="AP861" s="180"/>
      <c r="AQ861" s="180"/>
      <c r="AR861" s="180"/>
      <c r="AS861" s="180"/>
      <c r="AT861" s="180"/>
      <c r="AU861" s="180"/>
      <c r="AV861" s="180"/>
      <c r="AW861" s="180"/>
      <c r="AX861" s="180"/>
      <c r="AY861" s="180"/>
      <c r="AZ861" s="180"/>
      <c r="BA861" s="180"/>
      <c r="BB861" s="180"/>
      <c r="BC861" s="180"/>
      <c r="BD861" s="180"/>
      <c r="BE861" s="180"/>
      <c r="BF861" s="180"/>
      <c r="BG861" s="180"/>
      <c r="BH861" s="180"/>
      <c r="BI861" s="180"/>
      <c r="BJ861" s="180"/>
      <c r="BK861" s="180"/>
      <c r="BL861" s="180"/>
      <c r="BM861" s="180"/>
      <c r="BN861" s="180"/>
      <c r="BO861" s="180"/>
      <c r="BP861" s="180"/>
      <c r="BQ861" s="180"/>
      <c r="BR861" s="180"/>
      <c r="BS861" s="180"/>
      <c r="BT861" s="180"/>
      <c r="BU861" s="180"/>
      <c r="BV861" s="180"/>
      <c r="BW861" s="180"/>
      <c r="BX861" s="180"/>
      <c r="BY861" s="180"/>
      <c r="BZ861" s="180"/>
      <c r="CA861" s="180"/>
      <c r="CB861" s="180"/>
      <c r="CC861" s="180"/>
      <c r="CD861" s="180"/>
      <c r="CE861" s="180"/>
      <c r="CF861" s="180"/>
      <c r="CG861" s="180"/>
      <c r="CH861" s="180"/>
      <c r="CI861" s="180"/>
      <c r="CJ861" s="180"/>
      <c r="CK861" s="180"/>
      <c r="CL861" s="180"/>
      <c r="CM861" s="180"/>
      <c r="CN861" s="180"/>
      <c r="CO861" s="180"/>
      <c r="CP861" s="180"/>
      <c r="CQ861" s="180"/>
      <c r="CR861" s="180"/>
      <c r="CS861" s="180"/>
      <c r="CT861" s="180"/>
      <c r="CU861" s="180"/>
      <c r="CV861" s="180"/>
      <c r="CW861" s="180"/>
      <c r="CX861" s="180"/>
      <c r="CY861" s="180"/>
      <c r="CZ861" s="180"/>
      <c r="DA861" s="180"/>
      <c r="DB861" s="180"/>
    </row>
    <row r="862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  <c r="AK862" s="180"/>
      <c r="AL862" s="180"/>
      <c r="AM862" s="180"/>
      <c r="AN862" s="180"/>
      <c r="AO862" s="180"/>
      <c r="AP862" s="180"/>
      <c r="AQ862" s="180"/>
      <c r="AR862" s="180"/>
      <c r="AS862" s="180"/>
      <c r="AT862" s="180"/>
      <c r="AU862" s="180"/>
      <c r="AV862" s="180"/>
      <c r="AW862" s="180"/>
      <c r="AX862" s="180"/>
      <c r="AY862" s="180"/>
      <c r="AZ862" s="180"/>
      <c r="BA862" s="180"/>
      <c r="BB862" s="180"/>
      <c r="BC862" s="180"/>
      <c r="BD862" s="180"/>
      <c r="BE862" s="180"/>
      <c r="BF862" s="180"/>
      <c r="BG862" s="180"/>
      <c r="BH862" s="180"/>
      <c r="BI862" s="180"/>
      <c r="BJ862" s="180"/>
      <c r="BK862" s="180"/>
      <c r="BL862" s="180"/>
      <c r="BM862" s="180"/>
      <c r="BN862" s="180"/>
      <c r="BO862" s="180"/>
      <c r="BP862" s="180"/>
      <c r="BQ862" s="180"/>
      <c r="BR862" s="180"/>
      <c r="BS862" s="180"/>
      <c r="BT862" s="180"/>
      <c r="BU862" s="180"/>
      <c r="BV862" s="180"/>
      <c r="BW862" s="180"/>
      <c r="BX862" s="180"/>
      <c r="BY862" s="180"/>
      <c r="BZ862" s="180"/>
      <c r="CA862" s="180"/>
      <c r="CB862" s="180"/>
      <c r="CC862" s="180"/>
      <c r="CD862" s="180"/>
      <c r="CE862" s="180"/>
      <c r="CF862" s="180"/>
      <c r="CG862" s="180"/>
      <c r="CH862" s="180"/>
      <c r="CI862" s="180"/>
      <c r="CJ862" s="180"/>
      <c r="CK862" s="180"/>
      <c r="CL862" s="180"/>
      <c r="CM862" s="180"/>
      <c r="CN862" s="180"/>
      <c r="CO862" s="180"/>
      <c r="CP862" s="180"/>
      <c r="CQ862" s="180"/>
      <c r="CR862" s="180"/>
      <c r="CS862" s="180"/>
      <c r="CT862" s="180"/>
      <c r="CU862" s="180"/>
      <c r="CV862" s="180"/>
      <c r="CW862" s="180"/>
      <c r="CX862" s="180"/>
      <c r="CY862" s="180"/>
      <c r="CZ862" s="180"/>
      <c r="DA862" s="180"/>
      <c r="DB862" s="180"/>
    </row>
    <row r="863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  <c r="AF863" s="180"/>
      <c r="AG863" s="180"/>
      <c r="AH863" s="180"/>
      <c r="AI863" s="180"/>
      <c r="AJ863" s="180"/>
      <c r="AK863" s="180"/>
      <c r="AL863" s="180"/>
      <c r="AM863" s="180"/>
      <c r="AN863" s="180"/>
      <c r="AO863" s="180"/>
      <c r="AP863" s="180"/>
      <c r="AQ863" s="180"/>
      <c r="AR863" s="180"/>
      <c r="AS863" s="180"/>
      <c r="AT863" s="180"/>
      <c r="AU863" s="180"/>
      <c r="AV863" s="180"/>
      <c r="AW863" s="180"/>
      <c r="AX863" s="180"/>
      <c r="AY863" s="180"/>
      <c r="AZ863" s="180"/>
      <c r="BA863" s="180"/>
      <c r="BB863" s="180"/>
      <c r="BC863" s="180"/>
      <c r="BD863" s="180"/>
      <c r="BE863" s="180"/>
      <c r="BF863" s="180"/>
      <c r="BG863" s="180"/>
      <c r="BH863" s="180"/>
      <c r="BI863" s="180"/>
      <c r="BJ863" s="180"/>
      <c r="BK863" s="180"/>
      <c r="BL863" s="180"/>
      <c r="BM863" s="180"/>
      <c r="BN863" s="180"/>
      <c r="BO863" s="180"/>
      <c r="BP863" s="180"/>
      <c r="BQ863" s="180"/>
      <c r="BR863" s="180"/>
      <c r="BS863" s="180"/>
      <c r="BT863" s="180"/>
      <c r="BU863" s="180"/>
      <c r="BV863" s="180"/>
      <c r="BW863" s="180"/>
      <c r="BX863" s="180"/>
      <c r="BY863" s="180"/>
      <c r="BZ863" s="180"/>
      <c r="CA863" s="180"/>
      <c r="CB863" s="180"/>
      <c r="CC863" s="180"/>
      <c r="CD863" s="180"/>
      <c r="CE863" s="180"/>
      <c r="CF863" s="180"/>
      <c r="CG863" s="180"/>
      <c r="CH863" s="180"/>
      <c r="CI863" s="180"/>
      <c r="CJ863" s="180"/>
      <c r="CK863" s="180"/>
      <c r="CL863" s="180"/>
      <c r="CM863" s="180"/>
      <c r="CN863" s="180"/>
      <c r="CO863" s="180"/>
      <c r="CP863" s="180"/>
      <c r="CQ863" s="180"/>
      <c r="CR863" s="180"/>
      <c r="CS863" s="180"/>
      <c r="CT863" s="180"/>
      <c r="CU863" s="180"/>
      <c r="CV863" s="180"/>
      <c r="CW863" s="180"/>
      <c r="CX863" s="180"/>
      <c r="CY863" s="180"/>
      <c r="CZ863" s="180"/>
      <c r="DA863" s="180"/>
      <c r="DB863" s="180"/>
    </row>
    <row r="864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  <c r="K864" s="180"/>
      <c r="L864" s="180"/>
      <c r="M864" s="180"/>
      <c r="N864" s="180"/>
      <c r="O864" s="180"/>
      <c r="P864" s="180"/>
      <c r="Q864" s="180"/>
      <c r="R864" s="180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  <c r="AF864" s="180"/>
      <c r="AG864" s="180"/>
      <c r="AH864" s="180"/>
      <c r="AI864" s="180"/>
      <c r="AJ864" s="180"/>
      <c r="AK864" s="180"/>
      <c r="AL864" s="180"/>
      <c r="AM864" s="180"/>
      <c r="AN864" s="180"/>
      <c r="AO864" s="180"/>
      <c r="AP864" s="180"/>
      <c r="AQ864" s="180"/>
      <c r="AR864" s="180"/>
      <c r="AS864" s="180"/>
      <c r="AT864" s="180"/>
      <c r="AU864" s="180"/>
      <c r="AV864" s="180"/>
      <c r="AW864" s="180"/>
      <c r="AX864" s="180"/>
      <c r="AY864" s="180"/>
      <c r="AZ864" s="180"/>
      <c r="BA864" s="180"/>
      <c r="BB864" s="180"/>
      <c r="BC864" s="180"/>
      <c r="BD864" s="180"/>
      <c r="BE864" s="180"/>
      <c r="BF864" s="180"/>
      <c r="BG864" s="180"/>
      <c r="BH864" s="180"/>
      <c r="BI864" s="180"/>
      <c r="BJ864" s="180"/>
      <c r="BK864" s="180"/>
      <c r="BL864" s="180"/>
      <c r="BM864" s="180"/>
      <c r="BN864" s="180"/>
      <c r="BO864" s="180"/>
      <c r="BP864" s="180"/>
      <c r="BQ864" s="180"/>
      <c r="BR864" s="180"/>
      <c r="BS864" s="180"/>
      <c r="BT864" s="180"/>
      <c r="BU864" s="180"/>
      <c r="BV864" s="180"/>
      <c r="BW864" s="180"/>
      <c r="BX864" s="180"/>
      <c r="BY864" s="180"/>
      <c r="BZ864" s="180"/>
      <c r="CA864" s="180"/>
      <c r="CB864" s="180"/>
      <c r="CC864" s="180"/>
      <c r="CD864" s="180"/>
      <c r="CE864" s="180"/>
      <c r="CF864" s="180"/>
      <c r="CG864" s="180"/>
      <c r="CH864" s="180"/>
      <c r="CI864" s="180"/>
      <c r="CJ864" s="180"/>
      <c r="CK864" s="180"/>
      <c r="CL864" s="180"/>
      <c r="CM864" s="180"/>
      <c r="CN864" s="180"/>
      <c r="CO864" s="180"/>
      <c r="CP864" s="180"/>
      <c r="CQ864" s="180"/>
      <c r="CR864" s="180"/>
      <c r="CS864" s="180"/>
      <c r="CT864" s="180"/>
      <c r="CU864" s="180"/>
      <c r="CV864" s="180"/>
      <c r="CW864" s="180"/>
      <c r="CX864" s="180"/>
      <c r="CY864" s="180"/>
      <c r="CZ864" s="180"/>
      <c r="DA864" s="180"/>
      <c r="DB864" s="180"/>
    </row>
    <row r="865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  <c r="AF865" s="180"/>
      <c r="AG865" s="180"/>
      <c r="AH865" s="180"/>
      <c r="AI865" s="180"/>
      <c r="AJ865" s="180"/>
      <c r="AK865" s="180"/>
      <c r="AL865" s="180"/>
      <c r="AM865" s="180"/>
      <c r="AN865" s="180"/>
      <c r="AO865" s="180"/>
      <c r="AP865" s="180"/>
      <c r="AQ865" s="180"/>
      <c r="AR865" s="180"/>
      <c r="AS865" s="180"/>
      <c r="AT865" s="180"/>
      <c r="AU865" s="180"/>
      <c r="AV865" s="180"/>
      <c r="AW865" s="180"/>
      <c r="AX865" s="180"/>
      <c r="AY865" s="180"/>
      <c r="AZ865" s="180"/>
      <c r="BA865" s="180"/>
      <c r="BB865" s="180"/>
      <c r="BC865" s="180"/>
      <c r="BD865" s="180"/>
      <c r="BE865" s="180"/>
      <c r="BF865" s="180"/>
      <c r="BG865" s="180"/>
      <c r="BH865" s="180"/>
      <c r="BI865" s="180"/>
      <c r="BJ865" s="180"/>
      <c r="BK865" s="180"/>
      <c r="BL865" s="180"/>
      <c r="BM865" s="180"/>
      <c r="BN865" s="180"/>
      <c r="BO865" s="180"/>
      <c r="BP865" s="180"/>
      <c r="BQ865" s="180"/>
      <c r="BR865" s="180"/>
      <c r="BS865" s="180"/>
      <c r="BT865" s="180"/>
      <c r="BU865" s="180"/>
      <c r="BV865" s="180"/>
      <c r="BW865" s="180"/>
      <c r="BX865" s="180"/>
      <c r="BY865" s="180"/>
      <c r="BZ865" s="180"/>
      <c r="CA865" s="180"/>
      <c r="CB865" s="180"/>
      <c r="CC865" s="180"/>
      <c r="CD865" s="180"/>
      <c r="CE865" s="180"/>
      <c r="CF865" s="180"/>
      <c r="CG865" s="180"/>
      <c r="CH865" s="180"/>
      <c r="CI865" s="180"/>
      <c r="CJ865" s="180"/>
      <c r="CK865" s="180"/>
      <c r="CL865" s="180"/>
      <c r="CM865" s="180"/>
      <c r="CN865" s="180"/>
      <c r="CO865" s="180"/>
      <c r="CP865" s="180"/>
      <c r="CQ865" s="180"/>
      <c r="CR865" s="180"/>
      <c r="CS865" s="180"/>
      <c r="CT865" s="180"/>
      <c r="CU865" s="180"/>
      <c r="CV865" s="180"/>
      <c r="CW865" s="180"/>
      <c r="CX865" s="180"/>
      <c r="CY865" s="180"/>
      <c r="CZ865" s="180"/>
      <c r="DA865" s="180"/>
      <c r="DB865" s="180"/>
    </row>
    <row r="866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  <c r="AF866" s="180"/>
      <c r="AG866" s="180"/>
      <c r="AH866" s="180"/>
      <c r="AI866" s="180"/>
      <c r="AJ866" s="180"/>
      <c r="AK866" s="180"/>
      <c r="AL866" s="180"/>
      <c r="AM866" s="180"/>
      <c r="AN866" s="180"/>
      <c r="AO866" s="180"/>
      <c r="AP866" s="180"/>
      <c r="AQ866" s="180"/>
      <c r="AR866" s="180"/>
      <c r="AS866" s="180"/>
      <c r="AT866" s="180"/>
      <c r="AU866" s="180"/>
      <c r="AV866" s="180"/>
      <c r="AW866" s="180"/>
      <c r="AX866" s="180"/>
      <c r="AY866" s="180"/>
      <c r="AZ866" s="180"/>
      <c r="BA866" s="180"/>
      <c r="BB866" s="180"/>
      <c r="BC866" s="180"/>
      <c r="BD866" s="180"/>
      <c r="BE866" s="180"/>
      <c r="BF866" s="180"/>
      <c r="BG866" s="180"/>
      <c r="BH866" s="180"/>
      <c r="BI866" s="180"/>
      <c r="BJ866" s="180"/>
      <c r="BK866" s="180"/>
      <c r="BL866" s="180"/>
      <c r="BM866" s="180"/>
      <c r="BN866" s="180"/>
      <c r="BO866" s="180"/>
      <c r="BP866" s="180"/>
      <c r="BQ866" s="180"/>
      <c r="BR866" s="180"/>
      <c r="BS866" s="180"/>
      <c r="BT866" s="180"/>
      <c r="BU866" s="180"/>
      <c r="BV866" s="180"/>
      <c r="BW866" s="180"/>
      <c r="BX866" s="180"/>
      <c r="BY866" s="180"/>
      <c r="BZ866" s="180"/>
      <c r="CA866" s="180"/>
      <c r="CB866" s="180"/>
      <c r="CC866" s="180"/>
      <c r="CD866" s="180"/>
      <c r="CE866" s="180"/>
      <c r="CF866" s="180"/>
      <c r="CG866" s="180"/>
      <c r="CH866" s="180"/>
      <c r="CI866" s="180"/>
      <c r="CJ866" s="180"/>
      <c r="CK866" s="180"/>
      <c r="CL866" s="180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</row>
    <row r="867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  <c r="AF867" s="180"/>
      <c r="AG867" s="180"/>
      <c r="AH867" s="180"/>
      <c r="AI867" s="180"/>
      <c r="AJ867" s="180"/>
      <c r="AK867" s="180"/>
      <c r="AL867" s="180"/>
      <c r="AM867" s="180"/>
      <c r="AN867" s="180"/>
      <c r="AO867" s="180"/>
      <c r="AP867" s="180"/>
      <c r="AQ867" s="180"/>
      <c r="AR867" s="180"/>
      <c r="AS867" s="180"/>
      <c r="AT867" s="180"/>
      <c r="AU867" s="180"/>
      <c r="AV867" s="180"/>
      <c r="AW867" s="180"/>
      <c r="AX867" s="180"/>
      <c r="AY867" s="180"/>
      <c r="AZ867" s="180"/>
      <c r="BA867" s="180"/>
      <c r="BB867" s="180"/>
      <c r="BC867" s="180"/>
      <c r="BD867" s="180"/>
      <c r="BE867" s="180"/>
      <c r="BF867" s="180"/>
      <c r="BG867" s="180"/>
      <c r="BH867" s="180"/>
      <c r="BI867" s="180"/>
      <c r="BJ867" s="180"/>
      <c r="BK867" s="180"/>
      <c r="BL867" s="180"/>
      <c r="BM867" s="180"/>
      <c r="BN867" s="180"/>
      <c r="BO867" s="180"/>
      <c r="BP867" s="180"/>
      <c r="BQ867" s="180"/>
      <c r="BR867" s="180"/>
      <c r="BS867" s="180"/>
      <c r="BT867" s="180"/>
      <c r="BU867" s="180"/>
      <c r="BV867" s="180"/>
      <c r="BW867" s="180"/>
      <c r="BX867" s="180"/>
      <c r="BY867" s="180"/>
      <c r="BZ867" s="180"/>
      <c r="CA867" s="180"/>
      <c r="CB867" s="180"/>
      <c r="CC867" s="180"/>
      <c r="CD867" s="180"/>
      <c r="CE867" s="180"/>
      <c r="CF867" s="180"/>
      <c r="CG867" s="180"/>
      <c r="CH867" s="180"/>
      <c r="CI867" s="180"/>
      <c r="CJ867" s="180"/>
      <c r="CK867" s="180"/>
      <c r="CL867" s="180"/>
      <c r="CM867" s="180"/>
      <c r="CN867" s="180"/>
      <c r="CO867" s="180"/>
      <c r="CP867" s="180"/>
      <c r="CQ867" s="180"/>
      <c r="CR867" s="180"/>
      <c r="CS867" s="180"/>
      <c r="CT867" s="180"/>
      <c r="CU867" s="180"/>
      <c r="CV867" s="180"/>
      <c r="CW867" s="180"/>
      <c r="CX867" s="180"/>
      <c r="CY867" s="180"/>
      <c r="CZ867" s="180"/>
      <c r="DA867" s="180"/>
      <c r="DB867" s="180"/>
    </row>
    <row r="868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  <c r="AF868" s="180"/>
      <c r="AG868" s="180"/>
      <c r="AH868" s="180"/>
      <c r="AI868" s="180"/>
      <c r="AJ868" s="180"/>
      <c r="AK868" s="180"/>
      <c r="AL868" s="180"/>
      <c r="AM868" s="180"/>
      <c r="AN868" s="180"/>
      <c r="AO868" s="180"/>
      <c r="AP868" s="180"/>
      <c r="AQ868" s="180"/>
      <c r="AR868" s="180"/>
      <c r="AS868" s="180"/>
      <c r="AT868" s="180"/>
      <c r="AU868" s="180"/>
      <c r="AV868" s="180"/>
      <c r="AW868" s="180"/>
      <c r="AX868" s="180"/>
      <c r="AY868" s="180"/>
      <c r="AZ868" s="180"/>
      <c r="BA868" s="180"/>
      <c r="BB868" s="180"/>
      <c r="BC868" s="180"/>
      <c r="BD868" s="180"/>
      <c r="BE868" s="180"/>
      <c r="BF868" s="180"/>
      <c r="BG868" s="180"/>
      <c r="BH868" s="180"/>
      <c r="BI868" s="180"/>
      <c r="BJ868" s="180"/>
      <c r="BK868" s="180"/>
      <c r="BL868" s="180"/>
      <c r="BM868" s="180"/>
      <c r="BN868" s="180"/>
      <c r="BO868" s="180"/>
      <c r="BP868" s="180"/>
      <c r="BQ868" s="180"/>
      <c r="BR868" s="180"/>
      <c r="BS868" s="180"/>
      <c r="BT868" s="180"/>
      <c r="BU868" s="180"/>
      <c r="BV868" s="180"/>
      <c r="BW868" s="180"/>
      <c r="BX868" s="180"/>
      <c r="BY868" s="180"/>
      <c r="BZ868" s="180"/>
      <c r="CA868" s="180"/>
      <c r="CB868" s="180"/>
      <c r="CC868" s="180"/>
      <c r="CD868" s="180"/>
      <c r="CE868" s="180"/>
      <c r="CF868" s="180"/>
      <c r="CG868" s="180"/>
      <c r="CH868" s="180"/>
      <c r="CI868" s="180"/>
      <c r="CJ868" s="180"/>
      <c r="CK868" s="180"/>
      <c r="CL868" s="180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</row>
    <row r="869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  <c r="AF869" s="180"/>
      <c r="AG869" s="180"/>
      <c r="AH869" s="180"/>
      <c r="AI869" s="180"/>
      <c r="AJ869" s="180"/>
      <c r="AK869" s="180"/>
      <c r="AL869" s="180"/>
      <c r="AM869" s="180"/>
      <c r="AN869" s="180"/>
      <c r="AO869" s="180"/>
      <c r="AP869" s="180"/>
      <c r="AQ869" s="180"/>
      <c r="AR869" s="180"/>
      <c r="AS869" s="180"/>
      <c r="AT869" s="180"/>
      <c r="AU869" s="180"/>
      <c r="AV869" s="180"/>
      <c r="AW869" s="180"/>
      <c r="AX869" s="180"/>
      <c r="AY869" s="180"/>
      <c r="AZ869" s="180"/>
      <c r="BA869" s="180"/>
      <c r="BB869" s="180"/>
      <c r="BC869" s="180"/>
      <c r="BD869" s="180"/>
      <c r="BE869" s="180"/>
      <c r="BF869" s="180"/>
      <c r="BG869" s="180"/>
      <c r="BH869" s="180"/>
      <c r="BI869" s="180"/>
      <c r="BJ869" s="180"/>
      <c r="BK869" s="180"/>
      <c r="BL869" s="180"/>
      <c r="BM869" s="180"/>
      <c r="BN869" s="180"/>
      <c r="BO869" s="180"/>
      <c r="BP869" s="180"/>
      <c r="BQ869" s="180"/>
      <c r="BR869" s="180"/>
      <c r="BS869" s="180"/>
      <c r="BT869" s="180"/>
      <c r="BU869" s="180"/>
      <c r="BV869" s="180"/>
      <c r="BW869" s="180"/>
      <c r="BX869" s="180"/>
      <c r="BY869" s="180"/>
      <c r="BZ869" s="180"/>
      <c r="CA869" s="180"/>
      <c r="CB869" s="180"/>
      <c r="CC869" s="180"/>
      <c r="CD869" s="180"/>
      <c r="CE869" s="180"/>
      <c r="CF869" s="180"/>
      <c r="CG869" s="180"/>
      <c r="CH869" s="180"/>
      <c r="CI869" s="180"/>
      <c r="CJ869" s="180"/>
      <c r="CK869" s="180"/>
      <c r="CL869" s="180"/>
      <c r="CM869" s="180"/>
      <c r="CN869" s="180"/>
      <c r="CO869" s="180"/>
      <c r="CP869" s="180"/>
      <c r="CQ869" s="180"/>
      <c r="CR869" s="180"/>
      <c r="CS869" s="180"/>
      <c r="CT869" s="180"/>
      <c r="CU869" s="180"/>
      <c r="CV869" s="180"/>
      <c r="CW869" s="180"/>
      <c r="CX869" s="180"/>
      <c r="CY869" s="180"/>
      <c r="CZ869" s="180"/>
      <c r="DA869" s="180"/>
      <c r="DB869" s="180"/>
    </row>
    <row r="870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  <c r="AF870" s="180"/>
      <c r="AG870" s="180"/>
      <c r="AH870" s="180"/>
      <c r="AI870" s="180"/>
      <c r="AJ870" s="180"/>
      <c r="AK870" s="180"/>
      <c r="AL870" s="180"/>
      <c r="AM870" s="180"/>
      <c r="AN870" s="180"/>
      <c r="AO870" s="180"/>
      <c r="AP870" s="180"/>
      <c r="AQ870" s="180"/>
      <c r="AR870" s="180"/>
      <c r="AS870" s="180"/>
      <c r="AT870" s="180"/>
      <c r="AU870" s="180"/>
      <c r="AV870" s="180"/>
      <c r="AW870" s="180"/>
      <c r="AX870" s="180"/>
      <c r="AY870" s="180"/>
      <c r="AZ870" s="180"/>
      <c r="BA870" s="180"/>
      <c r="BB870" s="180"/>
      <c r="BC870" s="180"/>
      <c r="BD870" s="180"/>
      <c r="BE870" s="180"/>
      <c r="BF870" s="180"/>
      <c r="BG870" s="180"/>
      <c r="BH870" s="180"/>
      <c r="BI870" s="180"/>
      <c r="BJ870" s="180"/>
      <c r="BK870" s="180"/>
      <c r="BL870" s="180"/>
      <c r="BM870" s="180"/>
      <c r="BN870" s="180"/>
      <c r="BO870" s="180"/>
      <c r="BP870" s="180"/>
      <c r="BQ870" s="180"/>
      <c r="BR870" s="180"/>
      <c r="BS870" s="180"/>
      <c r="BT870" s="180"/>
      <c r="BU870" s="180"/>
      <c r="BV870" s="180"/>
      <c r="BW870" s="180"/>
      <c r="BX870" s="180"/>
      <c r="BY870" s="180"/>
      <c r="BZ870" s="180"/>
      <c r="CA870" s="180"/>
      <c r="CB870" s="180"/>
      <c r="CC870" s="180"/>
      <c r="CD870" s="180"/>
      <c r="CE870" s="180"/>
      <c r="CF870" s="180"/>
      <c r="CG870" s="180"/>
      <c r="CH870" s="180"/>
      <c r="CI870" s="180"/>
      <c r="CJ870" s="180"/>
      <c r="CK870" s="180"/>
      <c r="CL870" s="180"/>
      <c r="CM870" s="180"/>
      <c r="CN870" s="180"/>
      <c r="CO870" s="180"/>
      <c r="CP870" s="180"/>
      <c r="CQ870" s="180"/>
      <c r="CR870" s="180"/>
      <c r="CS870" s="180"/>
      <c r="CT870" s="180"/>
      <c r="CU870" s="180"/>
      <c r="CV870" s="180"/>
      <c r="CW870" s="180"/>
      <c r="CX870" s="180"/>
      <c r="CY870" s="180"/>
      <c r="CZ870" s="180"/>
      <c r="DA870" s="180"/>
      <c r="DB870" s="180"/>
    </row>
    <row r="871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  <c r="AF871" s="180"/>
      <c r="AG871" s="180"/>
      <c r="AH871" s="180"/>
      <c r="AI871" s="180"/>
      <c r="AJ871" s="180"/>
      <c r="AK871" s="180"/>
      <c r="AL871" s="180"/>
      <c r="AM871" s="180"/>
      <c r="AN871" s="180"/>
      <c r="AO871" s="180"/>
      <c r="AP871" s="180"/>
      <c r="AQ871" s="180"/>
      <c r="AR871" s="180"/>
      <c r="AS871" s="180"/>
      <c r="AT871" s="180"/>
      <c r="AU871" s="180"/>
      <c r="AV871" s="180"/>
      <c r="AW871" s="180"/>
      <c r="AX871" s="180"/>
      <c r="AY871" s="180"/>
      <c r="AZ871" s="180"/>
      <c r="BA871" s="180"/>
      <c r="BB871" s="180"/>
      <c r="BC871" s="180"/>
      <c r="BD871" s="180"/>
      <c r="BE871" s="180"/>
      <c r="BF871" s="180"/>
      <c r="BG871" s="180"/>
      <c r="BH871" s="180"/>
      <c r="BI871" s="180"/>
      <c r="BJ871" s="180"/>
      <c r="BK871" s="180"/>
      <c r="BL871" s="180"/>
      <c r="BM871" s="180"/>
      <c r="BN871" s="180"/>
      <c r="BO871" s="180"/>
      <c r="BP871" s="180"/>
      <c r="BQ871" s="180"/>
      <c r="BR871" s="180"/>
      <c r="BS871" s="180"/>
      <c r="BT871" s="180"/>
      <c r="BU871" s="180"/>
      <c r="BV871" s="180"/>
      <c r="BW871" s="180"/>
      <c r="BX871" s="180"/>
      <c r="BY871" s="180"/>
      <c r="BZ871" s="180"/>
      <c r="CA871" s="180"/>
      <c r="CB871" s="180"/>
      <c r="CC871" s="180"/>
      <c r="CD871" s="180"/>
      <c r="CE871" s="180"/>
      <c r="CF871" s="180"/>
      <c r="CG871" s="180"/>
      <c r="CH871" s="180"/>
      <c r="CI871" s="180"/>
      <c r="CJ871" s="180"/>
      <c r="CK871" s="180"/>
      <c r="CL871" s="180"/>
      <c r="CM871" s="180"/>
      <c r="CN871" s="180"/>
      <c r="CO871" s="180"/>
      <c r="CP871" s="180"/>
      <c r="CQ871" s="180"/>
      <c r="CR871" s="180"/>
      <c r="CS871" s="180"/>
      <c r="CT871" s="180"/>
      <c r="CU871" s="180"/>
      <c r="CV871" s="180"/>
      <c r="CW871" s="180"/>
      <c r="CX871" s="180"/>
      <c r="CY871" s="180"/>
      <c r="CZ871" s="180"/>
      <c r="DA871" s="180"/>
      <c r="DB871" s="180"/>
    </row>
    <row r="872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  <c r="K872" s="180"/>
      <c r="L872" s="180"/>
      <c r="M872" s="180"/>
      <c r="N872" s="180"/>
      <c r="O872" s="180"/>
      <c r="P872" s="180"/>
      <c r="Q872" s="180"/>
      <c r="R872" s="180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  <c r="AF872" s="180"/>
      <c r="AG872" s="180"/>
      <c r="AH872" s="180"/>
      <c r="AI872" s="180"/>
      <c r="AJ872" s="180"/>
      <c r="AK872" s="180"/>
      <c r="AL872" s="180"/>
      <c r="AM872" s="180"/>
      <c r="AN872" s="180"/>
      <c r="AO872" s="180"/>
      <c r="AP872" s="180"/>
      <c r="AQ872" s="180"/>
      <c r="AR872" s="180"/>
      <c r="AS872" s="180"/>
      <c r="AT872" s="180"/>
      <c r="AU872" s="180"/>
      <c r="AV872" s="180"/>
      <c r="AW872" s="180"/>
      <c r="AX872" s="180"/>
      <c r="AY872" s="180"/>
      <c r="AZ872" s="180"/>
      <c r="BA872" s="180"/>
      <c r="BB872" s="180"/>
      <c r="BC872" s="180"/>
      <c r="BD872" s="180"/>
      <c r="BE872" s="180"/>
      <c r="BF872" s="180"/>
      <c r="BG872" s="180"/>
      <c r="BH872" s="180"/>
      <c r="BI872" s="180"/>
      <c r="BJ872" s="180"/>
      <c r="BK872" s="180"/>
      <c r="BL872" s="180"/>
      <c r="BM872" s="180"/>
      <c r="BN872" s="180"/>
      <c r="BO872" s="180"/>
      <c r="BP872" s="180"/>
      <c r="BQ872" s="180"/>
      <c r="BR872" s="180"/>
      <c r="BS872" s="180"/>
      <c r="BT872" s="180"/>
      <c r="BU872" s="180"/>
      <c r="BV872" s="180"/>
      <c r="BW872" s="180"/>
      <c r="BX872" s="180"/>
      <c r="BY872" s="180"/>
      <c r="BZ872" s="180"/>
      <c r="CA872" s="180"/>
      <c r="CB872" s="180"/>
      <c r="CC872" s="180"/>
      <c r="CD872" s="180"/>
      <c r="CE872" s="180"/>
      <c r="CF872" s="180"/>
      <c r="CG872" s="180"/>
      <c r="CH872" s="180"/>
      <c r="CI872" s="180"/>
      <c r="CJ872" s="180"/>
      <c r="CK872" s="180"/>
      <c r="CL872" s="180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</row>
    <row r="873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  <c r="AF873" s="180"/>
      <c r="AG873" s="180"/>
      <c r="AH873" s="180"/>
      <c r="AI873" s="180"/>
      <c r="AJ873" s="180"/>
      <c r="AK873" s="180"/>
      <c r="AL873" s="180"/>
      <c r="AM873" s="180"/>
      <c r="AN873" s="180"/>
      <c r="AO873" s="180"/>
      <c r="AP873" s="180"/>
      <c r="AQ873" s="180"/>
      <c r="AR873" s="180"/>
      <c r="AS873" s="180"/>
      <c r="AT873" s="180"/>
      <c r="AU873" s="180"/>
      <c r="AV873" s="180"/>
      <c r="AW873" s="180"/>
      <c r="AX873" s="180"/>
      <c r="AY873" s="180"/>
      <c r="AZ873" s="180"/>
      <c r="BA873" s="180"/>
      <c r="BB873" s="180"/>
      <c r="BC873" s="180"/>
      <c r="BD873" s="180"/>
      <c r="BE873" s="180"/>
      <c r="BF873" s="180"/>
      <c r="BG873" s="180"/>
      <c r="BH873" s="180"/>
      <c r="BI873" s="180"/>
      <c r="BJ873" s="180"/>
      <c r="BK873" s="180"/>
      <c r="BL873" s="180"/>
      <c r="BM873" s="180"/>
      <c r="BN873" s="180"/>
      <c r="BO873" s="180"/>
      <c r="BP873" s="180"/>
      <c r="BQ873" s="180"/>
      <c r="BR873" s="180"/>
      <c r="BS873" s="180"/>
      <c r="BT873" s="180"/>
      <c r="BU873" s="180"/>
      <c r="BV873" s="180"/>
      <c r="BW873" s="180"/>
      <c r="BX873" s="180"/>
      <c r="BY873" s="180"/>
      <c r="BZ873" s="180"/>
      <c r="CA873" s="180"/>
      <c r="CB873" s="180"/>
      <c r="CC873" s="180"/>
      <c r="CD873" s="180"/>
      <c r="CE873" s="180"/>
      <c r="CF873" s="180"/>
      <c r="CG873" s="180"/>
      <c r="CH873" s="180"/>
      <c r="CI873" s="180"/>
      <c r="CJ873" s="180"/>
      <c r="CK873" s="180"/>
      <c r="CL873" s="180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</row>
    <row r="874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0"/>
      <c r="AG874" s="180"/>
      <c r="AH874" s="180"/>
      <c r="AI874" s="180"/>
      <c r="AJ874" s="180"/>
      <c r="AK874" s="180"/>
      <c r="AL874" s="180"/>
      <c r="AM874" s="180"/>
      <c r="AN874" s="180"/>
      <c r="AO874" s="180"/>
      <c r="AP874" s="180"/>
      <c r="AQ874" s="180"/>
      <c r="AR874" s="180"/>
      <c r="AS874" s="180"/>
      <c r="AT874" s="180"/>
      <c r="AU874" s="180"/>
      <c r="AV874" s="180"/>
      <c r="AW874" s="180"/>
      <c r="AX874" s="180"/>
      <c r="AY874" s="180"/>
      <c r="AZ874" s="180"/>
      <c r="BA874" s="180"/>
      <c r="BB874" s="180"/>
      <c r="BC874" s="180"/>
      <c r="BD874" s="180"/>
      <c r="BE874" s="180"/>
      <c r="BF874" s="180"/>
      <c r="BG874" s="180"/>
      <c r="BH874" s="180"/>
      <c r="BI874" s="180"/>
      <c r="BJ874" s="180"/>
      <c r="BK874" s="180"/>
      <c r="BL874" s="180"/>
      <c r="BM874" s="180"/>
      <c r="BN874" s="180"/>
      <c r="BO874" s="180"/>
      <c r="BP874" s="180"/>
      <c r="BQ874" s="180"/>
      <c r="BR874" s="180"/>
      <c r="BS874" s="180"/>
      <c r="BT874" s="180"/>
      <c r="BU874" s="180"/>
      <c r="BV874" s="180"/>
      <c r="BW874" s="180"/>
      <c r="BX874" s="180"/>
      <c r="BY874" s="180"/>
      <c r="BZ874" s="180"/>
      <c r="CA874" s="180"/>
      <c r="CB874" s="180"/>
      <c r="CC874" s="180"/>
      <c r="CD874" s="180"/>
      <c r="CE874" s="180"/>
      <c r="CF874" s="180"/>
      <c r="CG874" s="180"/>
      <c r="CH874" s="180"/>
      <c r="CI874" s="180"/>
      <c r="CJ874" s="180"/>
      <c r="CK874" s="180"/>
      <c r="CL874" s="180"/>
      <c r="CM874" s="180"/>
      <c r="CN874" s="180"/>
      <c r="CO874" s="180"/>
      <c r="CP874" s="180"/>
      <c r="CQ874" s="180"/>
      <c r="CR874" s="180"/>
      <c r="CS874" s="180"/>
      <c r="CT874" s="180"/>
      <c r="CU874" s="180"/>
      <c r="CV874" s="180"/>
      <c r="CW874" s="180"/>
      <c r="CX874" s="180"/>
      <c r="CY874" s="180"/>
      <c r="CZ874" s="180"/>
      <c r="DA874" s="180"/>
      <c r="DB874" s="180"/>
    </row>
    <row r="875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  <c r="AK875" s="180"/>
      <c r="AL875" s="180"/>
      <c r="AM875" s="180"/>
      <c r="AN875" s="180"/>
      <c r="AO875" s="180"/>
      <c r="AP875" s="180"/>
      <c r="AQ875" s="180"/>
      <c r="AR875" s="180"/>
      <c r="AS875" s="180"/>
      <c r="AT875" s="180"/>
      <c r="AU875" s="180"/>
      <c r="AV875" s="180"/>
      <c r="AW875" s="180"/>
      <c r="AX875" s="180"/>
      <c r="AY875" s="180"/>
      <c r="AZ875" s="180"/>
      <c r="BA875" s="180"/>
      <c r="BB875" s="180"/>
      <c r="BC875" s="180"/>
      <c r="BD875" s="180"/>
      <c r="BE875" s="180"/>
      <c r="BF875" s="180"/>
      <c r="BG875" s="180"/>
      <c r="BH875" s="180"/>
      <c r="BI875" s="180"/>
      <c r="BJ875" s="180"/>
      <c r="BK875" s="180"/>
      <c r="BL875" s="180"/>
      <c r="BM875" s="180"/>
      <c r="BN875" s="180"/>
      <c r="BO875" s="180"/>
      <c r="BP875" s="180"/>
      <c r="BQ875" s="180"/>
      <c r="BR875" s="180"/>
      <c r="BS875" s="180"/>
      <c r="BT875" s="180"/>
      <c r="BU875" s="180"/>
      <c r="BV875" s="180"/>
      <c r="BW875" s="180"/>
      <c r="BX875" s="180"/>
      <c r="BY875" s="180"/>
      <c r="BZ875" s="180"/>
      <c r="CA875" s="180"/>
      <c r="CB875" s="180"/>
      <c r="CC875" s="180"/>
      <c r="CD875" s="180"/>
      <c r="CE875" s="180"/>
      <c r="CF875" s="180"/>
      <c r="CG875" s="180"/>
      <c r="CH875" s="180"/>
      <c r="CI875" s="180"/>
      <c r="CJ875" s="180"/>
      <c r="CK875" s="180"/>
      <c r="CL875" s="180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</row>
    <row r="876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180"/>
      <c r="AN876" s="180"/>
      <c r="AO876" s="180"/>
      <c r="AP876" s="180"/>
      <c r="AQ876" s="180"/>
      <c r="AR876" s="180"/>
      <c r="AS876" s="180"/>
      <c r="AT876" s="180"/>
      <c r="AU876" s="180"/>
      <c r="AV876" s="180"/>
      <c r="AW876" s="180"/>
      <c r="AX876" s="180"/>
      <c r="AY876" s="180"/>
      <c r="AZ876" s="180"/>
      <c r="BA876" s="180"/>
      <c r="BB876" s="180"/>
      <c r="BC876" s="180"/>
      <c r="BD876" s="180"/>
      <c r="BE876" s="180"/>
      <c r="BF876" s="180"/>
      <c r="BG876" s="180"/>
      <c r="BH876" s="180"/>
      <c r="BI876" s="180"/>
      <c r="BJ876" s="180"/>
      <c r="BK876" s="180"/>
      <c r="BL876" s="180"/>
      <c r="BM876" s="180"/>
      <c r="BN876" s="180"/>
      <c r="BO876" s="180"/>
      <c r="BP876" s="180"/>
      <c r="BQ876" s="180"/>
      <c r="BR876" s="180"/>
      <c r="BS876" s="180"/>
      <c r="BT876" s="180"/>
      <c r="BU876" s="180"/>
      <c r="BV876" s="180"/>
      <c r="BW876" s="180"/>
      <c r="BX876" s="180"/>
      <c r="BY876" s="180"/>
      <c r="BZ876" s="180"/>
      <c r="CA876" s="180"/>
      <c r="CB876" s="180"/>
      <c r="CC876" s="180"/>
      <c r="CD876" s="180"/>
      <c r="CE876" s="180"/>
      <c r="CF876" s="180"/>
      <c r="CG876" s="180"/>
      <c r="CH876" s="180"/>
      <c r="CI876" s="180"/>
      <c r="CJ876" s="180"/>
      <c r="CK876" s="180"/>
      <c r="CL876" s="180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</row>
    <row r="877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180"/>
      <c r="AN877" s="180"/>
      <c r="AO877" s="180"/>
      <c r="AP877" s="180"/>
      <c r="AQ877" s="180"/>
      <c r="AR877" s="180"/>
      <c r="AS877" s="180"/>
      <c r="AT877" s="180"/>
      <c r="AU877" s="180"/>
      <c r="AV877" s="180"/>
      <c r="AW877" s="180"/>
      <c r="AX877" s="180"/>
      <c r="AY877" s="180"/>
      <c r="AZ877" s="180"/>
      <c r="BA877" s="180"/>
      <c r="BB877" s="180"/>
      <c r="BC877" s="180"/>
      <c r="BD877" s="180"/>
      <c r="BE877" s="180"/>
      <c r="BF877" s="180"/>
      <c r="BG877" s="180"/>
      <c r="BH877" s="180"/>
      <c r="BI877" s="180"/>
      <c r="BJ877" s="180"/>
      <c r="BK877" s="180"/>
      <c r="BL877" s="180"/>
      <c r="BM877" s="180"/>
      <c r="BN877" s="180"/>
      <c r="BO877" s="180"/>
      <c r="BP877" s="180"/>
      <c r="BQ877" s="180"/>
      <c r="BR877" s="180"/>
      <c r="BS877" s="180"/>
      <c r="BT877" s="180"/>
      <c r="BU877" s="180"/>
      <c r="BV877" s="180"/>
      <c r="BW877" s="180"/>
      <c r="BX877" s="180"/>
      <c r="BY877" s="180"/>
      <c r="BZ877" s="180"/>
      <c r="CA877" s="180"/>
      <c r="CB877" s="180"/>
      <c r="CC877" s="180"/>
      <c r="CD877" s="180"/>
      <c r="CE877" s="180"/>
      <c r="CF877" s="180"/>
      <c r="CG877" s="180"/>
      <c r="CH877" s="180"/>
      <c r="CI877" s="180"/>
      <c r="CJ877" s="180"/>
      <c r="CK877" s="180"/>
      <c r="CL877" s="180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</row>
    <row r="878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  <c r="K878" s="180"/>
      <c r="L878" s="180"/>
      <c r="M878" s="180"/>
      <c r="N878" s="180"/>
      <c r="O878" s="180"/>
      <c r="P878" s="180"/>
      <c r="Q878" s="180"/>
      <c r="R878" s="180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  <c r="AF878" s="180"/>
      <c r="AG878" s="180"/>
      <c r="AH878" s="180"/>
      <c r="AI878" s="180"/>
      <c r="AJ878" s="180"/>
      <c r="AK878" s="180"/>
      <c r="AL878" s="180"/>
      <c r="AM878" s="180"/>
      <c r="AN878" s="180"/>
      <c r="AO878" s="180"/>
      <c r="AP878" s="180"/>
      <c r="AQ878" s="180"/>
      <c r="AR878" s="180"/>
      <c r="AS878" s="180"/>
      <c r="AT878" s="180"/>
      <c r="AU878" s="180"/>
      <c r="AV878" s="180"/>
      <c r="AW878" s="180"/>
      <c r="AX878" s="180"/>
      <c r="AY878" s="180"/>
      <c r="AZ878" s="180"/>
      <c r="BA878" s="180"/>
      <c r="BB878" s="180"/>
      <c r="BC878" s="180"/>
      <c r="BD878" s="180"/>
      <c r="BE878" s="180"/>
      <c r="BF878" s="180"/>
      <c r="BG878" s="180"/>
      <c r="BH878" s="180"/>
      <c r="BI878" s="180"/>
      <c r="BJ878" s="180"/>
      <c r="BK878" s="180"/>
      <c r="BL878" s="180"/>
      <c r="BM878" s="180"/>
      <c r="BN878" s="180"/>
      <c r="BO878" s="180"/>
      <c r="BP878" s="180"/>
      <c r="BQ878" s="180"/>
      <c r="BR878" s="180"/>
      <c r="BS878" s="180"/>
      <c r="BT878" s="180"/>
      <c r="BU878" s="180"/>
      <c r="BV878" s="180"/>
      <c r="BW878" s="180"/>
      <c r="BX878" s="180"/>
      <c r="BY878" s="180"/>
      <c r="BZ878" s="180"/>
      <c r="CA878" s="180"/>
      <c r="CB878" s="180"/>
      <c r="CC878" s="180"/>
      <c r="CD878" s="180"/>
      <c r="CE878" s="180"/>
      <c r="CF878" s="180"/>
      <c r="CG878" s="180"/>
      <c r="CH878" s="180"/>
      <c r="CI878" s="180"/>
      <c r="CJ878" s="180"/>
      <c r="CK878" s="180"/>
      <c r="CL878" s="180"/>
      <c r="CM878" s="180"/>
      <c r="CN878" s="180"/>
      <c r="CO878" s="180"/>
      <c r="CP878" s="180"/>
      <c r="CQ878" s="180"/>
      <c r="CR878" s="180"/>
      <c r="CS878" s="180"/>
      <c r="CT878" s="180"/>
      <c r="CU878" s="180"/>
      <c r="CV878" s="180"/>
      <c r="CW878" s="180"/>
      <c r="CX878" s="180"/>
      <c r="CY878" s="180"/>
      <c r="CZ878" s="180"/>
      <c r="DA878" s="180"/>
      <c r="DB878" s="180"/>
    </row>
    <row r="879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0"/>
      <c r="AG879" s="180"/>
      <c r="AH879" s="180"/>
      <c r="AI879" s="180"/>
      <c r="AJ879" s="180"/>
      <c r="AK879" s="180"/>
      <c r="AL879" s="180"/>
      <c r="AM879" s="180"/>
      <c r="AN879" s="180"/>
      <c r="AO879" s="180"/>
      <c r="AP879" s="180"/>
      <c r="AQ879" s="180"/>
      <c r="AR879" s="180"/>
      <c r="AS879" s="180"/>
      <c r="AT879" s="180"/>
      <c r="AU879" s="180"/>
      <c r="AV879" s="180"/>
      <c r="AW879" s="180"/>
      <c r="AX879" s="180"/>
      <c r="AY879" s="180"/>
      <c r="AZ879" s="180"/>
      <c r="BA879" s="180"/>
      <c r="BB879" s="180"/>
      <c r="BC879" s="180"/>
      <c r="BD879" s="180"/>
      <c r="BE879" s="180"/>
      <c r="BF879" s="180"/>
      <c r="BG879" s="180"/>
      <c r="BH879" s="180"/>
      <c r="BI879" s="180"/>
      <c r="BJ879" s="180"/>
      <c r="BK879" s="180"/>
      <c r="BL879" s="180"/>
      <c r="BM879" s="180"/>
      <c r="BN879" s="180"/>
      <c r="BO879" s="180"/>
      <c r="BP879" s="180"/>
      <c r="BQ879" s="180"/>
      <c r="BR879" s="180"/>
      <c r="BS879" s="180"/>
      <c r="BT879" s="180"/>
      <c r="BU879" s="180"/>
      <c r="BV879" s="180"/>
      <c r="BW879" s="180"/>
      <c r="BX879" s="180"/>
      <c r="BY879" s="180"/>
      <c r="BZ879" s="180"/>
      <c r="CA879" s="180"/>
      <c r="CB879" s="180"/>
      <c r="CC879" s="180"/>
      <c r="CD879" s="180"/>
      <c r="CE879" s="180"/>
      <c r="CF879" s="180"/>
      <c r="CG879" s="180"/>
      <c r="CH879" s="180"/>
      <c r="CI879" s="180"/>
      <c r="CJ879" s="180"/>
      <c r="CK879" s="180"/>
      <c r="CL879" s="180"/>
      <c r="CM879" s="180"/>
      <c r="CN879" s="180"/>
      <c r="CO879" s="180"/>
      <c r="CP879" s="180"/>
      <c r="CQ879" s="180"/>
      <c r="CR879" s="180"/>
      <c r="CS879" s="180"/>
      <c r="CT879" s="180"/>
      <c r="CU879" s="180"/>
      <c r="CV879" s="180"/>
      <c r="CW879" s="180"/>
      <c r="CX879" s="180"/>
      <c r="CY879" s="180"/>
      <c r="CZ879" s="180"/>
      <c r="DA879" s="180"/>
      <c r="DB879" s="180"/>
    </row>
    <row r="880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  <c r="AF880" s="180"/>
      <c r="AG880" s="180"/>
      <c r="AH880" s="180"/>
      <c r="AI880" s="180"/>
      <c r="AJ880" s="180"/>
      <c r="AK880" s="180"/>
      <c r="AL880" s="180"/>
      <c r="AM880" s="180"/>
      <c r="AN880" s="180"/>
      <c r="AO880" s="180"/>
      <c r="AP880" s="180"/>
      <c r="AQ880" s="180"/>
      <c r="AR880" s="180"/>
      <c r="AS880" s="180"/>
      <c r="AT880" s="180"/>
      <c r="AU880" s="180"/>
      <c r="AV880" s="180"/>
      <c r="AW880" s="180"/>
      <c r="AX880" s="180"/>
      <c r="AY880" s="180"/>
      <c r="AZ880" s="180"/>
      <c r="BA880" s="180"/>
      <c r="BB880" s="180"/>
      <c r="BC880" s="180"/>
      <c r="BD880" s="180"/>
      <c r="BE880" s="180"/>
      <c r="BF880" s="180"/>
      <c r="BG880" s="180"/>
      <c r="BH880" s="180"/>
      <c r="BI880" s="180"/>
      <c r="BJ880" s="180"/>
      <c r="BK880" s="180"/>
      <c r="BL880" s="180"/>
      <c r="BM880" s="180"/>
      <c r="BN880" s="180"/>
      <c r="BO880" s="180"/>
      <c r="BP880" s="180"/>
      <c r="BQ880" s="180"/>
      <c r="BR880" s="180"/>
      <c r="BS880" s="180"/>
      <c r="BT880" s="180"/>
      <c r="BU880" s="180"/>
      <c r="BV880" s="180"/>
      <c r="BW880" s="180"/>
      <c r="BX880" s="180"/>
      <c r="BY880" s="180"/>
      <c r="BZ880" s="180"/>
      <c r="CA880" s="180"/>
      <c r="CB880" s="180"/>
      <c r="CC880" s="180"/>
      <c r="CD880" s="180"/>
      <c r="CE880" s="180"/>
      <c r="CF880" s="180"/>
      <c r="CG880" s="180"/>
      <c r="CH880" s="180"/>
      <c r="CI880" s="180"/>
      <c r="CJ880" s="180"/>
      <c r="CK880" s="180"/>
      <c r="CL880" s="180"/>
      <c r="CM880" s="180"/>
      <c r="CN880" s="180"/>
      <c r="CO880" s="180"/>
      <c r="CP880" s="180"/>
      <c r="CQ880" s="180"/>
      <c r="CR880" s="180"/>
      <c r="CS880" s="180"/>
      <c r="CT880" s="180"/>
      <c r="CU880" s="180"/>
      <c r="CV880" s="180"/>
      <c r="CW880" s="180"/>
      <c r="CX880" s="180"/>
      <c r="CY880" s="180"/>
      <c r="CZ880" s="180"/>
      <c r="DA880" s="180"/>
      <c r="DB880" s="180"/>
    </row>
    <row r="881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  <c r="AK881" s="180"/>
      <c r="AL881" s="180"/>
      <c r="AM881" s="180"/>
      <c r="AN881" s="180"/>
      <c r="AO881" s="180"/>
      <c r="AP881" s="180"/>
      <c r="AQ881" s="180"/>
      <c r="AR881" s="180"/>
      <c r="AS881" s="180"/>
      <c r="AT881" s="180"/>
      <c r="AU881" s="180"/>
      <c r="AV881" s="180"/>
      <c r="AW881" s="180"/>
      <c r="AX881" s="180"/>
      <c r="AY881" s="180"/>
      <c r="AZ881" s="180"/>
      <c r="BA881" s="180"/>
      <c r="BB881" s="180"/>
      <c r="BC881" s="180"/>
      <c r="BD881" s="180"/>
      <c r="BE881" s="180"/>
      <c r="BF881" s="180"/>
      <c r="BG881" s="180"/>
      <c r="BH881" s="180"/>
      <c r="BI881" s="180"/>
      <c r="BJ881" s="180"/>
      <c r="BK881" s="180"/>
      <c r="BL881" s="180"/>
      <c r="BM881" s="180"/>
      <c r="BN881" s="180"/>
      <c r="BO881" s="180"/>
      <c r="BP881" s="180"/>
      <c r="BQ881" s="180"/>
      <c r="BR881" s="180"/>
      <c r="BS881" s="180"/>
      <c r="BT881" s="180"/>
      <c r="BU881" s="180"/>
      <c r="BV881" s="180"/>
      <c r="BW881" s="180"/>
      <c r="BX881" s="180"/>
      <c r="BY881" s="180"/>
      <c r="BZ881" s="180"/>
      <c r="CA881" s="180"/>
      <c r="CB881" s="180"/>
      <c r="CC881" s="180"/>
      <c r="CD881" s="180"/>
      <c r="CE881" s="180"/>
      <c r="CF881" s="180"/>
      <c r="CG881" s="180"/>
      <c r="CH881" s="180"/>
      <c r="CI881" s="180"/>
      <c r="CJ881" s="180"/>
      <c r="CK881" s="180"/>
      <c r="CL881" s="180"/>
      <c r="CM881" s="180"/>
      <c r="CN881" s="180"/>
      <c r="CO881" s="180"/>
      <c r="CP881" s="180"/>
      <c r="CQ881" s="180"/>
      <c r="CR881" s="180"/>
      <c r="CS881" s="180"/>
      <c r="CT881" s="180"/>
      <c r="CU881" s="180"/>
      <c r="CV881" s="180"/>
      <c r="CW881" s="180"/>
      <c r="CX881" s="180"/>
      <c r="CY881" s="180"/>
      <c r="CZ881" s="180"/>
      <c r="DA881" s="180"/>
      <c r="DB881" s="180"/>
    </row>
    <row r="882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  <c r="AK882" s="180"/>
      <c r="AL882" s="180"/>
      <c r="AM882" s="180"/>
      <c r="AN882" s="180"/>
      <c r="AO882" s="180"/>
      <c r="AP882" s="180"/>
      <c r="AQ882" s="180"/>
      <c r="AR882" s="180"/>
      <c r="AS882" s="180"/>
      <c r="AT882" s="180"/>
      <c r="AU882" s="180"/>
      <c r="AV882" s="180"/>
      <c r="AW882" s="180"/>
      <c r="AX882" s="180"/>
      <c r="AY882" s="180"/>
      <c r="AZ882" s="180"/>
      <c r="BA882" s="180"/>
      <c r="BB882" s="180"/>
      <c r="BC882" s="180"/>
      <c r="BD882" s="180"/>
      <c r="BE882" s="180"/>
      <c r="BF882" s="180"/>
      <c r="BG882" s="180"/>
      <c r="BH882" s="180"/>
      <c r="BI882" s="180"/>
      <c r="BJ882" s="180"/>
      <c r="BK882" s="180"/>
      <c r="BL882" s="180"/>
      <c r="BM882" s="180"/>
      <c r="BN882" s="180"/>
      <c r="BO882" s="180"/>
      <c r="BP882" s="180"/>
      <c r="BQ882" s="180"/>
      <c r="BR882" s="180"/>
      <c r="BS882" s="180"/>
      <c r="BT882" s="180"/>
      <c r="BU882" s="180"/>
      <c r="BV882" s="180"/>
      <c r="BW882" s="180"/>
      <c r="BX882" s="180"/>
      <c r="BY882" s="180"/>
      <c r="BZ882" s="180"/>
      <c r="CA882" s="180"/>
      <c r="CB882" s="180"/>
      <c r="CC882" s="180"/>
      <c r="CD882" s="180"/>
      <c r="CE882" s="180"/>
      <c r="CF882" s="180"/>
      <c r="CG882" s="180"/>
      <c r="CH882" s="180"/>
      <c r="CI882" s="180"/>
      <c r="CJ882" s="180"/>
      <c r="CK882" s="180"/>
      <c r="CL882" s="180"/>
      <c r="CM882" s="180"/>
      <c r="CN882" s="180"/>
      <c r="CO882" s="180"/>
      <c r="CP882" s="180"/>
      <c r="CQ882" s="180"/>
      <c r="CR882" s="180"/>
      <c r="CS882" s="180"/>
      <c r="CT882" s="180"/>
      <c r="CU882" s="180"/>
      <c r="CV882" s="180"/>
      <c r="CW882" s="180"/>
      <c r="CX882" s="180"/>
      <c r="CY882" s="180"/>
      <c r="CZ882" s="180"/>
      <c r="DA882" s="180"/>
      <c r="DB882" s="180"/>
    </row>
    <row r="883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  <c r="AF883" s="180"/>
      <c r="AG883" s="180"/>
      <c r="AH883" s="180"/>
      <c r="AI883" s="180"/>
      <c r="AJ883" s="180"/>
      <c r="AK883" s="180"/>
      <c r="AL883" s="180"/>
      <c r="AM883" s="180"/>
      <c r="AN883" s="180"/>
      <c r="AO883" s="180"/>
      <c r="AP883" s="180"/>
      <c r="AQ883" s="180"/>
      <c r="AR883" s="180"/>
      <c r="AS883" s="180"/>
      <c r="AT883" s="180"/>
      <c r="AU883" s="180"/>
      <c r="AV883" s="180"/>
      <c r="AW883" s="180"/>
      <c r="AX883" s="180"/>
      <c r="AY883" s="180"/>
      <c r="AZ883" s="180"/>
      <c r="BA883" s="180"/>
      <c r="BB883" s="180"/>
      <c r="BC883" s="180"/>
      <c r="BD883" s="180"/>
      <c r="BE883" s="180"/>
      <c r="BF883" s="180"/>
      <c r="BG883" s="180"/>
      <c r="BH883" s="180"/>
      <c r="BI883" s="180"/>
      <c r="BJ883" s="180"/>
      <c r="BK883" s="180"/>
      <c r="BL883" s="180"/>
      <c r="BM883" s="180"/>
      <c r="BN883" s="180"/>
      <c r="BO883" s="180"/>
      <c r="BP883" s="180"/>
      <c r="BQ883" s="180"/>
      <c r="BR883" s="180"/>
      <c r="BS883" s="180"/>
      <c r="BT883" s="180"/>
      <c r="BU883" s="180"/>
      <c r="BV883" s="180"/>
      <c r="BW883" s="180"/>
      <c r="BX883" s="180"/>
      <c r="BY883" s="180"/>
      <c r="BZ883" s="180"/>
      <c r="CA883" s="180"/>
      <c r="CB883" s="180"/>
      <c r="CC883" s="180"/>
      <c r="CD883" s="180"/>
      <c r="CE883" s="180"/>
      <c r="CF883" s="180"/>
      <c r="CG883" s="180"/>
      <c r="CH883" s="180"/>
      <c r="CI883" s="180"/>
      <c r="CJ883" s="180"/>
      <c r="CK883" s="180"/>
      <c r="CL883" s="18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</row>
    <row r="884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  <c r="AF884" s="180"/>
      <c r="AG884" s="180"/>
      <c r="AH884" s="180"/>
      <c r="AI884" s="180"/>
      <c r="AJ884" s="180"/>
      <c r="AK884" s="180"/>
      <c r="AL884" s="180"/>
      <c r="AM884" s="180"/>
      <c r="AN884" s="180"/>
      <c r="AO884" s="180"/>
      <c r="AP884" s="180"/>
      <c r="AQ884" s="180"/>
      <c r="AR884" s="180"/>
      <c r="AS884" s="180"/>
      <c r="AT884" s="180"/>
      <c r="AU884" s="180"/>
      <c r="AV884" s="180"/>
      <c r="AW884" s="180"/>
      <c r="AX884" s="180"/>
      <c r="AY884" s="180"/>
      <c r="AZ884" s="180"/>
      <c r="BA884" s="180"/>
      <c r="BB884" s="180"/>
      <c r="BC884" s="180"/>
      <c r="BD884" s="180"/>
      <c r="BE884" s="180"/>
      <c r="BF884" s="180"/>
      <c r="BG884" s="180"/>
      <c r="BH884" s="180"/>
      <c r="BI884" s="180"/>
      <c r="BJ884" s="180"/>
      <c r="BK884" s="180"/>
      <c r="BL884" s="180"/>
      <c r="BM884" s="180"/>
      <c r="BN884" s="180"/>
      <c r="BO884" s="180"/>
      <c r="BP884" s="180"/>
      <c r="BQ884" s="180"/>
      <c r="BR884" s="180"/>
      <c r="BS884" s="180"/>
      <c r="BT884" s="180"/>
      <c r="BU884" s="180"/>
      <c r="BV884" s="180"/>
      <c r="BW884" s="180"/>
      <c r="BX884" s="180"/>
      <c r="BY884" s="180"/>
      <c r="BZ884" s="180"/>
      <c r="CA884" s="180"/>
      <c r="CB884" s="180"/>
      <c r="CC884" s="180"/>
      <c r="CD884" s="180"/>
      <c r="CE884" s="180"/>
      <c r="CF884" s="180"/>
      <c r="CG884" s="180"/>
      <c r="CH884" s="180"/>
      <c r="CI884" s="180"/>
      <c r="CJ884" s="180"/>
      <c r="CK884" s="180"/>
      <c r="CL884" s="180"/>
      <c r="CM884" s="180"/>
      <c r="CN884" s="180"/>
      <c r="CO884" s="180"/>
      <c r="CP884" s="180"/>
      <c r="CQ884" s="180"/>
      <c r="CR884" s="180"/>
      <c r="CS884" s="180"/>
      <c r="CT884" s="180"/>
      <c r="CU884" s="180"/>
      <c r="CV884" s="180"/>
      <c r="CW884" s="180"/>
      <c r="CX884" s="180"/>
      <c r="CY884" s="180"/>
      <c r="CZ884" s="180"/>
      <c r="DA884" s="180"/>
      <c r="DB884" s="180"/>
    </row>
    <row r="885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  <c r="AF885" s="180"/>
      <c r="AG885" s="180"/>
      <c r="AH885" s="180"/>
      <c r="AI885" s="180"/>
      <c r="AJ885" s="180"/>
      <c r="AK885" s="180"/>
      <c r="AL885" s="180"/>
      <c r="AM885" s="180"/>
      <c r="AN885" s="180"/>
      <c r="AO885" s="180"/>
      <c r="AP885" s="180"/>
      <c r="AQ885" s="180"/>
      <c r="AR885" s="180"/>
      <c r="AS885" s="180"/>
      <c r="AT885" s="180"/>
      <c r="AU885" s="180"/>
      <c r="AV885" s="180"/>
      <c r="AW885" s="180"/>
      <c r="AX885" s="180"/>
      <c r="AY885" s="180"/>
      <c r="AZ885" s="180"/>
      <c r="BA885" s="180"/>
      <c r="BB885" s="180"/>
      <c r="BC885" s="180"/>
      <c r="BD885" s="180"/>
      <c r="BE885" s="180"/>
      <c r="BF885" s="180"/>
      <c r="BG885" s="180"/>
      <c r="BH885" s="180"/>
      <c r="BI885" s="180"/>
      <c r="BJ885" s="180"/>
      <c r="BK885" s="180"/>
      <c r="BL885" s="180"/>
      <c r="BM885" s="180"/>
      <c r="BN885" s="180"/>
      <c r="BO885" s="180"/>
      <c r="BP885" s="180"/>
      <c r="BQ885" s="180"/>
      <c r="BR885" s="180"/>
      <c r="BS885" s="180"/>
      <c r="BT885" s="180"/>
      <c r="BU885" s="180"/>
      <c r="BV885" s="180"/>
      <c r="BW885" s="180"/>
      <c r="BX885" s="180"/>
      <c r="BY885" s="180"/>
      <c r="BZ885" s="180"/>
      <c r="CA885" s="180"/>
      <c r="CB885" s="180"/>
      <c r="CC885" s="180"/>
      <c r="CD885" s="180"/>
      <c r="CE885" s="180"/>
      <c r="CF885" s="180"/>
      <c r="CG885" s="180"/>
      <c r="CH885" s="180"/>
      <c r="CI885" s="180"/>
      <c r="CJ885" s="180"/>
      <c r="CK885" s="180"/>
      <c r="CL885" s="180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</row>
    <row r="886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  <c r="AF886" s="180"/>
      <c r="AG886" s="180"/>
      <c r="AH886" s="180"/>
      <c r="AI886" s="180"/>
      <c r="AJ886" s="180"/>
      <c r="AK886" s="180"/>
      <c r="AL886" s="180"/>
      <c r="AM886" s="180"/>
      <c r="AN886" s="180"/>
      <c r="AO886" s="180"/>
      <c r="AP886" s="180"/>
      <c r="AQ886" s="180"/>
      <c r="AR886" s="180"/>
      <c r="AS886" s="180"/>
      <c r="AT886" s="180"/>
      <c r="AU886" s="180"/>
      <c r="AV886" s="180"/>
      <c r="AW886" s="180"/>
      <c r="AX886" s="180"/>
      <c r="AY886" s="180"/>
      <c r="AZ886" s="180"/>
      <c r="BA886" s="180"/>
      <c r="BB886" s="180"/>
      <c r="BC886" s="180"/>
      <c r="BD886" s="180"/>
      <c r="BE886" s="180"/>
      <c r="BF886" s="180"/>
      <c r="BG886" s="180"/>
      <c r="BH886" s="180"/>
      <c r="BI886" s="180"/>
      <c r="BJ886" s="180"/>
      <c r="BK886" s="180"/>
      <c r="BL886" s="180"/>
      <c r="BM886" s="180"/>
      <c r="BN886" s="180"/>
      <c r="BO886" s="180"/>
      <c r="BP886" s="180"/>
      <c r="BQ886" s="180"/>
      <c r="BR886" s="180"/>
      <c r="BS886" s="180"/>
      <c r="BT886" s="180"/>
      <c r="BU886" s="180"/>
      <c r="BV886" s="180"/>
      <c r="BW886" s="180"/>
      <c r="BX886" s="180"/>
      <c r="BY886" s="180"/>
      <c r="BZ886" s="180"/>
      <c r="CA886" s="180"/>
      <c r="CB886" s="180"/>
      <c r="CC886" s="180"/>
      <c r="CD886" s="180"/>
      <c r="CE886" s="180"/>
      <c r="CF886" s="180"/>
      <c r="CG886" s="180"/>
      <c r="CH886" s="180"/>
      <c r="CI886" s="180"/>
      <c r="CJ886" s="180"/>
      <c r="CK886" s="180"/>
      <c r="CL886" s="180"/>
      <c r="CM886" s="180"/>
      <c r="CN886" s="180"/>
      <c r="CO886" s="180"/>
      <c r="CP886" s="180"/>
      <c r="CQ886" s="180"/>
      <c r="CR886" s="180"/>
      <c r="CS886" s="180"/>
      <c r="CT886" s="180"/>
      <c r="CU886" s="180"/>
      <c r="CV886" s="180"/>
      <c r="CW886" s="180"/>
      <c r="CX886" s="180"/>
      <c r="CY886" s="180"/>
      <c r="CZ886" s="180"/>
      <c r="DA886" s="180"/>
      <c r="DB886" s="180"/>
    </row>
    <row r="887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  <c r="AG887" s="180"/>
      <c r="AH887" s="180"/>
      <c r="AI887" s="180"/>
      <c r="AJ887" s="180"/>
      <c r="AK887" s="180"/>
      <c r="AL887" s="180"/>
      <c r="AM887" s="180"/>
      <c r="AN887" s="180"/>
      <c r="AO887" s="180"/>
      <c r="AP887" s="180"/>
      <c r="AQ887" s="180"/>
      <c r="AR887" s="180"/>
      <c r="AS887" s="180"/>
      <c r="AT887" s="180"/>
      <c r="AU887" s="180"/>
      <c r="AV887" s="180"/>
      <c r="AW887" s="180"/>
      <c r="AX887" s="180"/>
      <c r="AY887" s="180"/>
      <c r="AZ887" s="180"/>
      <c r="BA887" s="180"/>
      <c r="BB887" s="180"/>
      <c r="BC887" s="180"/>
      <c r="BD887" s="180"/>
      <c r="BE887" s="180"/>
      <c r="BF887" s="180"/>
      <c r="BG887" s="180"/>
      <c r="BH887" s="180"/>
      <c r="BI887" s="180"/>
      <c r="BJ887" s="180"/>
      <c r="BK887" s="180"/>
      <c r="BL887" s="180"/>
      <c r="BM887" s="180"/>
      <c r="BN887" s="180"/>
      <c r="BO887" s="180"/>
      <c r="BP887" s="180"/>
      <c r="BQ887" s="180"/>
      <c r="BR887" s="180"/>
      <c r="BS887" s="180"/>
      <c r="BT887" s="180"/>
      <c r="BU887" s="180"/>
      <c r="BV887" s="180"/>
      <c r="BW887" s="180"/>
      <c r="BX887" s="180"/>
      <c r="BY887" s="180"/>
      <c r="BZ887" s="180"/>
      <c r="CA887" s="180"/>
      <c r="CB887" s="180"/>
      <c r="CC887" s="180"/>
      <c r="CD887" s="180"/>
      <c r="CE887" s="180"/>
      <c r="CF887" s="180"/>
      <c r="CG887" s="180"/>
      <c r="CH887" s="180"/>
      <c r="CI887" s="180"/>
      <c r="CJ887" s="180"/>
      <c r="CK887" s="180"/>
      <c r="CL887" s="180"/>
      <c r="CM887" s="180"/>
      <c r="CN887" s="180"/>
      <c r="CO887" s="180"/>
      <c r="CP887" s="180"/>
      <c r="CQ887" s="180"/>
      <c r="CR887" s="180"/>
      <c r="CS887" s="180"/>
      <c r="CT887" s="180"/>
      <c r="CU887" s="180"/>
      <c r="CV887" s="180"/>
      <c r="CW887" s="180"/>
      <c r="CX887" s="180"/>
      <c r="CY887" s="180"/>
      <c r="CZ887" s="180"/>
      <c r="DA887" s="180"/>
      <c r="DB887" s="180"/>
    </row>
    <row r="888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  <c r="AF888" s="180"/>
      <c r="AG888" s="180"/>
      <c r="AH888" s="180"/>
      <c r="AI888" s="180"/>
      <c r="AJ888" s="180"/>
      <c r="AK888" s="180"/>
      <c r="AL888" s="180"/>
      <c r="AM888" s="180"/>
      <c r="AN888" s="180"/>
      <c r="AO888" s="180"/>
      <c r="AP888" s="180"/>
      <c r="AQ888" s="180"/>
      <c r="AR888" s="180"/>
      <c r="AS888" s="180"/>
      <c r="AT888" s="180"/>
      <c r="AU888" s="180"/>
      <c r="AV888" s="180"/>
      <c r="AW888" s="180"/>
      <c r="AX888" s="180"/>
      <c r="AY888" s="180"/>
      <c r="AZ888" s="180"/>
      <c r="BA888" s="180"/>
      <c r="BB888" s="180"/>
      <c r="BC888" s="180"/>
      <c r="BD888" s="180"/>
      <c r="BE888" s="180"/>
      <c r="BF888" s="180"/>
      <c r="BG888" s="180"/>
      <c r="BH888" s="180"/>
      <c r="BI888" s="180"/>
      <c r="BJ888" s="180"/>
      <c r="BK888" s="180"/>
      <c r="BL888" s="180"/>
      <c r="BM888" s="180"/>
      <c r="BN888" s="180"/>
      <c r="BO888" s="180"/>
      <c r="BP888" s="180"/>
      <c r="BQ888" s="180"/>
      <c r="BR888" s="180"/>
      <c r="BS888" s="180"/>
      <c r="BT888" s="180"/>
      <c r="BU888" s="180"/>
      <c r="BV888" s="180"/>
      <c r="BW888" s="180"/>
      <c r="BX888" s="180"/>
      <c r="BY888" s="180"/>
      <c r="BZ888" s="180"/>
      <c r="CA888" s="180"/>
      <c r="CB888" s="180"/>
      <c r="CC888" s="180"/>
      <c r="CD888" s="180"/>
      <c r="CE888" s="180"/>
      <c r="CF888" s="180"/>
      <c r="CG888" s="180"/>
      <c r="CH888" s="180"/>
      <c r="CI888" s="180"/>
      <c r="CJ888" s="180"/>
      <c r="CK888" s="180"/>
      <c r="CL888" s="180"/>
      <c r="CM888" s="180"/>
      <c r="CN888" s="180"/>
      <c r="CO888" s="180"/>
      <c r="CP888" s="180"/>
      <c r="CQ888" s="180"/>
      <c r="CR888" s="180"/>
      <c r="CS888" s="180"/>
      <c r="CT888" s="180"/>
      <c r="CU888" s="180"/>
      <c r="CV888" s="180"/>
      <c r="CW888" s="180"/>
      <c r="CX888" s="180"/>
      <c r="CY888" s="180"/>
      <c r="CZ888" s="180"/>
      <c r="DA888" s="180"/>
      <c r="DB888" s="180"/>
    </row>
    <row r="889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  <c r="AF889" s="180"/>
      <c r="AG889" s="180"/>
      <c r="AH889" s="180"/>
      <c r="AI889" s="180"/>
      <c r="AJ889" s="180"/>
      <c r="AK889" s="180"/>
      <c r="AL889" s="180"/>
      <c r="AM889" s="180"/>
      <c r="AN889" s="180"/>
      <c r="AO889" s="180"/>
      <c r="AP889" s="180"/>
      <c r="AQ889" s="180"/>
      <c r="AR889" s="180"/>
      <c r="AS889" s="180"/>
      <c r="AT889" s="180"/>
      <c r="AU889" s="180"/>
      <c r="AV889" s="180"/>
      <c r="AW889" s="180"/>
      <c r="AX889" s="180"/>
      <c r="AY889" s="180"/>
      <c r="AZ889" s="180"/>
      <c r="BA889" s="180"/>
      <c r="BB889" s="180"/>
      <c r="BC889" s="180"/>
      <c r="BD889" s="180"/>
      <c r="BE889" s="180"/>
      <c r="BF889" s="180"/>
      <c r="BG889" s="180"/>
      <c r="BH889" s="180"/>
      <c r="BI889" s="180"/>
      <c r="BJ889" s="180"/>
      <c r="BK889" s="180"/>
      <c r="BL889" s="180"/>
      <c r="BM889" s="180"/>
      <c r="BN889" s="180"/>
      <c r="BO889" s="180"/>
      <c r="BP889" s="180"/>
      <c r="BQ889" s="180"/>
      <c r="BR889" s="180"/>
      <c r="BS889" s="180"/>
      <c r="BT889" s="180"/>
      <c r="BU889" s="180"/>
      <c r="BV889" s="180"/>
      <c r="BW889" s="180"/>
      <c r="BX889" s="180"/>
      <c r="BY889" s="180"/>
      <c r="BZ889" s="180"/>
      <c r="CA889" s="180"/>
      <c r="CB889" s="180"/>
      <c r="CC889" s="180"/>
      <c r="CD889" s="180"/>
      <c r="CE889" s="180"/>
      <c r="CF889" s="180"/>
      <c r="CG889" s="180"/>
      <c r="CH889" s="180"/>
      <c r="CI889" s="180"/>
      <c r="CJ889" s="180"/>
      <c r="CK889" s="180"/>
      <c r="CL889" s="180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</row>
    <row r="890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  <c r="AF890" s="180"/>
      <c r="AG890" s="180"/>
      <c r="AH890" s="180"/>
      <c r="AI890" s="180"/>
      <c r="AJ890" s="180"/>
      <c r="AK890" s="180"/>
      <c r="AL890" s="180"/>
      <c r="AM890" s="180"/>
      <c r="AN890" s="180"/>
      <c r="AO890" s="180"/>
      <c r="AP890" s="180"/>
      <c r="AQ890" s="180"/>
      <c r="AR890" s="180"/>
      <c r="AS890" s="180"/>
      <c r="AT890" s="180"/>
      <c r="AU890" s="180"/>
      <c r="AV890" s="180"/>
      <c r="AW890" s="180"/>
      <c r="AX890" s="180"/>
      <c r="AY890" s="180"/>
      <c r="AZ890" s="180"/>
      <c r="BA890" s="180"/>
      <c r="BB890" s="180"/>
      <c r="BC890" s="180"/>
      <c r="BD890" s="180"/>
      <c r="BE890" s="180"/>
      <c r="BF890" s="180"/>
      <c r="BG890" s="180"/>
      <c r="BH890" s="180"/>
      <c r="BI890" s="180"/>
      <c r="BJ890" s="180"/>
      <c r="BK890" s="180"/>
      <c r="BL890" s="180"/>
      <c r="BM890" s="180"/>
      <c r="BN890" s="180"/>
      <c r="BO890" s="180"/>
      <c r="BP890" s="180"/>
      <c r="BQ890" s="180"/>
      <c r="BR890" s="180"/>
      <c r="BS890" s="180"/>
      <c r="BT890" s="180"/>
      <c r="BU890" s="180"/>
      <c r="BV890" s="180"/>
      <c r="BW890" s="180"/>
      <c r="BX890" s="180"/>
      <c r="BY890" s="180"/>
      <c r="BZ890" s="180"/>
      <c r="CA890" s="180"/>
      <c r="CB890" s="180"/>
      <c r="CC890" s="180"/>
      <c r="CD890" s="180"/>
      <c r="CE890" s="180"/>
      <c r="CF890" s="180"/>
      <c r="CG890" s="180"/>
      <c r="CH890" s="180"/>
      <c r="CI890" s="180"/>
      <c r="CJ890" s="180"/>
      <c r="CK890" s="180"/>
      <c r="CL890" s="180"/>
      <c r="CM890" s="180"/>
      <c r="CN890" s="180"/>
      <c r="CO890" s="180"/>
      <c r="CP890" s="180"/>
      <c r="CQ890" s="180"/>
      <c r="CR890" s="180"/>
      <c r="CS890" s="180"/>
      <c r="CT890" s="180"/>
      <c r="CU890" s="180"/>
      <c r="CV890" s="180"/>
      <c r="CW890" s="180"/>
      <c r="CX890" s="180"/>
      <c r="CY890" s="180"/>
      <c r="CZ890" s="180"/>
      <c r="DA890" s="180"/>
      <c r="DB890" s="180"/>
    </row>
    <row r="891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  <c r="AF891" s="180"/>
      <c r="AG891" s="180"/>
      <c r="AH891" s="180"/>
      <c r="AI891" s="180"/>
      <c r="AJ891" s="180"/>
      <c r="AK891" s="180"/>
      <c r="AL891" s="180"/>
      <c r="AM891" s="180"/>
      <c r="AN891" s="180"/>
      <c r="AO891" s="180"/>
      <c r="AP891" s="180"/>
      <c r="AQ891" s="180"/>
      <c r="AR891" s="180"/>
      <c r="AS891" s="180"/>
      <c r="AT891" s="180"/>
      <c r="AU891" s="180"/>
      <c r="AV891" s="180"/>
      <c r="AW891" s="180"/>
      <c r="AX891" s="180"/>
      <c r="AY891" s="180"/>
      <c r="AZ891" s="180"/>
      <c r="BA891" s="180"/>
      <c r="BB891" s="180"/>
      <c r="BC891" s="180"/>
      <c r="BD891" s="180"/>
      <c r="BE891" s="180"/>
      <c r="BF891" s="180"/>
      <c r="BG891" s="180"/>
      <c r="BH891" s="180"/>
      <c r="BI891" s="180"/>
      <c r="BJ891" s="180"/>
      <c r="BK891" s="180"/>
      <c r="BL891" s="180"/>
      <c r="BM891" s="180"/>
      <c r="BN891" s="180"/>
      <c r="BO891" s="180"/>
      <c r="BP891" s="180"/>
      <c r="BQ891" s="180"/>
      <c r="BR891" s="180"/>
      <c r="BS891" s="180"/>
      <c r="BT891" s="180"/>
      <c r="BU891" s="180"/>
      <c r="BV891" s="180"/>
      <c r="BW891" s="180"/>
      <c r="BX891" s="180"/>
      <c r="BY891" s="180"/>
      <c r="BZ891" s="180"/>
      <c r="CA891" s="180"/>
      <c r="CB891" s="180"/>
      <c r="CC891" s="180"/>
      <c r="CD891" s="180"/>
      <c r="CE891" s="180"/>
      <c r="CF891" s="180"/>
      <c r="CG891" s="180"/>
      <c r="CH891" s="180"/>
      <c r="CI891" s="180"/>
      <c r="CJ891" s="180"/>
      <c r="CK891" s="180"/>
      <c r="CL891" s="180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</row>
    <row r="892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  <c r="AF892" s="180"/>
      <c r="AG892" s="180"/>
      <c r="AH892" s="180"/>
      <c r="AI892" s="180"/>
      <c r="AJ892" s="180"/>
      <c r="AK892" s="180"/>
      <c r="AL892" s="180"/>
      <c r="AM892" s="180"/>
      <c r="AN892" s="180"/>
      <c r="AO892" s="180"/>
      <c r="AP892" s="180"/>
      <c r="AQ892" s="180"/>
      <c r="AR892" s="180"/>
      <c r="AS892" s="180"/>
      <c r="AT892" s="180"/>
      <c r="AU892" s="180"/>
      <c r="AV892" s="180"/>
      <c r="AW892" s="180"/>
      <c r="AX892" s="180"/>
      <c r="AY892" s="180"/>
      <c r="AZ892" s="180"/>
      <c r="BA892" s="180"/>
      <c r="BB892" s="180"/>
      <c r="BC892" s="180"/>
      <c r="BD892" s="180"/>
      <c r="BE892" s="180"/>
      <c r="BF892" s="180"/>
      <c r="BG892" s="180"/>
      <c r="BH892" s="180"/>
      <c r="BI892" s="180"/>
      <c r="BJ892" s="180"/>
      <c r="BK892" s="180"/>
      <c r="BL892" s="180"/>
      <c r="BM892" s="180"/>
      <c r="BN892" s="180"/>
      <c r="BO892" s="180"/>
      <c r="BP892" s="180"/>
      <c r="BQ892" s="180"/>
      <c r="BR892" s="180"/>
      <c r="BS892" s="180"/>
      <c r="BT892" s="180"/>
      <c r="BU892" s="180"/>
      <c r="BV892" s="180"/>
      <c r="BW892" s="180"/>
      <c r="BX892" s="180"/>
      <c r="BY892" s="180"/>
      <c r="BZ892" s="180"/>
      <c r="CA892" s="180"/>
      <c r="CB892" s="180"/>
      <c r="CC892" s="180"/>
      <c r="CD892" s="180"/>
      <c r="CE892" s="180"/>
      <c r="CF892" s="180"/>
      <c r="CG892" s="180"/>
      <c r="CH892" s="180"/>
      <c r="CI892" s="180"/>
      <c r="CJ892" s="180"/>
      <c r="CK892" s="180"/>
      <c r="CL892" s="180"/>
      <c r="CM892" s="180"/>
      <c r="CN892" s="180"/>
      <c r="CO892" s="180"/>
      <c r="CP892" s="180"/>
      <c r="CQ892" s="180"/>
      <c r="CR892" s="180"/>
      <c r="CS892" s="180"/>
      <c r="CT892" s="180"/>
      <c r="CU892" s="180"/>
      <c r="CV892" s="180"/>
      <c r="CW892" s="180"/>
      <c r="CX892" s="180"/>
      <c r="CY892" s="180"/>
      <c r="CZ892" s="180"/>
      <c r="DA892" s="180"/>
      <c r="DB892" s="180"/>
    </row>
    <row r="893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  <c r="AF893" s="180"/>
      <c r="AG893" s="180"/>
      <c r="AH893" s="180"/>
      <c r="AI893" s="180"/>
      <c r="AJ893" s="180"/>
      <c r="AK893" s="180"/>
      <c r="AL893" s="180"/>
      <c r="AM893" s="180"/>
      <c r="AN893" s="180"/>
      <c r="AO893" s="180"/>
      <c r="AP893" s="180"/>
      <c r="AQ893" s="180"/>
      <c r="AR893" s="180"/>
      <c r="AS893" s="180"/>
      <c r="AT893" s="180"/>
      <c r="AU893" s="180"/>
      <c r="AV893" s="180"/>
      <c r="AW893" s="180"/>
      <c r="AX893" s="180"/>
      <c r="AY893" s="180"/>
      <c r="AZ893" s="180"/>
      <c r="BA893" s="180"/>
      <c r="BB893" s="180"/>
      <c r="BC893" s="180"/>
      <c r="BD893" s="180"/>
      <c r="BE893" s="180"/>
      <c r="BF893" s="180"/>
      <c r="BG893" s="180"/>
      <c r="BH893" s="180"/>
      <c r="BI893" s="180"/>
      <c r="BJ893" s="180"/>
      <c r="BK893" s="180"/>
      <c r="BL893" s="180"/>
      <c r="BM893" s="180"/>
      <c r="BN893" s="180"/>
      <c r="BO893" s="180"/>
      <c r="BP893" s="180"/>
      <c r="BQ893" s="180"/>
      <c r="BR893" s="180"/>
      <c r="BS893" s="180"/>
      <c r="BT893" s="180"/>
      <c r="BU893" s="180"/>
      <c r="BV893" s="180"/>
      <c r="BW893" s="180"/>
      <c r="BX893" s="180"/>
      <c r="BY893" s="180"/>
      <c r="BZ893" s="180"/>
      <c r="CA893" s="180"/>
      <c r="CB893" s="180"/>
      <c r="CC893" s="180"/>
      <c r="CD893" s="180"/>
      <c r="CE893" s="180"/>
      <c r="CF893" s="180"/>
      <c r="CG893" s="180"/>
      <c r="CH893" s="180"/>
      <c r="CI893" s="180"/>
      <c r="CJ893" s="180"/>
      <c r="CK893" s="180"/>
      <c r="CL893" s="180"/>
      <c r="CM893" s="180"/>
      <c r="CN893" s="180"/>
      <c r="CO893" s="180"/>
      <c r="CP893" s="180"/>
      <c r="CQ893" s="180"/>
      <c r="CR893" s="180"/>
      <c r="CS893" s="180"/>
      <c r="CT893" s="180"/>
      <c r="CU893" s="180"/>
      <c r="CV893" s="180"/>
      <c r="CW893" s="180"/>
      <c r="CX893" s="180"/>
      <c r="CY893" s="180"/>
      <c r="CZ893" s="180"/>
      <c r="DA893" s="180"/>
      <c r="DB893" s="180"/>
    </row>
    <row r="894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  <c r="AF894" s="180"/>
      <c r="AG894" s="180"/>
      <c r="AH894" s="180"/>
      <c r="AI894" s="180"/>
      <c r="AJ894" s="180"/>
      <c r="AK894" s="180"/>
      <c r="AL894" s="180"/>
      <c r="AM894" s="180"/>
      <c r="AN894" s="180"/>
      <c r="AO894" s="180"/>
      <c r="AP894" s="180"/>
      <c r="AQ894" s="180"/>
      <c r="AR894" s="180"/>
      <c r="AS894" s="180"/>
      <c r="AT894" s="180"/>
      <c r="AU894" s="180"/>
      <c r="AV894" s="180"/>
      <c r="AW894" s="180"/>
      <c r="AX894" s="180"/>
      <c r="AY894" s="180"/>
      <c r="AZ894" s="180"/>
      <c r="BA894" s="180"/>
      <c r="BB894" s="180"/>
      <c r="BC894" s="180"/>
      <c r="BD894" s="180"/>
      <c r="BE894" s="180"/>
      <c r="BF894" s="180"/>
      <c r="BG894" s="180"/>
      <c r="BH894" s="180"/>
      <c r="BI894" s="180"/>
      <c r="BJ894" s="180"/>
      <c r="BK894" s="180"/>
      <c r="BL894" s="180"/>
      <c r="BM894" s="180"/>
      <c r="BN894" s="180"/>
      <c r="BO894" s="180"/>
      <c r="BP894" s="180"/>
      <c r="BQ894" s="180"/>
      <c r="BR894" s="180"/>
      <c r="BS894" s="180"/>
      <c r="BT894" s="180"/>
      <c r="BU894" s="180"/>
      <c r="BV894" s="180"/>
      <c r="BW894" s="180"/>
      <c r="BX894" s="180"/>
      <c r="BY894" s="180"/>
      <c r="BZ894" s="180"/>
      <c r="CA894" s="180"/>
      <c r="CB894" s="180"/>
      <c r="CC894" s="180"/>
      <c r="CD894" s="180"/>
      <c r="CE894" s="180"/>
      <c r="CF894" s="180"/>
      <c r="CG894" s="180"/>
      <c r="CH894" s="180"/>
      <c r="CI894" s="180"/>
      <c r="CJ894" s="180"/>
      <c r="CK894" s="180"/>
      <c r="CL894" s="180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</row>
    <row r="895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  <c r="AF895" s="180"/>
      <c r="AG895" s="180"/>
      <c r="AH895" s="180"/>
      <c r="AI895" s="180"/>
      <c r="AJ895" s="180"/>
      <c r="AK895" s="180"/>
      <c r="AL895" s="180"/>
      <c r="AM895" s="180"/>
      <c r="AN895" s="180"/>
      <c r="AO895" s="180"/>
      <c r="AP895" s="180"/>
      <c r="AQ895" s="180"/>
      <c r="AR895" s="180"/>
      <c r="AS895" s="180"/>
      <c r="AT895" s="180"/>
      <c r="AU895" s="180"/>
      <c r="AV895" s="180"/>
      <c r="AW895" s="180"/>
      <c r="AX895" s="180"/>
      <c r="AY895" s="180"/>
      <c r="AZ895" s="180"/>
      <c r="BA895" s="180"/>
      <c r="BB895" s="180"/>
      <c r="BC895" s="180"/>
      <c r="BD895" s="180"/>
      <c r="BE895" s="180"/>
      <c r="BF895" s="180"/>
      <c r="BG895" s="180"/>
      <c r="BH895" s="180"/>
      <c r="BI895" s="180"/>
      <c r="BJ895" s="180"/>
      <c r="BK895" s="180"/>
      <c r="BL895" s="180"/>
      <c r="BM895" s="180"/>
      <c r="BN895" s="180"/>
      <c r="BO895" s="180"/>
      <c r="BP895" s="180"/>
      <c r="BQ895" s="180"/>
      <c r="BR895" s="180"/>
      <c r="BS895" s="180"/>
      <c r="BT895" s="180"/>
      <c r="BU895" s="180"/>
      <c r="BV895" s="180"/>
      <c r="BW895" s="180"/>
      <c r="BX895" s="180"/>
      <c r="BY895" s="180"/>
      <c r="BZ895" s="180"/>
      <c r="CA895" s="180"/>
      <c r="CB895" s="180"/>
      <c r="CC895" s="180"/>
      <c r="CD895" s="180"/>
      <c r="CE895" s="180"/>
      <c r="CF895" s="180"/>
      <c r="CG895" s="180"/>
      <c r="CH895" s="180"/>
      <c r="CI895" s="180"/>
      <c r="CJ895" s="180"/>
      <c r="CK895" s="180"/>
      <c r="CL895" s="180"/>
      <c r="CM895" s="180"/>
      <c r="CN895" s="180"/>
      <c r="CO895" s="180"/>
      <c r="CP895" s="180"/>
      <c r="CQ895" s="180"/>
      <c r="CR895" s="180"/>
      <c r="CS895" s="180"/>
      <c r="CT895" s="180"/>
      <c r="CU895" s="180"/>
      <c r="CV895" s="180"/>
      <c r="CW895" s="180"/>
      <c r="CX895" s="180"/>
      <c r="CY895" s="180"/>
      <c r="CZ895" s="180"/>
      <c r="DA895" s="180"/>
      <c r="DB895" s="180"/>
    </row>
    <row r="896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  <c r="AF896" s="180"/>
      <c r="AG896" s="180"/>
      <c r="AH896" s="180"/>
      <c r="AI896" s="180"/>
      <c r="AJ896" s="180"/>
      <c r="AK896" s="180"/>
      <c r="AL896" s="180"/>
      <c r="AM896" s="180"/>
      <c r="AN896" s="180"/>
      <c r="AO896" s="180"/>
      <c r="AP896" s="180"/>
      <c r="AQ896" s="180"/>
      <c r="AR896" s="180"/>
      <c r="AS896" s="180"/>
      <c r="AT896" s="180"/>
      <c r="AU896" s="180"/>
      <c r="AV896" s="180"/>
      <c r="AW896" s="180"/>
      <c r="AX896" s="180"/>
      <c r="AY896" s="180"/>
      <c r="AZ896" s="180"/>
      <c r="BA896" s="180"/>
      <c r="BB896" s="180"/>
      <c r="BC896" s="180"/>
      <c r="BD896" s="180"/>
      <c r="BE896" s="180"/>
      <c r="BF896" s="180"/>
      <c r="BG896" s="180"/>
      <c r="BH896" s="180"/>
      <c r="BI896" s="180"/>
      <c r="BJ896" s="180"/>
      <c r="BK896" s="180"/>
      <c r="BL896" s="180"/>
      <c r="BM896" s="180"/>
      <c r="BN896" s="180"/>
      <c r="BO896" s="180"/>
      <c r="BP896" s="180"/>
      <c r="BQ896" s="180"/>
      <c r="BR896" s="180"/>
      <c r="BS896" s="180"/>
      <c r="BT896" s="180"/>
      <c r="BU896" s="180"/>
      <c r="BV896" s="180"/>
      <c r="BW896" s="180"/>
      <c r="BX896" s="180"/>
      <c r="BY896" s="180"/>
      <c r="BZ896" s="180"/>
      <c r="CA896" s="180"/>
      <c r="CB896" s="180"/>
      <c r="CC896" s="180"/>
      <c r="CD896" s="180"/>
      <c r="CE896" s="180"/>
      <c r="CF896" s="180"/>
      <c r="CG896" s="180"/>
      <c r="CH896" s="180"/>
      <c r="CI896" s="180"/>
      <c r="CJ896" s="180"/>
      <c r="CK896" s="180"/>
      <c r="CL896" s="180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</row>
    <row r="897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0"/>
      <c r="AG897" s="180"/>
      <c r="AH897" s="180"/>
      <c r="AI897" s="180"/>
      <c r="AJ897" s="180"/>
      <c r="AK897" s="180"/>
      <c r="AL897" s="180"/>
      <c r="AM897" s="180"/>
      <c r="AN897" s="180"/>
      <c r="AO897" s="180"/>
      <c r="AP897" s="180"/>
      <c r="AQ897" s="180"/>
      <c r="AR897" s="180"/>
      <c r="AS897" s="180"/>
      <c r="AT897" s="180"/>
      <c r="AU897" s="180"/>
      <c r="AV897" s="180"/>
      <c r="AW897" s="180"/>
      <c r="AX897" s="180"/>
      <c r="AY897" s="180"/>
      <c r="AZ897" s="180"/>
      <c r="BA897" s="180"/>
      <c r="BB897" s="180"/>
      <c r="BC897" s="180"/>
      <c r="BD897" s="180"/>
      <c r="BE897" s="180"/>
      <c r="BF897" s="180"/>
      <c r="BG897" s="180"/>
      <c r="BH897" s="180"/>
      <c r="BI897" s="180"/>
      <c r="BJ897" s="180"/>
      <c r="BK897" s="180"/>
      <c r="BL897" s="180"/>
      <c r="BM897" s="180"/>
      <c r="BN897" s="180"/>
      <c r="BO897" s="180"/>
      <c r="BP897" s="180"/>
      <c r="BQ897" s="180"/>
      <c r="BR897" s="180"/>
      <c r="BS897" s="180"/>
      <c r="BT897" s="180"/>
      <c r="BU897" s="180"/>
      <c r="BV897" s="180"/>
      <c r="BW897" s="180"/>
      <c r="BX897" s="180"/>
      <c r="BY897" s="180"/>
      <c r="BZ897" s="180"/>
      <c r="CA897" s="180"/>
      <c r="CB897" s="180"/>
      <c r="CC897" s="180"/>
      <c r="CD897" s="180"/>
      <c r="CE897" s="180"/>
      <c r="CF897" s="180"/>
      <c r="CG897" s="180"/>
      <c r="CH897" s="180"/>
      <c r="CI897" s="180"/>
      <c r="CJ897" s="180"/>
      <c r="CK897" s="180"/>
      <c r="CL897" s="180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</row>
    <row r="898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0"/>
      <c r="AG898" s="180"/>
      <c r="AH898" s="180"/>
      <c r="AI898" s="180"/>
      <c r="AJ898" s="180"/>
      <c r="AK898" s="180"/>
      <c r="AL898" s="180"/>
      <c r="AM898" s="180"/>
      <c r="AN898" s="180"/>
      <c r="AO898" s="180"/>
      <c r="AP898" s="180"/>
      <c r="AQ898" s="180"/>
      <c r="AR898" s="180"/>
      <c r="AS898" s="180"/>
      <c r="AT898" s="180"/>
      <c r="AU898" s="180"/>
      <c r="AV898" s="180"/>
      <c r="AW898" s="180"/>
      <c r="AX898" s="180"/>
      <c r="AY898" s="180"/>
      <c r="AZ898" s="180"/>
      <c r="BA898" s="180"/>
      <c r="BB898" s="180"/>
      <c r="BC898" s="180"/>
      <c r="BD898" s="180"/>
      <c r="BE898" s="180"/>
      <c r="BF898" s="180"/>
      <c r="BG898" s="180"/>
      <c r="BH898" s="180"/>
      <c r="BI898" s="180"/>
      <c r="BJ898" s="180"/>
      <c r="BK898" s="180"/>
      <c r="BL898" s="180"/>
      <c r="BM898" s="180"/>
      <c r="BN898" s="180"/>
      <c r="BO898" s="180"/>
      <c r="BP898" s="180"/>
      <c r="BQ898" s="180"/>
      <c r="BR898" s="180"/>
      <c r="BS898" s="180"/>
      <c r="BT898" s="180"/>
      <c r="BU898" s="180"/>
      <c r="BV898" s="180"/>
      <c r="BW898" s="180"/>
      <c r="BX898" s="180"/>
      <c r="BY898" s="180"/>
      <c r="BZ898" s="180"/>
      <c r="CA898" s="180"/>
      <c r="CB898" s="180"/>
      <c r="CC898" s="180"/>
      <c r="CD898" s="180"/>
      <c r="CE898" s="180"/>
      <c r="CF898" s="180"/>
      <c r="CG898" s="180"/>
      <c r="CH898" s="180"/>
      <c r="CI898" s="180"/>
      <c r="CJ898" s="180"/>
      <c r="CK898" s="180"/>
      <c r="CL898" s="180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</row>
    <row r="899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  <c r="AF899" s="180"/>
      <c r="AG899" s="180"/>
      <c r="AH899" s="180"/>
      <c r="AI899" s="180"/>
      <c r="AJ899" s="180"/>
      <c r="AK899" s="180"/>
      <c r="AL899" s="180"/>
      <c r="AM899" s="180"/>
      <c r="AN899" s="180"/>
      <c r="AO899" s="180"/>
      <c r="AP899" s="180"/>
      <c r="AQ899" s="180"/>
      <c r="AR899" s="180"/>
      <c r="AS899" s="180"/>
      <c r="AT899" s="180"/>
      <c r="AU899" s="180"/>
      <c r="AV899" s="180"/>
      <c r="AW899" s="180"/>
      <c r="AX899" s="180"/>
      <c r="AY899" s="180"/>
      <c r="AZ899" s="180"/>
      <c r="BA899" s="180"/>
      <c r="BB899" s="180"/>
      <c r="BC899" s="180"/>
      <c r="BD899" s="180"/>
      <c r="BE899" s="180"/>
      <c r="BF899" s="180"/>
      <c r="BG899" s="180"/>
      <c r="BH899" s="180"/>
      <c r="BI899" s="180"/>
      <c r="BJ899" s="180"/>
      <c r="BK899" s="180"/>
      <c r="BL899" s="180"/>
      <c r="BM899" s="180"/>
      <c r="BN899" s="180"/>
      <c r="BO899" s="180"/>
      <c r="BP899" s="180"/>
      <c r="BQ899" s="180"/>
      <c r="BR899" s="180"/>
      <c r="BS899" s="180"/>
      <c r="BT899" s="180"/>
      <c r="BU899" s="180"/>
      <c r="BV899" s="180"/>
      <c r="BW899" s="180"/>
      <c r="BX899" s="180"/>
      <c r="BY899" s="180"/>
      <c r="BZ899" s="180"/>
      <c r="CA899" s="180"/>
      <c r="CB899" s="180"/>
      <c r="CC899" s="180"/>
      <c r="CD899" s="180"/>
      <c r="CE899" s="180"/>
      <c r="CF899" s="180"/>
      <c r="CG899" s="180"/>
      <c r="CH899" s="180"/>
      <c r="CI899" s="180"/>
      <c r="CJ899" s="180"/>
      <c r="CK899" s="180"/>
      <c r="CL899" s="180"/>
      <c r="CM899" s="180"/>
      <c r="CN899" s="180"/>
      <c r="CO899" s="180"/>
      <c r="CP899" s="180"/>
      <c r="CQ899" s="180"/>
      <c r="CR899" s="180"/>
      <c r="CS899" s="180"/>
      <c r="CT899" s="180"/>
      <c r="CU899" s="180"/>
      <c r="CV899" s="180"/>
      <c r="CW899" s="180"/>
      <c r="CX899" s="180"/>
      <c r="CY899" s="180"/>
      <c r="CZ899" s="180"/>
      <c r="DA899" s="180"/>
      <c r="DB899" s="180"/>
    </row>
    <row r="900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  <c r="AF900" s="180"/>
      <c r="AG900" s="180"/>
      <c r="AH900" s="180"/>
      <c r="AI900" s="180"/>
      <c r="AJ900" s="180"/>
      <c r="AK900" s="180"/>
      <c r="AL900" s="180"/>
      <c r="AM900" s="180"/>
      <c r="AN900" s="180"/>
      <c r="AO900" s="180"/>
      <c r="AP900" s="180"/>
      <c r="AQ900" s="180"/>
      <c r="AR900" s="180"/>
      <c r="AS900" s="180"/>
      <c r="AT900" s="180"/>
      <c r="AU900" s="180"/>
      <c r="AV900" s="180"/>
      <c r="AW900" s="180"/>
      <c r="AX900" s="180"/>
      <c r="AY900" s="180"/>
      <c r="AZ900" s="180"/>
      <c r="BA900" s="180"/>
      <c r="BB900" s="180"/>
      <c r="BC900" s="180"/>
      <c r="BD900" s="180"/>
      <c r="BE900" s="180"/>
      <c r="BF900" s="180"/>
      <c r="BG900" s="180"/>
      <c r="BH900" s="180"/>
      <c r="BI900" s="180"/>
      <c r="BJ900" s="180"/>
      <c r="BK900" s="180"/>
      <c r="BL900" s="180"/>
      <c r="BM900" s="180"/>
      <c r="BN900" s="180"/>
      <c r="BO900" s="180"/>
      <c r="BP900" s="180"/>
      <c r="BQ900" s="180"/>
      <c r="BR900" s="180"/>
      <c r="BS900" s="180"/>
      <c r="BT900" s="180"/>
      <c r="BU900" s="180"/>
      <c r="BV900" s="180"/>
      <c r="BW900" s="180"/>
      <c r="BX900" s="180"/>
      <c r="BY900" s="180"/>
      <c r="BZ900" s="180"/>
      <c r="CA900" s="180"/>
      <c r="CB900" s="180"/>
      <c r="CC900" s="180"/>
      <c r="CD900" s="180"/>
      <c r="CE900" s="180"/>
      <c r="CF900" s="180"/>
      <c r="CG900" s="180"/>
      <c r="CH900" s="180"/>
      <c r="CI900" s="180"/>
      <c r="CJ900" s="180"/>
      <c r="CK900" s="180"/>
      <c r="CL900" s="180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</row>
    <row r="901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  <c r="K901" s="180"/>
      <c r="L901" s="180"/>
      <c r="M901" s="180"/>
      <c r="N901" s="180"/>
      <c r="O901" s="180"/>
      <c r="P901" s="180"/>
      <c r="Q901" s="180"/>
      <c r="R901" s="180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  <c r="AF901" s="180"/>
      <c r="AG901" s="180"/>
      <c r="AH901" s="180"/>
      <c r="AI901" s="180"/>
      <c r="AJ901" s="180"/>
      <c r="AK901" s="180"/>
      <c r="AL901" s="180"/>
      <c r="AM901" s="180"/>
      <c r="AN901" s="180"/>
      <c r="AO901" s="180"/>
      <c r="AP901" s="180"/>
      <c r="AQ901" s="180"/>
      <c r="AR901" s="180"/>
      <c r="AS901" s="180"/>
      <c r="AT901" s="180"/>
      <c r="AU901" s="180"/>
      <c r="AV901" s="180"/>
      <c r="AW901" s="180"/>
      <c r="AX901" s="180"/>
      <c r="AY901" s="180"/>
      <c r="AZ901" s="180"/>
      <c r="BA901" s="180"/>
      <c r="BB901" s="180"/>
      <c r="BC901" s="180"/>
      <c r="BD901" s="180"/>
      <c r="BE901" s="180"/>
      <c r="BF901" s="180"/>
      <c r="BG901" s="180"/>
      <c r="BH901" s="180"/>
      <c r="BI901" s="180"/>
      <c r="BJ901" s="180"/>
      <c r="BK901" s="180"/>
      <c r="BL901" s="180"/>
      <c r="BM901" s="180"/>
      <c r="BN901" s="180"/>
      <c r="BO901" s="180"/>
      <c r="BP901" s="180"/>
      <c r="BQ901" s="180"/>
      <c r="BR901" s="180"/>
      <c r="BS901" s="180"/>
      <c r="BT901" s="180"/>
      <c r="BU901" s="180"/>
      <c r="BV901" s="180"/>
      <c r="BW901" s="180"/>
      <c r="BX901" s="180"/>
      <c r="BY901" s="180"/>
      <c r="BZ901" s="180"/>
      <c r="CA901" s="180"/>
      <c r="CB901" s="180"/>
      <c r="CC901" s="180"/>
      <c r="CD901" s="180"/>
      <c r="CE901" s="180"/>
      <c r="CF901" s="180"/>
      <c r="CG901" s="180"/>
      <c r="CH901" s="180"/>
      <c r="CI901" s="180"/>
      <c r="CJ901" s="180"/>
      <c r="CK901" s="180"/>
      <c r="CL901" s="180"/>
      <c r="CM901" s="180"/>
      <c r="CN901" s="180"/>
      <c r="CO901" s="180"/>
      <c r="CP901" s="180"/>
      <c r="CQ901" s="180"/>
      <c r="CR901" s="180"/>
      <c r="CS901" s="180"/>
      <c r="CT901" s="180"/>
      <c r="CU901" s="180"/>
      <c r="CV901" s="180"/>
      <c r="CW901" s="180"/>
      <c r="CX901" s="180"/>
      <c r="CY901" s="180"/>
      <c r="CZ901" s="180"/>
      <c r="DA901" s="180"/>
      <c r="DB901" s="180"/>
    </row>
    <row r="902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  <c r="AF902" s="180"/>
      <c r="AG902" s="180"/>
      <c r="AH902" s="180"/>
      <c r="AI902" s="180"/>
      <c r="AJ902" s="180"/>
      <c r="AK902" s="180"/>
      <c r="AL902" s="180"/>
      <c r="AM902" s="180"/>
      <c r="AN902" s="180"/>
      <c r="AO902" s="180"/>
      <c r="AP902" s="180"/>
      <c r="AQ902" s="180"/>
      <c r="AR902" s="180"/>
      <c r="AS902" s="180"/>
      <c r="AT902" s="180"/>
      <c r="AU902" s="180"/>
      <c r="AV902" s="180"/>
      <c r="AW902" s="180"/>
      <c r="AX902" s="180"/>
      <c r="AY902" s="180"/>
      <c r="AZ902" s="180"/>
      <c r="BA902" s="180"/>
      <c r="BB902" s="180"/>
      <c r="BC902" s="180"/>
      <c r="BD902" s="180"/>
      <c r="BE902" s="180"/>
      <c r="BF902" s="180"/>
      <c r="BG902" s="180"/>
      <c r="BH902" s="180"/>
      <c r="BI902" s="180"/>
      <c r="BJ902" s="180"/>
      <c r="BK902" s="180"/>
      <c r="BL902" s="180"/>
      <c r="BM902" s="180"/>
      <c r="BN902" s="180"/>
      <c r="BO902" s="180"/>
      <c r="BP902" s="180"/>
      <c r="BQ902" s="180"/>
      <c r="BR902" s="180"/>
      <c r="BS902" s="180"/>
      <c r="BT902" s="180"/>
      <c r="BU902" s="180"/>
      <c r="BV902" s="180"/>
      <c r="BW902" s="180"/>
      <c r="BX902" s="180"/>
      <c r="BY902" s="180"/>
      <c r="BZ902" s="180"/>
      <c r="CA902" s="180"/>
      <c r="CB902" s="180"/>
      <c r="CC902" s="180"/>
      <c r="CD902" s="180"/>
      <c r="CE902" s="180"/>
      <c r="CF902" s="180"/>
      <c r="CG902" s="180"/>
      <c r="CH902" s="180"/>
      <c r="CI902" s="180"/>
      <c r="CJ902" s="180"/>
      <c r="CK902" s="180"/>
      <c r="CL902" s="180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</row>
    <row r="903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  <c r="AF903" s="180"/>
      <c r="AG903" s="180"/>
      <c r="AH903" s="180"/>
      <c r="AI903" s="180"/>
      <c r="AJ903" s="180"/>
      <c r="AK903" s="180"/>
      <c r="AL903" s="180"/>
      <c r="AM903" s="180"/>
      <c r="AN903" s="180"/>
      <c r="AO903" s="180"/>
      <c r="AP903" s="180"/>
      <c r="AQ903" s="180"/>
      <c r="AR903" s="180"/>
      <c r="AS903" s="180"/>
      <c r="AT903" s="180"/>
      <c r="AU903" s="180"/>
      <c r="AV903" s="180"/>
      <c r="AW903" s="180"/>
      <c r="AX903" s="180"/>
      <c r="AY903" s="180"/>
      <c r="AZ903" s="180"/>
      <c r="BA903" s="180"/>
      <c r="BB903" s="180"/>
      <c r="BC903" s="180"/>
      <c r="BD903" s="180"/>
      <c r="BE903" s="180"/>
      <c r="BF903" s="180"/>
      <c r="BG903" s="180"/>
      <c r="BH903" s="180"/>
      <c r="BI903" s="180"/>
      <c r="BJ903" s="180"/>
      <c r="BK903" s="180"/>
      <c r="BL903" s="180"/>
      <c r="BM903" s="180"/>
      <c r="BN903" s="180"/>
      <c r="BO903" s="180"/>
      <c r="BP903" s="180"/>
      <c r="BQ903" s="180"/>
      <c r="BR903" s="180"/>
      <c r="BS903" s="180"/>
      <c r="BT903" s="180"/>
      <c r="BU903" s="180"/>
      <c r="BV903" s="180"/>
      <c r="BW903" s="180"/>
      <c r="BX903" s="180"/>
      <c r="BY903" s="180"/>
      <c r="BZ903" s="180"/>
      <c r="CA903" s="180"/>
      <c r="CB903" s="180"/>
      <c r="CC903" s="180"/>
      <c r="CD903" s="180"/>
      <c r="CE903" s="180"/>
      <c r="CF903" s="180"/>
      <c r="CG903" s="180"/>
      <c r="CH903" s="180"/>
      <c r="CI903" s="180"/>
      <c r="CJ903" s="180"/>
      <c r="CK903" s="180"/>
      <c r="CL903" s="180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</row>
    <row r="904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  <c r="AF904" s="180"/>
      <c r="AG904" s="180"/>
      <c r="AH904" s="180"/>
      <c r="AI904" s="180"/>
      <c r="AJ904" s="180"/>
      <c r="AK904" s="180"/>
      <c r="AL904" s="180"/>
      <c r="AM904" s="180"/>
      <c r="AN904" s="180"/>
      <c r="AO904" s="180"/>
      <c r="AP904" s="180"/>
      <c r="AQ904" s="180"/>
      <c r="AR904" s="180"/>
      <c r="AS904" s="180"/>
      <c r="AT904" s="180"/>
      <c r="AU904" s="180"/>
      <c r="AV904" s="180"/>
      <c r="AW904" s="180"/>
      <c r="AX904" s="180"/>
      <c r="AY904" s="180"/>
      <c r="AZ904" s="180"/>
      <c r="BA904" s="180"/>
      <c r="BB904" s="180"/>
      <c r="BC904" s="180"/>
      <c r="BD904" s="180"/>
      <c r="BE904" s="180"/>
      <c r="BF904" s="180"/>
      <c r="BG904" s="180"/>
      <c r="BH904" s="180"/>
      <c r="BI904" s="180"/>
      <c r="BJ904" s="180"/>
      <c r="BK904" s="180"/>
      <c r="BL904" s="180"/>
      <c r="BM904" s="180"/>
      <c r="BN904" s="180"/>
      <c r="BO904" s="180"/>
      <c r="BP904" s="180"/>
      <c r="BQ904" s="180"/>
      <c r="BR904" s="180"/>
      <c r="BS904" s="180"/>
      <c r="BT904" s="180"/>
      <c r="BU904" s="180"/>
      <c r="BV904" s="180"/>
      <c r="BW904" s="180"/>
      <c r="BX904" s="180"/>
      <c r="BY904" s="180"/>
      <c r="BZ904" s="180"/>
      <c r="CA904" s="180"/>
      <c r="CB904" s="180"/>
      <c r="CC904" s="180"/>
      <c r="CD904" s="180"/>
      <c r="CE904" s="180"/>
      <c r="CF904" s="180"/>
      <c r="CG904" s="180"/>
      <c r="CH904" s="180"/>
      <c r="CI904" s="180"/>
      <c r="CJ904" s="180"/>
      <c r="CK904" s="180"/>
      <c r="CL904" s="180"/>
      <c r="CM904" s="180"/>
      <c r="CN904" s="180"/>
      <c r="CO904" s="180"/>
      <c r="CP904" s="180"/>
      <c r="CQ904" s="180"/>
      <c r="CR904" s="180"/>
      <c r="CS904" s="180"/>
      <c r="CT904" s="180"/>
      <c r="CU904" s="180"/>
      <c r="CV904" s="180"/>
      <c r="CW904" s="180"/>
      <c r="CX904" s="180"/>
      <c r="CY904" s="180"/>
      <c r="CZ904" s="180"/>
      <c r="DA904" s="180"/>
      <c r="DB904" s="180"/>
    </row>
    <row r="905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0"/>
      <c r="AN905" s="180"/>
      <c r="AO905" s="180"/>
      <c r="AP905" s="180"/>
      <c r="AQ905" s="180"/>
      <c r="AR905" s="180"/>
      <c r="AS905" s="180"/>
      <c r="AT905" s="180"/>
      <c r="AU905" s="180"/>
      <c r="AV905" s="180"/>
      <c r="AW905" s="180"/>
      <c r="AX905" s="180"/>
      <c r="AY905" s="180"/>
      <c r="AZ905" s="180"/>
      <c r="BA905" s="180"/>
      <c r="BB905" s="180"/>
      <c r="BC905" s="180"/>
      <c r="BD905" s="180"/>
      <c r="BE905" s="180"/>
      <c r="BF905" s="180"/>
      <c r="BG905" s="180"/>
      <c r="BH905" s="180"/>
      <c r="BI905" s="180"/>
      <c r="BJ905" s="180"/>
      <c r="BK905" s="180"/>
      <c r="BL905" s="180"/>
      <c r="BM905" s="180"/>
      <c r="BN905" s="180"/>
      <c r="BO905" s="180"/>
      <c r="BP905" s="180"/>
      <c r="BQ905" s="180"/>
      <c r="BR905" s="180"/>
      <c r="BS905" s="180"/>
      <c r="BT905" s="180"/>
      <c r="BU905" s="180"/>
      <c r="BV905" s="180"/>
      <c r="BW905" s="180"/>
      <c r="BX905" s="180"/>
      <c r="BY905" s="180"/>
      <c r="BZ905" s="180"/>
      <c r="CA905" s="180"/>
      <c r="CB905" s="180"/>
      <c r="CC905" s="180"/>
      <c r="CD905" s="180"/>
      <c r="CE905" s="180"/>
      <c r="CF905" s="180"/>
      <c r="CG905" s="180"/>
      <c r="CH905" s="180"/>
      <c r="CI905" s="180"/>
      <c r="CJ905" s="180"/>
      <c r="CK905" s="180"/>
      <c r="CL905" s="180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</row>
    <row r="906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  <c r="K906" s="180"/>
      <c r="L906" s="180"/>
      <c r="M906" s="180"/>
      <c r="N906" s="180"/>
      <c r="O906" s="180"/>
      <c r="P906" s="180"/>
      <c r="Q906" s="180"/>
      <c r="R906" s="180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  <c r="AF906" s="180"/>
      <c r="AG906" s="180"/>
      <c r="AH906" s="180"/>
      <c r="AI906" s="180"/>
      <c r="AJ906" s="180"/>
      <c r="AK906" s="180"/>
      <c r="AL906" s="180"/>
      <c r="AM906" s="180"/>
      <c r="AN906" s="180"/>
      <c r="AO906" s="180"/>
      <c r="AP906" s="180"/>
      <c r="AQ906" s="180"/>
      <c r="AR906" s="180"/>
      <c r="AS906" s="180"/>
      <c r="AT906" s="180"/>
      <c r="AU906" s="180"/>
      <c r="AV906" s="180"/>
      <c r="AW906" s="180"/>
      <c r="AX906" s="180"/>
      <c r="AY906" s="180"/>
      <c r="AZ906" s="180"/>
      <c r="BA906" s="180"/>
      <c r="BB906" s="180"/>
      <c r="BC906" s="180"/>
      <c r="BD906" s="180"/>
      <c r="BE906" s="180"/>
      <c r="BF906" s="180"/>
      <c r="BG906" s="180"/>
      <c r="BH906" s="180"/>
      <c r="BI906" s="180"/>
      <c r="BJ906" s="180"/>
      <c r="BK906" s="180"/>
      <c r="BL906" s="180"/>
      <c r="BM906" s="180"/>
      <c r="BN906" s="180"/>
      <c r="BO906" s="180"/>
      <c r="BP906" s="180"/>
      <c r="BQ906" s="180"/>
      <c r="BR906" s="180"/>
      <c r="BS906" s="180"/>
      <c r="BT906" s="180"/>
      <c r="BU906" s="180"/>
      <c r="BV906" s="180"/>
      <c r="BW906" s="180"/>
      <c r="BX906" s="180"/>
      <c r="BY906" s="180"/>
      <c r="BZ906" s="180"/>
      <c r="CA906" s="180"/>
      <c r="CB906" s="180"/>
      <c r="CC906" s="180"/>
      <c r="CD906" s="180"/>
      <c r="CE906" s="180"/>
      <c r="CF906" s="180"/>
      <c r="CG906" s="180"/>
      <c r="CH906" s="180"/>
      <c r="CI906" s="180"/>
      <c r="CJ906" s="180"/>
      <c r="CK906" s="180"/>
      <c r="CL906" s="180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</row>
    <row r="907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  <c r="AF907" s="180"/>
      <c r="AG907" s="180"/>
      <c r="AH907" s="180"/>
      <c r="AI907" s="180"/>
      <c r="AJ907" s="180"/>
      <c r="AK907" s="180"/>
      <c r="AL907" s="180"/>
      <c r="AM907" s="180"/>
      <c r="AN907" s="180"/>
      <c r="AO907" s="180"/>
      <c r="AP907" s="180"/>
      <c r="AQ907" s="180"/>
      <c r="AR907" s="180"/>
      <c r="AS907" s="180"/>
      <c r="AT907" s="180"/>
      <c r="AU907" s="180"/>
      <c r="AV907" s="180"/>
      <c r="AW907" s="180"/>
      <c r="AX907" s="180"/>
      <c r="AY907" s="180"/>
      <c r="AZ907" s="180"/>
      <c r="BA907" s="180"/>
      <c r="BB907" s="180"/>
      <c r="BC907" s="180"/>
      <c r="BD907" s="180"/>
      <c r="BE907" s="180"/>
      <c r="BF907" s="180"/>
      <c r="BG907" s="180"/>
      <c r="BH907" s="180"/>
      <c r="BI907" s="180"/>
      <c r="BJ907" s="180"/>
      <c r="BK907" s="180"/>
      <c r="BL907" s="180"/>
      <c r="BM907" s="180"/>
      <c r="BN907" s="180"/>
      <c r="BO907" s="180"/>
      <c r="BP907" s="180"/>
      <c r="BQ907" s="180"/>
      <c r="BR907" s="180"/>
      <c r="BS907" s="180"/>
      <c r="BT907" s="180"/>
      <c r="BU907" s="180"/>
      <c r="BV907" s="180"/>
      <c r="BW907" s="180"/>
      <c r="BX907" s="180"/>
      <c r="BY907" s="180"/>
      <c r="BZ907" s="180"/>
      <c r="CA907" s="180"/>
      <c r="CB907" s="180"/>
      <c r="CC907" s="180"/>
      <c r="CD907" s="180"/>
      <c r="CE907" s="180"/>
      <c r="CF907" s="180"/>
      <c r="CG907" s="180"/>
      <c r="CH907" s="180"/>
      <c r="CI907" s="180"/>
      <c r="CJ907" s="180"/>
      <c r="CK907" s="180"/>
      <c r="CL907" s="180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</row>
    <row r="908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  <c r="AF908" s="180"/>
      <c r="AG908" s="180"/>
      <c r="AH908" s="180"/>
      <c r="AI908" s="180"/>
      <c r="AJ908" s="180"/>
      <c r="AK908" s="180"/>
      <c r="AL908" s="180"/>
      <c r="AM908" s="180"/>
      <c r="AN908" s="180"/>
      <c r="AO908" s="180"/>
      <c r="AP908" s="180"/>
      <c r="AQ908" s="180"/>
      <c r="AR908" s="180"/>
      <c r="AS908" s="180"/>
      <c r="AT908" s="180"/>
      <c r="AU908" s="180"/>
      <c r="AV908" s="180"/>
      <c r="AW908" s="180"/>
      <c r="AX908" s="180"/>
      <c r="AY908" s="180"/>
      <c r="AZ908" s="180"/>
      <c r="BA908" s="180"/>
      <c r="BB908" s="180"/>
      <c r="BC908" s="180"/>
      <c r="BD908" s="180"/>
      <c r="BE908" s="180"/>
      <c r="BF908" s="180"/>
      <c r="BG908" s="180"/>
      <c r="BH908" s="180"/>
      <c r="BI908" s="180"/>
      <c r="BJ908" s="180"/>
      <c r="BK908" s="180"/>
      <c r="BL908" s="180"/>
      <c r="BM908" s="180"/>
      <c r="BN908" s="180"/>
      <c r="BO908" s="180"/>
      <c r="BP908" s="180"/>
      <c r="BQ908" s="180"/>
      <c r="BR908" s="180"/>
      <c r="BS908" s="180"/>
      <c r="BT908" s="180"/>
      <c r="BU908" s="180"/>
      <c r="BV908" s="180"/>
      <c r="BW908" s="180"/>
      <c r="BX908" s="180"/>
      <c r="BY908" s="180"/>
      <c r="BZ908" s="180"/>
      <c r="CA908" s="180"/>
      <c r="CB908" s="180"/>
      <c r="CC908" s="180"/>
      <c r="CD908" s="180"/>
      <c r="CE908" s="180"/>
      <c r="CF908" s="180"/>
      <c r="CG908" s="180"/>
      <c r="CH908" s="180"/>
      <c r="CI908" s="180"/>
      <c r="CJ908" s="180"/>
      <c r="CK908" s="180"/>
      <c r="CL908" s="180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</row>
    <row r="909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  <c r="AF909" s="180"/>
      <c r="AG909" s="180"/>
      <c r="AH909" s="180"/>
      <c r="AI909" s="180"/>
      <c r="AJ909" s="180"/>
      <c r="AK909" s="180"/>
      <c r="AL909" s="180"/>
      <c r="AM909" s="180"/>
      <c r="AN909" s="180"/>
      <c r="AO909" s="180"/>
      <c r="AP909" s="180"/>
      <c r="AQ909" s="180"/>
      <c r="AR909" s="180"/>
      <c r="AS909" s="180"/>
      <c r="AT909" s="180"/>
      <c r="AU909" s="180"/>
      <c r="AV909" s="180"/>
      <c r="AW909" s="180"/>
      <c r="AX909" s="180"/>
      <c r="AY909" s="180"/>
      <c r="AZ909" s="180"/>
      <c r="BA909" s="180"/>
      <c r="BB909" s="180"/>
      <c r="BC909" s="180"/>
      <c r="BD909" s="180"/>
      <c r="BE909" s="180"/>
      <c r="BF909" s="180"/>
      <c r="BG909" s="180"/>
      <c r="BH909" s="180"/>
      <c r="BI909" s="180"/>
      <c r="BJ909" s="180"/>
      <c r="BK909" s="180"/>
      <c r="BL909" s="180"/>
      <c r="BM909" s="180"/>
      <c r="BN909" s="180"/>
      <c r="BO909" s="180"/>
      <c r="BP909" s="180"/>
      <c r="BQ909" s="180"/>
      <c r="BR909" s="180"/>
      <c r="BS909" s="180"/>
      <c r="BT909" s="180"/>
      <c r="BU909" s="180"/>
      <c r="BV909" s="180"/>
      <c r="BW909" s="180"/>
      <c r="BX909" s="180"/>
      <c r="BY909" s="180"/>
      <c r="BZ909" s="180"/>
      <c r="CA909" s="180"/>
      <c r="CB909" s="180"/>
      <c r="CC909" s="180"/>
      <c r="CD909" s="180"/>
      <c r="CE909" s="180"/>
      <c r="CF909" s="180"/>
      <c r="CG909" s="180"/>
      <c r="CH909" s="180"/>
      <c r="CI909" s="180"/>
      <c r="CJ909" s="180"/>
      <c r="CK909" s="180"/>
      <c r="CL909" s="180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</row>
    <row r="910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  <c r="AF910" s="180"/>
      <c r="AG910" s="180"/>
      <c r="AH910" s="180"/>
      <c r="AI910" s="180"/>
      <c r="AJ910" s="180"/>
      <c r="AK910" s="180"/>
      <c r="AL910" s="180"/>
      <c r="AM910" s="180"/>
      <c r="AN910" s="180"/>
      <c r="AO910" s="180"/>
      <c r="AP910" s="180"/>
      <c r="AQ910" s="180"/>
      <c r="AR910" s="180"/>
      <c r="AS910" s="180"/>
      <c r="AT910" s="180"/>
      <c r="AU910" s="180"/>
      <c r="AV910" s="180"/>
      <c r="AW910" s="180"/>
      <c r="AX910" s="180"/>
      <c r="AY910" s="180"/>
      <c r="AZ910" s="180"/>
      <c r="BA910" s="180"/>
      <c r="BB910" s="180"/>
      <c r="BC910" s="180"/>
      <c r="BD910" s="180"/>
      <c r="BE910" s="180"/>
      <c r="BF910" s="180"/>
      <c r="BG910" s="180"/>
      <c r="BH910" s="180"/>
      <c r="BI910" s="180"/>
      <c r="BJ910" s="180"/>
      <c r="BK910" s="180"/>
      <c r="BL910" s="180"/>
      <c r="BM910" s="180"/>
      <c r="BN910" s="180"/>
      <c r="BO910" s="180"/>
      <c r="BP910" s="180"/>
      <c r="BQ910" s="180"/>
      <c r="BR910" s="180"/>
      <c r="BS910" s="180"/>
      <c r="BT910" s="180"/>
      <c r="BU910" s="180"/>
      <c r="BV910" s="180"/>
      <c r="BW910" s="180"/>
      <c r="BX910" s="180"/>
      <c r="BY910" s="180"/>
      <c r="BZ910" s="180"/>
      <c r="CA910" s="180"/>
      <c r="CB910" s="180"/>
      <c r="CC910" s="180"/>
      <c r="CD910" s="180"/>
      <c r="CE910" s="180"/>
      <c r="CF910" s="180"/>
      <c r="CG910" s="180"/>
      <c r="CH910" s="180"/>
      <c r="CI910" s="180"/>
      <c r="CJ910" s="180"/>
      <c r="CK910" s="180"/>
      <c r="CL910" s="180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</row>
    <row r="911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  <c r="AF911" s="180"/>
      <c r="AG911" s="180"/>
      <c r="AH911" s="180"/>
      <c r="AI911" s="180"/>
      <c r="AJ911" s="180"/>
      <c r="AK911" s="180"/>
      <c r="AL911" s="180"/>
      <c r="AM911" s="180"/>
      <c r="AN911" s="180"/>
      <c r="AO911" s="180"/>
      <c r="AP911" s="180"/>
      <c r="AQ911" s="180"/>
      <c r="AR911" s="180"/>
      <c r="AS911" s="180"/>
      <c r="AT911" s="180"/>
      <c r="AU911" s="180"/>
      <c r="AV911" s="180"/>
      <c r="AW911" s="180"/>
      <c r="AX911" s="180"/>
      <c r="AY911" s="180"/>
      <c r="AZ911" s="180"/>
      <c r="BA911" s="180"/>
      <c r="BB911" s="180"/>
      <c r="BC911" s="180"/>
      <c r="BD911" s="180"/>
      <c r="BE911" s="180"/>
      <c r="BF911" s="180"/>
      <c r="BG911" s="180"/>
      <c r="BH911" s="180"/>
      <c r="BI911" s="180"/>
      <c r="BJ911" s="180"/>
      <c r="BK911" s="180"/>
      <c r="BL911" s="180"/>
      <c r="BM911" s="180"/>
      <c r="BN911" s="180"/>
      <c r="BO911" s="180"/>
      <c r="BP911" s="180"/>
      <c r="BQ911" s="180"/>
      <c r="BR911" s="180"/>
      <c r="BS911" s="180"/>
      <c r="BT911" s="180"/>
      <c r="BU911" s="180"/>
      <c r="BV911" s="180"/>
      <c r="BW911" s="180"/>
      <c r="BX911" s="180"/>
      <c r="BY911" s="180"/>
      <c r="BZ911" s="180"/>
      <c r="CA911" s="180"/>
      <c r="CB911" s="180"/>
      <c r="CC911" s="180"/>
      <c r="CD911" s="180"/>
      <c r="CE911" s="180"/>
      <c r="CF911" s="180"/>
      <c r="CG911" s="180"/>
      <c r="CH911" s="180"/>
      <c r="CI911" s="180"/>
      <c r="CJ911" s="180"/>
      <c r="CK911" s="180"/>
      <c r="CL911" s="180"/>
      <c r="CM911" s="180"/>
      <c r="CN911" s="180"/>
      <c r="CO911" s="180"/>
      <c r="CP911" s="180"/>
      <c r="CQ911" s="180"/>
      <c r="CR911" s="180"/>
      <c r="CS911" s="180"/>
      <c r="CT911" s="180"/>
      <c r="CU911" s="180"/>
      <c r="CV911" s="180"/>
      <c r="CW911" s="180"/>
      <c r="CX911" s="180"/>
      <c r="CY911" s="180"/>
      <c r="CZ911" s="180"/>
      <c r="DA911" s="180"/>
      <c r="DB911" s="180"/>
    </row>
    <row r="912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0"/>
      <c r="AG912" s="180"/>
      <c r="AH912" s="180"/>
      <c r="AI912" s="180"/>
      <c r="AJ912" s="180"/>
      <c r="AK912" s="180"/>
      <c r="AL912" s="180"/>
      <c r="AM912" s="180"/>
      <c r="AN912" s="180"/>
      <c r="AO912" s="180"/>
      <c r="AP912" s="180"/>
      <c r="AQ912" s="180"/>
      <c r="AR912" s="180"/>
      <c r="AS912" s="180"/>
      <c r="AT912" s="180"/>
      <c r="AU912" s="180"/>
      <c r="AV912" s="180"/>
      <c r="AW912" s="180"/>
      <c r="AX912" s="180"/>
      <c r="AY912" s="180"/>
      <c r="AZ912" s="180"/>
      <c r="BA912" s="180"/>
      <c r="BB912" s="180"/>
      <c r="BC912" s="180"/>
      <c r="BD912" s="180"/>
      <c r="BE912" s="180"/>
      <c r="BF912" s="180"/>
      <c r="BG912" s="180"/>
      <c r="BH912" s="180"/>
      <c r="BI912" s="180"/>
      <c r="BJ912" s="180"/>
      <c r="BK912" s="180"/>
      <c r="BL912" s="180"/>
      <c r="BM912" s="180"/>
      <c r="BN912" s="180"/>
      <c r="BO912" s="180"/>
      <c r="BP912" s="180"/>
      <c r="BQ912" s="180"/>
      <c r="BR912" s="180"/>
      <c r="BS912" s="180"/>
      <c r="BT912" s="180"/>
      <c r="BU912" s="180"/>
      <c r="BV912" s="180"/>
      <c r="BW912" s="180"/>
      <c r="BX912" s="180"/>
      <c r="BY912" s="180"/>
      <c r="BZ912" s="180"/>
      <c r="CA912" s="180"/>
      <c r="CB912" s="180"/>
      <c r="CC912" s="180"/>
      <c r="CD912" s="180"/>
      <c r="CE912" s="180"/>
      <c r="CF912" s="180"/>
      <c r="CG912" s="180"/>
      <c r="CH912" s="180"/>
      <c r="CI912" s="180"/>
      <c r="CJ912" s="180"/>
      <c r="CK912" s="180"/>
      <c r="CL912" s="180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</row>
    <row r="913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0"/>
      <c r="AG913" s="180"/>
      <c r="AH913" s="180"/>
      <c r="AI913" s="180"/>
      <c r="AJ913" s="180"/>
      <c r="AK913" s="180"/>
      <c r="AL913" s="180"/>
      <c r="AM913" s="180"/>
      <c r="AN913" s="180"/>
      <c r="AO913" s="180"/>
      <c r="AP913" s="180"/>
      <c r="AQ913" s="180"/>
      <c r="AR913" s="180"/>
      <c r="AS913" s="180"/>
      <c r="AT913" s="180"/>
      <c r="AU913" s="180"/>
      <c r="AV913" s="180"/>
      <c r="AW913" s="180"/>
      <c r="AX913" s="180"/>
      <c r="AY913" s="180"/>
      <c r="AZ913" s="180"/>
      <c r="BA913" s="180"/>
      <c r="BB913" s="180"/>
      <c r="BC913" s="180"/>
      <c r="BD913" s="180"/>
      <c r="BE913" s="180"/>
      <c r="BF913" s="180"/>
      <c r="BG913" s="180"/>
      <c r="BH913" s="180"/>
      <c r="BI913" s="180"/>
      <c r="BJ913" s="180"/>
      <c r="BK913" s="180"/>
      <c r="BL913" s="180"/>
      <c r="BM913" s="180"/>
      <c r="BN913" s="180"/>
      <c r="BO913" s="180"/>
      <c r="BP913" s="180"/>
      <c r="BQ913" s="180"/>
      <c r="BR913" s="180"/>
      <c r="BS913" s="180"/>
      <c r="BT913" s="180"/>
      <c r="BU913" s="180"/>
      <c r="BV913" s="180"/>
      <c r="BW913" s="180"/>
      <c r="BX913" s="180"/>
      <c r="BY913" s="180"/>
      <c r="BZ913" s="180"/>
      <c r="CA913" s="180"/>
      <c r="CB913" s="180"/>
      <c r="CC913" s="180"/>
      <c r="CD913" s="180"/>
      <c r="CE913" s="180"/>
      <c r="CF913" s="180"/>
      <c r="CG913" s="180"/>
      <c r="CH913" s="180"/>
      <c r="CI913" s="180"/>
      <c r="CJ913" s="180"/>
      <c r="CK913" s="180"/>
      <c r="CL913" s="180"/>
      <c r="CM913" s="180"/>
      <c r="CN913" s="180"/>
      <c r="CO913" s="180"/>
      <c r="CP913" s="180"/>
      <c r="CQ913" s="180"/>
      <c r="CR913" s="180"/>
      <c r="CS913" s="180"/>
      <c r="CT913" s="180"/>
      <c r="CU913" s="180"/>
      <c r="CV913" s="180"/>
      <c r="CW913" s="180"/>
      <c r="CX913" s="180"/>
      <c r="CY913" s="180"/>
      <c r="CZ913" s="180"/>
      <c r="DA913" s="180"/>
      <c r="DB913" s="180"/>
    </row>
    <row r="914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  <c r="K914" s="180"/>
      <c r="L914" s="180"/>
      <c r="M914" s="180"/>
      <c r="N914" s="180"/>
      <c r="O914" s="180"/>
      <c r="P914" s="180"/>
      <c r="Q914" s="180"/>
      <c r="R914" s="180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0"/>
      <c r="AG914" s="180"/>
      <c r="AH914" s="180"/>
      <c r="AI914" s="180"/>
      <c r="AJ914" s="180"/>
      <c r="AK914" s="180"/>
      <c r="AL914" s="180"/>
      <c r="AM914" s="180"/>
      <c r="AN914" s="180"/>
      <c r="AO914" s="180"/>
      <c r="AP914" s="180"/>
      <c r="AQ914" s="180"/>
      <c r="AR914" s="180"/>
      <c r="AS914" s="180"/>
      <c r="AT914" s="180"/>
      <c r="AU914" s="180"/>
      <c r="AV914" s="180"/>
      <c r="AW914" s="180"/>
      <c r="AX914" s="180"/>
      <c r="AY914" s="180"/>
      <c r="AZ914" s="180"/>
      <c r="BA914" s="180"/>
      <c r="BB914" s="180"/>
      <c r="BC914" s="180"/>
      <c r="BD914" s="180"/>
      <c r="BE914" s="180"/>
      <c r="BF914" s="180"/>
      <c r="BG914" s="180"/>
      <c r="BH914" s="180"/>
      <c r="BI914" s="180"/>
      <c r="BJ914" s="180"/>
      <c r="BK914" s="180"/>
      <c r="BL914" s="180"/>
      <c r="BM914" s="180"/>
      <c r="BN914" s="180"/>
      <c r="BO914" s="180"/>
      <c r="BP914" s="180"/>
      <c r="BQ914" s="180"/>
      <c r="BR914" s="180"/>
      <c r="BS914" s="180"/>
      <c r="BT914" s="180"/>
      <c r="BU914" s="180"/>
      <c r="BV914" s="180"/>
      <c r="BW914" s="180"/>
      <c r="BX914" s="180"/>
      <c r="BY914" s="180"/>
      <c r="BZ914" s="180"/>
      <c r="CA914" s="180"/>
      <c r="CB914" s="180"/>
      <c r="CC914" s="180"/>
      <c r="CD914" s="180"/>
      <c r="CE914" s="180"/>
      <c r="CF914" s="180"/>
      <c r="CG914" s="180"/>
      <c r="CH914" s="180"/>
      <c r="CI914" s="180"/>
      <c r="CJ914" s="180"/>
      <c r="CK914" s="180"/>
      <c r="CL914" s="180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</row>
    <row r="915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0"/>
      <c r="AG915" s="180"/>
      <c r="AH915" s="180"/>
      <c r="AI915" s="180"/>
      <c r="AJ915" s="180"/>
      <c r="AK915" s="180"/>
      <c r="AL915" s="180"/>
      <c r="AM915" s="180"/>
      <c r="AN915" s="180"/>
      <c r="AO915" s="180"/>
      <c r="AP915" s="180"/>
      <c r="AQ915" s="180"/>
      <c r="AR915" s="180"/>
      <c r="AS915" s="180"/>
      <c r="AT915" s="180"/>
      <c r="AU915" s="180"/>
      <c r="AV915" s="180"/>
      <c r="AW915" s="180"/>
      <c r="AX915" s="180"/>
      <c r="AY915" s="180"/>
      <c r="AZ915" s="180"/>
      <c r="BA915" s="180"/>
      <c r="BB915" s="180"/>
      <c r="BC915" s="180"/>
      <c r="BD915" s="180"/>
      <c r="BE915" s="180"/>
      <c r="BF915" s="180"/>
      <c r="BG915" s="180"/>
      <c r="BH915" s="180"/>
      <c r="BI915" s="180"/>
      <c r="BJ915" s="180"/>
      <c r="BK915" s="180"/>
      <c r="BL915" s="180"/>
      <c r="BM915" s="180"/>
      <c r="BN915" s="180"/>
      <c r="BO915" s="180"/>
      <c r="BP915" s="180"/>
      <c r="BQ915" s="180"/>
      <c r="BR915" s="180"/>
      <c r="BS915" s="180"/>
      <c r="BT915" s="180"/>
      <c r="BU915" s="180"/>
      <c r="BV915" s="180"/>
      <c r="BW915" s="180"/>
      <c r="BX915" s="180"/>
      <c r="BY915" s="180"/>
      <c r="BZ915" s="180"/>
      <c r="CA915" s="180"/>
      <c r="CB915" s="180"/>
      <c r="CC915" s="180"/>
      <c r="CD915" s="180"/>
      <c r="CE915" s="180"/>
      <c r="CF915" s="180"/>
      <c r="CG915" s="180"/>
      <c r="CH915" s="180"/>
      <c r="CI915" s="180"/>
      <c r="CJ915" s="180"/>
      <c r="CK915" s="180"/>
      <c r="CL915" s="180"/>
      <c r="CM915" s="180"/>
      <c r="CN915" s="180"/>
      <c r="CO915" s="180"/>
      <c r="CP915" s="180"/>
      <c r="CQ915" s="180"/>
      <c r="CR915" s="180"/>
      <c r="CS915" s="180"/>
      <c r="CT915" s="180"/>
      <c r="CU915" s="180"/>
      <c r="CV915" s="180"/>
      <c r="CW915" s="180"/>
      <c r="CX915" s="180"/>
      <c r="CY915" s="180"/>
      <c r="CZ915" s="180"/>
      <c r="DA915" s="180"/>
      <c r="DB915" s="180"/>
    </row>
    <row r="916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  <c r="AF916" s="180"/>
      <c r="AG916" s="180"/>
      <c r="AH916" s="180"/>
      <c r="AI916" s="180"/>
      <c r="AJ916" s="180"/>
      <c r="AK916" s="180"/>
      <c r="AL916" s="180"/>
      <c r="AM916" s="180"/>
      <c r="AN916" s="180"/>
      <c r="AO916" s="180"/>
      <c r="AP916" s="180"/>
      <c r="AQ916" s="180"/>
      <c r="AR916" s="180"/>
      <c r="AS916" s="180"/>
      <c r="AT916" s="180"/>
      <c r="AU916" s="180"/>
      <c r="AV916" s="180"/>
      <c r="AW916" s="180"/>
      <c r="AX916" s="180"/>
      <c r="AY916" s="180"/>
      <c r="AZ916" s="180"/>
      <c r="BA916" s="180"/>
      <c r="BB916" s="180"/>
      <c r="BC916" s="180"/>
      <c r="BD916" s="180"/>
      <c r="BE916" s="180"/>
      <c r="BF916" s="180"/>
      <c r="BG916" s="180"/>
      <c r="BH916" s="180"/>
      <c r="BI916" s="180"/>
      <c r="BJ916" s="180"/>
      <c r="BK916" s="180"/>
      <c r="BL916" s="180"/>
      <c r="BM916" s="180"/>
      <c r="BN916" s="180"/>
      <c r="BO916" s="180"/>
      <c r="BP916" s="180"/>
      <c r="BQ916" s="180"/>
      <c r="BR916" s="180"/>
      <c r="BS916" s="180"/>
      <c r="BT916" s="180"/>
      <c r="BU916" s="180"/>
      <c r="BV916" s="180"/>
      <c r="BW916" s="180"/>
      <c r="BX916" s="180"/>
      <c r="BY916" s="180"/>
      <c r="BZ916" s="180"/>
      <c r="CA916" s="180"/>
      <c r="CB916" s="180"/>
      <c r="CC916" s="180"/>
      <c r="CD916" s="180"/>
      <c r="CE916" s="180"/>
      <c r="CF916" s="180"/>
      <c r="CG916" s="180"/>
      <c r="CH916" s="180"/>
      <c r="CI916" s="180"/>
      <c r="CJ916" s="180"/>
      <c r="CK916" s="180"/>
      <c r="CL916" s="180"/>
      <c r="CM916" s="180"/>
      <c r="CN916" s="180"/>
      <c r="CO916" s="180"/>
      <c r="CP916" s="180"/>
      <c r="CQ916" s="180"/>
      <c r="CR916" s="180"/>
      <c r="CS916" s="180"/>
      <c r="CT916" s="180"/>
      <c r="CU916" s="180"/>
      <c r="CV916" s="180"/>
      <c r="CW916" s="180"/>
      <c r="CX916" s="180"/>
      <c r="CY916" s="180"/>
      <c r="CZ916" s="180"/>
      <c r="DA916" s="180"/>
      <c r="DB916" s="180"/>
    </row>
    <row r="917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  <c r="AF917" s="180"/>
      <c r="AG917" s="180"/>
      <c r="AH917" s="180"/>
      <c r="AI917" s="180"/>
      <c r="AJ917" s="180"/>
      <c r="AK917" s="180"/>
      <c r="AL917" s="180"/>
      <c r="AM917" s="180"/>
      <c r="AN917" s="180"/>
      <c r="AO917" s="180"/>
      <c r="AP917" s="180"/>
      <c r="AQ917" s="180"/>
      <c r="AR917" s="180"/>
      <c r="AS917" s="180"/>
      <c r="AT917" s="180"/>
      <c r="AU917" s="180"/>
      <c r="AV917" s="180"/>
      <c r="AW917" s="180"/>
      <c r="AX917" s="180"/>
      <c r="AY917" s="180"/>
      <c r="AZ917" s="180"/>
      <c r="BA917" s="180"/>
      <c r="BB917" s="180"/>
      <c r="BC917" s="180"/>
      <c r="BD917" s="180"/>
      <c r="BE917" s="180"/>
      <c r="BF917" s="180"/>
      <c r="BG917" s="180"/>
      <c r="BH917" s="180"/>
      <c r="BI917" s="180"/>
      <c r="BJ917" s="180"/>
      <c r="BK917" s="180"/>
      <c r="BL917" s="180"/>
      <c r="BM917" s="180"/>
      <c r="BN917" s="180"/>
      <c r="BO917" s="180"/>
      <c r="BP917" s="180"/>
      <c r="BQ917" s="180"/>
      <c r="BR917" s="180"/>
      <c r="BS917" s="180"/>
      <c r="BT917" s="180"/>
      <c r="BU917" s="180"/>
      <c r="BV917" s="180"/>
      <c r="BW917" s="180"/>
      <c r="BX917" s="180"/>
      <c r="BY917" s="180"/>
      <c r="BZ917" s="180"/>
      <c r="CA917" s="180"/>
      <c r="CB917" s="180"/>
      <c r="CC917" s="180"/>
      <c r="CD917" s="180"/>
      <c r="CE917" s="180"/>
      <c r="CF917" s="180"/>
      <c r="CG917" s="180"/>
      <c r="CH917" s="180"/>
      <c r="CI917" s="180"/>
      <c r="CJ917" s="180"/>
      <c r="CK917" s="180"/>
      <c r="CL917" s="180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</row>
    <row r="918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  <c r="AF918" s="180"/>
      <c r="AG918" s="180"/>
      <c r="AH918" s="180"/>
      <c r="AI918" s="180"/>
      <c r="AJ918" s="180"/>
      <c r="AK918" s="180"/>
      <c r="AL918" s="180"/>
      <c r="AM918" s="180"/>
      <c r="AN918" s="180"/>
      <c r="AO918" s="180"/>
      <c r="AP918" s="180"/>
      <c r="AQ918" s="180"/>
      <c r="AR918" s="180"/>
      <c r="AS918" s="180"/>
      <c r="AT918" s="180"/>
      <c r="AU918" s="180"/>
      <c r="AV918" s="180"/>
      <c r="AW918" s="180"/>
      <c r="AX918" s="180"/>
      <c r="AY918" s="180"/>
      <c r="AZ918" s="180"/>
      <c r="BA918" s="180"/>
      <c r="BB918" s="180"/>
      <c r="BC918" s="180"/>
      <c r="BD918" s="180"/>
      <c r="BE918" s="180"/>
      <c r="BF918" s="180"/>
      <c r="BG918" s="180"/>
      <c r="BH918" s="180"/>
      <c r="BI918" s="180"/>
      <c r="BJ918" s="180"/>
      <c r="BK918" s="180"/>
      <c r="BL918" s="180"/>
      <c r="BM918" s="180"/>
      <c r="BN918" s="180"/>
      <c r="BO918" s="180"/>
      <c r="BP918" s="180"/>
      <c r="BQ918" s="180"/>
      <c r="BR918" s="180"/>
      <c r="BS918" s="180"/>
      <c r="BT918" s="180"/>
      <c r="BU918" s="180"/>
      <c r="BV918" s="180"/>
      <c r="BW918" s="180"/>
      <c r="BX918" s="180"/>
      <c r="BY918" s="180"/>
      <c r="BZ918" s="180"/>
      <c r="CA918" s="180"/>
      <c r="CB918" s="180"/>
      <c r="CC918" s="180"/>
      <c r="CD918" s="180"/>
      <c r="CE918" s="180"/>
      <c r="CF918" s="180"/>
      <c r="CG918" s="180"/>
      <c r="CH918" s="180"/>
      <c r="CI918" s="180"/>
      <c r="CJ918" s="180"/>
      <c r="CK918" s="180"/>
      <c r="CL918" s="180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</row>
    <row r="919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  <c r="AF919" s="180"/>
      <c r="AG919" s="180"/>
      <c r="AH919" s="180"/>
      <c r="AI919" s="180"/>
      <c r="AJ919" s="180"/>
      <c r="AK919" s="180"/>
      <c r="AL919" s="180"/>
      <c r="AM919" s="180"/>
      <c r="AN919" s="180"/>
      <c r="AO919" s="180"/>
      <c r="AP919" s="180"/>
      <c r="AQ919" s="180"/>
      <c r="AR919" s="180"/>
      <c r="AS919" s="180"/>
      <c r="AT919" s="180"/>
      <c r="AU919" s="180"/>
      <c r="AV919" s="180"/>
      <c r="AW919" s="180"/>
      <c r="AX919" s="180"/>
      <c r="AY919" s="180"/>
      <c r="AZ919" s="180"/>
      <c r="BA919" s="180"/>
      <c r="BB919" s="180"/>
      <c r="BC919" s="180"/>
      <c r="BD919" s="180"/>
      <c r="BE919" s="180"/>
      <c r="BF919" s="180"/>
      <c r="BG919" s="180"/>
      <c r="BH919" s="180"/>
      <c r="BI919" s="180"/>
      <c r="BJ919" s="180"/>
      <c r="BK919" s="180"/>
      <c r="BL919" s="180"/>
      <c r="BM919" s="180"/>
      <c r="BN919" s="180"/>
      <c r="BO919" s="180"/>
      <c r="BP919" s="180"/>
      <c r="BQ919" s="180"/>
      <c r="BR919" s="180"/>
      <c r="BS919" s="180"/>
      <c r="BT919" s="180"/>
      <c r="BU919" s="180"/>
      <c r="BV919" s="180"/>
      <c r="BW919" s="180"/>
      <c r="BX919" s="180"/>
      <c r="BY919" s="180"/>
      <c r="BZ919" s="180"/>
      <c r="CA919" s="180"/>
      <c r="CB919" s="180"/>
      <c r="CC919" s="180"/>
      <c r="CD919" s="180"/>
      <c r="CE919" s="180"/>
      <c r="CF919" s="180"/>
      <c r="CG919" s="180"/>
      <c r="CH919" s="180"/>
      <c r="CI919" s="180"/>
      <c r="CJ919" s="180"/>
      <c r="CK919" s="180"/>
      <c r="CL919" s="18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</row>
    <row r="920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  <c r="K920" s="180"/>
      <c r="L920" s="180"/>
      <c r="M920" s="180"/>
      <c r="N920" s="180"/>
      <c r="O920" s="180"/>
      <c r="P920" s="180"/>
      <c r="Q920" s="180"/>
      <c r="R920" s="180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  <c r="AF920" s="180"/>
      <c r="AG920" s="180"/>
      <c r="AH920" s="180"/>
      <c r="AI920" s="180"/>
      <c r="AJ920" s="180"/>
      <c r="AK920" s="180"/>
      <c r="AL920" s="180"/>
      <c r="AM920" s="180"/>
      <c r="AN920" s="180"/>
      <c r="AO920" s="180"/>
      <c r="AP920" s="180"/>
      <c r="AQ920" s="180"/>
      <c r="AR920" s="180"/>
      <c r="AS920" s="180"/>
      <c r="AT920" s="180"/>
      <c r="AU920" s="180"/>
      <c r="AV920" s="180"/>
      <c r="AW920" s="180"/>
      <c r="AX920" s="180"/>
      <c r="AY920" s="180"/>
      <c r="AZ920" s="180"/>
      <c r="BA920" s="180"/>
      <c r="BB920" s="180"/>
      <c r="BC920" s="180"/>
      <c r="BD920" s="180"/>
      <c r="BE920" s="180"/>
      <c r="BF920" s="180"/>
      <c r="BG920" s="180"/>
      <c r="BH920" s="180"/>
      <c r="BI920" s="180"/>
      <c r="BJ920" s="180"/>
      <c r="BK920" s="180"/>
      <c r="BL920" s="180"/>
      <c r="BM920" s="180"/>
      <c r="BN920" s="180"/>
      <c r="BO920" s="180"/>
      <c r="BP920" s="180"/>
      <c r="BQ920" s="180"/>
      <c r="BR920" s="180"/>
      <c r="BS920" s="180"/>
      <c r="BT920" s="180"/>
      <c r="BU920" s="180"/>
      <c r="BV920" s="180"/>
      <c r="BW920" s="180"/>
      <c r="BX920" s="180"/>
      <c r="BY920" s="180"/>
      <c r="BZ920" s="180"/>
      <c r="CA920" s="180"/>
      <c r="CB920" s="180"/>
      <c r="CC920" s="180"/>
      <c r="CD920" s="180"/>
      <c r="CE920" s="180"/>
      <c r="CF920" s="180"/>
      <c r="CG920" s="180"/>
      <c r="CH920" s="180"/>
      <c r="CI920" s="180"/>
      <c r="CJ920" s="180"/>
      <c r="CK920" s="180"/>
      <c r="CL920" s="180"/>
      <c r="CM920" s="180"/>
      <c r="CN920" s="180"/>
      <c r="CO920" s="180"/>
      <c r="CP920" s="180"/>
      <c r="CQ920" s="180"/>
      <c r="CR920" s="180"/>
      <c r="CS920" s="180"/>
      <c r="CT920" s="180"/>
      <c r="CU920" s="180"/>
      <c r="CV920" s="180"/>
      <c r="CW920" s="180"/>
      <c r="CX920" s="180"/>
      <c r="CY920" s="180"/>
      <c r="CZ920" s="180"/>
      <c r="DA920" s="180"/>
      <c r="DB920" s="180"/>
    </row>
    <row r="921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  <c r="AF921" s="180"/>
      <c r="AG921" s="180"/>
      <c r="AH921" s="180"/>
      <c r="AI921" s="180"/>
      <c r="AJ921" s="180"/>
      <c r="AK921" s="180"/>
      <c r="AL921" s="180"/>
      <c r="AM921" s="180"/>
      <c r="AN921" s="180"/>
      <c r="AO921" s="180"/>
      <c r="AP921" s="180"/>
      <c r="AQ921" s="180"/>
      <c r="AR921" s="180"/>
      <c r="AS921" s="180"/>
      <c r="AT921" s="180"/>
      <c r="AU921" s="180"/>
      <c r="AV921" s="180"/>
      <c r="AW921" s="180"/>
      <c r="AX921" s="180"/>
      <c r="AY921" s="180"/>
      <c r="AZ921" s="180"/>
      <c r="BA921" s="180"/>
      <c r="BB921" s="180"/>
      <c r="BC921" s="180"/>
      <c r="BD921" s="180"/>
      <c r="BE921" s="180"/>
      <c r="BF921" s="180"/>
      <c r="BG921" s="180"/>
      <c r="BH921" s="180"/>
      <c r="BI921" s="180"/>
      <c r="BJ921" s="180"/>
      <c r="BK921" s="180"/>
      <c r="BL921" s="180"/>
      <c r="BM921" s="180"/>
      <c r="BN921" s="180"/>
      <c r="BO921" s="180"/>
      <c r="BP921" s="180"/>
      <c r="BQ921" s="180"/>
      <c r="BR921" s="180"/>
      <c r="BS921" s="180"/>
      <c r="BT921" s="180"/>
      <c r="BU921" s="180"/>
      <c r="BV921" s="180"/>
      <c r="BW921" s="180"/>
      <c r="BX921" s="180"/>
      <c r="BY921" s="180"/>
      <c r="BZ921" s="180"/>
      <c r="CA921" s="180"/>
      <c r="CB921" s="180"/>
      <c r="CC921" s="180"/>
      <c r="CD921" s="180"/>
      <c r="CE921" s="180"/>
      <c r="CF921" s="180"/>
      <c r="CG921" s="180"/>
      <c r="CH921" s="180"/>
      <c r="CI921" s="180"/>
      <c r="CJ921" s="180"/>
      <c r="CK921" s="180"/>
      <c r="CL921" s="180"/>
      <c r="CM921" s="180"/>
      <c r="CN921" s="180"/>
      <c r="CO921" s="180"/>
      <c r="CP921" s="180"/>
      <c r="CQ921" s="180"/>
      <c r="CR921" s="180"/>
      <c r="CS921" s="180"/>
      <c r="CT921" s="180"/>
      <c r="CU921" s="180"/>
      <c r="CV921" s="180"/>
      <c r="CW921" s="180"/>
      <c r="CX921" s="180"/>
      <c r="CY921" s="180"/>
      <c r="CZ921" s="180"/>
      <c r="DA921" s="180"/>
      <c r="DB921" s="180"/>
    </row>
    <row r="922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  <c r="AF922" s="180"/>
      <c r="AG922" s="180"/>
      <c r="AH922" s="180"/>
      <c r="AI922" s="180"/>
      <c r="AJ922" s="180"/>
      <c r="AK922" s="180"/>
      <c r="AL922" s="180"/>
      <c r="AM922" s="180"/>
      <c r="AN922" s="180"/>
      <c r="AO922" s="180"/>
      <c r="AP922" s="180"/>
      <c r="AQ922" s="180"/>
      <c r="AR922" s="180"/>
      <c r="AS922" s="180"/>
      <c r="AT922" s="180"/>
      <c r="AU922" s="180"/>
      <c r="AV922" s="180"/>
      <c r="AW922" s="180"/>
      <c r="AX922" s="180"/>
      <c r="AY922" s="180"/>
      <c r="AZ922" s="180"/>
      <c r="BA922" s="180"/>
      <c r="BB922" s="180"/>
      <c r="BC922" s="180"/>
      <c r="BD922" s="180"/>
      <c r="BE922" s="180"/>
      <c r="BF922" s="180"/>
      <c r="BG922" s="180"/>
      <c r="BH922" s="180"/>
      <c r="BI922" s="180"/>
      <c r="BJ922" s="180"/>
      <c r="BK922" s="180"/>
      <c r="BL922" s="180"/>
      <c r="BM922" s="180"/>
      <c r="BN922" s="180"/>
      <c r="BO922" s="180"/>
      <c r="BP922" s="180"/>
      <c r="BQ922" s="180"/>
      <c r="BR922" s="180"/>
      <c r="BS922" s="180"/>
      <c r="BT922" s="180"/>
      <c r="BU922" s="180"/>
      <c r="BV922" s="180"/>
      <c r="BW922" s="180"/>
      <c r="BX922" s="180"/>
      <c r="BY922" s="180"/>
      <c r="BZ922" s="180"/>
      <c r="CA922" s="180"/>
      <c r="CB922" s="180"/>
      <c r="CC922" s="180"/>
      <c r="CD922" s="180"/>
      <c r="CE922" s="180"/>
      <c r="CF922" s="180"/>
      <c r="CG922" s="180"/>
      <c r="CH922" s="180"/>
      <c r="CI922" s="180"/>
      <c r="CJ922" s="180"/>
      <c r="CK922" s="180"/>
      <c r="CL922" s="180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</row>
    <row r="923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  <c r="AF923" s="180"/>
      <c r="AG923" s="180"/>
      <c r="AH923" s="180"/>
      <c r="AI923" s="180"/>
      <c r="AJ923" s="180"/>
      <c r="AK923" s="180"/>
      <c r="AL923" s="180"/>
      <c r="AM923" s="180"/>
      <c r="AN923" s="180"/>
      <c r="AO923" s="180"/>
      <c r="AP923" s="180"/>
      <c r="AQ923" s="180"/>
      <c r="AR923" s="180"/>
      <c r="AS923" s="180"/>
      <c r="AT923" s="180"/>
      <c r="AU923" s="180"/>
      <c r="AV923" s="180"/>
      <c r="AW923" s="180"/>
      <c r="AX923" s="180"/>
      <c r="AY923" s="180"/>
      <c r="AZ923" s="180"/>
      <c r="BA923" s="180"/>
      <c r="BB923" s="180"/>
      <c r="BC923" s="180"/>
      <c r="BD923" s="180"/>
      <c r="BE923" s="180"/>
      <c r="BF923" s="180"/>
      <c r="BG923" s="180"/>
      <c r="BH923" s="180"/>
      <c r="BI923" s="180"/>
      <c r="BJ923" s="180"/>
      <c r="BK923" s="180"/>
      <c r="BL923" s="180"/>
      <c r="BM923" s="180"/>
      <c r="BN923" s="180"/>
      <c r="BO923" s="180"/>
      <c r="BP923" s="180"/>
      <c r="BQ923" s="180"/>
      <c r="BR923" s="180"/>
      <c r="BS923" s="180"/>
      <c r="BT923" s="180"/>
      <c r="BU923" s="180"/>
      <c r="BV923" s="180"/>
      <c r="BW923" s="180"/>
      <c r="BX923" s="180"/>
      <c r="BY923" s="180"/>
      <c r="BZ923" s="180"/>
      <c r="CA923" s="180"/>
      <c r="CB923" s="180"/>
      <c r="CC923" s="180"/>
      <c r="CD923" s="180"/>
      <c r="CE923" s="180"/>
      <c r="CF923" s="180"/>
      <c r="CG923" s="180"/>
      <c r="CH923" s="180"/>
      <c r="CI923" s="180"/>
      <c r="CJ923" s="180"/>
      <c r="CK923" s="180"/>
      <c r="CL923" s="180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</row>
    <row r="924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  <c r="AF924" s="180"/>
      <c r="AG924" s="180"/>
      <c r="AH924" s="180"/>
      <c r="AI924" s="180"/>
      <c r="AJ924" s="180"/>
      <c r="AK924" s="180"/>
      <c r="AL924" s="180"/>
      <c r="AM924" s="180"/>
      <c r="AN924" s="180"/>
      <c r="AO924" s="180"/>
      <c r="AP924" s="180"/>
      <c r="AQ924" s="180"/>
      <c r="AR924" s="180"/>
      <c r="AS924" s="180"/>
      <c r="AT924" s="180"/>
      <c r="AU924" s="180"/>
      <c r="AV924" s="180"/>
      <c r="AW924" s="180"/>
      <c r="AX924" s="180"/>
      <c r="AY924" s="180"/>
      <c r="AZ924" s="180"/>
      <c r="BA924" s="180"/>
      <c r="BB924" s="180"/>
      <c r="BC924" s="180"/>
      <c r="BD924" s="180"/>
      <c r="BE924" s="180"/>
      <c r="BF924" s="180"/>
      <c r="BG924" s="180"/>
      <c r="BH924" s="180"/>
      <c r="BI924" s="180"/>
      <c r="BJ924" s="180"/>
      <c r="BK924" s="180"/>
      <c r="BL924" s="180"/>
      <c r="BM924" s="180"/>
      <c r="BN924" s="180"/>
      <c r="BO924" s="180"/>
      <c r="BP924" s="180"/>
      <c r="BQ924" s="180"/>
      <c r="BR924" s="180"/>
      <c r="BS924" s="180"/>
      <c r="BT924" s="180"/>
      <c r="BU924" s="180"/>
      <c r="BV924" s="180"/>
      <c r="BW924" s="180"/>
      <c r="BX924" s="180"/>
      <c r="BY924" s="180"/>
      <c r="BZ924" s="180"/>
      <c r="CA924" s="180"/>
      <c r="CB924" s="180"/>
      <c r="CC924" s="180"/>
      <c r="CD924" s="180"/>
      <c r="CE924" s="180"/>
      <c r="CF924" s="180"/>
      <c r="CG924" s="180"/>
      <c r="CH924" s="180"/>
      <c r="CI924" s="180"/>
      <c r="CJ924" s="180"/>
      <c r="CK924" s="180"/>
      <c r="CL924" s="180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</row>
    <row r="925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  <c r="AF925" s="180"/>
      <c r="AG925" s="180"/>
      <c r="AH925" s="180"/>
      <c r="AI925" s="180"/>
      <c r="AJ925" s="180"/>
      <c r="AK925" s="180"/>
      <c r="AL925" s="180"/>
      <c r="AM925" s="180"/>
      <c r="AN925" s="180"/>
      <c r="AO925" s="180"/>
      <c r="AP925" s="180"/>
      <c r="AQ925" s="180"/>
      <c r="AR925" s="180"/>
      <c r="AS925" s="180"/>
      <c r="AT925" s="180"/>
      <c r="AU925" s="180"/>
      <c r="AV925" s="180"/>
      <c r="AW925" s="180"/>
      <c r="AX925" s="180"/>
      <c r="AY925" s="180"/>
      <c r="AZ925" s="180"/>
      <c r="BA925" s="180"/>
      <c r="BB925" s="180"/>
      <c r="BC925" s="180"/>
      <c r="BD925" s="180"/>
      <c r="BE925" s="180"/>
      <c r="BF925" s="180"/>
      <c r="BG925" s="180"/>
      <c r="BH925" s="180"/>
      <c r="BI925" s="180"/>
      <c r="BJ925" s="180"/>
      <c r="BK925" s="180"/>
      <c r="BL925" s="180"/>
      <c r="BM925" s="180"/>
      <c r="BN925" s="180"/>
      <c r="BO925" s="180"/>
      <c r="BP925" s="180"/>
      <c r="BQ925" s="180"/>
      <c r="BR925" s="180"/>
      <c r="BS925" s="180"/>
      <c r="BT925" s="180"/>
      <c r="BU925" s="180"/>
      <c r="BV925" s="180"/>
      <c r="BW925" s="180"/>
      <c r="BX925" s="180"/>
      <c r="BY925" s="180"/>
      <c r="BZ925" s="180"/>
      <c r="CA925" s="180"/>
      <c r="CB925" s="180"/>
      <c r="CC925" s="180"/>
      <c r="CD925" s="180"/>
      <c r="CE925" s="180"/>
      <c r="CF925" s="180"/>
      <c r="CG925" s="180"/>
      <c r="CH925" s="180"/>
      <c r="CI925" s="180"/>
      <c r="CJ925" s="180"/>
      <c r="CK925" s="180"/>
      <c r="CL925" s="180"/>
      <c r="CM925" s="180"/>
      <c r="CN925" s="180"/>
      <c r="CO925" s="180"/>
      <c r="CP925" s="180"/>
      <c r="CQ925" s="180"/>
      <c r="CR925" s="180"/>
      <c r="CS925" s="180"/>
      <c r="CT925" s="180"/>
      <c r="CU925" s="180"/>
      <c r="CV925" s="180"/>
      <c r="CW925" s="180"/>
      <c r="CX925" s="180"/>
      <c r="CY925" s="180"/>
      <c r="CZ925" s="180"/>
      <c r="DA925" s="180"/>
      <c r="DB925" s="180"/>
    </row>
    <row r="926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  <c r="AF926" s="180"/>
      <c r="AG926" s="180"/>
      <c r="AH926" s="180"/>
      <c r="AI926" s="180"/>
      <c r="AJ926" s="180"/>
      <c r="AK926" s="180"/>
      <c r="AL926" s="180"/>
      <c r="AM926" s="180"/>
      <c r="AN926" s="180"/>
      <c r="AO926" s="180"/>
      <c r="AP926" s="180"/>
      <c r="AQ926" s="180"/>
      <c r="AR926" s="180"/>
      <c r="AS926" s="180"/>
      <c r="AT926" s="180"/>
      <c r="AU926" s="180"/>
      <c r="AV926" s="180"/>
      <c r="AW926" s="180"/>
      <c r="AX926" s="180"/>
      <c r="AY926" s="180"/>
      <c r="AZ926" s="180"/>
      <c r="BA926" s="180"/>
      <c r="BB926" s="180"/>
      <c r="BC926" s="180"/>
      <c r="BD926" s="180"/>
      <c r="BE926" s="180"/>
      <c r="BF926" s="180"/>
      <c r="BG926" s="180"/>
      <c r="BH926" s="180"/>
      <c r="BI926" s="180"/>
      <c r="BJ926" s="180"/>
      <c r="BK926" s="180"/>
      <c r="BL926" s="180"/>
      <c r="BM926" s="180"/>
      <c r="BN926" s="180"/>
      <c r="BO926" s="180"/>
      <c r="BP926" s="180"/>
      <c r="BQ926" s="180"/>
      <c r="BR926" s="180"/>
      <c r="BS926" s="180"/>
      <c r="BT926" s="180"/>
      <c r="BU926" s="180"/>
      <c r="BV926" s="180"/>
      <c r="BW926" s="180"/>
      <c r="BX926" s="180"/>
      <c r="BY926" s="180"/>
      <c r="BZ926" s="180"/>
      <c r="CA926" s="180"/>
      <c r="CB926" s="180"/>
      <c r="CC926" s="180"/>
      <c r="CD926" s="180"/>
      <c r="CE926" s="180"/>
      <c r="CF926" s="180"/>
      <c r="CG926" s="180"/>
      <c r="CH926" s="180"/>
      <c r="CI926" s="180"/>
      <c r="CJ926" s="180"/>
      <c r="CK926" s="180"/>
      <c r="CL926" s="180"/>
      <c r="CM926" s="180"/>
      <c r="CN926" s="180"/>
      <c r="CO926" s="180"/>
      <c r="CP926" s="180"/>
      <c r="CQ926" s="180"/>
      <c r="CR926" s="180"/>
      <c r="CS926" s="180"/>
      <c r="CT926" s="180"/>
      <c r="CU926" s="180"/>
      <c r="CV926" s="180"/>
      <c r="CW926" s="180"/>
      <c r="CX926" s="180"/>
      <c r="CY926" s="180"/>
      <c r="CZ926" s="180"/>
      <c r="DA926" s="180"/>
      <c r="DB926" s="180"/>
    </row>
    <row r="927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  <c r="AF927" s="180"/>
      <c r="AG927" s="180"/>
      <c r="AH927" s="180"/>
      <c r="AI927" s="180"/>
      <c r="AJ927" s="180"/>
      <c r="AK927" s="180"/>
      <c r="AL927" s="180"/>
      <c r="AM927" s="180"/>
      <c r="AN927" s="180"/>
      <c r="AO927" s="180"/>
      <c r="AP927" s="180"/>
      <c r="AQ927" s="180"/>
      <c r="AR927" s="180"/>
      <c r="AS927" s="180"/>
      <c r="AT927" s="180"/>
      <c r="AU927" s="180"/>
      <c r="AV927" s="180"/>
      <c r="AW927" s="180"/>
      <c r="AX927" s="180"/>
      <c r="AY927" s="180"/>
      <c r="AZ927" s="180"/>
      <c r="BA927" s="180"/>
      <c r="BB927" s="180"/>
      <c r="BC927" s="180"/>
      <c r="BD927" s="180"/>
      <c r="BE927" s="180"/>
      <c r="BF927" s="180"/>
      <c r="BG927" s="180"/>
      <c r="BH927" s="180"/>
      <c r="BI927" s="180"/>
      <c r="BJ927" s="180"/>
      <c r="BK927" s="180"/>
      <c r="BL927" s="180"/>
      <c r="BM927" s="180"/>
      <c r="BN927" s="180"/>
      <c r="BO927" s="180"/>
      <c r="BP927" s="180"/>
      <c r="BQ927" s="180"/>
      <c r="BR927" s="180"/>
      <c r="BS927" s="180"/>
      <c r="BT927" s="180"/>
      <c r="BU927" s="180"/>
      <c r="BV927" s="180"/>
      <c r="BW927" s="180"/>
      <c r="BX927" s="180"/>
      <c r="BY927" s="180"/>
      <c r="BZ927" s="180"/>
      <c r="CA927" s="180"/>
      <c r="CB927" s="180"/>
      <c r="CC927" s="180"/>
      <c r="CD927" s="180"/>
      <c r="CE927" s="180"/>
      <c r="CF927" s="180"/>
      <c r="CG927" s="180"/>
      <c r="CH927" s="180"/>
      <c r="CI927" s="180"/>
      <c r="CJ927" s="180"/>
      <c r="CK927" s="180"/>
      <c r="CL927" s="180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</row>
    <row r="928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  <c r="AF928" s="180"/>
      <c r="AG928" s="180"/>
      <c r="AH928" s="180"/>
      <c r="AI928" s="180"/>
      <c r="AJ928" s="180"/>
      <c r="AK928" s="180"/>
      <c r="AL928" s="180"/>
      <c r="AM928" s="180"/>
      <c r="AN928" s="180"/>
      <c r="AO928" s="180"/>
      <c r="AP928" s="180"/>
      <c r="AQ928" s="180"/>
      <c r="AR928" s="180"/>
      <c r="AS928" s="180"/>
      <c r="AT928" s="180"/>
      <c r="AU928" s="180"/>
      <c r="AV928" s="180"/>
      <c r="AW928" s="180"/>
      <c r="AX928" s="180"/>
      <c r="AY928" s="180"/>
      <c r="AZ928" s="180"/>
      <c r="BA928" s="180"/>
      <c r="BB928" s="180"/>
      <c r="BC928" s="180"/>
      <c r="BD928" s="180"/>
      <c r="BE928" s="180"/>
      <c r="BF928" s="180"/>
      <c r="BG928" s="180"/>
      <c r="BH928" s="180"/>
      <c r="BI928" s="180"/>
      <c r="BJ928" s="180"/>
      <c r="BK928" s="180"/>
      <c r="BL928" s="180"/>
      <c r="BM928" s="180"/>
      <c r="BN928" s="180"/>
      <c r="BO928" s="180"/>
      <c r="BP928" s="180"/>
      <c r="BQ928" s="180"/>
      <c r="BR928" s="180"/>
      <c r="BS928" s="180"/>
      <c r="BT928" s="180"/>
      <c r="BU928" s="180"/>
      <c r="BV928" s="180"/>
      <c r="BW928" s="180"/>
      <c r="BX928" s="180"/>
      <c r="BY928" s="180"/>
      <c r="BZ928" s="180"/>
      <c r="CA928" s="180"/>
      <c r="CB928" s="180"/>
      <c r="CC928" s="180"/>
      <c r="CD928" s="180"/>
      <c r="CE928" s="180"/>
      <c r="CF928" s="180"/>
      <c r="CG928" s="180"/>
      <c r="CH928" s="180"/>
      <c r="CI928" s="180"/>
      <c r="CJ928" s="180"/>
      <c r="CK928" s="180"/>
      <c r="CL928" s="180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</row>
    <row r="929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  <c r="AF929" s="180"/>
      <c r="AG929" s="180"/>
      <c r="AH929" s="180"/>
      <c r="AI929" s="180"/>
      <c r="AJ929" s="180"/>
      <c r="AK929" s="180"/>
      <c r="AL929" s="180"/>
      <c r="AM929" s="180"/>
      <c r="AN929" s="180"/>
      <c r="AO929" s="180"/>
      <c r="AP929" s="180"/>
      <c r="AQ929" s="180"/>
      <c r="AR929" s="180"/>
      <c r="AS929" s="180"/>
      <c r="AT929" s="180"/>
      <c r="AU929" s="180"/>
      <c r="AV929" s="180"/>
      <c r="AW929" s="180"/>
      <c r="AX929" s="180"/>
      <c r="AY929" s="180"/>
      <c r="AZ929" s="180"/>
      <c r="BA929" s="180"/>
      <c r="BB929" s="180"/>
      <c r="BC929" s="180"/>
      <c r="BD929" s="180"/>
      <c r="BE929" s="180"/>
      <c r="BF929" s="180"/>
      <c r="BG929" s="180"/>
      <c r="BH929" s="180"/>
      <c r="BI929" s="180"/>
      <c r="BJ929" s="180"/>
      <c r="BK929" s="180"/>
      <c r="BL929" s="180"/>
      <c r="BM929" s="180"/>
      <c r="BN929" s="180"/>
      <c r="BO929" s="180"/>
      <c r="BP929" s="180"/>
      <c r="BQ929" s="180"/>
      <c r="BR929" s="180"/>
      <c r="BS929" s="180"/>
      <c r="BT929" s="180"/>
      <c r="BU929" s="180"/>
      <c r="BV929" s="180"/>
      <c r="BW929" s="180"/>
      <c r="BX929" s="180"/>
      <c r="BY929" s="180"/>
      <c r="BZ929" s="180"/>
      <c r="CA929" s="180"/>
      <c r="CB929" s="180"/>
      <c r="CC929" s="180"/>
      <c r="CD929" s="180"/>
      <c r="CE929" s="180"/>
      <c r="CF929" s="180"/>
      <c r="CG929" s="180"/>
      <c r="CH929" s="180"/>
      <c r="CI929" s="180"/>
      <c r="CJ929" s="180"/>
      <c r="CK929" s="180"/>
      <c r="CL929" s="180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</row>
    <row r="930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  <c r="AF930" s="180"/>
      <c r="AG930" s="180"/>
      <c r="AH930" s="180"/>
      <c r="AI930" s="180"/>
      <c r="AJ930" s="180"/>
      <c r="AK930" s="180"/>
      <c r="AL930" s="180"/>
      <c r="AM930" s="180"/>
      <c r="AN930" s="180"/>
      <c r="AO930" s="180"/>
      <c r="AP930" s="180"/>
      <c r="AQ930" s="180"/>
      <c r="AR930" s="180"/>
      <c r="AS930" s="180"/>
      <c r="AT930" s="180"/>
      <c r="AU930" s="180"/>
      <c r="AV930" s="180"/>
      <c r="AW930" s="180"/>
      <c r="AX930" s="180"/>
      <c r="AY930" s="180"/>
      <c r="AZ930" s="180"/>
      <c r="BA930" s="180"/>
      <c r="BB930" s="180"/>
      <c r="BC930" s="180"/>
      <c r="BD930" s="180"/>
      <c r="BE930" s="180"/>
      <c r="BF930" s="180"/>
      <c r="BG930" s="180"/>
      <c r="BH930" s="180"/>
      <c r="BI930" s="180"/>
      <c r="BJ930" s="180"/>
      <c r="BK930" s="180"/>
      <c r="BL930" s="180"/>
      <c r="BM930" s="180"/>
      <c r="BN930" s="180"/>
      <c r="BO930" s="180"/>
      <c r="BP930" s="180"/>
      <c r="BQ930" s="180"/>
      <c r="BR930" s="180"/>
      <c r="BS930" s="180"/>
      <c r="BT930" s="180"/>
      <c r="BU930" s="180"/>
      <c r="BV930" s="180"/>
      <c r="BW930" s="180"/>
      <c r="BX930" s="180"/>
      <c r="BY930" s="180"/>
      <c r="BZ930" s="180"/>
      <c r="CA930" s="180"/>
      <c r="CB930" s="180"/>
      <c r="CC930" s="180"/>
      <c r="CD930" s="180"/>
      <c r="CE930" s="180"/>
      <c r="CF930" s="180"/>
      <c r="CG930" s="180"/>
      <c r="CH930" s="180"/>
      <c r="CI930" s="180"/>
      <c r="CJ930" s="180"/>
      <c r="CK930" s="180"/>
      <c r="CL930" s="180"/>
      <c r="CM930" s="180"/>
      <c r="CN930" s="180"/>
      <c r="CO930" s="180"/>
      <c r="CP930" s="180"/>
      <c r="CQ930" s="180"/>
      <c r="CR930" s="180"/>
      <c r="CS930" s="180"/>
      <c r="CT930" s="180"/>
      <c r="CU930" s="180"/>
      <c r="CV930" s="180"/>
      <c r="CW930" s="180"/>
      <c r="CX930" s="180"/>
      <c r="CY930" s="180"/>
      <c r="CZ930" s="180"/>
      <c r="DA930" s="180"/>
      <c r="DB930" s="180"/>
    </row>
    <row r="931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  <c r="AF931" s="180"/>
      <c r="AG931" s="180"/>
      <c r="AH931" s="180"/>
      <c r="AI931" s="180"/>
      <c r="AJ931" s="180"/>
      <c r="AK931" s="180"/>
      <c r="AL931" s="180"/>
      <c r="AM931" s="180"/>
      <c r="AN931" s="180"/>
      <c r="AO931" s="180"/>
      <c r="AP931" s="180"/>
      <c r="AQ931" s="180"/>
      <c r="AR931" s="180"/>
      <c r="AS931" s="180"/>
      <c r="AT931" s="180"/>
      <c r="AU931" s="180"/>
      <c r="AV931" s="180"/>
      <c r="AW931" s="180"/>
      <c r="AX931" s="180"/>
      <c r="AY931" s="180"/>
      <c r="AZ931" s="180"/>
      <c r="BA931" s="180"/>
      <c r="BB931" s="180"/>
      <c r="BC931" s="180"/>
      <c r="BD931" s="180"/>
      <c r="BE931" s="180"/>
      <c r="BF931" s="180"/>
      <c r="BG931" s="180"/>
      <c r="BH931" s="180"/>
      <c r="BI931" s="180"/>
      <c r="BJ931" s="180"/>
      <c r="BK931" s="180"/>
      <c r="BL931" s="180"/>
      <c r="BM931" s="180"/>
      <c r="BN931" s="180"/>
      <c r="BO931" s="180"/>
      <c r="BP931" s="180"/>
      <c r="BQ931" s="180"/>
      <c r="BR931" s="180"/>
      <c r="BS931" s="180"/>
      <c r="BT931" s="180"/>
      <c r="BU931" s="180"/>
      <c r="BV931" s="180"/>
      <c r="BW931" s="180"/>
      <c r="BX931" s="180"/>
      <c r="BY931" s="180"/>
      <c r="BZ931" s="180"/>
      <c r="CA931" s="180"/>
      <c r="CB931" s="180"/>
      <c r="CC931" s="180"/>
      <c r="CD931" s="180"/>
      <c r="CE931" s="180"/>
      <c r="CF931" s="180"/>
      <c r="CG931" s="180"/>
      <c r="CH931" s="180"/>
      <c r="CI931" s="180"/>
      <c r="CJ931" s="180"/>
      <c r="CK931" s="180"/>
      <c r="CL931" s="180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</row>
    <row r="932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  <c r="AF932" s="180"/>
      <c r="AG932" s="180"/>
      <c r="AH932" s="180"/>
      <c r="AI932" s="180"/>
      <c r="AJ932" s="180"/>
      <c r="AK932" s="180"/>
      <c r="AL932" s="180"/>
      <c r="AM932" s="180"/>
      <c r="AN932" s="180"/>
      <c r="AO932" s="180"/>
      <c r="AP932" s="180"/>
      <c r="AQ932" s="180"/>
      <c r="AR932" s="180"/>
      <c r="AS932" s="180"/>
      <c r="AT932" s="180"/>
      <c r="AU932" s="180"/>
      <c r="AV932" s="180"/>
      <c r="AW932" s="180"/>
      <c r="AX932" s="180"/>
      <c r="AY932" s="180"/>
      <c r="AZ932" s="180"/>
      <c r="BA932" s="180"/>
      <c r="BB932" s="180"/>
      <c r="BC932" s="180"/>
      <c r="BD932" s="180"/>
      <c r="BE932" s="180"/>
      <c r="BF932" s="180"/>
      <c r="BG932" s="180"/>
      <c r="BH932" s="180"/>
      <c r="BI932" s="180"/>
      <c r="BJ932" s="180"/>
      <c r="BK932" s="180"/>
      <c r="BL932" s="180"/>
      <c r="BM932" s="180"/>
      <c r="BN932" s="180"/>
      <c r="BO932" s="180"/>
      <c r="BP932" s="180"/>
      <c r="BQ932" s="180"/>
      <c r="BR932" s="180"/>
      <c r="BS932" s="180"/>
      <c r="BT932" s="180"/>
      <c r="BU932" s="180"/>
      <c r="BV932" s="180"/>
      <c r="BW932" s="180"/>
      <c r="BX932" s="180"/>
      <c r="BY932" s="180"/>
      <c r="BZ932" s="180"/>
      <c r="CA932" s="180"/>
      <c r="CB932" s="180"/>
      <c r="CC932" s="180"/>
      <c r="CD932" s="180"/>
      <c r="CE932" s="180"/>
      <c r="CF932" s="180"/>
      <c r="CG932" s="180"/>
      <c r="CH932" s="180"/>
      <c r="CI932" s="180"/>
      <c r="CJ932" s="180"/>
      <c r="CK932" s="180"/>
      <c r="CL932" s="180"/>
      <c r="CM932" s="180"/>
      <c r="CN932" s="180"/>
      <c r="CO932" s="180"/>
      <c r="CP932" s="180"/>
      <c r="CQ932" s="180"/>
      <c r="CR932" s="180"/>
      <c r="CS932" s="180"/>
      <c r="CT932" s="180"/>
      <c r="CU932" s="180"/>
      <c r="CV932" s="180"/>
      <c r="CW932" s="180"/>
      <c r="CX932" s="180"/>
      <c r="CY932" s="180"/>
      <c r="CZ932" s="180"/>
      <c r="DA932" s="180"/>
      <c r="DB932" s="180"/>
    </row>
    <row r="933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  <c r="AF933" s="180"/>
      <c r="AG933" s="180"/>
      <c r="AH933" s="180"/>
      <c r="AI933" s="180"/>
      <c r="AJ933" s="180"/>
      <c r="AK933" s="180"/>
      <c r="AL933" s="180"/>
      <c r="AM933" s="180"/>
      <c r="AN933" s="180"/>
      <c r="AO933" s="180"/>
      <c r="AP933" s="180"/>
      <c r="AQ933" s="180"/>
      <c r="AR933" s="180"/>
      <c r="AS933" s="180"/>
      <c r="AT933" s="180"/>
      <c r="AU933" s="180"/>
      <c r="AV933" s="180"/>
      <c r="AW933" s="180"/>
      <c r="AX933" s="180"/>
      <c r="AY933" s="180"/>
      <c r="AZ933" s="180"/>
      <c r="BA933" s="180"/>
      <c r="BB933" s="180"/>
      <c r="BC933" s="180"/>
      <c r="BD933" s="180"/>
      <c r="BE933" s="180"/>
      <c r="BF933" s="180"/>
      <c r="BG933" s="180"/>
      <c r="BH933" s="180"/>
      <c r="BI933" s="180"/>
      <c r="BJ933" s="180"/>
      <c r="BK933" s="180"/>
      <c r="BL933" s="180"/>
      <c r="BM933" s="180"/>
      <c r="BN933" s="180"/>
      <c r="BO933" s="180"/>
      <c r="BP933" s="180"/>
      <c r="BQ933" s="180"/>
      <c r="BR933" s="180"/>
      <c r="BS933" s="180"/>
      <c r="BT933" s="180"/>
      <c r="BU933" s="180"/>
      <c r="BV933" s="180"/>
      <c r="BW933" s="180"/>
      <c r="BX933" s="180"/>
      <c r="BY933" s="180"/>
      <c r="BZ933" s="180"/>
      <c r="CA933" s="180"/>
      <c r="CB933" s="180"/>
      <c r="CC933" s="180"/>
      <c r="CD933" s="180"/>
      <c r="CE933" s="180"/>
      <c r="CF933" s="180"/>
      <c r="CG933" s="180"/>
      <c r="CH933" s="180"/>
      <c r="CI933" s="180"/>
      <c r="CJ933" s="180"/>
      <c r="CK933" s="180"/>
      <c r="CL933" s="180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</row>
    <row r="934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  <c r="AF934" s="180"/>
      <c r="AG934" s="180"/>
      <c r="AH934" s="180"/>
      <c r="AI934" s="180"/>
      <c r="AJ934" s="180"/>
      <c r="AK934" s="180"/>
      <c r="AL934" s="180"/>
      <c r="AM934" s="180"/>
      <c r="AN934" s="180"/>
      <c r="AO934" s="180"/>
      <c r="AP934" s="180"/>
      <c r="AQ934" s="180"/>
      <c r="AR934" s="180"/>
      <c r="AS934" s="180"/>
      <c r="AT934" s="180"/>
      <c r="AU934" s="180"/>
      <c r="AV934" s="180"/>
      <c r="AW934" s="180"/>
      <c r="AX934" s="180"/>
      <c r="AY934" s="180"/>
      <c r="AZ934" s="180"/>
      <c r="BA934" s="180"/>
      <c r="BB934" s="180"/>
      <c r="BC934" s="180"/>
      <c r="BD934" s="180"/>
      <c r="BE934" s="180"/>
      <c r="BF934" s="180"/>
      <c r="BG934" s="180"/>
      <c r="BH934" s="180"/>
      <c r="BI934" s="180"/>
      <c r="BJ934" s="180"/>
      <c r="BK934" s="180"/>
      <c r="BL934" s="180"/>
      <c r="BM934" s="180"/>
      <c r="BN934" s="180"/>
      <c r="BO934" s="180"/>
      <c r="BP934" s="180"/>
      <c r="BQ934" s="180"/>
      <c r="BR934" s="180"/>
      <c r="BS934" s="180"/>
      <c r="BT934" s="180"/>
      <c r="BU934" s="180"/>
      <c r="BV934" s="180"/>
      <c r="BW934" s="180"/>
      <c r="BX934" s="180"/>
      <c r="BY934" s="180"/>
      <c r="BZ934" s="180"/>
      <c r="CA934" s="180"/>
      <c r="CB934" s="180"/>
      <c r="CC934" s="180"/>
      <c r="CD934" s="180"/>
      <c r="CE934" s="180"/>
      <c r="CF934" s="180"/>
      <c r="CG934" s="180"/>
      <c r="CH934" s="180"/>
      <c r="CI934" s="180"/>
      <c r="CJ934" s="180"/>
      <c r="CK934" s="180"/>
      <c r="CL934" s="180"/>
      <c r="CM934" s="180"/>
      <c r="CN934" s="180"/>
      <c r="CO934" s="180"/>
      <c r="CP934" s="180"/>
      <c r="CQ934" s="180"/>
      <c r="CR934" s="180"/>
      <c r="CS934" s="180"/>
      <c r="CT934" s="180"/>
      <c r="CU934" s="180"/>
      <c r="CV934" s="180"/>
      <c r="CW934" s="180"/>
      <c r="CX934" s="180"/>
      <c r="CY934" s="180"/>
      <c r="CZ934" s="180"/>
      <c r="DA934" s="180"/>
      <c r="DB934" s="180"/>
    </row>
    <row r="935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  <c r="AF935" s="180"/>
      <c r="AG935" s="180"/>
      <c r="AH935" s="180"/>
      <c r="AI935" s="180"/>
      <c r="AJ935" s="180"/>
      <c r="AK935" s="180"/>
      <c r="AL935" s="180"/>
      <c r="AM935" s="180"/>
      <c r="AN935" s="180"/>
      <c r="AO935" s="180"/>
      <c r="AP935" s="180"/>
      <c r="AQ935" s="180"/>
      <c r="AR935" s="180"/>
      <c r="AS935" s="180"/>
      <c r="AT935" s="180"/>
      <c r="AU935" s="180"/>
      <c r="AV935" s="180"/>
      <c r="AW935" s="180"/>
      <c r="AX935" s="180"/>
      <c r="AY935" s="180"/>
      <c r="AZ935" s="180"/>
      <c r="BA935" s="180"/>
      <c r="BB935" s="180"/>
      <c r="BC935" s="180"/>
      <c r="BD935" s="180"/>
      <c r="BE935" s="180"/>
      <c r="BF935" s="180"/>
      <c r="BG935" s="180"/>
      <c r="BH935" s="180"/>
      <c r="BI935" s="180"/>
      <c r="BJ935" s="180"/>
      <c r="BK935" s="180"/>
      <c r="BL935" s="180"/>
      <c r="BM935" s="180"/>
      <c r="BN935" s="180"/>
      <c r="BO935" s="180"/>
      <c r="BP935" s="180"/>
      <c r="BQ935" s="180"/>
      <c r="BR935" s="180"/>
      <c r="BS935" s="180"/>
      <c r="BT935" s="180"/>
      <c r="BU935" s="180"/>
      <c r="BV935" s="180"/>
      <c r="BW935" s="180"/>
      <c r="BX935" s="180"/>
      <c r="BY935" s="180"/>
      <c r="BZ935" s="180"/>
      <c r="CA935" s="180"/>
      <c r="CB935" s="180"/>
      <c r="CC935" s="180"/>
      <c r="CD935" s="180"/>
      <c r="CE935" s="180"/>
      <c r="CF935" s="180"/>
      <c r="CG935" s="180"/>
      <c r="CH935" s="180"/>
      <c r="CI935" s="180"/>
      <c r="CJ935" s="180"/>
      <c r="CK935" s="180"/>
      <c r="CL935" s="180"/>
      <c r="CM935" s="180"/>
      <c r="CN935" s="180"/>
      <c r="CO935" s="180"/>
      <c r="CP935" s="180"/>
      <c r="CQ935" s="180"/>
      <c r="CR935" s="180"/>
      <c r="CS935" s="180"/>
      <c r="CT935" s="180"/>
      <c r="CU935" s="180"/>
      <c r="CV935" s="180"/>
      <c r="CW935" s="180"/>
      <c r="CX935" s="180"/>
      <c r="CY935" s="180"/>
      <c r="CZ935" s="180"/>
      <c r="DA935" s="180"/>
      <c r="DB935" s="180"/>
    </row>
    <row r="936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  <c r="AF936" s="180"/>
      <c r="AG936" s="180"/>
      <c r="AH936" s="180"/>
      <c r="AI936" s="180"/>
      <c r="AJ936" s="180"/>
      <c r="AK936" s="180"/>
      <c r="AL936" s="180"/>
      <c r="AM936" s="180"/>
      <c r="AN936" s="180"/>
      <c r="AO936" s="180"/>
      <c r="AP936" s="180"/>
      <c r="AQ936" s="180"/>
      <c r="AR936" s="180"/>
      <c r="AS936" s="180"/>
      <c r="AT936" s="180"/>
      <c r="AU936" s="180"/>
      <c r="AV936" s="180"/>
      <c r="AW936" s="180"/>
      <c r="AX936" s="180"/>
      <c r="AY936" s="180"/>
      <c r="AZ936" s="180"/>
      <c r="BA936" s="180"/>
      <c r="BB936" s="180"/>
      <c r="BC936" s="180"/>
      <c r="BD936" s="180"/>
      <c r="BE936" s="180"/>
      <c r="BF936" s="180"/>
      <c r="BG936" s="180"/>
      <c r="BH936" s="180"/>
      <c r="BI936" s="180"/>
      <c r="BJ936" s="180"/>
      <c r="BK936" s="180"/>
      <c r="BL936" s="180"/>
      <c r="BM936" s="180"/>
      <c r="BN936" s="180"/>
      <c r="BO936" s="180"/>
      <c r="BP936" s="180"/>
      <c r="BQ936" s="180"/>
      <c r="BR936" s="180"/>
      <c r="BS936" s="180"/>
      <c r="BT936" s="180"/>
      <c r="BU936" s="180"/>
      <c r="BV936" s="180"/>
      <c r="BW936" s="180"/>
      <c r="BX936" s="180"/>
      <c r="BY936" s="180"/>
      <c r="BZ936" s="180"/>
      <c r="CA936" s="180"/>
      <c r="CB936" s="180"/>
      <c r="CC936" s="180"/>
      <c r="CD936" s="180"/>
      <c r="CE936" s="180"/>
      <c r="CF936" s="180"/>
      <c r="CG936" s="180"/>
      <c r="CH936" s="180"/>
      <c r="CI936" s="180"/>
      <c r="CJ936" s="180"/>
      <c r="CK936" s="180"/>
      <c r="CL936" s="180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</row>
    <row r="937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  <c r="AG937" s="180"/>
      <c r="AH937" s="180"/>
      <c r="AI937" s="180"/>
      <c r="AJ937" s="180"/>
      <c r="AK937" s="180"/>
      <c r="AL937" s="180"/>
      <c r="AM937" s="180"/>
      <c r="AN937" s="180"/>
      <c r="AO937" s="180"/>
      <c r="AP937" s="180"/>
      <c r="AQ937" s="180"/>
      <c r="AR937" s="180"/>
      <c r="AS937" s="180"/>
      <c r="AT937" s="180"/>
      <c r="AU937" s="180"/>
      <c r="AV937" s="180"/>
      <c r="AW937" s="180"/>
      <c r="AX937" s="180"/>
      <c r="AY937" s="180"/>
      <c r="AZ937" s="180"/>
      <c r="BA937" s="180"/>
      <c r="BB937" s="180"/>
      <c r="BC937" s="180"/>
      <c r="BD937" s="180"/>
      <c r="BE937" s="180"/>
      <c r="BF937" s="180"/>
      <c r="BG937" s="180"/>
      <c r="BH937" s="180"/>
      <c r="BI937" s="180"/>
      <c r="BJ937" s="180"/>
      <c r="BK937" s="180"/>
      <c r="BL937" s="180"/>
      <c r="BM937" s="180"/>
      <c r="BN937" s="180"/>
      <c r="BO937" s="180"/>
      <c r="BP937" s="180"/>
      <c r="BQ937" s="180"/>
      <c r="BR937" s="180"/>
      <c r="BS937" s="180"/>
      <c r="BT937" s="180"/>
      <c r="BU937" s="180"/>
      <c r="BV937" s="180"/>
      <c r="BW937" s="180"/>
      <c r="BX937" s="180"/>
      <c r="BY937" s="180"/>
      <c r="BZ937" s="180"/>
      <c r="CA937" s="180"/>
      <c r="CB937" s="180"/>
      <c r="CC937" s="180"/>
      <c r="CD937" s="180"/>
      <c r="CE937" s="180"/>
      <c r="CF937" s="180"/>
      <c r="CG937" s="180"/>
      <c r="CH937" s="180"/>
      <c r="CI937" s="180"/>
      <c r="CJ937" s="180"/>
      <c r="CK937" s="180"/>
      <c r="CL937" s="180"/>
      <c r="CM937" s="180"/>
      <c r="CN937" s="180"/>
      <c r="CO937" s="180"/>
      <c r="CP937" s="180"/>
      <c r="CQ937" s="180"/>
      <c r="CR937" s="180"/>
      <c r="CS937" s="180"/>
      <c r="CT937" s="180"/>
      <c r="CU937" s="180"/>
      <c r="CV937" s="180"/>
      <c r="CW937" s="180"/>
      <c r="CX937" s="180"/>
      <c r="CY937" s="180"/>
      <c r="CZ937" s="180"/>
      <c r="DA937" s="180"/>
      <c r="DB937" s="180"/>
    </row>
    <row r="938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  <c r="AF938" s="180"/>
      <c r="AG938" s="180"/>
      <c r="AH938" s="180"/>
      <c r="AI938" s="180"/>
      <c r="AJ938" s="180"/>
      <c r="AK938" s="180"/>
      <c r="AL938" s="180"/>
      <c r="AM938" s="180"/>
      <c r="AN938" s="180"/>
      <c r="AO938" s="180"/>
      <c r="AP938" s="180"/>
      <c r="AQ938" s="180"/>
      <c r="AR938" s="180"/>
      <c r="AS938" s="180"/>
      <c r="AT938" s="180"/>
      <c r="AU938" s="180"/>
      <c r="AV938" s="180"/>
      <c r="AW938" s="180"/>
      <c r="AX938" s="180"/>
      <c r="AY938" s="180"/>
      <c r="AZ938" s="180"/>
      <c r="BA938" s="180"/>
      <c r="BB938" s="180"/>
      <c r="BC938" s="180"/>
      <c r="BD938" s="180"/>
      <c r="BE938" s="180"/>
      <c r="BF938" s="180"/>
      <c r="BG938" s="180"/>
      <c r="BH938" s="180"/>
      <c r="BI938" s="180"/>
      <c r="BJ938" s="180"/>
      <c r="BK938" s="180"/>
      <c r="BL938" s="180"/>
      <c r="BM938" s="180"/>
      <c r="BN938" s="180"/>
      <c r="BO938" s="180"/>
      <c r="BP938" s="180"/>
      <c r="BQ938" s="180"/>
      <c r="BR938" s="180"/>
      <c r="BS938" s="180"/>
      <c r="BT938" s="180"/>
      <c r="BU938" s="180"/>
      <c r="BV938" s="180"/>
      <c r="BW938" s="180"/>
      <c r="BX938" s="180"/>
      <c r="BY938" s="180"/>
      <c r="BZ938" s="180"/>
      <c r="CA938" s="180"/>
      <c r="CB938" s="180"/>
      <c r="CC938" s="180"/>
      <c r="CD938" s="180"/>
      <c r="CE938" s="180"/>
      <c r="CF938" s="180"/>
      <c r="CG938" s="180"/>
      <c r="CH938" s="180"/>
      <c r="CI938" s="180"/>
      <c r="CJ938" s="180"/>
      <c r="CK938" s="180"/>
      <c r="CL938" s="180"/>
      <c r="CM938" s="180"/>
      <c r="CN938" s="180"/>
      <c r="CO938" s="180"/>
      <c r="CP938" s="180"/>
      <c r="CQ938" s="180"/>
      <c r="CR938" s="180"/>
      <c r="CS938" s="180"/>
      <c r="CT938" s="180"/>
      <c r="CU938" s="180"/>
      <c r="CV938" s="180"/>
      <c r="CW938" s="180"/>
      <c r="CX938" s="180"/>
      <c r="CY938" s="180"/>
      <c r="CZ938" s="180"/>
      <c r="DA938" s="180"/>
      <c r="DB938" s="180"/>
    </row>
    <row r="939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  <c r="AF939" s="180"/>
      <c r="AG939" s="180"/>
      <c r="AH939" s="180"/>
      <c r="AI939" s="180"/>
      <c r="AJ939" s="180"/>
      <c r="AK939" s="180"/>
      <c r="AL939" s="180"/>
      <c r="AM939" s="180"/>
      <c r="AN939" s="180"/>
      <c r="AO939" s="180"/>
      <c r="AP939" s="180"/>
      <c r="AQ939" s="180"/>
      <c r="AR939" s="180"/>
      <c r="AS939" s="180"/>
      <c r="AT939" s="180"/>
      <c r="AU939" s="180"/>
      <c r="AV939" s="180"/>
      <c r="AW939" s="180"/>
      <c r="AX939" s="180"/>
      <c r="AY939" s="180"/>
      <c r="AZ939" s="180"/>
      <c r="BA939" s="180"/>
      <c r="BB939" s="180"/>
      <c r="BC939" s="180"/>
      <c r="BD939" s="180"/>
      <c r="BE939" s="180"/>
      <c r="BF939" s="180"/>
      <c r="BG939" s="180"/>
      <c r="BH939" s="180"/>
      <c r="BI939" s="180"/>
      <c r="BJ939" s="180"/>
      <c r="BK939" s="180"/>
      <c r="BL939" s="180"/>
      <c r="BM939" s="180"/>
      <c r="BN939" s="180"/>
      <c r="BO939" s="180"/>
      <c r="BP939" s="180"/>
      <c r="BQ939" s="180"/>
      <c r="BR939" s="180"/>
      <c r="BS939" s="180"/>
      <c r="BT939" s="180"/>
      <c r="BU939" s="180"/>
      <c r="BV939" s="180"/>
      <c r="BW939" s="180"/>
      <c r="BX939" s="180"/>
      <c r="BY939" s="180"/>
      <c r="BZ939" s="180"/>
      <c r="CA939" s="180"/>
      <c r="CB939" s="180"/>
      <c r="CC939" s="180"/>
      <c r="CD939" s="180"/>
      <c r="CE939" s="180"/>
      <c r="CF939" s="180"/>
      <c r="CG939" s="180"/>
      <c r="CH939" s="180"/>
      <c r="CI939" s="180"/>
      <c r="CJ939" s="180"/>
      <c r="CK939" s="180"/>
      <c r="CL939" s="180"/>
      <c r="CM939" s="180"/>
      <c r="CN939" s="180"/>
      <c r="CO939" s="180"/>
      <c r="CP939" s="180"/>
      <c r="CQ939" s="180"/>
      <c r="CR939" s="180"/>
      <c r="CS939" s="180"/>
      <c r="CT939" s="180"/>
      <c r="CU939" s="180"/>
      <c r="CV939" s="180"/>
      <c r="CW939" s="180"/>
      <c r="CX939" s="180"/>
      <c r="CY939" s="180"/>
      <c r="CZ939" s="180"/>
      <c r="DA939" s="180"/>
      <c r="DB939" s="180"/>
    </row>
    <row r="940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  <c r="AG940" s="180"/>
      <c r="AH940" s="180"/>
      <c r="AI940" s="180"/>
      <c r="AJ940" s="180"/>
      <c r="AK940" s="180"/>
      <c r="AL940" s="180"/>
      <c r="AM940" s="180"/>
      <c r="AN940" s="180"/>
      <c r="AO940" s="180"/>
      <c r="AP940" s="180"/>
      <c r="AQ940" s="180"/>
      <c r="AR940" s="180"/>
      <c r="AS940" s="180"/>
      <c r="AT940" s="180"/>
      <c r="AU940" s="180"/>
      <c r="AV940" s="180"/>
      <c r="AW940" s="180"/>
      <c r="AX940" s="180"/>
      <c r="AY940" s="180"/>
      <c r="AZ940" s="180"/>
      <c r="BA940" s="180"/>
      <c r="BB940" s="180"/>
      <c r="BC940" s="180"/>
      <c r="BD940" s="180"/>
      <c r="BE940" s="180"/>
      <c r="BF940" s="180"/>
      <c r="BG940" s="180"/>
      <c r="BH940" s="180"/>
      <c r="BI940" s="180"/>
      <c r="BJ940" s="180"/>
      <c r="BK940" s="180"/>
      <c r="BL940" s="180"/>
      <c r="BM940" s="180"/>
      <c r="BN940" s="180"/>
      <c r="BO940" s="180"/>
      <c r="BP940" s="180"/>
      <c r="BQ940" s="180"/>
      <c r="BR940" s="180"/>
      <c r="BS940" s="180"/>
      <c r="BT940" s="180"/>
      <c r="BU940" s="180"/>
      <c r="BV940" s="180"/>
      <c r="BW940" s="180"/>
      <c r="BX940" s="180"/>
      <c r="BY940" s="180"/>
      <c r="BZ940" s="180"/>
      <c r="CA940" s="180"/>
      <c r="CB940" s="180"/>
      <c r="CC940" s="180"/>
      <c r="CD940" s="180"/>
      <c r="CE940" s="180"/>
      <c r="CF940" s="180"/>
      <c r="CG940" s="180"/>
      <c r="CH940" s="180"/>
      <c r="CI940" s="180"/>
      <c r="CJ940" s="180"/>
      <c r="CK940" s="180"/>
      <c r="CL940" s="180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</row>
    <row r="941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  <c r="AG941" s="180"/>
      <c r="AH941" s="180"/>
      <c r="AI941" s="180"/>
      <c r="AJ941" s="180"/>
      <c r="AK941" s="180"/>
      <c r="AL941" s="180"/>
      <c r="AM941" s="180"/>
      <c r="AN941" s="180"/>
      <c r="AO941" s="180"/>
      <c r="AP941" s="180"/>
      <c r="AQ941" s="180"/>
      <c r="AR941" s="180"/>
      <c r="AS941" s="180"/>
      <c r="AT941" s="180"/>
      <c r="AU941" s="180"/>
      <c r="AV941" s="180"/>
      <c r="AW941" s="180"/>
      <c r="AX941" s="180"/>
      <c r="AY941" s="180"/>
      <c r="AZ941" s="180"/>
      <c r="BA941" s="180"/>
      <c r="BB941" s="180"/>
      <c r="BC941" s="180"/>
      <c r="BD941" s="180"/>
      <c r="BE941" s="180"/>
      <c r="BF941" s="180"/>
      <c r="BG941" s="180"/>
      <c r="BH941" s="180"/>
      <c r="BI941" s="180"/>
      <c r="BJ941" s="180"/>
      <c r="BK941" s="180"/>
      <c r="BL941" s="180"/>
      <c r="BM941" s="180"/>
      <c r="BN941" s="180"/>
      <c r="BO941" s="180"/>
      <c r="BP941" s="180"/>
      <c r="BQ941" s="180"/>
      <c r="BR941" s="180"/>
      <c r="BS941" s="180"/>
      <c r="BT941" s="180"/>
      <c r="BU941" s="180"/>
      <c r="BV941" s="180"/>
      <c r="BW941" s="180"/>
      <c r="BX941" s="180"/>
      <c r="BY941" s="180"/>
      <c r="BZ941" s="180"/>
      <c r="CA941" s="180"/>
      <c r="CB941" s="180"/>
      <c r="CC941" s="180"/>
      <c r="CD941" s="180"/>
      <c r="CE941" s="180"/>
      <c r="CF941" s="180"/>
      <c r="CG941" s="180"/>
      <c r="CH941" s="180"/>
      <c r="CI941" s="180"/>
      <c r="CJ941" s="180"/>
      <c r="CK941" s="180"/>
      <c r="CL941" s="180"/>
      <c r="CM941" s="180"/>
      <c r="CN941" s="180"/>
      <c r="CO941" s="180"/>
      <c r="CP941" s="180"/>
      <c r="CQ941" s="180"/>
      <c r="CR941" s="180"/>
      <c r="CS941" s="180"/>
      <c r="CT941" s="180"/>
      <c r="CU941" s="180"/>
      <c r="CV941" s="180"/>
      <c r="CW941" s="180"/>
      <c r="CX941" s="180"/>
      <c r="CY941" s="180"/>
      <c r="CZ941" s="180"/>
      <c r="DA941" s="180"/>
      <c r="DB941" s="180"/>
    </row>
    <row r="942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  <c r="AG942" s="180"/>
      <c r="AH942" s="180"/>
      <c r="AI942" s="180"/>
      <c r="AJ942" s="180"/>
      <c r="AK942" s="180"/>
      <c r="AL942" s="180"/>
      <c r="AM942" s="180"/>
      <c r="AN942" s="180"/>
      <c r="AO942" s="180"/>
      <c r="AP942" s="180"/>
      <c r="AQ942" s="180"/>
      <c r="AR942" s="180"/>
      <c r="AS942" s="180"/>
      <c r="AT942" s="180"/>
      <c r="AU942" s="180"/>
      <c r="AV942" s="180"/>
      <c r="AW942" s="180"/>
      <c r="AX942" s="180"/>
      <c r="AY942" s="180"/>
      <c r="AZ942" s="180"/>
      <c r="BA942" s="180"/>
      <c r="BB942" s="180"/>
      <c r="BC942" s="180"/>
      <c r="BD942" s="180"/>
      <c r="BE942" s="180"/>
      <c r="BF942" s="180"/>
      <c r="BG942" s="180"/>
      <c r="BH942" s="180"/>
      <c r="BI942" s="180"/>
      <c r="BJ942" s="180"/>
      <c r="BK942" s="180"/>
      <c r="BL942" s="180"/>
      <c r="BM942" s="180"/>
      <c r="BN942" s="180"/>
      <c r="BO942" s="180"/>
      <c r="BP942" s="180"/>
      <c r="BQ942" s="180"/>
      <c r="BR942" s="180"/>
      <c r="BS942" s="180"/>
      <c r="BT942" s="180"/>
      <c r="BU942" s="180"/>
      <c r="BV942" s="180"/>
      <c r="BW942" s="180"/>
      <c r="BX942" s="180"/>
      <c r="BY942" s="180"/>
      <c r="BZ942" s="180"/>
      <c r="CA942" s="180"/>
      <c r="CB942" s="180"/>
      <c r="CC942" s="180"/>
      <c r="CD942" s="180"/>
      <c r="CE942" s="180"/>
      <c r="CF942" s="180"/>
      <c r="CG942" s="180"/>
      <c r="CH942" s="180"/>
      <c r="CI942" s="180"/>
      <c r="CJ942" s="180"/>
      <c r="CK942" s="180"/>
      <c r="CL942" s="180"/>
      <c r="CM942" s="180"/>
      <c r="CN942" s="180"/>
      <c r="CO942" s="180"/>
      <c r="CP942" s="180"/>
      <c r="CQ942" s="180"/>
      <c r="CR942" s="180"/>
      <c r="CS942" s="180"/>
      <c r="CT942" s="180"/>
      <c r="CU942" s="180"/>
      <c r="CV942" s="180"/>
      <c r="CW942" s="180"/>
      <c r="CX942" s="180"/>
      <c r="CY942" s="180"/>
      <c r="CZ942" s="180"/>
      <c r="DA942" s="180"/>
      <c r="DB942" s="180"/>
    </row>
    <row r="943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  <c r="K943" s="180"/>
      <c r="L943" s="180"/>
      <c r="M943" s="180"/>
      <c r="N943" s="180"/>
      <c r="O943" s="180"/>
      <c r="P943" s="180"/>
      <c r="Q943" s="180"/>
      <c r="R943" s="180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  <c r="AF943" s="180"/>
      <c r="AG943" s="180"/>
      <c r="AH943" s="180"/>
      <c r="AI943" s="180"/>
      <c r="AJ943" s="180"/>
      <c r="AK943" s="180"/>
      <c r="AL943" s="180"/>
      <c r="AM943" s="180"/>
      <c r="AN943" s="180"/>
      <c r="AO943" s="180"/>
      <c r="AP943" s="180"/>
      <c r="AQ943" s="180"/>
      <c r="AR943" s="180"/>
      <c r="AS943" s="180"/>
      <c r="AT943" s="180"/>
      <c r="AU943" s="180"/>
      <c r="AV943" s="180"/>
      <c r="AW943" s="180"/>
      <c r="AX943" s="180"/>
      <c r="AY943" s="180"/>
      <c r="AZ943" s="180"/>
      <c r="BA943" s="180"/>
      <c r="BB943" s="180"/>
      <c r="BC943" s="180"/>
      <c r="BD943" s="180"/>
      <c r="BE943" s="180"/>
      <c r="BF943" s="180"/>
      <c r="BG943" s="180"/>
      <c r="BH943" s="180"/>
      <c r="BI943" s="180"/>
      <c r="BJ943" s="180"/>
      <c r="BK943" s="180"/>
      <c r="BL943" s="180"/>
      <c r="BM943" s="180"/>
      <c r="BN943" s="180"/>
      <c r="BO943" s="180"/>
      <c r="BP943" s="180"/>
      <c r="BQ943" s="180"/>
      <c r="BR943" s="180"/>
      <c r="BS943" s="180"/>
      <c r="BT943" s="180"/>
      <c r="BU943" s="180"/>
      <c r="BV943" s="180"/>
      <c r="BW943" s="180"/>
      <c r="BX943" s="180"/>
      <c r="BY943" s="180"/>
      <c r="BZ943" s="180"/>
      <c r="CA943" s="180"/>
      <c r="CB943" s="180"/>
      <c r="CC943" s="180"/>
      <c r="CD943" s="180"/>
      <c r="CE943" s="180"/>
      <c r="CF943" s="180"/>
      <c r="CG943" s="180"/>
      <c r="CH943" s="180"/>
      <c r="CI943" s="180"/>
      <c r="CJ943" s="180"/>
      <c r="CK943" s="180"/>
      <c r="CL943" s="180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</row>
    <row r="944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  <c r="AG944" s="180"/>
      <c r="AH944" s="180"/>
      <c r="AI944" s="180"/>
      <c r="AJ944" s="180"/>
      <c r="AK944" s="180"/>
      <c r="AL944" s="180"/>
      <c r="AM944" s="180"/>
      <c r="AN944" s="180"/>
      <c r="AO944" s="180"/>
      <c r="AP944" s="180"/>
      <c r="AQ944" s="180"/>
      <c r="AR944" s="180"/>
      <c r="AS944" s="180"/>
      <c r="AT944" s="180"/>
      <c r="AU944" s="180"/>
      <c r="AV944" s="180"/>
      <c r="AW944" s="180"/>
      <c r="AX944" s="180"/>
      <c r="AY944" s="180"/>
      <c r="AZ944" s="180"/>
      <c r="BA944" s="180"/>
      <c r="BB944" s="180"/>
      <c r="BC944" s="180"/>
      <c r="BD944" s="180"/>
      <c r="BE944" s="180"/>
      <c r="BF944" s="180"/>
      <c r="BG944" s="180"/>
      <c r="BH944" s="180"/>
      <c r="BI944" s="180"/>
      <c r="BJ944" s="180"/>
      <c r="BK944" s="180"/>
      <c r="BL944" s="180"/>
      <c r="BM944" s="180"/>
      <c r="BN944" s="180"/>
      <c r="BO944" s="180"/>
      <c r="BP944" s="180"/>
      <c r="BQ944" s="180"/>
      <c r="BR944" s="180"/>
      <c r="BS944" s="180"/>
      <c r="BT944" s="180"/>
      <c r="BU944" s="180"/>
      <c r="BV944" s="180"/>
      <c r="BW944" s="180"/>
      <c r="BX944" s="180"/>
      <c r="BY944" s="180"/>
      <c r="BZ944" s="180"/>
      <c r="CA944" s="180"/>
      <c r="CB944" s="180"/>
      <c r="CC944" s="180"/>
      <c r="CD944" s="180"/>
      <c r="CE944" s="180"/>
      <c r="CF944" s="180"/>
      <c r="CG944" s="180"/>
      <c r="CH944" s="180"/>
      <c r="CI944" s="180"/>
      <c r="CJ944" s="180"/>
      <c r="CK944" s="180"/>
      <c r="CL944" s="180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</row>
    <row r="945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  <c r="AG945" s="180"/>
      <c r="AH945" s="180"/>
      <c r="AI945" s="180"/>
      <c r="AJ945" s="180"/>
      <c r="AK945" s="180"/>
      <c r="AL945" s="180"/>
      <c r="AM945" s="180"/>
      <c r="AN945" s="180"/>
      <c r="AO945" s="180"/>
      <c r="AP945" s="180"/>
      <c r="AQ945" s="180"/>
      <c r="AR945" s="180"/>
      <c r="AS945" s="180"/>
      <c r="AT945" s="180"/>
      <c r="AU945" s="180"/>
      <c r="AV945" s="180"/>
      <c r="AW945" s="180"/>
      <c r="AX945" s="180"/>
      <c r="AY945" s="180"/>
      <c r="AZ945" s="180"/>
      <c r="BA945" s="180"/>
      <c r="BB945" s="180"/>
      <c r="BC945" s="180"/>
      <c r="BD945" s="180"/>
      <c r="BE945" s="180"/>
      <c r="BF945" s="180"/>
      <c r="BG945" s="180"/>
      <c r="BH945" s="180"/>
      <c r="BI945" s="180"/>
      <c r="BJ945" s="180"/>
      <c r="BK945" s="180"/>
      <c r="BL945" s="180"/>
      <c r="BM945" s="180"/>
      <c r="BN945" s="180"/>
      <c r="BO945" s="180"/>
      <c r="BP945" s="180"/>
      <c r="BQ945" s="180"/>
      <c r="BR945" s="180"/>
      <c r="BS945" s="180"/>
      <c r="BT945" s="180"/>
      <c r="BU945" s="180"/>
      <c r="BV945" s="180"/>
      <c r="BW945" s="180"/>
      <c r="BX945" s="180"/>
      <c r="BY945" s="180"/>
      <c r="BZ945" s="180"/>
      <c r="CA945" s="180"/>
      <c r="CB945" s="180"/>
      <c r="CC945" s="180"/>
      <c r="CD945" s="180"/>
      <c r="CE945" s="180"/>
      <c r="CF945" s="180"/>
      <c r="CG945" s="180"/>
      <c r="CH945" s="180"/>
      <c r="CI945" s="180"/>
      <c r="CJ945" s="180"/>
      <c r="CK945" s="180"/>
      <c r="CL945" s="180"/>
      <c r="CM945" s="180"/>
      <c r="CN945" s="180"/>
      <c r="CO945" s="180"/>
      <c r="CP945" s="180"/>
      <c r="CQ945" s="180"/>
      <c r="CR945" s="180"/>
      <c r="CS945" s="180"/>
      <c r="CT945" s="180"/>
      <c r="CU945" s="180"/>
      <c r="CV945" s="180"/>
      <c r="CW945" s="180"/>
      <c r="CX945" s="180"/>
      <c r="CY945" s="180"/>
      <c r="CZ945" s="180"/>
      <c r="DA945" s="180"/>
      <c r="DB945" s="180"/>
    </row>
    <row r="946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  <c r="AG946" s="180"/>
      <c r="AH946" s="180"/>
      <c r="AI946" s="180"/>
      <c r="AJ946" s="180"/>
      <c r="AK946" s="180"/>
      <c r="AL946" s="180"/>
      <c r="AM946" s="180"/>
      <c r="AN946" s="180"/>
      <c r="AO946" s="180"/>
      <c r="AP946" s="180"/>
      <c r="AQ946" s="180"/>
      <c r="AR946" s="180"/>
      <c r="AS946" s="180"/>
      <c r="AT946" s="180"/>
      <c r="AU946" s="180"/>
      <c r="AV946" s="180"/>
      <c r="AW946" s="180"/>
      <c r="AX946" s="180"/>
      <c r="AY946" s="180"/>
      <c r="AZ946" s="180"/>
      <c r="BA946" s="180"/>
      <c r="BB946" s="180"/>
      <c r="BC946" s="180"/>
      <c r="BD946" s="180"/>
      <c r="BE946" s="180"/>
      <c r="BF946" s="180"/>
      <c r="BG946" s="180"/>
      <c r="BH946" s="180"/>
      <c r="BI946" s="180"/>
      <c r="BJ946" s="180"/>
      <c r="BK946" s="180"/>
      <c r="BL946" s="180"/>
      <c r="BM946" s="180"/>
      <c r="BN946" s="180"/>
      <c r="BO946" s="180"/>
      <c r="BP946" s="180"/>
      <c r="BQ946" s="180"/>
      <c r="BR946" s="180"/>
      <c r="BS946" s="180"/>
      <c r="BT946" s="180"/>
      <c r="BU946" s="180"/>
      <c r="BV946" s="180"/>
      <c r="BW946" s="180"/>
      <c r="BX946" s="180"/>
      <c r="BY946" s="180"/>
      <c r="BZ946" s="180"/>
      <c r="CA946" s="180"/>
      <c r="CB946" s="180"/>
      <c r="CC946" s="180"/>
      <c r="CD946" s="180"/>
      <c r="CE946" s="180"/>
      <c r="CF946" s="180"/>
      <c r="CG946" s="180"/>
      <c r="CH946" s="180"/>
      <c r="CI946" s="180"/>
      <c r="CJ946" s="180"/>
      <c r="CK946" s="180"/>
      <c r="CL946" s="180"/>
      <c r="CM946" s="180"/>
      <c r="CN946" s="180"/>
      <c r="CO946" s="180"/>
      <c r="CP946" s="180"/>
      <c r="CQ946" s="180"/>
      <c r="CR946" s="180"/>
      <c r="CS946" s="180"/>
      <c r="CT946" s="180"/>
      <c r="CU946" s="180"/>
      <c r="CV946" s="180"/>
      <c r="CW946" s="180"/>
      <c r="CX946" s="180"/>
      <c r="CY946" s="180"/>
      <c r="CZ946" s="180"/>
      <c r="DA946" s="180"/>
      <c r="DB946" s="180"/>
    </row>
    <row r="947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  <c r="AK947" s="180"/>
      <c r="AL947" s="180"/>
      <c r="AM947" s="180"/>
      <c r="AN947" s="180"/>
      <c r="AO947" s="180"/>
      <c r="AP947" s="180"/>
      <c r="AQ947" s="180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0"/>
      <c r="BB947" s="180"/>
      <c r="BC947" s="180"/>
      <c r="BD947" s="180"/>
      <c r="BE947" s="180"/>
      <c r="BF947" s="180"/>
      <c r="BG947" s="180"/>
      <c r="BH947" s="180"/>
      <c r="BI947" s="180"/>
      <c r="BJ947" s="180"/>
      <c r="BK947" s="180"/>
      <c r="BL947" s="180"/>
      <c r="BM947" s="180"/>
      <c r="BN947" s="180"/>
      <c r="BO947" s="180"/>
      <c r="BP947" s="180"/>
      <c r="BQ947" s="180"/>
      <c r="BR947" s="180"/>
      <c r="BS947" s="180"/>
      <c r="BT947" s="180"/>
      <c r="BU947" s="180"/>
      <c r="BV947" s="180"/>
      <c r="BW947" s="180"/>
      <c r="BX947" s="180"/>
      <c r="BY947" s="180"/>
      <c r="BZ947" s="180"/>
      <c r="CA947" s="180"/>
      <c r="CB947" s="180"/>
      <c r="CC947" s="180"/>
      <c r="CD947" s="180"/>
      <c r="CE947" s="180"/>
      <c r="CF947" s="180"/>
      <c r="CG947" s="180"/>
      <c r="CH947" s="180"/>
      <c r="CI947" s="180"/>
      <c r="CJ947" s="180"/>
      <c r="CK947" s="180"/>
      <c r="CL947" s="180"/>
      <c r="CM947" s="180"/>
      <c r="CN947" s="180"/>
      <c r="CO947" s="180"/>
      <c r="CP947" s="180"/>
      <c r="CQ947" s="180"/>
      <c r="CR947" s="180"/>
      <c r="CS947" s="180"/>
      <c r="CT947" s="180"/>
      <c r="CU947" s="180"/>
      <c r="CV947" s="180"/>
      <c r="CW947" s="180"/>
      <c r="CX947" s="180"/>
      <c r="CY947" s="180"/>
      <c r="CZ947" s="180"/>
      <c r="DA947" s="180"/>
      <c r="DB947" s="180"/>
    </row>
    <row r="948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  <c r="K948" s="180"/>
      <c r="L948" s="180"/>
      <c r="M948" s="180"/>
      <c r="N948" s="180"/>
      <c r="O948" s="180"/>
      <c r="P948" s="180"/>
      <c r="Q948" s="180"/>
      <c r="R948" s="180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  <c r="AF948" s="180"/>
      <c r="AG948" s="180"/>
      <c r="AH948" s="180"/>
      <c r="AI948" s="180"/>
      <c r="AJ948" s="180"/>
      <c r="AK948" s="180"/>
      <c r="AL948" s="180"/>
      <c r="AM948" s="180"/>
      <c r="AN948" s="180"/>
      <c r="AO948" s="180"/>
      <c r="AP948" s="180"/>
      <c r="AQ948" s="180"/>
      <c r="AR948" s="180"/>
      <c r="AS948" s="180"/>
      <c r="AT948" s="180"/>
      <c r="AU948" s="180"/>
      <c r="AV948" s="180"/>
      <c r="AW948" s="180"/>
      <c r="AX948" s="180"/>
      <c r="AY948" s="180"/>
      <c r="AZ948" s="180"/>
      <c r="BA948" s="180"/>
      <c r="BB948" s="180"/>
      <c r="BC948" s="180"/>
      <c r="BD948" s="180"/>
      <c r="BE948" s="180"/>
      <c r="BF948" s="180"/>
      <c r="BG948" s="180"/>
      <c r="BH948" s="180"/>
      <c r="BI948" s="180"/>
      <c r="BJ948" s="180"/>
      <c r="BK948" s="180"/>
      <c r="BL948" s="180"/>
      <c r="BM948" s="180"/>
      <c r="BN948" s="180"/>
      <c r="BO948" s="180"/>
      <c r="BP948" s="180"/>
      <c r="BQ948" s="180"/>
      <c r="BR948" s="180"/>
      <c r="BS948" s="180"/>
      <c r="BT948" s="180"/>
      <c r="BU948" s="180"/>
      <c r="BV948" s="180"/>
      <c r="BW948" s="180"/>
      <c r="BX948" s="180"/>
      <c r="BY948" s="180"/>
      <c r="BZ948" s="180"/>
      <c r="CA948" s="180"/>
      <c r="CB948" s="180"/>
      <c r="CC948" s="180"/>
      <c r="CD948" s="180"/>
      <c r="CE948" s="180"/>
      <c r="CF948" s="180"/>
      <c r="CG948" s="180"/>
      <c r="CH948" s="180"/>
      <c r="CI948" s="180"/>
      <c r="CJ948" s="180"/>
      <c r="CK948" s="180"/>
      <c r="CL948" s="180"/>
      <c r="CM948" s="180"/>
      <c r="CN948" s="180"/>
      <c r="CO948" s="180"/>
      <c r="CP948" s="180"/>
      <c r="CQ948" s="180"/>
      <c r="CR948" s="180"/>
      <c r="CS948" s="180"/>
      <c r="CT948" s="180"/>
      <c r="CU948" s="180"/>
      <c r="CV948" s="180"/>
      <c r="CW948" s="180"/>
      <c r="CX948" s="180"/>
      <c r="CY948" s="180"/>
      <c r="CZ948" s="180"/>
      <c r="DA948" s="180"/>
      <c r="DB948" s="180"/>
    </row>
    <row r="949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  <c r="AF949" s="180"/>
      <c r="AG949" s="180"/>
      <c r="AH949" s="180"/>
      <c r="AI949" s="180"/>
      <c r="AJ949" s="180"/>
      <c r="AK949" s="180"/>
      <c r="AL949" s="180"/>
      <c r="AM949" s="180"/>
      <c r="AN949" s="180"/>
      <c r="AO949" s="180"/>
      <c r="AP949" s="180"/>
      <c r="AQ949" s="180"/>
      <c r="AR949" s="180"/>
      <c r="AS949" s="180"/>
      <c r="AT949" s="180"/>
      <c r="AU949" s="180"/>
      <c r="AV949" s="180"/>
      <c r="AW949" s="180"/>
      <c r="AX949" s="180"/>
      <c r="AY949" s="180"/>
      <c r="AZ949" s="180"/>
      <c r="BA949" s="180"/>
      <c r="BB949" s="180"/>
      <c r="BC949" s="180"/>
      <c r="BD949" s="180"/>
      <c r="BE949" s="180"/>
      <c r="BF949" s="180"/>
      <c r="BG949" s="180"/>
      <c r="BH949" s="180"/>
      <c r="BI949" s="180"/>
      <c r="BJ949" s="180"/>
      <c r="BK949" s="180"/>
      <c r="BL949" s="180"/>
      <c r="BM949" s="180"/>
      <c r="BN949" s="180"/>
      <c r="BO949" s="180"/>
      <c r="BP949" s="180"/>
      <c r="BQ949" s="180"/>
      <c r="BR949" s="180"/>
      <c r="BS949" s="180"/>
      <c r="BT949" s="180"/>
      <c r="BU949" s="180"/>
      <c r="BV949" s="180"/>
      <c r="BW949" s="180"/>
      <c r="BX949" s="180"/>
      <c r="BY949" s="180"/>
      <c r="BZ949" s="180"/>
      <c r="CA949" s="180"/>
      <c r="CB949" s="180"/>
      <c r="CC949" s="180"/>
      <c r="CD949" s="180"/>
      <c r="CE949" s="180"/>
      <c r="CF949" s="180"/>
      <c r="CG949" s="180"/>
      <c r="CH949" s="180"/>
      <c r="CI949" s="180"/>
      <c r="CJ949" s="180"/>
      <c r="CK949" s="180"/>
      <c r="CL949" s="180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</row>
    <row r="950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0"/>
      <c r="AN950" s="180"/>
      <c r="AO950" s="180"/>
      <c r="AP950" s="180"/>
      <c r="AQ950" s="180"/>
      <c r="AR950" s="180"/>
      <c r="AS950" s="180"/>
      <c r="AT950" s="180"/>
      <c r="AU950" s="180"/>
      <c r="AV950" s="180"/>
      <c r="AW950" s="180"/>
      <c r="AX950" s="180"/>
      <c r="AY950" s="180"/>
      <c r="AZ950" s="180"/>
      <c r="BA950" s="180"/>
      <c r="BB950" s="180"/>
      <c r="BC950" s="180"/>
      <c r="BD950" s="180"/>
      <c r="BE950" s="180"/>
      <c r="BF950" s="180"/>
      <c r="BG950" s="180"/>
      <c r="BH950" s="180"/>
      <c r="BI950" s="180"/>
      <c r="BJ950" s="180"/>
      <c r="BK950" s="180"/>
      <c r="BL950" s="180"/>
      <c r="BM950" s="180"/>
      <c r="BN950" s="180"/>
      <c r="BO950" s="180"/>
      <c r="BP950" s="180"/>
      <c r="BQ950" s="180"/>
      <c r="BR950" s="180"/>
      <c r="BS950" s="180"/>
      <c r="BT950" s="180"/>
      <c r="BU950" s="180"/>
      <c r="BV950" s="180"/>
      <c r="BW950" s="180"/>
      <c r="BX950" s="180"/>
      <c r="BY950" s="180"/>
      <c r="BZ950" s="180"/>
      <c r="CA950" s="180"/>
      <c r="CB950" s="180"/>
      <c r="CC950" s="180"/>
      <c r="CD950" s="180"/>
      <c r="CE950" s="180"/>
      <c r="CF950" s="180"/>
      <c r="CG950" s="180"/>
      <c r="CH950" s="180"/>
      <c r="CI950" s="180"/>
      <c r="CJ950" s="180"/>
      <c r="CK950" s="180"/>
      <c r="CL950" s="180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</row>
    <row r="951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  <c r="K951" s="180"/>
      <c r="L951" s="180"/>
      <c r="M951" s="180"/>
      <c r="N951" s="180"/>
      <c r="O951" s="180"/>
      <c r="P951" s="180"/>
      <c r="Q951" s="180"/>
      <c r="R951" s="180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  <c r="AF951" s="180"/>
      <c r="AG951" s="180"/>
      <c r="AH951" s="180"/>
      <c r="AI951" s="180"/>
      <c r="AJ951" s="180"/>
      <c r="AK951" s="180"/>
      <c r="AL951" s="180"/>
      <c r="AM951" s="180"/>
      <c r="AN951" s="180"/>
      <c r="AO951" s="180"/>
      <c r="AP951" s="180"/>
      <c r="AQ951" s="180"/>
      <c r="AR951" s="180"/>
      <c r="AS951" s="180"/>
      <c r="AT951" s="180"/>
      <c r="AU951" s="180"/>
      <c r="AV951" s="180"/>
      <c r="AW951" s="180"/>
      <c r="AX951" s="180"/>
      <c r="AY951" s="180"/>
      <c r="AZ951" s="180"/>
      <c r="BA951" s="180"/>
      <c r="BB951" s="180"/>
      <c r="BC951" s="180"/>
      <c r="BD951" s="180"/>
      <c r="BE951" s="180"/>
      <c r="BF951" s="180"/>
      <c r="BG951" s="180"/>
      <c r="BH951" s="180"/>
      <c r="BI951" s="180"/>
      <c r="BJ951" s="180"/>
      <c r="BK951" s="180"/>
      <c r="BL951" s="180"/>
      <c r="BM951" s="180"/>
      <c r="BN951" s="180"/>
      <c r="BO951" s="180"/>
      <c r="BP951" s="180"/>
      <c r="BQ951" s="180"/>
      <c r="BR951" s="180"/>
      <c r="BS951" s="180"/>
      <c r="BT951" s="180"/>
      <c r="BU951" s="180"/>
      <c r="BV951" s="180"/>
      <c r="BW951" s="180"/>
      <c r="BX951" s="180"/>
      <c r="BY951" s="180"/>
      <c r="BZ951" s="180"/>
      <c r="CA951" s="180"/>
      <c r="CB951" s="180"/>
      <c r="CC951" s="180"/>
      <c r="CD951" s="180"/>
      <c r="CE951" s="180"/>
      <c r="CF951" s="180"/>
      <c r="CG951" s="180"/>
      <c r="CH951" s="180"/>
      <c r="CI951" s="180"/>
      <c r="CJ951" s="180"/>
      <c r="CK951" s="180"/>
      <c r="CL951" s="180"/>
      <c r="CM951" s="180"/>
      <c r="CN951" s="180"/>
      <c r="CO951" s="180"/>
      <c r="CP951" s="180"/>
      <c r="CQ951" s="180"/>
      <c r="CR951" s="180"/>
      <c r="CS951" s="180"/>
      <c r="CT951" s="180"/>
      <c r="CU951" s="180"/>
      <c r="CV951" s="180"/>
      <c r="CW951" s="180"/>
      <c r="CX951" s="180"/>
      <c r="CY951" s="180"/>
      <c r="CZ951" s="180"/>
      <c r="DA951" s="180"/>
      <c r="DB951" s="180"/>
    </row>
    <row r="952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  <c r="AF952" s="180"/>
      <c r="AG952" s="180"/>
      <c r="AH952" s="180"/>
      <c r="AI952" s="180"/>
      <c r="AJ952" s="180"/>
      <c r="AK952" s="180"/>
      <c r="AL952" s="180"/>
      <c r="AM952" s="180"/>
      <c r="AN952" s="180"/>
      <c r="AO952" s="180"/>
      <c r="AP952" s="180"/>
      <c r="AQ952" s="180"/>
      <c r="AR952" s="180"/>
      <c r="AS952" s="180"/>
      <c r="AT952" s="180"/>
      <c r="AU952" s="180"/>
      <c r="AV952" s="180"/>
      <c r="AW952" s="180"/>
      <c r="AX952" s="180"/>
      <c r="AY952" s="180"/>
      <c r="AZ952" s="180"/>
      <c r="BA952" s="180"/>
      <c r="BB952" s="180"/>
      <c r="BC952" s="180"/>
      <c r="BD952" s="180"/>
      <c r="BE952" s="180"/>
      <c r="BF952" s="180"/>
      <c r="BG952" s="180"/>
      <c r="BH952" s="180"/>
      <c r="BI952" s="180"/>
      <c r="BJ952" s="180"/>
      <c r="BK952" s="180"/>
      <c r="BL952" s="180"/>
      <c r="BM952" s="180"/>
      <c r="BN952" s="180"/>
      <c r="BO952" s="180"/>
      <c r="BP952" s="180"/>
      <c r="BQ952" s="180"/>
      <c r="BR952" s="180"/>
      <c r="BS952" s="180"/>
      <c r="BT952" s="180"/>
      <c r="BU952" s="180"/>
      <c r="BV952" s="180"/>
      <c r="BW952" s="180"/>
      <c r="BX952" s="180"/>
      <c r="BY952" s="180"/>
      <c r="BZ952" s="180"/>
      <c r="CA952" s="180"/>
      <c r="CB952" s="180"/>
      <c r="CC952" s="180"/>
      <c r="CD952" s="180"/>
      <c r="CE952" s="180"/>
      <c r="CF952" s="180"/>
      <c r="CG952" s="180"/>
      <c r="CH952" s="180"/>
      <c r="CI952" s="180"/>
      <c r="CJ952" s="180"/>
      <c r="CK952" s="180"/>
      <c r="CL952" s="180"/>
      <c r="CM952" s="180"/>
      <c r="CN952" s="180"/>
      <c r="CO952" s="180"/>
      <c r="CP952" s="180"/>
      <c r="CQ952" s="180"/>
      <c r="CR952" s="180"/>
      <c r="CS952" s="180"/>
      <c r="CT952" s="180"/>
      <c r="CU952" s="180"/>
      <c r="CV952" s="180"/>
      <c r="CW952" s="180"/>
      <c r="CX952" s="180"/>
      <c r="CY952" s="180"/>
      <c r="CZ952" s="180"/>
      <c r="DA952" s="180"/>
      <c r="DB952" s="180"/>
    </row>
    <row r="953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  <c r="AF953" s="180"/>
      <c r="AG953" s="180"/>
      <c r="AH953" s="180"/>
      <c r="AI953" s="180"/>
      <c r="AJ953" s="180"/>
      <c r="AK953" s="180"/>
      <c r="AL953" s="180"/>
      <c r="AM953" s="180"/>
      <c r="AN953" s="180"/>
      <c r="AO953" s="180"/>
      <c r="AP953" s="180"/>
      <c r="AQ953" s="180"/>
      <c r="AR953" s="180"/>
      <c r="AS953" s="180"/>
      <c r="AT953" s="180"/>
      <c r="AU953" s="180"/>
      <c r="AV953" s="180"/>
      <c r="AW953" s="180"/>
      <c r="AX953" s="180"/>
      <c r="AY953" s="180"/>
      <c r="AZ953" s="180"/>
      <c r="BA953" s="180"/>
      <c r="BB953" s="180"/>
      <c r="BC953" s="180"/>
      <c r="BD953" s="180"/>
      <c r="BE953" s="180"/>
      <c r="BF953" s="180"/>
      <c r="BG953" s="180"/>
      <c r="BH953" s="180"/>
      <c r="BI953" s="180"/>
      <c r="BJ953" s="180"/>
      <c r="BK953" s="180"/>
      <c r="BL953" s="180"/>
      <c r="BM953" s="180"/>
      <c r="BN953" s="180"/>
      <c r="BO953" s="180"/>
      <c r="BP953" s="180"/>
      <c r="BQ953" s="180"/>
      <c r="BR953" s="180"/>
      <c r="BS953" s="180"/>
      <c r="BT953" s="180"/>
      <c r="BU953" s="180"/>
      <c r="BV953" s="180"/>
      <c r="BW953" s="180"/>
      <c r="BX953" s="180"/>
      <c r="BY953" s="180"/>
      <c r="BZ953" s="180"/>
      <c r="CA953" s="180"/>
      <c r="CB953" s="180"/>
      <c r="CC953" s="180"/>
      <c r="CD953" s="180"/>
      <c r="CE953" s="180"/>
      <c r="CF953" s="180"/>
      <c r="CG953" s="180"/>
      <c r="CH953" s="180"/>
      <c r="CI953" s="180"/>
      <c r="CJ953" s="180"/>
      <c r="CK953" s="180"/>
      <c r="CL953" s="180"/>
      <c r="CM953" s="180"/>
      <c r="CN953" s="180"/>
      <c r="CO953" s="180"/>
      <c r="CP953" s="180"/>
      <c r="CQ953" s="180"/>
      <c r="CR953" s="180"/>
      <c r="CS953" s="180"/>
      <c r="CT953" s="180"/>
      <c r="CU953" s="180"/>
      <c r="CV953" s="180"/>
      <c r="CW953" s="180"/>
      <c r="CX953" s="180"/>
      <c r="CY953" s="180"/>
      <c r="CZ953" s="180"/>
      <c r="DA953" s="180"/>
      <c r="DB953" s="180"/>
    </row>
    <row r="954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0"/>
      <c r="AG954" s="180"/>
      <c r="AH954" s="180"/>
      <c r="AI954" s="180"/>
      <c r="AJ954" s="180"/>
      <c r="AK954" s="180"/>
      <c r="AL954" s="180"/>
      <c r="AM954" s="180"/>
      <c r="AN954" s="180"/>
      <c r="AO954" s="180"/>
      <c r="AP954" s="180"/>
      <c r="AQ954" s="180"/>
      <c r="AR954" s="180"/>
      <c r="AS954" s="180"/>
      <c r="AT954" s="180"/>
      <c r="AU954" s="180"/>
      <c r="AV954" s="180"/>
      <c r="AW954" s="180"/>
      <c r="AX954" s="180"/>
      <c r="AY954" s="180"/>
      <c r="AZ954" s="180"/>
      <c r="BA954" s="180"/>
      <c r="BB954" s="180"/>
      <c r="BC954" s="180"/>
      <c r="BD954" s="180"/>
      <c r="BE954" s="180"/>
      <c r="BF954" s="180"/>
      <c r="BG954" s="180"/>
      <c r="BH954" s="180"/>
      <c r="BI954" s="180"/>
      <c r="BJ954" s="180"/>
      <c r="BK954" s="180"/>
      <c r="BL954" s="180"/>
      <c r="BM954" s="180"/>
      <c r="BN954" s="180"/>
      <c r="BO954" s="180"/>
      <c r="BP954" s="180"/>
      <c r="BQ954" s="180"/>
      <c r="BR954" s="180"/>
      <c r="BS954" s="180"/>
      <c r="BT954" s="180"/>
      <c r="BU954" s="180"/>
      <c r="BV954" s="180"/>
      <c r="BW954" s="180"/>
      <c r="BX954" s="180"/>
      <c r="BY954" s="180"/>
      <c r="BZ954" s="180"/>
      <c r="CA954" s="180"/>
      <c r="CB954" s="180"/>
      <c r="CC954" s="180"/>
      <c r="CD954" s="180"/>
      <c r="CE954" s="180"/>
      <c r="CF954" s="180"/>
      <c r="CG954" s="180"/>
      <c r="CH954" s="180"/>
      <c r="CI954" s="180"/>
      <c r="CJ954" s="180"/>
      <c r="CK954" s="180"/>
      <c r="CL954" s="180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</row>
    <row r="955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0"/>
      <c r="AG955" s="180"/>
      <c r="AH955" s="180"/>
      <c r="AI955" s="180"/>
      <c r="AJ955" s="180"/>
      <c r="AK955" s="180"/>
      <c r="AL955" s="180"/>
      <c r="AM955" s="180"/>
      <c r="AN955" s="180"/>
      <c r="AO955" s="180"/>
      <c r="AP955" s="180"/>
      <c r="AQ955" s="180"/>
      <c r="AR955" s="180"/>
      <c r="AS955" s="180"/>
      <c r="AT955" s="180"/>
      <c r="AU955" s="180"/>
      <c r="AV955" s="180"/>
      <c r="AW955" s="180"/>
      <c r="AX955" s="180"/>
      <c r="AY955" s="180"/>
      <c r="AZ955" s="180"/>
      <c r="BA955" s="180"/>
      <c r="BB955" s="180"/>
      <c r="BC955" s="180"/>
      <c r="BD955" s="180"/>
      <c r="BE955" s="180"/>
      <c r="BF955" s="180"/>
      <c r="BG955" s="180"/>
      <c r="BH955" s="180"/>
      <c r="BI955" s="180"/>
      <c r="BJ955" s="180"/>
      <c r="BK955" s="180"/>
      <c r="BL955" s="180"/>
      <c r="BM955" s="180"/>
      <c r="BN955" s="180"/>
      <c r="BO955" s="180"/>
      <c r="BP955" s="180"/>
      <c r="BQ955" s="180"/>
      <c r="BR955" s="180"/>
      <c r="BS955" s="180"/>
      <c r="BT955" s="180"/>
      <c r="BU955" s="180"/>
      <c r="BV955" s="180"/>
      <c r="BW955" s="180"/>
      <c r="BX955" s="180"/>
      <c r="BY955" s="180"/>
      <c r="BZ955" s="180"/>
      <c r="CA955" s="180"/>
      <c r="CB955" s="180"/>
      <c r="CC955" s="180"/>
      <c r="CD955" s="180"/>
      <c r="CE955" s="180"/>
      <c r="CF955" s="180"/>
      <c r="CG955" s="180"/>
      <c r="CH955" s="180"/>
      <c r="CI955" s="180"/>
      <c r="CJ955" s="180"/>
      <c r="CK955" s="180"/>
      <c r="CL955" s="180"/>
      <c r="CM955" s="180"/>
      <c r="CN955" s="180"/>
      <c r="CO955" s="180"/>
      <c r="CP955" s="180"/>
      <c r="CQ955" s="180"/>
      <c r="CR955" s="180"/>
      <c r="CS955" s="180"/>
      <c r="CT955" s="180"/>
      <c r="CU955" s="180"/>
      <c r="CV955" s="180"/>
      <c r="CW955" s="180"/>
      <c r="CX955" s="180"/>
      <c r="CY955" s="180"/>
      <c r="CZ955" s="180"/>
      <c r="DA955" s="180"/>
      <c r="DB955" s="180"/>
    </row>
    <row r="956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  <c r="AF956" s="180"/>
      <c r="AG956" s="180"/>
      <c r="AH956" s="180"/>
      <c r="AI956" s="180"/>
      <c r="AJ956" s="180"/>
      <c r="AK956" s="180"/>
      <c r="AL956" s="180"/>
      <c r="AM956" s="180"/>
      <c r="AN956" s="180"/>
      <c r="AO956" s="180"/>
      <c r="AP956" s="180"/>
      <c r="AQ956" s="180"/>
      <c r="AR956" s="180"/>
      <c r="AS956" s="180"/>
      <c r="AT956" s="180"/>
      <c r="AU956" s="180"/>
      <c r="AV956" s="180"/>
      <c r="AW956" s="180"/>
      <c r="AX956" s="180"/>
      <c r="AY956" s="180"/>
      <c r="AZ956" s="180"/>
      <c r="BA956" s="180"/>
      <c r="BB956" s="180"/>
      <c r="BC956" s="180"/>
      <c r="BD956" s="180"/>
      <c r="BE956" s="180"/>
      <c r="BF956" s="180"/>
      <c r="BG956" s="180"/>
      <c r="BH956" s="180"/>
      <c r="BI956" s="180"/>
      <c r="BJ956" s="180"/>
      <c r="BK956" s="180"/>
      <c r="BL956" s="180"/>
      <c r="BM956" s="180"/>
      <c r="BN956" s="180"/>
      <c r="BO956" s="180"/>
      <c r="BP956" s="180"/>
      <c r="BQ956" s="180"/>
      <c r="BR956" s="180"/>
      <c r="BS956" s="180"/>
      <c r="BT956" s="180"/>
      <c r="BU956" s="180"/>
      <c r="BV956" s="180"/>
      <c r="BW956" s="180"/>
      <c r="BX956" s="180"/>
      <c r="BY956" s="180"/>
      <c r="BZ956" s="180"/>
      <c r="CA956" s="180"/>
      <c r="CB956" s="180"/>
      <c r="CC956" s="180"/>
      <c r="CD956" s="180"/>
      <c r="CE956" s="180"/>
      <c r="CF956" s="180"/>
      <c r="CG956" s="180"/>
      <c r="CH956" s="180"/>
      <c r="CI956" s="180"/>
      <c r="CJ956" s="180"/>
      <c r="CK956" s="180"/>
      <c r="CL956" s="180"/>
      <c r="CM956" s="180"/>
      <c r="CN956" s="180"/>
      <c r="CO956" s="180"/>
      <c r="CP956" s="180"/>
      <c r="CQ956" s="180"/>
      <c r="CR956" s="180"/>
      <c r="CS956" s="180"/>
      <c r="CT956" s="180"/>
      <c r="CU956" s="180"/>
      <c r="CV956" s="180"/>
      <c r="CW956" s="180"/>
      <c r="CX956" s="180"/>
      <c r="CY956" s="180"/>
      <c r="CZ956" s="180"/>
      <c r="DA956" s="180"/>
      <c r="DB956" s="180"/>
    </row>
    <row r="957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  <c r="AF957" s="180"/>
      <c r="AG957" s="180"/>
      <c r="AH957" s="180"/>
      <c r="AI957" s="180"/>
      <c r="AJ957" s="180"/>
      <c r="AK957" s="180"/>
      <c r="AL957" s="180"/>
      <c r="AM957" s="180"/>
      <c r="AN957" s="180"/>
      <c r="AO957" s="180"/>
      <c r="AP957" s="180"/>
      <c r="AQ957" s="180"/>
      <c r="AR957" s="180"/>
      <c r="AS957" s="180"/>
      <c r="AT957" s="180"/>
      <c r="AU957" s="180"/>
      <c r="AV957" s="180"/>
      <c r="AW957" s="180"/>
      <c r="AX957" s="180"/>
      <c r="AY957" s="180"/>
      <c r="AZ957" s="180"/>
      <c r="BA957" s="180"/>
      <c r="BB957" s="180"/>
      <c r="BC957" s="180"/>
      <c r="BD957" s="180"/>
      <c r="BE957" s="180"/>
      <c r="BF957" s="180"/>
      <c r="BG957" s="180"/>
      <c r="BH957" s="180"/>
      <c r="BI957" s="180"/>
      <c r="BJ957" s="180"/>
      <c r="BK957" s="180"/>
      <c r="BL957" s="180"/>
      <c r="BM957" s="180"/>
      <c r="BN957" s="180"/>
      <c r="BO957" s="180"/>
      <c r="BP957" s="180"/>
      <c r="BQ957" s="180"/>
      <c r="BR957" s="180"/>
      <c r="BS957" s="180"/>
      <c r="BT957" s="180"/>
      <c r="BU957" s="180"/>
      <c r="BV957" s="180"/>
      <c r="BW957" s="180"/>
      <c r="BX957" s="180"/>
      <c r="BY957" s="180"/>
      <c r="BZ957" s="180"/>
      <c r="CA957" s="180"/>
      <c r="CB957" s="180"/>
      <c r="CC957" s="180"/>
      <c r="CD957" s="180"/>
      <c r="CE957" s="180"/>
      <c r="CF957" s="180"/>
      <c r="CG957" s="180"/>
      <c r="CH957" s="180"/>
      <c r="CI957" s="180"/>
      <c r="CJ957" s="180"/>
      <c r="CK957" s="180"/>
      <c r="CL957" s="180"/>
      <c r="CM957" s="180"/>
      <c r="CN957" s="180"/>
      <c r="CO957" s="180"/>
      <c r="CP957" s="180"/>
      <c r="CQ957" s="180"/>
      <c r="CR957" s="180"/>
      <c r="CS957" s="180"/>
      <c r="CT957" s="180"/>
      <c r="CU957" s="180"/>
      <c r="CV957" s="180"/>
      <c r="CW957" s="180"/>
      <c r="CX957" s="180"/>
      <c r="CY957" s="180"/>
      <c r="CZ957" s="180"/>
      <c r="DA957" s="180"/>
      <c r="DB957" s="180"/>
    </row>
    <row r="958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  <c r="AF958" s="180"/>
      <c r="AG958" s="180"/>
      <c r="AH958" s="180"/>
      <c r="AI958" s="180"/>
      <c r="AJ958" s="180"/>
      <c r="AK958" s="180"/>
      <c r="AL958" s="180"/>
      <c r="AM958" s="180"/>
      <c r="AN958" s="180"/>
      <c r="AO958" s="180"/>
      <c r="AP958" s="180"/>
      <c r="AQ958" s="180"/>
      <c r="AR958" s="180"/>
      <c r="AS958" s="180"/>
      <c r="AT958" s="180"/>
      <c r="AU958" s="180"/>
      <c r="AV958" s="180"/>
      <c r="AW958" s="180"/>
      <c r="AX958" s="180"/>
      <c r="AY958" s="180"/>
      <c r="AZ958" s="180"/>
      <c r="BA958" s="180"/>
      <c r="BB958" s="180"/>
      <c r="BC958" s="180"/>
      <c r="BD958" s="180"/>
      <c r="BE958" s="180"/>
      <c r="BF958" s="180"/>
      <c r="BG958" s="180"/>
      <c r="BH958" s="180"/>
      <c r="BI958" s="180"/>
      <c r="BJ958" s="180"/>
      <c r="BK958" s="180"/>
      <c r="BL958" s="180"/>
      <c r="BM958" s="180"/>
      <c r="BN958" s="180"/>
      <c r="BO958" s="180"/>
      <c r="BP958" s="180"/>
      <c r="BQ958" s="180"/>
      <c r="BR958" s="180"/>
      <c r="BS958" s="180"/>
      <c r="BT958" s="180"/>
      <c r="BU958" s="180"/>
      <c r="BV958" s="180"/>
      <c r="BW958" s="180"/>
      <c r="BX958" s="180"/>
      <c r="BY958" s="180"/>
      <c r="BZ958" s="180"/>
      <c r="CA958" s="180"/>
      <c r="CB958" s="180"/>
      <c r="CC958" s="180"/>
      <c r="CD958" s="180"/>
      <c r="CE958" s="180"/>
      <c r="CF958" s="180"/>
      <c r="CG958" s="180"/>
      <c r="CH958" s="180"/>
      <c r="CI958" s="180"/>
      <c r="CJ958" s="180"/>
      <c r="CK958" s="180"/>
      <c r="CL958" s="180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</row>
    <row r="959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  <c r="AF959" s="180"/>
      <c r="AG959" s="180"/>
      <c r="AH959" s="180"/>
      <c r="AI959" s="180"/>
      <c r="AJ959" s="180"/>
      <c r="AK959" s="180"/>
      <c r="AL959" s="180"/>
      <c r="AM959" s="180"/>
      <c r="AN959" s="180"/>
      <c r="AO959" s="180"/>
      <c r="AP959" s="180"/>
      <c r="AQ959" s="180"/>
      <c r="AR959" s="180"/>
      <c r="AS959" s="180"/>
      <c r="AT959" s="180"/>
      <c r="AU959" s="180"/>
      <c r="AV959" s="180"/>
      <c r="AW959" s="180"/>
      <c r="AX959" s="180"/>
      <c r="AY959" s="180"/>
      <c r="AZ959" s="180"/>
      <c r="BA959" s="180"/>
      <c r="BB959" s="180"/>
      <c r="BC959" s="180"/>
      <c r="BD959" s="180"/>
      <c r="BE959" s="180"/>
      <c r="BF959" s="180"/>
      <c r="BG959" s="180"/>
      <c r="BH959" s="180"/>
      <c r="BI959" s="180"/>
      <c r="BJ959" s="180"/>
      <c r="BK959" s="180"/>
      <c r="BL959" s="180"/>
      <c r="BM959" s="180"/>
      <c r="BN959" s="180"/>
      <c r="BO959" s="180"/>
      <c r="BP959" s="180"/>
      <c r="BQ959" s="180"/>
      <c r="BR959" s="180"/>
      <c r="BS959" s="180"/>
      <c r="BT959" s="180"/>
      <c r="BU959" s="180"/>
      <c r="BV959" s="180"/>
      <c r="BW959" s="180"/>
      <c r="BX959" s="180"/>
      <c r="BY959" s="180"/>
      <c r="BZ959" s="180"/>
      <c r="CA959" s="180"/>
      <c r="CB959" s="180"/>
      <c r="CC959" s="180"/>
      <c r="CD959" s="180"/>
      <c r="CE959" s="180"/>
      <c r="CF959" s="180"/>
      <c r="CG959" s="180"/>
      <c r="CH959" s="180"/>
      <c r="CI959" s="180"/>
      <c r="CJ959" s="180"/>
      <c r="CK959" s="180"/>
      <c r="CL959" s="180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</row>
    <row r="960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  <c r="AF960" s="180"/>
      <c r="AG960" s="180"/>
      <c r="AH960" s="180"/>
      <c r="AI960" s="180"/>
      <c r="AJ960" s="180"/>
      <c r="AK960" s="180"/>
      <c r="AL960" s="180"/>
      <c r="AM960" s="180"/>
      <c r="AN960" s="180"/>
      <c r="AO960" s="180"/>
      <c r="AP960" s="180"/>
      <c r="AQ960" s="180"/>
      <c r="AR960" s="180"/>
      <c r="AS960" s="180"/>
      <c r="AT960" s="180"/>
      <c r="AU960" s="180"/>
      <c r="AV960" s="180"/>
      <c r="AW960" s="180"/>
      <c r="AX960" s="180"/>
      <c r="AY960" s="180"/>
      <c r="AZ960" s="180"/>
      <c r="BA960" s="180"/>
      <c r="BB960" s="180"/>
      <c r="BC960" s="180"/>
      <c r="BD960" s="180"/>
      <c r="BE960" s="180"/>
      <c r="BF960" s="180"/>
      <c r="BG960" s="180"/>
      <c r="BH960" s="180"/>
      <c r="BI960" s="180"/>
      <c r="BJ960" s="180"/>
      <c r="BK960" s="180"/>
      <c r="BL960" s="180"/>
      <c r="BM960" s="180"/>
      <c r="BN960" s="180"/>
      <c r="BO960" s="180"/>
      <c r="BP960" s="180"/>
      <c r="BQ960" s="180"/>
      <c r="BR960" s="180"/>
      <c r="BS960" s="180"/>
      <c r="BT960" s="180"/>
      <c r="BU960" s="180"/>
      <c r="BV960" s="180"/>
      <c r="BW960" s="180"/>
      <c r="BX960" s="180"/>
      <c r="BY960" s="180"/>
      <c r="BZ960" s="180"/>
      <c r="CA960" s="180"/>
      <c r="CB960" s="180"/>
      <c r="CC960" s="180"/>
      <c r="CD960" s="180"/>
      <c r="CE960" s="180"/>
      <c r="CF960" s="180"/>
      <c r="CG960" s="180"/>
      <c r="CH960" s="180"/>
      <c r="CI960" s="180"/>
      <c r="CJ960" s="180"/>
      <c r="CK960" s="180"/>
      <c r="CL960" s="180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</row>
    <row r="961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  <c r="AF961" s="180"/>
      <c r="AG961" s="180"/>
      <c r="AH961" s="180"/>
      <c r="AI961" s="180"/>
      <c r="AJ961" s="180"/>
      <c r="AK961" s="180"/>
      <c r="AL961" s="180"/>
      <c r="AM961" s="180"/>
      <c r="AN961" s="180"/>
      <c r="AO961" s="180"/>
      <c r="AP961" s="180"/>
      <c r="AQ961" s="180"/>
      <c r="AR961" s="180"/>
      <c r="AS961" s="180"/>
      <c r="AT961" s="180"/>
      <c r="AU961" s="180"/>
      <c r="AV961" s="180"/>
      <c r="AW961" s="180"/>
      <c r="AX961" s="180"/>
      <c r="AY961" s="180"/>
      <c r="AZ961" s="180"/>
      <c r="BA961" s="180"/>
      <c r="BB961" s="180"/>
      <c r="BC961" s="180"/>
      <c r="BD961" s="180"/>
      <c r="BE961" s="180"/>
      <c r="BF961" s="180"/>
      <c r="BG961" s="180"/>
      <c r="BH961" s="180"/>
      <c r="BI961" s="180"/>
      <c r="BJ961" s="180"/>
      <c r="BK961" s="180"/>
      <c r="BL961" s="180"/>
      <c r="BM961" s="180"/>
      <c r="BN961" s="180"/>
      <c r="BO961" s="180"/>
      <c r="BP961" s="180"/>
      <c r="BQ961" s="180"/>
      <c r="BR961" s="180"/>
      <c r="BS961" s="180"/>
      <c r="BT961" s="180"/>
      <c r="BU961" s="180"/>
      <c r="BV961" s="180"/>
      <c r="BW961" s="180"/>
      <c r="BX961" s="180"/>
      <c r="BY961" s="180"/>
      <c r="BZ961" s="180"/>
      <c r="CA961" s="180"/>
      <c r="CB961" s="180"/>
      <c r="CC961" s="180"/>
      <c r="CD961" s="180"/>
      <c r="CE961" s="180"/>
      <c r="CF961" s="180"/>
      <c r="CG961" s="180"/>
      <c r="CH961" s="180"/>
      <c r="CI961" s="180"/>
      <c r="CJ961" s="180"/>
      <c r="CK961" s="180"/>
      <c r="CL961" s="180"/>
      <c r="CM961" s="180"/>
      <c r="CN961" s="180"/>
      <c r="CO961" s="180"/>
      <c r="CP961" s="180"/>
      <c r="CQ961" s="180"/>
      <c r="CR961" s="180"/>
      <c r="CS961" s="180"/>
      <c r="CT961" s="180"/>
      <c r="CU961" s="180"/>
      <c r="CV961" s="180"/>
      <c r="CW961" s="180"/>
      <c r="CX961" s="180"/>
      <c r="CY961" s="180"/>
      <c r="CZ961" s="180"/>
      <c r="DA961" s="180"/>
      <c r="DB961" s="180"/>
    </row>
    <row r="962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  <c r="AF962" s="180"/>
      <c r="AG962" s="180"/>
      <c r="AH962" s="180"/>
      <c r="AI962" s="180"/>
      <c r="AJ962" s="180"/>
      <c r="AK962" s="180"/>
      <c r="AL962" s="180"/>
      <c r="AM962" s="180"/>
      <c r="AN962" s="180"/>
      <c r="AO962" s="180"/>
      <c r="AP962" s="180"/>
      <c r="AQ962" s="180"/>
      <c r="AR962" s="180"/>
      <c r="AS962" s="180"/>
      <c r="AT962" s="180"/>
      <c r="AU962" s="180"/>
      <c r="AV962" s="180"/>
      <c r="AW962" s="180"/>
      <c r="AX962" s="180"/>
      <c r="AY962" s="180"/>
      <c r="AZ962" s="180"/>
      <c r="BA962" s="180"/>
      <c r="BB962" s="180"/>
      <c r="BC962" s="180"/>
      <c r="BD962" s="180"/>
      <c r="BE962" s="180"/>
      <c r="BF962" s="180"/>
      <c r="BG962" s="180"/>
      <c r="BH962" s="180"/>
      <c r="BI962" s="180"/>
      <c r="BJ962" s="180"/>
      <c r="BK962" s="180"/>
      <c r="BL962" s="180"/>
      <c r="BM962" s="180"/>
      <c r="BN962" s="180"/>
      <c r="BO962" s="180"/>
      <c r="BP962" s="180"/>
      <c r="BQ962" s="180"/>
      <c r="BR962" s="180"/>
      <c r="BS962" s="180"/>
      <c r="BT962" s="180"/>
      <c r="BU962" s="180"/>
      <c r="BV962" s="180"/>
      <c r="BW962" s="180"/>
      <c r="BX962" s="180"/>
      <c r="BY962" s="180"/>
      <c r="BZ962" s="180"/>
      <c r="CA962" s="180"/>
      <c r="CB962" s="180"/>
      <c r="CC962" s="180"/>
      <c r="CD962" s="180"/>
      <c r="CE962" s="180"/>
      <c r="CF962" s="180"/>
      <c r="CG962" s="180"/>
      <c r="CH962" s="180"/>
      <c r="CI962" s="180"/>
      <c r="CJ962" s="180"/>
      <c r="CK962" s="180"/>
      <c r="CL962" s="180"/>
      <c r="CM962" s="180"/>
      <c r="CN962" s="180"/>
      <c r="CO962" s="180"/>
      <c r="CP962" s="180"/>
      <c r="CQ962" s="180"/>
      <c r="CR962" s="180"/>
      <c r="CS962" s="180"/>
      <c r="CT962" s="180"/>
      <c r="CU962" s="180"/>
      <c r="CV962" s="180"/>
      <c r="CW962" s="180"/>
      <c r="CX962" s="180"/>
      <c r="CY962" s="180"/>
      <c r="CZ962" s="180"/>
      <c r="DA962" s="180"/>
      <c r="DB962" s="180"/>
    </row>
    <row r="963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  <c r="AF963" s="180"/>
      <c r="AG963" s="180"/>
      <c r="AH963" s="180"/>
      <c r="AI963" s="180"/>
      <c r="AJ963" s="180"/>
      <c r="AK963" s="180"/>
      <c r="AL963" s="180"/>
      <c r="AM963" s="180"/>
      <c r="AN963" s="180"/>
      <c r="AO963" s="180"/>
      <c r="AP963" s="180"/>
      <c r="AQ963" s="180"/>
      <c r="AR963" s="180"/>
      <c r="AS963" s="180"/>
      <c r="AT963" s="180"/>
      <c r="AU963" s="180"/>
      <c r="AV963" s="180"/>
      <c r="AW963" s="180"/>
      <c r="AX963" s="180"/>
      <c r="AY963" s="180"/>
      <c r="AZ963" s="180"/>
      <c r="BA963" s="180"/>
      <c r="BB963" s="180"/>
      <c r="BC963" s="180"/>
      <c r="BD963" s="180"/>
      <c r="BE963" s="180"/>
      <c r="BF963" s="180"/>
      <c r="BG963" s="180"/>
      <c r="BH963" s="180"/>
      <c r="BI963" s="180"/>
      <c r="BJ963" s="180"/>
      <c r="BK963" s="180"/>
      <c r="BL963" s="180"/>
      <c r="BM963" s="180"/>
      <c r="BN963" s="180"/>
      <c r="BO963" s="180"/>
      <c r="BP963" s="180"/>
      <c r="BQ963" s="180"/>
      <c r="BR963" s="180"/>
      <c r="BS963" s="180"/>
      <c r="BT963" s="180"/>
      <c r="BU963" s="180"/>
      <c r="BV963" s="180"/>
      <c r="BW963" s="180"/>
      <c r="BX963" s="180"/>
      <c r="BY963" s="180"/>
      <c r="BZ963" s="180"/>
      <c r="CA963" s="180"/>
      <c r="CB963" s="180"/>
      <c r="CC963" s="180"/>
      <c r="CD963" s="180"/>
      <c r="CE963" s="180"/>
      <c r="CF963" s="180"/>
      <c r="CG963" s="180"/>
      <c r="CH963" s="180"/>
      <c r="CI963" s="180"/>
      <c r="CJ963" s="180"/>
      <c r="CK963" s="180"/>
      <c r="CL963" s="180"/>
      <c r="CM963" s="180"/>
      <c r="CN963" s="180"/>
      <c r="CO963" s="180"/>
      <c r="CP963" s="180"/>
      <c r="CQ963" s="180"/>
      <c r="CR963" s="180"/>
      <c r="CS963" s="180"/>
      <c r="CT963" s="180"/>
      <c r="CU963" s="180"/>
      <c r="CV963" s="180"/>
      <c r="CW963" s="180"/>
      <c r="CX963" s="180"/>
      <c r="CY963" s="180"/>
      <c r="CZ963" s="180"/>
      <c r="DA963" s="180"/>
      <c r="DB963" s="180"/>
    </row>
    <row r="964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  <c r="AF964" s="180"/>
      <c r="AG964" s="180"/>
      <c r="AH964" s="180"/>
      <c r="AI964" s="180"/>
      <c r="AJ964" s="180"/>
      <c r="AK964" s="180"/>
      <c r="AL964" s="180"/>
      <c r="AM964" s="180"/>
      <c r="AN964" s="180"/>
      <c r="AO964" s="180"/>
      <c r="AP964" s="180"/>
      <c r="AQ964" s="180"/>
      <c r="AR964" s="180"/>
      <c r="AS964" s="180"/>
      <c r="AT964" s="180"/>
      <c r="AU964" s="180"/>
      <c r="AV964" s="180"/>
      <c r="AW964" s="180"/>
      <c r="AX964" s="180"/>
      <c r="AY964" s="180"/>
      <c r="AZ964" s="180"/>
      <c r="BA964" s="180"/>
      <c r="BB964" s="180"/>
      <c r="BC964" s="180"/>
      <c r="BD964" s="180"/>
      <c r="BE964" s="180"/>
      <c r="BF964" s="180"/>
      <c r="BG964" s="180"/>
      <c r="BH964" s="180"/>
      <c r="BI964" s="180"/>
      <c r="BJ964" s="180"/>
      <c r="BK964" s="180"/>
      <c r="BL964" s="180"/>
      <c r="BM964" s="180"/>
      <c r="BN964" s="180"/>
      <c r="BO964" s="180"/>
      <c r="BP964" s="180"/>
      <c r="BQ964" s="180"/>
      <c r="BR964" s="180"/>
      <c r="BS964" s="180"/>
      <c r="BT964" s="180"/>
      <c r="BU964" s="180"/>
      <c r="BV964" s="180"/>
      <c r="BW964" s="180"/>
      <c r="BX964" s="180"/>
      <c r="BY964" s="180"/>
      <c r="BZ964" s="180"/>
      <c r="CA964" s="180"/>
      <c r="CB964" s="180"/>
      <c r="CC964" s="180"/>
      <c r="CD964" s="180"/>
      <c r="CE964" s="180"/>
      <c r="CF964" s="180"/>
      <c r="CG964" s="180"/>
      <c r="CH964" s="180"/>
      <c r="CI964" s="180"/>
      <c r="CJ964" s="180"/>
      <c r="CK964" s="180"/>
      <c r="CL964" s="180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</row>
    <row r="965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  <c r="AG965" s="180"/>
      <c r="AH965" s="180"/>
      <c r="AI965" s="180"/>
      <c r="AJ965" s="180"/>
      <c r="AK965" s="180"/>
      <c r="AL965" s="180"/>
      <c r="AM965" s="180"/>
      <c r="AN965" s="180"/>
      <c r="AO965" s="180"/>
      <c r="AP965" s="180"/>
      <c r="AQ965" s="180"/>
      <c r="AR965" s="180"/>
      <c r="AS965" s="180"/>
      <c r="AT965" s="180"/>
      <c r="AU965" s="180"/>
      <c r="AV965" s="180"/>
      <c r="AW965" s="180"/>
      <c r="AX965" s="180"/>
      <c r="AY965" s="180"/>
      <c r="AZ965" s="180"/>
      <c r="BA965" s="180"/>
      <c r="BB965" s="180"/>
      <c r="BC965" s="180"/>
      <c r="BD965" s="180"/>
      <c r="BE965" s="180"/>
      <c r="BF965" s="180"/>
      <c r="BG965" s="180"/>
      <c r="BH965" s="180"/>
      <c r="BI965" s="180"/>
      <c r="BJ965" s="180"/>
      <c r="BK965" s="180"/>
      <c r="BL965" s="180"/>
      <c r="BM965" s="180"/>
      <c r="BN965" s="180"/>
      <c r="BO965" s="180"/>
      <c r="BP965" s="180"/>
      <c r="BQ965" s="180"/>
      <c r="BR965" s="180"/>
      <c r="BS965" s="180"/>
      <c r="BT965" s="180"/>
      <c r="BU965" s="180"/>
      <c r="BV965" s="180"/>
      <c r="BW965" s="180"/>
      <c r="BX965" s="180"/>
      <c r="BY965" s="180"/>
      <c r="BZ965" s="180"/>
      <c r="CA965" s="180"/>
      <c r="CB965" s="180"/>
      <c r="CC965" s="180"/>
      <c r="CD965" s="180"/>
      <c r="CE965" s="180"/>
      <c r="CF965" s="180"/>
      <c r="CG965" s="180"/>
      <c r="CH965" s="180"/>
      <c r="CI965" s="180"/>
      <c r="CJ965" s="180"/>
      <c r="CK965" s="180"/>
      <c r="CL965" s="180"/>
      <c r="CM965" s="180"/>
      <c r="CN965" s="180"/>
      <c r="CO965" s="180"/>
      <c r="CP965" s="180"/>
      <c r="CQ965" s="180"/>
      <c r="CR965" s="180"/>
      <c r="CS965" s="180"/>
      <c r="CT965" s="180"/>
      <c r="CU965" s="180"/>
      <c r="CV965" s="180"/>
      <c r="CW965" s="180"/>
      <c r="CX965" s="180"/>
      <c r="CY965" s="180"/>
      <c r="CZ965" s="180"/>
      <c r="DA965" s="180"/>
      <c r="DB965" s="180"/>
    </row>
    <row r="966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  <c r="AF966" s="180"/>
      <c r="AG966" s="180"/>
      <c r="AH966" s="180"/>
      <c r="AI966" s="180"/>
      <c r="AJ966" s="180"/>
      <c r="AK966" s="180"/>
      <c r="AL966" s="180"/>
      <c r="AM966" s="180"/>
      <c r="AN966" s="180"/>
      <c r="AO966" s="180"/>
      <c r="AP966" s="180"/>
      <c r="AQ966" s="180"/>
      <c r="AR966" s="180"/>
      <c r="AS966" s="180"/>
      <c r="AT966" s="180"/>
      <c r="AU966" s="180"/>
      <c r="AV966" s="180"/>
      <c r="AW966" s="180"/>
      <c r="AX966" s="180"/>
      <c r="AY966" s="180"/>
      <c r="AZ966" s="180"/>
      <c r="BA966" s="180"/>
      <c r="BB966" s="180"/>
      <c r="BC966" s="180"/>
      <c r="BD966" s="180"/>
      <c r="BE966" s="180"/>
      <c r="BF966" s="180"/>
      <c r="BG966" s="180"/>
      <c r="BH966" s="180"/>
      <c r="BI966" s="180"/>
      <c r="BJ966" s="180"/>
      <c r="BK966" s="180"/>
      <c r="BL966" s="180"/>
      <c r="BM966" s="180"/>
      <c r="BN966" s="180"/>
      <c r="BO966" s="180"/>
      <c r="BP966" s="180"/>
      <c r="BQ966" s="180"/>
      <c r="BR966" s="180"/>
      <c r="BS966" s="180"/>
      <c r="BT966" s="180"/>
      <c r="BU966" s="180"/>
      <c r="BV966" s="180"/>
      <c r="BW966" s="180"/>
      <c r="BX966" s="180"/>
      <c r="BY966" s="180"/>
      <c r="BZ966" s="180"/>
      <c r="CA966" s="180"/>
      <c r="CB966" s="180"/>
      <c r="CC966" s="180"/>
      <c r="CD966" s="180"/>
      <c r="CE966" s="180"/>
      <c r="CF966" s="180"/>
      <c r="CG966" s="180"/>
      <c r="CH966" s="180"/>
      <c r="CI966" s="180"/>
      <c r="CJ966" s="180"/>
      <c r="CK966" s="180"/>
      <c r="CL966" s="180"/>
      <c r="CM966" s="180"/>
      <c r="CN966" s="180"/>
      <c r="CO966" s="180"/>
      <c r="CP966" s="180"/>
      <c r="CQ966" s="180"/>
      <c r="CR966" s="180"/>
      <c r="CS966" s="180"/>
      <c r="CT966" s="180"/>
      <c r="CU966" s="180"/>
      <c r="CV966" s="180"/>
      <c r="CW966" s="180"/>
      <c r="CX966" s="180"/>
      <c r="CY966" s="180"/>
      <c r="CZ966" s="180"/>
      <c r="DA966" s="180"/>
      <c r="DB966" s="180"/>
    </row>
    <row r="967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  <c r="AF967" s="180"/>
      <c r="AG967" s="180"/>
      <c r="AH967" s="180"/>
      <c r="AI967" s="180"/>
      <c r="AJ967" s="180"/>
      <c r="AK967" s="180"/>
      <c r="AL967" s="180"/>
      <c r="AM967" s="180"/>
      <c r="AN967" s="180"/>
      <c r="AO967" s="180"/>
      <c r="AP967" s="180"/>
      <c r="AQ967" s="180"/>
      <c r="AR967" s="180"/>
      <c r="AS967" s="180"/>
      <c r="AT967" s="180"/>
      <c r="AU967" s="180"/>
      <c r="AV967" s="180"/>
      <c r="AW967" s="180"/>
      <c r="AX967" s="180"/>
      <c r="AY967" s="180"/>
      <c r="AZ967" s="180"/>
      <c r="BA967" s="180"/>
      <c r="BB967" s="180"/>
      <c r="BC967" s="180"/>
      <c r="BD967" s="180"/>
      <c r="BE967" s="180"/>
      <c r="BF967" s="180"/>
      <c r="BG967" s="180"/>
      <c r="BH967" s="180"/>
      <c r="BI967" s="180"/>
      <c r="BJ967" s="180"/>
      <c r="BK967" s="180"/>
      <c r="BL967" s="180"/>
      <c r="BM967" s="180"/>
      <c r="BN967" s="180"/>
      <c r="BO967" s="180"/>
      <c r="BP967" s="180"/>
      <c r="BQ967" s="180"/>
      <c r="BR967" s="180"/>
      <c r="BS967" s="180"/>
      <c r="BT967" s="180"/>
      <c r="BU967" s="180"/>
      <c r="BV967" s="180"/>
      <c r="BW967" s="180"/>
      <c r="BX967" s="180"/>
      <c r="BY967" s="180"/>
      <c r="BZ967" s="180"/>
      <c r="CA967" s="180"/>
      <c r="CB967" s="180"/>
      <c r="CC967" s="180"/>
      <c r="CD967" s="180"/>
      <c r="CE967" s="180"/>
      <c r="CF967" s="180"/>
      <c r="CG967" s="180"/>
      <c r="CH967" s="180"/>
      <c r="CI967" s="180"/>
      <c r="CJ967" s="180"/>
      <c r="CK967" s="180"/>
      <c r="CL967" s="180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</row>
    <row r="968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  <c r="AG968" s="180"/>
      <c r="AH968" s="180"/>
      <c r="AI968" s="180"/>
      <c r="AJ968" s="180"/>
      <c r="AK968" s="180"/>
      <c r="AL968" s="180"/>
      <c r="AM968" s="180"/>
      <c r="AN968" s="180"/>
      <c r="AO968" s="180"/>
      <c r="AP968" s="180"/>
      <c r="AQ968" s="180"/>
      <c r="AR968" s="180"/>
      <c r="AS968" s="180"/>
      <c r="AT968" s="180"/>
      <c r="AU968" s="180"/>
      <c r="AV968" s="180"/>
      <c r="AW968" s="180"/>
      <c r="AX968" s="180"/>
      <c r="AY968" s="180"/>
      <c r="AZ968" s="180"/>
      <c r="BA968" s="180"/>
      <c r="BB968" s="180"/>
      <c r="BC968" s="180"/>
      <c r="BD968" s="180"/>
      <c r="BE968" s="180"/>
      <c r="BF968" s="180"/>
      <c r="BG968" s="180"/>
      <c r="BH968" s="180"/>
      <c r="BI968" s="180"/>
      <c r="BJ968" s="180"/>
      <c r="BK968" s="180"/>
      <c r="BL968" s="180"/>
      <c r="BM968" s="180"/>
      <c r="BN968" s="180"/>
      <c r="BO968" s="180"/>
      <c r="BP968" s="180"/>
      <c r="BQ968" s="180"/>
      <c r="BR968" s="180"/>
      <c r="BS968" s="180"/>
      <c r="BT968" s="180"/>
      <c r="BU968" s="180"/>
      <c r="BV968" s="180"/>
      <c r="BW968" s="180"/>
      <c r="BX968" s="180"/>
      <c r="BY968" s="180"/>
      <c r="BZ968" s="180"/>
      <c r="CA968" s="180"/>
      <c r="CB968" s="180"/>
      <c r="CC968" s="180"/>
      <c r="CD968" s="180"/>
      <c r="CE968" s="180"/>
      <c r="CF968" s="180"/>
      <c r="CG968" s="180"/>
      <c r="CH968" s="180"/>
      <c r="CI968" s="180"/>
      <c r="CJ968" s="180"/>
      <c r="CK968" s="180"/>
      <c r="CL968" s="180"/>
      <c r="CM968" s="180"/>
      <c r="CN968" s="180"/>
      <c r="CO968" s="180"/>
      <c r="CP968" s="180"/>
      <c r="CQ968" s="180"/>
      <c r="CR968" s="180"/>
      <c r="CS968" s="180"/>
      <c r="CT968" s="180"/>
      <c r="CU968" s="180"/>
      <c r="CV968" s="180"/>
      <c r="CW968" s="180"/>
      <c r="CX968" s="180"/>
      <c r="CY968" s="180"/>
      <c r="CZ968" s="180"/>
      <c r="DA968" s="180"/>
      <c r="DB968" s="180"/>
    </row>
    <row r="969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  <c r="AF969" s="180"/>
      <c r="AG969" s="180"/>
      <c r="AH969" s="180"/>
      <c r="AI969" s="180"/>
      <c r="AJ969" s="180"/>
      <c r="AK969" s="180"/>
      <c r="AL969" s="180"/>
      <c r="AM969" s="180"/>
      <c r="AN969" s="180"/>
      <c r="AO969" s="180"/>
      <c r="AP969" s="180"/>
      <c r="AQ969" s="180"/>
      <c r="AR969" s="180"/>
      <c r="AS969" s="180"/>
      <c r="AT969" s="180"/>
      <c r="AU969" s="180"/>
      <c r="AV969" s="180"/>
      <c r="AW969" s="180"/>
      <c r="AX969" s="180"/>
      <c r="AY969" s="180"/>
      <c r="AZ969" s="180"/>
      <c r="BA969" s="180"/>
      <c r="BB969" s="180"/>
      <c r="BC969" s="180"/>
      <c r="BD969" s="180"/>
      <c r="BE969" s="180"/>
      <c r="BF969" s="180"/>
      <c r="BG969" s="180"/>
      <c r="BH969" s="180"/>
      <c r="BI969" s="180"/>
      <c r="BJ969" s="180"/>
      <c r="BK969" s="180"/>
      <c r="BL969" s="180"/>
      <c r="BM969" s="180"/>
      <c r="BN969" s="180"/>
      <c r="BO969" s="180"/>
      <c r="BP969" s="180"/>
      <c r="BQ969" s="180"/>
      <c r="BR969" s="180"/>
      <c r="BS969" s="180"/>
      <c r="BT969" s="180"/>
      <c r="BU969" s="180"/>
      <c r="BV969" s="180"/>
      <c r="BW969" s="180"/>
      <c r="BX969" s="180"/>
      <c r="BY969" s="180"/>
      <c r="BZ969" s="180"/>
      <c r="CA969" s="180"/>
      <c r="CB969" s="180"/>
      <c r="CC969" s="180"/>
      <c r="CD969" s="180"/>
      <c r="CE969" s="180"/>
      <c r="CF969" s="180"/>
      <c r="CG969" s="180"/>
      <c r="CH969" s="180"/>
      <c r="CI969" s="180"/>
      <c r="CJ969" s="180"/>
      <c r="CK969" s="180"/>
      <c r="CL969" s="180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</row>
    <row r="970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  <c r="AF970" s="180"/>
      <c r="AG970" s="180"/>
      <c r="AH970" s="180"/>
      <c r="AI970" s="180"/>
      <c r="AJ970" s="180"/>
      <c r="AK970" s="180"/>
      <c r="AL970" s="180"/>
      <c r="AM970" s="180"/>
      <c r="AN970" s="180"/>
      <c r="AO970" s="180"/>
      <c r="AP970" s="180"/>
      <c r="AQ970" s="180"/>
      <c r="AR970" s="180"/>
      <c r="AS970" s="180"/>
      <c r="AT970" s="180"/>
      <c r="AU970" s="180"/>
      <c r="AV970" s="180"/>
      <c r="AW970" s="180"/>
      <c r="AX970" s="180"/>
      <c r="AY970" s="180"/>
      <c r="AZ970" s="180"/>
      <c r="BA970" s="180"/>
      <c r="BB970" s="180"/>
      <c r="BC970" s="180"/>
      <c r="BD970" s="180"/>
      <c r="BE970" s="180"/>
      <c r="BF970" s="180"/>
      <c r="BG970" s="180"/>
      <c r="BH970" s="180"/>
      <c r="BI970" s="180"/>
      <c r="BJ970" s="180"/>
      <c r="BK970" s="180"/>
      <c r="BL970" s="180"/>
      <c r="BM970" s="180"/>
      <c r="BN970" s="180"/>
      <c r="BO970" s="180"/>
      <c r="BP970" s="180"/>
      <c r="BQ970" s="180"/>
      <c r="BR970" s="180"/>
      <c r="BS970" s="180"/>
      <c r="BT970" s="180"/>
      <c r="BU970" s="180"/>
      <c r="BV970" s="180"/>
      <c r="BW970" s="180"/>
      <c r="BX970" s="180"/>
      <c r="BY970" s="180"/>
      <c r="BZ970" s="180"/>
      <c r="CA970" s="180"/>
      <c r="CB970" s="180"/>
      <c r="CC970" s="180"/>
      <c r="CD970" s="180"/>
      <c r="CE970" s="180"/>
      <c r="CF970" s="180"/>
      <c r="CG970" s="180"/>
      <c r="CH970" s="180"/>
      <c r="CI970" s="180"/>
      <c r="CJ970" s="180"/>
      <c r="CK970" s="180"/>
      <c r="CL970" s="180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</row>
    <row r="971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  <c r="AF971" s="180"/>
      <c r="AG971" s="180"/>
      <c r="AH971" s="180"/>
      <c r="AI971" s="180"/>
      <c r="AJ971" s="180"/>
      <c r="AK971" s="180"/>
      <c r="AL971" s="180"/>
      <c r="AM971" s="180"/>
      <c r="AN971" s="180"/>
      <c r="AO971" s="180"/>
      <c r="AP971" s="180"/>
      <c r="AQ971" s="180"/>
      <c r="AR971" s="180"/>
      <c r="AS971" s="180"/>
      <c r="AT971" s="180"/>
      <c r="AU971" s="180"/>
      <c r="AV971" s="180"/>
      <c r="AW971" s="180"/>
      <c r="AX971" s="180"/>
      <c r="AY971" s="180"/>
      <c r="AZ971" s="180"/>
      <c r="BA971" s="180"/>
      <c r="BB971" s="180"/>
      <c r="BC971" s="180"/>
      <c r="BD971" s="180"/>
      <c r="BE971" s="180"/>
      <c r="BF971" s="180"/>
      <c r="BG971" s="180"/>
      <c r="BH971" s="180"/>
      <c r="BI971" s="180"/>
      <c r="BJ971" s="180"/>
      <c r="BK971" s="180"/>
      <c r="BL971" s="180"/>
      <c r="BM971" s="180"/>
      <c r="BN971" s="180"/>
      <c r="BO971" s="180"/>
      <c r="BP971" s="180"/>
      <c r="BQ971" s="180"/>
      <c r="BR971" s="180"/>
      <c r="BS971" s="180"/>
      <c r="BT971" s="180"/>
      <c r="BU971" s="180"/>
      <c r="BV971" s="180"/>
      <c r="BW971" s="180"/>
      <c r="BX971" s="180"/>
      <c r="BY971" s="180"/>
      <c r="BZ971" s="180"/>
      <c r="CA971" s="180"/>
      <c r="CB971" s="180"/>
      <c r="CC971" s="180"/>
      <c r="CD971" s="180"/>
      <c r="CE971" s="180"/>
      <c r="CF971" s="180"/>
      <c r="CG971" s="180"/>
      <c r="CH971" s="180"/>
      <c r="CI971" s="180"/>
      <c r="CJ971" s="180"/>
      <c r="CK971" s="180"/>
      <c r="CL971" s="180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</row>
    <row r="972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  <c r="AF972" s="180"/>
      <c r="AG972" s="180"/>
      <c r="AH972" s="180"/>
      <c r="AI972" s="180"/>
      <c r="AJ972" s="180"/>
      <c r="AK972" s="180"/>
      <c r="AL972" s="180"/>
      <c r="AM972" s="180"/>
      <c r="AN972" s="180"/>
      <c r="AO972" s="180"/>
      <c r="AP972" s="180"/>
      <c r="AQ972" s="180"/>
      <c r="AR972" s="180"/>
      <c r="AS972" s="180"/>
      <c r="AT972" s="180"/>
      <c r="AU972" s="180"/>
      <c r="AV972" s="180"/>
      <c r="AW972" s="180"/>
      <c r="AX972" s="180"/>
      <c r="AY972" s="180"/>
      <c r="AZ972" s="180"/>
      <c r="BA972" s="180"/>
      <c r="BB972" s="180"/>
      <c r="BC972" s="180"/>
      <c r="BD972" s="180"/>
      <c r="BE972" s="180"/>
      <c r="BF972" s="180"/>
      <c r="BG972" s="180"/>
      <c r="BH972" s="180"/>
      <c r="BI972" s="180"/>
      <c r="BJ972" s="180"/>
      <c r="BK972" s="180"/>
      <c r="BL972" s="180"/>
      <c r="BM972" s="180"/>
      <c r="BN972" s="180"/>
      <c r="BO972" s="180"/>
      <c r="BP972" s="180"/>
      <c r="BQ972" s="180"/>
      <c r="BR972" s="180"/>
      <c r="BS972" s="180"/>
      <c r="BT972" s="180"/>
      <c r="BU972" s="180"/>
      <c r="BV972" s="180"/>
      <c r="BW972" s="180"/>
      <c r="BX972" s="180"/>
      <c r="BY972" s="180"/>
      <c r="BZ972" s="180"/>
      <c r="CA972" s="180"/>
      <c r="CB972" s="180"/>
      <c r="CC972" s="180"/>
      <c r="CD972" s="180"/>
      <c r="CE972" s="180"/>
      <c r="CF972" s="180"/>
      <c r="CG972" s="180"/>
      <c r="CH972" s="180"/>
      <c r="CI972" s="180"/>
      <c r="CJ972" s="180"/>
      <c r="CK972" s="180"/>
      <c r="CL972" s="180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</row>
    <row r="973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  <c r="AF973" s="180"/>
      <c r="AG973" s="180"/>
      <c r="AH973" s="180"/>
      <c r="AI973" s="180"/>
      <c r="AJ973" s="180"/>
      <c r="AK973" s="180"/>
      <c r="AL973" s="180"/>
      <c r="AM973" s="180"/>
      <c r="AN973" s="180"/>
      <c r="AO973" s="180"/>
      <c r="AP973" s="180"/>
      <c r="AQ973" s="180"/>
      <c r="AR973" s="180"/>
      <c r="AS973" s="180"/>
      <c r="AT973" s="180"/>
      <c r="AU973" s="180"/>
      <c r="AV973" s="180"/>
      <c r="AW973" s="180"/>
      <c r="AX973" s="180"/>
      <c r="AY973" s="180"/>
      <c r="AZ973" s="180"/>
      <c r="BA973" s="180"/>
      <c r="BB973" s="180"/>
      <c r="BC973" s="180"/>
      <c r="BD973" s="180"/>
      <c r="BE973" s="180"/>
      <c r="BF973" s="180"/>
      <c r="BG973" s="180"/>
      <c r="BH973" s="180"/>
      <c r="BI973" s="180"/>
      <c r="BJ973" s="180"/>
      <c r="BK973" s="180"/>
      <c r="BL973" s="180"/>
      <c r="BM973" s="180"/>
      <c r="BN973" s="180"/>
      <c r="BO973" s="180"/>
      <c r="BP973" s="180"/>
      <c r="BQ973" s="180"/>
      <c r="BR973" s="180"/>
      <c r="BS973" s="180"/>
      <c r="BT973" s="180"/>
      <c r="BU973" s="180"/>
      <c r="BV973" s="180"/>
      <c r="BW973" s="180"/>
      <c r="BX973" s="180"/>
      <c r="BY973" s="180"/>
      <c r="BZ973" s="180"/>
      <c r="CA973" s="180"/>
      <c r="CB973" s="180"/>
      <c r="CC973" s="180"/>
      <c r="CD973" s="180"/>
      <c r="CE973" s="180"/>
      <c r="CF973" s="180"/>
      <c r="CG973" s="180"/>
      <c r="CH973" s="180"/>
      <c r="CI973" s="180"/>
      <c r="CJ973" s="180"/>
      <c r="CK973" s="180"/>
      <c r="CL973" s="180"/>
      <c r="CM973" s="180"/>
      <c r="CN973" s="180"/>
      <c r="CO973" s="180"/>
      <c r="CP973" s="180"/>
      <c r="CQ973" s="180"/>
      <c r="CR973" s="180"/>
      <c r="CS973" s="180"/>
      <c r="CT973" s="180"/>
      <c r="CU973" s="180"/>
      <c r="CV973" s="180"/>
      <c r="CW973" s="180"/>
      <c r="CX973" s="180"/>
      <c r="CY973" s="180"/>
      <c r="CZ973" s="180"/>
      <c r="DA973" s="180"/>
      <c r="DB973" s="180"/>
    </row>
    <row r="974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  <c r="K974" s="180"/>
      <c r="L974" s="180"/>
      <c r="M974" s="180"/>
      <c r="N974" s="180"/>
      <c r="O974" s="180"/>
      <c r="P974" s="180"/>
      <c r="Q974" s="180"/>
      <c r="R974" s="180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  <c r="AF974" s="180"/>
      <c r="AG974" s="180"/>
      <c r="AH974" s="180"/>
      <c r="AI974" s="180"/>
      <c r="AJ974" s="180"/>
      <c r="AK974" s="180"/>
      <c r="AL974" s="180"/>
      <c r="AM974" s="180"/>
      <c r="AN974" s="180"/>
      <c r="AO974" s="180"/>
      <c r="AP974" s="180"/>
      <c r="AQ974" s="180"/>
      <c r="AR974" s="180"/>
      <c r="AS974" s="180"/>
      <c r="AT974" s="180"/>
      <c r="AU974" s="180"/>
      <c r="AV974" s="180"/>
      <c r="AW974" s="180"/>
      <c r="AX974" s="180"/>
      <c r="AY974" s="180"/>
      <c r="AZ974" s="180"/>
      <c r="BA974" s="180"/>
      <c r="BB974" s="180"/>
      <c r="BC974" s="180"/>
      <c r="BD974" s="180"/>
      <c r="BE974" s="180"/>
      <c r="BF974" s="180"/>
      <c r="BG974" s="180"/>
      <c r="BH974" s="180"/>
      <c r="BI974" s="180"/>
      <c r="BJ974" s="180"/>
      <c r="BK974" s="180"/>
      <c r="BL974" s="180"/>
      <c r="BM974" s="180"/>
      <c r="BN974" s="180"/>
      <c r="BO974" s="180"/>
      <c r="BP974" s="180"/>
      <c r="BQ974" s="180"/>
      <c r="BR974" s="180"/>
      <c r="BS974" s="180"/>
      <c r="BT974" s="180"/>
      <c r="BU974" s="180"/>
      <c r="BV974" s="180"/>
      <c r="BW974" s="180"/>
      <c r="BX974" s="180"/>
      <c r="BY974" s="180"/>
      <c r="BZ974" s="180"/>
      <c r="CA974" s="180"/>
      <c r="CB974" s="180"/>
      <c r="CC974" s="180"/>
      <c r="CD974" s="180"/>
      <c r="CE974" s="180"/>
      <c r="CF974" s="180"/>
      <c r="CG974" s="180"/>
      <c r="CH974" s="180"/>
      <c r="CI974" s="180"/>
      <c r="CJ974" s="180"/>
      <c r="CK974" s="180"/>
      <c r="CL974" s="180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</row>
    <row r="975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  <c r="AF975" s="180"/>
      <c r="AG975" s="180"/>
      <c r="AH975" s="180"/>
      <c r="AI975" s="180"/>
      <c r="AJ975" s="180"/>
      <c r="AK975" s="180"/>
      <c r="AL975" s="180"/>
      <c r="AM975" s="180"/>
      <c r="AN975" s="180"/>
      <c r="AO975" s="180"/>
      <c r="AP975" s="180"/>
      <c r="AQ975" s="180"/>
      <c r="AR975" s="180"/>
      <c r="AS975" s="180"/>
      <c r="AT975" s="180"/>
      <c r="AU975" s="180"/>
      <c r="AV975" s="180"/>
      <c r="AW975" s="180"/>
      <c r="AX975" s="180"/>
      <c r="AY975" s="180"/>
      <c r="AZ975" s="180"/>
      <c r="BA975" s="180"/>
      <c r="BB975" s="180"/>
      <c r="BC975" s="180"/>
      <c r="BD975" s="180"/>
      <c r="BE975" s="180"/>
      <c r="BF975" s="180"/>
      <c r="BG975" s="180"/>
      <c r="BH975" s="180"/>
      <c r="BI975" s="180"/>
      <c r="BJ975" s="180"/>
      <c r="BK975" s="180"/>
      <c r="BL975" s="180"/>
      <c r="BM975" s="180"/>
      <c r="BN975" s="180"/>
      <c r="BO975" s="180"/>
      <c r="BP975" s="180"/>
      <c r="BQ975" s="180"/>
      <c r="BR975" s="180"/>
      <c r="BS975" s="180"/>
      <c r="BT975" s="180"/>
      <c r="BU975" s="180"/>
      <c r="BV975" s="180"/>
      <c r="BW975" s="180"/>
      <c r="BX975" s="180"/>
      <c r="BY975" s="180"/>
      <c r="BZ975" s="180"/>
      <c r="CA975" s="180"/>
      <c r="CB975" s="180"/>
      <c r="CC975" s="180"/>
      <c r="CD975" s="180"/>
      <c r="CE975" s="180"/>
      <c r="CF975" s="180"/>
      <c r="CG975" s="180"/>
      <c r="CH975" s="180"/>
      <c r="CI975" s="180"/>
      <c r="CJ975" s="180"/>
      <c r="CK975" s="180"/>
      <c r="CL975" s="180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</row>
    <row r="976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  <c r="AF976" s="180"/>
      <c r="AG976" s="180"/>
      <c r="AH976" s="180"/>
      <c r="AI976" s="180"/>
      <c r="AJ976" s="180"/>
      <c r="AK976" s="180"/>
      <c r="AL976" s="180"/>
      <c r="AM976" s="180"/>
      <c r="AN976" s="180"/>
      <c r="AO976" s="180"/>
      <c r="AP976" s="180"/>
      <c r="AQ976" s="180"/>
      <c r="AR976" s="180"/>
      <c r="AS976" s="180"/>
      <c r="AT976" s="180"/>
      <c r="AU976" s="180"/>
      <c r="AV976" s="180"/>
      <c r="AW976" s="180"/>
      <c r="AX976" s="180"/>
      <c r="AY976" s="180"/>
      <c r="AZ976" s="180"/>
      <c r="BA976" s="180"/>
      <c r="BB976" s="180"/>
      <c r="BC976" s="180"/>
      <c r="BD976" s="180"/>
      <c r="BE976" s="180"/>
      <c r="BF976" s="180"/>
      <c r="BG976" s="180"/>
      <c r="BH976" s="180"/>
      <c r="BI976" s="180"/>
      <c r="BJ976" s="180"/>
      <c r="BK976" s="180"/>
      <c r="BL976" s="180"/>
      <c r="BM976" s="180"/>
      <c r="BN976" s="180"/>
      <c r="BO976" s="180"/>
      <c r="BP976" s="180"/>
      <c r="BQ976" s="180"/>
      <c r="BR976" s="180"/>
      <c r="BS976" s="180"/>
      <c r="BT976" s="180"/>
      <c r="BU976" s="180"/>
      <c r="BV976" s="180"/>
      <c r="BW976" s="180"/>
      <c r="BX976" s="180"/>
      <c r="BY976" s="180"/>
      <c r="BZ976" s="180"/>
      <c r="CA976" s="180"/>
      <c r="CB976" s="180"/>
      <c r="CC976" s="180"/>
      <c r="CD976" s="180"/>
      <c r="CE976" s="180"/>
      <c r="CF976" s="180"/>
      <c r="CG976" s="180"/>
      <c r="CH976" s="180"/>
      <c r="CI976" s="180"/>
      <c r="CJ976" s="180"/>
      <c r="CK976" s="180"/>
      <c r="CL976" s="180"/>
      <c r="CM976" s="180"/>
      <c r="CN976" s="180"/>
      <c r="CO976" s="180"/>
      <c r="CP976" s="180"/>
      <c r="CQ976" s="180"/>
      <c r="CR976" s="180"/>
      <c r="CS976" s="180"/>
      <c r="CT976" s="180"/>
      <c r="CU976" s="180"/>
      <c r="CV976" s="180"/>
      <c r="CW976" s="180"/>
      <c r="CX976" s="180"/>
      <c r="CY976" s="180"/>
      <c r="CZ976" s="180"/>
      <c r="DA976" s="180"/>
      <c r="DB976" s="180"/>
    </row>
    <row r="977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  <c r="AF977" s="180"/>
      <c r="AG977" s="180"/>
      <c r="AH977" s="180"/>
      <c r="AI977" s="180"/>
      <c r="AJ977" s="180"/>
      <c r="AK977" s="180"/>
      <c r="AL977" s="180"/>
      <c r="AM977" s="180"/>
      <c r="AN977" s="180"/>
      <c r="AO977" s="180"/>
      <c r="AP977" s="180"/>
      <c r="AQ977" s="180"/>
      <c r="AR977" s="180"/>
      <c r="AS977" s="180"/>
      <c r="AT977" s="180"/>
      <c r="AU977" s="180"/>
      <c r="AV977" s="180"/>
      <c r="AW977" s="180"/>
      <c r="AX977" s="180"/>
      <c r="AY977" s="180"/>
      <c r="AZ977" s="180"/>
      <c r="BA977" s="180"/>
      <c r="BB977" s="180"/>
      <c r="BC977" s="180"/>
      <c r="BD977" s="180"/>
      <c r="BE977" s="180"/>
      <c r="BF977" s="180"/>
      <c r="BG977" s="180"/>
      <c r="BH977" s="180"/>
      <c r="BI977" s="180"/>
      <c r="BJ977" s="180"/>
      <c r="BK977" s="180"/>
      <c r="BL977" s="180"/>
      <c r="BM977" s="180"/>
      <c r="BN977" s="180"/>
      <c r="BO977" s="180"/>
      <c r="BP977" s="180"/>
      <c r="BQ977" s="180"/>
      <c r="BR977" s="180"/>
      <c r="BS977" s="180"/>
      <c r="BT977" s="180"/>
      <c r="BU977" s="180"/>
      <c r="BV977" s="180"/>
      <c r="BW977" s="180"/>
      <c r="BX977" s="180"/>
      <c r="BY977" s="180"/>
      <c r="BZ977" s="180"/>
      <c r="CA977" s="180"/>
      <c r="CB977" s="180"/>
      <c r="CC977" s="180"/>
      <c r="CD977" s="180"/>
      <c r="CE977" s="180"/>
      <c r="CF977" s="180"/>
      <c r="CG977" s="180"/>
      <c r="CH977" s="180"/>
      <c r="CI977" s="180"/>
      <c r="CJ977" s="180"/>
      <c r="CK977" s="180"/>
      <c r="CL977" s="180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</row>
    <row r="978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  <c r="AF978" s="180"/>
      <c r="AG978" s="180"/>
      <c r="AH978" s="180"/>
      <c r="AI978" s="180"/>
      <c r="AJ978" s="180"/>
      <c r="AK978" s="180"/>
      <c r="AL978" s="180"/>
      <c r="AM978" s="180"/>
      <c r="AN978" s="180"/>
      <c r="AO978" s="180"/>
      <c r="AP978" s="180"/>
      <c r="AQ978" s="180"/>
      <c r="AR978" s="180"/>
      <c r="AS978" s="180"/>
      <c r="AT978" s="180"/>
      <c r="AU978" s="180"/>
      <c r="AV978" s="180"/>
      <c r="AW978" s="180"/>
      <c r="AX978" s="180"/>
      <c r="AY978" s="180"/>
      <c r="AZ978" s="180"/>
      <c r="BA978" s="180"/>
      <c r="BB978" s="180"/>
      <c r="BC978" s="180"/>
      <c r="BD978" s="180"/>
      <c r="BE978" s="180"/>
      <c r="BF978" s="180"/>
      <c r="BG978" s="180"/>
      <c r="BH978" s="180"/>
      <c r="BI978" s="180"/>
      <c r="BJ978" s="180"/>
      <c r="BK978" s="180"/>
      <c r="BL978" s="180"/>
      <c r="BM978" s="180"/>
      <c r="BN978" s="180"/>
      <c r="BO978" s="180"/>
      <c r="BP978" s="180"/>
      <c r="BQ978" s="180"/>
      <c r="BR978" s="180"/>
      <c r="BS978" s="180"/>
      <c r="BT978" s="180"/>
      <c r="BU978" s="180"/>
      <c r="BV978" s="180"/>
      <c r="BW978" s="180"/>
      <c r="BX978" s="180"/>
      <c r="BY978" s="180"/>
      <c r="BZ978" s="180"/>
      <c r="CA978" s="180"/>
      <c r="CB978" s="180"/>
      <c r="CC978" s="180"/>
      <c r="CD978" s="180"/>
      <c r="CE978" s="180"/>
      <c r="CF978" s="180"/>
      <c r="CG978" s="180"/>
      <c r="CH978" s="180"/>
      <c r="CI978" s="180"/>
      <c r="CJ978" s="180"/>
      <c r="CK978" s="180"/>
      <c r="CL978" s="180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</row>
    <row r="979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  <c r="K979" s="180"/>
      <c r="L979" s="180"/>
      <c r="M979" s="180"/>
      <c r="N979" s="180"/>
      <c r="O979" s="180"/>
      <c r="P979" s="180"/>
      <c r="Q979" s="180"/>
      <c r="R979" s="180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  <c r="AF979" s="180"/>
      <c r="AG979" s="180"/>
      <c r="AH979" s="180"/>
      <c r="AI979" s="180"/>
      <c r="AJ979" s="180"/>
      <c r="AK979" s="180"/>
      <c r="AL979" s="180"/>
      <c r="AM979" s="180"/>
      <c r="AN979" s="180"/>
      <c r="AO979" s="180"/>
      <c r="AP979" s="180"/>
      <c r="AQ979" s="180"/>
      <c r="AR979" s="180"/>
      <c r="AS979" s="180"/>
      <c r="AT979" s="180"/>
      <c r="AU979" s="180"/>
      <c r="AV979" s="180"/>
      <c r="AW979" s="180"/>
      <c r="AX979" s="180"/>
      <c r="AY979" s="180"/>
      <c r="AZ979" s="180"/>
      <c r="BA979" s="180"/>
      <c r="BB979" s="180"/>
      <c r="BC979" s="180"/>
      <c r="BD979" s="180"/>
      <c r="BE979" s="180"/>
      <c r="BF979" s="180"/>
      <c r="BG979" s="180"/>
      <c r="BH979" s="180"/>
      <c r="BI979" s="180"/>
      <c r="BJ979" s="180"/>
      <c r="BK979" s="180"/>
      <c r="BL979" s="180"/>
      <c r="BM979" s="180"/>
      <c r="BN979" s="180"/>
      <c r="BO979" s="180"/>
      <c r="BP979" s="180"/>
      <c r="BQ979" s="180"/>
      <c r="BR979" s="180"/>
      <c r="BS979" s="180"/>
      <c r="BT979" s="180"/>
      <c r="BU979" s="180"/>
      <c r="BV979" s="180"/>
      <c r="BW979" s="180"/>
      <c r="BX979" s="180"/>
      <c r="BY979" s="180"/>
      <c r="BZ979" s="180"/>
      <c r="CA979" s="180"/>
      <c r="CB979" s="180"/>
      <c r="CC979" s="180"/>
      <c r="CD979" s="180"/>
      <c r="CE979" s="180"/>
      <c r="CF979" s="180"/>
      <c r="CG979" s="180"/>
      <c r="CH979" s="180"/>
      <c r="CI979" s="180"/>
      <c r="CJ979" s="180"/>
      <c r="CK979" s="180"/>
      <c r="CL979" s="180"/>
      <c r="CM979" s="180"/>
      <c r="CN979" s="180"/>
      <c r="CO979" s="180"/>
      <c r="CP979" s="180"/>
      <c r="CQ979" s="180"/>
      <c r="CR979" s="180"/>
      <c r="CS979" s="180"/>
      <c r="CT979" s="180"/>
      <c r="CU979" s="180"/>
      <c r="CV979" s="180"/>
      <c r="CW979" s="180"/>
      <c r="CX979" s="180"/>
      <c r="CY979" s="180"/>
      <c r="CZ979" s="180"/>
      <c r="DA979" s="180"/>
      <c r="DB979" s="180"/>
    </row>
    <row r="980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0"/>
      <c r="AG980" s="180"/>
      <c r="AH980" s="180"/>
      <c r="AI980" s="180"/>
      <c r="AJ980" s="180"/>
      <c r="AK980" s="180"/>
      <c r="AL980" s="180"/>
      <c r="AM980" s="180"/>
      <c r="AN980" s="180"/>
      <c r="AO980" s="180"/>
      <c r="AP980" s="180"/>
      <c r="AQ980" s="180"/>
      <c r="AR980" s="180"/>
      <c r="AS980" s="180"/>
      <c r="AT980" s="180"/>
      <c r="AU980" s="180"/>
      <c r="AV980" s="180"/>
      <c r="AW980" s="180"/>
      <c r="AX980" s="180"/>
      <c r="AY980" s="180"/>
      <c r="AZ980" s="180"/>
      <c r="BA980" s="180"/>
      <c r="BB980" s="180"/>
      <c r="BC980" s="180"/>
      <c r="BD980" s="180"/>
      <c r="BE980" s="180"/>
      <c r="BF980" s="180"/>
      <c r="BG980" s="180"/>
      <c r="BH980" s="180"/>
      <c r="BI980" s="180"/>
      <c r="BJ980" s="180"/>
      <c r="BK980" s="180"/>
      <c r="BL980" s="180"/>
      <c r="BM980" s="180"/>
      <c r="BN980" s="180"/>
      <c r="BO980" s="180"/>
      <c r="BP980" s="180"/>
      <c r="BQ980" s="180"/>
      <c r="BR980" s="180"/>
      <c r="BS980" s="180"/>
      <c r="BT980" s="180"/>
      <c r="BU980" s="180"/>
      <c r="BV980" s="180"/>
      <c r="BW980" s="180"/>
      <c r="BX980" s="180"/>
      <c r="BY980" s="180"/>
      <c r="BZ980" s="180"/>
      <c r="CA980" s="180"/>
      <c r="CB980" s="180"/>
      <c r="CC980" s="180"/>
      <c r="CD980" s="180"/>
      <c r="CE980" s="180"/>
      <c r="CF980" s="180"/>
      <c r="CG980" s="180"/>
      <c r="CH980" s="180"/>
      <c r="CI980" s="180"/>
      <c r="CJ980" s="180"/>
      <c r="CK980" s="180"/>
      <c r="CL980" s="180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</row>
    <row r="981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0"/>
      <c r="AG981" s="180"/>
      <c r="AH981" s="180"/>
      <c r="AI981" s="180"/>
      <c r="AJ981" s="180"/>
      <c r="AK981" s="180"/>
      <c r="AL981" s="180"/>
      <c r="AM981" s="180"/>
      <c r="AN981" s="180"/>
      <c r="AO981" s="180"/>
      <c r="AP981" s="180"/>
      <c r="AQ981" s="180"/>
      <c r="AR981" s="180"/>
      <c r="AS981" s="180"/>
      <c r="AT981" s="180"/>
      <c r="AU981" s="180"/>
      <c r="AV981" s="180"/>
      <c r="AW981" s="180"/>
      <c r="AX981" s="180"/>
      <c r="AY981" s="180"/>
      <c r="AZ981" s="180"/>
      <c r="BA981" s="180"/>
      <c r="BB981" s="180"/>
      <c r="BC981" s="180"/>
      <c r="BD981" s="180"/>
      <c r="BE981" s="180"/>
      <c r="BF981" s="180"/>
      <c r="BG981" s="180"/>
      <c r="BH981" s="180"/>
      <c r="BI981" s="180"/>
      <c r="BJ981" s="180"/>
      <c r="BK981" s="180"/>
      <c r="BL981" s="180"/>
      <c r="BM981" s="180"/>
      <c r="BN981" s="180"/>
      <c r="BO981" s="180"/>
      <c r="BP981" s="180"/>
      <c r="BQ981" s="180"/>
      <c r="BR981" s="180"/>
      <c r="BS981" s="180"/>
      <c r="BT981" s="180"/>
      <c r="BU981" s="180"/>
      <c r="BV981" s="180"/>
      <c r="BW981" s="180"/>
      <c r="BX981" s="180"/>
      <c r="BY981" s="180"/>
      <c r="BZ981" s="180"/>
      <c r="CA981" s="180"/>
      <c r="CB981" s="180"/>
      <c r="CC981" s="180"/>
      <c r="CD981" s="180"/>
      <c r="CE981" s="180"/>
      <c r="CF981" s="180"/>
      <c r="CG981" s="180"/>
      <c r="CH981" s="180"/>
      <c r="CI981" s="180"/>
      <c r="CJ981" s="180"/>
      <c r="CK981" s="180"/>
      <c r="CL981" s="180"/>
      <c r="CM981" s="180"/>
      <c r="CN981" s="180"/>
      <c r="CO981" s="180"/>
      <c r="CP981" s="180"/>
      <c r="CQ981" s="180"/>
      <c r="CR981" s="180"/>
      <c r="CS981" s="180"/>
      <c r="CT981" s="180"/>
      <c r="CU981" s="180"/>
      <c r="CV981" s="180"/>
      <c r="CW981" s="180"/>
      <c r="CX981" s="180"/>
      <c r="CY981" s="180"/>
      <c r="CZ981" s="180"/>
      <c r="DA981" s="180"/>
      <c r="DB981" s="180"/>
    </row>
    <row r="982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  <c r="AF982" s="180"/>
      <c r="AG982" s="180"/>
      <c r="AH982" s="180"/>
      <c r="AI982" s="180"/>
      <c r="AJ982" s="180"/>
      <c r="AK982" s="180"/>
      <c r="AL982" s="180"/>
      <c r="AM982" s="180"/>
      <c r="AN982" s="180"/>
      <c r="AO982" s="180"/>
      <c r="AP982" s="180"/>
      <c r="AQ982" s="180"/>
      <c r="AR982" s="180"/>
      <c r="AS982" s="180"/>
      <c r="AT982" s="180"/>
      <c r="AU982" s="180"/>
      <c r="AV982" s="180"/>
      <c r="AW982" s="180"/>
      <c r="AX982" s="180"/>
      <c r="AY982" s="180"/>
      <c r="AZ982" s="180"/>
      <c r="BA982" s="180"/>
      <c r="BB982" s="180"/>
      <c r="BC982" s="180"/>
      <c r="BD982" s="180"/>
      <c r="BE982" s="180"/>
      <c r="BF982" s="180"/>
      <c r="BG982" s="180"/>
      <c r="BH982" s="180"/>
      <c r="BI982" s="180"/>
      <c r="BJ982" s="180"/>
      <c r="BK982" s="180"/>
      <c r="BL982" s="180"/>
      <c r="BM982" s="180"/>
      <c r="BN982" s="180"/>
      <c r="BO982" s="180"/>
      <c r="BP982" s="180"/>
      <c r="BQ982" s="180"/>
      <c r="BR982" s="180"/>
      <c r="BS982" s="180"/>
      <c r="BT982" s="180"/>
      <c r="BU982" s="180"/>
      <c r="BV982" s="180"/>
      <c r="BW982" s="180"/>
      <c r="BX982" s="180"/>
      <c r="BY982" s="180"/>
      <c r="BZ982" s="180"/>
      <c r="CA982" s="180"/>
      <c r="CB982" s="180"/>
      <c r="CC982" s="180"/>
      <c r="CD982" s="180"/>
      <c r="CE982" s="180"/>
      <c r="CF982" s="180"/>
      <c r="CG982" s="180"/>
      <c r="CH982" s="180"/>
      <c r="CI982" s="180"/>
      <c r="CJ982" s="180"/>
      <c r="CK982" s="180"/>
      <c r="CL982" s="180"/>
      <c r="CM982" s="180"/>
      <c r="CN982" s="180"/>
      <c r="CO982" s="180"/>
      <c r="CP982" s="180"/>
      <c r="CQ982" s="180"/>
      <c r="CR982" s="180"/>
      <c r="CS982" s="180"/>
      <c r="CT982" s="180"/>
      <c r="CU982" s="180"/>
      <c r="CV982" s="180"/>
      <c r="CW982" s="180"/>
      <c r="CX982" s="180"/>
      <c r="CY982" s="180"/>
      <c r="CZ982" s="180"/>
      <c r="DA982" s="180"/>
      <c r="DB982" s="180"/>
    </row>
    <row r="983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0"/>
      <c r="AG983" s="180"/>
      <c r="AH983" s="180"/>
      <c r="AI983" s="180"/>
      <c r="AJ983" s="180"/>
      <c r="AK983" s="180"/>
      <c r="AL983" s="180"/>
      <c r="AM983" s="180"/>
      <c r="AN983" s="180"/>
      <c r="AO983" s="180"/>
      <c r="AP983" s="180"/>
      <c r="AQ983" s="180"/>
      <c r="AR983" s="180"/>
      <c r="AS983" s="180"/>
      <c r="AT983" s="180"/>
      <c r="AU983" s="180"/>
      <c r="AV983" s="180"/>
      <c r="AW983" s="180"/>
      <c r="AX983" s="180"/>
      <c r="AY983" s="180"/>
      <c r="AZ983" s="180"/>
      <c r="BA983" s="180"/>
      <c r="BB983" s="180"/>
      <c r="BC983" s="180"/>
      <c r="BD983" s="180"/>
      <c r="BE983" s="180"/>
      <c r="BF983" s="180"/>
      <c r="BG983" s="180"/>
      <c r="BH983" s="180"/>
      <c r="BI983" s="180"/>
      <c r="BJ983" s="180"/>
      <c r="BK983" s="180"/>
      <c r="BL983" s="180"/>
      <c r="BM983" s="180"/>
      <c r="BN983" s="180"/>
      <c r="BO983" s="180"/>
      <c r="BP983" s="180"/>
      <c r="BQ983" s="180"/>
      <c r="BR983" s="180"/>
      <c r="BS983" s="180"/>
      <c r="BT983" s="180"/>
      <c r="BU983" s="180"/>
      <c r="BV983" s="180"/>
      <c r="BW983" s="180"/>
      <c r="BX983" s="180"/>
      <c r="BY983" s="180"/>
      <c r="BZ983" s="180"/>
      <c r="CA983" s="180"/>
      <c r="CB983" s="180"/>
      <c r="CC983" s="180"/>
      <c r="CD983" s="180"/>
      <c r="CE983" s="180"/>
      <c r="CF983" s="180"/>
      <c r="CG983" s="180"/>
      <c r="CH983" s="180"/>
      <c r="CI983" s="180"/>
      <c r="CJ983" s="180"/>
      <c r="CK983" s="180"/>
      <c r="CL983" s="180"/>
      <c r="CM983" s="180"/>
      <c r="CN983" s="180"/>
      <c r="CO983" s="180"/>
      <c r="CP983" s="180"/>
      <c r="CQ983" s="180"/>
      <c r="CR983" s="180"/>
      <c r="CS983" s="180"/>
      <c r="CT983" s="180"/>
      <c r="CU983" s="180"/>
      <c r="CV983" s="180"/>
      <c r="CW983" s="180"/>
      <c r="CX983" s="180"/>
      <c r="CY983" s="180"/>
      <c r="CZ983" s="180"/>
      <c r="DA983" s="180"/>
      <c r="DB983" s="180"/>
    </row>
    <row r="984">
      <c r="A984" s="180"/>
      <c r="B984" s="180"/>
      <c r="C984" s="180"/>
      <c r="D984" s="180"/>
      <c r="E984" s="180"/>
      <c r="F984" s="180"/>
      <c r="G984" s="180"/>
      <c r="H984" s="180"/>
      <c r="I984" s="180"/>
      <c r="J984" s="180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0"/>
      <c r="AG984" s="180"/>
      <c r="AH984" s="180"/>
      <c r="AI984" s="180"/>
      <c r="AJ984" s="180"/>
      <c r="AK984" s="180"/>
      <c r="AL984" s="180"/>
      <c r="AM984" s="180"/>
      <c r="AN984" s="180"/>
      <c r="AO984" s="180"/>
      <c r="AP984" s="180"/>
      <c r="AQ984" s="180"/>
      <c r="AR984" s="180"/>
      <c r="AS984" s="180"/>
      <c r="AT984" s="180"/>
      <c r="AU984" s="180"/>
      <c r="AV984" s="180"/>
      <c r="AW984" s="180"/>
      <c r="AX984" s="180"/>
      <c r="AY984" s="180"/>
      <c r="AZ984" s="180"/>
      <c r="BA984" s="180"/>
      <c r="BB984" s="180"/>
      <c r="BC984" s="180"/>
      <c r="BD984" s="180"/>
      <c r="BE984" s="180"/>
      <c r="BF984" s="180"/>
      <c r="BG984" s="180"/>
      <c r="BH984" s="180"/>
      <c r="BI984" s="180"/>
      <c r="BJ984" s="180"/>
      <c r="BK984" s="180"/>
      <c r="BL984" s="180"/>
      <c r="BM984" s="180"/>
      <c r="BN984" s="180"/>
      <c r="BO984" s="180"/>
      <c r="BP984" s="180"/>
      <c r="BQ984" s="180"/>
      <c r="BR984" s="180"/>
      <c r="BS984" s="180"/>
      <c r="BT984" s="180"/>
      <c r="BU984" s="180"/>
      <c r="BV984" s="180"/>
      <c r="BW984" s="180"/>
      <c r="BX984" s="180"/>
      <c r="BY984" s="180"/>
      <c r="BZ984" s="180"/>
      <c r="CA984" s="180"/>
      <c r="CB984" s="180"/>
      <c r="CC984" s="180"/>
      <c r="CD984" s="180"/>
      <c r="CE984" s="180"/>
      <c r="CF984" s="180"/>
      <c r="CG984" s="180"/>
      <c r="CH984" s="180"/>
      <c r="CI984" s="180"/>
      <c r="CJ984" s="180"/>
      <c r="CK984" s="180"/>
      <c r="CL984" s="180"/>
      <c r="CM984" s="180"/>
      <c r="CN984" s="180"/>
      <c r="CO984" s="180"/>
      <c r="CP984" s="180"/>
      <c r="CQ984" s="180"/>
      <c r="CR984" s="180"/>
      <c r="CS984" s="180"/>
      <c r="CT984" s="180"/>
      <c r="CU984" s="180"/>
      <c r="CV984" s="180"/>
      <c r="CW984" s="180"/>
      <c r="CX984" s="180"/>
      <c r="CY984" s="180"/>
      <c r="CZ984" s="180"/>
      <c r="DA984" s="180"/>
      <c r="DB984" s="180"/>
    </row>
    <row r="985">
      <c r="A985" s="180"/>
      <c r="B985" s="180"/>
      <c r="C985" s="180"/>
      <c r="D985" s="180"/>
      <c r="E985" s="180"/>
      <c r="F985" s="180"/>
      <c r="G985" s="180"/>
      <c r="H985" s="180"/>
      <c r="I985" s="180"/>
      <c r="J985" s="180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  <c r="AB985" s="180"/>
      <c r="AC985" s="180"/>
      <c r="AD985" s="180"/>
      <c r="AE985" s="180"/>
      <c r="AF985" s="180"/>
      <c r="AG985" s="180"/>
      <c r="AH985" s="180"/>
      <c r="AI985" s="180"/>
      <c r="AJ985" s="180"/>
      <c r="AK985" s="180"/>
      <c r="AL985" s="180"/>
      <c r="AM985" s="180"/>
      <c r="AN985" s="180"/>
      <c r="AO985" s="180"/>
      <c r="AP985" s="180"/>
      <c r="AQ985" s="180"/>
      <c r="AR985" s="180"/>
      <c r="AS985" s="180"/>
      <c r="AT985" s="180"/>
      <c r="AU985" s="180"/>
      <c r="AV985" s="180"/>
      <c r="AW985" s="180"/>
      <c r="AX985" s="180"/>
      <c r="AY985" s="180"/>
      <c r="AZ985" s="180"/>
      <c r="BA985" s="180"/>
      <c r="BB985" s="180"/>
      <c r="BC985" s="180"/>
      <c r="BD985" s="180"/>
      <c r="BE985" s="180"/>
      <c r="BF985" s="180"/>
      <c r="BG985" s="180"/>
      <c r="BH985" s="180"/>
      <c r="BI985" s="180"/>
      <c r="BJ985" s="180"/>
      <c r="BK985" s="180"/>
      <c r="BL985" s="180"/>
      <c r="BM985" s="180"/>
      <c r="BN985" s="180"/>
      <c r="BO985" s="180"/>
      <c r="BP985" s="180"/>
      <c r="BQ985" s="180"/>
      <c r="BR985" s="180"/>
      <c r="BS985" s="180"/>
      <c r="BT985" s="180"/>
      <c r="BU985" s="180"/>
      <c r="BV985" s="180"/>
      <c r="BW985" s="180"/>
      <c r="BX985" s="180"/>
      <c r="BY985" s="180"/>
      <c r="BZ985" s="180"/>
      <c r="CA985" s="180"/>
      <c r="CB985" s="180"/>
      <c r="CC985" s="180"/>
      <c r="CD985" s="180"/>
      <c r="CE985" s="180"/>
      <c r="CF985" s="180"/>
      <c r="CG985" s="180"/>
      <c r="CH985" s="180"/>
      <c r="CI985" s="180"/>
      <c r="CJ985" s="180"/>
      <c r="CK985" s="180"/>
      <c r="CL985" s="180"/>
      <c r="CM985" s="180"/>
      <c r="CN985" s="180"/>
      <c r="CO985" s="180"/>
      <c r="CP985" s="180"/>
      <c r="CQ985" s="180"/>
      <c r="CR985" s="180"/>
      <c r="CS985" s="180"/>
      <c r="CT985" s="180"/>
      <c r="CU985" s="180"/>
      <c r="CV985" s="180"/>
      <c r="CW985" s="180"/>
      <c r="CX985" s="180"/>
      <c r="CY985" s="180"/>
      <c r="CZ985" s="180"/>
      <c r="DA985" s="180"/>
      <c r="DB985" s="180"/>
    </row>
    <row r="986">
      <c r="A986" s="180"/>
      <c r="B986" s="180"/>
      <c r="C986" s="180"/>
      <c r="D986" s="180"/>
      <c r="E986" s="180"/>
      <c r="F986" s="180"/>
      <c r="G986" s="180"/>
      <c r="H986" s="180"/>
      <c r="I986" s="180"/>
      <c r="J986" s="180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  <c r="AB986" s="180"/>
      <c r="AC986" s="180"/>
      <c r="AD986" s="180"/>
      <c r="AE986" s="180"/>
      <c r="AF986" s="180"/>
      <c r="AG986" s="180"/>
      <c r="AH986" s="180"/>
      <c r="AI986" s="180"/>
      <c r="AJ986" s="180"/>
      <c r="AK986" s="180"/>
      <c r="AL986" s="180"/>
      <c r="AM986" s="180"/>
      <c r="AN986" s="180"/>
      <c r="AO986" s="180"/>
      <c r="AP986" s="180"/>
      <c r="AQ986" s="180"/>
      <c r="AR986" s="180"/>
      <c r="AS986" s="180"/>
      <c r="AT986" s="180"/>
      <c r="AU986" s="180"/>
      <c r="AV986" s="180"/>
      <c r="AW986" s="180"/>
      <c r="AX986" s="180"/>
      <c r="AY986" s="180"/>
      <c r="AZ986" s="180"/>
      <c r="BA986" s="180"/>
      <c r="BB986" s="180"/>
      <c r="BC986" s="180"/>
      <c r="BD986" s="180"/>
      <c r="BE986" s="180"/>
      <c r="BF986" s="180"/>
      <c r="BG986" s="180"/>
      <c r="BH986" s="180"/>
      <c r="BI986" s="180"/>
      <c r="BJ986" s="180"/>
      <c r="BK986" s="180"/>
      <c r="BL986" s="180"/>
      <c r="BM986" s="180"/>
      <c r="BN986" s="180"/>
      <c r="BO986" s="180"/>
      <c r="BP986" s="180"/>
      <c r="BQ986" s="180"/>
      <c r="BR986" s="180"/>
      <c r="BS986" s="180"/>
      <c r="BT986" s="180"/>
      <c r="BU986" s="180"/>
      <c r="BV986" s="180"/>
      <c r="BW986" s="180"/>
      <c r="BX986" s="180"/>
      <c r="BY986" s="180"/>
      <c r="BZ986" s="180"/>
      <c r="CA986" s="180"/>
      <c r="CB986" s="180"/>
      <c r="CC986" s="180"/>
      <c r="CD986" s="180"/>
      <c r="CE986" s="180"/>
      <c r="CF986" s="180"/>
      <c r="CG986" s="180"/>
      <c r="CH986" s="180"/>
      <c r="CI986" s="180"/>
      <c r="CJ986" s="180"/>
      <c r="CK986" s="180"/>
      <c r="CL986" s="180"/>
      <c r="CM986" s="180"/>
      <c r="CN986" s="180"/>
      <c r="CO986" s="180"/>
      <c r="CP986" s="180"/>
      <c r="CQ986" s="180"/>
      <c r="CR986" s="180"/>
      <c r="CS986" s="180"/>
      <c r="CT986" s="180"/>
      <c r="CU986" s="180"/>
      <c r="CV986" s="180"/>
      <c r="CW986" s="180"/>
      <c r="CX986" s="180"/>
      <c r="CY986" s="180"/>
      <c r="CZ986" s="180"/>
      <c r="DA986" s="180"/>
      <c r="DB986" s="180"/>
    </row>
    <row r="987">
      <c r="A987" s="180"/>
      <c r="B987" s="180"/>
      <c r="C987" s="180"/>
      <c r="D987" s="180"/>
      <c r="E987" s="180"/>
      <c r="F987" s="180"/>
      <c r="G987" s="180"/>
      <c r="H987" s="180"/>
      <c r="I987" s="180"/>
      <c r="J987" s="180"/>
      <c r="K987" s="180"/>
      <c r="L987" s="180"/>
      <c r="M987" s="180"/>
      <c r="N987" s="180"/>
      <c r="O987" s="180"/>
      <c r="P987" s="180"/>
      <c r="Q987" s="180"/>
      <c r="R987" s="180"/>
      <c r="S987" s="180"/>
      <c r="T987" s="180"/>
      <c r="U987" s="180"/>
      <c r="V987" s="180"/>
      <c r="W987" s="180"/>
      <c r="X987" s="180"/>
      <c r="Y987" s="180"/>
      <c r="Z987" s="180"/>
      <c r="AA987" s="180"/>
      <c r="AB987" s="180"/>
      <c r="AC987" s="180"/>
      <c r="AD987" s="180"/>
      <c r="AE987" s="180"/>
      <c r="AF987" s="180"/>
      <c r="AG987" s="180"/>
      <c r="AH987" s="180"/>
      <c r="AI987" s="180"/>
      <c r="AJ987" s="180"/>
      <c r="AK987" s="180"/>
      <c r="AL987" s="180"/>
      <c r="AM987" s="180"/>
      <c r="AN987" s="180"/>
      <c r="AO987" s="180"/>
      <c r="AP987" s="180"/>
      <c r="AQ987" s="180"/>
      <c r="AR987" s="180"/>
      <c r="AS987" s="180"/>
      <c r="AT987" s="180"/>
      <c r="AU987" s="180"/>
      <c r="AV987" s="180"/>
      <c r="AW987" s="180"/>
      <c r="AX987" s="180"/>
      <c r="AY987" s="180"/>
      <c r="AZ987" s="180"/>
      <c r="BA987" s="180"/>
      <c r="BB987" s="180"/>
      <c r="BC987" s="180"/>
      <c r="BD987" s="180"/>
      <c r="BE987" s="180"/>
      <c r="BF987" s="180"/>
      <c r="BG987" s="180"/>
      <c r="BH987" s="180"/>
      <c r="BI987" s="180"/>
      <c r="BJ987" s="180"/>
      <c r="BK987" s="180"/>
      <c r="BL987" s="180"/>
      <c r="BM987" s="180"/>
      <c r="BN987" s="180"/>
      <c r="BO987" s="180"/>
      <c r="BP987" s="180"/>
      <c r="BQ987" s="180"/>
      <c r="BR987" s="180"/>
      <c r="BS987" s="180"/>
      <c r="BT987" s="180"/>
      <c r="BU987" s="180"/>
      <c r="BV987" s="180"/>
      <c r="BW987" s="180"/>
      <c r="BX987" s="180"/>
      <c r="BY987" s="180"/>
      <c r="BZ987" s="180"/>
      <c r="CA987" s="180"/>
      <c r="CB987" s="180"/>
      <c r="CC987" s="180"/>
      <c r="CD987" s="180"/>
      <c r="CE987" s="180"/>
      <c r="CF987" s="180"/>
      <c r="CG987" s="180"/>
      <c r="CH987" s="180"/>
      <c r="CI987" s="180"/>
      <c r="CJ987" s="180"/>
      <c r="CK987" s="180"/>
      <c r="CL987" s="180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</row>
    <row r="988">
      <c r="A988" s="180"/>
      <c r="B988" s="180"/>
      <c r="C988" s="180"/>
      <c r="D988" s="180"/>
      <c r="E988" s="180"/>
      <c r="F988" s="180"/>
      <c r="G988" s="180"/>
      <c r="H988" s="180"/>
      <c r="I988" s="180"/>
      <c r="J988" s="180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  <c r="AB988" s="180"/>
      <c r="AC988" s="180"/>
      <c r="AD988" s="180"/>
      <c r="AE988" s="180"/>
      <c r="AF988" s="180"/>
      <c r="AG988" s="180"/>
      <c r="AH988" s="180"/>
      <c r="AI988" s="180"/>
      <c r="AJ988" s="180"/>
      <c r="AK988" s="180"/>
      <c r="AL988" s="180"/>
      <c r="AM988" s="180"/>
      <c r="AN988" s="180"/>
      <c r="AO988" s="180"/>
      <c r="AP988" s="180"/>
      <c r="AQ988" s="180"/>
      <c r="AR988" s="180"/>
      <c r="AS988" s="180"/>
      <c r="AT988" s="180"/>
      <c r="AU988" s="180"/>
      <c r="AV988" s="180"/>
      <c r="AW988" s="180"/>
      <c r="AX988" s="180"/>
      <c r="AY988" s="180"/>
      <c r="AZ988" s="180"/>
      <c r="BA988" s="180"/>
      <c r="BB988" s="180"/>
      <c r="BC988" s="180"/>
      <c r="BD988" s="180"/>
      <c r="BE988" s="180"/>
      <c r="BF988" s="180"/>
      <c r="BG988" s="180"/>
      <c r="BH988" s="180"/>
      <c r="BI988" s="180"/>
      <c r="BJ988" s="180"/>
      <c r="BK988" s="180"/>
      <c r="BL988" s="180"/>
      <c r="BM988" s="180"/>
      <c r="BN988" s="180"/>
      <c r="BO988" s="180"/>
      <c r="BP988" s="180"/>
      <c r="BQ988" s="180"/>
      <c r="BR988" s="180"/>
      <c r="BS988" s="180"/>
      <c r="BT988" s="180"/>
      <c r="BU988" s="180"/>
      <c r="BV988" s="180"/>
      <c r="BW988" s="180"/>
      <c r="BX988" s="180"/>
      <c r="BY988" s="180"/>
      <c r="BZ988" s="180"/>
      <c r="CA988" s="180"/>
      <c r="CB988" s="180"/>
      <c r="CC988" s="180"/>
      <c r="CD988" s="180"/>
      <c r="CE988" s="180"/>
      <c r="CF988" s="180"/>
      <c r="CG988" s="180"/>
      <c r="CH988" s="180"/>
      <c r="CI988" s="180"/>
      <c r="CJ988" s="180"/>
      <c r="CK988" s="180"/>
      <c r="CL988" s="180"/>
      <c r="CM988" s="180"/>
      <c r="CN988" s="180"/>
      <c r="CO988" s="180"/>
      <c r="CP988" s="180"/>
      <c r="CQ988" s="180"/>
      <c r="CR988" s="180"/>
      <c r="CS988" s="180"/>
      <c r="CT988" s="180"/>
      <c r="CU988" s="180"/>
      <c r="CV988" s="180"/>
      <c r="CW988" s="180"/>
      <c r="CX988" s="180"/>
      <c r="CY988" s="180"/>
      <c r="CZ988" s="180"/>
      <c r="DA988" s="180"/>
      <c r="DB988" s="180"/>
    </row>
    <row r="989">
      <c r="A989" s="180"/>
      <c r="B989" s="180"/>
      <c r="C989" s="180"/>
      <c r="D989" s="180"/>
      <c r="E989" s="180"/>
      <c r="F989" s="180"/>
      <c r="G989" s="180"/>
      <c r="H989" s="180"/>
      <c r="I989" s="180"/>
      <c r="J989" s="180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  <c r="AB989" s="180"/>
      <c r="AC989" s="180"/>
      <c r="AD989" s="180"/>
      <c r="AE989" s="180"/>
      <c r="AF989" s="180"/>
      <c r="AG989" s="180"/>
      <c r="AH989" s="180"/>
      <c r="AI989" s="180"/>
      <c r="AJ989" s="180"/>
      <c r="AK989" s="180"/>
      <c r="AL989" s="180"/>
      <c r="AM989" s="180"/>
      <c r="AN989" s="180"/>
      <c r="AO989" s="180"/>
      <c r="AP989" s="180"/>
      <c r="AQ989" s="180"/>
      <c r="AR989" s="180"/>
      <c r="AS989" s="180"/>
      <c r="AT989" s="180"/>
      <c r="AU989" s="180"/>
      <c r="AV989" s="180"/>
      <c r="AW989" s="180"/>
      <c r="AX989" s="180"/>
      <c r="AY989" s="180"/>
      <c r="AZ989" s="180"/>
      <c r="BA989" s="180"/>
      <c r="BB989" s="180"/>
      <c r="BC989" s="180"/>
      <c r="BD989" s="180"/>
      <c r="BE989" s="180"/>
      <c r="BF989" s="180"/>
      <c r="BG989" s="180"/>
      <c r="BH989" s="180"/>
      <c r="BI989" s="180"/>
      <c r="BJ989" s="180"/>
      <c r="BK989" s="180"/>
      <c r="BL989" s="180"/>
      <c r="BM989" s="180"/>
      <c r="BN989" s="180"/>
      <c r="BO989" s="180"/>
      <c r="BP989" s="180"/>
      <c r="BQ989" s="180"/>
      <c r="BR989" s="180"/>
      <c r="BS989" s="180"/>
      <c r="BT989" s="180"/>
      <c r="BU989" s="180"/>
      <c r="BV989" s="180"/>
      <c r="BW989" s="180"/>
      <c r="BX989" s="180"/>
      <c r="BY989" s="180"/>
      <c r="BZ989" s="180"/>
      <c r="CA989" s="180"/>
      <c r="CB989" s="180"/>
      <c r="CC989" s="180"/>
      <c r="CD989" s="180"/>
      <c r="CE989" s="180"/>
      <c r="CF989" s="180"/>
      <c r="CG989" s="180"/>
      <c r="CH989" s="180"/>
      <c r="CI989" s="180"/>
      <c r="CJ989" s="180"/>
      <c r="CK989" s="180"/>
      <c r="CL989" s="180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</row>
    <row r="990">
      <c r="A990" s="180"/>
      <c r="B990" s="180"/>
      <c r="C990" s="180"/>
      <c r="D990" s="180"/>
      <c r="E990" s="180"/>
      <c r="F990" s="180"/>
      <c r="G990" s="180"/>
      <c r="H990" s="180"/>
      <c r="I990" s="180"/>
      <c r="J990" s="180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  <c r="AB990" s="180"/>
      <c r="AC990" s="180"/>
      <c r="AD990" s="180"/>
      <c r="AE990" s="180"/>
      <c r="AF990" s="180"/>
      <c r="AG990" s="180"/>
      <c r="AH990" s="180"/>
      <c r="AI990" s="180"/>
      <c r="AJ990" s="180"/>
      <c r="AK990" s="180"/>
      <c r="AL990" s="180"/>
      <c r="AM990" s="180"/>
      <c r="AN990" s="180"/>
      <c r="AO990" s="180"/>
      <c r="AP990" s="180"/>
      <c r="AQ990" s="180"/>
      <c r="AR990" s="180"/>
      <c r="AS990" s="180"/>
      <c r="AT990" s="180"/>
      <c r="AU990" s="180"/>
      <c r="AV990" s="180"/>
      <c r="AW990" s="180"/>
      <c r="AX990" s="180"/>
      <c r="AY990" s="180"/>
      <c r="AZ990" s="180"/>
      <c r="BA990" s="180"/>
      <c r="BB990" s="180"/>
      <c r="BC990" s="180"/>
      <c r="BD990" s="180"/>
      <c r="BE990" s="180"/>
      <c r="BF990" s="180"/>
      <c r="BG990" s="180"/>
      <c r="BH990" s="180"/>
      <c r="BI990" s="180"/>
      <c r="BJ990" s="180"/>
      <c r="BK990" s="180"/>
      <c r="BL990" s="180"/>
      <c r="BM990" s="180"/>
      <c r="BN990" s="180"/>
      <c r="BO990" s="180"/>
      <c r="BP990" s="180"/>
      <c r="BQ990" s="180"/>
      <c r="BR990" s="180"/>
      <c r="BS990" s="180"/>
      <c r="BT990" s="180"/>
      <c r="BU990" s="180"/>
      <c r="BV990" s="180"/>
      <c r="BW990" s="180"/>
      <c r="BX990" s="180"/>
      <c r="BY990" s="180"/>
      <c r="BZ990" s="180"/>
      <c r="CA990" s="180"/>
      <c r="CB990" s="180"/>
      <c r="CC990" s="180"/>
      <c r="CD990" s="180"/>
      <c r="CE990" s="180"/>
      <c r="CF990" s="180"/>
      <c r="CG990" s="180"/>
      <c r="CH990" s="180"/>
      <c r="CI990" s="180"/>
      <c r="CJ990" s="180"/>
      <c r="CK990" s="180"/>
      <c r="CL990" s="180"/>
      <c r="CM990" s="180"/>
      <c r="CN990" s="180"/>
      <c r="CO990" s="180"/>
      <c r="CP990" s="180"/>
      <c r="CQ990" s="180"/>
      <c r="CR990" s="180"/>
      <c r="CS990" s="180"/>
      <c r="CT990" s="180"/>
      <c r="CU990" s="180"/>
      <c r="CV990" s="180"/>
      <c r="CW990" s="180"/>
      <c r="CX990" s="180"/>
      <c r="CY990" s="180"/>
      <c r="CZ990" s="180"/>
      <c r="DA990" s="180"/>
      <c r="DB990" s="180"/>
    </row>
    <row r="991">
      <c r="A991" s="180"/>
      <c r="B991" s="180"/>
      <c r="C991" s="180"/>
      <c r="D991" s="180"/>
      <c r="E991" s="180"/>
      <c r="F991" s="180"/>
      <c r="G991" s="180"/>
      <c r="H991" s="180"/>
      <c r="I991" s="180"/>
      <c r="J991" s="180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  <c r="AB991" s="180"/>
      <c r="AC991" s="180"/>
      <c r="AD991" s="180"/>
      <c r="AE991" s="180"/>
      <c r="AF991" s="180"/>
      <c r="AG991" s="180"/>
      <c r="AH991" s="180"/>
      <c r="AI991" s="180"/>
      <c r="AJ991" s="180"/>
      <c r="AK991" s="180"/>
      <c r="AL991" s="180"/>
      <c r="AM991" s="180"/>
      <c r="AN991" s="180"/>
      <c r="AO991" s="180"/>
      <c r="AP991" s="180"/>
      <c r="AQ991" s="180"/>
      <c r="AR991" s="180"/>
      <c r="AS991" s="180"/>
      <c r="AT991" s="180"/>
      <c r="AU991" s="180"/>
      <c r="AV991" s="180"/>
      <c r="AW991" s="180"/>
      <c r="AX991" s="180"/>
      <c r="AY991" s="180"/>
      <c r="AZ991" s="180"/>
      <c r="BA991" s="180"/>
      <c r="BB991" s="180"/>
      <c r="BC991" s="180"/>
      <c r="BD991" s="180"/>
      <c r="BE991" s="180"/>
      <c r="BF991" s="180"/>
      <c r="BG991" s="180"/>
      <c r="BH991" s="180"/>
      <c r="BI991" s="180"/>
      <c r="BJ991" s="180"/>
      <c r="BK991" s="180"/>
      <c r="BL991" s="180"/>
      <c r="BM991" s="180"/>
      <c r="BN991" s="180"/>
      <c r="BO991" s="180"/>
      <c r="BP991" s="180"/>
      <c r="BQ991" s="180"/>
      <c r="BR991" s="180"/>
      <c r="BS991" s="180"/>
      <c r="BT991" s="180"/>
      <c r="BU991" s="180"/>
      <c r="BV991" s="180"/>
      <c r="BW991" s="180"/>
      <c r="BX991" s="180"/>
      <c r="BY991" s="180"/>
      <c r="BZ991" s="180"/>
      <c r="CA991" s="180"/>
      <c r="CB991" s="180"/>
      <c r="CC991" s="180"/>
      <c r="CD991" s="180"/>
      <c r="CE991" s="180"/>
      <c r="CF991" s="180"/>
      <c r="CG991" s="180"/>
      <c r="CH991" s="180"/>
      <c r="CI991" s="180"/>
      <c r="CJ991" s="180"/>
      <c r="CK991" s="180"/>
      <c r="CL991" s="180"/>
      <c r="CM991" s="180"/>
      <c r="CN991" s="180"/>
      <c r="CO991" s="180"/>
      <c r="CP991" s="180"/>
      <c r="CQ991" s="180"/>
      <c r="CR991" s="180"/>
      <c r="CS991" s="180"/>
      <c r="CT991" s="180"/>
      <c r="CU991" s="180"/>
      <c r="CV991" s="180"/>
      <c r="CW991" s="180"/>
      <c r="CX991" s="180"/>
      <c r="CY991" s="180"/>
      <c r="CZ991" s="180"/>
      <c r="DA991" s="180"/>
      <c r="DB991" s="180"/>
    </row>
    <row r="992">
      <c r="A992" s="180"/>
      <c r="B992" s="180"/>
      <c r="C992" s="180"/>
      <c r="D992" s="180"/>
      <c r="E992" s="180"/>
      <c r="F992" s="180"/>
      <c r="G992" s="180"/>
      <c r="H992" s="180"/>
      <c r="I992" s="180"/>
      <c r="J992" s="180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  <c r="AB992" s="180"/>
      <c r="AC992" s="180"/>
      <c r="AD992" s="180"/>
      <c r="AE992" s="180"/>
      <c r="AF992" s="180"/>
      <c r="AG992" s="180"/>
      <c r="AH992" s="180"/>
      <c r="AI992" s="180"/>
      <c r="AJ992" s="180"/>
      <c r="AK992" s="180"/>
      <c r="AL992" s="180"/>
      <c r="AM992" s="180"/>
      <c r="AN992" s="180"/>
      <c r="AO992" s="180"/>
      <c r="AP992" s="180"/>
      <c r="AQ992" s="180"/>
      <c r="AR992" s="180"/>
      <c r="AS992" s="180"/>
      <c r="AT992" s="180"/>
      <c r="AU992" s="180"/>
      <c r="AV992" s="180"/>
      <c r="AW992" s="180"/>
      <c r="AX992" s="180"/>
      <c r="AY992" s="180"/>
      <c r="AZ992" s="180"/>
      <c r="BA992" s="180"/>
      <c r="BB992" s="180"/>
      <c r="BC992" s="180"/>
      <c r="BD992" s="180"/>
      <c r="BE992" s="180"/>
      <c r="BF992" s="180"/>
      <c r="BG992" s="180"/>
      <c r="BH992" s="180"/>
      <c r="BI992" s="180"/>
      <c r="BJ992" s="180"/>
      <c r="BK992" s="180"/>
      <c r="BL992" s="180"/>
      <c r="BM992" s="180"/>
      <c r="BN992" s="180"/>
      <c r="BO992" s="180"/>
      <c r="BP992" s="180"/>
      <c r="BQ992" s="180"/>
      <c r="BR992" s="180"/>
      <c r="BS992" s="180"/>
      <c r="BT992" s="180"/>
      <c r="BU992" s="180"/>
      <c r="BV992" s="180"/>
      <c r="BW992" s="180"/>
      <c r="BX992" s="180"/>
      <c r="BY992" s="180"/>
      <c r="BZ992" s="180"/>
      <c r="CA992" s="180"/>
      <c r="CB992" s="180"/>
      <c r="CC992" s="180"/>
      <c r="CD992" s="180"/>
      <c r="CE992" s="180"/>
      <c r="CF992" s="180"/>
      <c r="CG992" s="180"/>
      <c r="CH992" s="180"/>
      <c r="CI992" s="180"/>
      <c r="CJ992" s="180"/>
      <c r="CK992" s="180"/>
      <c r="CL992" s="180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</row>
    <row r="993">
      <c r="A993" s="180"/>
      <c r="B993" s="180"/>
      <c r="C993" s="180"/>
      <c r="D993" s="180"/>
      <c r="E993" s="180"/>
      <c r="F993" s="180"/>
      <c r="G993" s="180"/>
      <c r="H993" s="180"/>
      <c r="I993" s="180"/>
      <c r="J993" s="180"/>
      <c r="K993" s="180"/>
      <c r="L993" s="180"/>
      <c r="M993" s="180"/>
      <c r="N993" s="180"/>
      <c r="O993" s="180"/>
      <c r="P993" s="180"/>
      <c r="Q993" s="180"/>
      <c r="R993" s="180"/>
      <c r="S993" s="180"/>
      <c r="T993" s="180"/>
      <c r="U993" s="180"/>
      <c r="V993" s="180"/>
      <c r="W993" s="180"/>
      <c r="X993" s="180"/>
      <c r="Y993" s="180"/>
      <c r="Z993" s="180"/>
      <c r="AA993" s="180"/>
      <c r="AB993" s="180"/>
      <c r="AC993" s="180"/>
      <c r="AD993" s="180"/>
      <c r="AE993" s="180"/>
      <c r="AF993" s="180"/>
      <c r="AG993" s="180"/>
      <c r="AH993" s="180"/>
      <c r="AI993" s="180"/>
      <c r="AJ993" s="180"/>
      <c r="AK993" s="180"/>
      <c r="AL993" s="180"/>
      <c r="AM993" s="180"/>
      <c r="AN993" s="180"/>
      <c r="AO993" s="180"/>
      <c r="AP993" s="180"/>
      <c r="AQ993" s="180"/>
      <c r="AR993" s="180"/>
      <c r="AS993" s="180"/>
      <c r="AT993" s="180"/>
      <c r="AU993" s="180"/>
      <c r="AV993" s="180"/>
      <c r="AW993" s="180"/>
      <c r="AX993" s="180"/>
      <c r="AY993" s="180"/>
      <c r="AZ993" s="180"/>
      <c r="BA993" s="180"/>
      <c r="BB993" s="180"/>
      <c r="BC993" s="180"/>
      <c r="BD993" s="180"/>
      <c r="BE993" s="180"/>
      <c r="BF993" s="180"/>
      <c r="BG993" s="180"/>
      <c r="BH993" s="180"/>
      <c r="BI993" s="180"/>
      <c r="BJ993" s="180"/>
      <c r="BK993" s="180"/>
      <c r="BL993" s="180"/>
      <c r="BM993" s="180"/>
      <c r="BN993" s="180"/>
      <c r="BO993" s="180"/>
      <c r="BP993" s="180"/>
      <c r="BQ993" s="180"/>
      <c r="BR993" s="180"/>
      <c r="BS993" s="180"/>
      <c r="BT993" s="180"/>
      <c r="BU993" s="180"/>
      <c r="BV993" s="180"/>
      <c r="BW993" s="180"/>
      <c r="BX993" s="180"/>
      <c r="BY993" s="180"/>
      <c r="BZ993" s="180"/>
      <c r="CA993" s="180"/>
      <c r="CB993" s="180"/>
      <c r="CC993" s="180"/>
      <c r="CD993" s="180"/>
      <c r="CE993" s="180"/>
      <c r="CF993" s="180"/>
      <c r="CG993" s="180"/>
      <c r="CH993" s="180"/>
      <c r="CI993" s="180"/>
      <c r="CJ993" s="180"/>
      <c r="CK993" s="180"/>
      <c r="CL993" s="180"/>
      <c r="CM993" s="180"/>
      <c r="CN993" s="180"/>
      <c r="CO993" s="180"/>
      <c r="CP993" s="180"/>
      <c r="CQ993" s="180"/>
      <c r="CR993" s="180"/>
      <c r="CS993" s="180"/>
      <c r="CT993" s="180"/>
      <c r="CU993" s="180"/>
      <c r="CV993" s="180"/>
      <c r="CW993" s="180"/>
      <c r="CX993" s="180"/>
      <c r="CY993" s="180"/>
      <c r="CZ993" s="180"/>
      <c r="DA993" s="180"/>
      <c r="DB993" s="180"/>
    </row>
    <row r="994">
      <c r="A994" s="180"/>
      <c r="B994" s="180"/>
      <c r="C994" s="180"/>
      <c r="D994" s="180"/>
      <c r="E994" s="180"/>
      <c r="F994" s="180"/>
      <c r="G994" s="180"/>
      <c r="H994" s="180"/>
      <c r="I994" s="180"/>
      <c r="J994" s="180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0"/>
      <c r="AG994" s="180"/>
      <c r="AH994" s="180"/>
      <c r="AI994" s="180"/>
      <c r="AJ994" s="180"/>
      <c r="AK994" s="180"/>
      <c r="AL994" s="180"/>
      <c r="AM994" s="180"/>
      <c r="AN994" s="180"/>
      <c r="AO994" s="180"/>
      <c r="AP994" s="180"/>
      <c r="AQ994" s="180"/>
      <c r="AR994" s="180"/>
      <c r="AS994" s="180"/>
      <c r="AT994" s="180"/>
      <c r="AU994" s="180"/>
      <c r="AV994" s="180"/>
      <c r="AW994" s="180"/>
      <c r="AX994" s="180"/>
      <c r="AY994" s="180"/>
      <c r="AZ994" s="180"/>
      <c r="BA994" s="180"/>
      <c r="BB994" s="180"/>
      <c r="BC994" s="180"/>
      <c r="BD994" s="180"/>
      <c r="BE994" s="180"/>
      <c r="BF994" s="180"/>
      <c r="BG994" s="180"/>
      <c r="BH994" s="180"/>
      <c r="BI994" s="180"/>
      <c r="BJ994" s="180"/>
      <c r="BK994" s="180"/>
      <c r="BL994" s="180"/>
      <c r="BM994" s="180"/>
      <c r="BN994" s="180"/>
      <c r="BO994" s="180"/>
      <c r="BP994" s="180"/>
      <c r="BQ994" s="180"/>
      <c r="BR994" s="180"/>
      <c r="BS994" s="180"/>
      <c r="BT994" s="180"/>
      <c r="BU994" s="180"/>
      <c r="BV994" s="180"/>
      <c r="BW994" s="180"/>
      <c r="BX994" s="180"/>
      <c r="BY994" s="180"/>
      <c r="BZ994" s="180"/>
      <c r="CA994" s="180"/>
      <c r="CB994" s="180"/>
      <c r="CC994" s="180"/>
      <c r="CD994" s="180"/>
      <c r="CE994" s="180"/>
      <c r="CF994" s="180"/>
      <c r="CG994" s="180"/>
      <c r="CH994" s="180"/>
      <c r="CI994" s="180"/>
      <c r="CJ994" s="180"/>
      <c r="CK994" s="180"/>
      <c r="CL994" s="180"/>
      <c r="CM994" s="180"/>
      <c r="CN994" s="180"/>
      <c r="CO994" s="180"/>
      <c r="CP994" s="180"/>
      <c r="CQ994" s="180"/>
      <c r="CR994" s="180"/>
      <c r="CS994" s="180"/>
      <c r="CT994" s="180"/>
      <c r="CU994" s="180"/>
      <c r="CV994" s="180"/>
      <c r="CW994" s="180"/>
      <c r="CX994" s="180"/>
      <c r="CY994" s="180"/>
      <c r="CZ994" s="180"/>
      <c r="DA994" s="180"/>
      <c r="DB994" s="180"/>
    </row>
    <row r="995">
      <c r="A995" s="180"/>
      <c r="B995" s="180"/>
      <c r="C995" s="180"/>
      <c r="D995" s="180"/>
      <c r="E995" s="180"/>
      <c r="F995" s="180"/>
      <c r="G995" s="180"/>
      <c r="H995" s="180"/>
      <c r="I995" s="180"/>
      <c r="J995" s="180"/>
      <c r="K995" s="180"/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0"/>
      <c r="AN995" s="180"/>
      <c r="AO995" s="180"/>
      <c r="AP995" s="180"/>
      <c r="AQ995" s="180"/>
      <c r="AR995" s="180"/>
      <c r="AS995" s="180"/>
      <c r="AT995" s="180"/>
      <c r="AU995" s="180"/>
      <c r="AV995" s="180"/>
      <c r="AW995" s="180"/>
      <c r="AX995" s="180"/>
      <c r="AY995" s="180"/>
      <c r="AZ995" s="180"/>
      <c r="BA995" s="180"/>
      <c r="BB995" s="180"/>
      <c r="BC995" s="180"/>
      <c r="BD995" s="180"/>
      <c r="BE995" s="180"/>
      <c r="BF995" s="180"/>
      <c r="BG995" s="180"/>
      <c r="BH995" s="180"/>
      <c r="BI995" s="180"/>
      <c r="BJ995" s="180"/>
      <c r="BK995" s="180"/>
      <c r="BL995" s="180"/>
      <c r="BM995" s="180"/>
      <c r="BN995" s="180"/>
      <c r="BO995" s="180"/>
      <c r="BP995" s="180"/>
      <c r="BQ995" s="180"/>
      <c r="BR995" s="180"/>
      <c r="BS995" s="180"/>
      <c r="BT995" s="180"/>
      <c r="BU995" s="180"/>
      <c r="BV995" s="180"/>
      <c r="BW995" s="180"/>
      <c r="BX995" s="180"/>
      <c r="BY995" s="180"/>
      <c r="BZ995" s="180"/>
      <c r="CA995" s="180"/>
      <c r="CB995" s="180"/>
      <c r="CC995" s="180"/>
      <c r="CD995" s="180"/>
      <c r="CE995" s="180"/>
      <c r="CF995" s="180"/>
      <c r="CG995" s="180"/>
      <c r="CH995" s="180"/>
      <c r="CI995" s="180"/>
      <c r="CJ995" s="180"/>
      <c r="CK995" s="180"/>
      <c r="CL995" s="180"/>
      <c r="CM995" s="180"/>
      <c r="CN995" s="180"/>
      <c r="CO995" s="180"/>
      <c r="CP995" s="180"/>
      <c r="CQ995" s="180"/>
      <c r="CR995" s="180"/>
      <c r="CS995" s="180"/>
      <c r="CT995" s="180"/>
      <c r="CU995" s="180"/>
      <c r="CV995" s="180"/>
      <c r="CW995" s="180"/>
      <c r="CX995" s="180"/>
      <c r="CY995" s="180"/>
      <c r="CZ995" s="180"/>
      <c r="DA995" s="180"/>
      <c r="DB995" s="180"/>
    </row>
    <row r="996">
      <c r="A996" s="180"/>
      <c r="B996" s="180"/>
      <c r="C996" s="180"/>
      <c r="D996" s="180"/>
      <c r="E996" s="180"/>
      <c r="F996" s="180"/>
      <c r="G996" s="180"/>
      <c r="H996" s="180"/>
      <c r="I996" s="180"/>
      <c r="J996" s="180"/>
      <c r="K996" s="180"/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  <c r="AB996" s="180"/>
      <c r="AC996" s="180"/>
      <c r="AD996" s="180"/>
      <c r="AE996" s="180"/>
      <c r="AF996" s="180"/>
      <c r="AG996" s="180"/>
      <c r="AH996" s="180"/>
      <c r="AI996" s="180"/>
      <c r="AJ996" s="180"/>
      <c r="AK996" s="180"/>
      <c r="AL996" s="180"/>
      <c r="AM996" s="180"/>
      <c r="AN996" s="180"/>
      <c r="AO996" s="180"/>
      <c r="AP996" s="180"/>
      <c r="AQ996" s="180"/>
      <c r="AR996" s="180"/>
      <c r="AS996" s="180"/>
      <c r="AT996" s="180"/>
      <c r="AU996" s="180"/>
      <c r="AV996" s="180"/>
      <c r="AW996" s="180"/>
      <c r="AX996" s="180"/>
      <c r="AY996" s="180"/>
      <c r="AZ996" s="180"/>
      <c r="BA996" s="180"/>
      <c r="BB996" s="180"/>
      <c r="BC996" s="180"/>
      <c r="BD996" s="180"/>
      <c r="BE996" s="180"/>
      <c r="BF996" s="180"/>
      <c r="BG996" s="180"/>
      <c r="BH996" s="180"/>
      <c r="BI996" s="180"/>
      <c r="BJ996" s="180"/>
      <c r="BK996" s="180"/>
      <c r="BL996" s="180"/>
      <c r="BM996" s="180"/>
      <c r="BN996" s="180"/>
      <c r="BO996" s="180"/>
      <c r="BP996" s="180"/>
      <c r="BQ996" s="180"/>
      <c r="BR996" s="180"/>
      <c r="BS996" s="180"/>
      <c r="BT996" s="180"/>
      <c r="BU996" s="180"/>
      <c r="BV996" s="180"/>
      <c r="BW996" s="180"/>
      <c r="BX996" s="180"/>
      <c r="BY996" s="180"/>
      <c r="BZ996" s="180"/>
      <c r="CA996" s="180"/>
      <c r="CB996" s="180"/>
      <c r="CC996" s="180"/>
      <c r="CD996" s="180"/>
      <c r="CE996" s="180"/>
      <c r="CF996" s="180"/>
      <c r="CG996" s="180"/>
      <c r="CH996" s="180"/>
      <c r="CI996" s="180"/>
      <c r="CJ996" s="180"/>
      <c r="CK996" s="180"/>
      <c r="CL996" s="180"/>
      <c r="CM996" s="180"/>
      <c r="CN996" s="180"/>
      <c r="CO996" s="180"/>
      <c r="CP996" s="180"/>
      <c r="CQ996" s="180"/>
      <c r="CR996" s="180"/>
      <c r="CS996" s="180"/>
      <c r="CT996" s="180"/>
      <c r="CU996" s="180"/>
      <c r="CV996" s="180"/>
      <c r="CW996" s="180"/>
      <c r="CX996" s="180"/>
      <c r="CY996" s="180"/>
      <c r="CZ996" s="180"/>
      <c r="DA996" s="180"/>
      <c r="DB996" s="180"/>
    </row>
    <row r="997">
      <c r="A997" s="180"/>
      <c r="B997" s="180"/>
      <c r="C997" s="180"/>
      <c r="D997" s="180"/>
      <c r="E997" s="180"/>
      <c r="F997" s="180"/>
      <c r="G997" s="180"/>
      <c r="H997" s="180"/>
      <c r="I997" s="180"/>
      <c r="J997" s="180"/>
      <c r="K997" s="180"/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  <c r="AB997" s="180"/>
      <c r="AC997" s="180"/>
      <c r="AD997" s="180"/>
      <c r="AE997" s="180"/>
      <c r="AF997" s="180"/>
      <c r="AG997" s="180"/>
      <c r="AH997" s="180"/>
      <c r="AI997" s="180"/>
      <c r="AJ997" s="180"/>
      <c r="AK997" s="180"/>
      <c r="AL997" s="180"/>
      <c r="AM997" s="180"/>
      <c r="AN997" s="180"/>
      <c r="AO997" s="180"/>
      <c r="AP997" s="180"/>
      <c r="AQ997" s="180"/>
      <c r="AR997" s="180"/>
      <c r="AS997" s="180"/>
      <c r="AT997" s="180"/>
      <c r="AU997" s="180"/>
      <c r="AV997" s="180"/>
      <c r="AW997" s="180"/>
      <c r="AX997" s="180"/>
      <c r="AY997" s="180"/>
      <c r="AZ997" s="180"/>
      <c r="BA997" s="180"/>
      <c r="BB997" s="180"/>
      <c r="BC997" s="180"/>
      <c r="BD997" s="180"/>
      <c r="BE997" s="180"/>
      <c r="BF997" s="180"/>
      <c r="BG997" s="180"/>
      <c r="BH997" s="180"/>
      <c r="BI997" s="180"/>
      <c r="BJ997" s="180"/>
      <c r="BK997" s="180"/>
      <c r="BL997" s="180"/>
      <c r="BM997" s="180"/>
      <c r="BN997" s="180"/>
      <c r="BO997" s="180"/>
      <c r="BP997" s="180"/>
      <c r="BQ997" s="180"/>
      <c r="BR997" s="180"/>
      <c r="BS997" s="180"/>
      <c r="BT997" s="180"/>
      <c r="BU997" s="180"/>
      <c r="BV997" s="180"/>
      <c r="BW997" s="180"/>
      <c r="BX997" s="180"/>
      <c r="BY997" s="180"/>
      <c r="BZ997" s="180"/>
      <c r="CA997" s="180"/>
      <c r="CB997" s="180"/>
      <c r="CC997" s="180"/>
      <c r="CD997" s="180"/>
      <c r="CE997" s="180"/>
      <c r="CF997" s="180"/>
      <c r="CG997" s="180"/>
      <c r="CH997" s="180"/>
      <c r="CI997" s="180"/>
      <c r="CJ997" s="180"/>
      <c r="CK997" s="180"/>
      <c r="CL997" s="180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</row>
    <row r="998">
      <c r="A998" s="180"/>
      <c r="B998" s="180"/>
      <c r="C998" s="180"/>
      <c r="D998" s="180"/>
      <c r="E998" s="180"/>
      <c r="F998" s="180"/>
      <c r="G998" s="180"/>
      <c r="H998" s="180"/>
      <c r="I998" s="180"/>
      <c r="J998" s="180"/>
      <c r="K998" s="180"/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  <c r="AB998" s="180"/>
      <c r="AC998" s="180"/>
      <c r="AD998" s="180"/>
      <c r="AE998" s="180"/>
      <c r="AF998" s="180"/>
      <c r="AG998" s="180"/>
      <c r="AH998" s="180"/>
      <c r="AI998" s="180"/>
      <c r="AJ998" s="180"/>
      <c r="AK998" s="180"/>
      <c r="AL998" s="180"/>
      <c r="AM998" s="180"/>
      <c r="AN998" s="180"/>
      <c r="AO998" s="180"/>
      <c r="AP998" s="180"/>
      <c r="AQ998" s="180"/>
      <c r="AR998" s="180"/>
      <c r="AS998" s="180"/>
      <c r="AT998" s="180"/>
      <c r="AU998" s="180"/>
      <c r="AV998" s="180"/>
      <c r="AW998" s="180"/>
      <c r="AX998" s="180"/>
      <c r="AY998" s="180"/>
      <c r="AZ998" s="180"/>
      <c r="BA998" s="180"/>
      <c r="BB998" s="180"/>
      <c r="BC998" s="180"/>
      <c r="BD998" s="180"/>
      <c r="BE998" s="180"/>
      <c r="BF998" s="180"/>
      <c r="BG998" s="180"/>
      <c r="BH998" s="180"/>
      <c r="BI998" s="180"/>
      <c r="BJ998" s="180"/>
      <c r="BK998" s="180"/>
      <c r="BL998" s="180"/>
      <c r="BM998" s="180"/>
      <c r="BN998" s="180"/>
      <c r="BO998" s="180"/>
      <c r="BP998" s="180"/>
      <c r="BQ998" s="180"/>
      <c r="BR998" s="180"/>
      <c r="BS998" s="180"/>
      <c r="BT998" s="180"/>
      <c r="BU998" s="180"/>
      <c r="BV998" s="180"/>
      <c r="BW998" s="180"/>
      <c r="BX998" s="180"/>
      <c r="BY998" s="180"/>
      <c r="BZ998" s="180"/>
      <c r="CA998" s="180"/>
      <c r="CB998" s="180"/>
      <c r="CC998" s="180"/>
      <c r="CD998" s="180"/>
      <c r="CE998" s="180"/>
      <c r="CF998" s="180"/>
      <c r="CG998" s="180"/>
      <c r="CH998" s="180"/>
      <c r="CI998" s="180"/>
      <c r="CJ998" s="180"/>
      <c r="CK998" s="180"/>
      <c r="CL998" s="180"/>
      <c r="CM998" s="180"/>
      <c r="CN998" s="180"/>
      <c r="CO998" s="180"/>
      <c r="CP998" s="180"/>
      <c r="CQ998" s="180"/>
      <c r="CR998" s="180"/>
      <c r="CS998" s="180"/>
      <c r="CT998" s="180"/>
      <c r="CU998" s="180"/>
      <c r="CV998" s="180"/>
      <c r="CW998" s="180"/>
      <c r="CX998" s="180"/>
      <c r="CY998" s="180"/>
      <c r="CZ998" s="180"/>
      <c r="DA998" s="180"/>
      <c r="DB998" s="180"/>
    </row>
    <row r="999">
      <c r="A999" s="180"/>
      <c r="B999" s="180"/>
      <c r="C999" s="180"/>
      <c r="D999" s="180"/>
      <c r="E999" s="180"/>
      <c r="F999" s="180"/>
      <c r="G999" s="180"/>
      <c r="H999" s="180"/>
      <c r="I999" s="180"/>
      <c r="J999" s="180"/>
      <c r="K999" s="180"/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  <c r="AB999" s="180"/>
      <c r="AC999" s="180"/>
      <c r="AD999" s="180"/>
      <c r="AE999" s="180"/>
      <c r="AF999" s="180"/>
      <c r="AG999" s="180"/>
      <c r="AH999" s="180"/>
      <c r="AI999" s="180"/>
      <c r="AJ999" s="180"/>
      <c r="AK999" s="180"/>
      <c r="AL999" s="180"/>
      <c r="AM999" s="180"/>
      <c r="AN999" s="180"/>
      <c r="AO999" s="180"/>
      <c r="AP999" s="180"/>
      <c r="AQ999" s="180"/>
      <c r="AR999" s="180"/>
      <c r="AS999" s="180"/>
      <c r="AT999" s="180"/>
      <c r="AU999" s="180"/>
      <c r="AV999" s="180"/>
      <c r="AW999" s="180"/>
      <c r="AX999" s="180"/>
      <c r="AY999" s="180"/>
      <c r="AZ999" s="180"/>
      <c r="BA999" s="180"/>
      <c r="BB999" s="180"/>
      <c r="BC999" s="180"/>
      <c r="BD999" s="180"/>
      <c r="BE999" s="180"/>
      <c r="BF999" s="180"/>
      <c r="BG999" s="180"/>
      <c r="BH999" s="180"/>
      <c r="BI999" s="180"/>
      <c r="BJ999" s="180"/>
      <c r="BK999" s="180"/>
      <c r="BL999" s="180"/>
      <c r="BM999" s="180"/>
      <c r="BN999" s="180"/>
      <c r="BO999" s="180"/>
      <c r="BP999" s="180"/>
      <c r="BQ999" s="180"/>
      <c r="BR999" s="180"/>
      <c r="BS999" s="180"/>
      <c r="BT999" s="180"/>
      <c r="BU999" s="180"/>
      <c r="BV999" s="180"/>
      <c r="BW999" s="180"/>
      <c r="BX999" s="180"/>
      <c r="BY999" s="180"/>
      <c r="BZ999" s="180"/>
      <c r="CA999" s="180"/>
      <c r="CB999" s="180"/>
      <c r="CC999" s="180"/>
      <c r="CD999" s="180"/>
      <c r="CE999" s="180"/>
      <c r="CF999" s="180"/>
      <c r="CG999" s="180"/>
      <c r="CH999" s="180"/>
      <c r="CI999" s="180"/>
      <c r="CJ999" s="180"/>
      <c r="CK999" s="180"/>
      <c r="CL999" s="180"/>
      <c r="CM999" s="180"/>
      <c r="CN999" s="180"/>
      <c r="CO999" s="180"/>
      <c r="CP999" s="180"/>
      <c r="CQ999" s="180"/>
      <c r="CR999" s="180"/>
      <c r="CS999" s="180"/>
      <c r="CT999" s="180"/>
      <c r="CU999" s="180"/>
      <c r="CV999" s="180"/>
      <c r="CW999" s="180"/>
      <c r="CX999" s="180"/>
      <c r="CY999" s="180"/>
      <c r="CZ999" s="180"/>
      <c r="DA999" s="180"/>
      <c r="DB999" s="180"/>
    </row>
    <row r="1000">
      <c r="A1000" s="180"/>
      <c r="B1000" s="180"/>
      <c r="C1000" s="180"/>
      <c r="D1000" s="180"/>
      <c r="E1000" s="180"/>
      <c r="F1000" s="180"/>
      <c r="G1000" s="180"/>
      <c r="H1000" s="180"/>
      <c r="I1000" s="180"/>
      <c r="J1000" s="180"/>
      <c r="K1000" s="180"/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  <c r="AB1000" s="180"/>
      <c r="AC1000" s="180"/>
      <c r="AD1000" s="180"/>
      <c r="AE1000" s="180"/>
      <c r="AF1000" s="180"/>
      <c r="AG1000" s="180"/>
      <c r="AH1000" s="180"/>
      <c r="AI1000" s="180"/>
      <c r="AJ1000" s="180"/>
      <c r="AK1000" s="180"/>
      <c r="AL1000" s="180"/>
      <c r="AM1000" s="180"/>
      <c r="AN1000" s="180"/>
      <c r="AO1000" s="180"/>
      <c r="AP1000" s="180"/>
      <c r="AQ1000" s="180"/>
      <c r="AR1000" s="180"/>
      <c r="AS1000" s="180"/>
      <c r="AT1000" s="180"/>
      <c r="AU1000" s="180"/>
      <c r="AV1000" s="180"/>
      <c r="AW1000" s="180"/>
      <c r="AX1000" s="180"/>
      <c r="AY1000" s="180"/>
      <c r="AZ1000" s="180"/>
      <c r="BA1000" s="180"/>
      <c r="BB1000" s="180"/>
      <c r="BC1000" s="180"/>
      <c r="BD1000" s="180"/>
      <c r="BE1000" s="180"/>
      <c r="BF1000" s="180"/>
      <c r="BG1000" s="180"/>
      <c r="BH1000" s="180"/>
      <c r="BI1000" s="180"/>
      <c r="BJ1000" s="180"/>
      <c r="BK1000" s="180"/>
      <c r="BL1000" s="180"/>
      <c r="BM1000" s="180"/>
      <c r="BN1000" s="180"/>
      <c r="BO1000" s="180"/>
      <c r="BP1000" s="180"/>
      <c r="BQ1000" s="180"/>
      <c r="BR1000" s="180"/>
      <c r="BS1000" s="180"/>
      <c r="BT1000" s="180"/>
      <c r="BU1000" s="180"/>
      <c r="BV1000" s="180"/>
      <c r="BW1000" s="180"/>
      <c r="BX1000" s="180"/>
      <c r="BY1000" s="180"/>
      <c r="BZ1000" s="180"/>
      <c r="CA1000" s="180"/>
      <c r="CB1000" s="180"/>
      <c r="CC1000" s="180"/>
      <c r="CD1000" s="180"/>
      <c r="CE1000" s="180"/>
      <c r="CF1000" s="180"/>
      <c r="CG1000" s="180"/>
      <c r="CH1000" s="180"/>
      <c r="CI1000" s="180"/>
      <c r="CJ1000" s="180"/>
      <c r="CK1000" s="180"/>
      <c r="CL1000" s="180"/>
      <c r="CM1000" s="180"/>
      <c r="CN1000" s="180"/>
      <c r="CO1000" s="180"/>
      <c r="CP1000" s="180"/>
      <c r="CQ1000" s="180"/>
      <c r="CR1000" s="180"/>
      <c r="CS1000" s="180"/>
      <c r="CT1000" s="180"/>
      <c r="CU1000" s="180"/>
      <c r="CV1000" s="180"/>
      <c r="CW1000" s="180"/>
      <c r="CX1000" s="180"/>
      <c r="CY1000" s="180"/>
      <c r="CZ1000" s="180"/>
      <c r="DA1000" s="180"/>
      <c r="DB1000" s="180"/>
    </row>
  </sheetData>
  <hyperlinks>
    <hyperlink r:id="rId1" ref="CO3"/>
    <hyperlink r:id="rId2" ref="CO6"/>
    <hyperlink r:id="rId3" ref="CO8"/>
    <hyperlink r:id="rId4" ref="CO10"/>
    <hyperlink r:id="rId5" ref="CO11"/>
    <hyperlink r:id="rId6" ref="CO14"/>
    <hyperlink r:id="rId7" ref="CO24"/>
    <hyperlink r:id="rId8" ref="CO27"/>
    <hyperlink r:id="rId9" ref="CO36"/>
    <hyperlink r:id="rId10" ref="CO37"/>
    <hyperlink r:id="rId11" ref="CO42"/>
  </hyperlinks>
  <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27.63"/>
  </cols>
  <sheetData>
    <row r="1">
      <c r="A1" s="218" t="s">
        <v>661</v>
      </c>
    </row>
    <row r="2">
      <c r="A2" s="235"/>
    </row>
    <row r="3">
      <c r="A3" s="235"/>
    </row>
    <row r="4">
      <c r="A4" s="235"/>
    </row>
    <row r="5">
      <c r="A5" s="235"/>
    </row>
    <row r="6">
      <c r="A6" s="235"/>
    </row>
    <row r="7">
      <c r="A7" s="235"/>
    </row>
    <row r="8">
      <c r="A8" s="235"/>
    </row>
    <row r="9">
      <c r="A9" s="235"/>
    </row>
    <row r="10">
      <c r="A10" s="235"/>
    </row>
    <row r="11">
      <c r="A11" s="235"/>
    </row>
    <row r="12">
      <c r="A12" s="235"/>
    </row>
    <row r="13">
      <c r="A13" s="235"/>
    </row>
    <row r="14">
      <c r="A14" s="235"/>
    </row>
    <row r="15">
      <c r="A15" s="235"/>
    </row>
    <row r="16">
      <c r="A16" s="235"/>
    </row>
    <row r="17">
      <c r="A17" s="235"/>
    </row>
    <row r="18">
      <c r="A18" s="235"/>
    </row>
    <row r="19">
      <c r="A19" s="235"/>
    </row>
    <row r="20">
      <c r="A20" s="235"/>
    </row>
    <row r="21">
      <c r="A21" s="235"/>
    </row>
    <row r="22">
      <c r="A22" s="235"/>
    </row>
    <row r="23">
      <c r="A23" s="235"/>
    </row>
    <row r="24">
      <c r="A24" s="235"/>
    </row>
    <row r="25">
      <c r="A25" s="235"/>
    </row>
    <row r="26">
      <c r="A26" s="235"/>
    </row>
    <row r="27">
      <c r="A27" s="235"/>
    </row>
    <row r="28">
      <c r="A28" s="235"/>
    </row>
    <row r="29">
      <c r="A29" s="235"/>
    </row>
    <row r="30">
      <c r="A30" s="235"/>
    </row>
    <row r="31">
      <c r="A31" s="235"/>
    </row>
    <row r="32">
      <c r="A32" s="235"/>
    </row>
    <row r="33">
      <c r="A33" s="235"/>
    </row>
    <row r="34">
      <c r="A34" s="235"/>
    </row>
    <row r="35">
      <c r="A35" s="235"/>
    </row>
    <row r="36">
      <c r="A36" s="235"/>
    </row>
    <row r="37">
      <c r="A37" s="235"/>
    </row>
    <row r="38">
      <c r="A38" s="235"/>
    </row>
    <row r="39">
      <c r="A39" s="235"/>
    </row>
    <row r="40">
      <c r="A40" s="235"/>
    </row>
    <row r="41">
      <c r="A41" s="235"/>
    </row>
    <row r="42">
      <c r="A42" s="235"/>
    </row>
    <row r="43">
      <c r="A43" s="235"/>
    </row>
    <row r="44">
      <c r="A44" s="235"/>
    </row>
    <row r="45">
      <c r="A45" s="235"/>
    </row>
    <row r="46">
      <c r="A46" s="235"/>
    </row>
    <row r="47">
      <c r="A47" s="235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27.63"/>
  </cols>
  <sheetData>
    <row r="1">
      <c r="A1" s="218" t="s">
        <v>662</v>
      </c>
      <c r="B1" s="235"/>
    </row>
    <row r="2">
      <c r="A2" s="235"/>
    </row>
    <row r="3">
      <c r="A3" s="235"/>
    </row>
    <row r="4">
      <c r="A4" s="235"/>
    </row>
    <row r="5">
      <c r="A5" s="235"/>
    </row>
    <row r="6">
      <c r="A6" s="235"/>
    </row>
    <row r="7">
      <c r="A7" s="235"/>
    </row>
    <row r="8">
      <c r="A8" s="235"/>
    </row>
    <row r="9">
      <c r="A9" s="235"/>
    </row>
    <row r="10">
      <c r="A10" s="235"/>
    </row>
    <row r="11">
      <c r="A11" s="235"/>
    </row>
    <row r="12">
      <c r="A12" s="235"/>
    </row>
    <row r="13">
      <c r="A13" s="235"/>
    </row>
    <row r="14">
      <c r="A14" s="235"/>
    </row>
    <row r="15">
      <c r="A15" s="235"/>
    </row>
    <row r="16">
      <c r="A16" s="235"/>
    </row>
    <row r="17">
      <c r="A17" s="235"/>
    </row>
    <row r="18">
      <c r="A18" s="235"/>
    </row>
    <row r="19">
      <c r="A19" s="235"/>
    </row>
    <row r="20">
      <c r="A20" s="235"/>
    </row>
    <row r="21">
      <c r="A21" s="235"/>
    </row>
    <row r="22">
      <c r="A22" s="235"/>
    </row>
    <row r="23">
      <c r="A23" s="235"/>
    </row>
    <row r="24">
      <c r="A24" s="235"/>
    </row>
    <row r="25">
      <c r="A25" s="235"/>
    </row>
    <row r="26">
      <c r="A26" s="235"/>
    </row>
    <row r="27">
      <c r="A27" s="235"/>
    </row>
    <row r="28">
      <c r="A28" s="235"/>
    </row>
    <row r="29">
      <c r="A29" s="235"/>
    </row>
    <row r="30">
      <c r="A30" s="235"/>
    </row>
    <row r="31">
      <c r="A31" s="235"/>
    </row>
    <row r="32">
      <c r="A32" s="235"/>
    </row>
    <row r="33">
      <c r="A33" s="235"/>
    </row>
    <row r="34">
      <c r="A34" s="235"/>
    </row>
    <row r="35">
      <c r="A35" s="235"/>
    </row>
    <row r="36">
      <c r="A36" s="235"/>
    </row>
    <row r="37">
      <c r="A37" s="235"/>
    </row>
    <row r="38">
      <c r="A38" s="235"/>
    </row>
    <row r="39">
      <c r="A39" s="235"/>
    </row>
    <row r="40">
      <c r="A40" s="235"/>
    </row>
    <row r="41">
      <c r="A41" s="235"/>
    </row>
    <row r="42">
      <c r="A42" s="235"/>
    </row>
    <row r="43">
      <c r="A43" s="235"/>
    </row>
    <row r="44">
      <c r="A44" s="235"/>
    </row>
    <row r="45">
      <c r="A45" s="235"/>
    </row>
    <row r="46">
      <c r="A46" s="235"/>
    </row>
    <row r="47">
      <c r="A47" s="235"/>
    </row>
    <row r="48">
      <c r="A48" s="235"/>
    </row>
    <row r="49">
      <c r="A49" s="235"/>
    </row>
    <row r="50">
      <c r="A50" s="235"/>
    </row>
    <row r="51">
      <c r="A51" s="235"/>
    </row>
    <row r="52">
      <c r="A52" s="235"/>
    </row>
    <row r="53">
      <c r="A53" s="235"/>
    </row>
    <row r="54">
      <c r="A54" s="235"/>
    </row>
    <row r="55">
      <c r="A55" s="235"/>
    </row>
    <row r="56">
      <c r="A56" s="235"/>
    </row>
    <row r="57">
      <c r="A57" s="235"/>
    </row>
    <row r="58">
      <c r="A58" s="235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7BA0"/>
    <outlinePr summaryBelow="0" summaryRight="0"/>
    <pageSetUpPr fitToPage="1"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.25"/>
    <col customWidth="1" min="2" max="2" width="6.63"/>
    <col customWidth="1" min="3" max="3" width="47.75"/>
    <col customWidth="1" hidden="1" min="4" max="4" width="16.13"/>
    <col customWidth="1" min="5" max="5" width="12.75"/>
    <col customWidth="1" min="6" max="6" width="12.25"/>
    <col customWidth="1" min="7" max="7" width="23.75"/>
    <col customWidth="1" min="8" max="12" width="11.88"/>
    <col customWidth="1" min="13" max="13" width="2.88"/>
  </cols>
  <sheetData>
    <row r="1" ht="17.25" customHeight="1">
      <c r="A1" s="235"/>
      <c r="B1" s="236" t="s">
        <v>663</v>
      </c>
      <c r="K1" s="199"/>
      <c r="L1" s="194"/>
      <c r="M1" s="180"/>
    </row>
    <row r="2" ht="17.25" customHeight="1">
      <c r="A2" s="235"/>
      <c r="J2" s="237" t="s">
        <v>117</v>
      </c>
      <c r="K2" s="237" t="s">
        <v>313</v>
      </c>
      <c r="L2" s="237" t="s">
        <v>664</v>
      </c>
      <c r="M2" s="180"/>
    </row>
    <row r="3" ht="17.25" customHeight="1">
      <c r="A3" s="235"/>
      <c r="B3" s="238">
        <f>NOW()</f>
        <v>44677.53881</v>
      </c>
      <c r="D3" s="239"/>
      <c r="E3" s="240"/>
      <c r="F3" s="241"/>
      <c r="G3" s="242"/>
      <c r="H3" s="199"/>
      <c r="J3" s="243">
        <f>sumif(K6:K551,"=GND3",L6:L551)</f>
        <v>5108036.253</v>
      </c>
      <c r="K3" s="243">
        <f>sumif(K6:K551,"=GND4",L6:L551)</f>
        <v>5745177.26</v>
      </c>
      <c r="L3" s="243">
        <f>J3+K3</f>
        <v>10853213.51</v>
      </c>
      <c r="M3" s="180"/>
    </row>
    <row r="4" ht="8.25" customHeight="1">
      <c r="A4" s="235"/>
      <c r="B4" s="177"/>
      <c r="C4" s="181"/>
      <c r="D4" s="173"/>
      <c r="E4" s="240"/>
      <c r="F4" s="184"/>
      <c r="G4" s="240"/>
      <c r="H4" s="184"/>
      <c r="I4" s="184"/>
      <c r="J4" s="184"/>
      <c r="K4" s="244"/>
      <c r="L4" s="244"/>
      <c r="M4" s="180"/>
    </row>
    <row r="5">
      <c r="A5" s="235"/>
      <c r="B5" s="245" t="str">
        <f>IFERROR(__xludf.DUMMYFUNCTION("QUERY('Base de Dados'!A:CQ,""select A, C, Q, X, W, Y, AD, AE, O, K, AT WHERE R = '1 - Selecionado' ORDER BY Q, X, C"",1)"),"Id")</f>
        <v>Id</v>
      </c>
      <c r="C5" s="246" t="str">
        <f>IFERROR(__xludf.DUMMYFUNCTION("""COMPUTED_VALUE"""),"Descrição")</f>
        <v>Descrição</v>
      </c>
      <c r="D5" s="246" t="str">
        <f>IFERROR(__xludf.DUMMYFUNCTION("""COMPUTED_VALUE"""),"Prioridade")</f>
        <v>Prioridade</v>
      </c>
      <c r="E5" s="247" t="str">
        <f>IFERROR(__xludf.DUMMYFUNCTION("""COMPUTED_VALUE"""),"Área de TIC")</f>
        <v>Área de TIC</v>
      </c>
      <c r="F5" s="248" t="str">
        <f>IFERROR(__xludf.DUMMYFUNCTION("""COMPUTED_VALUE"""),"Contrato")</f>
        <v>Contrato</v>
      </c>
      <c r="G5" s="247" t="str">
        <f>IFERROR(__xludf.DUMMYFUNCTION("""COMPUTED_VALUE"""),"Modalidade (prazo)")</f>
        <v>Modalidade (prazo)</v>
      </c>
      <c r="H5" s="248" t="str">
        <f>IFERROR(__xludf.DUMMYFUNCTION("""COMPUTED_VALUE"""),"Data para Adm")</f>
        <v>Data para Adm</v>
      </c>
      <c r="I5" s="248" t="str">
        <f>IFERROR(__xludf.DUMMYFUNCTION("""COMPUTED_VALUE"""),"Data para objeto")</f>
        <v>Data para objeto</v>
      </c>
      <c r="J5" s="248" t="str">
        <f>IFERROR(__xludf.DUMMYFUNCTION("""COMPUTED_VALUE"""),"Reduzido Previsto")</f>
        <v>Reduzido Previsto</v>
      </c>
      <c r="K5" s="249" t="str">
        <f>IFERROR(__xludf.DUMMYFUNCTION("""COMPUTED_VALUE"""),"Despesa")</f>
        <v>Despesa</v>
      </c>
      <c r="L5" s="249" t="str">
        <f>IFERROR(__xludf.DUMMYFUNCTION("""COMPUTED_VALUE"""),"Valor Projetado")</f>
        <v>Valor Projetado</v>
      </c>
      <c r="M5" s="180"/>
    </row>
    <row r="6">
      <c r="B6" s="250">
        <f>IFERROR(__xludf.DUMMYFUNCTION("""COMPUTED_VALUE"""),15356.0)</f>
        <v>15356</v>
      </c>
      <c r="C6" s="251" t="str">
        <f>IFERROR(__xludf.DUMMYFUNCTION("""COMPUTED_VALUE"""),"ANTIVÍRUS - Aquisição de licenças de solução de antivírus com suporte e atualização, para proteção contra ameaças externas (continua o 1366/2017, ID 15004)")</f>
        <v>ANTIVÍRUS - Aquisição de licenças de solução de antivírus com suporte e atualização, para proteção contra ameaças externas (continua o 1366/2017, ID 15004)</v>
      </c>
      <c r="D6" s="252" t="str">
        <f>IFERROR(__xludf.DUMMYFUNCTION("""COMPUTED_VALUE"""),"1 - Imprescindível")</f>
        <v>1 - Imprescindível</v>
      </c>
      <c r="E6" s="253" t="str">
        <f>IFERROR(__xludf.DUMMYFUNCTION("""COMPUTED_VALUE"""),"SEINFRA")</f>
        <v>SEINFRA</v>
      </c>
      <c r="F6" s="254" t="str">
        <f>IFERROR(__xludf.DUMMYFUNCTION("""COMPUTED_VALUE"""),"9019/2021")</f>
        <v>9019/2021</v>
      </c>
      <c r="G6" s="253" t="str">
        <f>IFERROR(__xludf.DUMMYFUNCTION("""COMPUTED_VALUE"""),"ORÇAMENTO")</f>
        <v>ORÇAMENTO</v>
      </c>
      <c r="H6" s="255">
        <f>IFERROR(__xludf.DUMMYFUNCTION("""COMPUTED_VALUE"""),45934.0)</f>
        <v>45934</v>
      </c>
      <c r="I6" s="255">
        <f>IFERROR(__xludf.DUMMYFUNCTION("""COMPUTED_VALUE"""),45934.0)</f>
        <v>45934</v>
      </c>
      <c r="J6" s="250">
        <f>IFERROR(__xludf.DUMMYFUNCTION("""COMPUTED_VALUE"""),168107.0)</f>
        <v>168107</v>
      </c>
      <c r="K6" s="256" t="str">
        <f>IFERROR(__xludf.DUMMYFUNCTION("""COMPUTED_VALUE"""),"GND3")</f>
        <v>GND3</v>
      </c>
      <c r="L6" s="256">
        <f>IFERROR(__xludf.DUMMYFUNCTION("""COMPUTED_VALUE"""),192000.0)</f>
        <v>192000</v>
      </c>
      <c r="M6" s="180"/>
    </row>
    <row r="7">
      <c r="B7" s="250">
        <f>IFERROR(__xludf.DUMMYFUNCTION("""COMPUTED_VALUE"""),15393.0)</f>
        <v>15393</v>
      </c>
      <c r="C7" s="251" t="str">
        <f>IFERROR(__xludf.DUMMYFUNCTION("""COMPUTED_VALUE"""),"AUDIÊNCIAS - Viabilizar a continuidade de audiências, sessões e reuniões por meio de videoconferências (Zoom) (Reconhecimento de dívida de exercício anterior)")</f>
        <v>AUDIÊNCIAS - Viabilizar a continuidade de audiências, sessões e reuniões por meio de videoconferências (Zoom) (Reconhecimento de dívida de exercício anterior)</v>
      </c>
      <c r="D7" s="252" t="str">
        <f>IFERROR(__xludf.DUMMYFUNCTION("""COMPUTED_VALUE"""),"1 - Imprescindível")</f>
        <v>1 - Imprescindível</v>
      </c>
      <c r="E7" s="253" t="str">
        <f>IFERROR(__xludf.DUMMYFUNCTION("""COMPUTED_VALUE"""),"SEINFRA")</f>
        <v>SEINFRA</v>
      </c>
      <c r="F7" s="254" t="str">
        <f>IFERROR(__xludf.DUMMYFUNCTION("""COMPUTED_VALUE"""),"1038/2021")</f>
        <v>1038/2021</v>
      </c>
      <c r="G7" s="253" t="str">
        <f>IFERROR(__xludf.DUMMYFUNCTION("""COMPUTED_VALUE"""),"ORÇAMENTO")</f>
        <v>ORÇAMENTO</v>
      </c>
      <c r="H7" s="255"/>
      <c r="I7" s="255"/>
      <c r="J7" s="250">
        <f>IFERROR(__xludf.DUMMYFUNCTION("""COMPUTED_VALUE"""),168107.0)</f>
        <v>168107</v>
      </c>
      <c r="K7" s="256" t="str">
        <f>IFERROR(__xludf.DUMMYFUNCTION("""COMPUTED_VALUE"""),"GND3")</f>
        <v>GND3</v>
      </c>
      <c r="L7" s="256">
        <f>IFERROR(__xludf.DUMMYFUNCTION("""COMPUTED_VALUE"""),484.45)</f>
        <v>484.45</v>
      </c>
      <c r="M7" s="180"/>
    </row>
    <row r="8">
      <c r="B8" s="250">
        <f>IFERROR(__xludf.DUMMYFUNCTION("""COMPUTED_VALUE"""),15353.0)</f>
        <v>15353</v>
      </c>
      <c r="C8" s="251" t="str">
        <f>IFERROR(__xludf.DUMMYFUNCTION("""COMPUTED_VALUE"""),"AUDIÊNCIAS ZOOM - Viabilizar a continuidade de audiências, sessões e reuniões por meio de videoconferências (Zoom)")</f>
        <v>AUDIÊNCIAS ZOOM - Viabilizar a continuidade de audiências, sessões e reuniões por meio de videoconferências (Zoom)</v>
      </c>
      <c r="D8" s="252" t="str">
        <f>IFERROR(__xludf.DUMMYFUNCTION("""COMPUTED_VALUE"""),"1 - Imprescindível")</f>
        <v>1 - Imprescindível</v>
      </c>
      <c r="E8" s="253" t="str">
        <f>IFERROR(__xludf.DUMMYFUNCTION("""COMPUTED_VALUE"""),"SEINFRA")</f>
        <v>SEINFRA</v>
      </c>
      <c r="F8" s="254" t="str">
        <f>IFERROR(__xludf.DUMMYFUNCTION("""COMPUTED_VALUE"""),"1038/2021")</f>
        <v>1038/2021</v>
      </c>
      <c r="G8" s="253" t="str">
        <f>IFERROR(__xludf.DUMMYFUNCTION("""COMPUTED_VALUE"""),"PROR")</f>
        <v>PROR</v>
      </c>
      <c r="H8" s="255">
        <f>IFERROR(__xludf.DUMMYFUNCTION("""COMPUTED_VALUE"""),44561.0)</f>
        <v>44561</v>
      </c>
      <c r="I8" s="255">
        <f>IFERROR(__xludf.DUMMYFUNCTION("""COMPUTED_VALUE"""),44651.0)</f>
        <v>44651</v>
      </c>
      <c r="J8" s="250">
        <f>IFERROR(__xludf.DUMMYFUNCTION("""COMPUTED_VALUE"""),168107.0)</f>
        <v>168107</v>
      </c>
      <c r="K8" s="256" t="str">
        <f>IFERROR(__xludf.DUMMYFUNCTION("""COMPUTED_VALUE"""),"GND3")</f>
        <v>GND3</v>
      </c>
      <c r="L8" s="256">
        <f>IFERROR(__xludf.DUMMYFUNCTION("""COMPUTED_VALUE"""),55999.92)</f>
        <v>55999.92</v>
      </c>
      <c r="M8" s="180"/>
    </row>
    <row r="9">
      <c r="B9" s="250">
        <f>IFERROR(__xludf.DUMMYFUNCTION("""COMPUTED_VALUE"""),15304.0)</f>
        <v>15304</v>
      </c>
      <c r="C9" s="251" t="str">
        <f>IFERROR(__xludf.DUMMYFUNCTION("""COMPUTED_VALUE"""),"BACKUP EQUIPAMENTOS - Aquisição de um novo equipamento para atualizar o sistema de backup do datacenter auxiliar.")</f>
        <v>BACKUP EQUIPAMENTOS - Aquisição de um novo equipamento para atualizar o sistema de backup do datacenter auxiliar.</v>
      </c>
      <c r="D9" s="252" t="str">
        <f>IFERROR(__xludf.DUMMYFUNCTION("""COMPUTED_VALUE"""),"1 - Imprescindível")</f>
        <v>1 - Imprescindível</v>
      </c>
      <c r="E9" s="253" t="str">
        <f>IFERROR(__xludf.DUMMYFUNCTION("""COMPUTED_VALUE"""),"SEINFRA")</f>
        <v>SEINFRA</v>
      </c>
      <c r="F9" s="254" t="str">
        <f>IFERROR(__xludf.DUMMYFUNCTION("""COMPUTED_VALUE"""),"10394/2021")</f>
        <v>10394/2021</v>
      </c>
      <c r="G9" s="253" t="str">
        <f>IFERROR(__xludf.DUMMYFUNCTION("""COMPUTED_VALUE"""),"PRE")</f>
        <v>PRE</v>
      </c>
      <c r="H9" s="255">
        <f>IFERROR(__xludf.DUMMYFUNCTION("""COMPUTED_VALUE"""),44525.0)</f>
        <v>44525</v>
      </c>
      <c r="I9" s="255">
        <f>IFERROR(__xludf.DUMMYFUNCTION("""COMPUTED_VALUE"""),44635.0)</f>
        <v>44635</v>
      </c>
      <c r="J9" s="250">
        <f>IFERROR(__xludf.DUMMYFUNCTION("""COMPUTED_VALUE"""),168105.0)</f>
        <v>168105</v>
      </c>
      <c r="K9" s="256" t="str">
        <f>IFERROR(__xludf.DUMMYFUNCTION("""COMPUTED_VALUE"""),"GND4")</f>
        <v>GND4</v>
      </c>
      <c r="L9" s="256">
        <f>IFERROR(__xludf.DUMMYFUNCTION("""COMPUTED_VALUE"""),433000.0)</f>
        <v>433000</v>
      </c>
      <c r="M9" s="180"/>
    </row>
    <row r="10">
      <c r="B10" s="250">
        <f>IFERROR(__xludf.DUMMYFUNCTION("""COMPUTED_VALUE"""),15311.0)</f>
        <v>15311</v>
      </c>
      <c r="C10" s="251" t="str">
        <f>IFERROR(__xludf.DUMMYFUNCTION("""COMPUTED_VALUE"""),"BACKUP FITAS - Aquisição de fitas com capacidade de 12TB (272 unidades) e de limpeza (20 unidades).")</f>
        <v>BACKUP FITAS - Aquisição de fitas com capacidade de 12TB (272 unidades) e de limpeza (20 unidades).</v>
      </c>
      <c r="D10" s="252" t="str">
        <f>IFERROR(__xludf.DUMMYFUNCTION("""COMPUTED_VALUE"""),"1 - Imprescindível")</f>
        <v>1 - Imprescindível</v>
      </c>
      <c r="E10" s="253" t="str">
        <f>IFERROR(__xludf.DUMMYFUNCTION("""COMPUTED_VALUE"""),"SEINFRA")</f>
        <v>SEINFRA</v>
      </c>
      <c r="F10" s="254" t="str">
        <f>IFERROR(__xludf.DUMMYFUNCTION("""COMPUTED_VALUE"""),"10394/2021")</f>
        <v>10394/2021</v>
      </c>
      <c r="G10" s="253" t="str">
        <f>IFERROR(__xludf.DUMMYFUNCTION("""COMPUTED_VALUE"""),"PRE")</f>
        <v>PRE</v>
      </c>
      <c r="H10" s="255">
        <f>IFERROR(__xludf.DUMMYFUNCTION("""COMPUTED_VALUE"""),44525.0)</f>
        <v>44525</v>
      </c>
      <c r="I10" s="255">
        <f>IFERROR(__xludf.DUMMYFUNCTION("""COMPUTED_VALUE"""),44635.0)</f>
        <v>44635</v>
      </c>
      <c r="J10" s="250">
        <f>IFERROR(__xludf.DUMMYFUNCTION("""COMPUTED_VALUE"""),168107.0)</f>
        <v>168107</v>
      </c>
      <c r="K10" s="256" t="str">
        <f>IFERROR(__xludf.DUMMYFUNCTION("""COMPUTED_VALUE"""),"GND3")</f>
        <v>GND3</v>
      </c>
      <c r="L10" s="256">
        <f>IFERROR(__xludf.DUMMYFUNCTION("""COMPUTED_VALUE"""),262444.0)</f>
        <v>262444</v>
      </c>
      <c r="M10" s="180"/>
    </row>
    <row r="11">
      <c r="B11" s="250">
        <f>IFERROR(__xludf.DUMMYFUNCTION("""COMPUTED_VALUE"""),15151.0)</f>
        <v>15151</v>
      </c>
      <c r="C11" s="251" t="str">
        <f>IFERROR(__xludf.DUMMYFUNCTION("""COMPUTED_VALUE"""),"BANCO DE DADOS - Contratação de monitoramento remoto e suporte técnico para os bancos de dados Oracle, PostgreSQL e MySQL, contratado como item obrigatório do CSJT")</f>
        <v>BANCO DE DADOS - Contratação de monitoramento remoto e suporte técnico para os bancos de dados Oracle, PostgreSQL e MySQL, contratado como item obrigatório do CSJT</v>
      </c>
      <c r="D11" s="252" t="str">
        <f>IFERROR(__xludf.DUMMYFUNCTION("""COMPUTED_VALUE"""),"1 - Imprescindível")</f>
        <v>1 - Imprescindível</v>
      </c>
      <c r="E11" s="253" t="str">
        <f>IFERROR(__xludf.DUMMYFUNCTION("""COMPUTED_VALUE"""),"SEINFRA")</f>
        <v>SEINFRA</v>
      </c>
      <c r="F11" s="254" t="str">
        <f>IFERROR(__xludf.DUMMYFUNCTION("""COMPUTED_VALUE"""),"9447/2017")</f>
        <v>9447/2017</v>
      </c>
      <c r="G11" s="253" t="str">
        <f>IFERROR(__xludf.DUMMYFUNCTION("""COMPUTED_VALUE"""),"ORÇAMENTO")</f>
        <v>ORÇAMENTO</v>
      </c>
      <c r="H11" s="255">
        <f>IFERROR(__xludf.DUMMYFUNCTION("""COMPUTED_VALUE"""),44958.0)</f>
        <v>44958</v>
      </c>
      <c r="I11" s="255">
        <f>IFERROR(__xludf.DUMMYFUNCTION("""COMPUTED_VALUE"""),44958.0)</f>
        <v>44958</v>
      </c>
      <c r="J11" s="250">
        <f>IFERROR(__xludf.DUMMYFUNCTION("""COMPUTED_VALUE"""),168107.0)</f>
        <v>168107</v>
      </c>
      <c r="K11" s="256" t="str">
        <f>IFERROR(__xludf.DUMMYFUNCTION("""COMPUTED_VALUE"""),"GND3")</f>
        <v>GND3</v>
      </c>
      <c r="L11" s="256">
        <f>IFERROR(__xludf.DUMMYFUNCTION("""COMPUTED_VALUE"""),187200.0)</f>
        <v>187200</v>
      </c>
      <c r="M11" s="180"/>
    </row>
    <row r="12">
      <c r="B12" s="250">
        <f>IFERROR(__xludf.DUMMYFUNCTION("""COMPUTED_VALUE"""),15355.0)</f>
        <v>15355</v>
      </c>
      <c r="C12" s="251" t="str">
        <f>IFERROR(__xludf.DUMMYFUNCTION("""COMPUTED_VALUE"""),"BANCO DE DADOS ORACLE - Contratação de suporte e atualização de licenças Oracle, para os sistemas PROAD, SIGEP")</f>
        <v>BANCO DE DADOS ORACLE - Contratação de suporte e atualização de licenças Oracle, para os sistemas PROAD, SIGEP</v>
      </c>
      <c r="D12" s="252" t="str">
        <f>IFERROR(__xludf.DUMMYFUNCTION("""COMPUTED_VALUE"""),"1 - Imprescindível")</f>
        <v>1 - Imprescindível</v>
      </c>
      <c r="E12" s="253" t="str">
        <f>IFERROR(__xludf.DUMMYFUNCTION("""COMPUTED_VALUE"""),"SEINFRA")</f>
        <v>SEINFRA</v>
      </c>
      <c r="F12" s="254" t="str">
        <f>IFERROR(__xludf.DUMMYFUNCTION("""COMPUTED_VALUE"""),"9758/2021")</f>
        <v>9758/2021</v>
      </c>
      <c r="G12" s="253" t="str">
        <f>IFERROR(__xludf.DUMMYFUNCTION("""COMPUTED_VALUE"""),"PROR")</f>
        <v>PROR</v>
      </c>
      <c r="H12" s="255">
        <f>IFERROR(__xludf.DUMMYFUNCTION("""COMPUTED_VALUE"""),44784.0)</f>
        <v>44784</v>
      </c>
      <c r="I12" s="255">
        <f>IFERROR(__xludf.DUMMYFUNCTION("""COMPUTED_VALUE"""),44874.0)</f>
        <v>44874</v>
      </c>
      <c r="J12" s="250">
        <f>IFERROR(__xludf.DUMMYFUNCTION("""COMPUTED_VALUE"""),168107.0)</f>
        <v>168107</v>
      </c>
      <c r="K12" s="256" t="str">
        <f>IFERROR(__xludf.DUMMYFUNCTION("""COMPUTED_VALUE"""),"GND3")</f>
        <v>GND3</v>
      </c>
      <c r="L12" s="256">
        <f>IFERROR(__xludf.DUMMYFUNCTION("""COMPUTED_VALUE"""),314626.19999999995)</f>
        <v>314626.2</v>
      </c>
      <c r="M12" s="180"/>
    </row>
    <row r="13">
      <c r="B13" s="250">
        <f>IFERROR(__xludf.DUMMYFUNCTION("""COMPUTED_VALUE"""),15055.0)</f>
        <v>15055</v>
      </c>
      <c r="C13" s="251" t="str">
        <f>IFERROR(__xludf.DUMMYFUNCTION("""COMPUTED_VALUE"""),"CELESC - Contratação de uso de postes (passagem da fibra óptica - locação CELESC) para conexão redundante entre o datacenter principal e auxiliar (Sede/Utrillo)")</f>
        <v>CELESC - Contratação de uso de postes (passagem da fibra óptica - locação CELESC) para conexão redundante entre o datacenter principal e auxiliar (Sede/Utrillo)</v>
      </c>
      <c r="D13" s="252" t="str">
        <f>IFERROR(__xludf.DUMMYFUNCTION("""COMPUTED_VALUE"""),"1 - Imprescindível")</f>
        <v>1 - Imprescindível</v>
      </c>
      <c r="E13" s="253" t="str">
        <f>IFERROR(__xludf.DUMMYFUNCTION("""COMPUTED_VALUE"""),"SEINFRA")</f>
        <v>SEINFRA</v>
      </c>
      <c r="F13" s="254" t="str">
        <f>IFERROR(__xludf.DUMMYFUNCTION("""COMPUTED_VALUE"""),"1674/2021")</f>
        <v>1674/2021</v>
      </c>
      <c r="G13" s="253" t="str">
        <f>IFERROR(__xludf.DUMMYFUNCTION("""COMPUTED_VALUE"""),"ORÇAMENTO")</f>
        <v>ORÇAMENTO</v>
      </c>
      <c r="H13" s="255"/>
      <c r="I13" s="255"/>
      <c r="J13" s="250">
        <f>IFERROR(__xludf.DUMMYFUNCTION("""COMPUTED_VALUE"""),168105.0)</f>
        <v>168105</v>
      </c>
      <c r="K13" s="256" t="str">
        <f>IFERROR(__xludf.DUMMYFUNCTION("""COMPUTED_VALUE"""),"GND3")</f>
        <v>GND3</v>
      </c>
      <c r="L13" s="256">
        <f>IFERROR(__xludf.DUMMYFUNCTION("""COMPUTED_VALUE"""),4494.4800000000005)</f>
        <v>4494.48</v>
      </c>
      <c r="M13" s="180"/>
    </row>
    <row r="14">
      <c r="B14" s="250">
        <f>IFERROR(__xludf.DUMMYFUNCTION("""COMPUTED_VALUE"""),15254.0)</f>
        <v>15254</v>
      </c>
      <c r="C14" s="251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(CERTISIGN).")</f>
        <v>CERTIFICADOS PJ - Aquisição Certificados Digitais SSL (PJe, domínio trt12.jus.br e siscondj), obrigatório para estabelecer autenticação de confiança entre sistemas de informação. Exigido pela instituição bancária (CERTISIGN).</v>
      </c>
      <c r="D14" s="252" t="str">
        <f>IFERROR(__xludf.DUMMYFUNCTION("""COMPUTED_VALUE"""),"1 - Imprescindível")</f>
        <v>1 - Imprescindível</v>
      </c>
      <c r="E14" s="253" t="str">
        <f>IFERROR(__xludf.DUMMYFUNCTION("""COMPUTED_VALUE"""),"SEINFRA")</f>
        <v>SEINFRA</v>
      </c>
      <c r="F14" s="254" t="str">
        <f>IFERROR(__xludf.DUMMYFUNCTION("""COMPUTED_VALUE"""),"2832/2022")</f>
        <v>2832/2022</v>
      </c>
      <c r="G14" s="253" t="str">
        <f>IFERROR(__xludf.DUMMYFUNCTION("""COMPUTED_VALUE"""),"DISPENSA_PELO_VALOR")</f>
        <v>DISPENSA_PELO_VALOR</v>
      </c>
      <c r="H14" s="255">
        <f>IFERROR(__xludf.DUMMYFUNCTION("""COMPUTED_VALUE"""),44643.0)</f>
        <v>44643</v>
      </c>
      <c r="I14" s="255">
        <f>IFERROR(__xludf.DUMMYFUNCTION("""COMPUTED_VALUE"""),44653.0)</f>
        <v>44653</v>
      </c>
      <c r="J14" s="250">
        <f>IFERROR(__xludf.DUMMYFUNCTION("""COMPUTED_VALUE"""),168105.0)</f>
        <v>168105</v>
      </c>
      <c r="K14" s="256" t="str">
        <f>IFERROR(__xludf.DUMMYFUNCTION("""COMPUTED_VALUE"""),"GND3")</f>
        <v>GND3</v>
      </c>
      <c r="L14" s="256">
        <f>IFERROR(__xludf.DUMMYFUNCTION("""COMPUTED_VALUE"""),1890.0)</f>
        <v>1890</v>
      </c>
      <c r="M14" s="180"/>
    </row>
    <row r="15">
      <c r="B15" s="250">
        <f>IFERROR(__xludf.DUMMYFUNCTION("""COMPUTED_VALUE"""),15896.0)</f>
        <v>15896</v>
      </c>
      <c r="C15" s="251" t="str">
        <f>IFERROR(__xludf.DUMMYFUNCTION("""COMPUTED_VALUE"""),"CERTIFICADOS PJ - Aquisição Certificados Digitais SSL (PJe, domínio trt12.jus.br e siscondj), obrigatório para estabelecer autenticação de confiança entre sistemas de informação. Exigido pela instituição bancária (HZ PORTAIS).")</f>
        <v>CERTIFICADOS PJ - Aquisição Certificados Digitais SSL (PJe, domínio trt12.jus.br e siscondj), obrigatório para estabelecer autenticação de confiança entre sistemas de informação. Exigido pela instituição bancária (HZ PORTAIS).</v>
      </c>
      <c r="D15" s="252" t="str">
        <f>IFERROR(__xludf.DUMMYFUNCTION("""COMPUTED_VALUE"""),"1 - Imprescindível")</f>
        <v>1 - Imprescindível</v>
      </c>
      <c r="E15" s="253" t="str">
        <f>IFERROR(__xludf.DUMMYFUNCTION("""COMPUTED_VALUE"""),"SEINFRA")</f>
        <v>SEINFRA</v>
      </c>
      <c r="F15" s="254" t="str">
        <f>IFERROR(__xludf.DUMMYFUNCTION("""COMPUTED_VALUE"""),"2832/2022")</f>
        <v>2832/2022</v>
      </c>
      <c r="G15" s="253" t="str">
        <f>IFERROR(__xludf.DUMMYFUNCTION("""COMPUTED_VALUE"""),"DISPENSA_PELO_VALOR")</f>
        <v>DISPENSA_PELO_VALOR</v>
      </c>
      <c r="H15" s="255">
        <f>IFERROR(__xludf.DUMMYFUNCTION("""COMPUTED_VALUE"""),44643.0)</f>
        <v>44643</v>
      </c>
      <c r="I15" s="255">
        <f>IFERROR(__xludf.DUMMYFUNCTION("""COMPUTED_VALUE"""),44653.0)</f>
        <v>44653</v>
      </c>
      <c r="J15" s="250">
        <f>IFERROR(__xludf.DUMMYFUNCTION("""COMPUTED_VALUE"""),168105.0)</f>
        <v>168105</v>
      </c>
      <c r="K15" s="256" t="str">
        <f>IFERROR(__xludf.DUMMYFUNCTION("""COMPUTED_VALUE"""),"GND3")</f>
        <v>GND3</v>
      </c>
      <c r="L15" s="256">
        <f>IFERROR(__xludf.DUMMYFUNCTION("""COMPUTED_VALUE"""),1265.4)</f>
        <v>1265.4</v>
      </c>
      <c r="M15" s="180"/>
    </row>
    <row r="16">
      <c r="B16" s="250">
        <f>IFERROR(__xludf.DUMMYFUNCTION("""COMPUTED_VALUE"""),15259.0)</f>
        <v>15259</v>
      </c>
      <c r="C16" s="251" t="str">
        <f>IFERROR(__xludf.DUMMYFUNCTION("""COMPUTED_VALUE"""),"INTERNET LINK 1 - Contratação de acesso corporativo à internet")</f>
        <v>INTERNET LINK 1 - Contratação de acesso corporativo à internet</v>
      </c>
      <c r="D16" s="252" t="str">
        <f>IFERROR(__xludf.DUMMYFUNCTION("""COMPUTED_VALUE"""),"1 - Imprescindível")</f>
        <v>1 - Imprescindível</v>
      </c>
      <c r="E16" s="253" t="str">
        <f>IFERROR(__xludf.DUMMYFUNCTION("""COMPUTED_VALUE"""),"SEINFRA")</f>
        <v>SEINFRA</v>
      </c>
      <c r="F16" s="254" t="str">
        <f>IFERROR(__xludf.DUMMYFUNCTION("""COMPUTED_VALUE"""),"8016/2019")</f>
        <v>8016/2019</v>
      </c>
      <c r="G16" s="253" t="str">
        <f>IFERROR(__xludf.DUMMYFUNCTION("""COMPUTED_VALUE"""),"ORÇAMENTO")</f>
        <v>ORÇAMENTO</v>
      </c>
      <c r="H16" s="255">
        <f>IFERROR(__xludf.DUMMYFUNCTION("""COMPUTED_VALUE"""),44726.0)</f>
        <v>44726</v>
      </c>
      <c r="I16" s="255">
        <f>IFERROR(__xludf.DUMMYFUNCTION("""COMPUTED_VALUE"""),44726.0)</f>
        <v>44726</v>
      </c>
      <c r="J16" s="250">
        <f>IFERROR(__xludf.DUMMYFUNCTION("""COMPUTED_VALUE"""),168105.0)</f>
        <v>168105</v>
      </c>
      <c r="K16" s="256" t="str">
        <f>IFERROR(__xludf.DUMMYFUNCTION("""COMPUTED_VALUE"""),"GND3")</f>
        <v>GND3</v>
      </c>
      <c r="L16" s="256">
        <f>IFERROR(__xludf.DUMMYFUNCTION("""COMPUTED_VALUE"""),6000.0)</f>
        <v>6000</v>
      </c>
      <c r="M16" s="180"/>
    </row>
    <row r="17">
      <c r="B17" s="250">
        <f>IFERROR(__xludf.DUMMYFUNCTION("""COMPUTED_VALUE"""),15057.0)</f>
        <v>15057</v>
      </c>
      <c r="C17" s="251" t="str">
        <f>IFERROR(__xludf.DUMMYFUNCTION("""COMPUTED_VALUE"""),"INTERNET LINK 2 - Contratação de acesso corporativo à internet")</f>
        <v>INTERNET LINK 2 - Contratação de acesso corporativo à internet</v>
      </c>
      <c r="D17" s="252" t="str">
        <f>IFERROR(__xludf.DUMMYFUNCTION("""COMPUTED_VALUE"""),"1 - Imprescindível")</f>
        <v>1 - Imprescindível</v>
      </c>
      <c r="E17" s="253" t="str">
        <f>IFERROR(__xludf.DUMMYFUNCTION("""COMPUTED_VALUE"""),"SEINFRA")</f>
        <v>SEINFRA</v>
      </c>
      <c r="F17" s="254" t="str">
        <f>IFERROR(__xludf.DUMMYFUNCTION("""COMPUTED_VALUE"""),"280/2020")</f>
        <v>280/2020</v>
      </c>
      <c r="G17" s="253" t="str">
        <f>IFERROR(__xludf.DUMMYFUNCTION("""COMPUTED_VALUE"""),"ORÇAMENTO")</f>
        <v>ORÇAMENTO</v>
      </c>
      <c r="H17" s="255">
        <f>IFERROR(__xludf.DUMMYFUNCTION("""COMPUTED_VALUE"""),44859.0)</f>
        <v>44859</v>
      </c>
      <c r="I17" s="255">
        <f>IFERROR(__xludf.DUMMYFUNCTION("""COMPUTED_VALUE"""),44859.0)</f>
        <v>44859</v>
      </c>
      <c r="J17" s="250">
        <f>IFERROR(__xludf.DUMMYFUNCTION("""COMPUTED_VALUE"""),168105.0)</f>
        <v>168105</v>
      </c>
      <c r="K17" s="256" t="str">
        <f>IFERROR(__xludf.DUMMYFUNCTION("""COMPUTED_VALUE"""),"GND3")</f>
        <v>GND3</v>
      </c>
      <c r="L17" s="256">
        <f>IFERROR(__xludf.DUMMYFUNCTION("""COMPUTED_VALUE"""),9350.0)</f>
        <v>9350</v>
      </c>
      <c r="M17" s="180"/>
    </row>
    <row r="18">
      <c r="B18" s="250">
        <f>IFERROR(__xludf.DUMMYFUNCTION("""COMPUTED_VALUE"""),15369.0)</f>
        <v>15369</v>
      </c>
      <c r="C18" s="251" t="str">
        <f>IFERROR(__xludf.DUMMYFUNCTION("""COMPUTED_VALUE"""),"INTERNET LINK 3 - Contratação de acesso corporativo à internet (substitui LINK 1)")</f>
        <v>INTERNET LINK 3 - Contratação de acesso corporativo à internet (substitui LINK 1)</v>
      </c>
      <c r="D18" s="252" t="str">
        <f>IFERROR(__xludf.DUMMYFUNCTION("""COMPUTED_VALUE"""),"1 - Imprescindível")</f>
        <v>1 - Imprescindível</v>
      </c>
      <c r="E18" s="253" t="str">
        <f>IFERROR(__xludf.DUMMYFUNCTION("""COMPUTED_VALUE"""),"SEINFRA")</f>
        <v>SEINFRA</v>
      </c>
      <c r="F18" s="254" t="str">
        <f>IFERROR(__xludf.DUMMYFUNCTION("""COMPUTED_VALUE"""),"2049/2022")</f>
        <v>2049/2022</v>
      </c>
      <c r="G18" s="253" t="str">
        <f>IFERROR(__xludf.DUMMYFUNCTION("""COMPUTED_VALUE"""),"PRE")</f>
        <v>PRE</v>
      </c>
      <c r="H18" s="255">
        <f>IFERROR(__xludf.DUMMYFUNCTION("""COMPUTED_VALUE"""),44647.0)</f>
        <v>44647</v>
      </c>
      <c r="I18" s="255">
        <f>IFERROR(__xludf.DUMMYFUNCTION("""COMPUTED_VALUE"""),44757.0)</f>
        <v>44757</v>
      </c>
      <c r="J18" s="250">
        <f>IFERROR(__xludf.DUMMYFUNCTION("""COMPUTED_VALUE"""),168105.0)</f>
        <v>168105</v>
      </c>
      <c r="K18" s="256" t="str">
        <f>IFERROR(__xludf.DUMMYFUNCTION("""COMPUTED_VALUE"""),"GND3")</f>
        <v>GND3</v>
      </c>
      <c r="L18" s="256">
        <f>IFERROR(__xludf.DUMMYFUNCTION("""COMPUTED_VALUE"""),10450.0)</f>
        <v>10450</v>
      </c>
      <c r="M18" s="180"/>
    </row>
    <row r="19">
      <c r="B19" s="250">
        <f>IFERROR(__xludf.DUMMYFUNCTION("""COMPUTED_VALUE"""),15381.0)</f>
        <v>15381</v>
      </c>
      <c r="C19" s="251" t="str">
        <f>IFERROR(__xludf.DUMMYFUNCTION("""COMPUTED_VALUE"""),"INTERNET LINK 4 - Contratação de acesso corporativo à internet (substitui LINK 2)")</f>
        <v>INTERNET LINK 4 - Contratação de acesso corporativo à internet (substitui LINK 2)</v>
      </c>
      <c r="D19" s="252" t="str">
        <f>IFERROR(__xludf.DUMMYFUNCTION("""COMPUTED_VALUE"""),"1 - Imprescindível")</f>
        <v>1 - Imprescindível</v>
      </c>
      <c r="E19" s="253" t="str">
        <f>IFERROR(__xludf.DUMMYFUNCTION("""COMPUTED_VALUE"""),"SEINFRA")</f>
        <v>SEINFRA</v>
      </c>
      <c r="F19" s="254" t="str">
        <f>IFERROR(__xludf.DUMMYFUNCTION("""COMPUTED_VALUE"""),"9016/2021")</f>
        <v>9016/2021</v>
      </c>
      <c r="G19" s="253" t="str">
        <f>IFERROR(__xludf.DUMMYFUNCTION("""COMPUTED_VALUE"""),"ORÇAMENTO")</f>
        <v>ORÇAMENTO</v>
      </c>
      <c r="H19" s="255">
        <f>IFERROR(__xludf.DUMMYFUNCTION("""COMPUTED_VALUE"""),45435.0)</f>
        <v>45435</v>
      </c>
      <c r="I19" s="255">
        <f>IFERROR(__xludf.DUMMYFUNCTION("""COMPUTED_VALUE"""),45435.0)</f>
        <v>45435</v>
      </c>
      <c r="J19" s="250">
        <f>IFERROR(__xludf.DUMMYFUNCTION("""COMPUTED_VALUE"""),168105.0)</f>
        <v>168105</v>
      </c>
      <c r="K19" s="256" t="str">
        <f>IFERROR(__xludf.DUMMYFUNCTION("""COMPUTED_VALUE"""),"GND3")</f>
        <v>GND3</v>
      </c>
      <c r="L19" s="256">
        <f>IFERROR(__xludf.DUMMYFUNCTION("""COMPUTED_VALUE"""),22800.0)</f>
        <v>22800</v>
      </c>
      <c r="M19" s="180"/>
    </row>
    <row r="20">
      <c r="B20" s="250">
        <f>IFERROR(__xludf.DUMMYFUNCTION("""COMPUTED_VALUE"""),15383.0)</f>
        <v>15383</v>
      </c>
      <c r="C20" s="251" t="str">
        <f>IFERROR(__xludf.DUMMYFUNCTION("""COMPUTED_VALUE"""),"NUVEM GOOGLE - Contratação de licença de uso de serviço de nuvem de comunicação e colaboração (substitui 15072 e 15382)")</f>
        <v>NUVEM GOOGLE - Contratação de licença de uso de serviço de nuvem de comunicação e colaboração (substitui 15072 e 15382)</v>
      </c>
      <c r="D20" s="252" t="str">
        <f>IFERROR(__xludf.DUMMYFUNCTION("""COMPUTED_VALUE"""),"1 - Imprescindível")</f>
        <v>1 - Imprescindível</v>
      </c>
      <c r="E20" s="253" t="str">
        <f>IFERROR(__xludf.DUMMYFUNCTION("""COMPUTED_VALUE"""),"SEINFRA")</f>
        <v>SEINFRA</v>
      </c>
      <c r="F20" s="254"/>
      <c r="G20" s="253" t="str">
        <f>IFERROR(__xludf.DUMMYFUNCTION("""COMPUTED_VALUE"""),"ARP_PARTICIPACAO")</f>
        <v>ARP_PARTICIPACAO</v>
      </c>
      <c r="H20" s="255">
        <f>IFERROR(__xludf.DUMMYFUNCTION("""COMPUTED_VALUE"""),44863.0)</f>
        <v>44863</v>
      </c>
      <c r="I20" s="255">
        <f>IFERROR(__xludf.DUMMYFUNCTION("""COMPUTED_VALUE"""),44908.0)</f>
        <v>44908</v>
      </c>
      <c r="J20" s="250">
        <f>IFERROR(__xludf.DUMMYFUNCTION("""COMPUTED_VALUE"""),168105.0)</f>
        <v>168105</v>
      </c>
      <c r="K20" s="256" t="str">
        <f>IFERROR(__xludf.DUMMYFUNCTION("""COMPUTED_VALUE"""),"GND3")</f>
        <v>GND3</v>
      </c>
      <c r="L20" s="256">
        <f>IFERROR(__xludf.DUMMYFUNCTION("""COMPUTED_VALUE"""),54920.0)</f>
        <v>54920</v>
      </c>
      <c r="M20" s="180"/>
    </row>
    <row r="21">
      <c r="B21" s="250">
        <f>IFERROR(__xludf.DUMMYFUNCTION("""COMPUTED_VALUE"""),15072.0)</f>
        <v>15072</v>
      </c>
      <c r="C21" s="251" t="str">
        <f>IFERROR(__xludf.DUMMYFUNCTION("""COMPUTED_VALUE"""),"NUVEM GOOGLE 1 - Contratação de licença de uso de serviço de nuvem de comunicação e colaboração")</f>
        <v>NUVEM GOOGLE 1 - Contratação de licença de uso de serviço de nuvem de comunicação e colaboração</v>
      </c>
      <c r="D21" s="252" t="str">
        <f>IFERROR(__xludf.DUMMYFUNCTION("""COMPUTED_VALUE"""),"1 - Imprescindível")</f>
        <v>1 - Imprescindível</v>
      </c>
      <c r="E21" s="253" t="str">
        <f>IFERROR(__xludf.DUMMYFUNCTION("""COMPUTED_VALUE"""),"SEINFRA")</f>
        <v>SEINFRA</v>
      </c>
      <c r="F21" s="254" t="str">
        <f>IFERROR(__xludf.DUMMYFUNCTION("""COMPUTED_VALUE"""),"11741/2017")</f>
        <v>11741/2017</v>
      </c>
      <c r="G21" s="253" t="str">
        <f>IFERROR(__xludf.DUMMYFUNCTION("""COMPUTED_VALUE"""),"ORÇAMENTO")</f>
        <v>ORÇAMENTO</v>
      </c>
      <c r="H21" s="255">
        <f>IFERROR(__xludf.DUMMYFUNCTION("""COMPUTED_VALUE"""),44908.0)</f>
        <v>44908</v>
      </c>
      <c r="I21" s="255">
        <f>IFERROR(__xludf.DUMMYFUNCTION("""COMPUTED_VALUE"""),44908.0)</f>
        <v>44908</v>
      </c>
      <c r="J21" s="250">
        <f>IFERROR(__xludf.DUMMYFUNCTION("""COMPUTED_VALUE"""),168105.0)</f>
        <v>168105</v>
      </c>
      <c r="K21" s="256" t="str">
        <f>IFERROR(__xludf.DUMMYFUNCTION("""COMPUTED_VALUE"""),"GND3")</f>
        <v>GND3</v>
      </c>
      <c r="L21" s="256">
        <f>IFERROR(__xludf.DUMMYFUNCTION("""COMPUTED_VALUE"""),264255.078)</f>
        <v>264255.078</v>
      </c>
      <c r="M21" s="180"/>
    </row>
    <row r="22">
      <c r="B22" s="250">
        <f>IFERROR(__xludf.DUMMYFUNCTION("""COMPUTED_VALUE"""),15070.0)</f>
        <v>15070</v>
      </c>
      <c r="C22" s="251" t="str">
        <f>IFERROR(__xludf.DUMMYFUNCTION("""COMPUTED_VALUE"""),"REDE JT - Alt - Contratação de links para conexão da sede com as unidades do interior do estado.")</f>
        <v>REDE JT - Alt - Contratação de links para conexão da sede com as unidades do interior do estado.</v>
      </c>
      <c r="D22" s="252" t="str">
        <f>IFERROR(__xludf.DUMMYFUNCTION("""COMPUTED_VALUE"""),"1 - Imprescindível")</f>
        <v>1 - Imprescindível</v>
      </c>
      <c r="E22" s="253" t="str">
        <f>IFERROR(__xludf.DUMMYFUNCTION("""COMPUTED_VALUE"""),"SEINFRA")</f>
        <v>SEINFRA</v>
      </c>
      <c r="F22" s="254" t="str">
        <f>IFERROR(__xludf.DUMMYFUNCTION("""COMPUTED_VALUE"""),"5910/2017")</f>
        <v>5910/2017</v>
      </c>
      <c r="G22" s="253" t="str">
        <f>IFERROR(__xludf.DUMMYFUNCTION("""COMPUTED_VALUE"""),"ORÇAMENTO")</f>
        <v>ORÇAMENTO</v>
      </c>
      <c r="H22" s="255"/>
      <c r="I22" s="255"/>
      <c r="J22" s="250">
        <f>IFERROR(__xludf.DUMMYFUNCTION("""COMPUTED_VALUE"""),168107.0)</f>
        <v>168107</v>
      </c>
      <c r="K22" s="256" t="str">
        <f>IFERROR(__xludf.DUMMYFUNCTION("""COMPUTED_VALUE"""),"GND3")</f>
        <v>GND3</v>
      </c>
      <c r="L22" s="256">
        <f>IFERROR(__xludf.DUMMYFUNCTION("""COMPUTED_VALUE"""),125208.18000000001)</f>
        <v>125208.18</v>
      </c>
      <c r="M22" s="180"/>
    </row>
    <row r="23">
      <c r="B23" s="250">
        <f>IFERROR(__xludf.DUMMYFUNCTION("""COMPUTED_VALUE"""),15056.0)</f>
        <v>15056</v>
      </c>
      <c r="C23" s="251" t="str">
        <f>IFERROR(__xludf.DUMMYFUNCTION("""COMPUTED_VALUE"""),"REDE JT - Ciasc - Contratação de links de alto desempenho para as conexões de dados entre as unidades do TRT")</f>
        <v>REDE JT - Ciasc - Contratação de links de alto desempenho para as conexões de dados entre as unidades do TRT</v>
      </c>
      <c r="D23" s="252" t="str">
        <f>IFERROR(__xludf.DUMMYFUNCTION("""COMPUTED_VALUE"""),"1 - Imprescindível")</f>
        <v>1 - Imprescindível</v>
      </c>
      <c r="E23" s="253" t="str">
        <f>IFERROR(__xludf.DUMMYFUNCTION("""COMPUTED_VALUE"""),"SEINFRA")</f>
        <v>SEINFRA</v>
      </c>
      <c r="F23" s="254" t="str">
        <f>IFERROR(__xludf.DUMMYFUNCTION("""COMPUTED_VALUE"""),"5907/2017")</f>
        <v>5907/2017</v>
      </c>
      <c r="G23" s="253" t="str">
        <f>IFERROR(__xludf.DUMMYFUNCTION("""COMPUTED_VALUE"""),"ORÇAMENTO")</f>
        <v>ORÇAMENTO</v>
      </c>
      <c r="H23" s="255">
        <f>IFERROR(__xludf.DUMMYFUNCTION("""COMPUTED_VALUE"""),44781.0)</f>
        <v>44781</v>
      </c>
      <c r="I23" s="255">
        <f>IFERROR(__xludf.DUMMYFUNCTION("""COMPUTED_VALUE"""),44781.0)</f>
        <v>44781</v>
      </c>
      <c r="J23" s="250">
        <f>IFERROR(__xludf.DUMMYFUNCTION("""COMPUTED_VALUE"""),168107.0)</f>
        <v>168107</v>
      </c>
      <c r="K23" s="256" t="str">
        <f>IFERROR(__xludf.DUMMYFUNCTION("""COMPUTED_VALUE"""),"GND3")</f>
        <v>GND3</v>
      </c>
      <c r="L23" s="256">
        <f>IFERROR(__xludf.DUMMYFUNCTION("""COMPUTED_VALUE"""),338693.6)</f>
        <v>338693.6</v>
      </c>
      <c r="M23" s="180"/>
    </row>
    <row r="24">
      <c r="B24" s="250">
        <f>IFERROR(__xludf.DUMMYFUNCTION("""COMPUTED_VALUE"""),15390.0)</f>
        <v>15390</v>
      </c>
      <c r="C24" s="251" t="str">
        <f>IFERROR(__xludf.DUMMYFUNCTION("""COMPUTED_VALUE"""),"REDE JT CIASC - Contratação de links de alto desempenho para as conexões de dados entre as unidades do TRT - 2022")</f>
        <v>REDE JT CIASC - Contratação de links de alto desempenho para as conexões de dados entre as unidades do TRT - 2022</v>
      </c>
      <c r="D24" s="252" t="str">
        <f>IFERROR(__xludf.DUMMYFUNCTION("""COMPUTED_VALUE"""),"1 - Imprescindível")</f>
        <v>1 - Imprescindível</v>
      </c>
      <c r="E24" s="253" t="str">
        <f>IFERROR(__xludf.DUMMYFUNCTION("""COMPUTED_VALUE"""),"SEINFRA")</f>
        <v>SEINFRA</v>
      </c>
      <c r="F24" s="254"/>
      <c r="G24" s="253" t="str">
        <f>IFERROR(__xludf.DUMMYFUNCTION("""COMPUTED_VALUE"""),"DISPENSA_DEMAIS_CASOS")</f>
        <v>DISPENSA_DEMAIS_CASOS</v>
      </c>
      <c r="H24" s="255">
        <f>IFERROR(__xludf.DUMMYFUNCTION("""COMPUTED_VALUE"""),44771.0)</f>
        <v>44771</v>
      </c>
      <c r="I24" s="255">
        <f>IFERROR(__xludf.DUMMYFUNCTION("""COMPUTED_VALUE"""),44781.0)</f>
        <v>44781</v>
      </c>
      <c r="J24" s="250">
        <f>IFERROR(__xludf.DUMMYFUNCTION("""COMPUTED_VALUE"""),168107.0)</f>
        <v>168107</v>
      </c>
      <c r="K24" s="256" t="str">
        <f>IFERROR(__xludf.DUMMYFUNCTION("""COMPUTED_VALUE"""),"GND3")</f>
        <v>GND3</v>
      </c>
      <c r="L24" s="256">
        <f>IFERROR(__xludf.DUMMYFUNCTION("""COMPUTED_VALUE"""),361306.4)</f>
        <v>361306.4</v>
      </c>
      <c r="M24" s="180"/>
    </row>
    <row r="25">
      <c r="B25" s="250">
        <f>IFERROR(__xludf.DUMMYFUNCTION("""COMPUTED_VALUE"""),15364.0)</f>
        <v>15364</v>
      </c>
      <c r="C25" s="251" t="str">
        <f>IFERROR(__xludf.DUMMYFUNCTION("""COMPUTED_VALUE"""),"SALA COFRE 2017 - Contratação de manutenção de sala cofre, que abriga o Datacenter principal, onde são armazenados todos os dados e os equipamentos de processamento de dados corporativos ")</f>
        <v>SALA COFRE 2017 - Contratação de manutenção de sala cofre, que abriga o Datacenter principal, onde são armazenados todos os dados e os equipamentos de processamento de dados corporativos </v>
      </c>
      <c r="D25" s="252" t="str">
        <f>IFERROR(__xludf.DUMMYFUNCTION("""COMPUTED_VALUE"""),"1 - Imprescindível")</f>
        <v>1 - Imprescindível</v>
      </c>
      <c r="E25" s="253" t="str">
        <f>IFERROR(__xludf.DUMMYFUNCTION("""COMPUTED_VALUE"""),"SEINFRA")</f>
        <v>SEINFRA</v>
      </c>
      <c r="F25" s="254" t="str">
        <f>IFERROR(__xludf.DUMMYFUNCTION("""COMPUTED_VALUE"""),"6133/2017")</f>
        <v>6133/2017</v>
      </c>
      <c r="G25" s="253" t="str">
        <f>IFERROR(__xludf.DUMMYFUNCTION("""COMPUTED_VALUE"""),"ORÇAMENTO")</f>
        <v>ORÇAMENTO</v>
      </c>
      <c r="H25" s="255">
        <f>IFERROR(__xludf.DUMMYFUNCTION("""COMPUTED_VALUE"""),44845.0)</f>
        <v>44845</v>
      </c>
      <c r="I25" s="255">
        <f>IFERROR(__xludf.DUMMYFUNCTION("""COMPUTED_VALUE"""),44845.0)</f>
        <v>44845</v>
      </c>
      <c r="J25" s="250">
        <f>IFERROR(__xludf.DUMMYFUNCTION("""COMPUTED_VALUE"""),168107.0)</f>
        <v>168107</v>
      </c>
      <c r="K25" s="256" t="str">
        <f>IFERROR(__xludf.DUMMYFUNCTION("""COMPUTED_VALUE"""),"GND3")</f>
        <v>GND3</v>
      </c>
      <c r="L25" s="256">
        <f>IFERROR(__xludf.DUMMYFUNCTION("""COMPUTED_VALUE"""),263192.44)</f>
        <v>263192.44</v>
      </c>
      <c r="M25" s="180"/>
    </row>
    <row r="26">
      <c r="B26" s="250">
        <f>IFERROR(__xludf.DUMMYFUNCTION("""COMPUTED_VALUE"""),15384.0)</f>
        <v>15384</v>
      </c>
      <c r="C26" s="251" t="str">
        <f>IFERROR(__xludf.DUMMYFUNCTION("""COMPUTED_VALUE"""),"SALA COFRE 2022 - Contratação de manutenção de sala cofre, que abriga o Datacenter principal, onde são armazenados todos os dados e os equipamentos de processamento de dados corporativos. ")</f>
        <v>SALA COFRE 2022 - Contratação de manutenção de sala cofre, que abriga o Datacenter principal, onde são armazenados todos os dados e os equipamentos de processamento de dados corporativos. </v>
      </c>
      <c r="D26" s="252" t="str">
        <f>IFERROR(__xludf.DUMMYFUNCTION("""COMPUTED_VALUE"""),"1 - Imprescindível")</f>
        <v>1 - Imprescindível</v>
      </c>
      <c r="E26" s="253" t="str">
        <f>IFERROR(__xludf.DUMMYFUNCTION("""COMPUTED_VALUE"""),"SEINFRA")</f>
        <v>SEINFRA</v>
      </c>
      <c r="F26" s="254"/>
      <c r="G26" s="253" t="str">
        <f>IFERROR(__xludf.DUMMYFUNCTION("""COMPUTED_VALUE"""),"PRE")</f>
        <v>PRE</v>
      </c>
      <c r="H26" s="255">
        <f>IFERROR(__xludf.DUMMYFUNCTION("""COMPUTED_VALUE"""),44735.0)</f>
        <v>44735</v>
      </c>
      <c r="I26" s="255">
        <f>IFERROR(__xludf.DUMMYFUNCTION("""COMPUTED_VALUE"""),44845.0)</f>
        <v>44845</v>
      </c>
      <c r="J26" s="250">
        <f>IFERROR(__xludf.DUMMYFUNCTION("""COMPUTED_VALUE"""),168107.0)</f>
        <v>168107</v>
      </c>
      <c r="K26" s="256" t="str">
        <f>IFERROR(__xludf.DUMMYFUNCTION("""COMPUTED_VALUE"""),"GND3")</f>
        <v>GND3</v>
      </c>
      <c r="L26" s="256">
        <f>IFERROR(__xludf.DUMMYFUNCTION("""COMPUTED_VALUE"""),68091.65333333332)</f>
        <v>68091.65333</v>
      </c>
      <c r="M26" s="180"/>
    </row>
    <row r="27">
      <c r="B27" s="250">
        <f>IFERROR(__xludf.DUMMYFUNCTION("""COMPUTED_VALUE"""),15895.0)</f>
        <v>15895</v>
      </c>
      <c r="C27" s="251" t="str">
        <f>IFERROR(__xludf.DUMMYFUNCTION("""COMPUTED_VALUE"""),"SO - Contratação de suporte e operação de infraestrutura de TIC/PJe - PO CSJT, inclui suporte Linux, contrato obrigatório dedicado ao PJe (Reconhecimento de dívida de exercício anterior)")</f>
        <v>SO - Contratação de suporte e operação de infraestrutura de TIC/PJe - PO CSJT, inclui suporte Linux, contrato obrigatório dedicado ao PJe (Reconhecimento de dívida de exercício anterior)</v>
      </c>
      <c r="D27" s="252" t="str">
        <f>IFERROR(__xludf.DUMMYFUNCTION("""COMPUTED_VALUE"""),"1 - Imprescindível")</f>
        <v>1 - Imprescindível</v>
      </c>
      <c r="E27" s="253" t="str">
        <f>IFERROR(__xludf.DUMMYFUNCTION("""COMPUTED_VALUE"""),"SEINFRA")</f>
        <v>SEINFRA</v>
      </c>
      <c r="F27" s="254" t="str">
        <f>IFERROR(__xludf.DUMMYFUNCTION("""COMPUTED_VALUE"""),"6789/2021")</f>
        <v>6789/2021</v>
      </c>
      <c r="G27" s="253" t="str">
        <f>IFERROR(__xludf.DUMMYFUNCTION("""COMPUTED_VALUE"""),"ORÇAMENTO")</f>
        <v>ORÇAMENTO</v>
      </c>
      <c r="H27" s="255"/>
      <c r="I27" s="255"/>
      <c r="J27" s="250">
        <f>IFERROR(__xludf.DUMMYFUNCTION("""COMPUTED_VALUE"""),168107.0)</f>
        <v>168107</v>
      </c>
      <c r="K27" s="256" t="str">
        <f>IFERROR(__xludf.DUMMYFUNCTION("""COMPUTED_VALUE"""),"GND3")</f>
        <v>GND3</v>
      </c>
      <c r="L27" s="256">
        <f>IFERROR(__xludf.DUMMYFUNCTION("""COMPUTED_VALUE"""),583.33)</f>
        <v>583.33</v>
      </c>
      <c r="M27" s="180"/>
    </row>
    <row r="28">
      <c r="B28" s="250">
        <f>IFERROR(__xludf.DUMMYFUNCTION("""COMPUTED_VALUE"""),15373.0)</f>
        <v>15373</v>
      </c>
      <c r="C28" s="251" t="str">
        <f>IFERROR(__xludf.DUMMYFUNCTION("""COMPUTED_VALUE"""),"SO SUPORTE - Contratação de suporte e operação de infraestrutura de TIC/PJe - PO CSJT, inclui suporte Linux, contrato obrigatório dedicado ao PJe")</f>
        <v>SO SUPORTE - Contratação de suporte e operação de infraestrutura de TIC/PJe - PO CSJT, inclui suporte Linux, contrato obrigatório dedicado ao PJe</v>
      </c>
      <c r="D28" s="252" t="str">
        <f>IFERROR(__xludf.DUMMYFUNCTION("""COMPUTED_VALUE"""),"1 - Imprescindível")</f>
        <v>1 - Imprescindível</v>
      </c>
      <c r="E28" s="253" t="str">
        <f>IFERROR(__xludf.DUMMYFUNCTION("""COMPUTED_VALUE"""),"SEINFRA")</f>
        <v>SEINFRA</v>
      </c>
      <c r="F28" s="254" t="str">
        <f>IFERROR(__xludf.DUMMYFUNCTION("""COMPUTED_VALUE"""),"6789/2021")</f>
        <v>6789/2021</v>
      </c>
      <c r="G28" s="253" t="str">
        <f>IFERROR(__xludf.DUMMYFUNCTION("""COMPUTED_VALUE"""),"PROR")</f>
        <v>PROR</v>
      </c>
      <c r="H28" s="255">
        <f>IFERROR(__xludf.DUMMYFUNCTION("""COMPUTED_VALUE"""),44779.0)</f>
        <v>44779</v>
      </c>
      <c r="I28" s="255">
        <f>IFERROR(__xludf.DUMMYFUNCTION("""COMPUTED_VALUE"""),44869.0)</f>
        <v>44869</v>
      </c>
      <c r="J28" s="250">
        <f>IFERROR(__xludf.DUMMYFUNCTION("""COMPUTED_VALUE"""),168107.0)</f>
        <v>168107</v>
      </c>
      <c r="K28" s="256" t="str">
        <f>IFERROR(__xludf.DUMMYFUNCTION("""COMPUTED_VALUE"""),"GND3")</f>
        <v>GND3</v>
      </c>
      <c r="L28" s="256">
        <f>IFERROR(__xludf.DUMMYFUNCTION("""COMPUTED_VALUE"""),42000.0)</f>
        <v>42000</v>
      </c>
      <c r="M28" s="180"/>
    </row>
    <row r="29">
      <c r="B29" s="250">
        <f>IFERROR(__xludf.DUMMYFUNCTION("""COMPUTED_VALUE"""),15327.0)</f>
        <v>15327</v>
      </c>
      <c r="C29" s="251" t="str">
        <f>IFERROR(__xludf.DUMMYFUNCTION("""COMPUTED_VALUE"""),"SWITCHES EQUIPAMENTOS - Ampliação da capacidade da rede SAN, que conecta os equipamentos servidores e sistema de backup às unidades de armazenamento.")</f>
        <v>SWITCHES EQUIPAMENTOS - Ampliação da capacidade da rede SAN, que conecta os equipamentos servidores e sistema de backup às unidades de armazenamento.</v>
      </c>
      <c r="D29" s="252" t="str">
        <f>IFERROR(__xludf.DUMMYFUNCTION("""COMPUTED_VALUE"""),"1 - Imprescindível")</f>
        <v>1 - Imprescindível</v>
      </c>
      <c r="E29" s="253" t="str">
        <f>IFERROR(__xludf.DUMMYFUNCTION("""COMPUTED_VALUE"""),"SEINFRA")</f>
        <v>SEINFRA</v>
      </c>
      <c r="F29" s="254"/>
      <c r="G29" s="253" t="str">
        <f>IFERROR(__xludf.DUMMYFUNCTION("""COMPUTED_VALUE"""),"PRE")</f>
        <v>PRE</v>
      </c>
      <c r="H29" s="255">
        <f>IFERROR(__xludf.DUMMYFUNCTION("""COMPUTED_VALUE"""),44695.0)</f>
        <v>44695</v>
      </c>
      <c r="I29" s="255">
        <f>IFERROR(__xludf.DUMMYFUNCTION("""COMPUTED_VALUE"""),44805.0)</f>
        <v>44805</v>
      </c>
      <c r="J29" s="250">
        <f>IFERROR(__xludf.DUMMYFUNCTION("""COMPUTED_VALUE"""),168105.0)</f>
        <v>168105</v>
      </c>
      <c r="K29" s="256" t="str">
        <f>IFERROR(__xludf.DUMMYFUNCTION("""COMPUTED_VALUE"""),"GND4")</f>
        <v>GND4</v>
      </c>
      <c r="L29" s="256">
        <f>IFERROR(__xludf.DUMMYFUNCTION("""COMPUTED_VALUE"""),360000.0)</f>
        <v>360000</v>
      </c>
      <c r="M29" s="180"/>
    </row>
    <row r="30">
      <c r="B30" s="250">
        <f>IFERROR(__xludf.DUMMYFUNCTION("""COMPUTED_VALUE"""),15387.0)</f>
        <v>15387</v>
      </c>
      <c r="C30" s="251" t="str">
        <f>IFERROR(__xludf.DUMMYFUNCTION("""COMPUTED_VALUE"""),"VMWARE LICENÇA - Licença perpétua do VS7-EPL-C com suporte e subscrição Basic por 5 anos (item 2 do DOD)")</f>
        <v>VMWARE LICENÇA - Licença perpétua do VS7-EPL-C com suporte e subscrição Basic por 5 anos (item 2 do DOD)</v>
      </c>
      <c r="D30" s="252" t="str">
        <f>IFERROR(__xludf.DUMMYFUNCTION("""COMPUTED_VALUE"""),"1 - Imprescindível")</f>
        <v>1 - Imprescindível</v>
      </c>
      <c r="E30" s="253" t="str">
        <f>IFERROR(__xludf.DUMMYFUNCTION("""COMPUTED_VALUE"""),"SEINFRA")</f>
        <v>SEINFRA</v>
      </c>
      <c r="F30" s="254"/>
      <c r="G30" s="253" t="str">
        <f>IFERROR(__xludf.DUMMYFUNCTION("""COMPUTED_VALUE"""),"ARP_ADESAO")</f>
        <v>ARP_ADESAO</v>
      </c>
      <c r="H30" s="255">
        <f>IFERROR(__xludf.DUMMYFUNCTION("""COMPUTED_VALUE"""),44575.0)</f>
        <v>44575</v>
      </c>
      <c r="I30" s="255">
        <f>IFERROR(__xludf.DUMMYFUNCTION("""COMPUTED_VALUE"""),44635.0)</f>
        <v>44635</v>
      </c>
      <c r="J30" s="250">
        <f>IFERROR(__xludf.DUMMYFUNCTION("""COMPUTED_VALUE"""),168107.0)</f>
        <v>168107</v>
      </c>
      <c r="K30" s="256" t="str">
        <f>IFERROR(__xludf.DUMMYFUNCTION("""COMPUTED_VALUE"""),"GND4")</f>
        <v>GND4</v>
      </c>
      <c r="L30" s="256">
        <f>IFERROR(__xludf.DUMMYFUNCTION("""COMPUTED_VALUE"""),395000.0)</f>
        <v>395000</v>
      </c>
      <c r="M30" s="180"/>
    </row>
    <row r="31">
      <c r="B31" s="250">
        <f>IFERROR(__xludf.DUMMYFUNCTION("""COMPUTED_VALUE"""),15388.0)</f>
        <v>15388</v>
      </c>
      <c r="C31" s="251" t="str">
        <f>IFERROR(__xludf.DUMMYFUNCTION("""COMPUTED_VALUE"""),"VMWARE SUPORTE - Suporte e Subscrição Production e Basic, para o VMware vCenter Server 7 Standard for vSphere 7, por 5 anos (itens 1 e 3 do DOD)")</f>
        <v>VMWARE SUPORTE - Suporte e Subscrição Production e Basic, para o VMware vCenter Server 7 Standard for vSphere 7, por 5 anos (itens 1 e 3 do DOD)</v>
      </c>
      <c r="D31" s="252" t="str">
        <f>IFERROR(__xludf.DUMMYFUNCTION("""COMPUTED_VALUE"""),"1 - Imprescindível")</f>
        <v>1 - Imprescindível</v>
      </c>
      <c r="E31" s="253" t="str">
        <f>IFERROR(__xludf.DUMMYFUNCTION("""COMPUTED_VALUE"""),"SEINFRA")</f>
        <v>SEINFRA</v>
      </c>
      <c r="F31" s="254"/>
      <c r="G31" s="253" t="str">
        <f>IFERROR(__xludf.DUMMYFUNCTION("""COMPUTED_VALUE"""),"ARP_ADESAO")</f>
        <v>ARP_ADESAO</v>
      </c>
      <c r="H31" s="255">
        <f>IFERROR(__xludf.DUMMYFUNCTION("""COMPUTED_VALUE"""),44575.0)</f>
        <v>44575</v>
      </c>
      <c r="I31" s="255">
        <f>IFERROR(__xludf.DUMMYFUNCTION("""COMPUTED_VALUE"""),44635.0)</f>
        <v>44635</v>
      </c>
      <c r="J31" s="250">
        <f>IFERROR(__xludf.DUMMYFUNCTION("""COMPUTED_VALUE"""),168107.0)</f>
        <v>168107</v>
      </c>
      <c r="K31" s="256" t="str">
        <f>IFERROR(__xludf.DUMMYFUNCTION("""COMPUTED_VALUE"""),"GND3")</f>
        <v>GND3</v>
      </c>
      <c r="L31" s="256">
        <f>IFERROR(__xludf.DUMMYFUNCTION("""COMPUTED_VALUE"""),352160.0)</f>
        <v>352160</v>
      </c>
      <c r="M31" s="180"/>
    </row>
    <row r="32">
      <c r="B32" s="250">
        <f>IFERROR(__xludf.DUMMYFUNCTION("""COMPUTED_VALUE"""),15060.0)</f>
        <v>15060</v>
      </c>
      <c r="C32" s="251" t="str">
        <f>IFERROR(__xludf.DUMMYFUNCTION("""COMPUTED_VALUE"""),"CENTRAL DE SERVIÇOS - Contratação de serviços de suporte de TIC em 1º e 2º níveis - 2019, para fornecimento de técnicos terceirizados para atendimento aos chamados de TIC, no Estado.")</f>
        <v>CENTRAL DE SERVIÇOS - Contratação de serviços de suporte de TIC em 1º e 2º níveis - 2019, para fornecimento de técnicos terceirizados para atendimento aos chamados de TIC, no Estado.</v>
      </c>
      <c r="D32" s="252" t="str">
        <f>IFERROR(__xludf.DUMMYFUNCTION("""COMPUTED_VALUE"""),"1 - Imprescindível")</f>
        <v>1 - Imprescindível</v>
      </c>
      <c r="E32" s="253" t="str">
        <f>IFERROR(__xludf.DUMMYFUNCTION("""COMPUTED_VALUE"""),"SESUP")</f>
        <v>SESUP</v>
      </c>
      <c r="F32" s="254" t="str">
        <f>IFERROR(__xludf.DUMMYFUNCTION("""COMPUTED_VALUE"""),"3995/2019")</f>
        <v>3995/2019</v>
      </c>
      <c r="G32" s="253" t="str">
        <f>IFERROR(__xludf.DUMMYFUNCTION("""COMPUTED_VALUE"""),"PROR")</f>
        <v>PROR</v>
      </c>
      <c r="H32" s="255">
        <f>IFERROR(__xludf.DUMMYFUNCTION("""COMPUTED_VALUE"""),44529.0)</f>
        <v>44529</v>
      </c>
      <c r="I32" s="255">
        <f>IFERROR(__xludf.DUMMYFUNCTION("""COMPUTED_VALUE"""),44619.0)</f>
        <v>44619</v>
      </c>
      <c r="J32" s="250">
        <f>IFERROR(__xludf.DUMMYFUNCTION("""COMPUTED_VALUE"""),168105.0)</f>
        <v>168105</v>
      </c>
      <c r="K32" s="256" t="str">
        <f>IFERROR(__xludf.DUMMYFUNCTION("""COMPUTED_VALUE"""),"GND3")</f>
        <v>GND3</v>
      </c>
      <c r="L32" s="256">
        <f>IFERROR(__xludf.DUMMYFUNCTION("""COMPUTED_VALUE"""),891880.8)</f>
        <v>891880.8</v>
      </c>
      <c r="M32" s="180"/>
    </row>
    <row r="33">
      <c r="B33" s="250">
        <f>IFERROR(__xludf.DUMMYFUNCTION("""COMPUTED_VALUE"""),15392.0)</f>
        <v>15392</v>
      </c>
      <c r="C33" s="251" t="str">
        <f>IFERROR(__xludf.DUMMYFUNCTION("""COMPUTED_VALUE"""),"CENTRAL DE SERVIÇOS - Contratação de serviços de suporte de TIC em 1º e 2º níveis - 2019, para fornecimento de técnicos terceirizados para atendimento aos chamados de TIC, no Estado. (Reconhecimento de dívida de exercício anterior)")</f>
        <v>CENTRAL DE SERVIÇOS - Contratação de serviços de suporte de TIC em 1º e 2º níveis - 2019, para fornecimento de técnicos terceirizados para atendimento aos chamados de TIC, no Estado. (Reconhecimento de dívida de exercício anterior)</v>
      </c>
      <c r="D33" s="252" t="str">
        <f>IFERROR(__xludf.DUMMYFUNCTION("""COMPUTED_VALUE"""),"1 - Imprescindível")</f>
        <v>1 - Imprescindível</v>
      </c>
      <c r="E33" s="253" t="str">
        <f>IFERROR(__xludf.DUMMYFUNCTION("""COMPUTED_VALUE"""),"SESUP")</f>
        <v>SESUP</v>
      </c>
      <c r="F33" s="254" t="str">
        <f>IFERROR(__xludf.DUMMYFUNCTION("""COMPUTED_VALUE"""),"3995/2019")</f>
        <v>3995/2019</v>
      </c>
      <c r="G33" s="253" t="str">
        <f>IFERROR(__xludf.DUMMYFUNCTION("""COMPUTED_VALUE"""),"ORÇAMENTO")</f>
        <v>ORÇAMENTO</v>
      </c>
      <c r="H33" s="255"/>
      <c r="I33" s="255"/>
      <c r="J33" s="250">
        <f>IFERROR(__xludf.DUMMYFUNCTION("""COMPUTED_VALUE"""),168105.0)</f>
        <v>168105</v>
      </c>
      <c r="K33" s="256" t="str">
        <f>IFERROR(__xludf.DUMMYFUNCTION("""COMPUTED_VALUE"""),"GND3")</f>
        <v>GND3</v>
      </c>
      <c r="L33" s="256">
        <f>IFERROR(__xludf.DUMMYFUNCTION("""COMPUTED_VALUE"""),11760.9)</f>
        <v>11760.9</v>
      </c>
      <c r="M33" s="180"/>
    </row>
    <row r="34">
      <c r="B34" s="250">
        <f>IFERROR(__xludf.DUMMYFUNCTION("""COMPUTED_VALUE"""),15898.0)</f>
        <v>15898</v>
      </c>
      <c r="C34" s="251" t="str">
        <f>IFERROR(__xludf.DUMMYFUNCTION("""COMPUTED_VALUE"""),"NOBREAK EQUIPAMENTOS - Fornecimento de energia elétrica estabilizada e ininterrupta ao data center principal (equipamentos de 40 e 80 kVA)")</f>
        <v>NOBREAK EQUIPAMENTOS - Fornecimento de energia elétrica estabilizada e ininterrupta ao data center principal (equipamentos de 40 e 80 kVA)</v>
      </c>
      <c r="D34" s="252" t="str">
        <f>IFERROR(__xludf.DUMMYFUNCTION("""COMPUTED_VALUE"""),"1 - Imprescindível")</f>
        <v>1 - Imprescindível</v>
      </c>
      <c r="E34" s="253" t="str">
        <f>IFERROR(__xludf.DUMMYFUNCTION("""COMPUTED_VALUE"""),"SESUP")</f>
        <v>SESUP</v>
      </c>
      <c r="F34" s="254"/>
      <c r="G34" s="253" t="str">
        <f>IFERROR(__xludf.DUMMYFUNCTION("""COMPUTED_VALUE"""),"PRE")</f>
        <v>PRE</v>
      </c>
      <c r="H34" s="255">
        <f>IFERROR(__xludf.DUMMYFUNCTION("""COMPUTED_VALUE"""),44603.0)</f>
        <v>44603</v>
      </c>
      <c r="I34" s="255">
        <f>IFERROR(__xludf.DUMMYFUNCTION("""COMPUTED_VALUE"""),44713.0)</f>
        <v>44713</v>
      </c>
      <c r="J34" s="250">
        <f>IFERROR(__xludf.DUMMYFUNCTION("""COMPUTED_VALUE"""),168105.0)</f>
        <v>168105</v>
      </c>
      <c r="K34" s="256" t="str">
        <f>IFERROR(__xludf.DUMMYFUNCTION("""COMPUTED_VALUE"""),"GND4")</f>
        <v>GND4</v>
      </c>
      <c r="L34" s="256">
        <f>IFERROR(__xludf.DUMMYFUNCTION("""COMPUTED_VALUE"""),533000.0)</f>
        <v>533000</v>
      </c>
      <c r="M34" s="180"/>
    </row>
    <row r="35">
      <c r="B35" s="250">
        <f>IFERROR(__xludf.DUMMYFUNCTION("""COMPUTED_VALUE"""),15379.0)</f>
        <v>15379</v>
      </c>
      <c r="C35" s="251" t="str">
        <f>IFERROR(__xludf.DUMMYFUNCTION("""COMPUTED_VALUE"""),"NOBREAKS BATERIAS - Aquisição baterias dos Nobreaks de 40kVA (SUVT)")</f>
        <v>NOBREAKS BATERIAS - Aquisição baterias dos Nobreaks de 40kVA (SUVT)</v>
      </c>
      <c r="D35" s="252" t="str">
        <f>IFERROR(__xludf.DUMMYFUNCTION("""COMPUTED_VALUE"""),"1 - Imprescindível")</f>
        <v>1 - Imprescindível</v>
      </c>
      <c r="E35" s="253" t="str">
        <f>IFERROR(__xludf.DUMMYFUNCTION("""COMPUTED_VALUE"""),"SESUP")</f>
        <v>SESUP</v>
      </c>
      <c r="F35" s="254"/>
      <c r="G35" s="253" t="str">
        <f>IFERROR(__xludf.DUMMYFUNCTION("""COMPUTED_VALUE"""),"INEXIGIBILIDADE")</f>
        <v>INEXIGIBILIDADE</v>
      </c>
      <c r="H35" s="255">
        <f>IFERROR(__xludf.DUMMYFUNCTION("""COMPUTED_VALUE"""),44795.0)</f>
        <v>44795</v>
      </c>
      <c r="I35" s="255">
        <f>IFERROR(__xludf.DUMMYFUNCTION("""COMPUTED_VALUE"""),44805.0)</f>
        <v>44805</v>
      </c>
      <c r="J35" s="250">
        <f>IFERROR(__xludf.DUMMYFUNCTION("""COMPUTED_VALUE"""),168105.0)</f>
        <v>168105</v>
      </c>
      <c r="K35" s="256" t="str">
        <f>IFERROR(__xludf.DUMMYFUNCTION("""COMPUTED_VALUE"""),"GND3")</f>
        <v>GND3</v>
      </c>
      <c r="L35" s="256">
        <f>IFERROR(__xludf.DUMMYFUNCTION("""COMPUTED_VALUE"""),100000.0)</f>
        <v>100000</v>
      </c>
      <c r="M35" s="180"/>
    </row>
    <row r="36">
      <c r="B36" s="250">
        <f>IFERROR(__xludf.DUMMYFUNCTION("""COMPUTED_VALUE"""),15376.0)</f>
        <v>15376</v>
      </c>
      <c r="C36" s="251" t="str">
        <f>IFERROR(__xludf.DUMMYFUNCTION("""COMPUTED_VALUE"""),"NOBREAKS EQUIPAMENTOS - Aquisição de equipamentos de 8 e 10 kVA")</f>
        <v>NOBREAKS EQUIPAMENTOS - Aquisição de equipamentos de 8 e 10 kVA</v>
      </c>
      <c r="D36" s="252" t="str">
        <f>IFERROR(__xludf.DUMMYFUNCTION("""COMPUTED_VALUE"""),"1 - Imprescindível")</f>
        <v>1 - Imprescindível</v>
      </c>
      <c r="E36" s="253" t="str">
        <f>IFERROR(__xludf.DUMMYFUNCTION("""COMPUTED_VALUE"""),"SESUP")</f>
        <v>SESUP</v>
      </c>
      <c r="F36" s="254" t="str">
        <f>IFERROR(__xludf.DUMMYFUNCTION("""COMPUTED_VALUE"""),"9240/2021")</f>
        <v>9240/2021</v>
      </c>
      <c r="G36" s="253" t="str">
        <f>IFERROR(__xludf.DUMMYFUNCTION("""COMPUTED_VALUE"""),"PRE")</f>
        <v>PRE</v>
      </c>
      <c r="H36" s="255">
        <f>IFERROR(__xludf.DUMMYFUNCTION("""COMPUTED_VALUE"""),44603.0)</f>
        <v>44603</v>
      </c>
      <c r="I36" s="255">
        <f>IFERROR(__xludf.DUMMYFUNCTION("""COMPUTED_VALUE"""),44713.0)</f>
        <v>44713</v>
      </c>
      <c r="J36" s="250">
        <f>IFERROR(__xludf.DUMMYFUNCTION("""COMPUTED_VALUE"""),168105.0)</f>
        <v>168105</v>
      </c>
      <c r="K36" s="256" t="str">
        <f>IFERROR(__xludf.DUMMYFUNCTION("""COMPUTED_VALUE"""),"GND4")</f>
        <v>GND4</v>
      </c>
      <c r="L36" s="256">
        <f>IFERROR(__xludf.DUMMYFUNCTION("""COMPUTED_VALUE"""),868538.56)</f>
        <v>868538.56</v>
      </c>
      <c r="M36" s="180"/>
    </row>
    <row r="37">
      <c r="B37" s="250">
        <f>IFERROR(__xludf.DUMMYFUNCTION("""COMPUTED_VALUE"""),15220.0)</f>
        <v>15220</v>
      </c>
      <c r="C37" s="251" t="str">
        <f>IFERROR(__xludf.DUMMYFUNCTION("""COMPUTED_VALUE"""),"NOBREAKS SURT - Suporte e manutenção dos nobreaks de varas e foros (SURT 15kVA)")</f>
        <v>NOBREAKS SURT - Suporte e manutenção dos nobreaks de varas e foros (SURT 15kVA)</v>
      </c>
      <c r="D37" s="252" t="str">
        <f>IFERROR(__xludf.DUMMYFUNCTION("""COMPUTED_VALUE"""),"1 - Imprescindível")</f>
        <v>1 - Imprescindível</v>
      </c>
      <c r="E37" s="253" t="str">
        <f>IFERROR(__xludf.DUMMYFUNCTION("""COMPUTED_VALUE"""),"SESUP")</f>
        <v>SESUP</v>
      </c>
      <c r="F37" s="254" t="str">
        <f>IFERROR(__xludf.DUMMYFUNCTION("""COMPUTED_VALUE"""),"7005/2020")</f>
        <v>7005/2020</v>
      </c>
      <c r="G37" s="253" t="str">
        <f>IFERROR(__xludf.DUMMYFUNCTION("""COMPUTED_VALUE"""),"PROR")</f>
        <v>PROR</v>
      </c>
      <c r="H37" s="255">
        <f>IFERROR(__xludf.DUMMYFUNCTION("""COMPUTED_VALUE"""),44758.0)</f>
        <v>44758</v>
      </c>
      <c r="I37" s="255">
        <f>IFERROR(__xludf.DUMMYFUNCTION("""COMPUTED_VALUE"""),44848.0)</f>
        <v>44848</v>
      </c>
      <c r="J37" s="250">
        <f>IFERROR(__xludf.DUMMYFUNCTION("""COMPUTED_VALUE"""),168105.0)</f>
        <v>168105</v>
      </c>
      <c r="K37" s="256" t="str">
        <f>IFERROR(__xludf.DUMMYFUNCTION("""COMPUTED_VALUE"""),"GND3")</f>
        <v>GND3</v>
      </c>
      <c r="L37" s="256">
        <f>IFERROR(__xludf.DUMMYFUNCTION("""COMPUTED_VALUE"""),32390.399999999998)</f>
        <v>32390.4</v>
      </c>
      <c r="M37" s="180"/>
    </row>
    <row r="38">
      <c r="B38" s="250">
        <f>IFERROR(__xludf.DUMMYFUNCTION("""COMPUTED_VALUE"""),15019.0)</f>
        <v>15019</v>
      </c>
      <c r="C38" s="251" t="str">
        <f>IFERROR(__xludf.DUMMYFUNCTION("""COMPUTED_VALUE"""),"NOBREAKS SUVT 2016 - Suporte e manutenção dos nobreaks SUVT 40kVA do Datacenter e dos foros da Capital, de São José e da sede (prorrogação emergencial em 2021)")</f>
        <v>NOBREAKS SUVT 2016 - Suporte e manutenção dos nobreaks SUVT 40kVA do Datacenter e dos foros da Capital, de São José e da sede (prorrogação emergencial em 2021)</v>
      </c>
      <c r="D38" s="252" t="str">
        <f>IFERROR(__xludf.DUMMYFUNCTION("""COMPUTED_VALUE"""),"1 - Imprescindível")</f>
        <v>1 - Imprescindível</v>
      </c>
      <c r="E38" s="253" t="str">
        <f>IFERROR(__xludf.DUMMYFUNCTION("""COMPUTED_VALUE"""),"SESUP")</f>
        <v>SESUP</v>
      </c>
      <c r="F38" s="254" t="str">
        <f>IFERROR(__xludf.DUMMYFUNCTION("""COMPUTED_VALUE"""),"12216/2016")</f>
        <v>12216/2016</v>
      </c>
      <c r="G38" s="253" t="str">
        <f>IFERROR(__xludf.DUMMYFUNCTION("""COMPUTED_VALUE"""),"ORÇAMENTO")</f>
        <v>ORÇAMENTO</v>
      </c>
      <c r="H38" s="255">
        <f>IFERROR(__xludf.DUMMYFUNCTION("""COMPUTED_VALUE"""),44595.0)</f>
        <v>44595</v>
      </c>
      <c r="I38" s="255">
        <f>IFERROR(__xludf.DUMMYFUNCTION("""COMPUTED_VALUE"""),44595.0)</f>
        <v>44595</v>
      </c>
      <c r="J38" s="250">
        <f>IFERROR(__xludf.DUMMYFUNCTION("""COMPUTED_VALUE"""),168105.0)</f>
        <v>168105</v>
      </c>
      <c r="K38" s="256" t="str">
        <f>IFERROR(__xludf.DUMMYFUNCTION("""COMPUTED_VALUE"""),"GND3")</f>
        <v>GND3</v>
      </c>
      <c r="L38" s="256">
        <f>IFERROR(__xludf.DUMMYFUNCTION("""COMPUTED_VALUE"""),11221.333333333334)</f>
        <v>11221.33333</v>
      </c>
      <c r="M38" s="180"/>
    </row>
    <row r="39">
      <c r="B39" s="250">
        <f>IFERROR(__xludf.DUMMYFUNCTION("""COMPUTED_VALUE"""),15357.0)</f>
        <v>15357</v>
      </c>
      <c r="C39" s="251" t="str">
        <f>IFERROR(__xludf.DUMMYFUNCTION("""COMPUTED_VALUE"""),"NOBREAKS SUVT 2022 - Suporte e manutenção dos nobreaks SUVT 40kVA do Datacenter e dos foros da Capital, de São José e da sede (substitui o 15019; há indicativo preliminar de que a aquisição de novos equipamentos pode ser mais vantajosa, o que será definid"&amp;"o pelo planejamento da contratação)")</f>
        <v>NOBREAKS SUVT 2022 - Suporte e manutenção dos nobreaks SUVT 40kVA do Datacenter e dos foros da Capital, de São José e da sede (substitui o 15019; há indicativo preliminar de que a aquisição de novos equipamentos pode ser mais vantajosa, o que será definido pelo planejamento da contratação)</v>
      </c>
      <c r="D39" s="252" t="str">
        <f>IFERROR(__xludf.DUMMYFUNCTION("""COMPUTED_VALUE"""),"1 - Imprescindível")</f>
        <v>1 - Imprescindível</v>
      </c>
      <c r="E39" s="253" t="str">
        <f>IFERROR(__xludf.DUMMYFUNCTION("""COMPUTED_VALUE"""),"SESUP")</f>
        <v>SESUP</v>
      </c>
      <c r="F39" s="254" t="str">
        <f>IFERROR(__xludf.DUMMYFUNCTION("""COMPUTED_VALUE"""),"148/2022")</f>
        <v>148/2022</v>
      </c>
      <c r="G39" s="253" t="str">
        <f>IFERROR(__xludf.DUMMYFUNCTION("""COMPUTED_VALUE"""),"INEXIGIBILIDADE")</f>
        <v>INEXIGIBILIDADE</v>
      </c>
      <c r="H39" s="255">
        <f>IFERROR(__xludf.DUMMYFUNCTION("""COMPUTED_VALUE"""),44733.0)</f>
        <v>44733</v>
      </c>
      <c r="I39" s="255">
        <f>IFERROR(__xludf.DUMMYFUNCTION("""COMPUTED_VALUE"""),44743.0)</f>
        <v>44743</v>
      </c>
      <c r="J39" s="250">
        <f>IFERROR(__xludf.DUMMYFUNCTION("""COMPUTED_VALUE"""),168105.0)</f>
        <v>168105</v>
      </c>
      <c r="K39" s="256" t="str">
        <f>IFERROR(__xludf.DUMMYFUNCTION("""COMPUTED_VALUE"""),"GND3")</f>
        <v>GND3</v>
      </c>
      <c r="L39" s="256">
        <f>IFERROR(__xludf.DUMMYFUNCTION("""COMPUTED_VALUE"""),65100.0)</f>
        <v>65100</v>
      </c>
      <c r="M39" s="180"/>
    </row>
    <row r="40">
      <c r="B40" s="250">
        <f>IFERROR(__xludf.DUMMYFUNCTION("""COMPUTED_VALUE"""),15314.0)</f>
        <v>15314</v>
      </c>
      <c r="C40" s="251" t="str">
        <f>IFERROR(__xludf.DUMMYFUNCTION("""COMPUTED_VALUE"""),"NOBREAKS SYMMETRA - Suporte e manutenção de nobreaks do datacenter - SYMMETRA")</f>
        <v>NOBREAKS SYMMETRA - Suporte e manutenção de nobreaks do datacenter - SYMMETRA</v>
      </c>
      <c r="D40" s="252" t="str">
        <f>IFERROR(__xludf.DUMMYFUNCTION("""COMPUTED_VALUE"""),"1 - Imprescindível")</f>
        <v>1 - Imprescindível</v>
      </c>
      <c r="E40" s="253" t="str">
        <f>IFERROR(__xludf.DUMMYFUNCTION("""COMPUTED_VALUE"""),"SESUP")</f>
        <v>SESUP</v>
      </c>
      <c r="F40" s="254" t="str">
        <f>IFERROR(__xludf.DUMMYFUNCTION("""COMPUTED_VALUE"""),"5228/2020")</f>
        <v>5228/2020</v>
      </c>
      <c r="G40" s="253" t="str">
        <f>IFERROR(__xludf.DUMMYFUNCTION("""COMPUTED_VALUE"""),"PROR")</f>
        <v>PROR</v>
      </c>
      <c r="H40" s="255">
        <f>IFERROR(__xludf.DUMMYFUNCTION("""COMPUTED_VALUE"""),44519.0)</f>
        <v>44519</v>
      </c>
      <c r="I40" s="255">
        <f>IFERROR(__xludf.DUMMYFUNCTION("""COMPUTED_VALUE"""),44609.0)</f>
        <v>44609</v>
      </c>
      <c r="J40" s="250">
        <f>IFERROR(__xludf.DUMMYFUNCTION("""COMPUTED_VALUE"""),168105.0)</f>
        <v>168105</v>
      </c>
      <c r="K40" s="256" t="str">
        <f>IFERROR(__xludf.DUMMYFUNCTION("""COMPUTED_VALUE"""),"GND3")</f>
        <v>GND3</v>
      </c>
      <c r="L40" s="256">
        <f>IFERROR(__xludf.DUMMYFUNCTION("""COMPUTED_VALUE"""),8886.37)</f>
        <v>8886.37</v>
      </c>
      <c r="M40" s="180"/>
    </row>
    <row r="41">
      <c r="B41" s="250">
        <f>IFERROR(__xludf.DUMMYFUNCTION("""COMPUTED_VALUE"""),15899.0)</f>
        <v>15899</v>
      </c>
      <c r="C41" s="251" t="str">
        <f>IFERROR(__xludf.DUMMYFUNCTION("""COMPUTED_VALUE"""),"NOBREAKS SYMMETRA - Suporte e manutenção de nobreaks do datacenter - SYMMETRA (complemento por mudança de CNPJ da contratada)")</f>
        <v>NOBREAKS SYMMETRA - Suporte e manutenção de nobreaks do datacenter - SYMMETRA (complemento por mudança de CNPJ da contratada)</v>
      </c>
      <c r="D41" s="252" t="str">
        <f>IFERROR(__xludf.DUMMYFUNCTION("""COMPUTED_VALUE"""),"1 - Imprescindível")</f>
        <v>1 - Imprescindível</v>
      </c>
      <c r="E41" s="253" t="str">
        <f>IFERROR(__xludf.DUMMYFUNCTION("""COMPUTED_VALUE"""),"SESUP")</f>
        <v>SESUP</v>
      </c>
      <c r="F41" s="254" t="str">
        <f>IFERROR(__xludf.DUMMYFUNCTION("""COMPUTED_VALUE"""),"5228/2020")</f>
        <v>5228/2020</v>
      </c>
      <c r="G41" s="253" t="str">
        <f>IFERROR(__xludf.DUMMYFUNCTION("""COMPUTED_VALUE"""),"ORÇAMENTO")</f>
        <v>ORÇAMENTO</v>
      </c>
      <c r="H41" s="255"/>
      <c r="I41" s="255"/>
      <c r="J41" s="250">
        <f>IFERROR(__xludf.DUMMYFUNCTION("""COMPUTED_VALUE"""),168105.0)</f>
        <v>168105</v>
      </c>
      <c r="K41" s="256" t="str">
        <f>IFERROR(__xludf.DUMMYFUNCTION("""COMPUTED_VALUE"""),"GND3")</f>
        <v>GND3</v>
      </c>
      <c r="L41" s="256">
        <f>IFERROR(__xludf.DUMMYFUNCTION("""COMPUTED_VALUE"""),44431.85)</f>
        <v>44431.85</v>
      </c>
      <c r="M41" s="180"/>
    </row>
    <row r="42">
      <c r="B42" s="250">
        <f>IFERROR(__xludf.DUMMYFUNCTION("""COMPUTED_VALUE"""),15099.0)</f>
        <v>15099</v>
      </c>
      <c r="C42" s="251" t="str">
        <f>IFERROR(__xludf.DUMMYFUNCTION("""COMPUTED_VALUE"""),"RESERVA - Fundo de reserva e materiais diversos, para despesas imprevisíveis e reserva para capacitação a ser transferida tempestivamente à SEDUC")</f>
        <v>RESERVA - Fundo de reserva e materiais diversos, para despesas imprevisíveis e reserva para capacitação a ser transferida tempestivamente à SEDUC</v>
      </c>
      <c r="D42" s="252" t="str">
        <f>IFERROR(__xludf.DUMMYFUNCTION("""COMPUTED_VALUE"""),"1 - Imprescindível")</f>
        <v>1 - Imprescindível</v>
      </c>
      <c r="E42" s="253" t="str">
        <f>IFERROR(__xludf.DUMMYFUNCTION("""COMPUTED_VALUE"""),"SESUP")</f>
        <v>SESUP</v>
      </c>
      <c r="F42" s="254"/>
      <c r="G42" s="253" t="str">
        <f>IFERROR(__xludf.DUMMYFUNCTION("""COMPUTED_VALUE"""),"DISPENSA_PELO_VALOR")</f>
        <v>DISPENSA_PELO_VALOR</v>
      </c>
      <c r="H42" s="255">
        <f>IFERROR(__xludf.DUMMYFUNCTION("""COMPUTED_VALUE"""),44795.0)</f>
        <v>44795</v>
      </c>
      <c r="I42" s="255">
        <f>IFERROR(__xludf.DUMMYFUNCTION("""COMPUTED_VALUE"""),44805.0)</f>
        <v>44805</v>
      </c>
      <c r="J42" s="250">
        <f>IFERROR(__xludf.DUMMYFUNCTION("""COMPUTED_VALUE"""),168105.0)</f>
        <v>168105</v>
      </c>
      <c r="K42" s="256" t="str">
        <f>IFERROR(__xludf.DUMMYFUNCTION("""COMPUTED_VALUE"""),"GND3")</f>
        <v>GND3</v>
      </c>
      <c r="L42" s="256">
        <f>IFERROR(__xludf.DUMMYFUNCTION("""COMPUTED_VALUE"""),50000.0)</f>
        <v>50000</v>
      </c>
      <c r="M42" s="180"/>
    </row>
    <row r="43">
      <c r="B43" s="250">
        <f>IFERROR(__xludf.DUMMYFUNCTION("""COMPUTED_VALUE"""),15107.0)</f>
        <v>15107</v>
      </c>
      <c r="C43" s="251" t="str">
        <f>IFERROR(__xludf.DUMMYFUNCTION("""COMPUTED_VALUE"""),"SCANNER MANUTENÇÃO - Contratação de manutenção dos scanneres para remessa de processo ao TST - SECART (Kodak i4600 e Fujitsu fi-6800)")</f>
        <v>SCANNER MANUTENÇÃO - Contratação de manutenção dos scanneres para remessa de processo ao TST - SECART (Kodak i4600 e Fujitsu fi-6800)</v>
      </c>
      <c r="D43" s="252" t="str">
        <f>IFERROR(__xludf.DUMMYFUNCTION("""COMPUTED_VALUE"""),"1 - Imprescindível")</f>
        <v>1 - Imprescindível</v>
      </c>
      <c r="E43" s="253" t="str">
        <f>IFERROR(__xludf.DUMMYFUNCTION("""COMPUTED_VALUE"""),"SESUP")</f>
        <v>SESUP</v>
      </c>
      <c r="F43" s="254" t="str">
        <f>IFERROR(__xludf.DUMMYFUNCTION("""COMPUTED_VALUE"""),"7373/2017")</f>
        <v>7373/2017</v>
      </c>
      <c r="G43" s="253" t="str">
        <f>IFERROR(__xludf.DUMMYFUNCTION("""COMPUTED_VALUE"""),"PROR")</f>
        <v>PROR</v>
      </c>
      <c r="H43" s="255">
        <f>IFERROR(__xludf.DUMMYFUNCTION("""COMPUTED_VALUE"""),44728.0)</f>
        <v>44728</v>
      </c>
      <c r="I43" s="255">
        <f>IFERROR(__xludf.DUMMYFUNCTION("""COMPUTED_VALUE"""),44818.0)</f>
        <v>44818</v>
      </c>
      <c r="J43" s="250">
        <f>IFERROR(__xludf.DUMMYFUNCTION("""COMPUTED_VALUE"""),168105.0)</f>
        <v>168105</v>
      </c>
      <c r="K43" s="256" t="str">
        <f>IFERROR(__xludf.DUMMYFUNCTION("""COMPUTED_VALUE"""),"GND3")</f>
        <v>GND3</v>
      </c>
      <c r="L43" s="256">
        <f>IFERROR(__xludf.DUMMYFUNCTION("""COMPUTED_VALUE"""),17940.0)</f>
        <v>17940</v>
      </c>
      <c r="M43" s="180"/>
    </row>
    <row r="44">
      <c r="B44" s="250">
        <f>IFERROR(__xludf.DUMMYFUNCTION("""COMPUTED_VALUE"""),15244.0)</f>
        <v>15244</v>
      </c>
      <c r="C44" s="251" t="str">
        <f>IFERROR(__xludf.DUMMYFUNCTION("""COMPUTED_VALUE"""),"SERPRO - Contratação de serviço web de acesso a dados")</f>
        <v>SERPRO - Contratação de serviço web de acesso a dados</v>
      </c>
      <c r="D44" s="252" t="str">
        <f>IFERROR(__xludf.DUMMYFUNCTION("""COMPUTED_VALUE"""),"1 - Imprescindível")</f>
        <v>1 - Imprescindível</v>
      </c>
      <c r="E44" s="253" t="str">
        <f>IFERROR(__xludf.DUMMYFUNCTION("""COMPUTED_VALUE"""),"SESUS")</f>
        <v>SESUS</v>
      </c>
      <c r="F44" s="254" t="str">
        <f>IFERROR(__xludf.DUMMYFUNCTION("""COMPUTED_VALUE"""),"14060/2018")</f>
        <v>14060/2018</v>
      </c>
      <c r="G44" s="253" t="str">
        <f>IFERROR(__xludf.DUMMYFUNCTION("""COMPUTED_VALUE"""),"ORÇAMENTO")</f>
        <v>ORÇAMENTO</v>
      </c>
      <c r="H44" s="255">
        <f>IFERROR(__xludf.DUMMYFUNCTION("""COMPUTED_VALUE"""),45287.0)</f>
        <v>45287</v>
      </c>
      <c r="I44" s="255">
        <f>IFERROR(__xludf.DUMMYFUNCTION("""COMPUTED_VALUE"""),45287.0)</f>
        <v>45287</v>
      </c>
      <c r="J44" s="250">
        <f>IFERROR(__xludf.DUMMYFUNCTION("""COMPUTED_VALUE"""),168105.0)</f>
        <v>168105</v>
      </c>
      <c r="K44" s="256" t="str">
        <f>IFERROR(__xludf.DUMMYFUNCTION("""COMPUTED_VALUE"""),"GND3")</f>
        <v>GND3</v>
      </c>
      <c r="L44" s="256">
        <f>IFERROR(__xludf.DUMMYFUNCTION("""COMPUTED_VALUE"""),43954.44)</f>
        <v>43954.44</v>
      </c>
      <c r="M44" s="180"/>
    </row>
    <row r="45">
      <c r="B45" s="250">
        <f>IFERROR(__xludf.DUMMYFUNCTION("""COMPUTED_VALUE"""),15315.0)</f>
        <v>15315</v>
      </c>
      <c r="C45" s="251" t="str">
        <f>IFERROR(__xludf.DUMMYFUNCTION("""COMPUTED_VALUE"""),"CERTIFICADOS PF - Aquisição de certificados digitais (tokens) para pessoa física, para todo o Estado")</f>
        <v>CERTIFICADOS PF - Aquisição de certificados digitais (tokens) para pessoa física, para todo o Estado</v>
      </c>
      <c r="D45" s="252" t="str">
        <f>IFERROR(__xludf.DUMMYFUNCTION("""COMPUTED_VALUE"""),"1 - Imprescindível")</f>
        <v>1 - Imprescindível</v>
      </c>
      <c r="E45" s="253" t="str">
        <f>IFERROR(__xludf.DUMMYFUNCTION("""COMPUTED_VALUE"""),"SETIC")</f>
        <v>SETIC</v>
      </c>
      <c r="F45" s="254" t="str">
        <f>IFERROR(__xludf.DUMMYFUNCTION("""COMPUTED_VALUE"""),"4057/2020")</f>
        <v>4057/2020</v>
      </c>
      <c r="G45" s="253" t="str">
        <f>IFERROR(__xludf.DUMMYFUNCTION("""COMPUTED_VALUE"""),"PROR")</f>
        <v>PROR</v>
      </c>
      <c r="H45" s="255">
        <f>IFERROR(__xludf.DUMMYFUNCTION("""COMPUTED_VALUE"""),44710.0)</f>
        <v>44710</v>
      </c>
      <c r="I45" s="255">
        <f>IFERROR(__xludf.DUMMYFUNCTION("""COMPUTED_VALUE"""),44800.0)</f>
        <v>44800</v>
      </c>
      <c r="J45" s="250">
        <f>IFERROR(__xludf.DUMMYFUNCTION("""COMPUTED_VALUE"""),168105.0)</f>
        <v>168105</v>
      </c>
      <c r="K45" s="256" t="str">
        <f>IFERROR(__xludf.DUMMYFUNCTION("""COMPUTED_VALUE"""),"GND3")</f>
        <v>GND3</v>
      </c>
      <c r="L45" s="256">
        <f>IFERROR(__xludf.DUMMYFUNCTION("""COMPUTED_VALUE"""),42020.0)</f>
        <v>42020</v>
      </c>
      <c r="M45" s="180"/>
    </row>
    <row r="46">
      <c r="B46" s="250">
        <f>IFERROR(__xludf.DUMMYFUNCTION("""COMPUTED_VALUE"""),15329.0)</f>
        <v>15329</v>
      </c>
      <c r="C46" s="251" t="str">
        <f>IFERROR(__xludf.DUMMYFUNCTION("""COMPUTED_VALUE"""),"DRUPAL SUPORTE - Suporte técnico para o portal de internet e intranet do TRT12, em tecnologia DRUPAL 8")</f>
        <v>DRUPAL SUPORTE - Suporte técnico para o portal de internet e intranet do TRT12, em tecnologia DRUPAL 8</v>
      </c>
      <c r="D46" s="252" t="str">
        <f>IFERROR(__xludf.DUMMYFUNCTION("""COMPUTED_VALUE"""),"2 - Importante")</f>
        <v>2 - Importante</v>
      </c>
      <c r="E46" s="253" t="str">
        <f>IFERROR(__xludf.DUMMYFUNCTION("""COMPUTED_VALUE"""),"SEDES")</f>
        <v>SEDES</v>
      </c>
      <c r="F46" s="254"/>
      <c r="G46" s="253" t="str">
        <f>IFERROR(__xludf.DUMMYFUNCTION("""COMPUTED_VALUE"""),"PRE")</f>
        <v>PRE</v>
      </c>
      <c r="H46" s="255">
        <f>IFERROR(__xludf.DUMMYFUNCTION("""COMPUTED_VALUE"""),44511.0)</f>
        <v>44511</v>
      </c>
      <c r="I46" s="255">
        <f>IFERROR(__xludf.DUMMYFUNCTION("""COMPUTED_VALUE"""),44621.0)</f>
        <v>44621</v>
      </c>
      <c r="J46" s="250">
        <f>IFERROR(__xludf.DUMMYFUNCTION("""COMPUTED_VALUE"""),168105.0)</f>
        <v>168105</v>
      </c>
      <c r="K46" s="256" t="str">
        <f>IFERROR(__xludf.DUMMYFUNCTION("""COMPUTED_VALUE"""),"GND3")</f>
        <v>GND3</v>
      </c>
      <c r="L46" s="256">
        <f>IFERROR(__xludf.DUMMYFUNCTION("""COMPUTED_VALUE"""),76800.0)</f>
        <v>76800</v>
      </c>
      <c r="M46" s="180"/>
    </row>
    <row r="47">
      <c r="B47" s="250">
        <f>IFERROR(__xludf.DUMMYFUNCTION("""COMPUTED_VALUE"""),15347.0)</f>
        <v>15347</v>
      </c>
      <c r="C47" s="251" t="str">
        <f>IFERROR(__xludf.DUMMYFUNCTION("""COMPUTED_VALUE"""),"SEGURANÇA MANUTENÇÃO - Contratação de serviços de manutenção preventiva e corretiva, com eventual fornecimento de peças de reposição, para as câmeras IP e outros equipamentos que compõem o sistema de imagens de segurança.")</f>
        <v>SEGURANÇA MANUTENÇÃO - Contratação de serviços de manutenção preventiva e corretiva, com eventual fornecimento de peças de reposição, para as câmeras IP e outros equipamentos que compõem o sistema de imagens de segurança.</v>
      </c>
      <c r="D47" s="252" t="str">
        <f>IFERROR(__xludf.DUMMYFUNCTION("""COMPUTED_VALUE"""),"2 - Importante")</f>
        <v>2 - Importante</v>
      </c>
      <c r="E47" s="253" t="str">
        <f>IFERROR(__xludf.DUMMYFUNCTION("""COMPUTED_VALUE"""),"SEINFRA")</f>
        <v>SEINFRA</v>
      </c>
      <c r="F47" s="254"/>
      <c r="G47" s="253" t="str">
        <f>IFERROR(__xludf.DUMMYFUNCTION("""COMPUTED_VALUE"""),"PRE")</f>
        <v>PRE</v>
      </c>
      <c r="H47" s="255">
        <f>IFERROR(__xludf.DUMMYFUNCTION("""COMPUTED_VALUE"""),44632.0)</f>
        <v>44632</v>
      </c>
      <c r="I47" s="255">
        <f>IFERROR(__xludf.DUMMYFUNCTION("""COMPUTED_VALUE"""),44742.0)</f>
        <v>44742</v>
      </c>
      <c r="J47" s="250">
        <f>IFERROR(__xludf.DUMMYFUNCTION("""COMPUTED_VALUE"""),168105.0)</f>
        <v>168105</v>
      </c>
      <c r="K47" s="256" t="str">
        <f>IFERROR(__xludf.DUMMYFUNCTION("""COMPUTED_VALUE"""),"GND3")</f>
        <v>GND3</v>
      </c>
      <c r="L47" s="256">
        <f>IFERROR(__xludf.DUMMYFUNCTION("""COMPUTED_VALUE"""),258600.0)</f>
        <v>258600</v>
      </c>
      <c r="M47" s="180"/>
    </row>
    <row r="48">
      <c r="B48" s="250">
        <f>IFERROR(__xludf.DUMMYFUNCTION("""COMPUTED_VALUE"""),15308.0)</f>
        <v>15308</v>
      </c>
      <c r="C48" s="251" t="str">
        <f>IFERROR(__xludf.DUMMYFUNCTION("""COMPUTED_VALUE"""),"SEGURANÇA SUPORTE - Continuidade do serviço de suporte técnico do Sistema de Softwares de Segurança em uso nas unidades do TRT/SC (SENIOR)")</f>
        <v>SEGURANÇA SUPORTE - Continuidade do serviço de suporte técnico do Sistema de Softwares de Segurança em uso nas unidades do TRT/SC (SENIOR)</v>
      </c>
      <c r="D48" s="252" t="str">
        <f>IFERROR(__xludf.DUMMYFUNCTION("""COMPUTED_VALUE"""),"2 - Importante")</f>
        <v>2 - Importante</v>
      </c>
      <c r="E48" s="253" t="str">
        <f>IFERROR(__xludf.DUMMYFUNCTION("""COMPUTED_VALUE"""),"SEINFRA")</f>
        <v>SEINFRA</v>
      </c>
      <c r="F48" s="254" t="str">
        <f>IFERROR(__xludf.DUMMYFUNCTION("""COMPUTED_VALUE"""),"7825/2020")</f>
        <v>7825/2020</v>
      </c>
      <c r="G48" s="253" t="str">
        <f>IFERROR(__xludf.DUMMYFUNCTION("""COMPUTED_VALUE"""),"PROR")</f>
        <v>PROR</v>
      </c>
      <c r="H48" s="255">
        <f>IFERROR(__xludf.DUMMYFUNCTION("""COMPUTED_VALUE"""),44745.0)</f>
        <v>44745</v>
      </c>
      <c r="I48" s="255">
        <f>IFERROR(__xludf.DUMMYFUNCTION("""COMPUTED_VALUE"""),44835.0)</f>
        <v>44835</v>
      </c>
      <c r="J48" s="250">
        <f>IFERROR(__xludf.DUMMYFUNCTION("""COMPUTED_VALUE"""),168105.0)</f>
        <v>168105</v>
      </c>
      <c r="K48" s="256" t="str">
        <f>IFERROR(__xludf.DUMMYFUNCTION("""COMPUTED_VALUE"""),"GND3")</f>
        <v>GND3</v>
      </c>
      <c r="L48" s="256">
        <f>IFERROR(__xludf.DUMMYFUNCTION("""COMPUTED_VALUE"""),64215.96)</f>
        <v>64215.96</v>
      </c>
      <c r="M48" s="180"/>
    </row>
    <row r="49">
      <c r="B49" s="250">
        <f>IFERROR(__xludf.DUMMYFUNCTION("""COMPUTED_VALUE"""),15166.0)</f>
        <v>15166</v>
      </c>
      <c r="C49" s="251" t="str">
        <f>IFERROR(__xludf.DUMMYFUNCTION("""COMPUTED_VALUE"""),"ADOBE LICENÇAS - Manutenção da LICENÇA DE SOFTWARE PACOTE ADOBE - EJUD e SECOM (para 3 anos)")</f>
        <v>ADOBE LICENÇAS - Manutenção da LICENÇA DE SOFTWARE PACOTE ADOBE - EJUD e SECOM (para 3 anos)</v>
      </c>
      <c r="D49" s="252" t="str">
        <f>IFERROR(__xludf.DUMMYFUNCTION("""COMPUTED_VALUE"""),"2 - Importante")</f>
        <v>2 - Importante</v>
      </c>
      <c r="E49" s="253" t="str">
        <f>IFERROR(__xludf.DUMMYFUNCTION("""COMPUTED_VALUE"""),"SESUP")</f>
        <v>SESUP</v>
      </c>
      <c r="F49" s="254" t="str">
        <f>IFERROR(__xludf.DUMMYFUNCTION("""COMPUTED_VALUE"""),"447/2022")</f>
        <v>447/2022</v>
      </c>
      <c r="G49" s="253" t="str">
        <f>IFERROR(__xludf.DUMMYFUNCTION("""COMPUTED_VALUE"""),"ARP_PARTICIPACAO")</f>
        <v>ARP_PARTICIPACAO</v>
      </c>
      <c r="H49" s="255">
        <f>IFERROR(__xludf.DUMMYFUNCTION("""COMPUTED_VALUE"""),44536.0)</f>
        <v>44536</v>
      </c>
      <c r="I49" s="255">
        <f>IFERROR(__xludf.DUMMYFUNCTION("""COMPUTED_VALUE"""),44581.0)</f>
        <v>44581</v>
      </c>
      <c r="J49" s="250">
        <f>IFERROR(__xludf.DUMMYFUNCTION("""COMPUTED_VALUE"""),168105.0)</f>
        <v>168105</v>
      </c>
      <c r="K49" s="256" t="str">
        <f>IFERROR(__xludf.DUMMYFUNCTION("""COMPUTED_VALUE"""),"GND3")</f>
        <v>GND3</v>
      </c>
      <c r="L49" s="256">
        <f>IFERROR(__xludf.DUMMYFUNCTION("""COMPUTED_VALUE"""),59760.0)</f>
        <v>59760</v>
      </c>
      <c r="M49" s="180"/>
    </row>
    <row r="50">
      <c r="B50" s="250">
        <f>IFERROR(__xludf.DUMMYFUNCTION("""COMPUTED_VALUE"""),15389.0)</f>
        <v>15389</v>
      </c>
      <c r="C50" s="251" t="str">
        <f>IFERROR(__xludf.DUMMYFUNCTION("""COMPUTED_VALUE"""),"ASSYST - Contratação de suporte e atualização de licenças da solução de gerenciamento de serviços e registro de chamadas de TIC (2022)")</f>
        <v>ASSYST - Contratação de suporte e atualização de licenças da solução de gerenciamento de serviços e registro de chamadas de TIC (2022)</v>
      </c>
      <c r="D50" s="252" t="str">
        <f>IFERROR(__xludf.DUMMYFUNCTION("""COMPUTED_VALUE"""),"2 - Importante")</f>
        <v>2 - Importante</v>
      </c>
      <c r="E50" s="253" t="str">
        <f>IFERROR(__xludf.DUMMYFUNCTION("""COMPUTED_VALUE"""),"SESUP")</f>
        <v>SESUP</v>
      </c>
      <c r="F50" s="254"/>
      <c r="G50" s="253" t="str">
        <f>IFERROR(__xludf.DUMMYFUNCTION("""COMPUTED_VALUE"""),"ARP_PARTICIPACAO")</f>
        <v>ARP_PARTICIPACAO</v>
      </c>
      <c r="H50" s="255">
        <f>IFERROR(__xludf.DUMMYFUNCTION("""COMPUTED_VALUE"""),44693.0)</f>
        <v>44693</v>
      </c>
      <c r="I50" s="255">
        <f>IFERROR(__xludf.DUMMYFUNCTION("""COMPUTED_VALUE"""),44738.0)</f>
        <v>44738</v>
      </c>
      <c r="J50" s="255">
        <f>IFERROR(__xludf.DUMMYFUNCTION("""COMPUTED_VALUE"""),168107.0)</f>
        <v>168107</v>
      </c>
      <c r="K50" s="256" t="str">
        <f>IFERROR(__xludf.DUMMYFUNCTION("""COMPUTED_VALUE"""),"GND3")</f>
        <v>GND3</v>
      </c>
      <c r="L50" s="256">
        <f>IFERROR(__xludf.DUMMYFUNCTION("""COMPUTED_VALUE"""),48752.125)</f>
        <v>48752.125</v>
      </c>
      <c r="M50" s="180"/>
    </row>
    <row r="51">
      <c r="B51" s="250">
        <f>IFERROR(__xludf.DUMMYFUNCTION("""COMPUTED_VALUE"""),15018.0)</f>
        <v>15018</v>
      </c>
      <c r="C51" s="251" t="str">
        <f>IFERROR(__xludf.DUMMYFUNCTION("""COMPUTED_VALUE"""),"ASSYST - Contratação de suporte e atualização de licenças da solução de gerenciamento de serviços e registro de chamadas de TIC.")</f>
        <v>ASSYST - Contratação de suporte e atualização de licenças da solução de gerenciamento de serviços e registro de chamadas de TIC.</v>
      </c>
      <c r="D51" s="252" t="str">
        <f>IFERROR(__xludf.DUMMYFUNCTION("""COMPUTED_VALUE"""),"2 - Importante")</f>
        <v>2 - Importante</v>
      </c>
      <c r="E51" s="253" t="str">
        <f>IFERROR(__xludf.DUMMYFUNCTION("""COMPUTED_VALUE"""),"SESUP")</f>
        <v>SESUP</v>
      </c>
      <c r="F51" s="254" t="str">
        <f>IFERROR(__xludf.DUMMYFUNCTION("""COMPUTED_VALUE"""),"3891/2017")</f>
        <v>3891/2017</v>
      </c>
      <c r="G51" s="253" t="str">
        <f>IFERROR(__xludf.DUMMYFUNCTION("""COMPUTED_VALUE"""),"ORÇAMENTO")</f>
        <v>ORÇAMENTO</v>
      </c>
      <c r="H51" s="255">
        <f>IFERROR(__xludf.DUMMYFUNCTION("""COMPUTED_VALUE"""),44738.0)</f>
        <v>44738</v>
      </c>
      <c r="I51" s="255">
        <f>IFERROR(__xludf.DUMMYFUNCTION("""COMPUTED_VALUE"""),44738.0)</f>
        <v>44738</v>
      </c>
      <c r="J51" s="255">
        <f>IFERROR(__xludf.DUMMYFUNCTION("""COMPUTED_VALUE"""),168107.0)</f>
        <v>168107</v>
      </c>
      <c r="K51" s="256" t="str">
        <f>IFERROR(__xludf.DUMMYFUNCTION("""COMPUTED_VALUE"""),"GND3")</f>
        <v>GND3</v>
      </c>
      <c r="L51" s="256">
        <f>IFERROR(__xludf.DUMMYFUNCTION("""COMPUTED_VALUE"""),41901.183333333334)</f>
        <v>41901.18333</v>
      </c>
      <c r="M51" s="180"/>
    </row>
    <row r="52">
      <c r="B52" s="250">
        <f>IFERROR(__xludf.DUMMYFUNCTION("""COMPUTED_VALUE"""),15394.0)</f>
        <v>15394</v>
      </c>
      <c r="C52" s="251" t="str">
        <f>IFERROR(__xludf.DUMMYFUNCTION("""COMPUTED_VALUE"""),"ASSYST - Contratação de suporte e atualização de licenças da solução de gerenciamento de serviços e registro de chamadas de TIC. (Reconhecimento de dívida de exercício anterior)")</f>
        <v>ASSYST - Contratação de suporte e atualização de licenças da solução de gerenciamento de serviços e registro de chamadas de TIC. (Reconhecimento de dívida de exercício anterior)</v>
      </c>
      <c r="D52" s="252" t="str">
        <f>IFERROR(__xludf.DUMMYFUNCTION("""COMPUTED_VALUE"""),"2 - Importante")</f>
        <v>2 - Importante</v>
      </c>
      <c r="E52" s="253" t="str">
        <f>IFERROR(__xludf.DUMMYFUNCTION("""COMPUTED_VALUE"""),"SESUP")</f>
        <v>SESUP</v>
      </c>
      <c r="F52" s="254" t="str">
        <f>IFERROR(__xludf.DUMMYFUNCTION("""COMPUTED_VALUE"""),"3891/2017")</f>
        <v>3891/2017</v>
      </c>
      <c r="G52" s="253" t="str">
        <f>IFERROR(__xludf.DUMMYFUNCTION("""COMPUTED_VALUE"""),"ORÇAMENTO")</f>
        <v>ORÇAMENTO</v>
      </c>
      <c r="H52" s="255"/>
      <c r="I52" s="255"/>
      <c r="J52" s="255">
        <f>IFERROR(__xludf.DUMMYFUNCTION("""COMPUTED_VALUE"""),168107.0)</f>
        <v>168107</v>
      </c>
      <c r="K52" s="256" t="str">
        <f>IFERROR(__xludf.DUMMYFUNCTION("""COMPUTED_VALUE"""),"GND3")</f>
        <v>GND3</v>
      </c>
      <c r="L52" s="256">
        <f>IFERROR(__xludf.DUMMYFUNCTION("""COMPUTED_VALUE"""),620.92)</f>
        <v>620.92</v>
      </c>
      <c r="M52" s="180"/>
    </row>
    <row r="53">
      <c r="B53" s="250">
        <f>IFERROR(__xludf.DUMMYFUNCTION("""COMPUTED_VALUE"""),15362.0)</f>
        <v>15362</v>
      </c>
      <c r="C53" s="251" t="str">
        <f>IFERROR(__xludf.DUMMYFUNCTION("""COMPUTED_VALUE"""),"IMPRESSORAS - Aquisição de impressoras de pequeno porte convencionais")</f>
        <v>IMPRESSORAS - Aquisição de impressoras de pequeno porte convencionais</v>
      </c>
      <c r="D53" s="252" t="str">
        <f>IFERROR(__xludf.DUMMYFUNCTION("""COMPUTED_VALUE"""),"2 - Importante")</f>
        <v>2 - Importante</v>
      </c>
      <c r="E53" s="253" t="str">
        <f>IFERROR(__xludf.DUMMYFUNCTION("""COMPUTED_VALUE"""),"SESUP")</f>
        <v>SESUP</v>
      </c>
      <c r="F53" s="254"/>
      <c r="G53" s="253" t="str">
        <f>IFERROR(__xludf.DUMMYFUNCTION("""COMPUTED_VALUE"""),"ARP_PARTICIPACAO")</f>
        <v>ARP_PARTICIPACAO</v>
      </c>
      <c r="H53" s="255">
        <f>IFERROR(__xludf.DUMMYFUNCTION("""COMPUTED_VALUE"""),44698.0)</f>
        <v>44698</v>
      </c>
      <c r="I53" s="255">
        <f>IFERROR(__xludf.DUMMYFUNCTION("""COMPUTED_VALUE"""),44743.0)</f>
        <v>44743</v>
      </c>
      <c r="J53" s="255">
        <f>IFERROR(__xludf.DUMMYFUNCTION("""COMPUTED_VALUE"""),168105.0)</f>
        <v>168105</v>
      </c>
      <c r="K53" s="256" t="str">
        <f>IFERROR(__xludf.DUMMYFUNCTION("""COMPUTED_VALUE"""),"GND4")</f>
        <v>GND4</v>
      </c>
      <c r="L53" s="256">
        <f>IFERROR(__xludf.DUMMYFUNCTION("""COMPUTED_VALUE"""),118338.70000000001)</f>
        <v>118338.7</v>
      </c>
      <c r="M53" s="180"/>
    </row>
    <row r="54">
      <c r="B54" s="257">
        <f>IFERROR(__xludf.DUMMYFUNCTION("""COMPUTED_VALUE"""),15380.0)</f>
        <v>15380</v>
      </c>
      <c r="C54" s="258" t="str">
        <f>IFERROR(__xludf.DUMMYFUNCTION("""COMPUTED_VALUE"""),"IMPRESSORAS MANUTENÇÃO - Contatação de manutenção de impressoras multifuncionais Lexmark MX722")</f>
        <v>IMPRESSORAS MANUTENÇÃO - Contatação de manutenção de impressoras multifuncionais Lexmark MX722</v>
      </c>
      <c r="D54" s="259" t="str">
        <f>IFERROR(__xludf.DUMMYFUNCTION("""COMPUTED_VALUE"""),"2 - Importante")</f>
        <v>2 - Importante</v>
      </c>
      <c r="E54" s="260" t="str">
        <f>IFERROR(__xludf.DUMMYFUNCTION("""COMPUTED_VALUE"""),"SESUP")</f>
        <v>SESUP</v>
      </c>
      <c r="F54" s="261"/>
      <c r="G54" s="260" t="str">
        <f>IFERROR(__xludf.DUMMYFUNCTION("""COMPUTED_VALUE"""),"PRE")</f>
        <v>PRE</v>
      </c>
      <c r="H54" s="262">
        <f>IFERROR(__xludf.DUMMYFUNCTION("""COMPUTED_VALUE"""),44735.0)</f>
        <v>44735</v>
      </c>
      <c r="I54" s="262">
        <f>IFERROR(__xludf.DUMMYFUNCTION("""COMPUTED_VALUE"""),44845.0)</f>
        <v>44845</v>
      </c>
      <c r="J54" s="262">
        <f>IFERROR(__xludf.DUMMYFUNCTION("""COMPUTED_VALUE"""),168105.0)</f>
        <v>168105</v>
      </c>
      <c r="K54" s="263" t="str">
        <f>IFERROR(__xludf.DUMMYFUNCTION("""COMPUTED_VALUE"""),"GND3")</f>
        <v>GND3</v>
      </c>
      <c r="L54" s="263">
        <f>IFERROR(__xludf.DUMMYFUNCTION("""COMPUTED_VALUE"""),12000.0)</f>
        <v>12000</v>
      </c>
      <c r="M54" s="180"/>
    </row>
    <row r="55">
      <c r="B55" s="250">
        <f>IFERROR(__xludf.DUMMYFUNCTION("""COMPUTED_VALUE"""),15066.0)</f>
        <v>15066</v>
      </c>
      <c r="C55" s="251" t="str">
        <f>IFERROR(__xludf.DUMMYFUNCTION("""COMPUTED_VALUE"""),"INTERNET MOVEL - Contratação de linhas de internet móvel. O quantitativo atual é de 151 e deve ser confirmado pelos estudos da contração (Ato CSJT 43/2013).")</f>
        <v>INTERNET MOVEL - Contratação de linhas de internet móvel. O quantitativo atual é de 151 e deve ser confirmado pelos estudos da contração (Ato CSJT 43/2013).</v>
      </c>
      <c r="D55" s="252" t="str">
        <f>IFERROR(__xludf.DUMMYFUNCTION("""COMPUTED_VALUE"""),"2 - Importante")</f>
        <v>2 - Importante</v>
      </c>
      <c r="E55" s="253" t="str">
        <f>IFERROR(__xludf.DUMMYFUNCTION("""COMPUTED_VALUE"""),"SESUP")</f>
        <v>SESUP</v>
      </c>
      <c r="F55" s="254" t="str">
        <f>IFERROR(__xludf.DUMMYFUNCTION("""COMPUTED_VALUE"""),"8560/2018")</f>
        <v>8560/2018</v>
      </c>
      <c r="G55" s="253" t="str">
        <f>IFERROR(__xludf.DUMMYFUNCTION("""COMPUTED_VALUE"""),"PROR")</f>
        <v>PROR</v>
      </c>
      <c r="H55" s="255">
        <f>IFERROR(__xludf.DUMMYFUNCTION("""COMPUTED_VALUE"""),44510.0)</f>
        <v>44510</v>
      </c>
      <c r="I55" s="255">
        <f>IFERROR(__xludf.DUMMYFUNCTION("""COMPUTED_VALUE"""),44600.0)</f>
        <v>44600</v>
      </c>
      <c r="J55" s="255">
        <f>IFERROR(__xludf.DUMMYFUNCTION("""COMPUTED_VALUE"""),168105.0)</f>
        <v>168105</v>
      </c>
      <c r="K55" s="256" t="str">
        <f>IFERROR(__xludf.DUMMYFUNCTION("""COMPUTED_VALUE"""),"GND3")</f>
        <v>GND3</v>
      </c>
      <c r="L55" s="256">
        <f>IFERROR(__xludf.DUMMYFUNCTION("""COMPUTED_VALUE"""),41494.8)</f>
        <v>41494.8</v>
      </c>
      <c r="M55" s="180"/>
    </row>
    <row r="56">
      <c r="B56" s="188">
        <f>IFERROR(__xludf.DUMMYFUNCTION("""COMPUTED_VALUE"""),15361.0)</f>
        <v>15361</v>
      </c>
      <c r="C56" s="181" t="str">
        <f>IFERROR(__xludf.DUMMYFUNCTION("""COMPUTED_VALUE"""),"MICROCOMPUTADORES - Aquisição de microcomputadores modelo mini desktop tipo 2 com wi-fi")</f>
        <v>MICROCOMPUTADORES - Aquisição de microcomputadores modelo mini desktop tipo 2 com wi-fi</v>
      </c>
      <c r="D56" s="180" t="str">
        <f>IFERROR(__xludf.DUMMYFUNCTION("""COMPUTED_VALUE"""),"2 - Importante")</f>
        <v>2 - Importante</v>
      </c>
      <c r="E56" s="240" t="str">
        <f>IFERROR(__xludf.DUMMYFUNCTION("""COMPUTED_VALUE"""),"SESUP")</f>
        <v>SESUP</v>
      </c>
      <c r="F56" s="184"/>
      <c r="G56" s="240" t="str">
        <f>IFERROR(__xludf.DUMMYFUNCTION("""COMPUTED_VALUE"""),"ARP_PARTICIPACAO")</f>
        <v>ARP_PARTICIPACAO</v>
      </c>
      <c r="H56" s="264">
        <f>IFERROR(__xludf.DUMMYFUNCTION("""COMPUTED_VALUE"""),44698.0)</f>
        <v>44698</v>
      </c>
      <c r="I56" s="264">
        <f>IFERROR(__xludf.DUMMYFUNCTION("""COMPUTED_VALUE"""),44743.0)</f>
        <v>44743</v>
      </c>
      <c r="J56" s="264">
        <f>IFERROR(__xludf.DUMMYFUNCTION("""COMPUTED_VALUE"""),168105.0)</f>
        <v>168105</v>
      </c>
      <c r="K56" s="244" t="str">
        <f>IFERROR(__xludf.DUMMYFUNCTION("""COMPUTED_VALUE"""),"GND4")</f>
        <v>GND4</v>
      </c>
      <c r="L56" s="244">
        <f>IFERROR(__xludf.DUMMYFUNCTION("""COMPUTED_VALUE"""),3037300.0)</f>
        <v>3037300</v>
      </c>
      <c r="M56" s="180"/>
    </row>
    <row r="57">
      <c r="B57" s="188">
        <f>IFERROR(__xludf.DUMMYFUNCTION("""COMPUTED_VALUE"""),15371.0)</f>
        <v>15371</v>
      </c>
      <c r="C57" s="181" t="str">
        <f>IFERROR(__xludf.DUMMYFUNCTION("""COMPUTED_VALUE"""),"PRODENT - Contratação de suporte e atualização para licenças de software odontológico")</f>
        <v>PRODENT - Contratação de suporte e atualização para licenças de software odontológico</v>
      </c>
      <c r="D57" s="180" t="str">
        <f>IFERROR(__xludf.DUMMYFUNCTION("""COMPUTED_VALUE"""),"2 - Importante")</f>
        <v>2 - Importante</v>
      </c>
      <c r="E57" s="240" t="str">
        <f>IFERROR(__xludf.DUMMYFUNCTION("""COMPUTED_VALUE"""),"SESUP")</f>
        <v>SESUP</v>
      </c>
      <c r="F57" s="184" t="str">
        <f>IFERROR(__xludf.DUMMYFUNCTION("""COMPUTED_VALUE"""),"5707/2021")</f>
        <v>5707/2021</v>
      </c>
      <c r="G57" s="240" t="str">
        <f>IFERROR(__xludf.DUMMYFUNCTION("""COMPUTED_VALUE"""),"PROR")</f>
        <v>PROR</v>
      </c>
      <c r="H57" s="264">
        <f>IFERROR(__xludf.DUMMYFUNCTION("""COMPUTED_VALUE"""),44693.0)</f>
        <v>44693</v>
      </c>
      <c r="I57" s="264">
        <f>IFERROR(__xludf.DUMMYFUNCTION("""COMPUTED_VALUE"""),44783.0)</f>
        <v>44783</v>
      </c>
      <c r="J57" s="264">
        <f>IFERROR(__xludf.DUMMYFUNCTION("""COMPUTED_VALUE"""),168105.0)</f>
        <v>168105</v>
      </c>
      <c r="K57" s="244" t="str">
        <f>IFERROR(__xludf.DUMMYFUNCTION("""COMPUTED_VALUE"""),"GND3")</f>
        <v>GND3</v>
      </c>
      <c r="L57" s="244">
        <f>IFERROR(__xludf.DUMMYFUNCTION("""COMPUTED_VALUE"""),2992.44)</f>
        <v>2992.44</v>
      </c>
      <c r="M57" s="180"/>
    </row>
    <row r="58">
      <c r="B58" s="188">
        <f>IFERROR(__xludf.DUMMYFUNCTION("""COMPUTED_VALUE"""),15360.0)</f>
        <v>15360</v>
      </c>
      <c r="C58" s="181" t="str">
        <f>IFERROR(__xludf.DUMMYFUNCTION("""COMPUTED_VALUE"""),"SIABI - Contratação de suporte técnico e atualização de licenças do software de gerenciamento de bibliotecas")</f>
        <v>SIABI - Contratação de suporte técnico e atualização de licenças do software de gerenciamento de bibliotecas</v>
      </c>
      <c r="D58" s="180" t="str">
        <f>IFERROR(__xludf.DUMMYFUNCTION("""COMPUTED_VALUE"""),"2 - Importante")</f>
        <v>2 - Importante</v>
      </c>
      <c r="E58" s="240" t="str">
        <f>IFERROR(__xludf.DUMMYFUNCTION("""COMPUTED_VALUE"""),"SESUP")</f>
        <v>SESUP</v>
      </c>
      <c r="F58" s="184" t="str">
        <f>IFERROR(__xludf.DUMMYFUNCTION("""COMPUTED_VALUE"""),"2689/2021")</f>
        <v>2689/2021</v>
      </c>
      <c r="G58" s="240" t="str">
        <f>IFERROR(__xludf.DUMMYFUNCTION("""COMPUTED_VALUE"""),"PROR")</f>
        <v>PROR</v>
      </c>
      <c r="H58" s="264">
        <f>IFERROR(__xludf.DUMMYFUNCTION("""COMPUTED_VALUE"""),44546.0)</f>
        <v>44546</v>
      </c>
      <c r="I58" s="264">
        <f>IFERROR(__xludf.DUMMYFUNCTION("""COMPUTED_VALUE"""),44636.0)</f>
        <v>44636</v>
      </c>
      <c r="J58" s="264">
        <f>IFERROR(__xludf.DUMMYFUNCTION("""COMPUTED_VALUE"""),168105.0)</f>
        <v>168105</v>
      </c>
      <c r="K58" s="244" t="str">
        <f>IFERROR(__xludf.DUMMYFUNCTION("""COMPUTED_VALUE"""),"GND3")</f>
        <v>GND3</v>
      </c>
      <c r="L58" s="244">
        <f>IFERROR(__xludf.DUMMYFUNCTION("""COMPUTED_VALUE"""),7626.48)</f>
        <v>7626.48</v>
      </c>
      <c r="M58" s="180"/>
    </row>
    <row r="59">
      <c r="B59" s="188">
        <f>IFERROR(__xludf.DUMMYFUNCTION("""COMPUTED_VALUE"""),15897.0)</f>
        <v>15897</v>
      </c>
      <c r="C59" s="181" t="str">
        <f>IFERROR(__xludf.DUMMYFUNCTION("""COMPUTED_VALUE"""),"SIABI MEMORIAL - Licenças e serviços de suporte técnico e manutenção para o SIABI (Sistema de software
Automação de Bibliotecas, Arquivos, museus e Memoriais) com direito a versões
atualizadas.")</f>
        <v>SIABI MEMORIAL - Licenças e serviços de suporte técnico e manutenção para o SIABI (Sistema de software
Automação de Bibliotecas, Arquivos, museus e Memoriais) com direito a versões
atualizadas.</v>
      </c>
      <c r="D59" s="180" t="str">
        <f>IFERROR(__xludf.DUMMYFUNCTION("""COMPUTED_VALUE"""),"2 - Importante")</f>
        <v>2 - Importante</v>
      </c>
      <c r="E59" s="240" t="str">
        <f>IFERROR(__xludf.DUMMYFUNCTION("""COMPUTED_VALUE"""),"SESUP")</f>
        <v>SESUP</v>
      </c>
      <c r="F59" s="184"/>
      <c r="G59" s="240" t="str">
        <f>IFERROR(__xludf.DUMMYFUNCTION("""COMPUTED_VALUE"""),"DISPENSA_PELO_VALOR")</f>
        <v>DISPENSA_PELO_VALOR</v>
      </c>
      <c r="H59" s="264">
        <f>IFERROR(__xludf.DUMMYFUNCTION("""COMPUTED_VALUE"""),44672.0)</f>
        <v>44672</v>
      </c>
      <c r="I59" s="264">
        <f>IFERROR(__xludf.DUMMYFUNCTION("""COMPUTED_VALUE"""),44682.0)</f>
        <v>44682</v>
      </c>
      <c r="J59" s="264">
        <f>IFERROR(__xludf.DUMMYFUNCTION("""COMPUTED_VALUE"""),168105.0)</f>
        <v>168105</v>
      </c>
      <c r="K59" s="244" t="str">
        <f>IFERROR(__xludf.DUMMYFUNCTION("""COMPUTED_VALUE"""),"GND3")</f>
        <v>GND3</v>
      </c>
      <c r="L59" s="244">
        <f>IFERROR(__xludf.DUMMYFUNCTION("""COMPUTED_VALUE"""),15571.36)</f>
        <v>15571.36</v>
      </c>
      <c r="M59" s="180"/>
    </row>
    <row r="60">
      <c r="B60" s="188">
        <f>IFERROR(__xludf.DUMMYFUNCTION("""COMPUTED_VALUE"""),15374.0)</f>
        <v>15374</v>
      </c>
      <c r="C60" s="181" t="str">
        <f>IFERROR(__xludf.DUMMYFUNCTION("""COMPUTED_VALUE"""),"VIDEOCONFERÊNCIAS EQUIPAMENTOS - Aquisição de câmeras com microfone")</f>
        <v>VIDEOCONFERÊNCIAS EQUIPAMENTOS - Aquisição de câmeras com microfone</v>
      </c>
      <c r="D60" s="180" t="str">
        <f>IFERROR(__xludf.DUMMYFUNCTION("""COMPUTED_VALUE"""),"2 - Importante")</f>
        <v>2 - Importante</v>
      </c>
      <c r="E60" s="240" t="str">
        <f>IFERROR(__xludf.DUMMYFUNCTION("""COMPUTED_VALUE"""),"SESUP")</f>
        <v>SESUP</v>
      </c>
      <c r="F60" s="184"/>
      <c r="G60" s="240" t="str">
        <f>IFERROR(__xludf.DUMMYFUNCTION("""COMPUTED_VALUE"""),"ARP_PARTICIPACAO")</f>
        <v>ARP_PARTICIPACAO</v>
      </c>
      <c r="H60" s="264">
        <f>IFERROR(__xludf.DUMMYFUNCTION("""COMPUTED_VALUE"""),44697.0)</f>
        <v>44697</v>
      </c>
      <c r="I60" s="264">
        <f>IFERROR(__xludf.DUMMYFUNCTION("""COMPUTED_VALUE"""),44742.0)</f>
        <v>44742</v>
      </c>
      <c r="J60" s="264">
        <f>IFERROR(__xludf.DUMMYFUNCTION("""COMPUTED_VALUE"""),168105.0)</f>
        <v>168105</v>
      </c>
      <c r="K60" s="244" t="str">
        <f>IFERROR(__xludf.DUMMYFUNCTION("""COMPUTED_VALUE"""),"GND3")</f>
        <v>GND3</v>
      </c>
      <c r="L60" s="244">
        <f>IFERROR(__xludf.DUMMYFUNCTION("""COMPUTED_VALUE"""),136300.0)</f>
        <v>136300</v>
      </c>
      <c r="M60" s="180"/>
    </row>
    <row r="61">
      <c r="B61" s="188">
        <f>IFERROR(__xludf.DUMMYFUNCTION("""COMPUTED_VALUE"""),15349.0)</f>
        <v>15349</v>
      </c>
      <c r="C61" s="181" t="str">
        <f>IFERROR(__xludf.DUMMYFUNCTION("""COMPUTED_VALUE"""),"BI SOFTWARE - Contratação de uso de software em nuvem, para gerar relatórios e informações gerenciais para apoio à decisão e à gestão")</f>
        <v>BI SOFTWARE - Contratação de uso de software em nuvem, para gerar relatórios e informações gerenciais para apoio à decisão e à gestão</v>
      </c>
      <c r="D61" s="180" t="str">
        <f>IFERROR(__xludf.DUMMYFUNCTION("""COMPUTED_VALUE"""),"2 - Importante")</f>
        <v>2 - Importante</v>
      </c>
      <c r="E61" s="240" t="str">
        <f>IFERROR(__xludf.DUMMYFUNCTION("""COMPUTED_VALUE"""),"SESUS")</f>
        <v>SESUS</v>
      </c>
      <c r="F61" s="184" t="str">
        <f>IFERROR(__xludf.DUMMYFUNCTION("""COMPUTED_VALUE"""),"12010/2020")</f>
        <v>12010/2020</v>
      </c>
      <c r="G61" s="240" t="str">
        <f>IFERROR(__xludf.DUMMYFUNCTION("""COMPUTED_VALUE"""),"PROR")</f>
        <v>PROR</v>
      </c>
      <c r="H61" s="264">
        <f>IFERROR(__xludf.DUMMYFUNCTION("""COMPUTED_VALUE"""),44835.0)</f>
        <v>44835</v>
      </c>
      <c r="I61" s="264">
        <f>IFERROR(__xludf.DUMMYFUNCTION("""COMPUTED_VALUE"""),44925.0)</f>
        <v>44925</v>
      </c>
      <c r="J61" s="264">
        <f>IFERROR(__xludf.DUMMYFUNCTION("""COMPUTED_VALUE"""),168105.0)</f>
        <v>168105</v>
      </c>
      <c r="K61" s="244" t="str">
        <f>IFERROR(__xludf.DUMMYFUNCTION("""COMPUTED_VALUE"""),"GND3")</f>
        <v>GND3</v>
      </c>
      <c r="L61" s="244">
        <f>IFERROR(__xludf.DUMMYFUNCTION("""COMPUTED_VALUE"""),11870.76)</f>
        <v>11870.76</v>
      </c>
      <c r="M61" s="180"/>
    </row>
    <row r="62">
      <c r="B62" s="188">
        <f>IFERROR(__xludf.DUMMYFUNCTION("""COMPUTED_VALUE"""),15306.0)</f>
        <v>15306</v>
      </c>
      <c r="C62" s="181" t="str">
        <f>IFERROR(__xludf.DUMMYFUNCTION("""COMPUTED_VALUE"""),"AUTOCAD LICENÇAS - Contratação/prorrogação de licanças de Autodesk AutoCAD Revit Suite")</f>
        <v>AUTOCAD LICENÇAS - Contratação/prorrogação de licanças de Autodesk AutoCAD Revit Suite</v>
      </c>
      <c r="D62" s="180" t="str">
        <f>IFERROR(__xludf.DUMMYFUNCTION("""COMPUTED_VALUE"""),"3 - Desejável")</f>
        <v>3 - Desejável</v>
      </c>
      <c r="E62" s="240" t="str">
        <f>IFERROR(__xludf.DUMMYFUNCTION("""COMPUTED_VALUE"""),"SESUP")</f>
        <v>SESUP</v>
      </c>
      <c r="F62" s="184"/>
      <c r="G62" s="240" t="str">
        <f>IFERROR(__xludf.DUMMYFUNCTION("""COMPUTED_VALUE"""),"PRE")</f>
        <v>PRE</v>
      </c>
      <c r="H62" s="264">
        <f>IFERROR(__xludf.DUMMYFUNCTION("""COMPUTED_VALUE"""),44756.0)</f>
        <v>44756</v>
      </c>
      <c r="I62" s="264">
        <f>IFERROR(__xludf.DUMMYFUNCTION("""COMPUTED_VALUE"""),44866.0)</f>
        <v>44866</v>
      </c>
      <c r="J62" s="264">
        <f>IFERROR(__xludf.DUMMYFUNCTION("""COMPUTED_VALUE"""),168105.0)</f>
        <v>168105</v>
      </c>
      <c r="K62" s="244" t="str">
        <f>IFERROR(__xludf.DUMMYFUNCTION("""COMPUTED_VALUE"""),"GND3")</f>
        <v>GND3</v>
      </c>
      <c r="L62" s="244">
        <f>IFERROR(__xludf.DUMMYFUNCTION("""COMPUTED_VALUE"""),68648.0)</f>
        <v>68648</v>
      </c>
      <c r="M62" s="180"/>
    </row>
    <row r="63">
      <c r="B63" s="188">
        <f>IFERROR(__xludf.DUMMYFUNCTION("""COMPUTED_VALUE"""),15307.0)</f>
        <v>15307</v>
      </c>
      <c r="C63" s="181" t="str">
        <f>IFERROR(__xludf.DUMMYFUNCTION("""COMPUTED_VALUE"""),"SKETCHUP PRO - Licença SketchUp Pro - Trimble (12 meses)")</f>
        <v>SKETCHUP PRO - Licença SketchUp Pro - Trimble (12 meses)</v>
      </c>
      <c r="D63" s="180" t="str">
        <f>IFERROR(__xludf.DUMMYFUNCTION("""COMPUTED_VALUE"""),"3 - Desejável")</f>
        <v>3 - Desejável</v>
      </c>
      <c r="E63" s="240" t="str">
        <f>IFERROR(__xludf.DUMMYFUNCTION("""COMPUTED_VALUE"""),"SESUP")</f>
        <v>SESUP</v>
      </c>
      <c r="F63" s="184"/>
      <c r="G63" s="240" t="str">
        <f>IFERROR(__xludf.DUMMYFUNCTION("""COMPUTED_VALUE"""),"DISPENSA_PELO_VALOR")</f>
        <v>DISPENSA_PELO_VALOR</v>
      </c>
      <c r="H63" s="264">
        <f>IFERROR(__xludf.DUMMYFUNCTION("""COMPUTED_VALUE"""),44825.0)</f>
        <v>44825</v>
      </c>
      <c r="I63" s="264">
        <f>IFERROR(__xludf.DUMMYFUNCTION("""COMPUTED_VALUE"""),44835.0)</f>
        <v>44835</v>
      </c>
      <c r="J63" s="264">
        <f>IFERROR(__xludf.DUMMYFUNCTION("""COMPUTED_VALUE"""),168105.0)</f>
        <v>168105</v>
      </c>
      <c r="K63" s="244" t="str">
        <f>IFERROR(__xludf.DUMMYFUNCTION("""COMPUTED_VALUE"""),"GND3")</f>
        <v>GND3</v>
      </c>
      <c r="L63" s="244">
        <f>IFERROR(__xludf.DUMMYFUNCTION("""COMPUTED_VALUE"""),1881.0)</f>
        <v>1881</v>
      </c>
      <c r="M63" s="180"/>
    </row>
    <row r="64">
      <c r="B64" s="188"/>
      <c r="C64" s="181"/>
      <c r="D64" s="180"/>
      <c r="E64" s="240"/>
      <c r="F64" s="184"/>
      <c r="G64" s="240"/>
      <c r="H64" s="184"/>
      <c r="I64" s="264"/>
      <c r="J64" s="264"/>
      <c r="K64" s="244"/>
      <c r="L64" s="244"/>
      <c r="M64" s="180"/>
    </row>
    <row r="65">
      <c r="B65" s="188"/>
      <c r="C65" s="181"/>
      <c r="D65" s="180"/>
      <c r="E65" s="240"/>
      <c r="F65" s="184"/>
      <c r="G65" s="240"/>
      <c r="H65" s="184"/>
      <c r="I65" s="264"/>
      <c r="J65" s="264"/>
      <c r="K65" s="244"/>
      <c r="L65" s="244"/>
      <c r="M65" s="180"/>
    </row>
    <row r="66">
      <c r="B66" s="188"/>
      <c r="C66" s="181"/>
      <c r="D66" s="180"/>
      <c r="E66" s="240"/>
      <c r="F66" s="184"/>
      <c r="G66" s="240"/>
      <c r="H66" s="184"/>
      <c r="I66" s="264"/>
      <c r="J66" s="264"/>
      <c r="K66" s="244"/>
      <c r="L66" s="244"/>
      <c r="M66" s="180"/>
    </row>
    <row r="67">
      <c r="B67" s="188"/>
      <c r="C67" s="181"/>
      <c r="D67" s="180"/>
      <c r="E67" s="240"/>
      <c r="F67" s="184"/>
      <c r="G67" s="240"/>
      <c r="H67" s="184"/>
      <c r="I67" s="264"/>
      <c r="J67" s="264"/>
      <c r="K67" s="244"/>
      <c r="L67" s="244"/>
      <c r="M67" s="180"/>
    </row>
    <row r="68">
      <c r="B68" s="188"/>
      <c r="C68" s="181"/>
      <c r="D68" s="180"/>
      <c r="E68" s="240"/>
      <c r="F68" s="184"/>
      <c r="G68" s="240"/>
      <c r="H68" s="184"/>
      <c r="I68" s="264"/>
      <c r="J68" s="264"/>
      <c r="K68" s="244"/>
      <c r="L68" s="244"/>
      <c r="M68" s="180"/>
    </row>
    <row r="69">
      <c r="B69" s="188"/>
      <c r="C69" s="181"/>
      <c r="D69" s="180"/>
      <c r="E69" s="240"/>
      <c r="F69" s="184"/>
      <c r="G69" s="240"/>
      <c r="H69" s="184"/>
      <c r="I69" s="264"/>
      <c r="J69" s="264"/>
      <c r="K69" s="244"/>
      <c r="L69" s="244"/>
      <c r="M69" s="180"/>
    </row>
    <row r="70">
      <c r="B70" s="188"/>
      <c r="C70" s="181"/>
      <c r="D70" s="180"/>
      <c r="E70" s="240"/>
      <c r="F70" s="184"/>
      <c r="G70" s="240"/>
      <c r="H70" s="184"/>
      <c r="I70" s="264"/>
      <c r="J70" s="264"/>
      <c r="K70" s="244"/>
      <c r="L70" s="244"/>
      <c r="M70" s="180"/>
    </row>
    <row r="71">
      <c r="B71" s="188"/>
      <c r="C71" s="181"/>
      <c r="D71" s="180"/>
      <c r="E71" s="240"/>
      <c r="F71" s="184"/>
      <c r="G71" s="240"/>
      <c r="H71" s="184"/>
      <c r="I71" s="264"/>
      <c r="J71" s="264"/>
      <c r="K71" s="244"/>
      <c r="L71" s="244"/>
      <c r="M71" s="180"/>
    </row>
    <row r="72">
      <c r="B72" s="188"/>
      <c r="C72" s="181"/>
      <c r="D72" s="180"/>
      <c r="E72" s="240"/>
      <c r="F72" s="184"/>
      <c r="G72" s="240"/>
      <c r="H72" s="184"/>
      <c r="I72" s="264"/>
      <c r="J72" s="264"/>
      <c r="K72" s="244"/>
      <c r="L72" s="244"/>
      <c r="M72" s="180"/>
    </row>
    <row r="73">
      <c r="B73" s="188"/>
      <c r="C73" s="181"/>
      <c r="D73" s="180"/>
      <c r="E73" s="240"/>
      <c r="F73" s="184"/>
      <c r="G73" s="240"/>
      <c r="H73" s="184"/>
      <c r="I73" s="264"/>
      <c r="J73" s="264"/>
      <c r="K73" s="244"/>
      <c r="L73" s="244"/>
      <c r="M73" s="180"/>
    </row>
    <row r="74">
      <c r="B74" s="188"/>
      <c r="C74" s="181"/>
      <c r="D74" s="180"/>
      <c r="E74" s="240"/>
      <c r="F74" s="184"/>
      <c r="G74" s="240"/>
      <c r="H74" s="184"/>
      <c r="I74" s="264"/>
      <c r="J74" s="264"/>
      <c r="K74" s="244"/>
      <c r="L74" s="244"/>
      <c r="M74" s="180"/>
    </row>
    <row r="75">
      <c r="B75" s="188"/>
      <c r="C75" s="181"/>
      <c r="D75" s="180"/>
      <c r="E75" s="240"/>
      <c r="F75" s="184"/>
      <c r="G75" s="240"/>
      <c r="H75" s="184"/>
      <c r="I75" s="264"/>
      <c r="J75" s="264"/>
      <c r="K75" s="244"/>
      <c r="L75" s="244"/>
      <c r="M75" s="180"/>
    </row>
    <row r="76">
      <c r="B76" s="188"/>
      <c r="C76" s="181"/>
      <c r="D76" s="180"/>
      <c r="E76" s="240"/>
      <c r="F76" s="184"/>
      <c r="G76" s="240"/>
      <c r="H76" s="184"/>
      <c r="I76" s="264"/>
      <c r="J76" s="264"/>
      <c r="K76" s="244"/>
      <c r="L76" s="244"/>
      <c r="M76" s="180"/>
    </row>
    <row r="77">
      <c r="B77" s="188"/>
      <c r="C77" s="181"/>
      <c r="D77" s="180"/>
      <c r="E77" s="240"/>
      <c r="F77" s="184"/>
      <c r="G77" s="240"/>
      <c r="H77" s="184"/>
      <c r="I77" s="264"/>
      <c r="J77" s="264"/>
      <c r="K77" s="244"/>
      <c r="L77" s="244"/>
      <c r="M77" s="180"/>
    </row>
    <row r="78">
      <c r="B78" s="188"/>
      <c r="C78" s="181"/>
      <c r="D78" s="180"/>
      <c r="E78" s="240"/>
      <c r="F78" s="184"/>
      <c r="G78" s="240"/>
      <c r="H78" s="184"/>
      <c r="I78" s="264"/>
      <c r="J78" s="264"/>
      <c r="K78" s="244"/>
      <c r="L78" s="244"/>
      <c r="M78" s="180"/>
    </row>
    <row r="79">
      <c r="B79" s="188"/>
      <c r="C79" s="181"/>
      <c r="D79" s="180"/>
      <c r="E79" s="240"/>
      <c r="F79" s="184"/>
      <c r="G79" s="240"/>
      <c r="H79" s="184"/>
      <c r="I79" s="264"/>
      <c r="J79" s="264"/>
      <c r="K79" s="244"/>
      <c r="L79" s="244"/>
      <c r="M79" s="180"/>
    </row>
    <row r="80">
      <c r="B80" s="188"/>
      <c r="C80" s="181"/>
      <c r="D80" s="180"/>
      <c r="E80" s="240"/>
      <c r="F80" s="184"/>
      <c r="G80" s="240"/>
      <c r="H80" s="184"/>
      <c r="I80" s="264"/>
      <c r="J80" s="264"/>
      <c r="K80" s="244"/>
      <c r="L80" s="244"/>
      <c r="M80" s="180"/>
    </row>
    <row r="81">
      <c r="B81" s="188"/>
      <c r="C81" s="181"/>
      <c r="D81" s="180"/>
      <c r="E81" s="240"/>
      <c r="F81" s="184"/>
      <c r="G81" s="240"/>
      <c r="H81" s="184"/>
      <c r="I81" s="264"/>
      <c r="J81" s="264"/>
      <c r="K81" s="244"/>
      <c r="L81" s="244"/>
      <c r="M81" s="180"/>
    </row>
    <row r="82">
      <c r="B82" s="188"/>
      <c r="C82" s="181"/>
      <c r="D82" s="180"/>
      <c r="E82" s="240"/>
      <c r="F82" s="184"/>
      <c r="G82" s="240"/>
      <c r="H82" s="184"/>
      <c r="I82" s="264"/>
      <c r="J82" s="264"/>
      <c r="K82" s="244"/>
      <c r="L82" s="244"/>
      <c r="M82" s="180"/>
    </row>
    <row r="83">
      <c r="B83" s="188"/>
      <c r="C83" s="181"/>
      <c r="D83" s="180"/>
      <c r="E83" s="240"/>
      <c r="F83" s="184"/>
      <c r="G83" s="240"/>
      <c r="H83" s="184"/>
      <c r="I83" s="264"/>
      <c r="J83" s="264"/>
      <c r="K83" s="244"/>
      <c r="L83" s="244"/>
      <c r="M83" s="180"/>
    </row>
    <row r="84">
      <c r="B84" s="188"/>
      <c r="C84" s="181"/>
      <c r="D84" s="180"/>
      <c r="E84" s="240"/>
      <c r="F84" s="184"/>
      <c r="G84" s="240"/>
      <c r="H84" s="184"/>
      <c r="I84" s="264"/>
      <c r="J84" s="264"/>
      <c r="K84" s="244"/>
      <c r="L84" s="244"/>
      <c r="M84" s="180"/>
    </row>
    <row r="85">
      <c r="B85" s="188"/>
      <c r="C85" s="181"/>
      <c r="D85" s="180"/>
      <c r="E85" s="240"/>
      <c r="F85" s="184"/>
      <c r="G85" s="240"/>
      <c r="H85" s="184"/>
      <c r="I85" s="264"/>
      <c r="J85" s="264"/>
      <c r="K85" s="244"/>
      <c r="L85" s="244"/>
      <c r="M85" s="180"/>
    </row>
    <row r="86">
      <c r="B86" s="188"/>
      <c r="C86" s="181"/>
      <c r="D86" s="180"/>
      <c r="E86" s="240"/>
      <c r="F86" s="184"/>
      <c r="G86" s="240"/>
      <c r="H86" s="184"/>
      <c r="I86" s="264"/>
      <c r="J86" s="264"/>
      <c r="K86" s="244"/>
      <c r="L86" s="244"/>
      <c r="M86" s="180"/>
    </row>
    <row r="87">
      <c r="B87" s="188"/>
      <c r="C87" s="181"/>
      <c r="D87" s="180"/>
      <c r="E87" s="240"/>
      <c r="F87" s="184"/>
      <c r="G87" s="240"/>
      <c r="H87" s="184"/>
      <c r="I87" s="264"/>
      <c r="J87" s="264"/>
      <c r="K87" s="244"/>
      <c r="L87" s="244"/>
      <c r="M87" s="180"/>
    </row>
    <row r="88">
      <c r="B88" s="188"/>
      <c r="C88" s="181"/>
      <c r="D88" s="180"/>
      <c r="E88" s="240"/>
      <c r="F88" s="184"/>
      <c r="G88" s="240"/>
      <c r="H88" s="184"/>
      <c r="I88" s="264"/>
      <c r="J88" s="264"/>
      <c r="K88" s="244"/>
      <c r="L88" s="244"/>
      <c r="M88" s="180"/>
    </row>
    <row r="89">
      <c r="B89" s="188"/>
      <c r="C89" s="181"/>
      <c r="D89" s="180"/>
      <c r="E89" s="240"/>
      <c r="F89" s="184"/>
      <c r="G89" s="240"/>
      <c r="H89" s="184"/>
      <c r="I89" s="264"/>
      <c r="J89" s="264"/>
      <c r="K89" s="244"/>
      <c r="L89" s="244"/>
      <c r="M89" s="180"/>
    </row>
    <row r="90">
      <c r="B90" s="188"/>
      <c r="C90" s="181"/>
      <c r="D90" s="180"/>
      <c r="E90" s="240"/>
      <c r="F90" s="184"/>
      <c r="G90" s="240"/>
      <c r="H90" s="184"/>
      <c r="I90" s="264"/>
      <c r="J90" s="264"/>
      <c r="K90" s="244"/>
      <c r="L90" s="244"/>
      <c r="M90" s="180"/>
    </row>
    <row r="91">
      <c r="B91" s="188"/>
      <c r="C91" s="181"/>
      <c r="D91" s="180"/>
      <c r="E91" s="240"/>
      <c r="F91" s="184"/>
      <c r="G91" s="240"/>
      <c r="H91" s="184"/>
      <c r="I91" s="264"/>
      <c r="J91" s="264"/>
      <c r="K91" s="244"/>
      <c r="L91" s="244"/>
      <c r="M91" s="180"/>
    </row>
    <row r="92">
      <c r="B92" s="188"/>
      <c r="C92" s="181"/>
      <c r="D92" s="180"/>
      <c r="E92" s="240"/>
      <c r="F92" s="184"/>
      <c r="G92" s="240"/>
      <c r="H92" s="184"/>
      <c r="I92" s="264"/>
      <c r="J92" s="264"/>
      <c r="K92" s="244"/>
      <c r="L92" s="244"/>
      <c r="M92" s="180"/>
    </row>
    <row r="93">
      <c r="B93" s="188"/>
      <c r="C93" s="181"/>
      <c r="D93" s="180"/>
      <c r="E93" s="240"/>
      <c r="F93" s="184"/>
      <c r="G93" s="240"/>
      <c r="H93" s="184"/>
      <c r="I93" s="264"/>
      <c r="J93" s="264"/>
      <c r="K93" s="244"/>
      <c r="L93" s="244"/>
      <c r="M93" s="180"/>
    </row>
    <row r="94">
      <c r="B94" s="188"/>
      <c r="C94" s="181"/>
      <c r="D94" s="180"/>
      <c r="E94" s="240"/>
      <c r="F94" s="184"/>
      <c r="G94" s="240"/>
      <c r="H94" s="184"/>
      <c r="I94" s="264"/>
      <c r="J94" s="264"/>
      <c r="K94" s="244"/>
      <c r="L94" s="244"/>
      <c r="M94" s="180"/>
    </row>
    <row r="95">
      <c r="B95" s="188"/>
      <c r="C95" s="181"/>
      <c r="D95" s="180"/>
      <c r="E95" s="240"/>
      <c r="F95" s="184"/>
      <c r="G95" s="240"/>
      <c r="H95" s="184"/>
      <c r="I95" s="264"/>
      <c r="J95" s="264"/>
      <c r="K95" s="244"/>
      <c r="L95" s="244"/>
      <c r="M95" s="180"/>
    </row>
    <row r="96">
      <c r="B96" s="188"/>
      <c r="C96" s="181"/>
      <c r="D96" s="180"/>
      <c r="E96" s="240"/>
      <c r="F96" s="184"/>
      <c r="G96" s="240"/>
      <c r="H96" s="184"/>
      <c r="I96" s="264"/>
      <c r="J96" s="264"/>
      <c r="K96" s="244"/>
      <c r="L96" s="244"/>
      <c r="M96" s="180"/>
    </row>
    <row r="97">
      <c r="B97" s="188"/>
      <c r="C97" s="181"/>
      <c r="D97" s="180"/>
      <c r="E97" s="240"/>
      <c r="F97" s="184"/>
      <c r="G97" s="240"/>
      <c r="H97" s="184"/>
      <c r="I97" s="264"/>
      <c r="J97" s="264"/>
      <c r="K97" s="244"/>
      <c r="L97" s="244"/>
      <c r="M97" s="180"/>
    </row>
    <row r="98">
      <c r="B98" s="188"/>
      <c r="C98" s="181"/>
      <c r="D98" s="180"/>
      <c r="E98" s="240"/>
      <c r="F98" s="184"/>
      <c r="G98" s="240"/>
      <c r="H98" s="184"/>
      <c r="I98" s="264"/>
      <c r="J98" s="264"/>
      <c r="K98" s="244"/>
      <c r="L98" s="244"/>
      <c r="M98" s="180"/>
    </row>
    <row r="99">
      <c r="B99" s="188"/>
      <c r="C99" s="181"/>
      <c r="D99" s="180"/>
      <c r="E99" s="240"/>
      <c r="F99" s="184"/>
      <c r="G99" s="240"/>
      <c r="H99" s="184"/>
      <c r="I99" s="264"/>
      <c r="J99" s="264"/>
      <c r="K99" s="244"/>
      <c r="L99" s="244"/>
      <c r="M99" s="180"/>
    </row>
    <row r="100">
      <c r="B100" s="188"/>
      <c r="C100" s="181"/>
      <c r="D100" s="180"/>
      <c r="E100" s="240"/>
      <c r="F100" s="184"/>
      <c r="G100" s="240"/>
      <c r="H100" s="184"/>
      <c r="I100" s="264"/>
      <c r="J100" s="264"/>
      <c r="K100" s="244"/>
      <c r="L100" s="244"/>
      <c r="M100" s="180"/>
    </row>
    <row r="101">
      <c r="B101" s="188"/>
      <c r="C101" s="181"/>
      <c r="D101" s="180"/>
      <c r="E101" s="240"/>
      <c r="F101" s="184"/>
      <c r="G101" s="240"/>
      <c r="H101" s="184"/>
      <c r="I101" s="264"/>
      <c r="J101" s="264"/>
      <c r="K101" s="244"/>
      <c r="L101" s="244"/>
      <c r="M101" s="180"/>
    </row>
    <row r="102">
      <c r="B102" s="188"/>
      <c r="C102" s="181"/>
      <c r="D102" s="180"/>
      <c r="E102" s="240"/>
      <c r="F102" s="184"/>
      <c r="G102" s="240"/>
      <c r="H102" s="184"/>
      <c r="I102" s="264"/>
      <c r="J102" s="264"/>
      <c r="K102" s="244"/>
      <c r="L102" s="244"/>
      <c r="M102" s="180"/>
    </row>
    <row r="103">
      <c r="B103" s="188"/>
      <c r="C103" s="181"/>
      <c r="D103" s="180"/>
      <c r="E103" s="240"/>
      <c r="F103" s="184"/>
      <c r="G103" s="240"/>
      <c r="H103" s="184"/>
      <c r="I103" s="264"/>
      <c r="J103" s="264"/>
      <c r="K103" s="244"/>
      <c r="L103" s="244"/>
      <c r="M103" s="180"/>
    </row>
    <row r="104">
      <c r="B104" s="188"/>
      <c r="C104" s="181"/>
      <c r="D104" s="180"/>
      <c r="E104" s="240"/>
      <c r="F104" s="184"/>
      <c r="G104" s="240"/>
      <c r="H104" s="184"/>
      <c r="I104" s="264"/>
      <c r="J104" s="264"/>
      <c r="K104" s="244"/>
      <c r="L104" s="244"/>
      <c r="M104" s="180"/>
    </row>
    <row r="105">
      <c r="B105" s="188"/>
      <c r="C105" s="181"/>
      <c r="D105" s="180"/>
      <c r="E105" s="240"/>
      <c r="F105" s="184"/>
      <c r="G105" s="240"/>
      <c r="H105" s="184"/>
      <c r="I105" s="264"/>
      <c r="J105" s="264"/>
      <c r="K105" s="244"/>
      <c r="L105" s="244"/>
      <c r="M105" s="180"/>
    </row>
    <row r="106">
      <c r="B106" s="188"/>
      <c r="C106" s="181"/>
      <c r="D106" s="180"/>
      <c r="E106" s="240"/>
      <c r="F106" s="184"/>
      <c r="G106" s="240"/>
      <c r="H106" s="184"/>
      <c r="I106" s="264"/>
      <c r="J106" s="264"/>
      <c r="K106" s="244"/>
      <c r="L106" s="244"/>
      <c r="M106" s="180"/>
    </row>
    <row r="107">
      <c r="B107" s="188"/>
      <c r="C107" s="181"/>
      <c r="D107" s="180"/>
      <c r="E107" s="240"/>
      <c r="F107" s="184"/>
      <c r="G107" s="240"/>
      <c r="H107" s="184"/>
      <c r="I107" s="264"/>
      <c r="J107" s="264"/>
      <c r="K107" s="244"/>
      <c r="L107" s="244"/>
      <c r="M107" s="180"/>
    </row>
    <row r="108">
      <c r="B108" s="188"/>
      <c r="C108" s="181"/>
      <c r="D108" s="180"/>
      <c r="E108" s="240"/>
      <c r="F108" s="184"/>
      <c r="G108" s="240"/>
      <c r="H108" s="184"/>
      <c r="I108" s="264"/>
      <c r="J108" s="264"/>
      <c r="K108" s="244"/>
      <c r="L108" s="244"/>
      <c r="M108" s="180"/>
    </row>
    <row r="109">
      <c r="B109" s="188"/>
      <c r="C109" s="181"/>
      <c r="D109" s="180"/>
      <c r="E109" s="240"/>
      <c r="F109" s="184"/>
      <c r="G109" s="240"/>
      <c r="H109" s="184"/>
      <c r="I109" s="264"/>
      <c r="J109" s="264"/>
      <c r="K109" s="244"/>
      <c r="L109" s="244"/>
      <c r="M109" s="180"/>
    </row>
    <row r="110">
      <c r="B110" s="188"/>
      <c r="C110" s="181"/>
      <c r="D110" s="180"/>
      <c r="E110" s="240"/>
      <c r="F110" s="184"/>
      <c r="G110" s="240"/>
      <c r="H110" s="184"/>
      <c r="I110" s="264"/>
      <c r="J110" s="264"/>
      <c r="K110" s="244"/>
      <c r="L110" s="244"/>
      <c r="M110" s="180"/>
    </row>
    <row r="111">
      <c r="B111" s="188"/>
      <c r="C111" s="181"/>
      <c r="D111" s="180"/>
      <c r="E111" s="240"/>
      <c r="F111" s="184"/>
      <c r="G111" s="240"/>
      <c r="H111" s="184"/>
      <c r="I111" s="264"/>
      <c r="J111" s="264"/>
      <c r="K111" s="244"/>
      <c r="L111" s="244"/>
      <c r="M111" s="180"/>
    </row>
    <row r="112">
      <c r="B112" s="188"/>
      <c r="C112" s="181"/>
      <c r="D112" s="180"/>
      <c r="E112" s="240"/>
      <c r="F112" s="184"/>
      <c r="G112" s="240"/>
      <c r="H112" s="184"/>
      <c r="I112" s="264"/>
      <c r="J112" s="264"/>
      <c r="K112" s="244"/>
      <c r="L112" s="244"/>
      <c r="M112" s="180"/>
    </row>
    <row r="113">
      <c r="B113" s="188"/>
      <c r="C113" s="181"/>
      <c r="D113" s="180"/>
      <c r="E113" s="240"/>
      <c r="F113" s="184"/>
      <c r="G113" s="240"/>
      <c r="H113" s="184"/>
      <c r="I113" s="264"/>
      <c r="J113" s="264"/>
      <c r="K113" s="244"/>
      <c r="L113" s="244"/>
      <c r="M113" s="180"/>
    </row>
    <row r="114">
      <c r="B114" s="188"/>
      <c r="C114" s="181"/>
      <c r="D114" s="180"/>
      <c r="E114" s="240"/>
      <c r="F114" s="184"/>
      <c r="G114" s="240"/>
      <c r="H114" s="184"/>
      <c r="I114" s="264"/>
      <c r="J114" s="264"/>
      <c r="K114" s="244"/>
      <c r="L114" s="244"/>
      <c r="M114" s="180"/>
    </row>
    <row r="115">
      <c r="B115" s="188"/>
      <c r="C115" s="181"/>
      <c r="D115" s="180"/>
      <c r="E115" s="240"/>
      <c r="F115" s="184"/>
      <c r="G115" s="240"/>
      <c r="H115" s="184"/>
      <c r="I115" s="264"/>
      <c r="J115" s="264"/>
      <c r="K115" s="244"/>
      <c r="L115" s="244"/>
      <c r="M115" s="180"/>
    </row>
    <row r="116">
      <c r="B116" s="188"/>
      <c r="C116" s="181"/>
      <c r="D116" s="180"/>
      <c r="E116" s="240"/>
      <c r="F116" s="184"/>
      <c r="G116" s="240"/>
      <c r="H116" s="184"/>
      <c r="I116" s="264"/>
      <c r="J116" s="264"/>
      <c r="K116" s="244"/>
      <c r="L116" s="244"/>
      <c r="M116" s="180"/>
    </row>
    <row r="117">
      <c r="B117" s="188"/>
      <c r="C117" s="181"/>
      <c r="D117" s="180"/>
      <c r="E117" s="240"/>
      <c r="F117" s="184"/>
      <c r="G117" s="240"/>
      <c r="H117" s="184"/>
      <c r="I117" s="264"/>
      <c r="J117" s="264"/>
      <c r="K117" s="244"/>
      <c r="L117" s="244"/>
      <c r="M117" s="180"/>
    </row>
    <row r="118">
      <c r="B118" s="188"/>
      <c r="C118" s="181"/>
      <c r="D118" s="180"/>
      <c r="E118" s="240"/>
      <c r="F118" s="184"/>
      <c r="G118" s="240"/>
      <c r="H118" s="184"/>
      <c r="I118" s="264"/>
      <c r="J118" s="264"/>
      <c r="K118" s="244"/>
      <c r="L118" s="244"/>
      <c r="M118" s="180"/>
    </row>
    <row r="119">
      <c r="B119" s="188"/>
      <c r="C119" s="181"/>
      <c r="D119" s="180"/>
      <c r="E119" s="240"/>
      <c r="F119" s="184"/>
      <c r="G119" s="240"/>
      <c r="H119" s="184"/>
      <c r="I119" s="264"/>
      <c r="J119" s="264"/>
      <c r="K119" s="244"/>
      <c r="L119" s="244"/>
      <c r="M119" s="180"/>
    </row>
    <row r="120">
      <c r="B120" s="188"/>
      <c r="C120" s="181"/>
      <c r="D120" s="180"/>
      <c r="E120" s="240"/>
      <c r="F120" s="184"/>
      <c r="G120" s="240"/>
      <c r="H120" s="184"/>
      <c r="I120" s="264"/>
      <c r="J120" s="264"/>
      <c r="K120" s="244"/>
      <c r="L120" s="244"/>
      <c r="M120" s="180"/>
    </row>
    <row r="121">
      <c r="B121" s="188"/>
      <c r="C121" s="181"/>
      <c r="D121" s="180"/>
      <c r="E121" s="240"/>
      <c r="F121" s="184"/>
      <c r="G121" s="240"/>
      <c r="H121" s="184"/>
      <c r="I121" s="264"/>
      <c r="J121" s="264"/>
      <c r="K121" s="244"/>
      <c r="L121" s="244"/>
      <c r="M121" s="180"/>
    </row>
    <row r="122">
      <c r="B122" s="188"/>
      <c r="C122" s="181"/>
      <c r="D122" s="180"/>
      <c r="E122" s="240"/>
      <c r="F122" s="184"/>
      <c r="G122" s="240"/>
      <c r="H122" s="184"/>
      <c r="I122" s="264"/>
      <c r="J122" s="264"/>
      <c r="K122" s="244"/>
      <c r="L122" s="244"/>
      <c r="M122" s="180"/>
    </row>
    <row r="123">
      <c r="B123" s="188"/>
      <c r="C123" s="181"/>
      <c r="D123" s="180"/>
      <c r="E123" s="240"/>
      <c r="F123" s="184"/>
      <c r="G123" s="240"/>
      <c r="H123" s="184"/>
      <c r="I123" s="264"/>
      <c r="J123" s="264"/>
      <c r="K123" s="244"/>
      <c r="L123" s="244"/>
      <c r="M123" s="180"/>
    </row>
    <row r="124">
      <c r="B124" s="188"/>
      <c r="C124" s="181"/>
      <c r="D124" s="180"/>
      <c r="E124" s="240"/>
      <c r="F124" s="184"/>
      <c r="G124" s="240"/>
      <c r="H124" s="184"/>
      <c r="I124" s="264"/>
      <c r="J124" s="264"/>
      <c r="K124" s="244"/>
      <c r="L124" s="244"/>
      <c r="M124" s="180"/>
    </row>
    <row r="125">
      <c r="B125" s="188"/>
      <c r="C125" s="181"/>
      <c r="D125" s="180"/>
      <c r="E125" s="240"/>
      <c r="F125" s="184"/>
      <c r="G125" s="240"/>
      <c r="H125" s="184"/>
      <c r="I125" s="264"/>
      <c r="J125" s="264"/>
      <c r="K125" s="244"/>
      <c r="L125" s="244"/>
      <c r="M125" s="180"/>
    </row>
    <row r="126">
      <c r="B126" s="188"/>
      <c r="C126" s="181"/>
      <c r="D126" s="180"/>
      <c r="E126" s="240"/>
      <c r="F126" s="184"/>
      <c r="G126" s="240"/>
      <c r="H126" s="184"/>
      <c r="I126" s="264"/>
      <c r="J126" s="264"/>
      <c r="K126" s="244"/>
      <c r="L126" s="244"/>
      <c r="M126" s="180"/>
    </row>
    <row r="127">
      <c r="B127" s="188"/>
      <c r="C127" s="181"/>
      <c r="D127" s="180"/>
      <c r="E127" s="240"/>
      <c r="F127" s="184"/>
      <c r="G127" s="240"/>
      <c r="H127" s="184"/>
      <c r="I127" s="264"/>
      <c r="J127" s="264"/>
      <c r="K127" s="244"/>
      <c r="L127" s="244"/>
      <c r="M127" s="180"/>
    </row>
    <row r="128">
      <c r="B128" s="188"/>
      <c r="C128" s="181"/>
      <c r="D128" s="180"/>
      <c r="E128" s="240"/>
      <c r="F128" s="184"/>
      <c r="G128" s="240"/>
      <c r="H128" s="184"/>
      <c r="I128" s="264"/>
      <c r="J128" s="264"/>
      <c r="K128" s="244"/>
      <c r="L128" s="244"/>
      <c r="M128" s="180"/>
    </row>
    <row r="129">
      <c r="B129" s="188"/>
      <c r="C129" s="181"/>
      <c r="D129" s="180"/>
      <c r="E129" s="240"/>
      <c r="F129" s="184"/>
      <c r="G129" s="240"/>
      <c r="H129" s="184"/>
      <c r="I129" s="264"/>
      <c r="J129" s="264"/>
      <c r="K129" s="244"/>
      <c r="L129" s="244"/>
      <c r="M129" s="180"/>
    </row>
    <row r="130">
      <c r="B130" s="188"/>
      <c r="C130" s="181"/>
      <c r="D130" s="180"/>
      <c r="E130" s="240"/>
      <c r="F130" s="184"/>
      <c r="G130" s="240"/>
      <c r="H130" s="184"/>
      <c r="I130" s="264"/>
      <c r="J130" s="264"/>
      <c r="K130" s="244"/>
      <c r="L130" s="244"/>
      <c r="M130" s="180"/>
    </row>
    <row r="131">
      <c r="B131" s="188"/>
      <c r="C131" s="181"/>
      <c r="D131" s="180"/>
      <c r="E131" s="240"/>
      <c r="F131" s="184"/>
      <c r="G131" s="240"/>
      <c r="H131" s="184"/>
      <c r="I131" s="264"/>
      <c r="J131" s="264"/>
      <c r="K131" s="244"/>
      <c r="L131" s="244"/>
      <c r="M131" s="180"/>
    </row>
    <row r="132">
      <c r="B132" s="188"/>
      <c r="C132" s="181"/>
      <c r="D132" s="180"/>
      <c r="E132" s="240"/>
      <c r="F132" s="184"/>
      <c r="G132" s="240"/>
      <c r="H132" s="184"/>
      <c r="I132" s="264"/>
      <c r="J132" s="264"/>
      <c r="K132" s="244"/>
      <c r="L132" s="244"/>
      <c r="M132" s="180"/>
    </row>
    <row r="133">
      <c r="B133" s="188"/>
      <c r="C133" s="181"/>
      <c r="D133" s="180"/>
      <c r="E133" s="240"/>
      <c r="F133" s="184"/>
      <c r="G133" s="240"/>
      <c r="H133" s="184"/>
      <c r="I133" s="264"/>
      <c r="J133" s="264"/>
      <c r="K133" s="244"/>
      <c r="L133" s="244"/>
      <c r="M133" s="180"/>
    </row>
    <row r="134">
      <c r="B134" s="188"/>
      <c r="C134" s="181"/>
      <c r="D134" s="180"/>
      <c r="E134" s="240"/>
      <c r="F134" s="184"/>
      <c r="G134" s="240"/>
      <c r="H134" s="184"/>
      <c r="I134" s="264"/>
      <c r="J134" s="264"/>
      <c r="K134" s="244"/>
      <c r="L134" s="244"/>
      <c r="M134" s="180"/>
    </row>
    <row r="135">
      <c r="B135" s="188"/>
      <c r="C135" s="181"/>
      <c r="D135" s="180"/>
      <c r="E135" s="240"/>
      <c r="F135" s="184"/>
      <c r="G135" s="240"/>
      <c r="H135" s="184"/>
      <c r="I135" s="264"/>
      <c r="J135" s="264"/>
      <c r="K135" s="244"/>
      <c r="L135" s="244"/>
      <c r="M135" s="180"/>
    </row>
    <row r="136">
      <c r="B136" s="188"/>
      <c r="C136" s="181"/>
      <c r="D136" s="180"/>
      <c r="E136" s="240"/>
      <c r="F136" s="184"/>
      <c r="G136" s="240"/>
      <c r="H136" s="184"/>
      <c r="I136" s="264"/>
      <c r="J136" s="264"/>
      <c r="K136" s="244"/>
      <c r="L136" s="244"/>
      <c r="M136" s="180"/>
    </row>
    <row r="137">
      <c r="B137" s="188"/>
      <c r="C137" s="181"/>
      <c r="D137" s="180"/>
      <c r="E137" s="240"/>
      <c r="F137" s="184"/>
      <c r="G137" s="240"/>
      <c r="H137" s="184"/>
      <c r="I137" s="264"/>
      <c r="J137" s="264"/>
      <c r="K137" s="244"/>
      <c r="L137" s="244"/>
      <c r="M137" s="180"/>
    </row>
    <row r="138">
      <c r="B138" s="188"/>
      <c r="C138" s="181"/>
      <c r="D138" s="180"/>
      <c r="E138" s="240"/>
      <c r="F138" s="184"/>
      <c r="G138" s="240"/>
      <c r="H138" s="184"/>
      <c r="I138" s="264"/>
      <c r="J138" s="264"/>
      <c r="K138" s="244"/>
      <c r="L138" s="244"/>
      <c r="M138" s="180"/>
    </row>
    <row r="139">
      <c r="B139" s="188"/>
      <c r="C139" s="181"/>
      <c r="D139" s="180"/>
      <c r="E139" s="240"/>
      <c r="F139" s="184"/>
      <c r="G139" s="240"/>
      <c r="H139" s="184"/>
      <c r="I139" s="264"/>
      <c r="J139" s="264"/>
      <c r="K139" s="244"/>
      <c r="L139" s="244"/>
      <c r="M139" s="180"/>
    </row>
    <row r="140">
      <c r="B140" s="188"/>
      <c r="C140" s="181"/>
      <c r="D140" s="180"/>
      <c r="E140" s="240"/>
      <c r="F140" s="184"/>
      <c r="G140" s="240"/>
      <c r="H140" s="184"/>
      <c r="I140" s="264"/>
      <c r="J140" s="264"/>
      <c r="K140" s="244"/>
      <c r="L140" s="244"/>
      <c r="M140" s="180"/>
    </row>
    <row r="141">
      <c r="B141" s="188"/>
      <c r="C141" s="181"/>
      <c r="D141" s="180"/>
      <c r="E141" s="240"/>
      <c r="F141" s="184"/>
      <c r="G141" s="240"/>
      <c r="H141" s="184"/>
      <c r="I141" s="264"/>
      <c r="J141" s="264"/>
      <c r="K141" s="244"/>
      <c r="L141" s="244"/>
      <c r="M141" s="180"/>
    </row>
    <row r="142">
      <c r="B142" s="188"/>
      <c r="C142" s="181"/>
      <c r="D142" s="180"/>
      <c r="E142" s="240"/>
      <c r="F142" s="184"/>
      <c r="G142" s="240"/>
      <c r="H142" s="184"/>
      <c r="I142" s="264"/>
      <c r="J142" s="264"/>
      <c r="K142" s="244"/>
      <c r="L142" s="244"/>
      <c r="M142" s="180"/>
    </row>
    <row r="143">
      <c r="B143" s="188"/>
      <c r="C143" s="181"/>
      <c r="D143" s="180"/>
      <c r="E143" s="240"/>
      <c r="F143" s="184"/>
      <c r="G143" s="240"/>
      <c r="H143" s="184"/>
      <c r="I143" s="264"/>
      <c r="J143" s="264"/>
      <c r="K143" s="244"/>
      <c r="L143" s="244"/>
      <c r="M143" s="180"/>
    </row>
    <row r="144">
      <c r="B144" s="188"/>
      <c r="C144" s="181"/>
      <c r="D144" s="180"/>
      <c r="E144" s="240"/>
      <c r="F144" s="184"/>
      <c r="G144" s="240"/>
      <c r="H144" s="184"/>
      <c r="I144" s="264"/>
      <c r="J144" s="264"/>
      <c r="K144" s="244"/>
      <c r="L144" s="244"/>
      <c r="M144" s="180"/>
    </row>
    <row r="145">
      <c r="B145" s="188"/>
      <c r="C145" s="181"/>
      <c r="D145" s="180"/>
      <c r="E145" s="240"/>
      <c r="F145" s="184"/>
      <c r="G145" s="240"/>
      <c r="H145" s="184"/>
      <c r="I145" s="264"/>
      <c r="J145" s="264"/>
      <c r="K145" s="244"/>
      <c r="L145" s="244"/>
      <c r="M145" s="180"/>
    </row>
    <row r="146">
      <c r="B146" s="188"/>
      <c r="C146" s="181"/>
      <c r="D146" s="180"/>
      <c r="E146" s="240"/>
      <c r="F146" s="184"/>
      <c r="G146" s="240"/>
      <c r="H146" s="184"/>
      <c r="I146" s="264"/>
      <c r="J146" s="264"/>
      <c r="K146" s="244"/>
      <c r="L146" s="244"/>
      <c r="M146" s="180"/>
    </row>
    <row r="147">
      <c r="B147" s="188"/>
      <c r="C147" s="181"/>
      <c r="D147" s="180"/>
      <c r="E147" s="240"/>
      <c r="F147" s="184"/>
      <c r="G147" s="240"/>
      <c r="H147" s="184"/>
      <c r="I147" s="264"/>
      <c r="J147" s="264"/>
      <c r="K147" s="244"/>
      <c r="L147" s="244"/>
      <c r="M147" s="180"/>
    </row>
    <row r="148">
      <c r="B148" s="188"/>
      <c r="C148" s="181"/>
      <c r="D148" s="180"/>
      <c r="E148" s="240"/>
      <c r="F148" s="184"/>
      <c r="G148" s="240"/>
      <c r="H148" s="184"/>
      <c r="I148" s="264"/>
      <c r="J148" s="264"/>
      <c r="K148" s="244"/>
      <c r="L148" s="244"/>
      <c r="M148" s="180"/>
    </row>
    <row r="149">
      <c r="B149" s="188"/>
      <c r="C149" s="181"/>
      <c r="D149" s="180"/>
      <c r="E149" s="240"/>
      <c r="F149" s="184"/>
      <c r="G149" s="240"/>
      <c r="H149" s="184"/>
      <c r="I149" s="264"/>
      <c r="J149" s="264"/>
      <c r="K149" s="244"/>
      <c r="L149" s="244"/>
      <c r="M149" s="180"/>
    </row>
    <row r="150">
      <c r="B150" s="188"/>
      <c r="C150" s="181"/>
      <c r="D150" s="180"/>
      <c r="E150" s="240"/>
      <c r="F150" s="184"/>
      <c r="G150" s="240"/>
      <c r="H150" s="184"/>
      <c r="I150" s="264"/>
      <c r="J150" s="264"/>
      <c r="K150" s="244"/>
      <c r="L150" s="244"/>
      <c r="M150" s="180"/>
    </row>
    <row r="151">
      <c r="B151" s="188"/>
      <c r="C151" s="181"/>
      <c r="D151" s="180"/>
      <c r="E151" s="240"/>
      <c r="F151" s="184"/>
      <c r="G151" s="240"/>
      <c r="H151" s="184"/>
      <c r="I151" s="264"/>
      <c r="J151" s="264"/>
      <c r="K151" s="244"/>
      <c r="L151" s="244"/>
      <c r="M151" s="180"/>
    </row>
    <row r="152">
      <c r="B152" s="188"/>
      <c r="C152" s="181"/>
      <c r="D152" s="180"/>
      <c r="E152" s="240"/>
      <c r="F152" s="184"/>
      <c r="G152" s="240"/>
      <c r="H152" s="184"/>
      <c r="I152" s="264"/>
      <c r="J152" s="264"/>
      <c r="K152" s="244"/>
      <c r="L152" s="244"/>
      <c r="M152" s="180"/>
    </row>
    <row r="153">
      <c r="B153" s="188"/>
      <c r="C153" s="181"/>
      <c r="D153" s="180"/>
      <c r="E153" s="240"/>
      <c r="F153" s="184"/>
      <c r="G153" s="240"/>
      <c r="H153" s="184"/>
      <c r="I153" s="264"/>
      <c r="J153" s="264"/>
      <c r="K153" s="244"/>
      <c r="L153" s="244"/>
      <c r="M153" s="180"/>
    </row>
    <row r="154">
      <c r="B154" s="188"/>
      <c r="C154" s="181"/>
      <c r="D154" s="180"/>
      <c r="E154" s="240"/>
      <c r="F154" s="184"/>
      <c r="G154" s="240"/>
      <c r="H154" s="184"/>
      <c r="I154" s="264"/>
      <c r="J154" s="264"/>
      <c r="K154" s="244"/>
      <c r="L154" s="244"/>
      <c r="M154" s="180"/>
    </row>
    <row r="155">
      <c r="B155" s="188"/>
      <c r="C155" s="181"/>
      <c r="D155" s="180"/>
      <c r="E155" s="240"/>
      <c r="F155" s="184"/>
      <c r="G155" s="240"/>
      <c r="H155" s="184"/>
      <c r="I155" s="264"/>
      <c r="J155" s="264"/>
      <c r="K155" s="244"/>
      <c r="L155" s="244"/>
      <c r="M155" s="180"/>
    </row>
    <row r="156">
      <c r="B156" s="188"/>
      <c r="C156" s="181"/>
      <c r="D156" s="180"/>
      <c r="E156" s="240"/>
      <c r="F156" s="184"/>
      <c r="G156" s="240"/>
      <c r="H156" s="184"/>
      <c r="I156" s="264"/>
      <c r="J156" s="264"/>
      <c r="K156" s="244"/>
      <c r="L156" s="244"/>
      <c r="M156" s="180"/>
    </row>
    <row r="157">
      <c r="B157" s="188"/>
      <c r="C157" s="181"/>
      <c r="D157" s="180"/>
      <c r="E157" s="240"/>
      <c r="F157" s="184"/>
      <c r="G157" s="240"/>
      <c r="H157" s="184"/>
      <c r="I157" s="264"/>
      <c r="J157" s="264"/>
      <c r="K157" s="244"/>
      <c r="L157" s="244"/>
      <c r="M157" s="180"/>
    </row>
    <row r="158">
      <c r="B158" s="188"/>
      <c r="C158" s="181"/>
      <c r="D158" s="180"/>
      <c r="E158" s="240"/>
      <c r="F158" s="184"/>
      <c r="G158" s="240"/>
      <c r="H158" s="184"/>
      <c r="I158" s="264"/>
      <c r="J158" s="264"/>
      <c r="K158" s="244"/>
      <c r="L158" s="244"/>
      <c r="M158" s="180"/>
    </row>
    <row r="159">
      <c r="B159" s="188"/>
      <c r="C159" s="181"/>
      <c r="D159" s="180"/>
      <c r="E159" s="240"/>
      <c r="F159" s="184"/>
      <c r="G159" s="240"/>
      <c r="H159" s="184"/>
      <c r="I159" s="264"/>
      <c r="J159" s="264"/>
      <c r="K159" s="244"/>
      <c r="L159" s="244"/>
      <c r="M159" s="180"/>
    </row>
    <row r="160">
      <c r="B160" s="188"/>
      <c r="C160" s="181"/>
      <c r="D160" s="180"/>
      <c r="E160" s="240"/>
      <c r="F160" s="184"/>
      <c r="G160" s="240"/>
      <c r="H160" s="184"/>
      <c r="I160" s="264"/>
      <c r="J160" s="264"/>
      <c r="K160" s="244"/>
      <c r="L160" s="244"/>
      <c r="M160" s="180"/>
    </row>
    <row r="161">
      <c r="B161" s="188"/>
      <c r="C161" s="181"/>
      <c r="D161" s="180"/>
      <c r="E161" s="240"/>
      <c r="F161" s="184"/>
      <c r="G161" s="240"/>
      <c r="H161" s="184"/>
      <c r="I161" s="264"/>
      <c r="J161" s="264"/>
      <c r="K161" s="244"/>
      <c r="L161" s="244"/>
      <c r="M161" s="180"/>
    </row>
    <row r="162">
      <c r="B162" s="188"/>
      <c r="C162" s="181"/>
      <c r="D162" s="180"/>
      <c r="E162" s="240"/>
      <c r="F162" s="184"/>
      <c r="G162" s="240"/>
      <c r="H162" s="184"/>
      <c r="I162" s="264"/>
      <c r="J162" s="264"/>
      <c r="K162" s="244"/>
      <c r="L162" s="244"/>
      <c r="M162" s="180"/>
    </row>
    <row r="163">
      <c r="B163" s="188"/>
      <c r="C163" s="181"/>
      <c r="D163" s="180"/>
      <c r="E163" s="240"/>
      <c r="F163" s="184"/>
      <c r="G163" s="240"/>
      <c r="H163" s="184"/>
      <c r="I163" s="264"/>
      <c r="J163" s="264"/>
      <c r="K163" s="244"/>
      <c r="L163" s="244"/>
      <c r="M163" s="180"/>
    </row>
    <row r="164">
      <c r="B164" s="188"/>
      <c r="C164" s="181"/>
      <c r="D164" s="180"/>
      <c r="E164" s="240"/>
      <c r="F164" s="184"/>
      <c r="G164" s="240"/>
      <c r="H164" s="184"/>
      <c r="I164" s="264"/>
      <c r="J164" s="264"/>
      <c r="K164" s="244"/>
      <c r="L164" s="244"/>
      <c r="M164" s="180"/>
    </row>
    <row r="165">
      <c r="B165" s="188"/>
      <c r="C165" s="181"/>
      <c r="D165" s="180"/>
      <c r="E165" s="240"/>
      <c r="F165" s="184"/>
      <c r="G165" s="240"/>
      <c r="H165" s="184"/>
      <c r="I165" s="264"/>
      <c r="J165" s="264"/>
      <c r="K165" s="244"/>
      <c r="L165" s="244"/>
      <c r="M165" s="180"/>
    </row>
    <row r="166">
      <c r="B166" s="188"/>
      <c r="C166" s="181"/>
      <c r="D166" s="180"/>
      <c r="E166" s="240"/>
      <c r="F166" s="184"/>
      <c r="G166" s="240"/>
      <c r="H166" s="184"/>
      <c r="I166" s="264"/>
      <c r="J166" s="264"/>
      <c r="K166" s="244"/>
      <c r="L166" s="244"/>
      <c r="M166" s="180"/>
    </row>
    <row r="167">
      <c r="B167" s="188"/>
      <c r="C167" s="181"/>
      <c r="D167" s="180"/>
      <c r="E167" s="240"/>
      <c r="F167" s="184"/>
      <c r="G167" s="240"/>
      <c r="H167" s="184"/>
      <c r="I167" s="264"/>
      <c r="J167" s="264"/>
      <c r="K167" s="244"/>
      <c r="L167" s="244"/>
      <c r="M167" s="180"/>
    </row>
    <row r="168">
      <c r="B168" s="188"/>
      <c r="C168" s="181"/>
      <c r="D168" s="180"/>
      <c r="E168" s="240"/>
      <c r="F168" s="184"/>
      <c r="G168" s="240"/>
      <c r="H168" s="184"/>
      <c r="I168" s="264"/>
      <c r="J168" s="264"/>
      <c r="K168" s="244"/>
      <c r="L168" s="244"/>
      <c r="M168" s="180"/>
    </row>
    <row r="169">
      <c r="B169" s="188"/>
      <c r="C169" s="181"/>
      <c r="D169" s="180"/>
      <c r="E169" s="240"/>
      <c r="F169" s="184"/>
      <c r="G169" s="240"/>
      <c r="H169" s="184"/>
      <c r="I169" s="264"/>
      <c r="J169" s="264"/>
      <c r="K169" s="244"/>
      <c r="L169" s="244"/>
      <c r="M169" s="180"/>
    </row>
    <row r="170">
      <c r="B170" s="188"/>
      <c r="C170" s="181"/>
      <c r="D170" s="180"/>
      <c r="E170" s="240"/>
      <c r="F170" s="184"/>
      <c r="G170" s="240"/>
      <c r="H170" s="184"/>
      <c r="I170" s="264"/>
      <c r="J170" s="264"/>
      <c r="K170" s="244"/>
      <c r="L170" s="244"/>
      <c r="M170" s="180"/>
    </row>
    <row r="171">
      <c r="B171" s="188"/>
      <c r="C171" s="181"/>
      <c r="D171" s="180"/>
      <c r="E171" s="240"/>
      <c r="F171" s="184"/>
      <c r="G171" s="240"/>
      <c r="H171" s="184"/>
      <c r="I171" s="264"/>
      <c r="J171" s="264"/>
      <c r="K171" s="244"/>
      <c r="L171" s="244"/>
      <c r="M171" s="180"/>
    </row>
    <row r="172">
      <c r="B172" s="188"/>
      <c r="C172" s="181"/>
      <c r="D172" s="180"/>
      <c r="E172" s="240"/>
      <c r="F172" s="184"/>
      <c r="G172" s="240"/>
      <c r="H172" s="184"/>
      <c r="I172" s="264"/>
      <c r="J172" s="264"/>
      <c r="K172" s="244"/>
      <c r="L172" s="244"/>
      <c r="M172" s="180"/>
    </row>
    <row r="173">
      <c r="B173" s="188"/>
      <c r="C173" s="181"/>
      <c r="D173" s="180"/>
      <c r="E173" s="240"/>
      <c r="F173" s="184"/>
      <c r="G173" s="240"/>
      <c r="H173" s="184"/>
      <c r="I173" s="264"/>
      <c r="J173" s="264"/>
      <c r="K173" s="244"/>
      <c r="L173" s="244"/>
      <c r="M173" s="180"/>
    </row>
    <row r="174">
      <c r="B174" s="188"/>
      <c r="C174" s="181"/>
      <c r="D174" s="180"/>
      <c r="E174" s="240"/>
      <c r="F174" s="184"/>
      <c r="G174" s="240"/>
      <c r="H174" s="184"/>
      <c r="I174" s="264"/>
      <c r="J174" s="264"/>
      <c r="K174" s="244"/>
      <c r="L174" s="244"/>
      <c r="M174" s="180"/>
    </row>
    <row r="175">
      <c r="B175" s="188"/>
      <c r="C175" s="181"/>
      <c r="D175" s="180"/>
      <c r="E175" s="240"/>
      <c r="F175" s="184"/>
      <c r="G175" s="240"/>
      <c r="H175" s="184"/>
      <c r="I175" s="264"/>
      <c r="J175" s="264"/>
      <c r="K175" s="244"/>
      <c r="L175" s="244"/>
      <c r="M175" s="180"/>
    </row>
    <row r="176">
      <c r="B176" s="188"/>
      <c r="C176" s="181"/>
      <c r="D176" s="180"/>
      <c r="E176" s="240"/>
      <c r="F176" s="184"/>
      <c r="G176" s="240"/>
      <c r="H176" s="184"/>
      <c r="I176" s="264"/>
      <c r="J176" s="264"/>
      <c r="K176" s="244"/>
      <c r="L176" s="244"/>
      <c r="M176" s="180"/>
    </row>
    <row r="177">
      <c r="B177" s="188"/>
      <c r="C177" s="181"/>
      <c r="D177" s="180"/>
      <c r="E177" s="240"/>
      <c r="F177" s="184"/>
      <c r="G177" s="240"/>
      <c r="H177" s="184"/>
      <c r="I177" s="264"/>
      <c r="J177" s="264"/>
      <c r="K177" s="244"/>
      <c r="L177" s="244"/>
      <c r="M177" s="180"/>
    </row>
    <row r="178">
      <c r="B178" s="188"/>
      <c r="C178" s="181"/>
      <c r="D178" s="180"/>
      <c r="E178" s="240"/>
      <c r="F178" s="184"/>
      <c r="G178" s="240"/>
      <c r="H178" s="184"/>
      <c r="I178" s="264"/>
      <c r="J178" s="264"/>
      <c r="K178" s="244"/>
      <c r="L178" s="244"/>
      <c r="M178" s="180"/>
    </row>
    <row r="179">
      <c r="B179" s="188"/>
      <c r="C179" s="181"/>
      <c r="D179" s="180"/>
      <c r="E179" s="240"/>
      <c r="F179" s="184"/>
      <c r="G179" s="240"/>
      <c r="H179" s="184"/>
      <c r="I179" s="264"/>
      <c r="J179" s="264"/>
      <c r="K179" s="244"/>
      <c r="L179" s="244"/>
      <c r="M179" s="180"/>
    </row>
    <row r="180">
      <c r="B180" s="188"/>
      <c r="C180" s="181"/>
      <c r="D180" s="180"/>
      <c r="E180" s="240"/>
      <c r="F180" s="184"/>
      <c r="G180" s="240"/>
      <c r="H180" s="184"/>
      <c r="I180" s="264"/>
      <c r="J180" s="264"/>
      <c r="K180" s="244"/>
      <c r="L180" s="244"/>
      <c r="M180" s="180"/>
    </row>
    <row r="181">
      <c r="B181" s="188"/>
      <c r="C181" s="181"/>
      <c r="D181" s="180"/>
      <c r="E181" s="240"/>
      <c r="F181" s="184"/>
      <c r="G181" s="240"/>
      <c r="H181" s="184"/>
      <c r="I181" s="264"/>
      <c r="J181" s="264"/>
      <c r="K181" s="244"/>
      <c r="L181" s="244"/>
      <c r="M181" s="180"/>
    </row>
    <row r="182">
      <c r="B182" s="188"/>
      <c r="C182" s="181"/>
      <c r="D182" s="180"/>
      <c r="E182" s="240"/>
      <c r="F182" s="184"/>
      <c r="G182" s="240"/>
      <c r="H182" s="184"/>
      <c r="I182" s="264"/>
      <c r="J182" s="264"/>
      <c r="K182" s="244"/>
      <c r="L182" s="244"/>
      <c r="M182" s="180"/>
    </row>
    <row r="183">
      <c r="B183" s="188"/>
      <c r="C183" s="181"/>
      <c r="D183" s="180"/>
      <c r="E183" s="240"/>
      <c r="F183" s="184"/>
      <c r="G183" s="240"/>
      <c r="H183" s="184"/>
      <c r="I183" s="264"/>
      <c r="J183" s="264"/>
      <c r="K183" s="244"/>
      <c r="L183" s="244"/>
      <c r="M183" s="180"/>
    </row>
    <row r="184">
      <c r="B184" s="188"/>
      <c r="C184" s="181"/>
      <c r="D184" s="180"/>
      <c r="E184" s="240"/>
      <c r="F184" s="184"/>
      <c r="G184" s="240"/>
      <c r="H184" s="184"/>
      <c r="I184" s="264"/>
      <c r="J184" s="264"/>
      <c r="K184" s="244"/>
      <c r="L184" s="244"/>
      <c r="M184" s="180"/>
    </row>
    <row r="185">
      <c r="B185" s="188"/>
      <c r="C185" s="181"/>
      <c r="D185" s="180"/>
      <c r="E185" s="240"/>
      <c r="F185" s="184"/>
      <c r="G185" s="240"/>
      <c r="H185" s="184"/>
      <c r="I185" s="264"/>
      <c r="J185" s="264"/>
      <c r="K185" s="244"/>
      <c r="L185" s="244"/>
      <c r="M185" s="180"/>
    </row>
    <row r="186">
      <c r="B186" s="188"/>
      <c r="C186" s="181"/>
      <c r="D186" s="180"/>
      <c r="E186" s="240"/>
      <c r="F186" s="184"/>
      <c r="G186" s="240"/>
      <c r="H186" s="184"/>
      <c r="I186" s="264"/>
      <c r="J186" s="264"/>
      <c r="K186" s="244"/>
      <c r="L186" s="244"/>
      <c r="M186" s="180"/>
    </row>
    <row r="187">
      <c r="B187" s="188"/>
      <c r="C187" s="181"/>
      <c r="D187" s="180"/>
      <c r="E187" s="240"/>
      <c r="F187" s="184"/>
      <c r="G187" s="240"/>
      <c r="H187" s="184"/>
      <c r="I187" s="264"/>
      <c r="J187" s="264"/>
      <c r="K187" s="244"/>
      <c r="L187" s="244"/>
      <c r="M187" s="180"/>
    </row>
    <row r="188">
      <c r="B188" s="188"/>
      <c r="C188" s="181"/>
      <c r="D188" s="180"/>
      <c r="E188" s="240"/>
      <c r="F188" s="184"/>
      <c r="G188" s="240"/>
      <c r="H188" s="184"/>
      <c r="I188" s="264"/>
      <c r="J188" s="264"/>
      <c r="K188" s="244"/>
      <c r="L188" s="244"/>
      <c r="M188" s="180"/>
    </row>
    <row r="189">
      <c r="B189" s="188"/>
      <c r="C189" s="181"/>
      <c r="D189" s="180"/>
      <c r="E189" s="240"/>
      <c r="F189" s="184"/>
      <c r="G189" s="240"/>
      <c r="H189" s="184"/>
      <c r="I189" s="264"/>
      <c r="J189" s="264"/>
      <c r="K189" s="244"/>
      <c r="L189" s="244"/>
      <c r="M189" s="180"/>
    </row>
    <row r="190">
      <c r="B190" s="188"/>
      <c r="C190" s="181"/>
      <c r="D190" s="180"/>
      <c r="E190" s="240"/>
      <c r="F190" s="184"/>
      <c r="G190" s="240"/>
      <c r="H190" s="184"/>
      <c r="I190" s="264"/>
      <c r="J190" s="264"/>
      <c r="K190" s="244"/>
      <c r="L190" s="244"/>
      <c r="M190" s="180"/>
    </row>
    <row r="191">
      <c r="B191" s="188"/>
      <c r="C191" s="181"/>
      <c r="D191" s="180"/>
      <c r="E191" s="240"/>
      <c r="F191" s="184"/>
      <c r="G191" s="240"/>
      <c r="H191" s="184"/>
      <c r="I191" s="264"/>
      <c r="J191" s="264"/>
      <c r="K191" s="244"/>
      <c r="L191" s="244"/>
      <c r="M191" s="180"/>
    </row>
    <row r="192">
      <c r="B192" s="188"/>
      <c r="C192" s="181"/>
      <c r="D192" s="180"/>
      <c r="E192" s="240"/>
      <c r="F192" s="184"/>
      <c r="G192" s="240"/>
      <c r="H192" s="184"/>
      <c r="I192" s="264"/>
      <c r="J192" s="264"/>
      <c r="K192" s="244"/>
      <c r="L192" s="244"/>
      <c r="M192" s="180"/>
    </row>
    <row r="193">
      <c r="B193" s="188"/>
      <c r="C193" s="181"/>
      <c r="D193" s="180"/>
      <c r="E193" s="240"/>
      <c r="F193" s="184"/>
      <c r="G193" s="240"/>
      <c r="H193" s="184"/>
      <c r="I193" s="264"/>
      <c r="J193" s="264"/>
      <c r="K193" s="244"/>
      <c r="L193" s="244"/>
      <c r="M193" s="180"/>
    </row>
    <row r="194">
      <c r="B194" s="188"/>
      <c r="C194" s="181"/>
      <c r="D194" s="180"/>
      <c r="E194" s="240"/>
      <c r="F194" s="184"/>
      <c r="G194" s="240"/>
      <c r="H194" s="184"/>
      <c r="I194" s="264"/>
      <c r="J194" s="264"/>
      <c r="K194" s="244"/>
      <c r="L194" s="244"/>
      <c r="M194" s="180"/>
    </row>
    <row r="195">
      <c r="B195" s="188"/>
      <c r="C195" s="181"/>
      <c r="D195" s="180"/>
      <c r="E195" s="240"/>
      <c r="F195" s="184"/>
      <c r="G195" s="240"/>
      <c r="H195" s="184"/>
      <c r="I195" s="264"/>
      <c r="J195" s="264"/>
      <c r="K195" s="244"/>
      <c r="L195" s="244"/>
      <c r="M195" s="180"/>
    </row>
    <row r="196">
      <c r="B196" s="188"/>
      <c r="C196" s="181"/>
      <c r="D196" s="180"/>
      <c r="E196" s="240"/>
      <c r="F196" s="184"/>
      <c r="G196" s="240"/>
      <c r="H196" s="184"/>
      <c r="I196" s="264"/>
      <c r="J196" s="264"/>
      <c r="K196" s="244"/>
      <c r="L196" s="244"/>
      <c r="M196" s="180"/>
    </row>
    <row r="197">
      <c r="B197" s="188"/>
      <c r="C197" s="181"/>
      <c r="D197" s="180"/>
      <c r="E197" s="240"/>
      <c r="F197" s="184"/>
      <c r="G197" s="240"/>
      <c r="H197" s="184"/>
      <c r="I197" s="264"/>
      <c r="J197" s="264"/>
      <c r="K197" s="244"/>
      <c r="L197" s="244"/>
      <c r="M197" s="180"/>
    </row>
    <row r="198">
      <c r="B198" s="188"/>
      <c r="C198" s="181"/>
      <c r="D198" s="180"/>
      <c r="E198" s="240"/>
      <c r="F198" s="184"/>
      <c r="G198" s="240"/>
      <c r="H198" s="184"/>
      <c r="I198" s="264"/>
      <c r="J198" s="264"/>
      <c r="K198" s="244"/>
      <c r="L198" s="244"/>
      <c r="M198" s="180"/>
    </row>
    <row r="199">
      <c r="B199" s="188"/>
      <c r="C199" s="181"/>
      <c r="D199" s="180"/>
      <c r="E199" s="240"/>
      <c r="F199" s="184"/>
      <c r="G199" s="240"/>
      <c r="H199" s="184"/>
      <c r="I199" s="264"/>
      <c r="J199" s="264"/>
      <c r="K199" s="244"/>
      <c r="L199" s="244"/>
      <c r="M199" s="180"/>
    </row>
    <row r="200">
      <c r="B200" s="188"/>
      <c r="C200" s="181"/>
      <c r="D200" s="180"/>
      <c r="E200" s="240"/>
      <c r="F200" s="184"/>
      <c r="G200" s="240"/>
      <c r="H200" s="184"/>
      <c r="I200" s="264"/>
      <c r="J200" s="264"/>
      <c r="K200" s="244"/>
      <c r="L200" s="244"/>
      <c r="M200" s="180"/>
    </row>
    <row r="201">
      <c r="B201" s="188"/>
      <c r="C201" s="181"/>
      <c r="D201" s="180"/>
      <c r="E201" s="240"/>
      <c r="F201" s="184"/>
      <c r="G201" s="240"/>
      <c r="H201" s="184"/>
      <c r="I201" s="264"/>
      <c r="J201" s="264"/>
      <c r="K201" s="244"/>
      <c r="L201" s="244"/>
      <c r="M201" s="180"/>
    </row>
    <row r="202">
      <c r="B202" s="188"/>
      <c r="C202" s="181"/>
      <c r="D202" s="180"/>
      <c r="E202" s="240"/>
      <c r="F202" s="184"/>
      <c r="G202" s="240"/>
      <c r="H202" s="184"/>
      <c r="I202" s="264"/>
      <c r="J202" s="264"/>
      <c r="K202" s="244"/>
      <c r="L202" s="244"/>
      <c r="M202" s="180"/>
    </row>
    <row r="203">
      <c r="B203" s="188"/>
      <c r="C203" s="181"/>
      <c r="D203" s="180"/>
      <c r="E203" s="240"/>
      <c r="F203" s="184"/>
      <c r="G203" s="240"/>
      <c r="H203" s="184"/>
      <c r="I203" s="264"/>
      <c r="J203" s="264"/>
      <c r="K203" s="244"/>
      <c r="L203" s="244"/>
      <c r="M203" s="180"/>
    </row>
    <row r="204">
      <c r="B204" s="188"/>
      <c r="C204" s="181"/>
      <c r="D204" s="180"/>
      <c r="E204" s="240"/>
      <c r="F204" s="184"/>
      <c r="G204" s="240"/>
      <c r="H204" s="184"/>
      <c r="I204" s="264"/>
      <c r="J204" s="264"/>
      <c r="K204" s="244"/>
      <c r="L204" s="244"/>
      <c r="M204" s="180"/>
    </row>
    <row r="205">
      <c r="B205" s="188"/>
      <c r="C205" s="181"/>
      <c r="D205" s="180"/>
      <c r="E205" s="240"/>
      <c r="F205" s="184"/>
      <c r="G205" s="240"/>
      <c r="H205" s="184"/>
      <c r="I205" s="264"/>
      <c r="J205" s="264"/>
      <c r="K205" s="244"/>
      <c r="L205" s="244"/>
      <c r="M205" s="180"/>
    </row>
    <row r="206">
      <c r="B206" s="188"/>
      <c r="C206" s="181"/>
      <c r="D206" s="180"/>
      <c r="E206" s="240"/>
      <c r="F206" s="184"/>
      <c r="G206" s="240"/>
      <c r="H206" s="184"/>
      <c r="I206" s="264"/>
      <c r="J206" s="264"/>
      <c r="K206" s="244"/>
      <c r="L206" s="244"/>
      <c r="M206" s="180"/>
    </row>
    <row r="207">
      <c r="B207" s="188"/>
      <c r="C207" s="181"/>
      <c r="D207" s="180"/>
      <c r="E207" s="240"/>
      <c r="F207" s="184"/>
      <c r="G207" s="240"/>
      <c r="H207" s="184"/>
      <c r="I207" s="264"/>
      <c r="J207" s="264"/>
      <c r="K207" s="244"/>
      <c r="L207" s="244"/>
      <c r="M207" s="180"/>
    </row>
    <row r="208">
      <c r="B208" s="188"/>
      <c r="C208" s="181"/>
      <c r="D208" s="180"/>
      <c r="E208" s="240"/>
      <c r="F208" s="184"/>
      <c r="G208" s="240"/>
      <c r="H208" s="184"/>
      <c r="I208" s="264"/>
      <c r="J208" s="264"/>
      <c r="K208" s="244"/>
      <c r="L208" s="244"/>
      <c r="M208" s="180"/>
    </row>
    <row r="209">
      <c r="B209" s="188"/>
      <c r="C209" s="181"/>
      <c r="D209" s="180"/>
      <c r="E209" s="240"/>
      <c r="F209" s="184"/>
      <c r="G209" s="240"/>
      <c r="H209" s="184"/>
      <c r="I209" s="264"/>
      <c r="J209" s="264"/>
      <c r="K209" s="244"/>
      <c r="L209" s="244"/>
      <c r="M209" s="180"/>
    </row>
    <row r="210">
      <c r="B210" s="188"/>
      <c r="C210" s="181"/>
      <c r="D210" s="180"/>
      <c r="E210" s="240"/>
      <c r="F210" s="184"/>
      <c r="G210" s="240"/>
      <c r="H210" s="184"/>
      <c r="I210" s="264"/>
      <c r="J210" s="264"/>
      <c r="K210" s="244"/>
      <c r="L210" s="244"/>
      <c r="M210" s="180"/>
    </row>
    <row r="211">
      <c r="B211" s="188"/>
      <c r="C211" s="181"/>
      <c r="D211" s="180"/>
      <c r="E211" s="240"/>
      <c r="F211" s="184"/>
      <c r="G211" s="240"/>
      <c r="H211" s="184"/>
      <c r="I211" s="264"/>
      <c r="J211" s="264"/>
      <c r="K211" s="244"/>
      <c r="L211" s="244"/>
      <c r="M211" s="180"/>
    </row>
    <row r="212">
      <c r="B212" s="188"/>
      <c r="C212" s="181"/>
      <c r="D212" s="180"/>
      <c r="E212" s="240"/>
      <c r="F212" s="184"/>
      <c r="G212" s="240"/>
      <c r="H212" s="184"/>
      <c r="I212" s="264"/>
      <c r="J212" s="264"/>
      <c r="K212" s="244"/>
      <c r="L212" s="244"/>
      <c r="M212" s="180"/>
    </row>
    <row r="213">
      <c r="B213" s="188"/>
      <c r="C213" s="181"/>
      <c r="D213" s="180"/>
      <c r="E213" s="240"/>
      <c r="F213" s="184"/>
      <c r="G213" s="240"/>
      <c r="H213" s="184"/>
      <c r="I213" s="264"/>
      <c r="J213" s="264"/>
      <c r="K213" s="244"/>
      <c r="L213" s="244"/>
      <c r="M213" s="180"/>
    </row>
    <row r="214">
      <c r="B214" s="188"/>
      <c r="C214" s="181"/>
      <c r="D214" s="180"/>
      <c r="E214" s="240"/>
      <c r="F214" s="184"/>
      <c r="G214" s="240"/>
      <c r="H214" s="184"/>
      <c r="I214" s="264"/>
      <c r="J214" s="264"/>
      <c r="K214" s="244"/>
      <c r="L214" s="244"/>
      <c r="M214" s="180"/>
    </row>
    <row r="215">
      <c r="B215" s="188"/>
      <c r="C215" s="181"/>
      <c r="D215" s="180"/>
      <c r="E215" s="240"/>
      <c r="F215" s="184"/>
      <c r="G215" s="240"/>
      <c r="H215" s="184"/>
      <c r="I215" s="264"/>
      <c r="J215" s="264"/>
      <c r="K215" s="244"/>
      <c r="L215" s="244"/>
      <c r="M215" s="180"/>
    </row>
    <row r="216">
      <c r="B216" s="188"/>
      <c r="C216" s="181"/>
      <c r="D216" s="180"/>
      <c r="E216" s="240"/>
      <c r="F216" s="184"/>
      <c r="G216" s="240"/>
      <c r="H216" s="184"/>
      <c r="I216" s="264"/>
      <c r="J216" s="264"/>
      <c r="K216" s="244"/>
      <c r="L216" s="244"/>
      <c r="M216" s="180"/>
    </row>
    <row r="217">
      <c r="B217" s="188"/>
      <c r="C217" s="181"/>
      <c r="D217" s="180"/>
      <c r="E217" s="240"/>
      <c r="F217" s="184"/>
      <c r="G217" s="240"/>
      <c r="H217" s="184"/>
      <c r="I217" s="264"/>
      <c r="J217" s="264"/>
      <c r="K217" s="244"/>
      <c r="L217" s="244"/>
      <c r="M217" s="180"/>
    </row>
    <row r="218">
      <c r="B218" s="188"/>
      <c r="C218" s="181"/>
      <c r="D218" s="180"/>
      <c r="E218" s="240"/>
      <c r="F218" s="184"/>
      <c r="G218" s="240"/>
      <c r="H218" s="184"/>
      <c r="I218" s="264"/>
      <c r="J218" s="264"/>
      <c r="K218" s="244"/>
      <c r="L218" s="244"/>
      <c r="M218" s="180"/>
    </row>
    <row r="219">
      <c r="B219" s="188"/>
      <c r="C219" s="181"/>
      <c r="D219" s="180"/>
      <c r="E219" s="240"/>
      <c r="F219" s="184"/>
      <c r="G219" s="240"/>
      <c r="H219" s="184"/>
      <c r="I219" s="264"/>
      <c r="J219" s="264"/>
      <c r="K219" s="244"/>
      <c r="L219" s="244"/>
      <c r="M219" s="180"/>
    </row>
    <row r="220">
      <c r="B220" s="188"/>
      <c r="C220" s="181"/>
      <c r="D220" s="180"/>
      <c r="E220" s="240"/>
      <c r="F220" s="184"/>
      <c r="G220" s="240"/>
      <c r="H220" s="184"/>
      <c r="I220" s="264"/>
      <c r="J220" s="264"/>
      <c r="K220" s="244"/>
      <c r="L220" s="244"/>
      <c r="M220" s="180"/>
    </row>
    <row r="221">
      <c r="B221" s="188"/>
      <c r="C221" s="181"/>
      <c r="D221" s="180"/>
      <c r="E221" s="240"/>
      <c r="F221" s="184"/>
      <c r="G221" s="240"/>
      <c r="H221" s="184"/>
      <c r="I221" s="264"/>
      <c r="J221" s="264"/>
      <c r="K221" s="244"/>
      <c r="L221" s="244"/>
      <c r="M221" s="180"/>
    </row>
    <row r="222">
      <c r="B222" s="188"/>
      <c r="C222" s="181"/>
      <c r="D222" s="180"/>
      <c r="E222" s="240"/>
      <c r="F222" s="184"/>
      <c r="G222" s="240"/>
      <c r="H222" s="184"/>
      <c r="I222" s="264"/>
      <c r="J222" s="264"/>
      <c r="K222" s="244"/>
      <c r="L222" s="244"/>
      <c r="M222" s="180"/>
    </row>
    <row r="223">
      <c r="B223" s="188"/>
      <c r="C223" s="181"/>
      <c r="D223" s="180"/>
      <c r="E223" s="240"/>
      <c r="F223" s="184"/>
      <c r="G223" s="240"/>
      <c r="H223" s="184"/>
      <c r="I223" s="264"/>
      <c r="J223" s="264"/>
      <c r="K223" s="244"/>
      <c r="L223" s="244"/>
      <c r="M223" s="180"/>
    </row>
    <row r="224">
      <c r="B224" s="188"/>
      <c r="C224" s="181"/>
      <c r="D224" s="180"/>
      <c r="E224" s="240"/>
      <c r="F224" s="184"/>
      <c r="G224" s="240"/>
      <c r="H224" s="184"/>
      <c r="I224" s="264"/>
      <c r="J224" s="264"/>
      <c r="K224" s="244"/>
      <c r="L224" s="244"/>
      <c r="M224" s="180"/>
    </row>
    <row r="225">
      <c r="B225" s="188"/>
      <c r="C225" s="181"/>
      <c r="D225" s="180"/>
      <c r="E225" s="240"/>
      <c r="F225" s="184"/>
      <c r="G225" s="240"/>
      <c r="H225" s="184"/>
      <c r="I225" s="264"/>
      <c r="J225" s="264"/>
      <c r="K225" s="244"/>
      <c r="L225" s="244"/>
      <c r="M225" s="180"/>
    </row>
    <row r="226">
      <c r="B226" s="188"/>
      <c r="C226" s="181"/>
      <c r="D226" s="180"/>
      <c r="E226" s="240"/>
      <c r="F226" s="184"/>
      <c r="G226" s="240"/>
      <c r="H226" s="184"/>
      <c r="I226" s="264"/>
      <c r="J226" s="264"/>
      <c r="K226" s="244"/>
      <c r="L226" s="244"/>
      <c r="M226" s="180"/>
    </row>
    <row r="227">
      <c r="B227" s="188"/>
      <c r="C227" s="181"/>
      <c r="D227" s="180"/>
      <c r="E227" s="240"/>
      <c r="F227" s="184"/>
      <c r="G227" s="240"/>
      <c r="H227" s="184"/>
      <c r="I227" s="264"/>
      <c r="J227" s="264"/>
      <c r="K227" s="244"/>
      <c r="L227" s="244"/>
      <c r="M227" s="180"/>
    </row>
    <row r="228">
      <c r="B228" s="188"/>
      <c r="C228" s="181"/>
      <c r="D228" s="180"/>
      <c r="E228" s="240"/>
      <c r="F228" s="184"/>
      <c r="G228" s="240"/>
      <c r="H228" s="184"/>
      <c r="I228" s="264"/>
      <c r="J228" s="264"/>
      <c r="K228" s="244"/>
      <c r="L228" s="244"/>
      <c r="M228" s="180"/>
    </row>
    <row r="229">
      <c r="B229" s="188"/>
      <c r="C229" s="181"/>
      <c r="D229" s="180"/>
      <c r="E229" s="240"/>
      <c r="F229" s="184"/>
      <c r="G229" s="240"/>
      <c r="H229" s="184"/>
      <c r="I229" s="264"/>
      <c r="J229" s="264"/>
      <c r="K229" s="244"/>
      <c r="L229" s="244"/>
      <c r="M229" s="180"/>
    </row>
    <row r="230">
      <c r="B230" s="188"/>
      <c r="C230" s="181"/>
      <c r="D230" s="180"/>
      <c r="E230" s="240"/>
      <c r="F230" s="184"/>
      <c r="G230" s="240"/>
      <c r="H230" s="184"/>
      <c r="I230" s="264"/>
      <c r="J230" s="264"/>
      <c r="K230" s="244"/>
      <c r="L230" s="244"/>
      <c r="M230" s="180"/>
    </row>
    <row r="231">
      <c r="B231" s="188"/>
      <c r="C231" s="181"/>
      <c r="D231" s="180"/>
      <c r="E231" s="240"/>
      <c r="F231" s="184"/>
      <c r="G231" s="240"/>
      <c r="H231" s="184"/>
      <c r="I231" s="264"/>
      <c r="J231" s="264"/>
      <c r="K231" s="244"/>
      <c r="L231" s="244"/>
      <c r="M231" s="180"/>
    </row>
    <row r="232">
      <c r="B232" s="188"/>
      <c r="C232" s="181"/>
      <c r="D232" s="180"/>
      <c r="E232" s="240"/>
      <c r="F232" s="184"/>
      <c r="G232" s="240"/>
      <c r="H232" s="184"/>
      <c r="I232" s="264"/>
      <c r="J232" s="264"/>
      <c r="K232" s="244"/>
      <c r="L232" s="244"/>
      <c r="M232" s="180"/>
    </row>
    <row r="233">
      <c r="B233" s="188"/>
      <c r="C233" s="181"/>
      <c r="D233" s="180"/>
      <c r="E233" s="240"/>
      <c r="F233" s="184"/>
      <c r="G233" s="240"/>
      <c r="H233" s="184"/>
      <c r="I233" s="264"/>
      <c r="J233" s="264"/>
      <c r="K233" s="244"/>
      <c r="L233" s="244"/>
      <c r="M233" s="180"/>
    </row>
    <row r="234">
      <c r="B234" s="188"/>
      <c r="C234" s="181"/>
      <c r="D234" s="180"/>
      <c r="E234" s="240"/>
      <c r="F234" s="184"/>
      <c r="G234" s="240"/>
      <c r="H234" s="184"/>
      <c r="I234" s="264"/>
      <c r="J234" s="264"/>
      <c r="K234" s="244"/>
      <c r="L234" s="244"/>
      <c r="M234" s="180"/>
    </row>
    <row r="235">
      <c r="B235" s="188"/>
      <c r="C235" s="181"/>
      <c r="D235" s="180"/>
      <c r="E235" s="240"/>
      <c r="F235" s="184"/>
      <c r="G235" s="240"/>
      <c r="H235" s="184"/>
      <c r="I235" s="264"/>
      <c r="J235" s="264"/>
      <c r="K235" s="244"/>
      <c r="L235" s="244"/>
      <c r="M235" s="180"/>
    </row>
    <row r="236">
      <c r="B236" s="188"/>
      <c r="C236" s="181"/>
      <c r="D236" s="180"/>
      <c r="E236" s="240"/>
      <c r="F236" s="184"/>
      <c r="G236" s="240"/>
      <c r="H236" s="184"/>
      <c r="I236" s="264"/>
      <c r="J236" s="264"/>
      <c r="K236" s="244"/>
      <c r="L236" s="244"/>
      <c r="M236" s="180"/>
    </row>
    <row r="237">
      <c r="B237" s="188"/>
      <c r="C237" s="181"/>
      <c r="D237" s="180"/>
      <c r="E237" s="240"/>
      <c r="F237" s="184"/>
      <c r="G237" s="240"/>
      <c r="H237" s="184"/>
      <c r="I237" s="264"/>
      <c r="J237" s="264"/>
      <c r="K237" s="244"/>
      <c r="L237" s="244"/>
      <c r="M237" s="180"/>
    </row>
    <row r="238">
      <c r="B238" s="188"/>
      <c r="C238" s="181"/>
      <c r="D238" s="180"/>
      <c r="E238" s="240"/>
      <c r="F238" s="184"/>
      <c r="G238" s="240"/>
      <c r="H238" s="184"/>
      <c r="I238" s="264"/>
      <c r="J238" s="264"/>
      <c r="K238" s="244"/>
      <c r="L238" s="244"/>
      <c r="M238" s="180"/>
    </row>
    <row r="239">
      <c r="B239" s="188"/>
      <c r="C239" s="181"/>
      <c r="D239" s="180"/>
      <c r="E239" s="240"/>
      <c r="F239" s="184"/>
      <c r="G239" s="240"/>
      <c r="H239" s="184"/>
      <c r="I239" s="264"/>
      <c r="J239" s="264"/>
      <c r="K239" s="244"/>
      <c r="L239" s="244"/>
      <c r="M239" s="180"/>
    </row>
    <row r="240">
      <c r="B240" s="188"/>
      <c r="C240" s="181"/>
      <c r="D240" s="180"/>
      <c r="E240" s="240"/>
      <c r="F240" s="184"/>
      <c r="G240" s="240"/>
      <c r="H240" s="184"/>
      <c r="I240" s="264"/>
      <c r="J240" s="264"/>
      <c r="K240" s="244"/>
      <c r="L240" s="244"/>
      <c r="M240" s="180"/>
    </row>
    <row r="241">
      <c r="B241" s="188"/>
      <c r="C241" s="181"/>
      <c r="D241" s="180"/>
      <c r="E241" s="240"/>
      <c r="F241" s="184"/>
      <c r="G241" s="240"/>
      <c r="H241" s="184"/>
      <c r="I241" s="264"/>
      <c r="J241" s="264"/>
      <c r="K241" s="244"/>
      <c r="L241" s="244"/>
      <c r="M241" s="180"/>
    </row>
    <row r="242">
      <c r="B242" s="188"/>
      <c r="C242" s="181"/>
      <c r="D242" s="180"/>
      <c r="E242" s="240"/>
      <c r="F242" s="184"/>
      <c r="G242" s="240"/>
      <c r="H242" s="184"/>
      <c r="I242" s="264"/>
      <c r="J242" s="264"/>
      <c r="K242" s="244"/>
      <c r="L242" s="244"/>
      <c r="M242" s="180"/>
    </row>
    <row r="243">
      <c r="B243" s="188"/>
      <c r="C243" s="181"/>
      <c r="D243" s="180"/>
      <c r="E243" s="240"/>
      <c r="F243" s="184"/>
      <c r="G243" s="240"/>
      <c r="H243" s="184"/>
      <c r="I243" s="264"/>
      <c r="J243" s="264"/>
      <c r="K243" s="244"/>
      <c r="L243" s="244"/>
      <c r="M243" s="180"/>
    </row>
    <row r="244">
      <c r="B244" s="188"/>
      <c r="C244" s="181"/>
      <c r="D244" s="180"/>
      <c r="E244" s="240"/>
      <c r="F244" s="184"/>
      <c r="G244" s="240"/>
      <c r="H244" s="184"/>
      <c r="I244" s="264"/>
      <c r="J244" s="264"/>
      <c r="K244" s="244"/>
      <c r="L244" s="244"/>
      <c r="M244" s="180"/>
    </row>
    <row r="245">
      <c r="B245" s="188"/>
      <c r="C245" s="181"/>
      <c r="D245" s="180"/>
      <c r="E245" s="240"/>
      <c r="F245" s="184"/>
      <c r="G245" s="240"/>
      <c r="H245" s="184"/>
      <c r="I245" s="264"/>
      <c r="J245" s="264"/>
      <c r="K245" s="244"/>
      <c r="L245" s="244"/>
      <c r="M245" s="180"/>
    </row>
    <row r="246">
      <c r="B246" s="188"/>
      <c r="C246" s="181"/>
      <c r="D246" s="180"/>
      <c r="E246" s="240"/>
      <c r="F246" s="184"/>
      <c r="G246" s="240"/>
      <c r="H246" s="184"/>
      <c r="I246" s="264"/>
      <c r="J246" s="264"/>
      <c r="K246" s="244"/>
      <c r="L246" s="244"/>
      <c r="M246" s="180"/>
    </row>
    <row r="247">
      <c r="B247" s="188"/>
      <c r="C247" s="181"/>
      <c r="D247" s="180"/>
      <c r="E247" s="240"/>
      <c r="F247" s="184"/>
      <c r="G247" s="240"/>
      <c r="H247" s="184"/>
      <c r="I247" s="264"/>
      <c r="J247" s="264"/>
      <c r="K247" s="244"/>
      <c r="L247" s="244"/>
      <c r="M247" s="180"/>
    </row>
    <row r="248">
      <c r="B248" s="188"/>
      <c r="C248" s="181"/>
      <c r="D248" s="180"/>
      <c r="E248" s="240"/>
      <c r="F248" s="184"/>
      <c r="G248" s="240"/>
      <c r="H248" s="184"/>
      <c r="I248" s="264"/>
      <c r="J248" s="264"/>
      <c r="K248" s="244"/>
      <c r="L248" s="244"/>
      <c r="M248" s="180"/>
    </row>
    <row r="249">
      <c r="B249" s="188"/>
      <c r="C249" s="181"/>
      <c r="D249" s="180"/>
      <c r="E249" s="240"/>
      <c r="F249" s="184"/>
      <c r="G249" s="240"/>
      <c r="H249" s="184"/>
      <c r="I249" s="264"/>
      <c r="J249" s="264"/>
      <c r="K249" s="244"/>
      <c r="L249" s="244"/>
      <c r="M249" s="180"/>
    </row>
    <row r="250">
      <c r="B250" s="188"/>
      <c r="C250" s="181"/>
      <c r="D250" s="180"/>
      <c r="E250" s="240"/>
      <c r="F250" s="184"/>
      <c r="G250" s="240"/>
      <c r="H250" s="184"/>
      <c r="I250" s="264"/>
      <c r="J250" s="264"/>
      <c r="K250" s="244"/>
      <c r="L250" s="244"/>
      <c r="M250" s="180"/>
    </row>
    <row r="251">
      <c r="B251" s="188"/>
      <c r="C251" s="181"/>
      <c r="D251" s="180"/>
      <c r="E251" s="240"/>
      <c r="F251" s="184"/>
      <c r="G251" s="240"/>
      <c r="H251" s="184"/>
      <c r="I251" s="264"/>
      <c r="J251" s="264"/>
      <c r="K251" s="244"/>
      <c r="L251" s="244"/>
      <c r="M251" s="180"/>
    </row>
    <row r="252">
      <c r="B252" s="188"/>
      <c r="C252" s="181"/>
      <c r="D252" s="180"/>
      <c r="E252" s="240"/>
      <c r="F252" s="184"/>
      <c r="G252" s="240"/>
      <c r="H252" s="184"/>
      <c r="I252" s="264"/>
      <c r="J252" s="264"/>
      <c r="K252" s="244"/>
      <c r="L252" s="244"/>
      <c r="M252" s="180"/>
    </row>
    <row r="253">
      <c r="B253" s="188"/>
      <c r="C253" s="181"/>
      <c r="D253" s="180"/>
      <c r="E253" s="240"/>
      <c r="F253" s="184"/>
      <c r="G253" s="240"/>
      <c r="H253" s="184"/>
      <c r="I253" s="264"/>
      <c r="J253" s="264"/>
      <c r="K253" s="244"/>
      <c r="L253" s="244"/>
      <c r="M253" s="180"/>
    </row>
    <row r="254">
      <c r="B254" s="188"/>
      <c r="C254" s="181"/>
      <c r="D254" s="180"/>
      <c r="E254" s="240"/>
      <c r="F254" s="184"/>
      <c r="G254" s="240"/>
      <c r="H254" s="184"/>
      <c r="I254" s="264"/>
      <c r="J254" s="264"/>
      <c r="K254" s="244"/>
      <c r="L254" s="244"/>
      <c r="M254" s="180"/>
    </row>
    <row r="255">
      <c r="B255" s="188"/>
      <c r="C255" s="181"/>
      <c r="D255" s="180"/>
      <c r="E255" s="240"/>
      <c r="F255" s="184"/>
      <c r="G255" s="240"/>
      <c r="H255" s="184"/>
      <c r="I255" s="264"/>
      <c r="J255" s="264"/>
      <c r="K255" s="244"/>
      <c r="L255" s="244"/>
      <c r="M255" s="180"/>
    </row>
    <row r="256">
      <c r="B256" s="188"/>
      <c r="C256" s="181"/>
      <c r="D256" s="180"/>
      <c r="E256" s="240"/>
      <c r="F256" s="184"/>
      <c r="G256" s="240"/>
      <c r="H256" s="184"/>
      <c r="I256" s="264"/>
      <c r="J256" s="264"/>
      <c r="K256" s="244"/>
      <c r="L256" s="244"/>
      <c r="M256" s="180"/>
    </row>
    <row r="257">
      <c r="B257" s="188"/>
      <c r="C257" s="181"/>
      <c r="D257" s="180"/>
      <c r="E257" s="240"/>
      <c r="F257" s="184"/>
      <c r="G257" s="240"/>
      <c r="H257" s="184"/>
      <c r="I257" s="264"/>
      <c r="J257" s="264"/>
      <c r="K257" s="244"/>
      <c r="L257" s="244"/>
      <c r="M257" s="180"/>
    </row>
    <row r="258">
      <c r="B258" s="188"/>
      <c r="C258" s="181"/>
      <c r="D258" s="180"/>
      <c r="E258" s="240"/>
      <c r="F258" s="184"/>
      <c r="G258" s="240"/>
      <c r="H258" s="184"/>
      <c r="I258" s="264"/>
      <c r="J258" s="264"/>
      <c r="K258" s="244"/>
      <c r="L258" s="244"/>
      <c r="M258" s="180"/>
    </row>
    <row r="259">
      <c r="B259" s="188"/>
      <c r="C259" s="181"/>
      <c r="D259" s="180"/>
      <c r="E259" s="240"/>
      <c r="F259" s="184"/>
      <c r="G259" s="240"/>
      <c r="H259" s="184"/>
      <c r="I259" s="264"/>
      <c r="J259" s="264"/>
      <c r="K259" s="244"/>
      <c r="L259" s="244"/>
      <c r="M259" s="180"/>
    </row>
    <row r="260">
      <c r="B260" s="188"/>
      <c r="C260" s="181"/>
      <c r="D260" s="180"/>
      <c r="E260" s="240"/>
      <c r="F260" s="184"/>
      <c r="G260" s="240"/>
      <c r="H260" s="184"/>
      <c r="I260" s="264"/>
      <c r="J260" s="264"/>
      <c r="K260" s="244"/>
      <c r="L260" s="244"/>
      <c r="M260" s="180"/>
    </row>
    <row r="261">
      <c r="B261" s="188"/>
      <c r="C261" s="181"/>
      <c r="D261" s="180"/>
      <c r="E261" s="240"/>
      <c r="F261" s="184"/>
      <c r="G261" s="240"/>
      <c r="H261" s="184"/>
      <c r="I261" s="264"/>
      <c r="J261" s="264"/>
      <c r="K261" s="244"/>
      <c r="L261" s="244"/>
      <c r="M261" s="180"/>
    </row>
    <row r="262">
      <c r="B262" s="188"/>
      <c r="C262" s="181"/>
      <c r="D262" s="180"/>
      <c r="E262" s="240"/>
      <c r="F262" s="184"/>
      <c r="G262" s="240"/>
      <c r="H262" s="184"/>
      <c r="I262" s="264"/>
      <c r="J262" s="264"/>
      <c r="K262" s="244"/>
      <c r="L262" s="244"/>
      <c r="M262" s="180"/>
    </row>
    <row r="263">
      <c r="B263" s="188"/>
      <c r="C263" s="181"/>
      <c r="D263" s="180"/>
      <c r="E263" s="240"/>
      <c r="F263" s="184"/>
      <c r="G263" s="240"/>
      <c r="H263" s="184"/>
      <c r="I263" s="264"/>
      <c r="J263" s="264"/>
      <c r="K263" s="244"/>
      <c r="L263" s="244"/>
      <c r="M263" s="180"/>
    </row>
    <row r="264">
      <c r="B264" s="188"/>
      <c r="C264" s="181"/>
      <c r="D264" s="180"/>
      <c r="E264" s="240"/>
      <c r="F264" s="184"/>
      <c r="G264" s="240"/>
      <c r="H264" s="184"/>
      <c r="I264" s="264"/>
      <c r="J264" s="264"/>
      <c r="K264" s="244"/>
      <c r="L264" s="244"/>
      <c r="M264" s="180"/>
    </row>
    <row r="265">
      <c r="B265" s="188"/>
      <c r="C265" s="181"/>
      <c r="D265" s="180"/>
      <c r="E265" s="240"/>
      <c r="F265" s="184"/>
      <c r="G265" s="240"/>
      <c r="H265" s="184"/>
      <c r="I265" s="264"/>
      <c r="J265" s="264"/>
      <c r="K265" s="244"/>
      <c r="L265" s="244"/>
      <c r="M265" s="180"/>
    </row>
    <row r="266">
      <c r="B266" s="188"/>
      <c r="C266" s="181"/>
      <c r="D266" s="180"/>
      <c r="E266" s="240"/>
      <c r="F266" s="184"/>
      <c r="G266" s="240"/>
      <c r="H266" s="184"/>
      <c r="I266" s="264"/>
      <c r="J266" s="264"/>
      <c r="K266" s="244"/>
      <c r="L266" s="244"/>
      <c r="M266" s="180"/>
    </row>
    <row r="267">
      <c r="B267" s="188"/>
      <c r="C267" s="181"/>
      <c r="D267" s="180"/>
      <c r="E267" s="240"/>
      <c r="F267" s="184"/>
      <c r="G267" s="240"/>
      <c r="H267" s="184"/>
      <c r="I267" s="264"/>
      <c r="J267" s="264"/>
      <c r="K267" s="244"/>
      <c r="L267" s="244"/>
      <c r="M267" s="180"/>
    </row>
    <row r="268">
      <c r="B268" s="188"/>
      <c r="C268" s="181"/>
      <c r="D268" s="180"/>
      <c r="E268" s="240"/>
      <c r="F268" s="184"/>
      <c r="G268" s="240"/>
      <c r="H268" s="184"/>
      <c r="I268" s="264"/>
      <c r="J268" s="264"/>
      <c r="K268" s="244"/>
      <c r="L268" s="244"/>
      <c r="M268" s="180"/>
    </row>
    <row r="269">
      <c r="B269" s="188"/>
      <c r="C269" s="181"/>
      <c r="D269" s="180"/>
      <c r="E269" s="240"/>
      <c r="F269" s="184"/>
      <c r="G269" s="240"/>
      <c r="H269" s="184"/>
      <c r="I269" s="264"/>
      <c r="J269" s="264"/>
      <c r="K269" s="244"/>
      <c r="L269" s="244"/>
      <c r="M269" s="180"/>
    </row>
    <row r="270">
      <c r="B270" s="188"/>
      <c r="C270" s="181"/>
      <c r="D270" s="180"/>
      <c r="E270" s="240"/>
      <c r="F270" s="184"/>
      <c r="G270" s="240"/>
      <c r="H270" s="184"/>
      <c r="I270" s="264"/>
      <c r="J270" s="264"/>
      <c r="K270" s="244"/>
      <c r="L270" s="244"/>
      <c r="M270" s="180"/>
    </row>
    <row r="271">
      <c r="B271" s="188"/>
      <c r="C271" s="181"/>
      <c r="D271" s="180"/>
      <c r="E271" s="240"/>
      <c r="F271" s="184"/>
      <c r="G271" s="240"/>
      <c r="H271" s="184"/>
      <c r="I271" s="264"/>
      <c r="J271" s="264"/>
      <c r="K271" s="244"/>
      <c r="L271" s="244"/>
      <c r="M271" s="180"/>
    </row>
    <row r="272">
      <c r="B272" s="188"/>
      <c r="C272" s="181"/>
      <c r="D272" s="180"/>
      <c r="E272" s="240"/>
      <c r="F272" s="184"/>
      <c r="G272" s="240"/>
      <c r="H272" s="184"/>
      <c r="I272" s="264"/>
      <c r="J272" s="264"/>
      <c r="K272" s="244"/>
      <c r="L272" s="244"/>
      <c r="M272" s="180"/>
    </row>
    <row r="273">
      <c r="B273" s="188"/>
      <c r="C273" s="181"/>
      <c r="D273" s="180"/>
      <c r="E273" s="240"/>
      <c r="F273" s="184"/>
      <c r="G273" s="240"/>
      <c r="H273" s="184"/>
      <c r="I273" s="264"/>
      <c r="J273" s="264"/>
      <c r="K273" s="244"/>
      <c r="L273" s="244"/>
      <c r="M273" s="180"/>
    </row>
    <row r="274">
      <c r="B274" s="188"/>
      <c r="C274" s="181"/>
      <c r="D274" s="180"/>
      <c r="E274" s="240"/>
      <c r="F274" s="184"/>
      <c r="G274" s="240"/>
      <c r="H274" s="184"/>
      <c r="I274" s="264"/>
      <c r="J274" s="264"/>
      <c r="K274" s="244"/>
      <c r="L274" s="244"/>
      <c r="M274" s="180"/>
    </row>
    <row r="275">
      <c r="B275" s="188"/>
      <c r="C275" s="181"/>
      <c r="D275" s="180"/>
      <c r="E275" s="240"/>
      <c r="F275" s="184"/>
      <c r="G275" s="240"/>
      <c r="H275" s="184"/>
      <c r="I275" s="264"/>
      <c r="J275" s="264"/>
      <c r="K275" s="244"/>
      <c r="L275" s="244"/>
      <c r="M275" s="180"/>
    </row>
    <row r="276">
      <c r="B276" s="188"/>
      <c r="C276" s="181"/>
      <c r="D276" s="180"/>
      <c r="E276" s="240"/>
      <c r="F276" s="184"/>
      <c r="G276" s="240"/>
      <c r="H276" s="184"/>
      <c r="I276" s="264"/>
      <c r="J276" s="264"/>
      <c r="K276" s="244"/>
      <c r="L276" s="244"/>
      <c r="M276" s="180"/>
    </row>
    <row r="277">
      <c r="B277" s="188"/>
      <c r="C277" s="181"/>
      <c r="D277" s="180"/>
      <c r="E277" s="240"/>
      <c r="F277" s="184"/>
      <c r="G277" s="240"/>
      <c r="H277" s="184"/>
      <c r="I277" s="264"/>
      <c r="J277" s="264"/>
      <c r="K277" s="244"/>
      <c r="L277" s="244"/>
      <c r="M277" s="180"/>
    </row>
    <row r="278">
      <c r="B278" s="188"/>
      <c r="C278" s="181"/>
      <c r="D278" s="180"/>
      <c r="E278" s="240"/>
      <c r="F278" s="184"/>
      <c r="G278" s="240"/>
      <c r="H278" s="184"/>
      <c r="I278" s="264"/>
      <c r="J278" s="264"/>
      <c r="K278" s="244"/>
      <c r="L278" s="244"/>
      <c r="M278" s="180"/>
    </row>
    <row r="279">
      <c r="B279" s="188"/>
      <c r="C279" s="181"/>
      <c r="D279" s="180"/>
      <c r="E279" s="240"/>
      <c r="F279" s="184"/>
      <c r="G279" s="240"/>
      <c r="H279" s="184"/>
      <c r="I279" s="264"/>
      <c r="J279" s="264"/>
      <c r="K279" s="244"/>
      <c r="L279" s="244"/>
      <c r="M279" s="180"/>
    </row>
    <row r="280">
      <c r="B280" s="188"/>
      <c r="C280" s="181"/>
      <c r="D280" s="180"/>
      <c r="E280" s="240"/>
      <c r="F280" s="184"/>
      <c r="G280" s="240"/>
      <c r="H280" s="184"/>
      <c r="I280" s="264"/>
      <c r="J280" s="264"/>
      <c r="K280" s="244"/>
      <c r="L280" s="244"/>
      <c r="M280" s="180"/>
    </row>
    <row r="281">
      <c r="B281" s="188"/>
      <c r="C281" s="181"/>
      <c r="D281" s="180"/>
      <c r="E281" s="240"/>
      <c r="F281" s="184"/>
      <c r="G281" s="240"/>
      <c r="H281" s="184"/>
      <c r="I281" s="264"/>
      <c r="J281" s="264"/>
      <c r="K281" s="244"/>
      <c r="L281" s="244"/>
      <c r="M281" s="180"/>
    </row>
    <row r="282">
      <c r="B282" s="188"/>
      <c r="C282" s="181"/>
      <c r="D282" s="180"/>
      <c r="E282" s="240"/>
      <c r="F282" s="184"/>
      <c r="G282" s="240"/>
      <c r="H282" s="184"/>
      <c r="I282" s="264"/>
      <c r="J282" s="264"/>
      <c r="K282" s="244"/>
      <c r="L282" s="244"/>
      <c r="M282" s="180"/>
    </row>
    <row r="283">
      <c r="B283" s="188"/>
      <c r="C283" s="181"/>
      <c r="D283" s="180"/>
      <c r="E283" s="240"/>
      <c r="F283" s="184"/>
      <c r="G283" s="240"/>
      <c r="H283" s="184"/>
      <c r="I283" s="264"/>
      <c r="J283" s="264"/>
      <c r="K283" s="244"/>
      <c r="L283" s="244"/>
      <c r="M283" s="180"/>
    </row>
    <row r="284">
      <c r="B284" s="188"/>
      <c r="C284" s="181"/>
      <c r="D284" s="180"/>
      <c r="E284" s="240"/>
      <c r="F284" s="184"/>
      <c r="G284" s="240"/>
      <c r="H284" s="184"/>
      <c r="I284" s="264"/>
      <c r="J284" s="264"/>
      <c r="K284" s="244"/>
      <c r="L284" s="244"/>
      <c r="M284" s="180"/>
    </row>
    <row r="285">
      <c r="B285" s="188"/>
      <c r="C285" s="181"/>
      <c r="D285" s="180"/>
      <c r="E285" s="240"/>
      <c r="F285" s="184"/>
      <c r="G285" s="240"/>
      <c r="H285" s="184"/>
      <c r="I285" s="264"/>
      <c r="J285" s="264"/>
      <c r="K285" s="244"/>
      <c r="L285" s="244"/>
      <c r="M285" s="180"/>
    </row>
    <row r="286">
      <c r="B286" s="188"/>
      <c r="C286" s="181"/>
      <c r="D286" s="180"/>
      <c r="E286" s="240"/>
      <c r="F286" s="184"/>
      <c r="G286" s="240"/>
      <c r="H286" s="184"/>
      <c r="I286" s="264"/>
      <c r="J286" s="264"/>
      <c r="K286" s="244"/>
      <c r="L286" s="244"/>
      <c r="M286" s="180"/>
    </row>
    <row r="287">
      <c r="B287" s="188"/>
      <c r="C287" s="181"/>
      <c r="D287" s="180"/>
      <c r="E287" s="240"/>
      <c r="F287" s="184"/>
      <c r="G287" s="240"/>
      <c r="H287" s="184"/>
      <c r="I287" s="264"/>
      <c r="J287" s="264"/>
      <c r="K287" s="244"/>
      <c r="L287" s="244"/>
      <c r="M287" s="180"/>
    </row>
    <row r="288">
      <c r="B288" s="188"/>
      <c r="C288" s="181"/>
      <c r="D288" s="180"/>
      <c r="E288" s="240"/>
      <c r="F288" s="184"/>
      <c r="G288" s="240"/>
      <c r="H288" s="184"/>
      <c r="I288" s="264"/>
      <c r="J288" s="264"/>
      <c r="K288" s="244"/>
      <c r="L288" s="244"/>
      <c r="M288" s="180"/>
    </row>
    <row r="289">
      <c r="B289" s="188"/>
      <c r="C289" s="181"/>
      <c r="D289" s="180"/>
      <c r="E289" s="240"/>
      <c r="F289" s="184"/>
      <c r="G289" s="240"/>
      <c r="H289" s="184"/>
      <c r="I289" s="264"/>
      <c r="J289" s="264"/>
      <c r="K289" s="244"/>
      <c r="L289" s="244"/>
      <c r="M289" s="180"/>
    </row>
    <row r="290">
      <c r="B290" s="188"/>
      <c r="C290" s="181"/>
      <c r="D290" s="180"/>
      <c r="E290" s="240"/>
      <c r="F290" s="184"/>
      <c r="G290" s="240"/>
      <c r="H290" s="184"/>
      <c r="I290" s="264"/>
      <c r="J290" s="264"/>
      <c r="K290" s="244"/>
      <c r="L290" s="244"/>
      <c r="M290" s="180"/>
    </row>
    <row r="291">
      <c r="B291" s="188"/>
      <c r="C291" s="181"/>
      <c r="D291" s="180"/>
      <c r="E291" s="240"/>
      <c r="F291" s="184"/>
      <c r="G291" s="240"/>
      <c r="H291" s="184"/>
      <c r="I291" s="264"/>
      <c r="J291" s="264"/>
      <c r="K291" s="244"/>
      <c r="L291" s="244"/>
      <c r="M291" s="180"/>
    </row>
    <row r="292">
      <c r="B292" s="188"/>
      <c r="C292" s="181"/>
      <c r="D292" s="180"/>
      <c r="E292" s="240"/>
      <c r="F292" s="184"/>
      <c r="G292" s="240"/>
      <c r="H292" s="184"/>
      <c r="I292" s="264"/>
      <c r="J292" s="264"/>
      <c r="K292" s="244"/>
      <c r="L292" s="244"/>
      <c r="M292" s="180"/>
    </row>
    <row r="293">
      <c r="B293" s="188"/>
      <c r="C293" s="181"/>
      <c r="D293" s="180"/>
      <c r="E293" s="240"/>
      <c r="F293" s="184"/>
      <c r="G293" s="240"/>
      <c r="H293" s="184"/>
      <c r="I293" s="264"/>
      <c r="J293" s="264"/>
      <c r="K293" s="244"/>
      <c r="L293" s="244"/>
      <c r="M293" s="180"/>
    </row>
    <row r="294">
      <c r="B294" s="188"/>
      <c r="C294" s="181"/>
      <c r="D294" s="180"/>
      <c r="E294" s="240"/>
      <c r="F294" s="184"/>
      <c r="G294" s="240"/>
      <c r="H294" s="184"/>
      <c r="I294" s="264"/>
      <c r="J294" s="264"/>
      <c r="K294" s="244"/>
      <c r="L294" s="244"/>
      <c r="M294" s="180"/>
    </row>
    <row r="295">
      <c r="B295" s="188"/>
      <c r="C295" s="181"/>
      <c r="D295" s="180"/>
      <c r="E295" s="240"/>
      <c r="F295" s="184"/>
      <c r="G295" s="240"/>
      <c r="H295" s="184"/>
      <c r="I295" s="264"/>
      <c r="J295" s="264"/>
      <c r="K295" s="244"/>
      <c r="L295" s="244"/>
      <c r="M295" s="180"/>
    </row>
    <row r="296">
      <c r="B296" s="188"/>
      <c r="C296" s="181"/>
      <c r="D296" s="180"/>
      <c r="E296" s="240"/>
      <c r="F296" s="184"/>
      <c r="G296" s="240"/>
      <c r="H296" s="184"/>
      <c r="I296" s="264"/>
      <c r="J296" s="264"/>
      <c r="K296" s="244"/>
      <c r="L296" s="244"/>
      <c r="M296" s="180"/>
    </row>
    <row r="297">
      <c r="B297" s="188"/>
      <c r="C297" s="181"/>
      <c r="D297" s="180"/>
      <c r="E297" s="240"/>
      <c r="F297" s="184"/>
      <c r="G297" s="240"/>
      <c r="H297" s="184"/>
      <c r="I297" s="264"/>
      <c r="J297" s="264"/>
      <c r="K297" s="244"/>
      <c r="L297" s="244"/>
      <c r="M297" s="180"/>
    </row>
    <row r="298">
      <c r="B298" s="188"/>
      <c r="C298" s="181"/>
      <c r="D298" s="180"/>
      <c r="E298" s="240"/>
      <c r="F298" s="184"/>
      <c r="G298" s="240"/>
      <c r="H298" s="184"/>
      <c r="I298" s="264"/>
      <c r="J298" s="264"/>
      <c r="K298" s="244"/>
      <c r="L298" s="244"/>
      <c r="M298" s="180"/>
    </row>
    <row r="299">
      <c r="B299" s="188"/>
      <c r="C299" s="181"/>
      <c r="D299" s="180"/>
      <c r="E299" s="240"/>
      <c r="F299" s="184"/>
      <c r="G299" s="240"/>
      <c r="H299" s="184"/>
      <c r="I299" s="264"/>
      <c r="J299" s="264"/>
      <c r="K299" s="244"/>
      <c r="L299" s="244"/>
      <c r="M299" s="180"/>
    </row>
    <row r="300">
      <c r="B300" s="188"/>
      <c r="C300" s="181"/>
      <c r="D300" s="180"/>
      <c r="E300" s="240"/>
      <c r="F300" s="184"/>
      <c r="G300" s="240"/>
      <c r="H300" s="184"/>
      <c r="I300" s="264"/>
      <c r="J300" s="264"/>
      <c r="K300" s="244"/>
      <c r="L300" s="244"/>
      <c r="M300" s="180"/>
    </row>
    <row r="301">
      <c r="B301" s="188"/>
      <c r="C301" s="181"/>
      <c r="D301" s="180"/>
      <c r="E301" s="240"/>
      <c r="F301" s="184"/>
      <c r="G301" s="240"/>
      <c r="H301" s="184"/>
      <c r="I301" s="264"/>
      <c r="J301" s="264"/>
      <c r="K301" s="244"/>
      <c r="L301" s="244"/>
      <c r="M301" s="180"/>
    </row>
    <row r="302">
      <c r="B302" s="188"/>
      <c r="C302" s="181"/>
      <c r="D302" s="180"/>
      <c r="E302" s="240"/>
      <c r="F302" s="184"/>
      <c r="G302" s="240"/>
      <c r="H302" s="184"/>
      <c r="I302" s="264"/>
      <c r="J302" s="264"/>
      <c r="K302" s="244"/>
      <c r="L302" s="244"/>
      <c r="M302" s="180"/>
    </row>
    <row r="303">
      <c r="B303" s="188"/>
      <c r="C303" s="181"/>
      <c r="D303" s="180"/>
      <c r="E303" s="240"/>
      <c r="F303" s="184"/>
      <c r="G303" s="240"/>
      <c r="H303" s="184"/>
      <c r="I303" s="264"/>
      <c r="J303" s="264"/>
      <c r="K303" s="244"/>
      <c r="L303" s="244"/>
      <c r="M303" s="180"/>
    </row>
    <row r="304">
      <c r="B304" s="188"/>
      <c r="C304" s="181"/>
      <c r="D304" s="180"/>
      <c r="E304" s="240"/>
      <c r="F304" s="184"/>
      <c r="G304" s="240"/>
      <c r="H304" s="184"/>
      <c r="I304" s="264"/>
      <c r="J304" s="264"/>
      <c r="K304" s="244"/>
      <c r="L304" s="244"/>
      <c r="M304" s="180"/>
    </row>
    <row r="305">
      <c r="B305" s="188"/>
      <c r="C305" s="181"/>
      <c r="D305" s="180"/>
      <c r="E305" s="240"/>
      <c r="F305" s="184"/>
      <c r="G305" s="240"/>
      <c r="H305" s="184"/>
      <c r="I305" s="264"/>
      <c r="J305" s="264"/>
      <c r="K305" s="244"/>
      <c r="L305" s="244"/>
      <c r="M305" s="180"/>
    </row>
    <row r="306">
      <c r="B306" s="188"/>
      <c r="C306" s="181"/>
      <c r="D306" s="180"/>
      <c r="E306" s="240"/>
      <c r="F306" s="184"/>
      <c r="G306" s="240"/>
      <c r="H306" s="184"/>
      <c r="I306" s="264"/>
      <c r="J306" s="264"/>
      <c r="K306" s="244"/>
      <c r="L306" s="244"/>
      <c r="M306" s="180"/>
    </row>
    <row r="307">
      <c r="B307" s="188"/>
      <c r="C307" s="181"/>
      <c r="D307" s="180"/>
      <c r="E307" s="240"/>
      <c r="F307" s="184"/>
      <c r="G307" s="240"/>
      <c r="H307" s="184"/>
      <c r="I307" s="264"/>
      <c r="J307" s="264"/>
      <c r="K307" s="244"/>
      <c r="L307" s="244"/>
      <c r="M307" s="180"/>
    </row>
    <row r="308">
      <c r="B308" s="188"/>
      <c r="C308" s="181"/>
      <c r="D308" s="180"/>
      <c r="E308" s="240"/>
      <c r="F308" s="184"/>
      <c r="G308" s="240"/>
      <c r="H308" s="184"/>
      <c r="I308" s="264"/>
      <c r="J308" s="264"/>
      <c r="K308" s="244"/>
      <c r="L308" s="244"/>
      <c r="M308" s="180"/>
    </row>
    <row r="309">
      <c r="B309" s="188"/>
      <c r="C309" s="181"/>
      <c r="D309" s="180"/>
      <c r="E309" s="240"/>
      <c r="F309" s="184"/>
      <c r="G309" s="240"/>
      <c r="H309" s="184"/>
      <c r="I309" s="264"/>
      <c r="J309" s="264"/>
      <c r="K309" s="244"/>
      <c r="L309" s="244"/>
      <c r="M309" s="180"/>
    </row>
    <row r="310">
      <c r="B310" s="188"/>
      <c r="C310" s="181"/>
      <c r="D310" s="180"/>
      <c r="E310" s="240"/>
      <c r="F310" s="184"/>
      <c r="G310" s="240"/>
      <c r="H310" s="184"/>
      <c r="I310" s="264"/>
      <c r="J310" s="264"/>
      <c r="K310" s="244"/>
      <c r="L310" s="244"/>
      <c r="M310" s="180"/>
    </row>
    <row r="311">
      <c r="B311" s="188"/>
      <c r="C311" s="181"/>
      <c r="D311" s="180"/>
      <c r="E311" s="240"/>
      <c r="F311" s="184"/>
      <c r="G311" s="240"/>
      <c r="H311" s="184"/>
      <c r="I311" s="264"/>
      <c r="J311" s="264"/>
      <c r="K311" s="244"/>
      <c r="L311" s="244"/>
      <c r="M311" s="180"/>
    </row>
    <row r="312">
      <c r="B312" s="188"/>
      <c r="C312" s="181"/>
      <c r="D312" s="180"/>
      <c r="E312" s="240"/>
      <c r="F312" s="184"/>
      <c r="G312" s="240"/>
      <c r="H312" s="184"/>
      <c r="I312" s="264"/>
      <c r="J312" s="264"/>
      <c r="K312" s="244"/>
      <c r="L312" s="244"/>
      <c r="M312" s="180"/>
    </row>
    <row r="313">
      <c r="B313" s="188"/>
      <c r="C313" s="181"/>
      <c r="D313" s="180"/>
      <c r="E313" s="240"/>
      <c r="F313" s="184"/>
      <c r="G313" s="240"/>
      <c r="H313" s="184"/>
      <c r="I313" s="264"/>
      <c r="J313" s="264"/>
      <c r="K313" s="244"/>
      <c r="L313" s="244"/>
      <c r="M313" s="180"/>
    </row>
    <row r="314">
      <c r="B314" s="188"/>
      <c r="C314" s="181"/>
      <c r="D314" s="180"/>
      <c r="E314" s="240"/>
      <c r="F314" s="184"/>
      <c r="G314" s="240"/>
      <c r="H314" s="184"/>
      <c r="I314" s="264"/>
      <c r="J314" s="264"/>
      <c r="K314" s="244"/>
      <c r="L314" s="244"/>
      <c r="M314" s="180"/>
    </row>
    <row r="315">
      <c r="B315" s="188"/>
      <c r="C315" s="181"/>
      <c r="D315" s="180"/>
      <c r="E315" s="240"/>
      <c r="F315" s="184"/>
      <c r="G315" s="240"/>
      <c r="H315" s="184"/>
      <c r="I315" s="264"/>
      <c r="J315" s="264"/>
      <c r="K315" s="244"/>
      <c r="L315" s="244"/>
      <c r="M315" s="180"/>
    </row>
    <row r="316">
      <c r="B316" s="188"/>
      <c r="C316" s="181"/>
      <c r="D316" s="180"/>
      <c r="E316" s="240"/>
      <c r="F316" s="184"/>
      <c r="G316" s="240"/>
      <c r="H316" s="184"/>
      <c r="I316" s="264"/>
      <c r="J316" s="264"/>
      <c r="K316" s="244"/>
      <c r="L316" s="244"/>
      <c r="M316" s="180"/>
    </row>
    <row r="317">
      <c r="B317" s="188"/>
      <c r="C317" s="181"/>
      <c r="D317" s="180"/>
      <c r="E317" s="240"/>
      <c r="F317" s="184"/>
      <c r="G317" s="240"/>
      <c r="H317" s="184"/>
      <c r="I317" s="264"/>
      <c r="J317" s="264"/>
      <c r="K317" s="244"/>
      <c r="L317" s="244"/>
      <c r="M317" s="180"/>
    </row>
    <row r="318">
      <c r="B318" s="188"/>
      <c r="C318" s="181"/>
      <c r="D318" s="180"/>
      <c r="E318" s="240"/>
      <c r="F318" s="184"/>
      <c r="G318" s="240"/>
      <c r="H318" s="184"/>
      <c r="I318" s="264"/>
      <c r="J318" s="264"/>
      <c r="K318" s="244"/>
      <c r="L318" s="244"/>
      <c r="M318" s="180"/>
    </row>
    <row r="319">
      <c r="B319" s="188"/>
      <c r="C319" s="181"/>
      <c r="D319" s="180"/>
      <c r="E319" s="240"/>
      <c r="F319" s="184"/>
      <c r="G319" s="240"/>
      <c r="H319" s="184"/>
      <c r="I319" s="264"/>
      <c r="J319" s="264"/>
      <c r="K319" s="244"/>
      <c r="L319" s="244"/>
      <c r="M319" s="180"/>
    </row>
    <row r="320">
      <c r="B320" s="188"/>
      <c r="C320" s="181"/>
      <c r="D320" s="180"/>
      <c r="E320" s="240"/>
      <c r="F320" s="184"/>
      <c r="G320" s="240"/>
      <c r="H320" s="184"/>
      <c r="I320" s="264"/>
      <c r="J320" s="264"/>
      <c r="K320" s="244"/>
      <c r="L320" s="244"/>
      <c r="M320" s="180"/>
    </row>
    <row r="321">
      <c r="B321" s="188"/>
      <c r="C321" s="181"/>
      <c r="D321" s="180"/>
      <c r="E321" s="240"/>
      <c r="F321" s="184"/>
      <c r="G321" s="240"/>
      <c r="H321" s="184"/>
      <c r="I321" s="264"/>
      <c r="J321" s="264"/>
      <c r="K321" s="244"/>
      <c r="L321" s="244"/>
      <c r="M321" s="180"/>
    </row>
    <row r="322">
      <c r="B322" s="188"/>
      <c r="C322" s="181"/>
      <c r="D322" s="180"/>
      <c r="E322" s="240"/>
      <c r="F322" s="184"/>
      <c r="G322" s="240"/>
      <c r="H322" s="184"/>
      <c r="I322" s="264"/>
      <c r="J322" s="264"/>
      <c r="K322" s="244"/>
      <c r="L322" s="244"/>
      <c r="M322" s="180"/>
    </row>
    <row r="323">
      <c r="B323" s="188"/>
      <c r="C323" s="181"/>
      <c r="D323" s="180"/>
      <c r="E323" s="240"/>
      <c r="F323" s="184"/>
      <c r="G323" s="240"/>
      <c r="H323" s="184"/>
      <c r="I323" s="264"/>
      <c r="J323" s="264"/>
      <c r="K323" s="244"/>
      <c r="L323" s="244"/>
      <c r="M323" s="180"/>
    </row>
    <row r="324">
      <c r="B324" s="188"/>
      <c r="C324" s="181"/>
      <c r="D324" s="180"/>
      <c r="E324" s="240"/>
      <c r="F324" s="184"/>
      <c r="G324" s="240"/>
      <c r="H324" s="184"/>
      <c r="I324" s="264"/>
      <c r="J324" s="264"/>
      <c r="K324" s="244"/>
      <c r="L324" s="244"/>
      <c r="M324" s="180"/>
    </row>
    <row r="325">
      <c r="B325" s="188"/>
      <c r="C325" s="181"/>
      <c r="D325" s="180"/>
      <c r="E325" s="240"/>
      <c r="F325" s="184"/>
      <c r="G325" s="240"/>
      <c r="H325" s="184"/>
      <c r="I325" s="264"/>
      <c r="J325" s="264"/>
      <c r="K325" s="244"/>
      <c r="L325" s="244"/>
      <c r="M325" s="180"/>
    </row>
    <row r="326">
      <c r="B326" s="188"/>
      <c r="C326" s="181"/>
      <c r="D326" s="180"/>
      <c r="E326" s="240"/>
      <c r="F326" s="184"/>
      <c r="G326" s="240"/>
      <c r="H326" s="184"/>
      <c r="I326" s="264"/>
      <c r="J326" s="264"/>
      <c r="K326" s="244"/>
      <c r="L326" s="244"/>
      <c r="M326" s="180"/>
    </row>
    <row r="327">
      <c r="B327" s="188"/>
      <c r="C327" s="181"/>
      <c r="D327" s="180"/>
      <c r="E327" s="240"/>
      <c r="F327" s="184"/>
      <c r="G327" s="240"/>
      <c r="H327" s="184"/>
      <c r="I327" s="264"/>
      <c r="J327" s="264"/>
      <c r="K327" s="244"/>
      <c r="L327" s="244"/>
      <c r="M327" s="180"/>
    </row>
    <row r="328">
      <c r="B328" s="188"/>
      <c r="C328" s="181"/>
      <c r="D328" s="180"/>
      <c r="E328" s="240"/>
      <c r="F328" s="184"/>
      <c r="G328" s="240"/>
      <c r="H328" s="184"/>
      <c r="I328" s="264"/>
      <c r="J328" s="264"/>
      <c r="K328" s="244"/>
      <c r="L328" s="244"/>
      <c r="M328" s="180"/>
    </row>
    <row r="329">
      <c r="B329" s="188"/>
      <c r="C329" s="181"/>
      <c r="D329" s="180"/>
      <c r="E329" s="240"/>
      <c r="F329" s="184"/>
      <c r="G329" s="240"/>
      <c r="H329" s="184"/>
      <c r="I329" s="264"/>
      <c r="J329" s="264"/>
      <c r="K329" s="244"/>
      <c r="L329" s="244"/>
      <c r="M329" s="180"/>
    </row>
    <row r="330">
      <c r="B330" s="188"/>
      <c r="C330" s="181"/>
      <c r="D330" s="180"/>
      <c r="E330" s="240"/>
      <c r="F330" s="184"/>
      <c r="G330" s="240"/>
      <c r="H330" s="184"/>
      <c r="I330" s="264"/>
      <c r="J330" s="264"/>
      <c r="K330" s="244"/>
      <c r="L330" s="244"/>
      <c r="M330" s="180"/>
    </row>
    <row r="331">
      <c r="B331" s="188"/>
      <c r="C331" s="181"/>
      <c r="D331" s="180"/>
      <c r="E331" s="240"/>
      <c r="F331" s="184"/>
      <c r="G331" s="240"/>
      <c r="H331" s="184"/>
      <c r="I331" s="264"/>
      <c r="J331" s="264"/>
      <c r="K331" s="244"/>
      <c r="L331" s="244"/>
      <c r="M331" s="180"/>
    </row>
    <row r="332">
      <c r="B332" s="188"/>
      <c r="C332" s="181"/>
      <c r="D332" s="180"/>
      <c r="E332" s="240"/>
      <c r="F332" s="184"/>
      <c r="G332" s="240"/>
      <c r="H332" s="184"/>
      <c r="I332" s="264"/>
      <c r="J332" s="264"/>
      <c r="K332" s="244"/>
      <c r="L332" s="244"/>
      <c r="M332" s="180"/>
    </row>
    <row r="333">
      <c r="B333" s="188"/>
      <c r="C333" s="181"/>
      <c r="D333" s="180"/>
      <c r="E333" s="240"/>
      <c r="F333" s="184"/>
      <c r="G333" s="240"/>
      <c r="H333" s="184"/>
      <c r="I333" s="264"/>
      <c r="J333" s="264"/>
      <c r="K333" s="244"/>
      <c r="L333" s="244"/>
      <c r="M333" s="180"/>
    </row>
    <row r="334">
      <c r="B334" s="188"/>
      <c r="C334" s="181"/>
      <c r="D334" s="180"/>
      <c r="E334" s="240"/>
      <c r="F334" s="184"/>
      <c r="G334" s="240"/>
      <c r="H334" s="184"/>
      <c r="I334" s="264"/>
      <c r="J334" s="264"/>
      <c r="K334" s="244"/>
      <c r="L334" s="244"/>
      <c r="M334" s="180"/>
    </row>
    <row r="335">
      <c r="B335" s="188"/>
      <c r="C335" s="181"/>
      <c r="D335" s="180"/>
      <c r="E335" s="240"/>
      <c r="F335" s="184"/>
      <c r="G335" s="240"/>
      <c r="H335" s="184"/>
      <c r="I335" s="264"/>
      <c r="J335" s="264"/>
      <c r="K335" s="244"/>
      <c r="L335" s="244"/>
      <c r="M335" s="180"/>
    </row>
    <row r="336">
      <c r="B336" s="188"/>
      <c r="C336" s="181"/>
      <c r="D336" s="180"/>
      <c r="E336" s="240"/>
      <c r="F336" s="184"/>
      <c r="G336" s="240"/>
      <c r="H336" s="184"/>
      <c r="I336" s="264"/>
      <c r="J336" s="264"/>
      <c r="K336" s="244"/>
      <c r="L336" s="244"/>
      <c r="M336" s="180"/>
    </row>
    <row r="337">
      <c r="B337" s="188"/>
      <c r="C337" s="181"/>
      <c r="D337" s="180"/>
      <c r="E337" s="240"/>
      <c r="F337" s="184"/>
      <c r="G337" s="240"/>
      <c r="H337" s="184"/>
      <c r="I337" s="264"/>
      <c r="J337" s="264"/>
      <c r="K337" s="244"/>
      <c r="L337" s="244"/>
      <c r="M337" s="180"/>
    </row>
    <row r="338">
      <c r="B338" s="188"/>
      <c r="C338" s="181"/>
      <c r="D338" s="180"/>
      <c r="E338" s="240"/>
      <c r="F338" s="184"/>
      <c r="G338" s="240"/>
      <c r="H338" s="184"/>
      <c r="I338" s="264"/>
      <c r="J338" s="264"/>
      <c r="K338" s="244"/>
      <c r="L338" s="244"/>
      <c r="M338" s="180"/>
    </row>
    <row r="339">
      <c r="B339" s="188"/>
      <c r="C339" s="181"/>
      <c r="D339" s="180"/>
      <c r="E339" s="240"/>
      <c r="F339" s="184"/>
      <c r="G339" s="240"/>
      <c r="H339" s="184"/>
      <c r="I339" s="264"/>
      <c r="J339" s="264"/>
      <c r="K339" s="244"/>
      <c r="L339" s="244"/>
      <c r="M339" s="180"/>
    </row>
    <row r="340">
      <c r="B340" s="188"/>
      <c r="C340" s="181"/>
      <c r="D340" s="180"/>
      <c r="E340" s="240"/>
      <c r="F340" s="184"/>
      <c r="G340" s="240"/>
      <c r="H340" s="184"/>
      <c r="I340" s="264"/>
      <c r="J340" s="264"/>
      <c r="K340" s="244"/>
      <c r="L340" s="244"/>
      <c r="M340" s="180"/>
    </row>
    <row r="341">
      <c r="B341" s="188"/>
      <c r="C341" s="181"/>
      <c r="D341" s="180"/>
      <c r="E341" s="240"/>
      <c r="F341" s="184"/>
      <c r="G341" s="240"/>
      <c r="H341" s="184"/>
      <c r="I341" s="264"/>
      <c r="J341" s="264"/>
      <c r="K341" s="244"/>
      <c r="L341" s="244"/>
      <c r="M341" s="180"/>
    </row>
    <row r="342">
      <c r="B342" s="188"/>
      <c r="C342" s="181"/>
      <c r="D342" s="180"/>
      <c r="E342" s="240"/>
      <c r="F342" s="184"/>
      <c r="G342" s="240"/>
      <c r="H342" s="184"/>
      <c r="I342" s="264"/>
      <c r="J342" s="264"/>
      <c r="K342" s="244"/>
      <c r="L342" s="244"/>
      <c r="M342" s="180"/>
    </row>
    <row r="343">
      <c r="B343" s="188"/>
      <c r="C343" s="181"/>
      <c r="D343" s="180"/>
      <c r="E343" s="240"/>
      <c r="F343" s="184"/>
      <c r="G343" s="240"/>
      <c r="H343" s="184"/>
      <c r="I343" s="264"/>
      <c r="J343" s="264"/>
      <c r="K343" s="244"/>
      <c r="L343" s="244"/>
      <c r="M343" s="180"/>
    </row>
    <row r="344">
      <c r="B344" s="188"/>
      <c r="C344" s="181"/>
      <c r="D344" s="180"/>
      <c r="E344" s="240"/>
      <c r="F344" s="184"/>
      <c r="G344" s="240"/>
      <c r="H344" s="184"/>
      <c r="I344" s="264"/>
      <c r="J344" s="264"/>
      <c r="K344" s="244"/>
      <c r="L344" s="244"/>
      <c r="M344" s="180"/>
    </row>
    <row r="345">
      <c r="B345" s="188"/>
      <c r="C345" s="181"/>
      <c r="D345" s="180"/>
      <c r="E345" s="240"/>
      <c r="F345" s="184"/>
      <c r="G345" s="240"/>
      <c r="H345" s="184"/>
      <c r="I345" s="264"/>
      <c r="J345" s="264"/>
      <c r="K345" s="244"/>
      <c r="L345" s="244"/>
      <c r="M345" s="180"/>
    </row>
    <row r="346">
      <c r="B346" s="188"/>
      <c r="C346" s="181"/>
      <c r="D346" s="180"/>
      <c r="E346" s="240"/>
      <c r="F346" s="184"/>
      <c r="G346" s="240"/>
      <c r="H346" s="184"/>
      <c r="I346" s="264"/>
      <c r="J346" s="264"/>
      <c r="K346" s="244"/>
      <c r="L346" s="244"/>
      <c r="M346" s="180"/>
    </row>
    <row r="347">
      <c r="B347" s="188"/>
      <c r="C347" s="181"/>
      <c r="D347" s="180"/>
      <c r="E347" s="240"/>
      <c r="F347" s="184"/>
      <c r="G347" s="240"/>
      <c r="H347" s="184"/>
      <c r="I347" s="264"/>
      <c r="J347" s="264"/>
      <c r="K347" s="244"/>
      <c r="L347" s="244"/>
      <c r="M347" s="180"/>
    </row>
    <row r="348">
      <c r="B348" s="188"/>
      <c r="C348" s="181"/>
      <c r="D348" s="180"/>
      <c r="E348" s="240"/>
      <c r="F348" s="184"/>
      <c r="G348" s="240"/>
      <c r="H348" s="184"/>
      <c r="I348" s="264"/>
      <c r="J348" s="264"/>
      <c r="K348" s="244"/>
      <c r="L348" s="244"/>
      <c r="M348" s="180"/>
    </row>
    <row r="349">
      <c r="B349" s="188"/>
      <c r="C349" s="181"/>
      <c r="D349" s="180"/>
      <c r="E349" s="240"/>
      <c r="F349" s="184"/>
      <c r="G349" s="240"/>
      <c r="H349" s="184"/>
      <c r="I349" s="264"/>
      <c r="J349" s="264"/>
      <c r="K349" s="244"/>
      <c r="L349" s="244"/>
      <c r="M349" s="180"/>
    </row>
    <row r="350">
      <c r="B350" s="188"/>
      <c r="C350" s="181"/>
      <c r="D350" s="180"/>
      <c r="E350" s="240"/>
      <c r="F350" s="184"/>
      <c r="G350" s="240"/>
      <c r="H350" s="184"/>
      <c r="I350" s="264"/>
      <c r="J350" s="264"/>
      <c r="K350" s="244"/>
      <c r="L350" s="244"/>
      <c r="M350" s="180"/>
    </row>
    <row r="351">
      <c r="B351" s="188"/>
      <c r="C351" s="181"/>
      <c r="D351" s="180"/>
      <c r="E351" s="240"/>
      <c r="F351" s="184"/>
      <c r="G351" s="240"/>
      <c r="H351" s="184"/>
      <c r="I351" s="264"/>
      <c r="J351" s="264"/>
      <c r="K351" s="244"/>
      <c r="L351" s="244"/>
      <c r="M351" s="180"/>
    </row>
    <row r="352">
      <c r="B352" s="188"/>
      <c r="C352" s="181"/>
      <c r="D352" s="180"/>
      <c r="E352" s="240"/>
      <c r="F352" s="184"/>
      <c r="G352" s="240"/>
      <c r="H352" s="184"/>
      <c r="I352" s="264"/>
      <c r="J352" s="264"/>
      <c r="K352" s="244"/>
      <c r="L352" s="244"/>
      <c r="M352" s="180"/>
    </row>
    <row r="353">
      <c r="B353" s="188"/>
      <c r="C353" s="181"/>
      <c r="D353" s="180"/>
      <c r="E353" s="240"/>
      <c r="F353" s="184"/>
      <c r="G353" s="240"/>
      <c r="H353" s="184"/>
      <c r="I353" s="264"/>
      <c r="J353" s="264"/>
      <c r="K353" s="244"/>
      <c r="L353" s="244"/>
      <c r="M353" s="180"/>
    </row>
    <row r="354">
      <c r="B354" s="188"/>
      <c r="C354" s="181"/>
      <c r="D354" s="180"/>
      <c r="E354" s="240"/>
      <c r="F354" s="184"/>
      <c r="G354" s="240"/>
      <c r="H354" s="184"/>
      <c r="I354" s="264"/>
      <c r="J354" s="264"/>
      <c r="K354" s="244"/>
      <c r="L354" s="244"/>
      <c r="M354" s="180"/>
    </row>
    <row r="355">
      <c r="B355" s="188"/>
      <c r="C355" s="181"/>
      <c r="D355" s="180"/>
      <c r="E355" s="240"/>
      <c r="F355" s="184"/>
      <c r="G355" s="240"/>
      <c r="H355" s="184"/>
      <c r="I355" s="264"/>
      <c r="J355" s="264"/>
      <c r="K355" s="244"/>
      <c r="L355" s="244"/>
      <c r="M355" s="180"/>
    </row>
    <row r="356">
      <c r="B356" s="188"/>
      <c r="C356" s="181"/>
      <c r="D356" s="180"/>
      <c r="E356" s="240"/>
      <c r="F356" s="184"/>
      <c r="G356" s="240"/>
      <c r="H356" s="184"/>
      <c r="I356" s="264"/>
      <c r="J356" s="264"/>
      <c r="K356" s="244"/>
      <c r="L356" s="244"/>
      <c r="M356" s="180"/>
    </row>
    <row r="357">
      <c r="B357" s="188"/>
      <c r="C357" s="181"/>
      <c r="D357" s="180"/>
      <c r="E357" s="240"/>
      <c r="F357" s="184"/>
      <c r="G357" s="240"/>
      <c r="H357" s="184"/>
      <c r="I357" s="264"/>
      <c r="J357" s="264"/>
      <c r="K357" s="244"/>
      <c r="L357" s="244"/>
      <c r="M357" s="180"/>
    </row>
    <row r="358">
      <c r="B358" s="188"/>
      <c r="C358" s="181"/>
      <c r="D358" s="180"/>
      <c r="E358" s="240"/>
      <c r="F358" s="184"/>
      <c r="G358" s="240"/>
      <c r="H358" s="184"/>
      <c r="I358" s="264"/>
      <c r="J358" s="264"/>
      <c r="K358" s="244"/>
      <c r="L358" s="244"/>
      <c r="M358" s="180"/>
    </row>
    <row r="359">
      <c r="B359" s="188"/>
      <c r="C359" s="181"/>
      <c r="D359" s="180"/>
      <c r="E359" s="240"/>
      <c r="F359" s="184"/>
      <c r="G359" s="240"/>
      <c r="H359" s="184"/>
      <c r="I359" s="264"/>
      <c r="J359" s="264"/>
      <c r="K359" s="244"/>
      <c r="L359" s="244"/>
      <c r="M359" s="180"/>
    </row>
    <row r="360">
      <c r="B360" s="188"/>
      <c r="C360" s="181"/>
      <c r="D360" s="180"/>
      <c r="E360" s="240"/>
      <c r="F360" s="184"/>
      <c r="G360" s="240"/>
      <c r="H360" s="184"/>
      <c r="I360" s="264"/>
      <c r="J360" s="264"/>
      <c r="K360" s="244"/>
      <c r="L360" s="244"/>
      <c r="M360" s="180"/>
    </row>
    <row r="361">
      <c r="B361" s="188"/>
      <c r="C361" s="181"/>
      <c r="D361" s="180"/>
      <c r="E361" s="240"/>
      <c r="F361" s="184"/>
      <c r="G361" s="240"/>
      <c r="H361" s="184"/>
      <c r="I361" s="264"/>
      <c r="J361" s="264"/>
      <c r="K361" s="244"/>
      <c r="L361" s="244"/>
      <c r="M361" s="180"/>
    </row>
    <row r="362">
      <c r="B362" s="188"/>
      <c r="C362" s="181"/>
      <c r="D362" s="180"/>
      <c r="E362" s="240"/>
      <c r="F362" s="184"/>
      <c r="G362" s="240"/>
      <c r="H362" s="184"/>
      <c r="I362" s="264"/>
      <c r="J362" s="264"/>
      <c r="K362" s="244"/>
      <c r="L362" s="244"/>
      <c r="M362" s="180"/>
    </row>
    <row r="363">
      <c r="B363" s="188"/>
      <c r="C363" s="181"/>
      <c r="D363" s="180"/>
      <c r="E363" s="240"/>
      <c r="F363" s="184"/>
      <c r="G363" s="240"/>
      <c r="H363" s="184"/>
      <c r="I363" s="264"/>
      <c r="J363" s="264"/>
      <c r="K363" s="244"/>
      <c r="L363" s="244"/>
      <c r="M363" s="180"/>
    </row>
    <row r="364">
      <c r="B364" s="188"/>
      <c r="C364" s="181"/>
      <c r="D364" s="180"/>
      <c r="E364" s="240"/>
      <c r="F364" s="184"/>
      <c r="G364" s="240"/>
      <c r="H364" s="184"/>
      <c r="I364" s="264"/>
      <c r="J364" s="264"/>
      <c r="K364" s="244"/>
      <c r="L364" s="244"/>
      <c r="M364" s="180"/>
    </row>
    <row r="365">
      <c r="B365" s="188"/>
      <c r="C365" s="181"/>
      <c r="D365" s="180"/>
      <c r="E365" s="240"/>
      <c r="F365" s="184"/>
      <c r="G365" s="240"/>
      <c r="H365" s="184"/>
      <c r="I365" s="264"/>
      <c r="J365" s="264"/>
      <c r="K365" s="244"/>
      <c r="L365" s="244"/>
      <c r="M365" s="180"/>
    </row>
    <row r="366">
      <c r="B366" s="188"/>
      <c r="C366" s="181"/>
      <c r="D366" s="180"/>
      <c r="E366" s="240"/>
      <c r="F366" s="184"/>
      <c r="G366" s="240"/>
      <c r="H366" s="184"/>
      <c r="I366" s="264"/>
      <c r="J366" s="264"/>
      <c r="K366" s="244"/>
      <c r="L366" s="244"/>
      <c r="M366" s="180"/>
    </row>
    <row r="367">
      <c r="B367" s="188"/>
      <c r="C367" s="181"/>
      <c r="D367" s="180"/>
      <c r="E367" s="240"/>
      <c r="F367" s="184"/>
      <c r="G367" s="240"/>
      <c r="H367" s="184"/>
      <c r="I367" s="264"/>
      <c r="J367" s="264"/>
      <c r="K367" s="244"/>
      <c r="L367" s="244"/>
      <c r="M367" s="180"/>
    </row>
    <row r="368">
      <c r="B368" s="188"/>
      <c r="C368" s="181"/>
      <c r="D368" s="180"/>
      <c r="E368" s="240"/>
      <c r="F368" s="184"/>
      <c r="G368" s="240"/>
      <c r="H368" s="184"/>
      <c r="I368" s="264"/>
      <c r="J368" s="264"/>
      <c r="K368" s="244"/>
      <c r="L368" s="244"/>
      <c r="M368" s="180"/>
    </row>
    <row r="369">
      <c r="B369" s="188"/>
      <c r="C369" s="181"/>
      <c r="D369" s="180"/>
      <c r="E369" s="240"/>
      <c r="F369" s="184"/>
      <c r="G369" s="240"/>
      <c r="H369" s="184"/>
      <c r="I369" s="264"/>
      <c r="J369" s="264"/>
      <c r="K369" s="244"/>
      <c r="L369" s="244"/>
      <c r="M369" s="180"/>
    </row>
    <row r="370">
      <c r="B370" s="188"/>
      <c r="C370" s="181"/>
      <c r="D370" s="180"/>
      <c r="E370" s="240"/>
      <c r="F370" s="184"/>
      <c r="G370" s="240"/>
      <c r="H370" s="184"/>
      <c r="I370" s="264"/>
      <c r="J370" s="264"/>
      <c r="K370" s="244"/>
      <c r="L370" s="244"/>
      <c r="M370" s="180"/>
    </row>
    <row r="371">
      <c r="B371" s="188"/>
      <c r="C371" s="181"/>
      <c r="D371" s="180"/>
      <c r="E371" s="240"/>
      <c r="F371" s="184"/>
      <c r="G371" s="240"/>
      <c r="H371" s="184"/>
      <c r="I371" s="264"/>
      <c r="J371" s="264"/>
      <c r="K371" s="244"/>
      <c r="L371" s="244"/>
      <c r="M371" s="180"/>
    </row>
    <row r="372">
      <c r="B372" s="188"/>
      <c r="C372" s="181"/>
      <c r="D372" s="180"/>
      <c r="E372" s="240"/>
      <c r="F372" s="184"/>
      <c r="G372" s="240"/>
      <c r="H372" s="184"/>
      <c r="I372" s="264"/>
      <c r="J372" s="264"/>
      <c r="K372" s="244"/>
      <c r="L372" s="244"/>
      <c r="M372" s="180"/>
    </row>
    <row r="373">
      <c r="B373" s="188"/>
      <c r="C373" s="181"/>
      <c r="D373" s="180"/>
      <c r="E373" s="240"/>
      <c r="F373" s="184"/>
      <c r="G373" s="240"/>
      <c r="H373" s="184"/>
      <c r="I373" s="264"/>
      <c r="J373" s="264"/>
      <c r="K373" s="244"/>
      <c r="L373" s="244"/>
      <c r="M373" s="180"/>
    </row>
    <row r="374">
      <c r="B374" s="188"/>
      <c r="C374" s="181"/>
      <c r="D374" s="180"/>
      <c r="E374" s="240"/>
      <c r="F374" s="184"/>
      <c r="G374" s="240"/>
      <c r="H374" s="184"/>
      <c r="I374" s="264"/>
      <c r="J374" s="264"/>
      <c r="K374" s="244"/>
      <c r="L374" s="244"/>
      <c r="M374" s="180"/>
    </row>
    <row r="375">
      <c r="B375" s="188"/>
      <c r="C375" s="181"/>
      <c r="D375" s="180"/>
      <c r="E375" s="240"/>
      <c r="F375" s="184"/>
      <c r="G375" s="240"/>
      <c r="H375" s="184"/>
      <c r="I375" s="264"/>
      <c r="J375" s="264"/>
      <c r="K375" s="244"/>
      <c r="L375" s="244"/>
      <c r="M375" s="180"/>
    </row>
    <row r="376">
      <c r="B376" s="188"/>
      <c r="C376" s="181"/>
      <c r="D376" s="180"/>
      <c r="E376" s="240"/>
      <c r="F376" s="184"/>
      <c r="G376" s="240"/>
      <c r="H376" s="184"/>
      <c r="I376" s="264"/>
      <c r="J376" s="264"/>
      <c r="K376" s="244"/>
      <c r="L376" s="244"/>
      <c r="M376" s="180"/>
    </row>
    <row r="377">
      <c r="B377" s="188"/>
      <c r="C377" s="181"/>
      <c r="D377" s="180"/>
      <c r="E377" s="240"/>
      <c r="F377" s="184"/>
      <c r="G377" s="240"/>
      <c r="H377" s="184"/>
      <c r="I377" s="264"/>
      <c r="J377" s="264"/>
      <c r="K377" s="244"/>
      <c r="L377" s="244"/>
      <c r="M377" s="180"/>
    </row>
    <row r="378">
      <c r="B378" s="188"/>
      <c r="C378" s="181"/>
      <c r="D378" s="180"/>
      <c r="E378" s="240"/>
      <c r="F378" s="184"/>
      <c r="G378" s="240"/>
      <c r="H378" s="184"/>
      <c r="I378" s="264"/>
      <c r="J378" s="264"/>
      <c r="K378" s="244"/>
      <c r="L378" s="244"/>
      <c r="M378" s="180"/>
    </row>
    <row r="379">
      <c r="B379" s="188"/>
      <c r="C379" s="181"/>
      <c r="D379" s="180"/>
      <c r="E379" s="240"/>
      <c r="F379" s="184"/>
      <c r="G379" s="240"/>
      <c r="H379" s="184"/>
      <c r="I379" s="264"/>
      <c r="J379" s="264"/>
      <c r="K379" s="244"/>
      <c r="L379" s="244"/>
      <c r="M379" s="180"/>
    </row>
    <row r="380">
      <c r="B380" s="188"/>
      <c r="C380" s="181"/>
      <c r="D380" s="180"/>
      <c r="E380" s="240"/>
      <c r="F380" s="184"/>
      <c r="G380" s="240"/>
      <c r="H380" s="184"/>
      <c r="I380" s="264"/>
      <c r="J380" s="264"/>
      <c r="K380" s="244"/>
      <c r="L380" s="244"/>
      <c r="M380" s="180"/>
    </row>
    <row r="381">
      <c r="B381" s="188"/>
      <c r="C381" s="181"/>
      <c r="D381" s="180"/>
      <c r="E381" s="240"/>
      <c r="F381" s="184"/>
      <c r="G381" s="240"/>
      <c r="H381" s="184"/>
      <c r="I381" s="264"/>
      <c r="J381" s="264"/>
      <c r="K381" s="244"/>
      <c r="L381" s="244"/>
      <c r="M381" s="180"/>
    </row>
    <row r="382">
      <c r="B382" s="188"/>
      <c r="C382" s="181"/>
      <c r="D382" s="180"/>
      <c r="E382" s="240"/>
      <c r="F382" s="184"/>
      <c r="G382" s="240"/>
      <c r="H382" s="184"/>
      <c r="I382" s="264"/>
      <c r="J382" s="264"/>
      <c r="K382" s="244"/>
      <c r="L382" s="244"/>
      <c r="M382" s="180"/>
    </row>
    <row r="383">
      <c r="B383" s="188"/>
      <c r="C383" s="181"/>
      <c r="D383" s="180"/>
      <c r="E383" s="240"/>
      <c r="F383" s="184"/>
      <c r="G383" s="240"/>
      <c r="H383" s="184"/>
      <c r="I383" s="264"/>
      <c r="J383" s="264"/>
      <c r="K383" s="244"/>
      <c r="L383" s="244"/>
      <c r="M383" s="180"/>
    </row>
    <row r="384">
      <c r="B384" s="188"/>
      <c r="C384" s="181"/>
      <c r="D384" s="180"/>
      <c r="E384" s="240"/>
      <c r="F384" s="184"/>
      <c r="G384" s="240"/>
      <c r="H384" s="184"/>
      <c r="I384" s="264"/>
      <c r="J384" s="264"/>
      <c r="K384" s="244"/>
      <c r="L384" s="244"/>
      <c r="M384" s="180"/>
    </row>
    <row r="385">
      <c r="B385" s="188"/>
      <c r="C385" s="181"/>
      <c r="D385" s="180"/>
      <c r="E385" s="240"/>
      <c r="F385" s="184"/>
      <c r="G385" s="240"/>
      <c r="H385" s="184"/>
      <c r="I385" s="264"/>
      <c r="J385" s="264"/>
      <c r="K385" s="244"/>
      <c r="L385" s="244"/>
      <c r="M385" s="180"/>
    </row>
    <row r="386">
      <c r="B386" s="188"/>
      <c r="C386" s="181"/>
      <c r="D386" s="180"/>
      <c r="E386" s="240"/>
      <c r="F386" s="184"/>
      <c r="G386" s="240"/>
      <c r="H386" s="184"/>
      <c r="I386" s="264"/>
      <c r="J386" s="264"/>
      <c r="K386" s="244"/>
      <c r="L386" s="244"/>
      <c r="M386" s="180"/>
    </row>
    <row r="387">
      <c r="B387" s="188"/>
      <c r="C387" s="181"/>
      <c r="D387" s="180"/>
      <c r="E387" s="240"/>
      <c r="F387" s="184"/>
      <c r="G387" s="240"/>
      <c r="H387" s="184"/>
      <c r="I387" s="264"/>
      <c r="J387" s="264"/>
      <c r="K387" s="244"/>
      <c r="L387" s="244"/>
      <c r="M387" s="180"/>
    </row>
    <row r="388">
      <c r="B388" s="188"/>
      <c r="C388" s="181"/>
      <c r="D388" s="180"/>
      <c r="E388" s="240"/>
      <c r="F388" s="184"/>
      <c r="G388" s="240"/>
      <c r="H388" s="184"/>
      <c r="I388" s="264"/>
      <c r="J388" s="264"/>
      <c r="K388" s="244"/>
      <c r="L388" s="244"/>
      <c r="M388" s="180"/>
    </row>
    <row r="389">
      <c r="B389" s="188"/>
      <c r="C389" s="181"/>
      <c r="D389" s="180"/>
      <c r="E389" s="240"/>
      <c r="F389" s="184"/>
      <c r="G389" s="240"/>
      <c r="H389" s="184"/>
      <c r="I389" s="264"/>
      <c r="J389" s="264"/>
      <c r="K389" s="244"/>
      <c r="L389" s="244"/>
      <c r="M389" s="180"/>
    </row>
    <row r="390">
      <c r="B390" s="188"/>
      <c r="C390" s="181"/>
      <c r="D390" s="180"/>
      <c r="E390" s="240"/>
      <c r="F390" s="184"/>
      <c r="G390" s="240"/>
      <c r="H390" s="184"/>
      <c r="I390" s="264"/>
      <c r="J390" s="264"/>
      <c r="K390" s="244"/>
      <c r="L390" s="244"/>
      <c r="M390" s="180"/>
    </row>
    <row r="391">
      <c r="B391" s="188"/>
      <c r="C391" s="181"/>
      <c r="D391" s="180"/>
      <c r="E391" s="240"/>
      <c r="F391" s="184"/>
      <c r="G391" s="240"/>
      <c r="H391" s="184"/>
      <c r="I391" s="264"/>
      <c r="J391" s="264"/>
      <c r="K391" s="244"/>
      <c r="L391" s="244"/>
      <c r="M391" s="180"/>
    </row>
    <row r="392">
      <c r="B392" s="188"/>
      <c r="C392" s="181"/>
      <c r="D392" s="180"/>
      <c r="E392" s="240"/>
      <c r="F392" s="184"/>
      <c r="G392" s="240"/>
      <c r="H392" s="184"/>
      <c r="I392" s="264"/>
      <c r="J392" s="264"/>
      <c r="K392" s="244"/>
      <c r="L392" s="244"/>
      <c r="M392" s="180"/>
    </row>
    <row r="393">
      <c r="B393" s="188"/>
      <c r="C393" s="181"/>
      <c r="D393" s="180"/>
      <c r="E393" s="240"/>
      <c r="F393" s="184"/>
      <c r="G393" s="240"/>
      <c r="H393" s="184"/>
      <c r="I393" s="264"/>
      <c r="J393" s="264"/>
      <c r="K393" s="244"/>
      <c r="L393" s="244"/>
      <c r="M393" s="180"/>
    </row>
    <row r="394">
      <c r="B394" s="188"/>
      <c r="C394" s="181"/>
      <c r="D394" s="180"/>
      <c r="E394" s="240"/>
      <c r="F394" s="184"/>
      <c r="G394" s="240"/>
      <c r="H394" s="184"/>
      <c r="I394" s="264"/>
      <c r="J394" s="264"/>
      <c r="K394" s="244"/>
      <c r="L394" s="244"/>
      <c r="M394" s="180"/>
    </row>
    <row r="395">
      <c r="B395" s="188"/>
      <c r="C395" s="181"/>
      <c r="D395" s="180"/>
      <c r="E395" s="240"/>
      <c r="F395" s="184"/>
      <c r="G395" s="240"/>
      <c r="H395" s="184"/>
      <c r="I395" s="264"/>
      <c r="J395" s="264"/>
      <c r="K395" s="244"/>
      <c r="L395" s="244"/>
      <c r="M395" s="180"/>
    </row>
    <row r="396">
      <c r="B396" s="188"/>
      <c r="C396" s="181"/>
      <c r="D396" s="180"/>
      <c r="E396" s="240"/>
      <c r="F396" s="184"/>
      <c r="G396" s="240"/>
      <c r="H396" s="184"/>
      <c r="I396" s="264"/>
      <c r="J396" s="264"/>
      <c r="K396" s="244"/>
      <c r="L396" s="244"/>
      <c r="M396" s="180"/>
    </row>
    <row r="397">
      <c r="B397" s="188"/>
      <c r="C397" s="181"/>
      <c r="D397" s="180"/>
      <c r="E397" s="240"/>
      <c r="F397" s="184"/>
      <c r="G397" s="240"/>
      <c r="H397" s="184"/>
      <c r="I397" s="264"/>
      <c r="J397" s="264"/>
      <c r="K397" s="244"/>
      <c r="L397" s="244"/>
      <c r="M397" s="180"/>
    </row>
    <row r="398">
      <c r="B398" s="188"/>
      <c r="C398" s="181"/>
      <c r="D398" s="180"/>
      <c r="E398" s="240"/>
      <c r="F398" s="184"/>
      <c r="G398" s="240"/>
      <c r="H398" s="184"/>
      <c r="I398" s="264"/>
      <c r="J398" s="264"/>
      <c r="K398" s="244"/>
      <c r="L398" s="244"/>
      <c r="M398" s="180"/>
    </row>
    <row r="399">
      <c r="B399" s="188"/>
      <c r="C399" s="181"/>
      <c r="D399" s="180"/>
      <c r="E399" s="240"/>
      <c r="F399" s="184"/>
      <c r="G399" s="240"/>
      <c r="H399" s="184"/>
      <c r="I399" s="264"/>
      <c r="J399" s="264"/>
      <c r="K399" s="244"/>
      <c r="L399" s="244"/>
      <c r="M399" s="180"/>
    </row>
    <row r="400">
      <c r="B400" s="188"/>
      <c r="C400" s="181"/>
      <c r="D400" s="180"/>
      <c r="E400" s="240"/>
      <c r="F400" s="184"/>
      <c r="G400" s="240"/>
      <c r="H400" s="184"/>
      <c r="I400" s="264"/>
      <c r="J400" s="264"/>
      <c r="K400" s="244"/>
      <c r="L400" s="244"/>
      <c r="M400" s="180"/>
    </row>
    <row r="401">
      <c r="B401" s="188"/>
      <c r="C401" s="181"/>
      <c r="D401" s="180"/>
      <c r="E401" s="240"/>
      <c r="F401" s="184"/>
      <c r="G401" s="240"/>
      <c r="H401" s="184"/>
      <c r="I401" s="264"/>
      <c r="J401" s="264"/>
      <c r="K401" s="244"/>
      <c r="L401" s="244"/>
      <c r="M401" s="180"/>
    </row>
    <row r="402">
      <c r="B402" s="188"/>
      <c r="C402" s="181"/>
      <c r="D402" s="180"/>
      <c r="E402" s="240"/>
      <c r="F402" s="184"/>
      <c r="G402" s="240"/>
      <c r="H402" s="184"/>
      <c r="I402" s="264"/>
      <c r="J402" s="264"/>
      <c r="K402" s="244"/>
      <c r="L402" s="244"/>
      <c r="M402" s="180"/>
    </row>
    <row r="403">
      <c r="B403" s="188"/>
      <c r="C403" s="181"/>
      <c r="D403" s="180"/>
      <c r="E403" s="240"/>
      <c r="F403" s="184"/>
      <c r="G403" s="240"/>
      <c r="H403" s="184"/>
      <c r="I403" s="264"/>
      <c r="J403" s="264"/>
      <c r="K403" s="244"/>
      <c r="L403" s="244"/>
      <c r="M403" s="180"/>
    </row>
    <row r="404">
      <c r="B404" s="188"/>
      <c r="C404" s="181"/>
      <c r="D404" s="180"/>
      <c r="E404" s="240"/>
      <c r="F404" s="184"/>
      <c r="G404" s="240"/>
      <c r="H404" s="184"/>
      <c r="I404" s="264"/>
      <c r="J404" s="264"/>
      <c r="K404" s="244"/>
      <c r="L404" s="244"/>
      <c r="M404" s="180"/>
    </row>
    <row r="405">
      <c r="B405" s="188"/>
      <c r="C405" s="181"/>
      <c r="D405" s="180"/>
      <c r="E405" s="240"/>
      <c r="F405" s="184"/>
      <c r="G405" s="240"/>
      <c r="H405" s="184"/>
      <c r="I405" s="264"/>
      <c r="J405" s="264"/>
      <c r="K405" s="244"/>
      <c r="L405" s="244"/>
      <c r="M405" s="180"/>
    </row>
    <row r="406">
      <c r="B406" s="188"/>
      <c r="C406" s="181"/>
      <c r="D406" s="180"/>
      <c r="E406" s="240"/>
      <c r="F406" s="184"/>
      <c r="G406" s="240"/>
      <c r="H406" s="184"/>
      <c r="I406" s="264"/>
      <c r="J406" s="264"/>
      <c r="K406" s="244"/>
      <c r="L406" s="244"/>
      <c r="M406" s="180"/>
    </row>
    <row r="407">
      <c r="B407" s="188"/>
      <c r="C407" s="181"/>
      <c r="D407" s="180"/>
      <c r="E407" s="240"/>
      <c r="F407" s="184"/>
      <c r="G407" s="240"/>
      <c r="H407" s="184"/>
      <c r="I407" s="264"/>
      <c r="J407" s="264"/>
      <c r="K407" s="244"/>
      <c r="L407" s="244"/>
      <c r="M407" s="180"/>
    </row>
    <row r="408">
      <c r="B408" s="188"/>
      <c r="C408" s="181"/>
      <c r="D408" s="180"/>
      <c r="E408" s="240"/>
      <c r="F408" s="184"/>
      <c r="G408" s="240"/>
      <c r="H408" s="184"/>
      <c r="I408" s="264"/>
      <c r="J408" s="264"/>
      <c r="K408" s="244"/>
      <c r="L408" s="244"/>
      <c r="M408" s="180"/>
    </row>
    <row r="409">
      <c r="B409" s="188"/>
      <c r="C409" s="181"/>
      <c r="D409" s="180"/>
      <c r="E409" s="240"/>
      <c r="F409" s="184"/>
      <c r="G409" s="240"/>
      <c r="H409" s="184"/>
      <c r="I409" s="264"/>
      <c r="J409" s="264"/>
      <c r="K409" s="244"/>
      <c r="L409" s="244"/>
      <c r="M409" s="180"/>
    </row>
    <row r="410">
      <c r="B410" s="188"/>
      <c r="C410" s="181"/>
      <c r="D410" s="180"/>
      <c r="E410" s="240"/>
      <c r="F410" s="184"/>
      <c r="G410" s="240"/>
      <c r="H410" s="184"/>
      <c r="I410" s="264"/>
      <c r="J410" s="264"/>
      <c r="K410" s="244"/>
      <c r="L410" s="244"/>
      <c r="M410" s="180"/>
    </row>
    <row r="411">
      <c r="B411" s="188"/>
      <c r="C411" s="181"/>
      <c r="D411" s="180"/>
      <c r="E411" s="240"/>
      <c r="F411" s="184"/>
      <c r="G411" s="240"/>
      <c r="H411" s="184"/>
      <c r="I411" s="264"/>
      <c r="J411" s="264"/>
      <c r="K411" s="244"/>
      <c r="L411" s="244"/>
      <c r="M411" s="180"/>
    </row>
    <row r="412">
      <c r="B412" s="188"/>
      <c r="C412" s="181"/>
      <c r="D412" s="180"/>
      <c r="E412" s="240"/>
      <c r="F412" s="184"/>
      <c r="G412" s="240"/>
      <c r="H412" s="184"/>
      <c r="I412" s="264"/>
      <c r="J412" s="264"/>
      <c r="K412" s="244"/>
      <c r="L412" s="244"/>
      <c r="M412" s="180"/>
    </row>
    <row r="413">
      <c r="B413" s="188"/>
      <c r="C413" s="181"/>
      <c r="D413" s="180"/>
      <c r="E413" s="240"/>
      <c r="F413" s="184"/>
      <c r="G413" s="240"/>
      <c r="H413" s="184"/>
      <c r="I413" s="264"/>
      <c r="J413" s="264"/>
      <c r="K413" s="244"/>
      <c r="L413" s="244"/>
      <c r="M413" s="180"/>
    </row>
    <row r="414">
      <c r="B414" s="188"/>
      <c r="C414" s="181"/>
      <c r="D414" s="180"/>
      <c r="E414" s="240"/>
      <c r="F414" s="184"/>
      <c r="G414" s="240"/>
      <c r="H414" s="184"/>
      <c r="I414" s="264"/>
      <c r="J414" s="264"/>
      <c r="K414" s="244"/>
      <c r="L414" s="244"/>
      <c r="M414" s="180"/>
    </row>
    <row r="415">
      <c r="B415" s="188"/>
      <c r="C415" s="181"/>
      <c r="D415" s="180"/>
      <c r="E415" s="240"/>
      <c r="F415" s="184"/>
      <c r="G415" s="240"/>
      <c r="H415" s="184"/>
      <c r="I415" s="264"/>
      <c r="J415" s="264"/>
      <c r="K415" s="244"/>
      <c r="L415" s="244"/>
      <c r="M415" s="180"/>
    </row>
    <row r="416">
      <c r="B416" s="188"/>
      <c r="C416" s="181"/>
      <c r="D416" s="180"/>
      <c r="E416" s="240"/>
      <c r="F416" s="184"/>
      <c r="G416" s="240"/>
      <c r="H416" s="184"/>
      <c r="I416" s="264"/>
      <c r="J416" s="264"/>
      <c r="K416" s="244"/>
      <c r="L416" s="244"/>
      <c r="M416" s="180"/>
    </row>
    <row r="417">
      <c r="B417" s="188"/>
      <c r="C417" s="181"/>
      <c r="D417" s="180"/>
      <c r="E417" s="240"/>
      <c r="F417" s="184"/>
      <c r="G417" s="240"/>
      <c r="H417" s="184"/>
      <c r="I417" s="264"/>
      <c r="J417" s="264"/>
      <c r="K417" s="244"/>
      <c r="L417" s="244"/>
      <c r="M417" s="180"/>
    </row>
    <row r="418">
      <c r="B418" s="188"/>
      <c r="C418" s="181"/>
      <c r="D418" s="180"/>
      <c r="E418" s="240"/>
      <c r="F418" s="184"/>
      <c r="G418" s="240"/>
      <c r="H418" s="184"/>
      <c r="I418" s="264"/>
      <c r="J418" s="264"/>
      <c r="K418" s="244"/>
      <c r="L418" s="244"/>
      <c r="M418" s="180"/>
    </row>
    <row r="419">
      <c r="B419" s="188"/>
      <c r="C419" s="181"/>
      <c r="D419" s="180"/>
      <c r="E419" s="240"/>
      <c r="F419" s="184"/>
      <c r="G419" s="240"/>
      <c r="H419" s="184"/>
      <c r="I419" s="264"/>
      <c r="J419" s="264"/>
      <c r="K419" s="244"/>
      <c r="L419" s="244"/>
      <c r="M419" s="180"/>
    </row>
    <row r="420">
      <c r="B420" s="188"/>
      <c r="C420" s="181"/>
      <c r="D420" s="180"/>
      <c r="E420" s="240"/>
      <c r="F420" s="184"/>
      <c r="G420" s="240"/>
      <c r="H420" s="184"/>
      <c r="I420" s="264"/>
      <c r="J420" s="264"/>
      <c r="K420" s="244"/>
      <c r="L420" s="244"/>
      <c r="M420" s="180"/>
    </row>
    <row r="421">
      <c r="B421" s="188"/>
      <c r="C421" s="181"/>
      <c r="D421" s="180"/>
      <c r="E421" s="240"/>
      <c r="F421" s="184"/>
      <c r="G421" s="240"/>
      <c r="H421" s="184"/>
      <c r="I421" s="264"/>
      <c r="J421" s="264"/>
      <c r="K421" s="244"/>
      <c r="L421" s="244"/>
      <c r="M421" s="180"/>
    </row>
    <row r="422">
      <c r="B422" s="188"/>
      <c r="C422" s="181"/>
      <c r="D422" s="180"/>
      <c r="E422" s="240"/>
      <c r="F422" s="184"/>
      <c r="G422" s="240"/>
      <c r="H422" s="184"/>
      <c r="I422" s="264"/>
      <c r="J422" s="264"/>
      <c r="K422" s="244"/>
      <c r="L422" s="244"/>
      <c r="M422" s="180"/>
    </row>
    <row r="423">
      <c r="B423" s="188"/>
      <c r="C423" s="181"/>
      <c r="D423" s="180"/>
      <c r="E423" s="240"/>
      <c r="F423" s="184"/>
      <c r="G423" s="240"/>
      <c r="H423" s="184"/>
      <c r="I423" s="264"/>
      <c r="J423" s="264"/>
      <c r="K423" s="244"/>
      <c r="L423" s="244"/>
      <c r="M423" s="180"/>
    </row>
    <row r="424">
      <c r="B424" s="188"/>
      <c r="C424" s="181"/>
      <c r="D424" s="180"/>
      <c r="E424" s="240"/>
      <c r="F424" s="184"/>
      <c r="G424" s="240"/>
      <c r="H424" s="184"/>
      <c r="I424" s="264"/>
      <c r="J424" s="264"/>
      <c r="K424" s="244"/>
      <c r="L424" s="244"/>
      <c r="M424" s="180"/>
    </row>
    <row r="425">
      <c r="B425" s="188"/>
      <c r="C425" s="181"/>
      <c r="D425" s="180"/>
      <c r="E425" s="240"/>
      <c r="F425" s="184"/>
      <c r="G425" s="240"/>
      <c r="H425" s="184"/>
      <c r="I425" s="264"/>
      <c r="J425" s="264"/>
      <c r="K425" s="244"/>
      <c r="L425" s="244"/>
      <c r="M425" s="180"/>
    </row>
    <row r="426">
      <c r="B426" s="188"/>
      <c r="C426" s="181"/>
      <c r="D426" s="180"/>
      <c r="E426" s="240"/>
      <c r="F426" s="184"/>
      <c r="G426" s="240"/>
      <c r="H426" s="184"/>
      <c r="I426" s="264"/>
      <c r="J426" s="264"/>
      <c r="K426" s="244"/>
      <c r="L426" s="244"/>
      <c r="M426" s="180"/>
    </row>
    <row r="427">
      <c r="B427" s="188"/>
      <c r="C427" s="181"/>
      <c r="D427" s="180"/>
      <c r="E427" s="240"/>
      <c r="F427" s="184"/>
      <c r="G427" s="240"/>
      <c r="H427" s="184"/>
      <c r="I427" s="264"/>
      <c r="J427" s="264"/>
      <c r="K427" s="244"/>
      <c r="L427" s="244"/>
      <c r="M427" s="180"/>
    </row>
    <row r="428">
      <c r="B428" s="188"/>
      <c r="C428" s="181"/>
      <c r="D428" s="180"/>
      <c r="E428" s="240"/>
      <c r="F428" s="184"/>
      <c r="G428" s="240"/>
      <c r="H428" s="184"/>
      <c r="I428" s="264"/>
      <c r="J428" s="264"/>
      <c r="K428" s="244"/>
      <c r="L428" s="244"/>
      <c r="M428" s="180"/>
    </row>
    <row r="429">
      <c r="B429" s="188"/>
      <c r="C429" s="181"/>
      <c r="D429" s="180"/>
      <c r="E429" s="240"/>
      <c r="F429" s="184"/>
      <c r="G429" s="240"/>
      <c r="H429" s="184"/>
      <c r="I429" s="264"/>
      <c r="J429" s="264"/>
      <c r="K429" s="244"/>
      <c r="L429" s="244"/>
      <c r="M429" s="180"/>
    </row>
    <row r="430">
      <c r="B430" s="188"/>
      <c r="C430" s="181"/>
      <c r="D430" s="180"/>
      <c r="E430" s="240"/>
      <c r="F430" s="184"/>
      <c r="G430" s="240"/>
      <c r="H430" s="184"/>
      <c r="I430" s="264"/>
      <c r="J430" s="264"/>
      <c r="K430" s="244"/>
      <c r="L430" s="244"/>
      <c r="M430" s="180"/>
    </row>
    <row r="431">
      <c r="B431" s="188"/>
      <c r="C431" s="181"/>
      <c r="D431" s="180"/>
      <c r="E431" s="240"/>
      <c r="F431" s="184"/>
      <c r="G431" s="240"/>
      <c r="H431" s="184"/>
      <c r="I431" s="264"/>
      <c r="J431" s="264"/>
      <c r="K431" s="244"/>
      <c r="L431" s="244"/>
      <c r="M431" s="180"/>
    </row>
    <row r="432">
      <c r="B432" s="188"/>
      <c r="C432" s="181"/>
      <c r="D432" s="180"/>
      <c r="E432" s="240"/>
      <c r="F432" s="184"/>
      <c r="G432" s="240"/>
      <c r="H432" s="184"/>
      <c r="I432" s="264"/>
      <c r="J432" s="264"/>
      <c r="K432" s="244"/>
      <c r="L432" s="244"/>
      <c r="M432" s="180"/>
    </row>
    <row r="433">
      <c r="B433" s="188"/>
      <c r="C433" s="181"/>
      <c r="D433" s="180"/>
      <c r="E433" s="240"/>
      <c r="F433" s="184"/>
      <c r="G433" s="240"/>
      <c r="H433" s="184"/>
      <c r="I433" s="264"/>
      <c r="J433" s="264"/>
      <c r="K433" s="244"/>
      <c r="L433" s="244"/>
      <c r="M433" s="180"/>
    </row>
    <row r="434">
      <c r="B434" s="188"/>
      <c r="C434" s="181"/>
      <c r="D434" s="180"/>
      <c r="E434" s="240"/>
      <c r="F434" s="184"/>
      <c r="G434" s="240"/>
      <c r="H434" s="184"/>
      <c r="I434" s="264"/>
      <c r="J434" s="264"/>
      <c r="K434" s="244"/>
      <c r="L434" s="244"/>
      <c r="M434" s="180"/>
    </row>
    <row r="435">
      <c r="B435" s="188"/>
      <c r="C435" s="181"/>
      <c r="D435" s="180"/>
      <c r="E435" s="240"/>
      <c r="F435" s="184"/>
      <c r="G435" s="240"/>
      <c r="H435" s="184"/>
      <c r="I435" s="264"/>
      <c r="J435" s="264"/>
      <c r="K435" s="244"/>
      <c r="L435" s="244"/>
      <c r="M435" s="180"/>
    </row>
    <row r="436">
      <c r="B436" s="188"/>
      <c r="C436" s="181"/>
      <c r="D436" s="180"/>
      <c r="E436" s="240"/>
      <c r="F436" s="184"/>
      <c r="G436" s="240"/>
      <c r="H436" s="184"/>
      <c r="I436" s="264"/>
      <c r="J436" s="264"/>
      <c r="K436" s="244"/>
      <c r="L436" s="244"/>
      <c r="M436" s="180"/>
    </row>
    <row r="437">
      <c r="B437" s="188"/>
      <c r="C437" s="181"/>
      <c r="D437" s="180"/>
      <c r="E437" s="240"/>
      <c r="F437" s="184"/>
      <c r="G437" s="240"/>
      <c r="H437" s="184"/>
      <c r="I437" s="264"/>
      <c r="J437" s="264"/>
      <c r="K437" s="244"/>
      <c r="L437" s="244"/>
      <c r="M437" s="180"/>
    </row>
    <row r="438">
      <c r="B438" s="188"/>
      <c r="C438" s="181"/>
      <c r="D438" s="180"/>
      <c r="E438" s="240"/>
      <c r="F438" s="184"/>
      <c r="G438" s="240"/>
      <c r="H438" s="184"/>
      <c r="I438" s="264"/>
      <c r="J438" s="264"/>
      <c r="K438" s="244"/>
      <c r="L438" s="244"/>
      <c r="M438" s="180"/>
    </row>
    <row r="439">
      <c r="B439" s="188"/>
      <c r="C439" s="181"/>
      <c r="D439" s="180"/>
      <c r="E439" s="240"/>
      <c r="F439" s="184"/>
      <c r="G439" s="240"/>
      <c r="H439" s="184"/>
      <c r="I439" s="264"/>
      <c r="J439" s="264"/>
      <c r="K439" s="244"/>
      <c r="L439" s="244"/>
      <c r="M439" s="180"/>
    </row>
    <row r="440">
      <c r="B440" s="188"/>
      <c r="C440" s="181"/>
      <c r="D440" s="180"/>
      <c r="E440" s="240"/>
      <c r="F440" s="184"/>
      <c r="G440" s="240"/>
      <c r="H440" s="184"/>
      <c r="I440" s="264"/>
      <c r="J440" s="264"/>
      <c r="K440" s="244"/>
      <c r="L440" s="244"/>
      <c r="M440" s="180"/>
    </row>
    <row r="441">
      <c r="B441" s="188"/>
      <c r="C441" s="181"/>
      <c r="D441" s="180"/>
      <c r="E441" s="240"/>
      <c r="F441" s="184"/>
      <c r="G441" s="240"/>
      <c r="H441" s="184"/>
      <c r="I441" s="264"/>
      <c r="J441" s="264"/>
      <c r="K441" s="244"/>
      <c r="L441" s="244"/>
      <c r="M441" s="180"/>
    </row>
    <row r="442">
      <c r="B442" s="188"/>
      <c r="C442" s="181"/>
      <c r="D442" s="180"/>
      <c r="E442" s="240"/>
      <c r="F442" s="184"/>
      <c r="G442" s="240"/>
      <c r="H442" s="184"/>
      <c r="I442" s="264"/>
      <c r="J442" s="264"/>
      <c r="K442" s="244"/>
      <c r="L442" s="244"/>
      <c r="M442" s="180"/>
    </row>
    <row r="443">
      <c r="B443" s="188"/>
      <c r="C443" s="181"/>
      <c r="D443" s="180"/>
      <c r="E443" s="240"/>
      <c r="F443" s="184"/>
      <c r="G443" s="240"/>
      <c r="H443" s="184"/>
      <c r="I443" s="264"/>
      <c r="J443" s="264"/>
      <c r="K443" s="244"/>
      <c r="L443" s="244"/>
      <c r="M443" s="180"/>
    </row>
    <row r="444">
      <c r="B444" s="188"/>
      <c r="C444" s="181"/>
      <c r="D444" s="180"/>
      <c r="E444" s="240"/>
      <c r="F444" s="184"/>
      <c r="G444" s="240"/>
      <c r="H444" s="184"/>
      <c r="I444" s="264"/>
      <c r="J444" s="264"/>
      <c r="K444" s="244"/>
      <c r="L444" s="244"/>
      <c r="M444" s="180"/>
    </row>
    <row r="445">
      <c r="B445" s="188"/>
      <c r="C445" s="181"/>
      <c r="D445" s="180"/>
      <c r="E445" s="240"/>
      <c r="F445" s="184"/>
      <c r="G445" s="240"/>
      <c r="H445" s="184"/>
      <c r="I445" s="264"/>
      <c r="J445" s="264"/>
      <c r="K445" s="244"/>
      <c r="L445" s="244"/>
      <c r="M445" s="180"/>
    </row>
    <row r="446">
      <c r="B446" s="188"/>
      <c r="C446" s="181"/>
      <c r="D446" s="180"/>
      <c r="E446" s="240"/>
      <c r="F446" s="184"/>
      <c r="G446" s="240"/>
      <c r="H446" s="184"/>
      <c r="I446" s="264"/>
      <c r="J446" s="264"/>
      <c r="K446" s="244"/>
      <c r="L446" s="244"/>
      <c r="M446" s="180"/>
    </row>
    <row r="447">
      <c r="B447" s="188"/>
      <c r="C447" s="181"/>
      <c r="D447" s="180"/>
      <c r="E447" s="240"/>
      <c r="F447" s="184"/>
      <c r="G447" s="240"/>
      <c r="H447" s="184"/>
      <c r="I447" s="264"/>
      <c r="J447" s="264"/>
      <c r="K447" s="244"/>
      <c r="L447" s="244"/>
      <c r="M447" s="180"/>
    </row>
    <row r="448">
      <c r="B448" s="188"/>
      <c r="C448" s="181"/>
      <c r="D448" s="180"/>
      <c r="E448" s="240"/>
      <c r="F448" s="184"/>
      <c r="G448" s="240"/>
      <c r="H448" s="184"/>
      <c r="I448" s="264"/>
      <c r="J448" s="264"/>
      <c r="K448" s="244"/>
      <c r="L448" s="244"/>
      <c r="M448" s="180"/>
    </row>
    <row r="449">
      <c r="B449" s="188"/>
      <c r="C449" s="181"/>
      <c r="D449" s="180"/>
      <c r="E449" s="240"/>
      <c r="F449" s="184"/>
      <c r="G449" s="240"/>
      <c r="H449" s="184"/>
      <c r="I449" s="264"/>
      <c r="J449" s="264"/>
      <c r="K449" s="244"/>
      <c r="L449" s="244"/>
      <c r="M449" s="180"/>
    </row>
    <row r="450">
      <c r="B450" s="188"/>
      <c r="C450" s="181"/>
      <c r="D450" s="180"/>
      <c r="E450" s="240"/>
      <c r="F450" s="184"/>
      <c r="G450" s="240"/>
      <c r="H450" s="184"/>
      <c r="I450" s="264"/>
      <c r="J450" s="264"/>
      <c r="K450" s="244"/>
      <c r="L450" s="244"/>
      <c r="M450" s="180"/>
    </row>
    <row r="451">
      <c r="B451" s="188"/>
      <c r="C451" s="181"/>
      <c r="D451" s="180"/>
      <c r="E451" s="240"/>
      <c r="F451" s="184"/>
      <c r="G451" s="240"/>
      <c r="H451" s="184"/>
      <c r="I451" s="264"/>
      <c r="J451" s="264"/>
      <c r="K451" s="244"/>
      <c r="L451" s="244"/>
      <c r="M451" s="180"/>
    </row>
    <row r="452">
      <c r="B452" s="188"/>
      <c r="C452" s="181"/>
      <c r="D452" s="180"/>
      <c r="E452" s="240"/>
      <c r="F452" s="184"/>
      <c r="G452" s="240"/>
      <c r="H452" s="184"/>
      <c r="I452" s="264"/>
      <c r="J452" s="264"/>
      <c r="K452" s="244"/>
      <c r="L452" s="244"/>
      <c r="M452" s="180"/>
    </row>
    <row r="453">
      <c r="B453" s="188"/>
      <c r="C453" s="181"/>
      <c r="D453" s="180"/>
      <c r="E453" s="240"/>
      <c r="F453" s="184"/>
      <c r="G453" s="240"/>
      <c r="H453" s="184"/>
      <c r="I453" s="264"/>
      <c r="J453" s="264"/>
      <c r="K453" s="244"/>
      <c r="L453" s="244"/>
      <c r="M453" s="180"/>
    </row>
    <row r="454">
      <c r="B454" s="188"/>
      <c r="C454" s="181"/>
      <c r="D454" s="180"/>
      <c r="E454" s="240"/>
      <c r="F454" s="184"/>
      <c r="G454" s="240"/>
      <c r="H454" s="184"/>
      <c r="I454" s="264"/>
      <c r="J454" s="264"/>
      <c r="K454" s="244"/>
      <c r="L454" s="244"/>
      <c r="M454" s="180"/>
    </row>
    <row r="455">
      <c r="B455" s="188"/>
      <c r="C455" s="181"/>
      <c r="D455" s="180"/>
      <c r="E455" s="240"/>
      <c r="F455" s="184"/>
      <c r="G455" s="240"/>
      <c r="H455" s="184"/>
      <c r="I455" s="264"/>
      <c r="J455" s="264"/>
      <c r="K455" s="244"/>
      <c r="L455" s="244"/>
      <c r="M455" s="180"/>
    </row>
    <row r="456">
      <c r="B456" s="188"/>
      <c r="C456" s="181"/>
      <c r="D456" s="180"/>
      <c r="E456" s="240"/>
      <c r="F456" s="184"/>
      <c r="G456" s="240"/>
      <c r="H456" s="184"/>
      <c r="I456" s="264"/>
      <c r="J456" s="264"/>
      <c r="K456" s="244"/>
      <c r="L456" s="244"/>
      <c r="M456" s="180"/>
    </row>
    <row r="457">
      <c r="B457" s="188"/>
      <c r="C457" s="181"/>
      <c r="D457" s="180"/>
      <c r="E457" s="240"/>
      <c r="F457" s="184"/>
      <c r="G457" s="240"/>
      <c r="H457" s="184"/>
      <c r="I457" s="264"/>
      <c r="J457" s="264"/>
      <c r="K457" s="244"/>
      <c r="L457" s="244"/>
      <c r="M457" s="180"/>
    </row>
    <row r="458">
      <c r="B458" s="188"/>
      <c r="C458" s="181"/>
      <c r="D458" s="180"/>
      <c r="E458" s="240"/>
      <c r="F458" s="184"/>
      <c r="G458" s="240"/>
      <c r="H458" s="184"/>
      <c r="I458" s="264"/>
      <c r="J458" s="264"/>
      <c r="K458" s="244"/>
      <c r="L458" s="244"/>
      <c r="M458" s="180"/>
    </row>
    <row r="459">
      <c r="B459" s="188"/>
      <c r="C459" s="181"/>
      <c r="D459" s="180"/>
      <c r="E459" s="240"/>
      <c r="F459" s="184"/>
      <c r="G459" s="240"/>
      <c r="H459" s="184"/>
      <c r="I459" s="264"/>
      <c r="J459" s="264"/>
      <c r="K459" s="244"/>
      <c r="L459" s="244"/>
      <c r="M459" s="180"/>
    </row>
    <row r="460">
      <c r="B460" s="188"/>
      <c r="C460" s="181"/>
      <c r="D460" s="180"/>
      <c r="E460" s="240"/>
      <c r="F460" s="184"/>
      <c r="G460" s="240"/>
      <c r="H460" s="184"/>
      <c r="I460" s="264"/>
      <c r="J460" s="264"/>
      <c r="K460" s="244"/>
      <c r="L460" s="244"/>
      <c r="M460" s="180"/>
    </row>
    <row r="461">
      <c r="B461" s="188"/>
      <c r="C461" s="181"/>
      <c r="D461" s="180"/>
      <c r="E461" s="240"/>
      <c r="F461" s="184"/>
      <c r="G461" s="240"/>
      <c r="H461" s="184"/>
      <c r="I461" s="264"/>
      <c r="J461" s="264"/>
      <c r="K461" s="244"/>
      <c r="L461" s="244"/>
      <c r="M461" s="180"/>
    </row>
    <row r="462">
      <c r="B462" s="188"/>
      <c r="C462" s="181"/>
      <c r="D462" s="180"/>
      <c r="E462" s="240"/>
      <c r="F462" s="184"/>
      <c r="G462" s="240"/>
      <c r="H462" s="184"/>
      <c r="I462" s="264"/>
      <c r="J462" s="264"/>
      <c r="K462" s="244"/>
      <c r="L462" s="244"/>
      <c r="M462" s="180"/>
    </row>
    <row r="463">
      <c r="B463" s="188"/>
      <c r="C463" s="181"/>
      <c r="D463" s="180"/>
      <c r="E463" s="240"/>
      <c r="F463" s="184"/>
      <c r="G463" s="240"/>
      <c r="H463" s="184"/>
      <c r="I463" s="264"/>
      <c r="J463" s="264"/>
      <c r="K463" s="244"/>
      <c r="L463" s="244"/>
      <c r="M463" s="180"/>
    </row>
    <row r="464">
      <c r="B464" s="188"/>
      <c r="C464" s="181"/>
      <c r="D464" s="180"/>
      <c r="E464" s="240"/>
      <c r="F464" s="184"/>
      <c r="G464" s="240"/>
      <c r="H464" s="184"/>
      <c r="I464" s="264"/>
      <c r="J464" s="264"/>
      <c r="K464" s="244"/>
      <c r="L464" s="244"/>
      <c r="M464" s="180"/>
    </row>
    <row r="465">
      <c r="B465" s="188"/>
      <c r="C465" s="181"/>
      <c r="D465" s="180"/>
      <c r="E465" s="240"/>
      <c r="F465" s="184"/>
      <c r="G465" s="240"/>
      <c r="H465" s="184"/>
      <c r="I465" s="264"/>
      <c r="J465" s="264"/>
      <c r="K465" s="244"/>
      <c r="L465" s="244"/>
      <c r="M465" s="180"/>
    </row>
    <row r="466">
      <c r="B466" s="188"/>
      <c r="C466" s="181"/>
      <c r="D466" s="180"/>
      <c r="E466" s="240"/>
      <c r="F466" s="184"/>
      <c r="G466" s="240"/>
      <c r="H466" s="184"/>
      <c r="I466" s="264"/>
      <c r="J466" s="264"/>
      <c r="K466" s="244"/>
      <c r="L466" s="244"/>
      <c r="M466" s="180"/>
    </row>
    <row r="467">
      <c r="B467" s="188"/>
      <c r="C467" s="181"/>
      <c r="D467" s="180"/>
      <c r="E467" s="240"/>
      <c r="F467" s="184"/>
      <c r="G467" s="240"/>
      <c r="H467" s="184"/>
      <c r="I467" s="264"/>
      <c r="J467" s="264"/>
      <c r="K467" s="244"/>
      <c r="L467" s="244"/>
      <c r="M467" s="180"/>
    </row>
    <row r="468">
      <c r="B468" s="188"/>
      <c r="C468" s="181"/>
      <c r="D468" s="180"/>
      <c r="E468" s="240"/>
      <c r="F468" s="184"/>
      <c r="G468" s="240"/>
      <c r="H468" s="184"/>
      <c r="I468" s="264"/>
      <c r="J468" s="264"/>
      <c r="K468" s="244"/>
      <c r="L468" s="244"/>
      <c r="M468" s="180"/>
    </row>
    <row r="469">
      <c r="B469" s="188"/>
      <c r="C469" s="181"/>
      <c r="D469" s="180"/>
      <c r="E469" s="240"/>
      <c r="F469" s="184"/>
      <c r="G469" s="240"/>
      <c r="H469" s="184"/>
      <c r="I469" s="264"/>
      <c r="J469" s="264"/>
      <c r="K469" s="244"/>
      <c r="L469" s="244"/>
      <c r="M469" s="180"/>
    </row>
    <row r="470">
      <c r="B470" s="188"/>
      <c r="C470" s="181"/>
      <c r="D470" s="180"/>
      <c r="E470" s="240"/>
      <c r="F470" s="184"/>
      <c r="G470" s="240"/>
      <c r="H470" s="184"/>
      <c r="I470" s="264"/>
      <c r="J470" s="264"/>
      <c r="K470" s="244"/>
      <c r="L470" s="244"/>
      <c r="M470" s="180"/>
    </row>
    <row r="471">
      <c r="B471" s="188"/>
      <c r="C471" s="181"/>
      <c r="D471" s="180"/>
      <c r="E471" s="240"/>
      <c r="F471" s="184"/>
      <c r="G471" s="240"/>
      <c r="H471" s="184"/>
      <c r="I471" s="264"/>
      <c r="J471" s="264"/>
      <c r="K471" s="244"/>
      <c r="L471" s="244"/>
      <c r="M471" s="180"/>
    </row>
    <row r="472">
      <c r="B472" s="188"/>
      <c r="C472" s="181"/>
      <c r="D472" s="180"/>
      <c r="E472" s="240"/>
      <c r="F472" s="184"/>
      <c r="G472" s="240"/>
      <c r="H472" s="184"/>
      <c r="I472" s="264"/>
      <c r="J472" s="264"/>
      <c r="K472" s="244"/>
      <c r="L472" s="244"/>
      <c r="M472" s="180"/>
    </row>
    <row r="473">
      <c r="B473" s="188"/>
      <c r="C473" s="181"/>
      <c r="D473" s="180"/>
      <c r="E473" s="240"/>
      <c r="F473" s="184"/>
      <c r="G473" s="240"/>
      <c r="H473" s="184"/>
      <c r="I473" s="264"/>
      <c r="J473" s="264"/>
      <c r="K473" s="244"/>
      <c r="L473" s="244"/>
      <c r="M473" s="180"/>
    </row>
    <row r="474">
      <c r="B474" s="188"/>
      <c r="C474" s="181"/>
      <c r="D474" s="180"/>
      <c r="E474" s="240"/>
      <c r="F474" s="184"/>
      <c r="G474" s="240"/>
      <c r="H474" s="184"/>
      <c r="I474" s="264"/>
      <c r="J474" s="264"/>
      <c r="K474" s="244"/>
      <c r="L474" s="244"/>
      <c r="M474" s="180"/>
    </row>
    <row r="475">
      <c r="B475" s="188"/>
      <c r="C475" s="181"/>
      <c r="D475" s="180"/>
      <c r="E475" s="240"/>
      <c r="F475" s="184"/>
      <c r="G475" s="240"/>
      <c r="H475" s="184"/>
      <c r="I475" s="264"/>
      <c r="J475" s="264"/>
      <c r="K475" s="244"/>
      <c r="L475" s="244"/>
      <c r="M475" s="180"/>
    </row>
    <row r="476">
      <c r="B476" s="188"/>
      <c r="C476" s="181"/>
      <c r="D476" s="180"/>
      <c r="E476" s="240"/>
      <c r="F476" s="184"/>
      <c r="G476" s="240"/>
      <c r="H476" s="184"/>
      <c r="I476" s="264"/>
      <c r="J476" s="264"/>
      <c r="K476" s="244"/>
      <c r="L476" s="244"/>
      <c r="M476" s="180"/>
    </row>
    <row r="477">
      <c r="B477" s="188"/>
      <c r="C477" s="181"/>
      <c r="D477" s="180"/>
      <c r="E477" s="240"/>
      <c r="F477" s="184"/>
      <c r="G477" s="240"/>
      <c r="H477" s="184"/>
      <c r="I477" s="264"/>
      <c r="J477" s="264"/>
      <c r="K477" s="244"/>
      <c r="L477" s="244"/>
      <c r="M477" s="180"/>
    </row>
    <row r="478">
      <c r="B478" s="188"/>
      <c r="C478" s="181"/>
      <c r="D478" s="180"/>
      <c r="E478" s="240"/>
      <c r="F478" s="184"/>
      <c r="G478" s="240"/>
      <c r="H478" s="184"/>
      <c r="I478" s="264"/>
      <c r="J478" s="264"/>
      <c r="K478" s="244"/>
      <c r="L478" s="244"/>
      <c r="M478" s="180"/>
    </row>
    <row r="479">
      <c r="B479" s="188"/>
      <c r="C479" s="181"/>
      <c r="D479" s="180"/>
      <c r="E479" s="240"/>
      <c r="F479" s="184"/>
      <c r="G479" s="240"/>
      <c r="H479" s="184"/>
      <c r="I479" s="264"/>
      <c r="J479" s="264"/>
      <c r="K479" s="244"/>
      <c r="L479" s="244"/>
      <c r="M479" s="180"/>
    </row>
    <row r="480">
      <c r="B480" s="188"/>
      <c r="C480" s="181"/>
      <c r="D480" s="180"/>
      <c r="E480" s="240"/>
      <c r="F480" s="184"/>
      <c r="G480" s="240"/>
      <c r="H480" s="184"/>
      <c r="I480" s="264"/>
      <c r="J480" s="264"/>
      <c r="K480" s="244"/>
      <c r="L480" s="244"/>
      <c r="M480" s="180"/>
    </row>
    <row r="481">
      <c r="B481" s="188"/>
      <c r="C481" s="181"/>
      <c r="D481" s="180"/>
      <c r="E481" s="240"/>
      <c r="F481" s="184"/>
      <c r="G481" s="240"/>
      <c r="H481" s="184"/>
      <c r="I481" s="264"/>
      <c r="J481" s="264"/>
      <c r="K481" s="244"/>
      <c r="L481" s="244"/>
      <c r="M481" s="180"/>
    </row>
    <row r="482">
      <c r="B482" s="188"/>
      <c r="C482" s="181"/>
      <c r="D482" s="180"/>
      <c r="E482" s="240"/>
      <c r="F482" s="184"/>
      <c r="G482" s="240"/>
      <c r="H482" s="184"/>
      <c r="I482" s="264"/>
      <c r="J482" s="264"/>
      <c r="K482" s="244"/>
      <c r="L482" s="244"/>
      <c r="M482" s="180"/>
    </row>
    <row r="483">
      <c r="B483" s="188"/>
      <c r="C483" s="181"/>
      <c r="D483" s="180"/>
      <c r="E483" s="240"/>
      <c r="F483" s="184"/>
      <c r="G483" s="240"/>
      <c r="H483" s="184"/>
      <c r="I483" s="264"/>
      <c r="J483" s="264"/>
      <c r="K483" s="244"/>
      <c r="L483" s="244"/>
      <c r="M483" s="180"/>
    </row>
    <row r="484">
      <c r="B484" s="188"/>
      <c r="C484" s="181"/>
      <c r="D484" s="180"/>
      <c r="E484" s="240"/>
      <c r="F484" s="184"/>
      <c r="G484" s="240"/>
      <c r="H484" s="184"/>
      <c r="I484" s="264"/>
      <c r="J484" s="264"/>
      <c r="K484" s="244"/>
      <c r="L484" s="244"/>
      <c r="M484" s="180"/>
    </row>
    <row r="485">
      <c r="B485" s="188"/>
      <c r="C485" s="181"/>
      <c r="D485" s="180"/>
      <c r="E485" s="240"/>
      <c r="F485" s="184"/>
      <c r="G485" s="240"/>
      <c r="H485" s="184"/>
      <c r="I485" s="264"/>
      <c r="J485" s="264"/>
      <c r="K485" s="244"/>
      <c r="L485" s="244"/>
      <c r="M485" s="180"/>
    </row>
    <row r="486">
      <c r="B486" s="188"/>
      <c r="C486" s="181"/>
      <c r="D486" s="180"/>
      <c r="E486" s="240"/>
      <c r="F486" s="184"/>
      <c r="G486" s="240"/>
      <c r="H486" s="184"/>
      <c r="I486" s="264"/>
      <c r="J486" s="264"/>
      <c r="K486" s="244"/>
      <c r="L486" s="244"/>
      <c r="M486" s="180"/>
    </row>
    <row r="487">
      <c r="B487" s="188"/>
      <c r="C487" s="181"/>
      <c r="D487" s="180"/>
      <c r="E487" s="240"/>
      <c r="F487" s="184"/>
      <c r="G487" s="240"/>
      <c r="H487" s="184"/>
      <c r="I487" s="264"/>
      <c r="J487" s="264"/>
      <c r="K487" s="244"/>
      <c r="L487" s="244"/>
      <c r="M487" s="180"/>
    </row>
    <row r="488">
      <c r="B488" s="188"/>
      <c r="C488" s="181"/>
      <c r="D488" s="180"/>
      <c r="E488" s="240"/>
      <c r="F488" s="184"/>
      <c r="G488" s="240"/>
      <c r="H488" s="184"/>
      <c r="I488" s="264"/>
      <c r="J488" s="264"/>
      <c r="K488" s="244"/>
      <c r="L488" s="244"/>
      <c r="M488" s="180"/>
    </row>
    <row r="489">
      <c r="B489" s="188"/>
      <c r="C489" s="181"/>
      <c r="D489" s="180"/>
      <c r="E489" s="240"/>
      <c r="F489" s="184"/>
      <c r="G489" s="240"/>
      <c r="H489" s="184"/>
      <c r="I489" s="264"/>
      <c r="J489" s="264"/>
      <c r="K489" s="244"/>
      <c r="L489" s="244"/>
      <c r="M489" s="180"/>
    </row>
    <row r="490">
      <c r="B490" s="188"/>
      <c r="C490" s="181"/>
      <c r="D490" s="180"/>
      <c r="E490" s="240"/>
      <c r="F490" s="184"/>
      <c r="G490" s="240"/>
      <c r="H490" s="184"/>
      <c r="I490" s="264"/>
      <c r="J490" s="264"/>
      <c r="K490" s="244"/>
      <c r="L490" s="244"/>
      <c r="M490" s="180"/>
    </row>
    <row r="491">
      <c r="B491" s="188"/>
      <c r="C491" s="181"/>
      <c r="D491" s="180"/>
      <c r="E491" s="240"/>
      <c r="F491" s="184"/>
      <c r="G491" s="240"/>
      <c r="H491" s="184"/>
      <c r="I491" s="264"/>
      <c r="J491" s="264"/>
      <c r="K491" s="244"/>
      <c r="L491" s="244"/>
      <c r="M491" s="180"/>
    </row>
    <row r="492">
      <c r="B492" s="188"/>
      <c r="C492" s="181"/>
      <c r="D492" s="180"/>
      <c r="E492" s="240"/>
      <c r="F492" s="184"/>
      <c r="G492" s="240"/>
      <c r="H492" s="184"/>
      <c r="I492" s="264"/>
      <c r="J492" s="264"/>
      <c r="K492" s="244"/>
      <c r="L492" s="244"/>
      <c r="M492" s="180"/>
    </row>
    <row r="493">
      <c r="B493" s="188"/>
      <c r="C493" s="181"/>
      <c r="D493" s="180"/>
      <c r="E493" s="240"/>
      <c r="F493" s="184"/>
      <c r="G493" s="240"/>
      <c r="H493" s="184"/>
      <c r="I493" s="264"/>
      <c r="J493" s="264"/>
      <c r="K493" s="244"/>
      <c r="L493" s="244"/>
      <c r="M493" s="180"/>
    </row>
    <row r="494">
      <c r="B494" s="188"/>
      <c r="C494" s="181"/>
      <c r="D494" s="180"/>
      <c r="E494" s="240"/>
      <c r="F494" s="184"/>
      <c r="G494" s="240"/>
      <c r="H494" s="184"/>
      <c r="I494" s="264"/>
      <c r="J494" s="264"/>
      <c r="K494" s="244"/>
      <c r="L494" s="244"/>
      <c r="M494" s="180"/>
    </row>
    <row r="495">
      <c r="B495" s="188"/>
      <c r="C495" s="181"/>
      <c r="D495" s="180"/>
      <c r="E495" s="240"/>
      <c r="F495" s="184"/>
      <c r="G495" s="240"/>
      <c r="H495" s="184"/>
      <c r="I495" s="264"/>
      <c r="J495" s="264"/>
      <c r="K495" s="244"/>
      <c r="L495" s="244"/>
      <c r="M495" s="180"/>
    </row>
    <row r="496">
      <c r="B496" s="188"/>
      <c r="C496" s="181"/>
      <c r="D496" s="180"/>
      <c r="E496" s="240"/>
      <c r="F496" s="184"/>
      <c r="G496" s="240"/>
      <c r="H496" s="184"/>
      <c r="I496" s="264"/>
      <c r="J496" s="264"/>
      <c r="K496" s="244"/>
      <c r="L496" s="244"/>
      <c r="M496" s="180"/>
    </row>
    <row r="497">
      <c r="B497" s="188"/>
      <c r="C497" s="181"/>
      <c r="D497" s="180"/>
      <c r="E497" s="240"/>
      <c r="F497" s="184"/>
      <c r="G497" s="240"/>
      <c r="H497" s="184"/>
      <c r="I497" s="264"/>
      <c r="J497" s="264"/>
      <c r="K497" s="244"/>
      <c r="L497" s="244"/>
      <c r="M497" s="180"/>
    </row>
    <row r="498">
      <c r="B498" s="188"/>
      <c r="C498" s="181"/>
      <c r="D498" s="180"/>
      <c r="E498" s="240"/>
      <c r="F498" s="184"/>
      <c r="G498" s="240"/>
      <c r="H498" s="184"/>
      <c r="I498" s="264"/>
      <c r="J498" s="264"/>
      <c r="K498" s="244"/>
      <c r="L498" s="244"/>
      <c r="M498" s="180"/>
    </row>
    <row r="499">
      <c r="B499" s="188"/>
      <c r="C499" s="181"/>
      <c r="D499" s="180"/>
      <c r="E499" s="240"/>
      <c r="F499" s="184"/>
      <c r="G499" s="240"/>
      <c r="H499" s="184"/>
      <c r="I499" s="264"/>
      <c r="J499" s="264"/>
      <c r="K499" s="244"/>
      <c r="L499" s="244"/>
      <c r="M499" s="180"/>
    </row>
    <row r="500">
      <c r="B500" s="188"/>
      <c r="C500" s="181"/>
      <c r="D500" s="180"/>
      <c r="E500" s="240"/>
      <c r="F500" s="184"/>
      <c r="G500" s="240"/>
      <c r="H500" s="184"/>
      <c r="I500" s="264"/>
      <c r="J500" s="264"/>
      <c r="K500" s="244"/>
      <c r="L500" s="244"/>
      <c r="M500" s="180"/>
    </row>
    <row r="501">
      <c r="B501" s="188"/>
      <c r="C501" s="181"/>
      <c r="D501" s="180"/>
      <c r="E501" s="240"/>
      <c r="F501" s="184"/>
      <c r="G501" s="240"/>
      <c r="H501" s="184"/>
      <c r="I501" s="264"/>
      <c r="J501" s="264"/>
      <c r="K501" s="244"/>
      <c r="L501" s="244"/>
      <c r="M501" s="180"/>
    </row>
    <row r="502">
      <c r="B502" s="188"/>
      <c r="C502" s="181"/>
      <c r="D502" s="180"/>
      <c r="E502" s="240"/>
      <c r="F502" s="184"/>
      <c r="G502" s="240"/>
      <c r="H502" s="184"/>
      <c r="I502" s="264"/>
      <c r="J502" s="264"/>
      <c r="K502" s="244"/>
      <c r="L502" s="244"/>
      <c r="M502" s="180"/>
    </row>
    <row r="503">
      <c r="B503" s="188"/>
      <c r="C503" s="181"/>
      <c r="D503" s="180"/>
      <c r="E503" s="240"/>
      <c r="F503" s="184"/>
      <c r="G503" s="240"/>
      <c r="H503" s="184"/>
      <c r="I503" s="264"/>
      <c r="J503" s="264"/>
      <c r="K503" s="244"/>
      <c r="L503" s="244"/>
      <c r="M503" s="180"/>
    </row>
    <row r="504">
      <c r="B504" s="188"/>
      <c r="C504" s="181"/>
      <c r="D504" s="180"/>
      <c r="E504" s="240"/>
      <c r="F504" s="184"/>
      <c r="G504" s="240"/>
      <c r="H504" s="184"/>
      <c r="I504" s="264"/>
      <c r="J504" s="264"/>
      <c r="K504" s="244"/>
      <c r="L504" s="244"/>
      <c r="M504" s="180"/>
    </row>
    <row r="505">
      <c r="B505" s="188"/>
      <c r="C505" s="181"/>
      <c r="D505" s="180"/>
      <c r="E505" s="240"/>
      <c r="F505" s="184"/>
      <c r="G505" s="240"/>
      <c r="H505" s="184"/>
      <c r="I505" s="264"/>
      <c r="J505" s="264"/>
      <c r="K505" s="244"/>
      <c r="L505" s="244"/>
      <c r="M505" s="180"/>
    </row>
    <row r="506">
      <c r="B506" s="188"/>
      <c r="C506" s="181"/>
      <c r="D506" s="180"/>
      <c r="E506" s="240"/>
      <c r="F506" s="184"/>
      <c r="G506" s="240"/>
      <c r="H506" s="184"/>
      <c r="I506" s="264"/>
      <c r="J506" s="264"/>
      <c r="K506" s="244"/>
      <c r="L506" s="244"/>
      <c r="M506" s="180"/>
    </row>
    <row r="507">
      <c r="B507" s="188"/>
      <c r="C507" s="181"/>
      <c r="D507" s="180"/>
      <c r="E507" s="240"/>
      <c r="F507" s="184"/>
      <c r="G507" s="240"/>
      <c r="H507" s="184"/>
      <c r="I507" s="264"/>
      <c r="J507" s="264"/>
      <c r="K507" s="244"/>
      <c r="L507" s="244"/>
      <c r="M507" s="180"/>
    </row>
    <row r="508">
      <c r="B508" s="188"/>
      <c r="C508" s="181"/>
      <c r="D508" s="180"/>
      <c r="E508" s="240"/>
      <c r="F508" s="184"/>
      <c r="G508" s="240"/>
      <c r="H508" s="184"/>
      <c r="I508" s="264"/>
      <c r="J508" s="264"/>
      <c r="K508" s="244"/>
      <c r="L508" s="244"/>
      <c r="M508" s="180"/>
    </row>
    <row r="509">
      <c r="B509" s="188"/>
      <c r="C509" s="181"/>
      <c r="D509" s="180"/>
      <c r="E509" s="240"/>
      <c r="F509" s="184"/>
      <c r="G509" s="240"/>
      <c r="H509" s="184"/>
      <c r="I509" s="264"/>
      <c r="J509" s="264"/>
      <c r="K509" s="244"/>
      <c r="L509" s="244"/>
      <c r="M509" s="180"/>
    </row>
    <row r="510">
      <c r="B510" s="188"/>
      <c r="C510" s="181"/>
      <c r="D510" s="180"/>
      <c r="E510" s="240"/>
      <c r="F510" s="184"/>
      <c r="G510" s="240"/>
      <c r="H510" s="184"/>
      <c r="I510" s="264"/>
      <c r="J510" s="264"/>
      <c r="K510" s="244"/>
      <c r="L510" s="244"/>
      <c r="M510" s="180"/>
    </row>
    <row r="511">
      <c r="B511" s="188"/>
      <c r="C511" s="181"/>
      <c r="D511" s="180"/>
      <c r="E511" s="240"/>
      <c r="F511" s="184"/>
      <c r="G511" s="240"/>
      <c r="H511" s="184"/>
      <c r="I511" s="264"/>
      <c r="J511" s="264"/>
      <c r="K511" s="244"/>
      <c r="L511" s="244"/>
      <c r="M511" s="180"/>
    </row>
    <row r="512">
      <c r="B512" s="188"/>
      <c r="C512" s="181"/>
      <c r="D512" s="180"/>
      <c r="E512" s="240"/>
      <c r="F512" s="184"/>
      <c r="G512" s="240"/>
      <c r="H512" s="184"/>
      <c r="I512" s="264"/>
      <c r="J512" s="264"/>
      <c r="K512" s="244"/>
      <c r="L512" s="244"/>
      <c r="M512" s="180"/>
    </row>
    <row r="513">
      <c r="B513" s="188"/>
      <c r="C513" s="181"/>
      <c r="D513" s="180"/>
      <c r="E513" s="240"/>
      <c r="F513" s="184"/>
      <c r="G513" s="240"/>
      <c r="H513" s="184"/>
      <c r="I513" s="264"/>
      <c r="J513" s="264"/>
      <c r="K513" s="244"/>
      <c r="L513" s="244"/>
      <c r="M513" s="180"/>
    </row>
    <row r="514">
      <c r="B514" s="188"/>
      <c r="C514" s="181"/>
      <c r="D514" s="180"/>
      <c r="E514" s="240"/>
      <c r="F514" s="184"/>
      <c r="G514" s="240"/>
      <c r="H514" s="184"/>
      <c r="I514" s="264"/>
      <c r="J514" s="264"/>
      <c r="K514" s="244"/>
      <c r="L514" s="244"/>
      <c r="M514" s="180"/>
    </row>
    <row r="515">
      <c r="B515" s="188"/>
      <c r="C515" s="181"/>
      <c r="D515" s="180"/>
      <c r="E515" s="240"/>
      <c r="F515" s="184"/>
      <c r="G515" s="240"/>
      <c r="H515" s="184"/>
      <c r="I515" s="264"/>
      <c r="J515" s="264"/>
      <c r="K515" s="244"/>
      <c r="L515" s="244"/>
      <c r="M515" s="180"/>
    </row>
    <row r="516">
      <c r="B516" s="188"/>
      <c r="C516" s="181"/>
      <c r="D516" s="180"/>
      <c r="E516" s="240"/>
      <c r="F516" s="184"/>
      <c r="G516" s="240"/>
      <c r="H516" s="184"/>
      <c r="I516" s="264"/>
      <c r="J516" s="264"/>
      <c r="K516" s="244"/>
      <c r="L516" s="244"/>
      <c r="M516" s="180"/>
    </row>
    <row r="517">
      <c r="B517" s="188"/>
      <c r="C517" s="181"/>
      <c r="D517" s="180"/>
      <c r="E517" s="240"/>
      <c r="F517" s="184"/>
      <c r="G517" s="240"/>
      <c r="H517" s="184"/>
      <c r="I517" s="264"/>
      <c r="J517" s="264"/>
      <c r="K517" s="244"/>
      <c r="L517" s="244"/>
      <c r="M517" s="180"/>
    </row>
    <row r="518">
      <c r="B518" s="188"/>
      <c r="C518" s="181"/>
      <c r="D518" s="180"/>
      <c r="E518" s="240"/>
      <c r="F518" s="184"/>
      <c r="G518" s="240"/>
      <c r="H518" s="184"/>
      <c r="I518" s="264"/>
      <c r="J518" s="264"/>
      <c r="K518" s="244"/>
      <c r="L518" s="244"/>
      <c r="M518" s="180"/>
    </row>
    <row r="519">
      <c r="B519" s="188"/>
      <c r="C519" s="181"/>
      <c r="D519" s="180"/>
      <c r="E519" s="240"/>
      <c r="F519" s="184"/>
      <c r="G519" s="240"/>
      <c r="H519" s="184"/>
      <c r="I519" s="264"/>
      <c r="J519" s="264"/>
      <c r="K519" s="244"/>
      <c r="L519" s="244"/>
      <c r="M519" s="180"/>
    </row>
    <row r="520">
      <c r="B520" s="188"/>
      <c r="C520" s="181"/>
      <c r="D520" s="180"/>
      <c r="E520" s="240"/>
      <c r="F520" s="184"/>
      <c r="G520" s="240"/>
      <c r="H520" s="184"/>
      <c r="I520" s="264"/>
      <c r="J520" s="264"/>
      <c r="K520" s="244"/>
      <c r="L520" s="244"/>
      <c r="M520" s="180"/>
    </row>
    <row r="521">
      <c r="B521" s="188"/>
      <c r="C521" s="181"/>
      <c r="D521" s="180"/>
      <c r="E521" s="240"/>
      <c r="F521" s="184"/>
      <c r="G521" s="240"/>
      <c r="H521" s="184"/>
      <c r="I521" s="264"/>
      <c r="J521" s="264"/>
      <c r="K521" s="244"/>
      <c r="L521" s="244"/>
      <c r="M521" s="180"/>
    </row>
    <row r="522">
      <c r="B522" s="188"/>
      <c r="C522" s="181"/>
      <c r="D522" s="180"/>
      <c r="E522" s="240"/>
      <c r="F522" s="184"/>
      <c r="G522" s="240"/>
      <c r="H522" s="184"/>
      <c r="I522" s="264"/>
      <c r="J522" s="264"/>
      <c r="K522" s="244"/>
      <c r="L522" s="244"/>
      <c r="M522" s="180"/>
    </row>
    <row r="523">
      <c r="B523" s="188"/>
      <c r="C523" s="181"/>
      <c r="D523" s="180"/>
      <c r="E523" s="240"/>
      <c r="F523" s="184"/>
      <c r="G523" s="240"/>
      <c r="H523" s="184"/>
      <c r="I523" s="264"/>
      <c r="J523" s="264"/>
      <c r="K523" s="244"/>
      <c r="L523" s="244"/>
      <c r="M523" s="180"/>
    </row>
    <row r="524">
      <c r="B524" s="188"/>
      <c r="C524" s="181"/>
      <c r="D524" s="180"/>
      <c r="E524" s="240"/>
      <c r="F524" s="184"/>
      <c r="G524" s="240"/>
      <c r="H524" s="184"/>
      <c r="I524" s="264"/>
      <c r="J524" s="264"/>
      <c r="K524" s="244"/>
      <c r="L524" s="244"/>
      <c r="M524" s="180"/>
    </row>
    <row r="525">
      <c r="B525" s="188"/>
      <c r="C525" s="181"/>
      <c r="D525" s="180"/>
      <c r="E525" s="240"/>
      <c r="F525" s="184"/>
      <c r="G525" s="240"/>
      <c r="H525" s="184"/>
      <c r="I525" s="264"/>
      <c r="J525" s="264"/>
      <c r="K525" s="244"/>
      <c r="L525" s="244"/>
      <c r="M525" s="180"/>
    </row>
    <row r="526">
      <c r="B526" s="188"/>
      <c r="C526" s="181"/>
      <c r="D526" s="180"/>
      <c r="E526" s="240"/>
      <c r="F526" s="184"/>
      <c r="G526" s="240"/>
      <c r="H526" s="184"/>
      <c r="I526" s="264"/>
      <c r="J526" s="264"/>
      <c r="K526" s="244"/>
      <c r="L526" s="244"/>
      <c r="M526" s="180"/>
    </row>
    <row r="527">
      <c r="B527" s="188"/>
      <c r="C527" s="181"/>
      <c r="D527" s="180"/>
      <c r="E527" s="240"/>
      <c r="F527" s="184"/>
      <c r="G527" s="240"/>
      <c r="H527" s="184"/>
      <c r="I527" s="264"/>
      <c r="J527" s="264"/>
      <c r="K527" s="244"/>
      <c r="L527" s="244"/>
      <c r="M527" s="180"/>
    </row>
    <row r="528">
      <c r="B528" s="188"/>
      <c r="C528" s="181"/>
      <c r="D528" s="180"/>
      <c r="E528" s="240"/>
      <c r="F528" s="184"/>
      <c r="G528" s="240"/>
      <c r="H528" s="184"/>
      <c r="I528" s="264"/>
      <c r="J528" s="264"/>
      <c r="K528" s="244"/>
      <c r="L528" s="244"/>
      <c r="M528" s="180"/>
    </row>
    <row r="529">
      <c r="B529" s="188"/>
      <c r="C529" s="181"/>
      <c r="D529" s="180"/>
      <c r="E529" s="240"/>
      <c r="F529" s="184"/>
      <c r="G529" s="240"/>
      <c r="H529" s="184"/>
      <c r="I529" s="264"/>
      <c r="J529" s="264"/>
      <c r="K529" s="244"/>
      <c r="L529" s="244"/>
      <c r="M529" s="180"/>
    </row>
    <row r="530">
      <c r="B530" s="188"/>
      <c r="C530" s="181"/>
      <c r="D530" s="180"/>
      <c r="E530" s="240"/>
      <c r="F530" s="184"/>
      <c r="G530" s="240"/>
      <c r="H530" s="184"/>
      <c r="I530" s="264"/>
      <c r="J530" s="264"/>
      <c r="K530" s="244"/>
      <c r="L530" s="244"/>
      <c r="M530" s="180"/>
    </row>
    <row r="531">
      <c r="B531" s="188"/>
      <c r="C531" s="181"/>
      <c r="D531" s="180"/>
      <c r="E531" s="240"/>
      <c r="F531" s="184"/>
      <c r="G531" s="240"/>
      <c r="H531" s="184"/>
      <c r="I531" s="264"/>
      <c r="J531" s="264"/>
      <c r="K531" s="244"/>
      <c r="L531" s="244"/>
      <c r="M531" s="180"/>
    </row>
    <row r="532">
      <c r="B532" s="188"/>
      <c r="C532" s="181"/>
      <c r="D532" s="180"/>
      <c r="E532" s="240"/>
      <c r="F532" s="184"/>
      <c r="G532" s="240"/>
      <c r="H532" s="184"/>
      <c r="I532" s="264"/>
      <c r="J532" s="264"/>
      <c r="K532" s="244"/>
      <c r="L532" s="244"/>
      <c r="M532" s="180"/>
    </row>
    <row r="533">
      <c r="B533" s="188"/>
      <c r="C533" s="181"/>
      <c r="D533" s="180"/>
      <c r="E533" s="240"/>
      <c r="F533" s="184"/>
      <c r="G533" s="240"/>
      <c r="H533" s="184"/>
      <c r="I533" s="264"/>
      <c r="J533" s="264"/>
      <c r="K533" s="244"/>
      <c r="L533" s="244"/>
      <c r="M533" s="180"/>
    </row>
    <row r="534">
      <c r="B534" s="188"/>
      <c r="C534" s="181"/>
      <c r="D534" s="180"/>
      <c r="E534" s="240"/>
      <c r="F534" s="184"/>
      <c r="G534" s="240"/>
      <c r="H534" s="184"/>
      <c r="I534" s="264"/>
      <c r="J534" s="264"/>
      <c r="K534" s="244"/>
      <c r="L534" s="244"/>
      <c r="M534" s="180"/>
    </row>
    <row r="535">
      <c r="B535" s="188"/>
      <c r="C535" s="181"/>
      <c r="D535" s="180"/>
      <c r="E535" s="240"/>
      <c r="F535" s="184"/>
      <c r="G535" s="240"/>
      <c r="H535" s="184"/>
      <c r="I535" s="264"/>
      <c r="J535" s="264"/>
      <c r="K535" s="244"/>
      <c r="L535" s="244"/>
      <c r="M535" s="180"/>
    </row>
    <row r="536">
      <c r="B536" s="188"/>
      <c r="C536" s="181"/>
      <c r="D536" s="180"/>
      <c r="E536" s="240"/>
      <c r="F536" s="184"/>
      <c r="G536" s="240"/>
      <c r="H536" s="184"/>
      <c r="I536" s="264"/>
      <c r="J536" s="264"/>
      <c r="K536" s="244"/>
      <c r="L536" s="244"/>
      <c r="M536" s="180"/>
    </row>
    <row r="537">
      <c r="B537" s="188"/>
      <c r="C537" s="181"/>
      <c r="D537" s="180"/>
      <c r="E537" s="240"/>
      <c r="F537" s="184"/>
      <c r="G537" s="240"/>
      <c r="H537" s="184"/>
      <c r="I537" s="264"/>
      <c r="J537" s="264"/>
      <c r="K537" s="244"/>
      <c r="L537" s="244"/>
      <c r="M537" s="180"/>
    </row>
    <row r="538">
      <c r="B538" s="188"/>
      <c r="C538" s="181"/>
      <c r="D538" s="180"/>
      <c r="E538" s="240"/>
      <c r="F538" s="184"/>
      <c r="G538" s="240"/>
      <c r="H538" s="184"/>
      <c r="I538" s="264"/>
      <c r="J538" s="264"/>
      <c r="K538" s="244"/>
      <c r="L538" s="244"/>
      <c r="M538" s="180"/>
    </row>
    <row r="539">
      <c r="B539" s="188"/>
      <c r="C539" s="181"/>
      <c r="D539" s="180"/>
      <c r="E539" s="240"/>
      <c r="F539" s="184"/>
      <c r="G539" s="240"/>
      <c r="H539" s="184"/>
      <c r="I539" s="264"/>
      <c r="J539" s="264"/>
      <c r="K539" s="244"/>
      <c r="L539" s="244"/>
      <c r="M539" s="180"/>
    </row>
    <row r="540">
      <c r="B540" s="188"/>
      <c r="C540" s="181"/>
      <c r="D540" s="180"/>
      <c r="E540" s="240"/>
      <c r="F540" s="184"/>
      <c r="G540" s="240"/>
      <c r="H540" s="184"/>
      <c r="I540" s="264"/>
      <c r="J540" s="264"/>
      <c r="K540" s="244"/>
      <c r="L540" s="244"/>
      <c r="M540" s="180"/>
    </row>
    <row r="541">
      <c r="B541" s="188"/>
      <c r="C541" s="181"/>
      <c r="D541" s="180"/>
      <c r="E541" s="240"/>
      <c r="F541" s="184"/>
      <c r="G541" s="240"/>
      <c r="H541" s="184"/>
      <c r="I541" s="264"/>
      <c r="J541" s="264"/>
      <c r="K541" s="244"/>
      <c r="L541" s="244"/>
      <c r="M541" s="180"/>
    </row>
    <row r="542">
      <c r="B542" s="188"/>
      <c r="C542" s="181"/>
      <c r="D542" s="180"/>
      <c r="E542" s="240"/>
      <c r="F542" s="184"/>
      <c r="G542" s="240"/>
      <c r="H542" s="184"/>
      <c r="I542" s="264"/>
      <c r="J542" s="264"/>
      <c r="K542" s="244"/>
      <c r="L542" s="244"/>
      <c r="M542" s="180"/>
    </row>
    <row r="543">
      <c r="B543" s="188"/>
      <c r="C543" s="181"/>
      <c r="D543" s="180"/>
      <c r="E543" s="240"/>
      <c r="F543" s="184"/>
      <c r="G543" s="240"/>
      <c r="H543" s="184"/>
      <c r="I543" s="264"/>
      <c r="J543" s="264"/>
      <c r="K543" s="244"/>
      <c r="L543" s="244"/>
      <c r="M543" s="180"/>
    </row>
    <row r="544">
      <c r="B544" s="188"/>
      <c r="C544" s="181"/>
      <c r="D544" s="180"/>
      <c r="E544" s="240"/>
      <c r="F544" s="184"/>
      <c r="G544" s="240"/>
      <c r="H544" s="184"/>
      <c r="I544" s="264"/>
      <c r="J544" s="264"/>
      <c r="K544" s="244"/>
      <c r="L544" s="244"/>
      <c r="M544" s="180"/>
    </row>
    <row r="545">
      <c r="B545" s="188"/>
      <c r="C545" s="181"/>
      <c r="D545" s="180"/>
      <c r="E545" s="240"/>
      <c r="F545" s="184"/>
      <c r="G545" s="240"/>
      <c r="H545" s="184"/>
      <c r="I545" s="264"/>
      <c r="J545" s="264"/>
      <c r="K545" s="244"/>
      <c r="L545" s="244"/>
      <c r="M545" s="180"/>
    </row>
    <row r="546">
      <c r="B546" s="188"/>
      <c r="C546" s="181"/>
      <c r="D546" s="180"/>
      <c r="E546" s="240"/>
      <c r="F546" s="184"/>
      <c r="G546" s="240"/>
      <c r="H546" s="184"/>
      <c r="I546" s="264"/>
      <c r="J546" s="264"/>
      <c r="K546" s="244"/>
      <c r="L546" s="244"/>
      <c r="M546" s="180"/>
    </row>
    <row r="547">
      <c r="B547" s="188"/>
      <c r="C547" s="181"/>
      <c r="D547" s="180"/>
      <c r="E547" s="240"/>
      <c r="F547" s="184"/>
      <c r="G547" s="240"/>
      <c r="H547" s="184"/>
      <c r="I547" s="264"/>
      <c r="J547" s="264"/>
      <c r="K547" s="244"/>
      <c r="L547" s="244"/>
      <c r="M547" s="180"/>
    </row>
    <row r="548">
      <c r="B548" s="188"/>
      <c r="C548" s="181"/>
      <c r="D548" s="180"/>
      <c r="E548" s="240"/>
      <c r="F548" s="184"/>
      <c r="G548" s="240"/>
      <c r="H548" s="184"/>
      <c r="I548" s="264"/>
      <c r="J548" s="264"/>
      <c r="K548" s="244"/>
      <c r="L548" s="244"/>
      <c r="M548" s="180"/>
    </row>
    <row r="549">
      <c r="B549" s="188"/>
      <c r="C549" s="181"/>
      <c r="D549" s="180"/>
      <c r="E549" s="240"/>
      <c r="F549" s="184"/>
      <c r="G549" s="240"/>
      <c r="H549" s="184"/>
      <c r="I549" s="264"/>
      <c r="J549" s="264"/>
      <c r="K549" s="244"/>
      <c r="L549" s="244"/>
      <c r="M549" s="180"/>
    </row>
    <row r="550">
      <c r="B550" s="188"/>
      <c r="C550" s="181"/>
      <c r="D550" s="180"/>
      <c r="E550" s="240"/>
      <c r="F550" s="184"/>
      <c r="G550" s="240"/>
      <c r="H550" s="184"/>
      <c r="I550" s="264"/>
      <c r="J550" s="264"/>
      <c r="K550" s="244"/>
      <c r="L550" s="244"/>
      <c r="M550" s="180"/>
    </row>
    <row r="551">
      <c r="B551" s="188"/>
      <c r="C551" s="181"/>
      <c r="D551" s="180"/>
      <c r="E551" s="240"/>
      <c r="F551" s="184"/>
      <c r="G551" s="240"/>
      <c r="H551" s="184"/>
      <c r="I551" s="264"/>
      <c r="J551" s="264"/>
      <c r="K551" s="244"/>
      <c r="L551" s="244"/>
      <c r="M551" s="180"/>
    </row>
  </sheetData>
  <autoFilter ref="$B$5:$L$55"/>
  <mergeCells count="2">
    <mergeCell ref="B1:H2"/>
    <mergeCell ref="B3:C3"/>
  </mergeCells>
  <conditionalFormatting sqref="B6:L551">
    <cfRule type="expression" dxfId="0" priority="1">
      <formula>$D6="1 - Imprescindível"</formula>
    </cfRule>
  </conditionalFormatting>
  <conditionalFormatting sqref="B6:L551">
    <cfRule type="expression" dxfId="4" priority="2">
      <formula>$D6="2 - Importante"</formula>
    </cfRule>
  </conditionalFormatting>
  <conditionalFormatting sqref="B6:L551">
    <cfRule type="expression" dxfId="5" priority="3">
      <formula>$D6="3 - Desejável"</formula>
    </cfRule>
  </conditionalFormatting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"/>
</worksheet>
</file>